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wmartinllc-my.sharepoint.com/personal/davidmartin_dwmartinllc_onmicrosoft_com/Documents/Projects/InvestmentsApp/Momentum_Investing/"/>
    </mc:Choice>
  </mc:AlternateContent>
  <xr:revisionPtr revIDLastSave="12" documentId="11_424DF0A2D3B05566DF993611595ED876561C49F3" xr6:coauthVersionLast="47" xr6:coauthVersionMax="47" xr10:uidLastSave="{36699831-B7EC-4C1B-A66F-B5A94252605F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84" i="1"/>
  <c r="A78" i="1"/>
  <c r="A63" i="1"/>
  <c r="A58" i="1"/>
  <c r="A55" i="1"/>
  <c r="A42" i="1"/>
  <c r="A21" i="1"/>
  <c r="A15" i="1"/>
  <c r="A13" i="1"/>
  <c r="A1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3" i="1"/>
  <c r="A82" i="1"/>
  <c r="A81" i="1"/>
  <c r="A80" i="1"/>
  <c r="A79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2" i="1"/>
  <c r="A61" i="1"/>
  <c r="A60" i="1"/>
  <c r="A59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0" i="1"/>
  <c r="A19" i="1"/>
  <c r="A18" i="1"/>
  <c r="A17" i="1"/>
  <c r="A16" i="1"/>
  <c r="A14" i="1"/>
  <c r="A12" i="1"/>
  <c r="A10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<sst xmlns="http://schemas.openxmlformats.org/spreadsheetml/2006/main" count="155426" uniqueCount="32589">
  <si>
    <t>Clickable_URL</t>
  </si>
  <si>
    <t>Count</t>
  </si>
  <si>
    <t>Score</t>
  </si>
  <si>
    <t>Relative Strength Index (14)</t>
  </si>
  <si>
    <t>Company</t>
  </si>
  <si>
    <t>Index</t>
  </si>
  <si>
    <t>Sector</t>
  </si>
  <si>
    <t>Industry</t>
  </si>
  <si>
    <t>Country</t>
  </si>
  <si>
    <t>Exchange</t>
  </si>
  <si>
    <t>Market Cap</t>
  </si>
  <si>
    <t>Price</t>
  </si>
  <si>
    <t>Change</t>
  </si>
  <si>
    <t>Volume</t>
  </si>
  <si>
    <t>P/E</t>
  </si>
  <si>
    <t>Forward P/E</t>
  </si>
  <si>
    <t>PEG</t>
  </si>
  <si>
    <t>P/S</t>
  </si>
  <si>
    <t>P/B</t>
  </si>
  <si>
    <t>Dividend Yield</t>
  </si>
  <si>
    <t>Dividend TTM</t>
  </si>
  <si>
    <t>Dividend Ex Date</t>
  </si>
  <si>
    <t>Dividend Growth 1 Year</t>
  </si>
  <si>
    <t>Dividend Growth 3 Years</t>
  </si>
  <si>
    <t>Dividend Growth 5 Years</t>
  </si>
  <si>
    <t>Payout Ratio</t>
  </si>
  <si>
    <t>EPS (ttm)</t>
  </si>
  <si>
    <t>EPS Growth Past 3 Years</t>
  </si>
  <si>
    <t>EPS Growth Past 5 Years</t>
  </si>
  <si>
    <t>EPS Growth Next 5 Years</t>
  </si>
  <si>
    <t>Sales Year Over Year TTM</t>
  </si>
  <si>
    <t>Sales Growth Past 3 Years</t>
  </si>
  <si>
    <t>Sales Growth Past 5 Years</t>
  </si>
  <si>
    <t>Sales Growth Quarter Over Quarter</t>
  </si>
  <si>
    <t>EPS Surprise</t>
  </si>
  <si>
    <t>Insider Transactions</t>
  </si>
  <si>
    <t>Institutional Ownership</t>
  </si>
  <si>
    <t>Current Ratio</t>
  </si>
  <si>
    <t>Quick Ratio</t>
  </si>
  <si>
    <t>Total Debt/Equity</t>
  </si>
  <si>
    <t>Gross Margin</t>
  </si>
  <si>
    <t>Operating Margin</t>
  </si>
  <si>
    <t>Profit Margin</t>
  </si>
  <si>
    <t>Volatility (Week)</t>
  </si>
  <si>
    <t>Volatility (Month)</t>
  </si>
  <si>
    <t>20-Day Simple Moving Average</t>
  </si>
  <si>
    <t>50-Day Simple Moving Average</t>
  </si>
  <si>
    <t>200-Day Simple Moving Average</t>
  </si>
  <si>
    <t>50-Day High</t>
  </si>
  <si>
    <t>50-Day Low</t>
  </si>
  <si>
    <t>52-Week High</t>
  </si>
  <si>
    <t>52-Week Low</t>
  </si>
  <si>
    <t>Analyst Recom</t>
  </si>
  <si>
    <t>Average Volume</t>
  </si>
  <si>
    <t>Relative Volume</t>
  </si>
  <si>
    <t>Prev Close</t>
  </si>
  <si>
    <t>High</t>
  </si>
  <si>
    <t>Low</t>
  </si>
  <si>
    <t>52-Week Range</t>
  </si>
  <si>
    <t>All-Time High</t>
  </si>
  <si>
    <t>All-Time Low</t>
  </si>
  <si>
    <t>Run_Date</t>
  </si>
  <si>
    <t>Performance (Quarter)</t>
  </si>
  <si>
    <t>Performance (Half Year)</t>
  </si>
  <si>
    <t>Performance (Year)</t>
  </si>
  <si>
    <t>RelatedFeatures</t>
  </si>
  <si>
    <t>Brandywine Realty Trust</t>
  </si>
  <si>
    <t>RUT</t>
  </si>
  <si>
    <t>Real Estate</t>
  </si>
  <si>
    <t>REIT - Office</t>
  </si>
  <si>
    <t>USA</t>
  </si>
  <si>
    <t>NYSE</t>
  </si>
  <si>
    <t>-2.71%</t>
  </si>
  <si>
    <t>13.95%</t>
  </si>
  <si>
    <t>7/2/2025</t>
  </si>
  <si>
    <t>-11.76%</t>
  </si>
  <si>
    <t>-7.58%</t>
  </si>
  <si>
    <t>-4.62%</t>
  </si>
  <si>
    <t>25.84%</t>
  </si>
  <si>
    <t>-3.05%</t>
  </si>
  <si>
    <t>1.26%</t>
  </si>
  <si>
    <t>-2.73%</t>
  </si>
  <si>
    <t>-3.81%</t>
  </si>
  <si>
    <t>371.25%</t>
  </si>
  <si>
    <t>0.77%</t>
  </si>
  <si>
    <t>87.27%</t>
  </si>
  <si>
    <t>26.95%</t>
  </si>
  <si>
    <t>16.96%</t>
  </si>
  <si>
    <t>-65.60%</t>
  </si>
  <si>
    <t>2.66%</t>
  </si>
  <si>
    <t>2.59%</t>
  </si>
  <si>
    <t>-2.60%</t>
  </si>
  <si>
    <t>2.41%</t>
  </si>
  <si>
    <t>-4.92%</t>
  </si>
  <si>
    <t>-7.02%</t>
  </si>
  <si>
    <t>13.61%</t>
  </si>
  <si>
    <t>-34.25%</t>
  </si>
  <si>
    <t>26.10%</t>
  </si>
  <si>
    <t>3.41 - 6.54</t>
  </si>
  <si>
    <t>-87.57%</t>
  </si>
  <si>
    <t>639.03%</t>
  </si>
  <si>
    <t>20250926</t>
  </si>
  <si>
    <t>1.18%</t>
  </si>
  <si>
    <t>-4.65%</t>
  </si>
  <si>
    <t>-19.47%</t>
  </si>
  <si>
    <t>['50 SMA above 200 SMA (Golden cross)', 'Average Volume (Over 1M)', 'Performance 1Y (1Y up)', 'Performance 3M (3M up)', 'Performance 6M (6M up)', 'Price Above 50 SMA (Price &gt; 50 SMA)', 'Relative Volume (&gt; 1.5)', 'RSI (14) High (RSI &gt; 60)']</t>
  </si>
  <si>
    <t>Klaviyo Inc</t>
  </si>
  <si>
    <t>-</t>
  </si>
  <si>
    <t>Technology</t>
  </si>
  <si>
    <t>Software - Infrastructure</t>
  </si>
  <si>
    <t>-0.90%</t>
  </si>
  <si>
    <t>18.09%</t>
  </si>
  <si>
    <t>22.75%</t>
  </si>
  <si>
    <t>33.17%</t>
  </si>
  <si>
    <t>47.75%</t>
  </si>
  <si>
    <t>31.91%</t>
  </si>
  <si>
    <t>25.89%</t>
  </si>
  <si>
    <t>-14.14%</t>
  </si>
  <si>
    <t>75.42%</t>
  </si>
  <si>
    <t>-9.55%</t>
  </si>
  <si>
    <t>-6.19%</t>
  </si>
  <si>
    <t>4.81%</t>
  </si>
  <si>
    <t>3.84%</t>
  </si>
  <si>
    <t>-1.69%</t>
  </si>
  <si>
    <t>-0.33%</t>
  </si>
  <si>
    <t>-8.75%</t>
  </si>
  <si>
    <t>-12.39%</t>
  </si>
  <si>
    <t>9.64%</t>
  </si>
  <si>
    <t>-35.00%</t>
  </si>
  <si>
    <t>35.49%</t>
  </si>
  <si>
    <t>23.77 - 49.55</t>
  </si>
  <si>
    <t>51.49%</t>
  </si>
  <si>
    <t>-2.55%</t>
  </si>
  <si>
    <t>-2.02%</t>
  </si>
  <si>
    <t>-6.70%</t>
  </si>
  <si>
    <t>PSQ Holdings Inc</t>
  </si>
  <si>
    <t>Software - Application</t>
  </si>
  <si>
    <t>-6.57%</t>
  </si>
  <si>
    <t>93.83%</t>
  </si>
  <si>
    <t>18.34%</t>
  </si>
  <si>
    <t>-38.46%</t>
  </si>
  <si>
    <t>0.35%</t>
  </si>
  <si>
    <t>23.04%</t>
  </si>
  <si>
    <t>41.00%</t>
  </si>
  <si>
    <t>-168.66%</t>
  </si>
  <si>
    <t>-169.29%</t>
  </si>
  <si>
    <t>15.92%</t>
  </si>
  <si>
    <t>8.77%</t>
  </si>
  <si>
    <t>-0.52%</t>
  </si>
  <si>
    <t>0.47%</t>
  </si>
  <si>
    <t>-24.31%</t>
  </si>
  <si>
    <t>-30.26%</t>
  </si>
  <si>
    <t>27.79%</t>
  </si>
  <si>
    <t>-74.51%</t>
  </si>
  <si>
    <t>1.55 - 7.77</t>
  </si>
  <si>
    <t>-94.43%</t>
  </si>
  <si>
    <t>-3.85%</t>
  </si>
  <si>
    <t>-19.81%</t>
  </si>
  <si>
    <t>-17.47%</t>
  </si>
  <si>
    <t>Macerich Co</t>
  </si>
  <si>
    <t>REIT - Retail</t>
  </si>
  <si>
    <t>4.77%</t>
  </si>
  <si>
    <t>3.89%</t>
  </si>
  <si>
    <t>9/9/2025</t>
  </si>
  <si>
    <t>0.00%</t>
  </si>
  <si>
    <t>4.26%</t>
  </si>
  <si>
    <t>-25.68%</t>
  </si>
  <si>
    <t>-49.65%</t>
  </si>
  <si>
    <t>80.70%</t>
  </si>
  <si>
    <t>4.53%</t>
  </si>
  <si>
    <t>3.20%</t>
  </si>
  <si>
    <t>-0.07%</t>
  </si>
  <si>
    <t>-17.90%</t>
  </si>
  <si>
    <t>-74.29%</t>
  </si>
  <si>
    <t>-0.80%</t>
  </si>
  <si>
    <t>101.25%</t>
  </si>
  <si>
    <t>14.32%</t>
  </si>
  <si>
    <t>10.75%</t>
  </si>
  <si>
    <t>-22.64%</t>
  </si>
  <si>
    <t>2.51%</t>
  </si>
  <si>
    <t>2.33%</t>
  </si>
  <si>
    <t>-1.72%</t>
  </si>
  <si>
    <t>0.26%</t>
  </si>
  <si>
    <t>0.15%</t>
  </si>
  <si>
    <t>-7.29%</t>
  </si>
  <si>
    <t>10.19%</t>
  </si>
  <si>
    <t>-21.15%</t>
  </si>
  <si>
    <t>40.71%</t>
  </si>
  <si>
    <t>12.48 - 22.27</t>
  </si>
  <si>
    <t>-78.76%</t>
  </si>
  <si>
    <t>317.26%</t>
  </si>
  <si>
    <t>8.66%</t>
  </si>
  <si>
    <t>1.56%</t>
  </si>
  <si>
    <t>0.28%</t>
  </si>
  <si>
    <t>BXP Inc</t>
  </si>
  <si>
    <t>S&amp;P 500</t>
  </si>
  <si>
    <t>-1.74%</t>
  </si>
  <si>
    <t>4.97%</t>
  </si>
  <si>
    <t>9/30/2025</t>
  </si>
  <si>
    <t>4336.28%</t>
  </si>
  <si>
    <t>-69.46%</t>
  </si>
  <si>
    <t>-51.30%</t>
  </si>
  <si>
    <t>184.47%</t>
  </si>
  <si>
    <t>3.24%</t>
  </si>
  <si>
    <t>5.65%</t>
  </si>
  <si>
    <t>2.85%</t>
  </si>
  <si>
    <t>2.11%</t>
  </si>
  <si>
    <t>36.62%</t>
  </si>
  <si>
    <t>109.50%</t>
  </si>
  <si>
    <t>34.50%</t>
  </si>
  <si>
    <t>29.77%</t>
  </si>
  <si>
    <t>0.11%</t>
  </si>
  <si>
    <t>2.13%</t>
  </si>
  <si>
    <t>2.65%</t>
  </si>
  <si>
    <t>-1.94%</t>
  </si>
  <si>
    <t>4.74%</t>
  </si>
  <si>
    <t>6.23%</t>
  </si>
  <si>
    <t>-6.66%</t>
  </si>
  <si>
    <t>19.45%</t>
  </si>
  <si>
    <t>-17.82%</t>
  </si>
  <si>
    <t>36.57%</t>
  </si>
  <si>
    <t>54.22 - 90.11</t>
  </si>
  <si>
    <t>291.97%</t>
  </si>
  <si>
    <t>7.94%</t>
  </si>
  <si>
    <t>8.39%</t>
  </si>
  <si>
    <t>-10.10%</t>
  </si>
  <si>
    <t>Oracle Corp</t>
  </si>
  <si>
    <t>0.65%</t>
  </si>
  <si>
    <t>10/9/2025</t>
  </si>
  <si>
    <t>6.25%</t>
  </si>
  <si>
    <t>9.92%</t>
  </si>
  <si>
    <t>12.11%</t>
  </si>
  <si>
    <t>39.16%</t>
  </si>
  <si>
    <t>21.66%</t>
  </si>
  <si>
    <t>7.13%</t>
  </si>
  <si>
    <t>22.84%</t>
  </si>
  <si>
    <t>9.67%</t>
  </si>
  <si>
    <t>10.59%</t>
  </si>
  <si>
    <t>8.00%</t>
  </si>
  <si>
    <t>12.17%</t>
  </si>
  <si>
    <t>-0.75%</t>
  </si>
  <si>
    <t>-0.78%</t>
  </si>
  <si>
    <t>44.39%</t>
  </si>
  <si>
    <t>66.10%</t>
  </si>
  <si>
    <t>31.63%</t>
  </si>
  <si>
    <t>21.08%</t>
  </si>
  <si>
    <t>4.90%</t>
  </si>
  <si>
    <t>4.57%</t>
  </si>
  <si>
    <t>2.57%</t>
  </si>
  <si>
    <t>10.73%</t>
  </si>
  <si>
    <t>49.62%</t>
  </si>
  <si>
    <t>-17.18%</t>
  </si>
  <si>
    <t>30.86%</t>
  </si>
  <si>
    <t>140.88%</t>
  </si>
  <si>
    <t>118.86 - 345.72</t>
  </si>
  <si>
    <t>713472.64%</t>
  </si>
  <si>
    <t>36.18%</t>
  </si>
  <si>
    <t>96.40%</t>
  </si>
  <si>
    <t>72.68%</t>
  </si>
  <si>
    <t>Mirion Technologies Inc</t>
  </si>
  <si>
    <t>Industrials</t>
  </si>
  <si>
    <t>Specialty Industrial Machinery</t>
  </si>
  <si>
    <t>7.51%</t>
  </si>
  <si>
    <t>34.08%</t>
  </si>
  <si>
    <t>18.58%</t>
  </si>
  <si>
    <t>7.88%</t>
  </si>
  <si>
    <t>38.77%</t>
  </si>
  <si>
    <t>7.63%</t>
  </si>
  <si>
    <t>9.24%</t>
  </si>
  <si>
    <t>-6.99%</t>
  </si>
  <si>
    <t>89.76%</t>
  </si>
  <si>
    <t>36.67%</t>
  </si>
  <si>
    <t>5.47%</t>
  </si>
  <si>
    <t>1.13%</t>
  </si>
  <si>
    <t>7.11%</t>
  </si>
  <si>
    <t>4.99%</t>
  </si>
  <si>
    <t>5.86%</t>
  </si>
  <si>
    <t>26.79%</t>
  </si>
  <si>
    <t>-8.43%</t>
  </si>
  <si>
    <t>26.73%</t>
  </si>
  <si>
    <t>114.13%</t>
  </si>
  <si>
    <t>10.76 - 25.16</t>
  </si>
  <si>
    <t>326.67%</t>
  </si>
  <si>
    <t>6.13%</t>
  </si>
  <si>
    <t>54.22%</t>
  </si>
  <si>
    <t>119.22%</t>
  </si>
  <si>
    <t>XPLR Infrastructure LP</t>
  </si>
  <si>
    <t>Utilities</t>
  </si>
  <si>
    <t>Utilities - Renewable</t>
  </si>
  <si>
    <t>4.02%</t>
  </si>
  <si>
    <t>9.09%</t>
  </si>
  <si>
    <t>6.51%</t>
  </si>
  <si>
    <t>11.46%</t>
  </si>
  <si>
    <t>12.82%</t>
  </si>
  <si>
    <t>30.31%</t>
  </si>
  <si>
    <t>3.01%</t>
  </si>
  <si>
    <t>7.27%</t>
  </si>
  <si>
    <t>7.23%</t>
  </si>
  <si>
    <t>-1.45%</t>
  </si>
  <si>
    <t>-19.10%</t>
  </si>
  <si>
    <t>46.27%</t>
  </si>
  <si>
    <t>18.17%</t>
  </si>
  <si>
    <t>12.49%</t>
  </si>
  <si>
    <t>-12.98%</t>
  </si>
  <si>
    <t>2.98%</t>
  </si>
  <si>
    <t>3.00%</t>
  </si>
  <si>
    <t>0.61%</t>
  </si>
  <si>
    <t>2.93%</t>
  </si>
  <si>
    <t>-3.84%</t>
  </si>
  <si>
    <t>-4.90%</t>
  </si>
  <si>
    <t>15.43%</t>
  </si>
  <si>
    <t>-64.25%</t>
  </si>
  <si>
    <t>34.22%</t>
  </si>
  <si>
    <t>7.53 - 28.25</t>
  </si>
  <si>
    <t>-88.63%</t>
  </si>
  <si>
    <t>21.25%</t>
  </si>
  <si>
    <t>3.91%</t>
  </si>
  <si>
    <t>-62.34%</t>
  </si>
  <si>
    <t>Paccar Inc</t>
  </si>
  <si>
    <t>NDX, S&amp;P 500</t>
  </si>
  <si>
    <t>Farm &amp; Heavy Construction Machinery</t>
  </si>
  <si>
    <t>NASD</t>
  </si>
  <si>
    <t>5.16%</t>
  </si>
  <si>
    <t>3.83%</t>
  </si>
  <si>
    <t>11/12/2025</t>
  </si>
  <si>
    <t>16.04%</t>
  </si>
  <si>
    <t>10.57%</t>
  </si>
  <si>
    <t>7.67%</t>
  </si>
  <si>
    <t>15.56%</t>
  </si>
  <si>
    <t>30.34%</t>
  </si>
  <si>
    <t>11.52%</t>
  </si>
  <si>
    <t>-3.66%</t>
  </si>
  <si>
    <t>-11.92%</t>
  </si>
  <si>
    <t>12.65%</t>
  </si>
  <si>
    <t>5.60%</t>
  </si>
  <si>
    <t>-14.46%</t>
  </si>
  <si>
    <t>6.29%</t>
  </si>
  <si>
    <t>-0.41%</t>
  </si>
  <si>
    <t>70.13%</t>
  </si>
  <si>
    <t>17.99%</t>
  </si>
  <si>
    <t>13.85%</t>
  </si>
  <si>
    <t>9.88%</t>
  </si>
  <si>
    <t>2.35%</t>
  </si>
  <si>
    <t>1.23%</t>
  </si>
  <si>
    <t>1.08%</t>
  </si>
  <si>
    <t>-3.22%</t>
  </si>
  <si>
    <t>8.69%</t>
  </si>
  <si>
    <t>18.73%</t>
  </si>
  <si>
    <t>84.65 - 115.49</t>
  </si>
  <si>
    <t>-17.62%</t>
  </si>
  <si>
    <t>20720.68%</t>
  </si>
  <si>
    <t>5.92%</t>
  </si>
  <si>
    <t>2.36%</t>
  </si>
  <si>
    <t>4.25%</t>
  </si>
  <si>
    <t>MP Materials Corporation</t>
  </si>
  <si>
    <t>Basic Materials</t>
  </si>
  <si>
    <t>Other Industrial Metals &amp; Mining</t>
  </si>
  <si>
    <t>-7.96%</t>
  </si>
  <si>
    <t>-41.29%</t>
  </si>
  <si>
    <t>39.42%</t>
  </si>
  <si>
    <t>-15.00%</t>
  </si>
  <si>
    <t>22.66%</t>
  </si>
  <si>
    <t>83.61%</t>
  </si>
  <si>
    <t>34.01%</t>
  </si>
  <si>
    <t>-1.64%</t>
  </si>
  <si>
    <t>68.87%</t>
  </si>
  <si>
    <t>-23.66%</t>
  </si>
  <si>
    <t>-59.08%</t>
  </si>
  <si>
    <t>-41.87%</t>
  </si>
  <si>
    <t>9.47%</t>
  </si>
  <si>
    <t>6.01%</t>
  </si>
  <si>
    <t>4.56%</t>
  </si>
  <si>
    <t>4.72%</t>
  </si>
  <si>
    <t>98.51%</t>
  </si>
  <si>
    <t>-13.95%</t>
  </si>
  <si>
    <t>29.54%</t>
  </si>
  <si>
    <t>356.23%</t>
  </si>
  <si>
    <t>15.56 - 82.50</t>
  </si>
  <si>
    <t>625.87%</t>
  </si>
  <si>
    <t>115.77%</t>
  </si>
  <si>
    <t>171.26%</t>
  </si>
  <si>
    <t>343.69%</t>
  </si>
  <si>
    <t>AtlasClear Holdings Inc</t>
  </si>
  <si>
    <t>AMEX</t>
  </si>
  <si>
    <t>-12.08%</t>
  </si>
  <si>
    <t>100.14%</t>
  </si>
  <si>
    <t>-0.32%</t>
  </si>
  <si>
    <t>2.54%</t>
  </si>
  <si>
    <t>-11.90%</t>
  </si>
  <si>
    <t>-381.05%</t>
  </si>
  <si>
    <t>-3001.14%</t>
  </si>
  <si>
    <t>36.45%</t>
  </si>
  <si>
    <t>33.66%</t>
  </si>
  <si>
    <t>31.67%</t>
  </si>
  <si>
    <t>117.55%</t>
  </si>
  <si>
    <t>-68.05%</t>
  </si>
  <si>
    <t>-62.22%</t>
  </si>
  <si>
    <t>428.72%</t>
  </si>
  <si>
    <t>-97.31%</t>
  </si>
  <si>
    <t>0.14 - 26.94</t>
  </si>
  <si>
    <t>-99.90%</t>
  </si>
  <si>
    <t>288.12%</t>
  </si>
  <si>
    <t>-5.89%</t>
  </si>
  <si>
    <t>-93.72%</t>
  </si>
  <si>
    <t>CoreWeave Inc</t>
  </si>
  <si>
    <t>-3.65%</t>
  </si>
  <si>
    <t>0.01%</t>
  </si>
  <si>
    <t>-449.58%</t>
  </si>
  <si>
    <t>1000.00%</t>
  </si>
  <si>
    <t>206.75%</t>
  </si>
  <si>
    <t>-17.16%</t>
  </si>
  <si>
    <t>-10.63%</t>
  </si>
  <si>
    <t>39.04%</t>
  </si>
  <si>
    <t>49.73%</t>
  </si>
  <si>
    <t>6.28%</t>
  </si>
  <si>
    <t>-31.31%</t>
  </si>
  <si>
    <t>9.12%</t>
  </si>
  <si>
    <t>7.62%</t>
  </si>
  <si>
    <t>8.43%</t>
  </si>
  <si>
    <t>9.66%</t>
  </si>
  <si>
    <t>17.32%</t>
  </si>
  <si>
    <t>-17.98%</t>
  </si>
  <si>
    <t>44.60%</t>
  </si>
  <si>
    <t>-34.74%</t>
  </si>
  <si>
    <t>264.14%</t>
  </si>
  <si>
    <t>33.51 - 187.00</t>
  </si>
  <si>
    <t>-23.72%</t>
  </si>
  <si>
    <t>Immunic Inc</t>
  </si>
  <si>
    <t>Healthcare</t>
  </si>
  <si>
    <t>Biotechnology</t>
  </si>
  <si>
    <t>0.22%</t>
  </si>
  <si>
    <t>36.56%</t>
  </si>
  <si>
    <t>26.01%</t>
  </si>
  <si>
    <t>18.07%</t>
  </si>
  <si>
    <t>-26.74%</t>
  </si>
  <si>
    <t>12.24%</t>
  </si>
  <si>
    <t>69.62%</t>
  </si>
  <si>
    <t>6.75%</t>
  </si>
  <si>
    <t>7.61%</t>
  </si>
  <si>
    <t>0.27%</t>
  </si>
  <si>
    <t>-7.09%</t>
  </si>
  <si>
    <t>-23.70%</t>
  </si>
  <si>
    <t>21.86%</t>
  </si>
  <si>
    <t>-47.96%</t>
  </si>
  <si>
    <t>60.48%</t>
  </si>
  <si>
    <t>0.56 - 1.73</t>
  </si>
  <si>
    <t>-99.94%</t>
  </si>
  <si>
    <t>28.61%</t>
  </si>
  <si>
    <t>-27.40%</t>
  </si>
  <si>
    <t>-42.29%</t>
  </si>
  <si>
    <t>Taysha Gene Therapies Inc</t>
  </si>
  <si>
    <t>2.61%</t>
  </si>
  <si>
    <t>57.45%</t>
  </si>
  <si>
    <t>-63.99%</t>
  </si>
  <si>
    <t>4.82%</t>
  </si>
  <si>
    <t>-37.09%</t>
  </si>
  <si>
    <t>78.60%</t>
  </si>
  <si>
    <t>-15.53%</t>
  </si>
  <si>
    <t>0.88%</t>
  </si>
  <si>
    <t>87.00%</t>
  </si>
  <si>
    <t>85.63%</t>
  </si>
  <si>
    <t>-1101.09%</t>
  </si>
  <si>
    <t>-1144.97%</t>
  </si>
  <si>
    <t>6.37%</t>
  </si>
  <si>
    <t>6.19%</t>
  </si>
  <si>
    <t>2.82%</t>
  </si>
  <si>
    <t>8.52%</t>
  </si>
  <si>
    <t>42.13%</t>
  </si>
  <si>
    <t>-7.65%</t>
  </si>
  <si>
    <t>34.19%</t>
  </si>
  <si>
    <t>199.05%</t>
  </si>
  <si>
    <t>1.05 - 3.40</t>
  </si>
  <si>
    <t>-90.58%</t>
  </si>
  <si>
    <t>528.00%</t>
  </si>
  <si>
    <t>31.93%</t>
  </si>
  <si>
    <t>67.02%</t>
  </si>
  <si>
    <t>52.43%</t>
  </si>
  <si>
    <t>USA Rare Earth Inc</t>
  </si>
  <si>
    <t>-7.75%</t>
  </si>
  <si>
    <t>29.36%</t>
  </si>
  <si>
    <t>21.95%</t>
  </si>
  <si>
    <t>-9.57%</t>
  </si>
  <si>
    <t>22.04%</t>
  </si>
  <si>
    <t>11.26%</t>
  </si>
  <si>
    <t>8.05%</t>
  </si>
  <si>
    <t>13.33%</t>
  </si>
  <si>
    <t>38.18%</t>
  </si>
  <si>
    <t>-14.74%</t>
  </si>
  <si>
    <t>53.80%</t>
  </si>
  <si>
    <t>-16.10%</t>
  </si>
  <si>
    <t>201.80%</t>
  </si>
  <si>
    <t>5.56 - 20.00</t>
  </si>
  <si>
    <t>50.02%</t>
  </si>
  <si>
    <t>175.99%</t>
  </si>
  <si>
    <t>56.55%</t>
  </si>
  <si>
    <t>Quantum Corp</t>
  </si>
  <si>
    <t>Computer Hardware</t>
  </si>
  <si>
    <t>0.21%</t>
  </si>
  <si>
    <t>-26.78%</t>
  </si>
  <si>
    <t>-51.81%</t>
  </si>
  <si>
    <t>-8.07%</t>
  </si>
  <si>
    <t>-9.75%</t>
  </si>
  <si>
    <t>-7.42%</t>
  </si>
  <si>
    <t>-9.89%</t>
  </si>
  <si>
    <t>-953.33%</t>
  </si>
  <si>
    <t>-50.20%</t>
  </si>
  <si>
    <t>6.79%</t>
  </si>
  <si>
    <t>39.85%</t>
  </si>
  <si>
    <t>-11.70%</t>
  </si>
  <si>
    <t>-41.75%</t>
  </si>
  <si>
    <t>21.26%</t>
  </si>
  <si>
    <t>12.38%</t>
  </si>
  <si>
    <t>17.44%</t>
  </si>
  <si>
    <t>-38.54%</t>
  </si>
  <si>
    <t>-24.86%</t>
  </si>
  <si>
    <t>48.03%</t>
  </si>
  <si>
    <t>-89.36%</t>
  </si>
  <si>
    <t>234.72%</t>
  </si>
  <si>
    <t>2.88 - 90.64</t>
  </si>
  <si>
    <t>-99.83%</t>
  </si>
  <si>
    <t>334.23%</t>
  </si>
  <si>
    <t>6.64%</t>
  </si>
  <si>
    <t>-37.36%</t>
  </si>
  <si>
    <t>193.90%</t>
  </si>
  <si>
    <t>Richtech Robotics Inc</t>
  </si>
  <si>
    <t>-1.47%</t>
  </si>
  <si>
    <t>-12.85%</t>
  </si>
  <si>
    <t>-54.70%</t>
  </si>
  <si>
    <t>-11.08%</t>
  </si>
  <si>
    <t>-18.43%</t>
  </si>
  <si>
    <t>-0.85%</t>
  </si>
  <si>
    <t>10.67%</t>
  </si>
  <si>
    <t>62.55%</t>
  </si>
  <si>
    <t>-395.40%</t>
  </si>
  <si>
    <t>-366.21%</t>
  </si>
  <si>
    <t>17.67%</t>
  </si>
  <si>
    <t>14.85%</t>
  </si>
  <si>
    <t>10.88%</t>
  </si>
  <si>
    <t>47.11%</t>
  </si>
  <si>
    <t>73.95%</t>
  </si>
  <si>
    <t>-29.42%</t>
  </si>
  <si>
    <t>126.40%</t>
  </si>
  <si>
    <t>674.85%</t>
  </si>
  <si>
    <t>0.52 - 5.71</t>
  </si>
  <si>
    <t>-67.21%</t>
  </si>
  <si>
    <t>1233.55%</t>
  </si>
  <si>
    <t>107.73%</t>
  </si>
  <si>
    <t>84.02%</t>
  </si>
  <si>
    <t>407.43%</t>
  </si>
  <si>
    <t>Cipher Mining Inc</t>
  </si>
  <si>
    <t>Financial</t>
  </si>
  <si>
    <t>Capital Markets</t>
  </si>
  <si>
    <t>-3.99%</t>
  </si>
  <si>
    <t>25.27%</t>
  </si>
  <si>
    <t>37.87%</t>
  </si>
  <si>
    <t>18.36%</t>
  </si>
  <si>
    <t>-81.82%</t>
  </si>
  <si>
    <t>-19.28%</t>
  </si>
  <si>
    <t>45.96%</t>
  </si>
  <si>
    <t>-74.65%</t>
  </si>
  <si>
    <t>-97.47%</t>
  </si>
  <si>
    <t>-96.95%</t>
  </si>
  <si>
    <t>13.53%</t>
  </si>
  <si>
    <t>12.20%</t>
  </si>
  <si>
    <t>45.11%</t>
  </si>
  <si>
    <t>118.45%</t>
  </si>
  <si>
    <t>-27.96%</t>
  </si>
  <si>
    <t>146.04%</t>
  </si>
  <si>
    <t>501.88%</t>
  </si>
  <si>
    <t>1.86 - 15.54</t>
  </si>
  <si>
    <t>2832.16%</t>
  </si>
  <si>
    <t>162.79%</t>
  </si>
  <si>
    <t>340.75%</t>
  </si>
  <si>
    <t>225.44%</t>
  </si>
  <si>
    <t>Immuneering Corp</t>
  </si>
  <si>
    <t>-1.08%</t>
  </si>
  <si>
    <t>-16.91%</t>
  </si>
  <si>
    <t>-46.45%</t>
  </si>
  <si>
    <t>7.25%</t>
  </si>
  <si>
    <t>-100.00%</t>
  </si>
  <si>
    <t>0.07%</t>
  </si>
  <si>
    <t>1.09%</t>
  </si>
  <si>
    <t>9.21%</t>
  </si>
  <si>
    <t>15.63%</t>
  </si>
  <si>
    <t>12.88%</t>
  </si>
  <si>
    <t>4.89%</t>
  </si>
  <si>
    <t>46.60%</t>
  </si>
  <si>
    <t>179.70%</t>
  </si>
  <si>
    <t>-21.50%</t>
  </si>
  <si>
    <t>172.87%</t>
  </si>
  <si>
    <t>619.39%</t>
  </si>
  <si>
    <t>1.10 - 10.08</t>
  </si>
  <si>
    <t>-76.72%</t>
  </si>
  <si>
    <t>691.33%</t>
  </si>
  <si>
    <t>124.17%</t>
  </si>
  <si>
    <t>376.70%</t>
  </si>
  <si>
    <t>171.00%</t>
  </si>
  <si>
    <t>Snap Inc</t>
  </si>
  <si>
    <t>Communication Services</t>
  </si>
  <si>
    <t>Internet Content &amp; Information</t>
  </si>
  <si>
    <t>-1.50%</t>
  </si>
  <si>
    <t>-10.35%</t>
  </si>
  <si>
    <t>10.96%</t>
  </si>
  <si>
    <t>26.19%</t>
  </si>
  <si>
    <t>13.18%</t>
  </si>
  <si>
    <t>9.20%</t>
  </si>
  <si>
    <t>25.60%</t>
  </si>
  <si>
    <t>8.75%</t>
  </si>
  <si>
    <t>-3.49%</t>
  </si>
  <si>
    <t>-1.20%</t>
  </si>
  <si>
    <t>50.86%</t>
  </si>
  <si>
    <t>51.14%</t>
  </si>
  <si>
    <t>-11.59%</t>
  </si>
  <si>
    <t>-9.69%</t>
  </si>
  <si>
    <t>6.09%</t>
  </si>
  <si>
    <t>4.40%</t>
  </si>
  <si>
    <t>6.70%</t>
  </si>
  <si>
    <t>2.03%</t>
  </si>
  <si>
    <t>-10.68%</t>
  </si>
  <si>
    <t>-21.18%</t>
  </si>
  <si>
    <t>18.91%</t>
  </si>
  <si>
    <t>-38.22%</t>
  </si>
  <si>
    <t>6.90 - 13.28</t>
  </si>
  <si>
    <t>-90.15%</t>
  </si>
  <si>
    <t>70.23%</t>
  </si>
  <si>
    <t>-5.91%</t>
  </si>
  <si>
    <t>-10.52%</t>
  </si>
  <si>
    <t>-22.37%</t>
  </si>
  <si>
    <t>Webull Corp</t>
  </si>
  <si>
    <t>0.04%</t>
  </si>
  <si>
    <t>-1286.26%</t>
  </si>
  <si>
    <t>20.73%</t>
  </si>
  <si>
    <t>76.68%</t>
  </si>
  <si>
    <t>2.19%</t>
  </si>
  <si>
    <t>-211.12%</t>
  </si>
  <si>
    <t>7.92%</t>
  </si>
  <si>
    <t>5.78%</t>
  </si>
  <si>
    <t>8.55%</t>
  </si>
  <si>
    <t>-20.06%</t>
  </si>
  <si>
    <t>16.79%</t>
  </si>
  <si>
    <t>-81.59%</t>
  </si>
  <si>
    <t>53.52%</t>
  </si>
  <si>
    <t>9.54 - 79.56</t>
  </si>
  <si>
    <t>35.23%</t>
  </si>
  <si>
    <t>15.50%</t>
  </si>
  <si>
    <t>29.84%</t>
  </si>
  <si>
    <t>Cleanspark Inc</t>
  </si>
  <si>
    <t>-8.19%</t>
  </si>
  <si>
    <t>2.70%</t>
  </si>
  <si>
    <t>35.68%</t>
  </si>
  <si>
    <t>84.66%</t>
  </si>
  <si>
    <t>112.87%</t>
  </si>
  <si>
    <t>142.35%</t>
  </si>
  <si>
    <t>90.81%</t>
  </si>
  <si>
    <t>156.92%</t>
  </si>
  <si>
    <t>-1.17%</t>
  </si>
  <si>
    <t>61.96%</t>
  </si>
  <si>
    <t>-6.37%</t>
  </si>
  <si>
    <t>-16.50%</t>
  </si>
  <si>
    <t>46.28%</t>
  </si>
  <si>
    <t>8.89%</t>
  </si>
  <si>
    <t>7.12%</t>
  </si>
  <si>
    <t>11.82%</t>
  </si>
  <si>
    <t>15.22%</t>
  </si>
  <si>
    <t>25.98%</t>
  </si>
  <si>
    <t>-17.31%</t>
  </si>
  <si>
    <t>41.44%</t>
  </si>
  <si>
    <t>-30.11%</t>
  </si>
  <si>
    <t>94.67%</t>
  </si>
  <si>
    <t>6.45 - 17.97</t>
  </si>
  <si>
    <t>-91.63%</t>
  </si>
  <si>
    <t>1194.85%</t>
  </si>
  <si>
    <t>17.71%</t>
  </si>
  <si>
    <t>60.10%</t>
  </si>
  <si>
    <t>36.97%</t>
  </si>
  <si>
    <t>Oklo Inc</t>
  </si>
  <si>
    <t>Utilities - Regulated Electric</t>
  </si>
  <si>
    <t>-6.39%</t>
  </si>
  <si>
    <t>-255.98%</t>
  </si>
  <si>
    <t>2.29%</t>
  </si>
  <si>
    <t>-64.23%</t>
  </si>
  <si>
    <t>-4.82%</t>
  </si>
  <si>
    <t>38.60%</t>
  </si>
  <si>
    <t>14.70%</t>
  </si>
  <si>
    <t>9.40%</t>
  </si>
  <si>
    <t>16.66%</t>
  </si>
  <si>
    <t>36.07%</t>
  </si>
  <si>
    <t>133.94%</t>
  </si>
  <si>
    <t>-22.82%</t>
  </si>
  <si>
    <t>89.39%</t>
  </si>
  <si>
    <t>1311.54%</t>
  </si>
  <si>
    <t>7.90 - 144.49</t>
  </si>
  <si>
    <t>1984.34%</t>
  </si>
  <si>
    <t>101.80%</t>
  </si>
  <si>
    <t>368.14%</t>
  </si>
  <si>
    <t>1241.90%</t>
  </si>
  <si>
    <t>Banco Bradesco S.A. ADR</t>
  </si>
  <si>
    <t>Banks - Regional</t>
  </si>
  <si>
    <t>0.31%</t>
  </si>
  <si>
    <t>7.42%</t>
  </si>
  <si>
    <t>10/1/2025</t>
  </si>
  <si>
    <t>-5.59%</t>
  </si>
  <si>
    <t>10.40%</t>
  </si>
  <si>
    <t>-6.24%</t>
  </si>
  <si>
    <t>-10.85%</t>
  </si>
  <si>
    <t>18.59%</t>
  </si>
  <si>
    <t>-4.58%</t>
  </si>
  <si>
    <t>8.04%</t>
  </si>
  <si>
    <t>-2.10%</t>
  </si>
  <si>
    <t>12.12%</t>
  </si>
  <si>
    <t>7.96%</t>
  </si>
  <si>
    <t>21.11%</t>
  </si>
  <si>
    <t>8.45%</t>
  </si>
  <si>
    <t>6.35%</t>
  </si>
  <si>
    <t>2.16%</t>
  </si>
  <si>
    <t>2.52%</t>
  </si>
  <si>
    <t>8.86%</t>
  </si>
  <si>
    <t>31.01%</t>
  </si>
  <si>
    <t>20.15%</t>
  </si>
  <si>
    <t>87.50%</t>
  </si>
  <si>
    <t>1.75 - 3.41</t>
  </si>
  <si>
    <t>-43.34%</t>
  </si>
  <si>
    <t>2346.81%</t>
  </si>
  <si>
    <t>8.25%</t>
  </si>
  <si>
    <t>46.23%</t>
  </si>
  <si>
    <t>33.90%</t>
  </si>
  <si>
    <t>MBX Biosciences Inc</t>
  </si>
  <si>
    <t>-53.83%</t>
  </si>
  <si>
    <t>17.10%</t>
  </si>
  <si>
    <t>21.06%</t>
  </si>
  <si>
    <t>57.15%</t>
  </si>
  <si>
    <t>18.56%</t>
  </si>
  <si>
    <t>31.56%</t>
  </si>
  <si>
    <t>31.32%</t>
  </si>
  <si>
    <t>45.28%</t>
  </si>
  <si>
    <t>-33.79%</t>
  </si>
  <si>
    <t>81.98%</t>
  </si>
  <si>
    <t>-36.27%</t>
  </si>
  <si>
    <t>264.58%</t>
  </si>
  <si>
    <t>4.81 - 27.50</t>
  </si>
  <si>
    <t>63.02%</t>
  </si>
  <si>
    <t>136.50%</t>
  </si>
  <si>
    <t>-23.77%</t>
  </si>
  <si>
    <t>Kura Oncology Inc</t>
  </si>
  <si>
    <t>2.39%</t>
  </si>
  <si>
    <t>-0.89%</t>
  </si>
  <si>
    <t>-6.05%</t>
  </si>
  <si>
    <t>0.81%</t>
  </si>
  <si>
    <t>-104.97%</t>
  </si>
  <si>
    <t>3.75%</t>
  </si>
  <si>
    <t>93.65%</t>
  </si>
  <si>
    <t>98.95%</t>
  </si>
  <si>
    <t>-263.82%</t>
  </si>
  <si>
    <t>-236.76%</t>
  </si>
  <si>
    <t>5.02%</t>
  </si>
  <si>
    <t>5.94%</t>
  </si>
  <si>
    <t>3.80%</t>
  </si>
  <si>
    <t>17.31%</t>
  </si>
  <si>
    <t>19.30%</t>
  </si>
  <si>
    <t>-3.82%</t>
  </si>
  <si>
    <t>57.06%</t>
  </si>
  <si>
    <t>-57.06%</t>
  </si>
  <si>
    <t>58.23%</t>
  </si>
  <si>
    <t>5.41 - 19.93</t>
  </si>
  <si>
    <t>-80.09%</t>
  </si>
  <si>
    <t>242.40%</t>
  </si>
  <si>
    <t>50.97%</t>
  </si>
  <si>
    <t>19.89%</t>
  </si>
  <si>
    <t>-56.81%</t>
  </si>
  <si>
    <t>Leap Therapeutics Inc</t>
  </si>
  <si>
    <t>-0.14%</t>
  </si>
  <si>
    <t>27.46%</t>
  </si>
  <si>
    <t>34.28%</t>
  </si>
  <si>
    <t>-37.93%</t>
  </si>
  <si>
    <t>20.37%</t>
  </si>
  <si>
    <t>14.07%</t>
  </si>
  <si>
    <t>8.74%</t>
  </si>
  <si>
    <t>11.53%</t>
  </si>
  <si>
    <t>-55.68%</t>
  </si>
  <si>
    <t>-13.06%</t>
  </si>
  <si>
    <t>48.77%</t>
  </si>
  <si>
    <t>-92.78%</t>
  </si>
  <si>
    <t>55.47%</t>
  </si>
  <si>
    <t>0.22 - 4.79</t>
  </si>
  <si>
    <t>-99.66%</t>
  </si>
  <si>
    <t>32.11%</t>
  </si>
  <si>
    <t>-5.26%</t>
  </si>
  <si>
    <t>-86.66%</t>
  </si>
  <si>
    <t>United States Antimony Corp</t>
  </si>
  <si>
    <t>-1.77%</t>
  </si>
  <si>
    <t>-144.10%</t>
  </si>
  <si>
    <t>21.57%</t>
  </si>
  <si>
    <t>178.66%</t>
  </si>
  <si>
    <t>24.46%</t>
  </si>
  <si>
    <t>12.56%</t>
  </si>
  <si>
    <t>274.06%</t>
  </si>
  <si>
    <t>25.31%</t>
  </si>
  <si>
    <t>10.28%</t>
  </si>
  <si>
    <t>-6.48%</t>
  </si>
  <si>
    <t>-3.32%</t>
  </si>
  <si>
    <t>14.76%</t>
  </si>
  <si>
    <t>9.82%</t>
  </si>
  <si>
    <t>16.17%</t>
  </si>
  <si>
    <t>39.23%</t>
  </si>
  <si>
    <t>119.95%</t>
  </si>
  <si>
    <t>-24.13%</t>
  </si>
  <si>
    <t>121.38%</t>
  </si>
  <si>
    <t>1164.76%</t>
  </si>
  <si>
    <t>0.49 - 8.17</t>
  </si>
  <si>
    <t>159.36%</t>
  </si>
  <si>
    <t>164.90%</t>
  </si>
  <si>
    <t>694.69%</t>
  </si>
  <si>
    <t>Hyliion Holdings Corporation</t>
  </si>
  <si>
    <t>Consumer Cyclical</t>
  </si>
  <si>
    <t>Auto Parts</t>
  </si>
  <si>
    <t>-4.55%</t>
  </si>
  <si>
    <t>18.89%</t>
  </si>
  <si>
    <t>-12.81%</t>
  </si>
  <si>
    <t>-4.26%</t>
  </si>
  <si>
    <t>3559.38%</t>
  </si>
  <si>
    <t>96.13%</t>
  </si>
  <si>
    <t>11.11%</t>
  </si>
  <si>
    <t>0.23%</t>
  </si>
  <si>
    <t>28.01%</t>
  </si>
  <si>
    <t>-115.37%</t>
  </si>
  <si>
    <t>-1890.89%</t>
  </si>
  <si>
    <t>-1601.71%</t>
  </si>
  <si>
    <t>9.36%</t>
  </si>
  <si>
    <t>14.14%</t>
  </si>
  <si>
    <t>22.20%</t>
  </si>
  <si>
    <t>16.56%</t>
  </si>
  <si>
    <t>-14.02%</t>
  </si>
  <si>
    <t>48.63%</t>
  </si>
  <si>
    <t>-49.19%</t>
  </si>
  <si>
    <t>87.46%</t>
  </si>
  <si>
    <t>1.11 - 4.09</t>
  </si>
  <si>
    <t>-96.45%</t>
  </si>
  <si>
    <t>301.66%</t>
  </si>
  <si>
    <t>54.13%</t>
  </si>
  <si>
    <t>36.89%</t>
  </si>
  <si>
    <t>-12.20%</t>
  </si>
  <si>
    <t>Cabaletta Bio Inc</t>
  </si>
  <si>
    <t>-4.19%</t>
  </si>
  <si>
    <t>-9.16%</t>
  </si>
  <si>
    <t>-20.35%</t>
  </si>
  <si>
    <t>11.84%</t>
  </si>
  <si>
    <t>68.30%</t>
  </si>
  <si>
    <t>11.02%</t>
  </si>
  <si>
    <t>8.64%</t>
  </si>
  <si>
    <t>15.47%</t>
  </si>
  <si>
    <t>19.41%</t>
  </si>
  <si>
    <t>-13.21%</t>
  </si>
  <si>
    <t>75.64%</t>
  </si>
  <si>
    <t>-59.47%</t>
  </si>
  <si>
    <t>124.52%</t>
  </si>
  <si>
    <t>0.99 - 5.46</t>
  </si>
  <si>
    <t>-91.60%</t>
  </si>
  <si>
    <t>275.10%</t>
  </si>
  <si>
    <t>40.96%</t>
  </si>
  <si>
    <t>37.46%</t>
  </si>
  <si>
    <t>-44.95%</t>
  </si>
  <si>
    <t>Quantum Computing Inc</t>
  </si>
  <si>
    <t>2.87%</t>
  </si>
  <si>
    <t>8.62%</t>
  </si>
  <si>
    <t>8.50%</t>
  </si>
  <si>
    <t>23.25%</t>
  </si>
  <si>
    <t>-21.56%</t>
  </si>
  <si>
    <t>-66.67%</t>
  </si>
  <si>
    <t>-372.73%</t>
  </si>
  <si>
    <t>-6.87%</t>
  </si>
  <si>
    <t>35.42%</t>
  </si>
  <si>
    <t>-1478.33%</t>
  </si>
  <si>
    <t>-12474.90%</t>
  </si>
  <si>
    <t>-29053.99%</t>
  </si>
  <si>
    <t>15.94%</t>
  </si>
  <si>
    <t>8.96%</t>
  </si>
  <si>
    <t>20.01%</t>
  </si>
  <si>
    <t>27.29%</t>
  </si>
  <si>
    <t>69.25%</t>
  </si>
  <si>
    <t>-11.72%</t>
  </si>
  <si>
    <t>54.29%</t>
  </si>
  <si>
    <t>-22.03%</t>
  </si>
  <si>
    <t>3212.47%</t>
  </si>
  <si>
    <t>0.64 - 27.15</t>
  </si>
  <si>
    <t>-99.58%</t>
  </si>
  <si>
    <t>21070.00%</t>
  </si>
  <si>
    <t>22.44%</t>
  </si>
  <si>
    <t>166.62%</t>
  </si>
  <si>
    <t>3045.62%</t>
  </si>
  <si>
    <t>Ford Motor Co</t>
  </si>
  <si>
    <t>Auto Manufacturers</t>
  </si>
  <si>
    <t>3.65%</t>
  </si>
  <si>
    <t>5.56%</t>
  </si>
  <si>
    <t>8/11/2025</t>
  </si>
  <si>
    <t>-37.60%</t>
  </si>
  <si>
    <t>98.32%</t>
  </si>
  <si>
    <t>5.39%</t>
  </si>
  <si>
    <t>53.35%</t>
  </si>
  <si>
    <t>-30.98%</t>
  </si>
  <si>
    <t>162.64%</t>
  </si>
  <si>
    <t>-2.99%</t>
  </si>
  <si>
    <t>2.72%</t>
  </si>
  <si>
    <t>10.71%</t>
  </si>
  <si>
    <t>3.48%</t>
  </si>
  <si>
    <t>11.88%</t>
  </si>
  <si>
    <t>62.26%</t>
  </si>
  <si>
    <t>7.09%</t>
  </si>
  <si>
    <t>1.45%</t>
  </si>
  <si>
    <t>1.70%</t>
  </si>
  <si>
    <t>1.91%</t>
  </si>
  <si>
    <t>1.88%</t>
  </si>
  <si>
    <t>3.14%</t>
  </si>
  <si>
    <t>4.94%</t>
  </si>
  <si>
    <t>15.53%</t>
  </si>
  <si>
    <t>0.45%</t>
  </si>
  <si>
    <t>12.78%</t>
  </si>
  <si>
    <t>42.70%</t>
  </si>
  <si>
    <t>8.44 - 11.99</t>
  </si>
  <si>
    <t>-63.89%</t>
  </si>
  <si>
    <t>1233.30%</t>
  </si>
  <si>
    <t>12.59%</t>
  </si>
  <si>
    <t>Cassava Sciences Inc</t>
  </si>
  <si>
    <t>-4.68%</t>
  </si>
  <si>
    <t>12/13/2012</t>
  </si>
  <si>
    <t>-21.17%</t>
  </si>
  <si>
    <t>-40.61%</t>
  </si>
  <si>
    <t>4.03%</t>
  </si>
  <si>
    <t>25.36%</t>
  </si>
  <si>
    <t>16.71%</t>
  </si>
  <si>
    <t>7.60%</t>
  </si>
  <si>
    <t>24.09%</t>
  </si>
  <si>
    <t>26.99%</t>
  </si>
  <si>
    <t>33.14%</t>
  </si>
  <si>
    <t>-19.26%</t>
  </si>
  <si>
    <t>44.85%</t>
  </si>
  <si>
    <t>-91.30%</t>
  </si>
  <si>
    <t>156.96%</t>
  </si>
  <si>
    <t>1.15 - 33.98</t>
  </si>
  <si>
    <t>-97.98%</t>
  </si>
  <si>
    <t>288.82%</t>
  </si>
  <si>
    <t>68.86%</t>
  </si>
  <si>
    <t>73.82%</t>
  </si>
  <si>
    <t>-90.01%</t>
  </si>
  <si>
    <t>Ocugen Inc</t>
  </si>
  <si>
    <t>-3.95%</t>
  </si>
  <si>
    <t>12.68%</t>
  </si>
  <si>
    <t>32.82%</t>
  </si>
  <si>
    <t>33.39%</t>
  </si>
  <si>
    <t>20.33%</t>
  </si>
  <si>
    <t>16.54%</t>
  </si>
  <si>
    <t>35.91%</t>
  </si>
  <si>
    <t>-1165.08%</t>
  </si>
  <si>
    <t>-1197.75%</t>
  </si>
  <si>
    <t>12.05%</t>
  </si>
  <si>
    <t>6.77%</t>
  </si>
  <si>
    <t>19.18%</t>
  </si>
  <si>
    <t>31.85%</t>
  </si>
  <si>
    <t>68.01%</t>
  </si>
  <si>
    <t>56.82%</t>
  </si>
  <si>
    <t>183.50%</t>
  </si>
  <si>
    <t>0.51 - 1.78</t>
  </si>
  <si>
    <t>-99.81%</t>
  </si>
  <si>
    <t>758.82%</t>
  </si>
  <si>
    <t>48.36%</t>
  </si>
  <si>
    <t>101.69%</t>
  </si>
  <si>
    <t>49.56%</t>
  </si>
  <si>
    <t>Veritone Inc</t>
  </si>
  <si>
    <t>-9.32%</t>
  </si>
  <si>
    <t>-12.06%</t>
  </si>
  <si>
    <t>0.82%</t>
  </si>
  <si>
    <t>44.21%</t>
  </si>
  <si>
    <t>-31.11%</t>
  </si>
  <si>
    <t>-7.04%</t>
  </si>
  <si>
    <t>13.29%</t>
  </si>
  <si>
    <t>-22.52%</t>
  </si>
  <si>
    <t>3.57%</t>
  </si>
  <si>
    <t>16.38%</t>
  </si>
  <si>
    <t>37.68%</t>
  </si>
  <si>
    <t>-84.88%</t>
  </si>
  <si>
    <t>-113.51%</t>
  </si>
  <si>
    <t>16.51%</t>
  </si>
  <si>
    <t>13.80%</t>
  </si>
  <si>
    <t>24.94%</t>
  </si>
  <si>
    <t>61.75%</t>
  </si>
  <si>
    <t>100.35%</t>
  </si>
  <si>
    <t>-21.25%</t>
  </si>
  <si>
    <t>166.32%</t>
  </si>
  <si>
    <t>314.75%</t>
  </si>
  <si>
    <t>1.22 - 6.43</t>
  </si>
  <si>
    <t>-93.25%</t>
  </si>
  <si>
    <t>256.34%</t>
  </si>
  <si>
    <t>84.67%</t>
  </si>
  <si>
    <t>34.93%</t>
  </si>
  <si>
    <t>Vuzix Corporation</t>
  </si>
  <si>
    <t>Consumer Electronics</t>
  </si>
  <si>
    <t>4.76%</t>
  </si>
  <si>
    <t>-17.95%</t>
  </si>
  <si>
    <t>-2.98%</t>
  </si>
  <si>
    <t>-12.75%</t>
  </si>
  <si>
    <t>-24.11%</t>
  </si>
  <si>
    <t>-2.91%</t>
  </si>
  <si>
    <t>16.67%</t>
  </si>
  <si>
    <t>-147.99%</t>
  </si>
  <si>
    <t>-715.12%</t>
  </si>
  <si>
    <t>-707.93%</t>
  </si>
  <si>
    <t>17.33%</t>
  </si>
  <si>
    <t>9.19%</t>
  </si>
  <si>
    <t>22.11%</t>
  </si>
  <si>
    <t>34.11%</t>
  </si>
  <si>
    <t>11.27%</t>
  </si>
  <si>
    <t>-25.39%</t>
  </si>
  <si>
    <t>67.15%</t>
  </si>
  <si>
    <t>-47.15%</t>
  </si>
  <si>
    <t>259.87%</t>
  </si>
  <si>
    <t>0.85 - 5.79</t>
  </si>
  <si>
    <t>-90.57%</t>
  </si>
  <si>
    <t>268.50%</t>
  </si>
  <si>
    <t>35.35%</t>
  </si>
  <si>
    <t>205.89%</t>
  </si>
  <si>
    <t>Cardlytics Inc</t>
  </si>
  <si>
    <t>Advertising Agencies</t>
  </si>
  <si>
    <t>7.77%</t>
  </si>
  <si>
    <t>0.66%</t>
  </si>
  <si>
    <t>-40.23%</t>
  </si>
  <si>
    <t>-12.84%</t>
  </si>
  <si>
    <t>1.38%</t>
  </si>
  <si>
    <t>5.75%</t>
  </si>
  <si>
    <t>-9.17%</t>
  </si>
  <si>
    <t>53.85%</t>
  </si>
  <si>
    <t>-17.81%</t>
  </si>
  <si>
    <t>45.39%</t>
  </si>
  <si>
    <t>45.16%</t>
  </si>
  <si>
    <t>-21.41%</t>
  </si>
  <si>
    <t>-68.87%</t>
  </si>
  <si>
    <t>25.25%</t>
  </si>
  <si>
    <t>20.97%</t>
  </si>
  <si>
    <t>64.90%</t>
  </si>
  <si>
    <t>60.17%</t>
  </si>
  <si>
    <t>16.57%</t>
  </si>
  <si>
    <t>-21.80%</t>
  </si>
  <si>
    <t>201.06%</t>
  </si>
  <si>
    <t>-51.10%</t>
  </si>
  <si>
    <t>0.85 - 5.24</t>
  </si>
  <si>
    <t>-98.41%</t>
  </si>
  <si>
    <t>61.32%</t>
  </si>
  <si>
    <t>27.61%</t>
  </si>
  <si>
    <t>-23.43%</t>
  </si>
  <si>
    <t>Ring Energy Inc</t>
  </si>
  <si>
    <t>Energy</t>
  </si>
  <si>
    <t>Oil &amp; Gas E&amp;P</t>
  </si>
  <si>
    <t>3.72%</t>
  </si>
  <si>
    <t>130.81%</t>
  </si>
  <si>
    <t>-5.28%</t>
  </si>
  <si>
    <t>-13.66%</t>
  </si>
  <si>
    <t>23.12%</t>
  </si>
  <si>
    <t>13.36%</t>
  </si>
  <si>
    <t>-16.68%</t>
  </si>
  <si>
    <t>66.67%</t>
  </si>
  <si>
    <t>-30.07%</t>
  </si>
  <si>
    <t>25.95%</t>
  </si>
  <si>
    <t>63.04%</t>
  </si>
  <si>
    <t>29.70%</t>
  </si>
  <si>
    <t>20.72%</t>
  </si>
  <si>
    <t>5.12%</t>
  </si>
  <si>
    <t>9.96%</t>
  </si>
  <si>
    <t>22.99%</t>
  </si>
  <si>
    <t>9.86%</t>
  </si>
  <si>
    <t>-0.79%</t>
  </si>
  <si>
    <t>59.54%</t>
  </si>
  <si>
    <t>-36.97%</t>
  </si>
  <si>
    <t>0.72 - 1.81</t>
  </si>
  <si>
    <t>-94.46%</t>
  </si>
  <si>
    <t>165.26%</t>
  </si>
  <si>
    <t>52.12%</t>
  </si>
  <si>
    <t>-4.93%</t>
  </si>
  <si>
    <t>-32.49%</t>
  </si>
  <si>
    <t>Eastman Kodak Co</t>
  </si>
  <si>
    <t>Specialty Business Services</t>
  </si>
  <si>
    <t>9.14%</t>
  </si>
  <si>
    <t>48.73%</t>
  </si>
  <si>
    <t>-2.17%</t>
  </si>
  <si>
    <t>-3.20%</t>
  </si>
  <si>
    <t>-3.43%</t>
  </si>
  <si>
    <t>0.20%</t>
  </si>
  <si>
    <t>45.83%</t>
  </si>
  <si>
    <t>18.61%</t>
  </si>
  <si>
    <t>-0.58%</t>
  </si>
  <si>
    <t>3.95%</t>
  </si>
  <si>
    <t>3.61%</t>
  </si>
  <si>
    <t>11.70%</t>
  </si>
  <si>
    <t>7.86%</t>
  </si>
  <si>
    <t>4.51%</t>
  </si>
  <si>
    <t>-6.90%</t>
  </si>
  <si>
    <t>36.54%</t>
  </si>
  <si>
    <t>-18.14%</t>
  </si>
  <si>
    <t>58.33%</t>
  </si>
  <si>
    <t>4.26 - 8.24</t>
  </si>
  <si>
    <t>-88.76%</t>
  </si>
  <si>
    <t>349.67%</t>
  </si>
  <si>
    <t>17.30%</t>
  </si>
  <si>
    <t>3.77%</t>
  </si>
  <si>
    <t>37.37%</t>
  </si>
  <si>
    <t>Gold Resource Corp</t>
  </si>
  <si>
    <t>Gold</t>
  </si>
  <si>
    <t>5.10%</t>
  </si>
  <si>
    <t>12/14/2022</t>
  </si>
  <si>
    <t>-39.10%</t>
  </si>
  <si>
    <t>-19.51%</t>
  </si>
  <si>
    <t>-11.40%</t>
  </si>
  <si>
    <t>-43.10%</t>
  </si>
  <si>
    <t>10.45%</t>
  </si>
  <si>
    <t>-47.81%</t>
  </si>
  <si>
    <t>-58.85%</t>
  </si>
  <si>
    <t>-90.76%</t>
  </si>
  <si>
    <t>7.87%</t>
  </si>
  <si>
    <t>10.06%</t>
  </si>
  <si>
    <t>12.91%</t>
  </si>
  <si>
    <t>43.24%</t>
  </si>
  <si>
    <t>71.12%</t>
  </si>
  <si>
    <t>-1.95%</t>
  </si>
  <si>
    <t>98.33%</t>
  </si>
  <si>
    <t>587.90%</t>
  </si>
  <si>
    <t>0.12 - 0.87</t>
  </si>
  <si>
    <t>-97.27%</t>
  </si>
  <si>
    <t>55.06%</t>
  </si>
  <si>
    <t>47.07%</t>
  </si>
  <si>
    <t>136.88%</t>
  </si>
  <si>
    <t>Lightbridge Corp</t>
  </si>
  <si>
    <t>Electrical Equipment &amp; Parts</t>
  </si>
  <si>
    <t>1.96%</t>
  </si>
  <si>
    <t>21.94%</t>
  </si>
  <si>
    <t>38.89%</t>
  </si>
  <si>
    <t>16.06%</t>
  </si>
  <si>
    <t>8.99%</t>
  </si>
  <si>
    <t>23.30%</t>
  </si>
  <si>
    <t>30.14%</t>
  </si>
  <si>
    <t>78.94%</t>
  </si>
  <si>
    <t>-8.66%</t>
  </si>
  <si>
    <t>58.32%</t>
  </si>
  <si>
    <t>668.28%</t>
  </si>
  <si>
    <t>2.58 - 21.70</t>
  </si>
  <si>
    <t>-99.51%</t>
  </si>
  <si>
    <t>1059.15%</t>
  </si>
  <si>
    <t>49.03%</t>
  </si>
  <si>
    <t>156.42%</t>
  </si>
  <si>
    <t>645.17%</t>
  </si>
  <si>
    <t>Gevo Inc</t>
  </si>
  <si>
    <t>Specialty Chemicals</t>
  </si>
  <si>
    <t>3.97%</t>
  </si>
  <si>
    <t>-3.92%</t>
  </si>
  <si>
    <t>16.42%</t>
  </si>
  <si>
    <t>341.75%</t>
  </si>
  <si>
    <t>216.60%</t>
  </si>
  <si>
    <t>-7.13%</t>
  </si>
  <si>
    <t>725.34%</t>
  </si>
  <si>
    <t>117.67%</t>
  </si>
  <si>
    <t>-10.92%</t>
  </si>
  <si>
    <t>-60.64%</t>
  </si>
  <si>
    <t>-72.76%</t>
  </si>
  <si>
    <t>7.21%</t>
  </si>
  <si>
    <t>6.68%</t>
  </si>
  <si>
    <t>13.97%</t>
  </si>
  <si>
    <t>26.62%</t>
  </si>
  <si>
    <t>39.29%</t>
  </si>
  <si>
    <t>-7.54%</t>
  </si>
  <si>
    <t>86.58%</t>
  </si>
  <si>
    <t>-38.36%</t>
  </si>
  <si>
    <t>126.85%</t>
  </si>
  <si>
    <t>0.92 - 3.39</t>
  </si>
  <si>
    <t>354.28%</t>
  </si>
  <si>
    <t>63.26%</t>
  </si>
  <si>
    <t>65.85%</t>
  </si>
  <si>
    <t>47.16%</t>
  </si>
  <si>
    <t>Soluna Holdings Inc</t>
  </si>
  <si>
    <t>-18.20%</t>
  </si>
  <si>
    <t>-3.04%</t>
  </si>
  <si>
    <t>-26.87%</t>
  </si>
  <si>
    <t>38.39%</t>
  </si>
  <si>
    <t>42.06%</t>
  </si>
  <si>
    <t>-36.35%</t>
  </si>
  <si>
    <t>-2.05%</t>
  </si>
  <si>
    <t>-31.93%</t>
  </si>
  <si>
    <t>-105.60%</t>
  </si>
  <si>
    <t>-273.45%</t>
  </si>
  <si>
    <t>47.80%</t>
  </si>
  <si>
    <t>24.18%</t>
  </si>
  <si>
    <t>103.78%</t>
  </si>
  <si>
    <t>210.66%</t>
  </si>
  <si>
    <t>114.71%</t>
  </si>
  <si>
    <t>-31.29%</t>
  </si>
  <si>
    <t>479.52%</t>
  </si>
  <si>
    <t>-49.69%</t>
  </si>
  <si>
    <t>567.31%</t>
  </si>
  <si>
    <t>0.36 - 4.78</t>
  </si>
  <si>
    <t>-99.96%</t>
  </si>
  <si>
    <t>334.98%</t>
  </si>
  <si>
    <t>140.74%</t>
  </si>
  <si>
    <t>-20.63%</t>
  </si>
  <si>
    <t>Scholar Rock Holding Corp</t>
  </si>
  <si>
    <t>11.76%</t>
  </si>
  <si>
    <t>-5.90%</t>
  </si>
  <si>
    <t>-47.41%</t>
  </si>
  <si>
    <t>-0.61%</t>
  </si>
  <si>
    <t>99.02%</t>
  </si>
  <si>
    <t>6.08%</t>
  </si>
  <si>
    <t>16.73%</t>
  </si>
  <si>
    <t>11.73%</t>
  </si>
  <si>
    <t>7.66%</t>
  </si>
  <si>
    <t>-12.92%</t>
  </si>
  <si>
    <t>29.37%</t>
  </si>
  <si>
    <t>-18.50%</t>
  </si>
  <si>
    <t>466.42%</t>
  </si>
  <si>
    <t>6.76 - 46.98</t>
  </si>
  <si>
    <t>-45.30%</t>
  </si>
  <si>
    <t>785.32%</t>
  </si>
  <si>
    <t>6.93%</t>
  </si>
  <si>
    <t>14.78%</t>
  </si>
  <si>
    <t>343.17%</t>
  </si>
  <si>
    <t>Bakkt Holdings Inc</t>
  </si>
  <si>
    <t>-8.37%</t>
  </si>
  <si>
    <t>53.67%</t>
  </si>
  <si>
    <t>-14.18%</t>
  </si>
  <si>
    <t>111.83%</t>
  </si>
  <si>
    <t>345.64%</t>
  </si>
  <si>
    <t>15.28%</t>
  </si>
  <si>
    <t>-1.96%</t>
  </si>
  <si>
    <t>-0.77%</t>
  </si>
  <si>
    <t>18.53%</t>
  </si>
  <si>
    <t>10.51%</t>
  </si>
  <si>
    <t>49.29%</t>
  </si>
  <si>
    <t>43.84%</t>
  </si>
  <si>
    <t>14.90%</t>
  </si>
  <si>
    <t>-33.53%</t>
  </si>
  <si>
    <t>117.18%</t>
  </si>
  <si>
    <t>-54.13%</t>
  </si>
  <si>
    <t>150.66%</t>
  </si>
  <si>
    <t>6.81 - 37.21</t>
  </si>
  <si>
    <t>-98.66%</t>
  </si>
  <si>
    <t>206.29%</t>
  </si>
  <si>
    <t>33.57%</t>
  </si>
  <si>
    <t>61.80%</t>
  </si>
  <si>
    <t>82.57%</t>
  </si>
  <si>
    <t>Monte Rosa Therapeutics Inc</t>
  </si>
  <si>
    <t>7.02%</t>
  </si>
  <si>
    <t>-41.09%</t>
  </si>
  <si>
    <t>-9.52%</t>
  </si>
  <si>
    <t>2990.57%</t>
  </si>
  <si>
    <t>394.01%</t>
  </si>
  <si>
    <t>60.22%</t>
  </si>
  <si>
    <t>-0.01%</t>
  </si>
  <si>
    <t>79.18%</t>
  </si>
  <si>
    <t>95.32%</t>
  </si>
  <si>
    <t>8.40%</t>
  </si>
  <si>
    <t>13.58%</t>
  </si>
  <si>
    <t>6.60%</t>
  </si>
  <si>
    <t>22.17%</t>
  </si>
  <si>
    <t>33.87%</t>
  </si>
  <si>
    <t>28.63%</t>
  </si>
  <si>
    <t>-5.78%</t>
  </si>
  <si>
    <t>70.15%</t>
  </si>
  <si>
    <t>-43.47%</t>
  </si>
  <si>
    <t>100.28%</t>
  </si>
  <si>
    <t>3.50 - 12.40</t>
  </si>
  <si>
    <t>-84.61%</t>
  </si>
  <si>
    <t>187.30%</t>
  </si>
  <si>
    <t>52.39%</t>
  </si>
  <si>
    <t>33.27%</t>
  </si>
  <si>
    <t>23.20%</t>
  </si>
  <si>
    <t>IonQ Inc</t>
  </si>
  <si>
    <t>-3.75%</t>
  </si>
  <si>
    <t>-42.08%</t>
  </si>
  <si>
    <t>-85.81%</t>
  </si>
  <si>
    <t>-2.61%</t>
  </si>
  <si>
    <t>67.83%</t>
  </si>
  <si>
    <t>173.78%</t>
  </si>
  <si>
    <t>81.83%</t>
  </si>
  <si>
    <t>-139.32%</t>
  </si>
  <si>
    <t>-38.01%</t>
  </si>
  <si>
    <t>43.96%</t>
  </si>
  <si>
    <t>1.14%</t>
  </si>
  <si>
    <t>-670.82%</t>
  </si>
  <si>
    <t>-885.21%</t>
  </si>
  <si>
    <t>8.16%</t>
  </si>
  <si>
    <t>7.48%</t>
  </si>
  <si>
    <t>18.98%</t>
  </si>
  <si>
    <t>41.70%</t>
  </si>
  <si>
    <t>77.34%</t>
  </si>
  <si>
    <t>-12.22%</t>
  </si>
  <si>
    <t>92.20%</t>
  </si>
  <si>
    <t>781.05%</t>
  </si>
  <si>
    <t>7.59 - 76.13</t>
  </si>
  <si>
    <t>2098.28%</t>
  </si>
  <si>
    <t>66.03%</t>
  </si>
  <si>
    <t>182.57%</t>
  </si>
  <si>
    <t>723.00%</t>
  </si>
  <si>
    <t>Aquestive Therapeutics Inc</t>
  </si>
  <si>
    <t>Drug Manufacturers - Specialty &amp; Generic</t>
  </si>
  <si>
    <t>11.69%</t>
  </si>
  <si>
    <t>34.99%</t>
  </si>
  <si>
    <t>27.90%</t>
  </si>
  <si>
    <t>21.68%</t>
  </si>
  <si>
    <t>-24.38%</t>
  </si>
  <si>
    <t>4.23%</t>
  </si>
  <si>
    <t>1.82%</t>
  </si>
  <si>
    <t>-50.23%</t>
  </si>
  <si>
    <t>16.02%</t>
  </si>
  <si>
    <t>37.59%</t>
  </si>
  <si>
    <t>61.09%</t>
  </si>
  <si>
    <t>-119.19%</t>
  </si>
  <si>
    <t>-147.38%</t>
  </si>
  <si>
    <t>6.99%</t>
  </si>
  <si>
    <t>34.33%</t>
  </si>
  <si>
    <t>71.98%</t>
  </si>
  <si>
    <t>-2.08%</t>
  </si>
  <si>
    <t>59.20%</t>
  </si>
  <si>
    <t>177.12%</t>
  </si>
  <si>
    <t>2.12 - 6.00</t>
  </si>
  <si>
    <t>-71.61%</t>
  </si>
  <si>
    <t>850.65%</t>
  </si>
  <si>
    <t>80.77%</t>
  </si>
  <si>
    <t>83.02%</t>
  </si>
  <si>
    <t>Cycurion Inc</t>
  </si>
  <si>
    <t>Information Technology Services</t>
  </si>
  <si>
    <t>-10.70%</t>
  </si>
  <si>
    <t>0.09%</t>
  </si>
  <si>
    <t>17.82%</t>
  </si>
  <si>
    <t>-41.56%</t>
  </si>
  <si>
    <t>-54.50%</t>
  </si>
  <si>
    <t>80.89%</t>
  </si>
  <si>
    <t>44.82%</t>
  </si>
  <si>
    <t>-87.09%</t>
  </si>
  <si>
    <t>158.21%</t>
  </si>
  <si>
    <t>-99.36%</t>
  </si>
  <si>
    <t>0.17 - 68.17</t>
  </si>
  <si>
    <t>25.16%</t>
  </si>
  <si>
    <t>-22.40%</t>
  </si>
  <si>
    <t>-96.07%</t>
  </si>
  <si>
    <t>Vista Gold Corp</t>
  </si>
  <si>
    <t>0.99%</t>
  </si>
  <si>
    <t>-14.40%</t>
  </si>
  <si>
    <t>23.32%</t>
  </si>
  <si>
    <t>8.65%</t>
  </si>
  <si>
    <t>14.99%</t>
  </si>
  <si>
    <t>52.42%</t>
  </si>
  <si>
    <t>116.89%</t>
  </si>
  <si>
    <t>-17.07%</t>
  </si>
  <si>
    <t>123.88%</t>
  </si>
  <si>
    <t>334.04%</t>
  </si>
  <si>
    <t>0.47 - 2.46</t>
  </si>
  <si>
    <t>-98.70%</t>
  </si>
  <si>
    <t>763.31%</t>
  </si>
  <si>
    <t>106.06%</t>
  </si>
  <si>
    <t>167.47%</t>
  </si>
  <si>
    <t>189.32%</t>
  </si>
  <si>
    <t>Centrus Energy Corp</t>
  </si>
  <si>
    <t>Uranium</t>
  </si>
  <si>
    <t>-2.21%</t>
  </si>
  <si>
    <t>-22.88%</t>
  </si>
  <si>
    <t>-0.46%</t>
  </si>
  <si>
    <t>12.72%</t>
  </si>
  <si>
    <t>14.00%</t>
  </si>
  <si>
    <t>16.08%</t>
  </si>
  <si>
    <t>-18.25%</t>
  </si>
  <si>
    <t>91.36%</t>
  </si>
  <si>
    <t>-0.37%</t>
  </si>
  <si>
    <t>73.37%</t>
  </si>
  <si>
    <t>32.85%</t>
  </si>
  <si>
    <t>21.01%</t>
  </si>
  <si>
    <t>23.99%</t>
  </si>
  <si>
    <t>12.89%</t>
  </si>
  <si>
    <t>8.80%</t>
  </si>
  <si>
    <t>25.47%</t>
  </si>
  <si>
    <t>131.80%</t>
  </si>
  <si>
    <t>-4.02%</t>
  </si>
  <si>
    <t>88.34%</t>
  </si>
  <si>
    <t>518.03%</t>
  </si>
  <si>
    <t>49.40 - 318.08</t>
  </si>
  <si>
    <t>-95.63%</t>
  </si>
  <si>
    <t>30430.50%</t>
  </si>
  <si>
    <t>81.03%</t>
  </si>
  <si>
    <t>341.83%</t>
  </si>
  <si>
    <t>475.61%</t>
  </si>
  <si>
    <t>Plus Therapeutics Inc</t>
  </si>
  <si>
    <t>17.69%</t>
  </si>
  <si>
    <t>47.98%</t>
  </si>
  <si>
    <t>46.51%</t>
  </si>
  <si>
    <t>62.44%</t>
  </si>
  <si>
    <t>-3.61%</t>
  </si>
  <si>
    <t>8.68%</t>
  </si>
  <si>
    <t>122.22%</t>
  </si>
  <si>
    <t>74.29%</t>
  </si>
  <si>
    <t>3.19%</t>
  </si>
  <si>
    <t>86.25%</t>
  </si>
  <si>
    <t>-240.23%</t>
  </si>
  <si>
    <t>-432.33%</t>
  </si>
  <si>
    <t>11.09%</t>
  </si>
  <si>
    <t>10.33%</t>
  </si>
  <si>
    <t>44.15%</t>
  </si>
  <si>
    <t>27.45%</t>
  </si>
  <si>
    <t>-10.54%</t>
  </si>
  <si>
    <t>-26.38%</t>
  </si>
  <si>
    <t>103.56%</t>
  </si>
  <si>
    <t>-71.31%</t>
  </si>
  <si>
    <t>305.51%</t>
  </si>
  <si>
    <t>0.16 - 2.31</t>
  </si>
  <si>
    <t>110.28%</t>
  </si>
  <si>
    <t>-56.41%</t>
  </si>
  <si>
    <t>-56.69%</t>
  </si>
  <si>
    <t>Plug Power Inc</t>
  </si>
  <si>
    <t>0.42%</t>
  </si>
  <si>
    <t>-48.18%</t>
  </si>
  <si>
    <t>-49.35%</t>
  </si>
  <si>
    <t>53.37%</t>
  </si>
  <si>
    <t>-1.70%</t>
  </si>
  <si>
    <t>22.28%</t>
  </si>
  <si>
    <t>21.36%</t>
  </si>
  <si>
    <t>-29.70%</t>
  </si>
  <si>
    <t>1.20%</t>
  </si>
  <si>
    <t>37.96%</t>
  </si>
  <si>
    <t>-68.65%</t>
  </si>
  <si>
    <t>-134.68%</t>
  </si>
  <si>
    <t>-292.84%</t>
  </si>
  <si>
    <t>17.45%</t>
  </si>
  <si>
    <t>9.16%</t>
  </si>
  <si>
    <t>29.51%</t>
  </si>
  <si>
    <t>38.65%</t>
  </si>
  <si>
    <t>48.90%</t>
  </si>
  <si>
    <t>-25.00%</t>
  </si>
  <si>
    <t>70.50%</t>
  </si>
  <si>
    <t>-28.61%</t>
  </si>
  <si>
    <t>243.48%</t>
  </si>
  <si>
    <t>0.69 - 3.32</t>
  </si>
  <si>
    <t>-99.85%</t>
  </si>
  <si>
    <t>1951.95%</t>
  </si>
  <si>
    <t>104.31%</t>
  </si>
  <si>
    <t>64.58%</t>
  </si>
  <si>
    <t>13.94%</t>
  </si>
  <si>
    <t>W &amp; T Offshore Inc</t>
  </si>
  <si>
    <t>2.28%</t>
  </si>
  <si>
    <t>2.00%</t>
  </si>
  <si>
    <t>8/18/2025</t>
  </si>
  <si>
    <t>300.00%</t>
  </si>
  <si>
    <t>-26.66%</t>
  </si>
  <si>
    <t>-11.53%</t>
  </si>
  <si>
    <t>-2.00%</t>
  </si>
  <si>
    <t>-0.36%</t>
  </si>
  <si>
    <t>-14.28%</t>
  </si>
  <si>
    <t>52.94%</t>
  </si>
  <si>
    <t>35.61%</t>
  </si>
  <si>
    <t>4.31%</t>
  </si>
  <si>
    <t>-11.55%</t>
  </si>
  <si>
    <t>-22.62%</t>
  </si>
  <si>
    <t>5.29%</t>
  </si>
  <si>
    <t>3.69%</t>
  </si>
  <si>
    <t>11.16%</t>
  </si>
  <si>
    <t>13.43%</t>
  </si>
  <si>
    <t>23.56%</t>
  </si>
  <si>
    <t>1.00%</t>
  </si>
  <si>
    <t>22.87%</t>
  </si>
  <si>
    <t>-29.05%</t>
  </si>
  <si>
    <t>84.86%</t>
  </si>
  <si>
    <t>1.09 - 2.84</t>
  </si>
  <si>
    <t>-96.03%</t>
  </si>
  <si>
    <t>88.32%</t>
  </si>
  <si>
    <t>16.47%</t>
  </si>
  <si>
    <t>-4.95%</t>
  </si>
  <si>
    <t>Perpetua Resources Corp</t>
  </si>
  <si>
    <t>Other Precious Metals &amp; Mining</t>
  </si>
  <si>
    <t>9.37%</t>
  </si>
  <si>
    <t>30.57%</t>
  </si>
  <si>
    <t>13.04%</t>
  </si>
  <si>
    <t>-24.05%</t>
  </si>
  <si>
    <t>23.81%</t>
  </si>
  <si>
    <t>77.12%</t>
  </si>
  <si>
    <t>6.44%</t>
  </si>
  <si>
    <t>5.51%</t>
  </si>
  <si>
    <t>14.21%</t>
  </si>
  <si>
    <t>18.83%</t>
  </si>
  <si>
    <t>53.55%</t>
  </si>
  <si>
    <t>41.46%</t>
  </si>
  <si>
    <t>166.07%</t>
  </si>
  <si>
    <t>7.81 - 19.84</t>
  </si>
  <si>
    <t>-56.20%</t>
  </si>
  <si>
    <t>10290.00%</t>
  </si>
  <si>
    <t>75.21%</t>
  </si>
  <si>
    <t>87.55%</t>
  </si>
  <si>
    <t>136.94%</t>
  </si>
  <si>
    <t>Sandisk Corp</t>
  </si>
  <si>
    <t>1.15%</t>
  </si>
  <si>
    <t>12.79%</t>
  </si>
  <si>
    <t>50.65%</t>
  </si>
  <si>
    <t>9.93%</t>
  </si>
  <si>
    <t>11.50%</t>
  </si>
  <si>
    <t>522.32%</t>
  </si>
  <si>
    <t>95.38%</t>
  </si>
  <si>
    <t>7.54%</t>
  </si>
  <si>
    <t>5.96%</t>
  </si>
  <si>
    <t>15.71%</t>
  </si>
  <si>
    <t>60.37%</t>
  </si>
  <si>
    <t>99.16%</t>
  </si>
  <si>
    <t>-13.47%</t>
  </si>
  <si>
    <t>137.83%</t>
  </si>
  <si>
    <t>242.01%</t>
  </si>
  <si>
    <t>27.89 - 110.21</t>
  </si>
  <si>
    <t>102.27%</t>
  </si>
  <si>
    <t>80.35%</t>
  </si>
  <si>
    <t>Larimar Therapeutics Inc</t>
  </si>
  <si>
    <t>7.20%</t>
  </si>
  <si>
    <t>23.60%</t>
  </si>
  <si>
    <t>50.78%</t>
  </si>
  <si>
    <t>-1.38%</t>
  </si>
  <si>
    <t>14.64%</t>
  </si>
  <si>
    <t>33.94%</t>
  </si>
  <si>
    <t>42.28%</t>
  </si>
  <si>
    <t>12.00%</t>
  </si>
  <si>
    <t>8.11%</t>
  </si>
  <si>
    <t>24.66%</t>
  </si>
  <si>
    <t>34.06%</t>
  </si>
  <si>
    <t>61.92%</t>
  </si>
  <si>
    <t>66.45%</t>
  </si>
  <si>
    <t>-45.16%</t>
  </si>
  <si>
    <t>223.60%</t>
  </si>
  <si>
    <t>1.61 - 9.50</t>
  </si>
  <si>
    <t>-99.22%</t>
  </si>
  <si>
    <t>240.52%</t>
  </si>
  <si>
    <t>71.95%</t>
  </si>
  <si>
    <t>117.08%</t>
  </si>
  <si>
    <t>-18.72%</t>
  </si>
  <si>
    <t>NioCorp Developments Ltd</t>
  </si>
  <si>
    <t>-7.39%</t>
  </si>
  <si>
    <t>-16.23%</t>
  </si>
  <si>
    <t>20.59%</t>
  </si>
  <si>
    <t>11.42%</t>
  </si>
  <si>
    <t>9.56%</t>
  </si>
  <si>
    <t>27.77%</t>
  </si>
  <si>
    <t>52.95%</t>
  </si>
  <si>
    <t>143.77%</t>
  </si>
  <si>
    <t>-8.39%</t>
  </si>
  <si>
    <t>156.44%</t>
  </si>
  <si>
    <t>433.07%</t>
  </si>
  <si>
    <t>1.27 - 7.39</t>
  </si>
  <si>
    <t>-58.97%</t>
  </si>
  <si>
    <t>696.47%</t>
  </si>
  <si>
    <t>172.98%</t>
  </si>
  <si>
    <t>228.64%</t>
  </si>
  <si>
    <t>289.08%</t>
  </si>
  <si>
    <t>Integral Ad Science Holding Corp</t>
  </si>
  <si>
    <t>-0.08%</t>
  </si>
  <si>
    <t>33.09%</t>
  </si>
  <si>
    <t>14.39%</t>
  </si>
  <si>
    <t>17.89%</t>
  </si>
  <si>
    <t>19.95%</t>
  </si>
  <si>
    <t>15.66%</t>
  </si>
  <si>
    <t>154.45%</t>
  </si>
  <si>
    <t>-0.17%</t>
  </si>
  <si>
    <t>44.46%</t>
  </si>
  <si>
    <t>66.30%</t>
  </si>
  <si>
    <t>13.12%</t>
  </si>
  <si>
    <t>9.79%</t>
  </si>
  <si>
    <t>1.31%</t>
  </si>
  <si>
    <t>2.55%</t>
  </si>
  <si>
    <t>14.87%</t>
  </si>
  <si>
    <t>16.72%</t>
  </si>
  <si>
    <t>14.59%</t>
  </si>
  <si>
    <t>-0.38%</t>
  </si>
  <si>
    <t>31.20%</t>
  </si>
  <si>
    <t>62.30%</t>
  </si>
  <si>
    <t>6.26 - 13.62</t>
  </si>
  <si>
    <t>-65.76%</t>
  </si>
  <si>
    <t>26.39%</t>
  </si>
  <si>
    <t>17.61%</t>
  </si>
  <si>
    <t>-8.29%</t>
  </si>
  <si>
    <t>American Battery Technology Company</t>
  </si>
  <si>
    <t>Waste Management</t>
  </si>
  <si>
    <t>-0.74%</t>
  </si>
  <si>
    <t>10.18%</t>
  </si>
  <si>
    <t>5.77%</t>
  </si>
  <si>
    <t>1148.97%</t>
  </si>
  <si>
    <t>708.11%</t>
  </si>
  <si>
    <t>-12.50%</t>
  </si>
  <si>
    <t>-4.51%</t>
  </si>
  <si>
    <t>14.56%</t>
  </si>
  <si>
    <t>-289.07%</t>
  </si>
  <si>
    <t>-1012.51%</t>
  </si>
  <si>
    <t>-1089.98%</t>
  </si>
  <si>
    <t>10.37%</t>
  </si>
  <si>
    <t>46.09%</t>
  </si>
  <si>
    <t>59.93%</t>
  </si>
  <si>
    <t>150.00%</t>
  </si>
  <si>
    <t>-15.03%</t>
  </si>
  <si>
    <t>131.61%</t>
  </si>
  <si>
    <t>490.14%</t>
  </si>
  <si>
    <t>0.73 - 5.07</t>
  </si>
  <si>
    <t>-94.14%</t>
  </si>
  <si>
    <t>1078.01%</t>
  </si>
  <si>
    <t>195.07%</t>
  </si>
  <si>
    <t>265.08%</t>
  </si>
  <si>
    <t>395.12%</t>
  </si>
  <si>
    <t>D-Wave Quantum Inc</t>
  </si>
  <si>
    <t>2.26%</t>
  </si>
  <si>
    <t>-31.83%</t>
  </si>
  <si>
    <t>15.19%</t>
  </si>
  <si>
    <t>120.20%</t>
  </si>
  <si>
    <t>12.02%</t>
  </si>
  <si>
    <t>41.78%</t>
  </si>
  <si>
    <t>-56.86%</t>
  </si>
  <si>
    <t>82.46%</t>
  </si>
  <si>
    <t>-353.14%</t>
  </si>
  <si>
    <t>-1263.92%</t>
  </si>
  <si>
    <t>12.64%</t>
  </si>
  <si>
    <t>33.26%</t>
  </si>
  <si>
    <t>46.31%</t>
  </si>
  <si>
    <t>128.07%</t>
  </si>
  <si>
    <t>-7.69%</t>
  </si>
  <si>
    <t>89.68%</t>
  </si>
  <si>
    <t>2987.46%</t>
  </si>
  <si>
    <t>0.87 - 29.18</t>
  </si>
  <si>
    <t>6698.33%</t>
  </si>
  <si>
    <t>92.12%</t>
  </si>
  <si>
    <t>234.18%</t>
  </si>
  <si>
    <t>2765.43%</t>
  </si>
  <si>
    <t>PepGen Inc</t>
  </si>
  <si>
    <t>-17.35%</t>
  </si>
  <si>
    <t>-32.73%</t>
  </si>
  <si>
    <t>-116.35%</t>
  </si>
  <si>
    <t>14.96%</t>
  </si>
  <si>
    <t>17.28%</t>
  </si>
  <si>
    <t>74.78%</t>
  </si>
  <si>
    <t>24.57%</t>
  </si>
  <si>
    <t>15.14%</t>
  </si>
  <si>
    <t>141.61%</t>
  </si>
  <si>
    <t>207.40%</t>
  </si>
  <si>
    <t>159.26%</t>
  </si>
  <si>
    <t>-23.34%</t>
  </si>
  <si>
    <t>381.19%</t>
  </si>
  <si>
    <t>-51.08%</t>
  </si>
  <si>
    <t>452.21%</t>
  </si>
  <si>
    <t>0.88 - 9.94</t>
  </si>
  <si>
    <t>-75.70%</t>
  </si>
  <si>
    <t>322.61%</t>
  </si>
  <si>
    <t>201.86%</t>
  </si>
  <si>
    <t>-43.09%</t>
  </si>
  <si>
    <t>CytomX Therapeutics Inc</t>
  </si>
  <si>
    <t>18.01%</t>
  </si>
  <si>
    <t>54.69%</t>
  </si>
  <si>
    <t>19.16%</t>
  </si>
  <si>
    <t>-25.71%</t>
  </si>
  <si>
    <t>100.00%</t>
  </si>
  <si>
    <t>-0.19%</t>
  </si>
  <si>
    <t>65.38%</t>
  </si>
  <si>
    <t>98.88%</t>
  </si>
  <si>
    <t>30.56%</t>
  </si>
  <si>
    <t>11.04%</t>
  </si>
  <si>
    <t>7.24%</t>
  </si>
  <si>
    <t>32.92%</t>
  </si>
  <si>
    <t>32.44%</t>
  </si>
  <si>
    <t>90.36%</t>
  </si>
  <si>
    <t>0.49%</t>
  </si>
  <si>
    <t>67.09%</t>
  </si>
  <si>
    <t>-7.14%</t>
  </si>
  <si>
    <t>618.50%</t>
  </si>
  <si>
    <t>0.40 - 3.10</t>
  </si>
  <si>
    <t>-91.79%</t>
  </si>
  <si>
    <t>27.73%</t>
  </si>
  <si>
    <t>366.10%</t>
  </si>
  <si>
    <t>141.51%</t>
  </si>
  <si>
    <t>Applied Therapeutics Inc</t>
  </si>
  <si>
    <t>20.03%</t>
  </si>
  <si>
    <t>43.17%</t>
  </si>
  <si>
    <t>26.57%</t>
  </si>
  <si>
    <t>28.40%</t>
  </si>
  <si>
    <t>61.13%</t>
  </si>
  <si>
    <t>-225.41%</t>
  </si>
  <si>
    <t>-91301.64%</t>
  </si>
  <si>
    <t>-55523.77%</t>
  </si>
  <si>
    <t>11.59%</t>
  </si>
  <si>
    <t>8.12%</t>
  </si>
  <si>
    <t>42.83%</t>
  </si>
  <si>
    <t>41.83%</t>
  </si>
  <si>
    <t>29.29%</t>
  </si>
  <si>
    <t>15.93%</t>
  </si>
  <si>
    <t>67.64%</t>
  </si>
  <si>
    <t>-93.67%</t>
  </si>
  <si>
    <t>127.93%</t>
  </si>
  <si>
    <t>0.29 - 10.62</t>
  </si>
  <si>
    <t>-98.83%</t>
  </si>
  <si>
    <t>107.66%</t>
  </si>
  <si>
    <t>23.83%</t>
  </si>
  <si>
    <t>-91.70%</t>
  </si>
  <si>
    <t>Energy Fuels Inc</t>
  </si>
  <si>
    <t>-2.35%</t>
  </si>
  <si>
    <t>6.89%</t>
  </si>
  <si>
    <t>42.73%</t>
  </si>
  <si>
    <t>190.57%</t>
  </si>
  <si>
    <t>67.84%</t>
  </si>
  <si>
    <t>-51.69%</t>
  </si>
  <si>
    <t>-16.44%</t>
  </si>
  <si>
    <t>59.01%</t>
  </si>
  <si>
    <t>-131.84%</t>
  </si>
  <si>
    <t>-143.05%</t>
  </si>
  <si>
    <t>8.53%</t>
  </si>
  <si>
    <t>23.61%</t>
  </si>
  <si>
    <t>48.67%</t>
  </si>
  <si>
    <t>154.74%</t>
  </si>
  <si>
    <t>-9.36%</t>
  </si>
  <si>
    <t>107.06%</t>
  </si>
  <si>
    <t>426.72%</t>
  </si>
  <si>
    <t>3.20 - 18.60</t>
  </si>
  <si>
    <t>-99.16%</t>
  </si>
  <si>
    <t>2060.90%</t>
  </si>
  <si>
    <t>203.69%</t>
  </si>
  <si>
    <t>319.28%</t>
  </si>
  <si>
    <t>208.70%</t>
  </si>
  <si>
    <t>Fluence Energy Inc</t>
  </si>
  <si>
    <t>-0.55%</t>
  </si>
  <si>
    <t>25.57%</t>
  </si>
  <si>
    <t>14.26%</t>
  </si>
  <si>
    <t>58.26%</t>
  </si>
  <si>
    <t>96.48%</t>
  </si>
  <si>
    <t>24.67%</t>
  </si>
  <si>
    <t>199.01%</t>
  </si>
  <si>
    <t>63.54%</t>
  </si>
  <si>
    <t>-0.98%</t>
  </si>
  <si>
    <t>14.98%</t>
  </si>
  <si>
    <t>41.34%</t>
  </si>
  <si>
    <t>40.72%</t>
  </si>
  <si>
    <t>41.87%</t>
  </si>
  <si>
    <t>-3.60%</t>
  </si>
  <si>
    <t>-51.40%</t>
  </si>
  <si>
    <t>237.14%</t>
  </si>
  <si>
    <t>3.46 - 24.00</t>
  </si>
  <si>
    <t>-70.39%</t>
  </si>
  <si>
    <t>89.98%</t>
  </si>
  <si>
    <t>131.91%</t>
  </si>
  <si>
    <t>-47.83%</t>
  </si>
  <si>
    <t>Ovid Therapeutics Inc</t>
  </si>
  <si>
    <t>8.51%</t>
  </si>
  <si>
    <t>24.72%</t>
  </si>
  <si>
    <t>1071.91%</t>
  </si>
  <si>
    <t>-86.05%</t>
  </si>
  <si>
    <t>3611.24%</t>
  </si>
  <si>
    <t>62.00%</t>
  </si>
  <si>
    <t>34.63%</t>
  </si>
  <si>
    <t>91.66%</t>
  </si>
  <si>
    <t>-625.03%</t>
  </si>
  <si>
    <t>-574.02%</t>
  </si>
  <si>
    <t>20.00%</t>
  </si>
  <si>
    <t>59.76%</t>
  </si>
  <si>
    <t>145.70%</t>
  </si>
  <si>
    <t>4.79%</t>
  </si>
  <si>
    <t>273.17%</t>
  </si>
  <si>
    <t>4.08%</t>
  </si>
  <si>
    <t>530.93%</t>
  </si>
  <si>
    <t>0.24 - 1.47</t>
  </si>
  <si>
    <t>-90.39%</t>
  </si>
  <si>
    <t>406.62%</t>
  </si>
  <si>
    <t>303.80%</t>
  </si>
  <si>
    <t>34.21%</t>
  </si>
  <si>
    <t>International Business Machines Corp</t>
  </si>
  <si>
    <t>DJIA, S&amp;P 500</t>
  </si>
  <si>
    <t>1.60%</t>
  </si>
  <si>
    <t>2.34%</t>
  </si>
  <si>
    <t>8/8/2025</t>
  </si>
  <si>
    <t>0.60%</t>
  </si>
  <si>
    <t>0.74%</t>
  </si>
  <si>
    <t>0.41%</t>
  </si>
  <si>
    <t>-9.46%</t>
  </si>
  <si>
    <t>7.15%</t>
  </si>
  <si>
    <t>2.69%</t>
  </si>
  <si>
    <t>3.05%</t>
  </si>
  <si>
    <t>-4.05%</t>
  </si>
  <si>
    <t>7.65%</t>
  </si>
  <si>
    <t>5.70%</t>
  </si>
  <si>
    <t>63.97%</t>
  </si>
  <si>
    <t>56.94%</t>
  </si>
  <si>
    <t>9.11%</t>
  </si>
  <si>
    <t>2.53%</t>
  </si>
  <si>
    <t>13.35%</t>
  </si>
  <si>
    <t>22.54%</t>
  </si>
  <si>
    <t>-3.45%</t>
  </si>
  <si>
    <t>40.51%</t>
  </si>
  <si>
    <t>203.51 - 296.16</t>
  </si>
  <si>
    <t>2847.72%</t>
  </si>
  <si>
    <t>-1.29%</t>
  </si>
  <si>
    <t>16.14%</t>
  </si>
  <si>
    <t>29.41%</t>
  </si>
  <si>
    <t>SES AI Corporation</t>
  </si>
  <si>
    <t>-1.35%</t>
  </si>
  <si>
    <t>15.26%</t>
  </si>
  <si>
    <t>-646.96%</t>
  </si>
  <si>
    <t>-219.50%</t>
  </si>
  <si>
    <t>17.66%</t>
  </si>
  <si>
    <t>-965.05%</t>
  </si>
  <si>
    <t>-878.64%</t>
  </si>
  <si>
    <t>12.96%</t>
  </si>
  <si>
    <t>32.37%</t>
  </si>
  <si>
    <t>47.17%</t>
  </si>
  <si>
    <t>87.98%</t>
  </si>
  <si>
    <t>-15.90%</t>
  </si>
  <si>
    <t>85.47%</t>
  </si>
  <si>
    <t>-27.87%</t>
  </si>
  <si>
    <t>812.50%</t>
  </si>
  <si>
    <t>0.20 - 2.53</t>
  </si>
  <si>
    <t>-84.09%</t>
  </si>
  <si>
    <t>105.66%</t>
  </si>
  <si>
    <t>240.55%</t>
  </si>
  <si>
    <t>176.60%</t>
  </si>
  <si>
    <t>SkyWater Technology Inc</t>
  </si>
  <si>
    <t>Semiconductors</t>
  </si>
  <si>
    <t>9.74%</t>
  </si>
  <si>
    <t>51.84%</t>
  </si>
  <si>
    <t>19.37%</t>
  </si>
  <si>
    <t>-10.53%</t>
  </si>
  <si>
    <t>28.09%</t>
  </si>
  <si>
    <t>20.14%</t>
  </si>
  <si>
    <t>-36.72%</t>
  </si>
  <si>
    <t>39.56%</t>
  </si>
  <si>
    <t>-18.12%</t>
  </si>
  <si>
    <t>35.25%</t>
  </si>
  <si>
    <t>22.39%</t>
  </si>
  <si>
    <t>-1.02%</t>
  </si>
  <si>
    <t>-5.69%</t>
  </si>
  <si>
    <t>8.82%</t>
  </si>
  <si>
    <t>36.51%</t>
  </si>
  <si>
    <t>46.24%</t>
  </si>
  <si>
    <t>69.95%</t>
  </si>
  <si>
    <t>6.02%</t>
  </si>
  <si>
    <t>99.06%</t>
  </si>
  <si>
    <t>-11.05%</t>
  </si>
  <si>
    <t>198.06%</t>
  </si>
  <si>
    <t>5.67 - 19.00</t>
  </si>
  <si>
    <t>-54.08%</t>
  </si>
  <si>
    <t>281.49%</t>
  </si>
  <si>
    <t>70.88%</t>
  </si>
  <si>
    <t>124.73%</t>
  </si>
  <si>
    <t>88.41%</t>
  </si>
  <si>
    <t>Energy Vault Holdings Inc</t>
  </si>
  <si>
    <t>1.10%</t>
  </si>
  <si>
    <t>28.25%</t>
  </si>
  <si>
    <t>-82.87%</t>
  </si>
  <si>
    <t>125.78%</t>
  </si>
  <si>
    <t>-52.93%</t>
  </si>
  <si>
    <t>-0.13%</t>
  </si>
  <si>
    <t>18.04%</t>
  </si>
  <si>
    <t>17.79%</t>
  </si>
  <si>
    <t>-245.39%</t>
  </si>
  <si>
    <t>-279.38%</t>
  </si>
  <si>
    <t>15.55%</t>
  </si>
  <si>
    <t>32.43%</t>
  </si>
  <si>
    <t>80.60%</t>
  </si>
  <si>
    <t>137.35%</t>
  </si>
  <si>
    <t>-9.15%</t>
  </si>
  <si>
    <t>307.45%</t>
  </si>
  <si>
    <t>441.20%</t>
  </si>
  <si>
    <t>0.60 - 3.55</t>
  </si>
  <si>
    <t>-85.41%</t>
  </si>
  <si>
    <t>393.50%</t>
  </si>
  <si>
    <t>335.11%</t>
  </si>
  <si>
    <t>216.18%</t>
  </si>
  <si>
    <t>Crinetics Pharmaceuticals Inc</t>
  </si>
  <si>
    <t>25.22%</t>
  </si>
  <si>
    <t>-9.67%</t>
  </si>
  <si>
    <t>-12.11%</t>
  </si>
  <si>
    <t>-2.11%</t>
  </si>
  <si>
    <t>-1.22%</t>
  </si>
  <si>
    <t>-13.73%</t>
  </si>
  <si>
    <t>-1.92%</t>
  </si>
  <si>
    <t>107.61%</t>
  </si>
  <si>
    <t>-147.27%</t>
  </si>
  <si>
    <t>-30392.17%</t>
  </si>
  <si>
    <t>-26568.53%</t>
  </si>
  <si>
    <t>5.54%</t>
  </si>
  <si>
    <t>4.61%</t>
  </si>
  <si>
    <t>28.36%</t>
  </si>
  <si>
    <t>41.49%</t>
  </si>
  <si>
    <t>28.72%</t>
  </si>
  <si>
    <t>20.71%</t>
  </si>
  <si>
    <t>73.98%</t>
  </si>
  <si>
    <t>-28.13%</t>
  </si>
  <si>
    <t>86.47%</t>
  </si>
  <si>
    <t>24.10 - 62.53</t>
  </si>
  <si>
    <t>322.77%</t>
  </si>
  <si>
    <t>50.00%</t>
  </si>
  <si>
    <t>28.77%</t>
  </si>
  <si>
    <t>-9.80%</t>
  </si>
  <si>
    <t>Westwater Resources Inc</t>
  </si>
  <si>
    <t>6.03%</t>
  </si>
  <si>
    <t>24.10%</t>
  </si>
  <si>
    <t>47.43%</t>
  </si>
  <si>
    <t>8.26%</t>
  </si>
  <si>
    <t>37.77%</t>
  </si>
  <si>
    <t>58.35%</t>
  </si>
  <si>
    <t>-6.06%</t>
  </si>
  <si>
    <t>77.57%</t>
  </si>
  <si>
    <t>-18.82%</t>
  </si>
  <si>
    <t>137.98%</t>
  </si>
  <si>
    <t>0.45 - 1.32</t>
  </si>
  <si>
    <t>328.36%</t>
  </si>
  <si>
    <t>78.28%</t>
  </si>
  <si>
    <t>92.57%</t>
  </si>
  <si>
    <t>93.48%</t>
  </si>
  <si>
    <t>Intel Corp</t>
  </si>
  <si>
    <t>3.07%</t>
  </si>
  <si>
    <t>8/7/2024</t>
  </si>
  <si>
    <t>-3.72%</t>
  </si>
  <si>
    <t>-12.41%</t>
  </si>
  <si>
    <t>-926.45%</t>
  </si>
  <si>
    <t>62.61%</t>
  </si>
  <si>
    <t>29.76%</t>
  </si>
  <si>
    <t>-38.64%</t>
  </si>
  <si>
    <t>30.37%</t>
  </si>
  <si>
    <t>45.15%</t>
  </si>
  <si>
    <t>59.17%</t>
  </si>
  <si>
    <t>84.74%</t>
  </si>
  <si>
    <t>17.67 - 34.25</t>
  </si>
  <si>
    <t>-53.79%</t>
  </si>
  <si>
    <t>10170.06%</t>
  </si>
  <si>
    <t>54.41%</t>
  </si>
  <si>
    <t>48.33%</t>
  </si>
  <si>
    <t>53.59%</t>
  </si>
  <si>
    <t>CIENA Corp</t>
  </si>
  <si>
    <t>Communication Equipment</t>
  </si>
  <si>
    <t>-43.51%</t>
  </si>
  <si>
    <t>-18.58%</t>
  </si>
  <si>
    <t>43.77%</t>
  </si>
  <si>
    <t>12.97%</t>
  </si>
  <si>
    <t>3.51%</t>
  </si>
  <si>
    <t>8.48%</t>
  </si>
  <si>
    <t>26.44%</t>
  </si>
  <si>
    <t>-5.43%</t>
  </si>
  <si>
    <t>100.62%</t>
  </si>
  <si>
    <t>38.76%</t>
  </si>
  <si>
    <t>3.10%</t>
  </si>
  <si>
    <t>2.56%</t>
  </si>
  <si>
    <t>3.79%</t>
  </si>
  <si>
    <t>11.10%</t>
  </si>
  <si>
    <t>33.75%</t>
  </si>
  <si>
    <t>67.80%</t>
  </si>
  <si>
    <t>-0.54%</t>
  </si>
  <si>
    <t>69.06%</t>
  </si>
  <si>
    <t>185.84%</t>
  </si>
  <si>
    <t>49.21 - 141.43</t>
  </si>
  <si>
    <t>-86.69%</t>
  </si>
  <si>
    <t>2724.50%</t>
  </si>
  <si>
    <t>71.29%</t>
  </si>
  <si>
    <t>123.77%</t>
  </si>
  <si>
    <t>132.38%</t>
  </si>
  <si>
    <t>Dragonfly Energy Holdings Corp</t>
  </si>
  <si>
    <t>36.21%</t>
  </si>
  <si>
    <t>44.69%</t>
  </si>
  <si>
    <t>4.80%</t>
  </si>
  <si>
    <t>-13.41%</t>
  </si>
  <si>
    <t>1.78%</t>
  </si>
  <si>
    <t>23.02%</t>
  </si>
  <si>
    <t>38.95%</t>
  </si>
  <si>
    <t>6.94%</t>
  </si>
  <si>
    <t>25.56%</t>
  </si>
  <si>
    <t>-34.83%</t>
  </si>
  <si>
    <t>-55.84%</t>
  </si>
  <si>
    <t>12.77%</t>
  </si>
  <si>
    <t>9.04%</t>
  </si>
  <si>
    <t>69.64%</t>
  </si>
  <si>
    <t>70.21%</t>
  </si>
  <si>
    <t>-53.33%</t>
  </si>
  <si>
    <t>-23.13%</t>
  </si>
  <si>
    <t>225.95%</t>
  </si>
  <si>
    <t>-91.08%</t>
  </si>
  <si>
    <t>243.33%</t>
  </si>
  <si>
    <t>0.15 - 5.78</t>
  </si>
  <si>
    <t>-99.80%</t>
  </si>
  <si>
    <t>221.07%</t>
  </si>
  <si>
    <t>-51.87%</t>
  </si>
  <si>
    <t>-88.32%</t>
  </si>
  <si>
    <t>Datavault AI Inc</t>
  </si>
  <si>
    <t>55.73%</t>
  </si>
  <si>
    <t>89.93%</t>
  </si>
  <si>
    <t>84.68%</t>
  </si>
  <si>
    <t>148.07%</t>
  </si>
  <si>
    <t>-25.78%</t>
  </si>
  <si>
    <t>402.90%</t>
  </si>
  <si>
    <t>-285.71%</t>
  </si>
  <si>
    <t>4.11%</t>
  </si>
  <si>
    <t>-91.42%</t>
  </si>
  <si>
    <t>-754.06%</t>
  </si>
  <si>
    <t>-1545.85%</t>
  </si>
  <si>
    <t>42.79%</t>
  </si>
  <si>
    <t>22.14%</t>
  </si>
  <si>
    <t>184.97%</t>
  </si>
  <si>
    <t>166.04%</t>
  </si>
  <si>
    <t>41.41%</t>
  </si>
  <si>
    <t>21.50%</t>
  </si>
  <si>
    <t>417.52%</t>
  </si>
  <si>
    <t>0.25 - 2.67</t>
  </si>
  <si>
    <t>85.00%</t>
  </si>
  <si>
    <t>45.25%</t>
  </si>
  <si>
    <t>-33.67%</t>
  </si>
  <si>
    <t>Nusatrip Inc</t>
  </si>
  <si>
    <t>Travel Services</t>
  </si>
  <si>
    <t>-0.15%</t>
  </si>
  <si>
    <t>16.25%</t>
  </si>
  <si>
    <t>8.85%</t>
  </si>
  <si>
    <t>25.66%</t>
  </si>
  <si>
    <t>34.83%</t>
  </si>
  <si>
    <t>-0.29%</t>
  </si>
  <si>
    <t>102.35%</t>
  </si>
  <si>
    <t>3.40 - 6.90</t>
  </si>
  <si>
    <t>Rigetti Computing Inc</t>
  </si>
  <si>
    <t>-1.23%</t>
  </si>
  <si>
    <t>19.66%</t>
  </si>
  <si>
    <t>-37.20%</t>
  </si>
  <si>
    <t>9.60%</t>
  </si>
  <si>
    <t>-41.64%</t>
  </si>
  <si>
    <t>-4.28%</t>
  </si>
  <si>
    <t>-23.32%</t>
  </si>
  <si>
    <t>38.20%</t>
  </si>
  <si>
    <t>-39.99%</t>
  </si>
  <si>
    <t>-976.08%</t>
  </si>
  <si>
    <t>-2079.86%</t>
  </si>
  <si>
    <t>15.18%</t>
  </si>
  <si>
    <t>10.02%</t>
  </si>
  <si>
    <t>47.34%</t>
  </si>
  <si>
    <t>76.11%</t>
  </si>
  <si>
    <t>148.86%</t>
  </si>
  <si>
    <t>-7.83%</t>
  </si>
  <si>
    <t>132.95%</t>
  </si>
  <si>
    <t>4273.10%</t>
  </si>
  <si>
    <t>0.73 - 34.40</t>
  </si>
  <si>
    <t>8704.50%</t>
  </si>
  <si>
    <t>186.40%</t>
  </si>
  <si>
    <t>274.32%</t>
  </si>
  <si>
    <t>4071.71%</t>
  </si>
  <si>
    <t>New Era Energy &amp; Digital Inc</t>
  </si>
  <si>
    <t>75.28%</t>
  </si>
  <si>
    <t>-355.85%</t>
  </si>
  <si>
    <t>-914.89%</t>
  </si>
  <si>
    <t>4.86%</t>
  </si>
  <si>
    <t>-16.07%</t>
  </si>
  <si>
    <t>-1947.64%</t>
  </si>
  <si>
    <t>-2610.03%</t>
  </si>
  <si>
    <t>32.23%</t>
  </si>
  <si>
    <t>19.92%</t>
  </si>
  <si>
    <t>281.38%</t>
  </si>
  <si>
    <t>363.10%</t>
  </si>
  <si>
    <t>67.98%</t>
  </si>
  <si>
    <t>654.02%</t>
  </si>
  <si>
    <t>-80.32%</t>
  </si>
  <si>
    <t>0.32 - 12.29</t>
  </si>
  <si>
    <t>370.60%</t>
  </si>
  <si>
    <t>72.78%</t>
  </si>
  <si>
    <t>-78.07%</t>
  </si>
  <si>
    <t>Beta Bionics Inc</t>
  </si>
  <si>
    <t>Medical Devices</t>
  </si>
  <si>
    <t>-10.89%</t>
  </si>
  <si>
    <t>8.56%</t>
  </si>
  <si>
    <t>40.20%</t>
  </si>
  <si>
    <t>97.91%</t>
  </si>
  <si>
    <t>1807.41%</t>
  </si>
  <si>
    <t>54.45%</t>
  </si>
  <si>
    <t>15.01%</t>
  </si>
  <si>
    <t>-0.65%</t>
  </si>
  <si>
    <t>91.76%</t>
  </si>
  <si>
    <t>56.22%</t>
  </si>
  <si>
    <t>-80.14%</t>
  </si>
  <si>
    <t>-94.04%</t>
  </si>
  <si>
    <t>5.71%</t>
  </si>
  <si>
    <t>6.34%</t>
  </si>
  <si>
    <t>6.47%</t>
  </si>
  <si>
    <t>19.22%</t>
  </si>
  <si>
    <t>-26.03%</t>
  </si>
  <si>
    <t>57.76%</t>
  </si>
  <si>
    <t>121.82%</t>
  </si>
  <si>
    <t>8.89 - 26.66</t>
  </si>
  <si>
    <t>55.64%</t>
  </si>
  <si>
    <t>['50 SMA above 200 SMA (Golden cross)', 'Performance 1Y (1Y up)', 'Performance 3M (3M up)', 'Performance 6M (6M up)', 'Price Above 50 SMA (Price &gt; 50 SMA)', 'Relative Volume (&gt; 1.5)', 'RSI (14) High (RSI &gt; 60)']</t>
  </si>
  <si>
    <t>Predictive Oncology Inc</t>
  </si>
  <si>
    <t>Health Information Services</t>
  </si>
  <si>
    <t>-4.75%</t>
  </si>
  <si>
    <t>32.15%</t>
  </si>
  <si>
    <t>56.10%</t>
  </si>
  <si>
    <t>-38.79%</t>
  </si>
  <si>
    <t>2.84%</t>
  </si>
  <si>
    <t>-99.04%</t>
  </si>
  <si>
    <t>1.67%</t>
  </si>
  <si>
    <t>-876.84%</t>
  </si>
  <si>
    <t>-929.68%</t>
  </si>
  <si>
    <t>10.09%</t>
  </si>
  <si>
    <t>-7.85%</t>
  </si>
  <si>
    <t>1.95%</t>
  </si>
  <si>
    <t>-14.32%</t>
  </si>
  <si>
    <t>-29.23%</t>
  </si>
  <si>
    <t>27.49%</t>
  </si>
  <si>
    <t>-70.42%</t>
  </si>
  <si>
    <t>0.55 - 3.06</t>
  </si>
  <si>
    <t>9.07%</t>
  </si>
  <si>
    <t>-40.84%</t>
  </si>
  <si>
    <t>13.75%</t>
  </si>
  <si>
    <t>Cohu, Inc</t>
  </si>
  <si>
    <t>Semiconductor Equipment &amp; Materials</t>
  </si>
  <si>
    <t>2/24/2020</t>
  </si>
  <si>
    <t>-21.27%</t>
  </si>
  <si>
    <t>-23.21%</t>
  </si>
  <si>
    <t>-7.19%</t>
  </si>
  <si>
    <t>242.86%</t>
  </si>
  <si>
    <t>-0.56%</t>
  </si>
  <si>
    <t>94.24%</t>
  </si>
  <si>
    <t>-19.27%</t>
  </si>
  <si>
    <t>-22.11%</t>
  </si>
  <si>
    <t>4.88%</t>
  </si>
  <si>
    <t>3.78%</t>
  </si>
  <si>
    <t>-3.76%</t>
  </si>
  <si>
    <t>-14.44%</t>
  </si>
  <si>
    <t>13.52%</t>
  </si>
  <si>
    <t>-31.34%</t>
  </si>
  <si>
    <t>60.70%</t>
  </si>
  <si>
    <t>12.57 - 29.42</t>
  </si>
  <si>
    <t>-67.29%</t>
  </si>
  <si>
    <t>3132.00%</t>
  </si>
  <si>
    <t>23.47%</t>
  </si>
  <si>
    <t>-16.60%</t>
  </si>
  <si>
    <t>dMY Squared Technology Group Inc</t>
  </si>
  <si>
    <t>Shell Companies</t>
  </si>
  <si>
    <t>17.18%</t>
  </si>
  <si>
    <t>16.85%</t>
  </si>
  <si>
    <t>5.44%</t>
  </si>
  <si>
    <t>6.56%</t>
  </si>
  <si>
    <t>0.89%</t>
  </si>
  <si>
    <t>-15.95%</t>
  </si>
  <si>
    <t>9.97%</t>
  </si>
  <si>
    <t>-16.15%</t>
  </si>
  <si>
    <t>25.19%</t>
  </si>
  <si>
    <t>10.40 - 15.53</t>
  </si>
  <si>
    <t>31.12%</t>
  </si>
  <si>
    <t>-0.99%</t>
  </si>
  <si>
    <t>15.84%</t>
  </si>
  <si>
    <t>22.48%</t>
  </si>
  <si>
    <t>NextNRG Inc</t>
  </si>
  <si>
    <t>-3.33%</t>
  </si>
  <si>
    <t>14.22%</t>
  </si>
  <si>
    <t>-52.84%</t>
  </si>
  <si>
    <t>69.52%</t>
  </si>
  <si>
    <t>92.43%</t>
  </si>
  <si>
    <t>56.58%</t>
  </si>
  <si>
    <t>86.79%</t>
  </si>
  <si>
    <t>166.16%</t>
  </si>
  <si>
    <t>1.03%</t>
  </si>
  <si>
    <t>1.51%</t>
  </si>
  <si>
    <t>2.86%</t>
  </si>
  <si>
    <t>-82.35%</t>
  </si>
  <si>
    <t>-112.90%</t>
  </si>
  <si>
    <t>-3.31%</t>
  </si>
  <si>
    <t>6.88%</t>
  </si>
  <si>
    <t>-35.89%</t>
  </si>
  <si>
    <t>-27.20%</t>
  </si>
  <si>
    <t>86.90%</t>
  </si>
  <si>
    <t>-59.95%</t>
  </si>
  <si>
    <t>0.93 - 4.34</t>
  </si>
  <si>
    <t>-98.42%</t>
  </si>
  <si>
    <t>-37.18%</t>
  </si>
  <si>
    <t>-42.95%</t>
  </si>
  <si>
    <t>-47.27%</t>
  </si>
  <si>
    <t>Innovative Eyewear Inc</t>
  </si>
  <si>
    <t>Medical Instruments &amp; Supplies</t>
  </si>
  <si>
    <t>-3.89%</t>
  </si>
  <si>
    <t>16.39%</t>
  </si>
  <si>
    <t>-25.35%</t>
  </si>
  <si>
    <t>29.30%</t>
  </si>
  <si>
    <t>33.31%</t>
  </si>
  <si>
    <t>131.48%</t>
  </si>
  <si>
    <t>87.65%</t>
  </si>
  <si>
    <t>14.29%</t>
  </si>
  <si>
    <t>4.12%</t>
  </si>
  <si>
    <t>18.25%</t>
  </si>
  <si>
    <t>-404.93%</t>
  </si>
  <si>
    <t>-390.88%</t>
  </si>
  <si>
    <t>6.12%</t>
  </si>
  <si>
    <t>1.65%</t>
  </si>
  <si>
    <t>-1.31%</t>
  </si>
  <si>
    <t>-38.93%</t>
  </si>
  <si>
    <t>-14.34%</t>
  </si>
  <si>
    <t>-81.09%</t>
  </si>
  <si>
    <t>1.57 - 10.42</t>
  </si>
  <si>
    <t>-98.59%</t>
  </si>
  <si>
    <t>-31.35%</t>
  </si>
  <si>
    <t>-80.36%</t>
  </si>
  <si>
    <t>Stifel Financial Corp</t>
  </si>
  <si>
    <t>1.34%</t>
  </si>
  <si>
    <t>1.62%</t>
  </si>
  <si>
    <t>9/2/2025</t>
  </si>
  <si>
    <t>40.95%</t>
  </si>
  <si>
    <t>26.86%</t>
  </si>
  <si>
    <t>-2.07%</t>
  </si>
  <si>
    <t>42.35%</t>
  </si>
  <si>
    <t>8.76%</t>
  </si>
  <si>
    <t>7.49%</t>
  </si>
  <si>
    <t>44.71%</t>
  </si>
  <si>
    <t>1.74%</t>
  </si>
  <si>
    <t>5.93%</t>
  </si>
  <si>
    <t>-0.70%</t>
  </si>
  <si>
    <t>88.45%</t>
  </si>
  <si>
    <t>83.93%</t>
  </si>
  <si>
    <t>9.51%</t>
  </si>
  <si>
    <t>1.79%</t>
  </si>
  <si>
    <t>1.94%</t>
  </si>
  <si>
    <t>-0.45%</t>
  </si>
  <si>
    <t>-3.47%</t>
  </si>
  <si>
    <t>5.69%</t>
  </si>
  <si>
    <t>-5.99%</t>
  </si>
  <si>
    <t>54.79%</t>
  </si>
  <si>
    <t>73.27 - 120.64</t>
  </si>
  <si>
    <t>21339.97%</t>
  </si>
  <si>
    <t>9.39%</t>
  </si>
  <si>
    <t>16.84%</t>
  </si>
  <si>
    <t>CO2 Energy Transition Corp</t>
  </si>
  <si>
    <t>-0.20%</t>
  </si>
  <si>
    <t>69.71%</t>
  </si>
  <si>
    <t>0.02%</t>
  </si>
  <si>
    <t>0.57%</t>
  </si>
  <si>
    <t>1.68%</t>
  </si>
  <si>
    <t>-3.24%</t>
  </si>
  <si>
    <t>1.86%</t>
  </si>
  <si>
    <t>-5.84%</t>
  </si>
  <si>
    <t>9.78 - 10.78</t>
  </si>
  <si>
    <t>Gulf Island Fabrication, Inc</t>
  </si>
  <si>
    <t>Metal Fabrication</t>
  </si>
  <si>
    <t>11/9/2017</t>
  </si>
  <si>
    <t>19.43%</t>
  </si>
  <si>
    <t>-12.10%</t>
  </si>
  <si>
    <t>-9.03%</t>
  </si>
  <si>
    <t>-173.26%</t>
  </si>
  <si>
    <t>64.25%</t>
  </si>
  <si>
    <t>14.49%</t>
  </si>
  <si>
    <t>5.95%</t>
  </si>
  <si>
    <t>6.45%</t>
  </si>
  <si>
    <t>3.60%</t>
  </si>
  <si>
    <t>3.55%</t>
  </si>
  <si>
    <t>4.68%</t>
  </si>
  <si>
    <t>-8.74%</t>
  </si>
  <si>
    <t>9.23%</t>
  </si>
  <si>
    <t>38.67%</t>
  </si>
  <si>
    <t>5.12 - 7.78</t>
  </si>
  <si>
    <t>-86.50%</t>
  </si>
  <si>
    <t>165.92%</t>
  </si>
  <si>
    <t>30.28%</t>
  </si>
  <si>
    <t>Epsium Enterprise Ltd</t>
  </si>
  <si>
    <t>Consumer Defensive</t>
  </si>
  <si>
    <t>Beverages - Wineries &amp; Distilleries</t>
  </si>
  <si>
    <t>-33.71%</t>
  </si>
  <si>
    <t>-24.67%</t>
  </si>
  <si>
    <t>-11.73%</t>
  </si>
  <si>
    <t>-10.78%</t>
  </si>
  <si>
    <t>8.78%</t>
  </si>
  <si>
    <t>45.71%</t>
  </si>
  <si>
    <t>-6.75%</t>
  </si>
  <si>
    <t>35.04%</t>
  </si>
  <si>
    <t>95.30%</t>
  </si>
  <si>
    <t>-76.43%</t>
  </si>
  <si>
    <t>201.90%</t>
  </si>
  <si>
    <t>763.59%</t>
  </si>
  <si>
    <t>4.23 - 155.00</t>
  </si>
  <si>
    <t>138.14%</t>
  </si>
  <si>
    <t>579.00%</t>
  </si>
  <si>
    <t>Big 5 Sporting Goods Corp</t>
  </si>
  <si>
    <t>Specialty Retail</t>
  </si>
  <si>
    <t>-0.35%</t>
  </si>
  <si>
    <t>5/31/2024</t>
  </si>
  <si>
    <t>-8.04%</t>
  </si>
  <si>
    <t>-11.86%</t>
  </si>
  <si>
    <t>-4.41%</t>
  </si>
  <si>
    <t>-7.47%</t>
  </si>
  <si>
    <t>14.84%</t>
  </si>
  <si>
    <t>29.09%</t>
  </si>
  <si>
    <t>-9.08%</t>
  </si>
  <si>
    <t>-12.14%</t>
  </si>
  <si>
    <t>2.62%</t>
  </si>
  <si>
    <t>1.69%</t>
  </si>
  <si>
    <t>0.12%</t>
  </si>
  <si>
    <t>-1.05%</t>
  </si>
  <si>
    <t>-42.24%</t>
  </si>
  <si>
    <t>76.87%</t>
  </si>
  <si>
    <t>0.80 - 2.45</t>
  </si>
  <si>
    <t>-96.94%</t>
  </si>
  <si>
    <t>132.46%</t>
  </si>
  <si>
    <t>40.10%</t>
  </si>
  <si>
    <t>-31.97%</t>
  </si>
  <si>
    <t>Twin Hospitality Group Inc</t>
  </si>
  <si>
    <t>Restaurants</t>
  </si>
  <si>
    <t>-94.20%</t>
  </si>
  <si>
    <t>46.05%</t>
  </si>
  <si>
    <t>-4.09%</t>
  </si>
  <si>
    <t>15.03%</t>
  </si>
  <si>
    <t>0.33%</t>
  </si>
  <si>
    <t>12.75%</t>
  </si>
  <si>
    <t>-17.71%</t>
  </si>
  <si>
    <t>5.24%</t>
  </si>
  <si>
    <t>-0.23%</t>
  </si>
  <si>
    <t>-31.62%</t>
  </si>
  <si>
    <t>-25.26%</t>
  </si>
  <si>
    <t>34.69%</t>
  </si>
  <si>
    <t>-81.67%</t>
  </si>
  <si>
    <t>171.33%</t>
  </si>
  <si>
    <t>1.50 - 22.20</t>
  </si>
  <si>
    <t>-9.56%</t>
  </si>
  <si>
    <t>-42.11%</t>
  </si>
  <si>
    <t>Virnetx Holding Corp</t>
  </si>
  <si>
    <t>-4.13%</t>
  </si>
  <si>
    <t>4/18/2023</t>
  </si>
  <si>
    <t>25.17%</t>
  </si>
  <si>
    <t>2.01%</t>
  </si>
  <si>
    <t>733.33%</t>
  </si>
  <si>
    <t>-47.72%</t>
  </si>
  <si>
    <t>-43.26%</t>
  </si>
  <si>
    <t>4700.00%</t>
  </si>
  <si>
    <t>10.39%</t>
  </si>
  <si>
    <t>58.00%</t>
  </si>
  <si>
    <t>-38094.00%</t>
  </si>
  <si>
    <t>-34708.00%</t>
  </si>
  <si>
    <t>5.14%</t>
  </si>
  <si>
    <t>3.27%</t>
  </si>
  <si>
    <t>59.31%</t>
  </si>
  <si>
    <t>-22.29%</t>
  </si>
  <si>
    <t>354.62%</t>
  </si>
  <si>
    <t>3.68 - 21.53</t>
  </si>
  <si>
    <t>6761.80%</t>
  </si>
  <si>
    <t>71.59%</t>
  </si>
  <si>
    <t>108.34%</t>
  </si>
  <si>
    <t>133.33%</t>
  </si>
  <si>
    <t>Moving iMage Technologies Inc</t>
  </si>
  <si>
    <t>-29.27%</t>
  </si>
  <si>
    <t>-108.78%</t>
  </si>
  <si>
    <t>-4.85%</t>
  </si>
  <si>
    <t>40.59%</t>
  </si>
  <si>
    <t>-0.66%</t>
  </si>
  <si>
    <t>-8.20%</t>
  </si>
  <si>
    <t>2.49%</t>
  </si>
  <si>
    <t>25.40%</t>
  </si>
  <si>
    <t>-7.31%</t>
  </si>
  <si>
    <t>-6.49%</t>
  </si>
  <si>
    <t>12.87%</t>
  </si>
  <si>
    <t>13.66%</t>
  </si>
  <si>
    <t>1.84%</t>
  </si>
  <si>
    <t>26.29%</t>
  </si>
  <si>
    <t>58.48%</t>
  </si>
  <si>
    <t>-33.13%</t>
  </si>
  <si>
    <t>78.97%</t>
  </si>
  <si>
    <t>0.50 - 1.66</t>
  </si>
  <si>
    <t>-95.94%</t>
  </si>
  <si>
    <t>164.22%</t>
  </si>
  <si>
    <t>74.42%</t>
  </si>
  <si>
    <t>101.82%</t>
  </si>
  <si>
    <t>94.77%</t>
  </si>
  <si>
    <t>Alexander's Inc</t>
  </si>
  <si>
    <t>7.59%</t>
  </si>
  <si>
    <t>212.65%</t>
  </si>
  <si>
    <t>-30.75%</t>
  </si>
  <si>
    <t>-6.33%</t>
  </si>
  <si>
    <t>-6.45%</t>
  </si>
  <si>
    <t>3.17%</t>
  </si>
  <si>
    <t>-3.38%</t>
  </si>
  <si>
    <t>31.87%</t>
  </si>
  <si>
    <t>33.59%</t>
  </si>
  <si>
    <t>17.14%</t>
  </si>
  <si>
    <t>2.73%</t>
  </si>
  <si>
    <t>0.53%</t>
  </si>
  <si>
    <t>9.30%</t>
  </si>
  <si>
    <t>-9.14%</t>
  </si>
  <si>
    <t>12.33%</t>
  </si>
  <si>
    <t>28.28%</t>
  </si>
  <si>
    <t>184.76 - 260.84</t>
  </si>
  <si>
    <t>-51.26%</t>
  </si>
  <si>
    <t>3833.96%</t>
  </si>
  <si>
    <t>5.50%</t>
  </si>
  <si>
    <t>11.58%</t>
  </si>
  <si>
    <t>-1.71%</t>
  </si>
  <si>
    <t>Daily Journal Corporation</t>
  </si>
  <si>
    <t>-0.91%</t>
  </si>
  <si>
    <t>-11.47%</t>
  </si>
  <si>
    <t>10.54%</t>
  </si>
  <si>
    <t>11.89%</t>
  </si>
  <si>
    <t>7.52%</t>
  </si>
  <si>
    <t>33.79%</t>
  </si>
  <si>
    <t>69.31%</t>
  </si>
  <si>
    <t>19.67%</t>
  </si>
  <si>
    <t>122.18%</t>
  </si>
  <si>
    <t>2.97%</t>
  </si>
  <si>
    <t>3.88%</t>
  </si>
  <si>
    <t>4.93%</t>
  </si>
  <si>
    <t>6.30%</t>
  </si>
  <si>
    <t>19.83%</t>
  </si>
  <si>
    <t>-23.56%</t>
  </si>
  <si>
    <t>28.06%</t>
  </si>
  <si>
    <t>359.34 - 602.00</t>
  </si>
  <si>
    <t>6474.00%</t>
  </si>
  <si>
    <t>12.27%</t>
  </si>
  <si>
    <t>-7.78%</t>
  </si>
  <si>
    <t>Rapid Micro Biosystems Inc</t>
  </si>
  <si>
    <t>17.00%</t>
  </si>
  <si>
    <t>-9.90%</t>
  </si>
  <si>
    <t>22.57%</t>
  </si>
  <si>
    <t>6.48%</t>
  </si>
  <si>
    <t>11.18%</t>
  </si>
  <si>
    <t>9.73%</t>
  </si>
  <si>
    <t>-6.59%</t>
  </si>
  <si>
    <t>-0.26%</t>
  </si>
  <si>
    <t>9.69%</t>
  </si>
  <si>
    <t>-152.12%</t>
  </si>
  <si>
    <t>-145.63%</t>
  </si>
  <si>
    <t>7.64%</t>
  </si>
  <si>
    <t>8.07%</t>
  </si>
  <si>
    <t>5.87%</t>
  </si>
  <si>
    <t>17.40%</t>
  </si>
  <si>
    <t>35.37%</t>
  </si>
  <si>
    <t>273.49%</t>
  </si>
  <si>
    <t>0.83 - 4.50</t>
  </si>
  <si>
    <t>-88.54%</t>
  </si>
  <si>
    <t>434.48%</t>
  </si>
  <si>
    <t>15.24%</t>
  </si>
  <si>
    <t>267.95%</t>
  </si>
  <si>
    <t>Bank of Marin Bancorp</t>
  </si>
  <si>
    <t>0.55%</t>
  </si>
  <si>
    <t>4.06%</t>
  </si>
  <si>
    <t>8/7/2025</t>
  </si>
  <si>
    <t>2.08%</t>
  </si>
  <si>
    <t>23.26%</t>
  </si>
  <si>
    <t>0.40%</t>
  </si>
  <si>
    <t>1.83%</t>
  </si>
  <si>
    <t>351.54%</t>
  </si>
  <si>
    <t>-0.47%</t>
  </si>
  <si>
    <t>61.57%</t>
  </si>
  <si>
    <t>8.67%</t>
  </si>
  <si>
    <t>5.04%</t>
  </si>
  <si>
    <t>2.15%</t>
  </si>
  <si>
    <t>-4.66%</t>
  </si>
  <si>
    <t>13.16%</t>
  </si>
  <si>
    <t>-9.13%</t>
  </si>
  <si>
    <t>28.91%</t>
  </si>
  <si>
    <t>19.11 - 27.11</t>
  </si>
  <si>
    <t>-48.43%</t>
  </si>
  <si>
    <t>1397.97%</t>
  </si>
  <si>
    <t>9.68%</t>
  </si>
  <si>
    <t>23.18%</t>
  </si>
  <si>
    <t>Nephros Inc</t>
  </si>
  <si>
    <t>21.16%</t>
  </si>
  <si>
    <t>35.89%</t>
  </si>
  <si>
    <t>180.00%</t>
  </si>
  <si>
    <t>45.77%</t>
  </si>
  <si>
    <t>62.52%</t>
  </si>
  <si>
    <t>8.01%</t>
  </si>
  <si>
    <t>7.95%</t>
  </si>
  <si>
    <t>7.07%</t>
  </si>
  <si>
    <t>1.59%</t>
  </si>
  <si>
    <t>7.70%</t>
  </si>
  <si>
    <t>61.19%</t>
  </si>
  <si>
    <t>-14.55%</t>
  </si>
  <si>
    <t>46.37%</t>
  </si>
  <si>
    <t>-15.40%</t>
  </si>
  <si>
    <t>210.05%</t>
  </si>
  <si>
    <t>1.36 - 5.00</t>
  </si>
  <si>
    <t>-99.63%</t>
  </si>
  <si>
    <t>370.00%</t>
  </si>
  <si>
    <t>9.59%</t>
  </si>
  <si>
    <t>164.37%</t>
  </si>
  <si>
    <t>137.64%</t>
  </si>
  <si>
    <t>Artiva Biotherapeutics Inc</t>
  </si>
  <si>
    <t>12.99%</t>
  </si>
  <si>
    <t>-64.01%</t>
  </si>
  <si>
    <t>23.72%</t>
  </si>
  <si>
    <t>-49.95%</t>
  </si>
  <si>
    <t>-7.91%</t>
  </si>
  <si>
    <t>-0.21%</t>
  </si>
  <si>
    <t>53.66%</t>
  </si>
  <si>
    <t>15.34%</t>
  </si>
  <si>
    <t>12.22%</t>
  </si>
  <si>
    <t>4.42%</t>
  </si>
  <si>
    <t>3.06%</t>
  </si>
  <si>
    <t>-25.81%</t>
  </si>
  <si>
    <t>-20.77%</t>
  </si>
  <si>
    <t>32.41%</t>
  </si>
  <si>
    <t>-83.02%</t>
  </si>
  <si>
    <t>99.96%</t>
  </si>
  <si>
    <t>1.47 - 17.31</t>
  </si>
  <si>
    <t>-16.97%</t>
  </si>
  <si>
    <t>-77.07%</t>
  </si>
  <si>
    <t>Franklin Covey Co</t>
  </si>
  <si>
    <t>Education &amp; Training Services</t>
  </si>
  <si>
    <t>4.14%</t>
  </si>
  <si>
    <t>21.72%</t>
  </si>
  <si>
    <t>-0.40%</t>
  </si>
  <si>
    <t>8.61%</t>
  </si>
  <si>
    <t>-8.52%</t>
  </si>
  <si>
    <t>-193.33%</t>
  </si>
  <si>
    <t>76.27%</t>
  </si>
  <si>
    <t>74.05%</t>
  </si>
  <si>
    <t>8.18%</t>
  </si>
  <si>
    <t>3.81%</t>
  </si>
  <si>
    <t>3.66%</t>
  </si>
  <si>
    <t>3.52%</t>
  </si>
  <si>
    <t>2.71%</t>
  </si>
  <si>
    <t>-23.12%</t>
  </si>
  <si>
    <t>-4.81%</t>
  </si>
  <si>
    <t>9.71%</t>
  </si>
  <si>
    <t>-54.96%</t>
  </si>
  <si>
    <t>18.13 - 44.16</t>
  </si>
  <si>
    <t>-63.64%</t>
  </si>
  <si>
    <t>2960.00%</t>
  </si>
  <si>
    <t>-14.93%</t>
  </si>
  <si>
    <t>-29.22%</t>
  </si>
  <si>
    <t>-52.06%</t>
  </si>
  <si>
    <t>RCM Technologies, Inc</t>
  </si>
  <si>
    <t>Conglomerates</t>
  </si>
  <si>
    <t>1.30%</t>
  </si>
  <si>
    <t>12/18/2015</t>
  </si>
  <si>
    <t>21.09%</t>
  </si>
  <si>
    <t>39.94%</t>
  </si>
  <si>
    <t>11.01%</t>
  </si>
  <si>
    <t>10.94%</t>
  </si>
  <si>
    <t>7.81%</t>
  </si>
  <si>
    <t>13.02%</t>
  </si>
  <si>
    <t>11.29%</t>
  </si>
  <si>
    <t>-1.21%</t>
  </si>
  <si>
    <t>38.00%</t>
  </si>
  <si>
    <t>27.34%</t>
  </si>
  <si>
    <t>7.57%</t>
  </si>
  <si>
    <t>3.35%</t>
  </si>
  <si>
    <t>4.69%</t>
  </si>
  <si>
    <t>24.38%</t>
  </si>
  <si>
    <t>28.13%</t>
  </si>
  <si>
    <t>103.91%</t>
  </si>
  <si>
    <t>13.18 - 28.27</t>
  </si>
  <si>
    <t>-16.41%</t>
  </si>
  <si>
    <t>12362.39%</t>
  </si>
  <si>
    <t>16.29%</t>
  </si>
  <si>
    <t>71.62%</t>
  </si>
  <si>
    <t>31.61%</t>
  </si>
  <si>
    <t>Assertio Holdings Inc</t>
  </si>
  <si>
    <t>-96.84%</t>
  </si>
  <si>
    <t>55.01%</t>
  </si>
  <si>
    <t>-11.42%</t>
  </si>
  <si>
    <t>-11.45%</t>
  </si>
  <si>
    <t>-6.12%</t>
  </si>
  <si>
    <t>-88.89%</t>
  </si>
  <si>
    <t>40.58%</t>
  </si>
  <si>
    <t>-27.78%</t>
  </si>
  <si>
    <t>5.21%</t>
  </si>
  <si>
    <t>3.02%</t>
  </si>
  <si>
    <t>18.00%</t>
  </si>
  <si>
    <t>-12.53%</t>
  </si>
  <si>
    <t>33.85%</t>
  </si>
  <si>
    <t>-29.21%</t>
  </si>
  <si>
    <t>71.97%</t>
  </si>
  <si>
    <t>0.51 - 1.25</t>
  </si>
  <si>
    <t>-99.35%</t>
  </si>
  <si>
    <t>36.14%</t>
  </si>
  <si>
    <t>-24.50%</t>
  </si>
  <si>
    <t>Preformed Line Products Co</t>
  </si>
  <si>
    <t>1.41%</t>
  </si>
  <si>
    <t>10.36%</t>
  </si>
  <si>
    <t>22.26%</t>
  </si>
  <si>
    <t>60.94%</t>
  </si>
  <si>
    <t>32.50%</t>
  </si>
  <si>
    <t>9.17%</t>
  </si>
  <si>
    <t>0.17%</t>
  </si>
  <si>
    <t>31.72%</t>
  </si>
  <si>
    <t>-5.77%</t>
  </si>
  <si>
    <t>41.64%</t>
  </si>
  <si>
    <t>65.52%</t>
  </si>
  <si>
    <t>118.99 - 208.99</t>
  </si>
  <si>
    <t>1869.40%</t>
  </si>
  <si>
    <t>23.86%</t>
  </si>
  <si>
    <t>35.09%</t>
  </si>
  <si>
    <t>60.86%</t>
  </si>
  <si>
    <t>Riverview Bancorp, Inc</t>
  </si>
  <si>
    <t>0.58%</t>
  </si>
  <si>
    <t>1.54%</t>
  </si>
  <si>
    <t>7/10/2025</t>
  </si>
  <si>
    <t>-27.51%</t>
  </si>
  <si>
    <t>-15.89%</t>
  </si>
  <si>
    <t>34.36%</t>
  </si>
  <si>
    <t>-38.11%</t>
  </si>
  <si>
    <t>-19.62%</t>
  </si>
  <si>
    <t>10.30%</t>
  </si>
  <si>
    <t>5.38%</t>
  </si>
  <si>
    <t>5.83%</t>
  </si>
  <si>
    <t>2.43%</t>
  </si>
  <si>
    <t>73.68%</t>
  </si>
  <si>
    <t>8.84%</t>
  </si>
  <si>
    <t>6.95%</t>
  </si>
  <si>
    <t>-5.65%</t>
  </si>
  <si>
    <t>-7.97%</t>
  </si>
  <si>
    <t>-21.40%</t>
  </si>
  <si>
    <t>16.40%</t>
  </si>
  <si>
    <t>4.45 - 6.59</t>
  </si>
  <si>
    <t>-70.82%</t>
  </si>
  <si>
    <t>384.11%</t>
  </si>
  <si>
    <t>-5.82%</t>
  </si>
  <si>
    <t>-6.50%</t>
  </si>
  <si>
    <t>11.64%</t>
  </si>
  <si>
    <t>Chicago Atlantic BDC Inc</t>
  </si>
  <si>
    <t>Asset Management</t>
  </si>
  <si>
    <t>9/29/2025</t>
  </si>
  <si>
    <t>127.08%</t>
  </si>
  <si>
    <t>117.17%</t>
  </si>
  <si>
    <t>17.53%</t>
  </si>
  <si>
    <t>4529.77%</t>
  </si>
  <si>
    <t>324.49%</t>
  </si>
  <si>
    <t>-5.56%</t>
  </si>
  <si>
    <t>9.58%</t>
  </si>
  <si>
    <t>79.76%</t>
  </si>
  <si>
    <t>60.01%</t>
  </si>
  <si>
    <t>58.91%</t>
  </si>
  <si>
    <t>1.89%</t>
  </si>
  <si>
    <t>1.04%</t>
  </si>
  <si>
    <t>-16.82%</t>
  </si>
  <si>
    <t>14.74%</t>
  </si>
  <si>
    <t>9.70 - 13.38</t>
  </si>
  <si>
    <t>-21.13%</t>
  </si>
  <si>
    <t>61.51%</t>
  </si>
  <si>
    <t>-7.25%</t>
  </si>
  <si>
    <t>-2.63%</t>
  </si>
  <si>
    <t>Bank of the James Financial Group Inc</t>
  </si>
  <si>
    <t>2.58%</t>
  </si>
  <si>
    <t>9/12/2025</t>
  </si>
  <si>
    <t>25.00%</t>
  </si>
  <si>
    <t>12.70%</t>
  </si>
  <si>
    <t>22.88%</t>
  </si>
  <si>
    <t>3.04%</t>
  </si>
  <si>
    <t>9.06%</t>
  </si>
  <si>
    <t>14.06%</t>
  </si>
  <si>
    <t>10.29%</t>
  </si>
  <si>
    <t>14.69%</t>
  </si>
  <si>
    <t>11.71%</t>
  </si>
  <si>
    <t>0.97%</t>
  </si>
  <si>
    <t>16.89%</t>
  </si>
  <si>
    <t>-9.09%</t>
  </si>
  <si>
    <t>11.56 - 17.05</t>
  </si>
  <si>
    <t>754.82%</t>
  </si>
  <si>
    <t>9.70%</t>
  </si>
  <si>
    <t>19.69%</t>
  </si>
  <si>
    <t>Bleichroeder Acquisition Corp. I</t>
  </si>
  <si>
    <t>-0.10%</t>
  </si>
  <si>
    <t>74.08%</t>
  </si>
  <si>
    <t>2.32%</t>
  </si>
  <si>
    <t>0.30%</t>
  </si>
  <si>
    <t>0.36%</t>
  </si>
  <si>
    <t>2.63%</t>
  </si>
  <si>
    <t>1.07%</t>
  </si>
  <si>
    <t>9.80 - 11.34</t>
  </si>
  <si>
    <t>0.29%</t>
  </si>
  <si>
    <t>4.10%</t>
  </si>
  <si>
    <t>Build A Bear Workshop Inc</t>
  </si>
  <si>
    <t>-1.76%</t>
  </si>
  <si>
    <t>1.24%</t>
  </si>
  <si>
    <t>9/25/2025</t>
  </si>
  <si>
    <t>21.04%</t>
  </si>
  <si>
    <t>9.05%</t>
  </si>
  <si>
    <t>192.69%</t>
  </si>
  <si>
    <t>8.10%</t>
  </si>
  <si>
    <t>11.14%</t>
  </si>
  <si>
    <t>43.40%</t>
  </si>
  <si>
    <t>96.67%</t>
  </si>
  <si>
    <t>56.32%</t>
  </si>
  <si>
    <t>14.33%</t>
  </si>
  <si>
    <t>11.34%</t>
  </si>
  <si>
    <t>3.38%</t>
  </si>
  <si>
    <t>17.95%</t>
  </si>
  <si>
    <t>52.23%</t>
  </si>
  <si>
    <t>-6.22%</t>
  </si>
  <si>
    <t>45.95%</t>
  </si>
  <si>
    <t>131.56%</t>
  </si>
  <si>
    <t>30.72 - 75.85</t>
  </si>
  <si>
    <t>7871.81%</t>
  </si>
  <si>
    <t>31.42%</t>
  </si>
  <si>
    <t>120.23%</t>
  </si>
  <si>
    <t>T Stamp Inc</t>
  </si>
  <si>
    <t>-2.83%</t>
  </si>
  <si>
    <t>-71.74%</t>
  </si>
  <si>
    <t>-152.55%</t>
  </si>
  <si>
    <t>-28.60%</t>
  </si>
  <si>
    <t>-5.72%</t>
  </si>
  <si>
    <t>7.89%</t>
  </si>
  <si>
    <t>62.41%</t>
  </si>
  <si>
    <t>-91.67%</t>
  </si>
  <si>
    <t>42.86%</t>
  </si>
  <si>
    <t>-229.87%</t>
  </si>
  <si>
    <t>-330.83%</t>
  </si>
  <si>
    <t>33.41%</t>
  </si>
  <si>
    <t>13.38%</t>
  </si>
  <si>
    <t>-32.12%</t>
  </si>
  <si>
    <t>25.69%</t>
  </si>
  <si>
    <t>-82.59%</t>
  </si>
  <si>
    <t>128.32%</t>
  </si>
  <si>
    <t>1.43 - 18.75</t>
  </si>
  <si>
    <t>-99.56%</t>
  </si>
  <si>
    <t>22.98%</t>
  </si>
  <si>
    <t>61.63%</t>
  </si>
  <si>
    <t>-0.88%</t>
  </si>
  <si>
    <t>Heidmar Maritime Holdings Corp</t>
  </si>
  <si>
    <t>Marine Shipping</t>
  </si>
  <si>
    <t>7.10%</t>
  </si>
  <si>
    <t>7.69%</t>
  </si>
  <si>
    <t>14.89%</t>
  </si>
  <si>
    <t>3.50%</t>
  </si>
  <si>
    <t>-9.23%</t>
  </si>
  <si>
    <t>35.73%</t>
  </si>
  <si>
    <t>-85.26%</t>
  </si>
  <si>
    <t>1.09 - 10.04</t>
  </si>
  <si>
    <t>-12.46%</t>
  </si>
  <si>
    <t>-58.21%</t>
  </si>
  <si>
    <t>HomeTrust Bancshares Inc</t>
  </si>
  <si>
    <t>8/14/2025</t>
  </si>
  <si>
    <t>13.23%</t>
  </si>
  <si>
    <t>20.11%</t>
  </si>
  <si>
    <t>14.08%</t>
  </si>
  <si>
    <t>12.66%</t>
  </si>
  <si>
    <t>19.59%</t>
  </si>
  <si>
    <t>24.01%</t>
  </si>
  <si>
    <t>12.19%</t>
  </si>
  <si>
    <t>44.68%</t>
  </si>
  <si>
    <t>-0.12%</t>
  </si>
  <si>
    <t>60.34%</t>
  </si>
  <si>
    <t>25.18%</t>
  </si>
  <si>
    <t>1.57%</t>
  </si>
  <si>
    <t>4.19%</t>
  </si>
  <si>
    <t>14.58%</t>
  </si>
  <si>
    <t>-2.12%</t>
  </si>
  <si>
    <t>12.73%</t>
  </si>
  <si>
    <t>35.86%</t>
  </si>
  <si>
    <t>30.95 - 42.96</t>
  </si>
  <si>
    <t>274.11%</t>
  </si>
  <si>
    <t>20.28%</t>
  </si>
  <si>
    <t>21.88%</t>
  </si>
  <si>
    <t>GlobalFoundries Inc</t>
  </si>
  <si>
    <t>NDX</t>
  </si>
  <si>
    <t>5.01%</t>
  </si>
  <si>
    <t>17.64%</t>
  </si>
  <si>
    <t>0.83%</t>
  </si>
  <si>
    <t>3.03%</t>
  </si>
  <si>
    <t>3.43%</t>
  </si>
  <si>
    <t>16.31%</t>
  </si>
  <si>
    <t>18.16%</t>
  </si>
  <si>
    <t>23.76%</t>
  </si>
  <si>
    <t>11.22%</t>
  </si>
  <si>
    <t>-1.68%</t>
  </si>
  <si>
    <t>2.60%</t>
  </si>
  <si>
    <t>2.75%</t>
  </si>
  <si>
    <t>5.06%</t>
  </si>
  <si>
    <t>-0.06%</t>
  </si>
  <si>
    <t>-9.01%</t>
  </si>
  <si>
    <t>-17.28%</t>
  </si>
  <si>
    <t>9.44%</t>
  </si>
  <si>
    <t>-27.69%</t>
  </si>
  <si>
    <t>29.77 - 47.69</t>
  </si>
  <si>
    <t>-56.62%</t>
  </si>
  <si>
    <t>-10.24%</t>
  </si>
  <si>
    <t>-9.30%</t>
  </si>
  <si>
    <t>-11.66%</t>
  </si>
  <si>
    <t>['Average Volume (Over 1M)', 'Performance 1Y (1Y up)', 'Performance 3M (3M up)', 'Performance 6M (6M up)', 'Price Above 50 SMA (Price &gt; 50 SMA)', 'Relative Volume (&gt; 1.5)', 'RSI (14) High (RSI &gt; 60)']</t>
  </si>
  <si>
    <t>Newbury Street II Acquisition Corp</t>
  </si>
  <si>
    <t>0.10%</t>
  </si>
  <si>
    <t>75.19%</t>
  </si>
  <si>
    <t>0.94%</t>
  </si>
  <si>
    <t>-0.24%</t>
  </si>
  <si>
    <t>9.88 - 10.38</t>
  </si>
  <si>
    <t>Ballys Corporation</t>
  </si>
  <si>
    <t>Resorts &amp; Casinos</t>
  </si>
  <si>
    <t>3.68%</t>
  </si>
  <si>
    <t>3/5/2020</t>
  </si>
  <si>
    <t>-71.79%</t>
  </si>
  <si>
    <t>42.16%</t>
  </si>
  <si>
    <t>-1.10%</t>
  </si>
  <si>
    <t>22.83%</t>
  </si>
  <si>
    <t>36.16%</t>
  </si>
  <si>
    <t>-872.62%</t>
  </si>
  <si>
    <t>6.50%</t>
  </si>
  <si>
    <t>43.27%</t>
  </si>
  <si>
    <t>4.75%</t>
  </si>
  <si>
    <t>-23.55%</t>
  </si>
  <si>
    <t>6.17%</t>
  </si>
  <si>
    <t>6.20%</t>
  </si>
  <si>
    <t>-17.49%</t>
  </si>
  <si>
    <t>23.27%</t>
  </si>
  <si>
    <t>-53.30%</t>
  </si>
  <si>
    <t>28.15%</t>
  </si>
  <si>
    <t>8.45 - 23.20</t>
  </si>
  <si>
    <t>8.35%</t>
  </si>
  <si>
    <t>Prelude Therapeutics Inc</t>
  </si>
  <si>
    <t>0.80%</t>
  </si>
  <si>
    <t>10.58%</t>
  </si>
  <si>
    <t>-21.61%</t>
  </si>
  <si>
    <t>16.45%</t>
  </si>
  <si>
    <t>2.47%</t>
  </si>
  <si>
    <t>28.82%</t>
  </si>
  <si>
    <t>74.83%</t>
  </si>
  <si>
    <t>-1928.67%</t>
  </si>
  <si>
    <t>-1775.97%</t>
  </si>
  <si>
    <t>10.24%</t>
  </si>
  <si>
    <t>10.52%</t>
  </si>
  <si>
    <t>7.56%</t>
  </si>
  <si>
    <t>30.91%</t>
  </si>
  <si>
    <t>63.96%</t>
  </si>
  <si>
    <t>-45.35%</t>
  </si>
  <si>
    <t>101.56%</t>
  </si>
  <si>
    <t>0.61 - 2.25</t>
  </si>
  <si>
    <t>-98.71%</t>
  </si>
  <si>
    <t>56.59%</t>
  </si>
  <si>
    <t>80.36%</t>
  </si>
  <si>
    <t>-44.10%</t>
  </si>
  <si>
    <t>Nacco Industries Inc</t>
  </si>
  <si>
    <t>Thermal Coal</t>
  </si>
  <si>
    <t>2.21%</t>
  </si>
  <si>
    <t>4.65%</t>
  </si>
  <si>
    <t>4.44%</t>
  </si>
  <si>
    <t>4.28%</t>
  </si>
  <si>
    <t>19.77%</t>
  </si>
  <si>
    <t>-12.05%</t>
  </si>
  <si>
    <t>-4.25%</t>
  </si>
  <si>
    <t>27.25%</t>
  </si>
  <si>
    <t>7.41%</t>
  </si>
  <si>
    <t>30.36%</t>
  </si>
  <si>
    <t>28.37%</t>
  </si>
  <si>
    <t>11.85%</t>
  </si>
  <si>
    <t>11.79%</t>
  </si>
  <si>
    <t>4.01%</t>
  </si>
  <si>
    <t>3.53%</t>
  </si>
  <si>
    <t>6.74%</t>
  </si>
  <si>
    <t>10.78%</t>
  </si>
  <si>
    <t>22.37%</t>
  </si>
  <si>
    <t>-1.34%</t>
  </si>
  <si>
    <t>-4.42%</t>
  </si>
  <si>
    <t>66.31%</t>
  </si>
  <si>
    <t>26.15 - 45.50</t>
  </si>
  <si>
    <t>-34.50%</t>
  </si>
  <si>
    <t>5025.54%</t>
  </si>
  <si>
    <t>25.44%</t>
  </si>
  <si>
    <t>63.68%</t>
  </si>
  <si>
    <t>Vine Hill Capital Investment Corp</t>
  </si>
  <si>
    <t>77.82%</t>
  </si>
  <si>
    <t>-8.97%</t>
  </si>
  <si>
    <t>9.96 - 11.70</t>
  </si>
  <si>
    <t>3.90%</t>
  </si>
  <si>
    <t>6.18%</t>
  </si>
  <si>
    <t>Jet.AI Inc</t>
  </si>
  <si>
    <t>4.17%</t>
  </si>
  <si>
    <t>4.48%</t>
  </si>
  <si>
    <t>-27.82%</t>
  </si>
  <si>
    <t>-43.75%</t>
  </si>
  <si>
    <t>-5.07%</t>
  </si>
  <si>
    <t>-92.63%</t>
  </si>
  <si>
    <t>-97.17%</t>
  </si>
  <si>
    <t>8.22%</t>
  </si>
  <si>
    <t>9.01%</t>
  </si>
  <si>
    <t>-9.83%</t>
  </si>
  <si>
    <t>20.43%</t>
  </si>
  <si>
    <t>-93.66%</t>
  </si>
  <si>
    <t>57.61%</t>
  </si>
  <si>
    <t>2.30 - 57.17</t>
  </si>
  <si>
    <t>-99.91%</t>
  </si>
  <si>
    <t>-1.49%</t>
  </si>
  <si>
    <t>-85.11%</t>
  </si>
  <si>
    <t>West Bancorporation</t>
  </si>
  <si>
    <t>8/6/2025</t>
  </si>
  <si>
    <t>70.25%</t>
  </si>
  <si>
    <t>8.20%</t>
  </si>
  <si>
    <t>19.27%</t>
  </si>
  <si>
    <t>13.22%</t>
  </si>
  <si>
    <t>0.92%</t>
  </si>
  <si>
    <t>46.00%</t>
  </si>
  <si>
    <t>17.09%</t>
  </si>
  <si>
    <t>14.40%</t>
  </si>
  <si>
    <t>2.23%</t>
  </si>
  <si>
    <t>7.06%</t>
  </si>
  <si>
    <t>-3.83%</t>
  </si>
  <si>
    <t>20.51%</t>
  </si>
  <si>
    <t>-16.06%</t>
  </si>
  <si>
    <t>17.31 - 24.85</t>
  </si>
  <si>
    <t>-39.54%</t>
  </si>
  <si>
    <t>390.79%</t>
  </si>
  <si>
    <t>2.20%</t>
  </si>
  <si>
    <t>9.85%</t>
  </si>
  <si>
    <t>CRA International Inc</t>
  </si>
  <si>
    <t>Consulting Services</t>
  </si>
  <si>
    <t>0.19%</t>
  </si>
  <si>
    <t>0.95%</t>
  </si>
  <si>
    <t>8/26/2025</t>
  </si>
  <si>
    <t>16.09%</t>
  </si>
  <si>
    <t>7.34%</t>
  </si>
  <si>
    <t>21.60%</t>
  </si>
  <si>
    <t>9.28%</t>
  </si>
  <si>
    <t>9.00%</t>
  </si>
  <si>
    <t>-9.97%</t>
  </si>
  <si>
    <t>93.44%</t>
  </si>
  <si>
    <t>30.17%</t>
  </si>
  <si>
    <t>11.91%</t>
  </si>
  <si>
    <t>2.89%</t>
  </si>
  <si>
    <t>-3.68%</t>
  </si>
  <si>
    <t>35.51%</t>
  </si>
  <si>
    <t>152.57 - 214.66</t>
  </si>
  <si>
    <t>2751.72%</t>
  </si>
  <si>
    <t>24.71%</t>
  </si>
  <si>
    <t>Metagenomi Inc</t>
  </si>
  <si>
    <t>-0.87%</t>
  </si>
  <si>
    <t>-53.91%</t>
  </si>
  <si>
    <t>-13.99%</t>
  </si>
  <si>
    <t>-39.62%</t>
  </si>
  <si>
    <t>499.26%</t>
  </si>
  <si>
    <t>-57.45%</t>
  </si>
  <si>
    <t>12.76%</t>
  </si>
  <si>
    <t>-0.18%</t>
  </si>
  <si>
    <t>19.88%</t>
  </si>
  <si>
    <t>83.66%</t>
  </si>
  <si>
    <t>-271.89%</t>
  </si>
  <si>
    <t>-257.99%</t>
  </si>
  <si>
    <t>11.99%</t>
  </si>
  <si>
    <t>16.15%</t>
  </si>
  <si>
    <t>12.32%</t>
  </si>
  <si>
    <t>-20.00%</t>
  </si>
  <si>
    <t>31.79%</t>
  </si>
  <si>
    <t>-53.66%</t>
  </si>
  <si>
    <t>85.37%</t>
  </si>
  <si>
    <t>1.23 - 4.92</t>
  </si>
  <si>
    <t>-82.10%</t>
  </si>
  <si>
    <t>56.16%</t>
  </si>
  <si>
    <t>48.05%</t>
  </si>
  <si>
    <t>7.55%</t>
  </si>
  <si>
    <t>Complete Solaria Inc</t>
  </si>
  <si>
    <t>Solar</t>
  </si>
  <si>
    <t>-859.31%</t>
  </si>
  <si>
    <t>308.47%</t>
  </si>
  <si>
    <t>1403.21%</t>
  </si>
  <si>
    <t>19.68%</t>
  </si>
  <si>
    <t>43.20%</t>
  </si>
  <si>
    <t>-21.74%</t>
  </si>
  <si>
    <t>-18.51%</t>
  </si>
  <si>
    <t>5.79%</t>
  </si>
  <si>
    <t>11.25%</t>
  </si>
  <si>
    <t>-5.79%</t>
  </si>
  <si>
    <t>27.86%</t>
  </si>
  <si>
    <t>-45.76%</t>
  </si>
  <si>
    <t>50.42%</t>
  </si>
  <si>
    <t>1.19 - 3.30</t>
  </si>
  <si>
    <t>-88.81%</t>
  </si>
  <si>
    <t>795.00%</t>
  </si>
  <si>
    <t>3.47%</t>
  </si>
  <si>
    <t>-40.13%</t>
  </si>
  <si>
    <t>FBS Global Ltd</t>
  </si>
  <si>
    <t>Engineering &amp; Construction</t>
  </si>
  <si>
    <t>6.73%</t>
  </si>
  <si>
    <t>12.43%</t>
  </si>
  <si>
    <t>13.11%</t>
  </si>
  <si>
    <t>13.21%</t>
  </si>
  <si>
    <t>18.05%</t>
  </si>
  <si>
    <t>-1.60%</t>
  </si>
  <si>
    <t>-6.04%</t>
  </si>
  <si>
    <t>55.22%</t>
  </si>
  <si>
    <t>-86.61%</t>
  </si>
  <si>
    <t>65.08%</t>
  </si>
  <si>
    <t>0.44 - 5.45</t>
  </si>
  <si>
    <t>21.67%</t>
  </si>
  <si>
    <t>-18.80%</t>
  </si>
  <si>
    <t>PrimeEnergy Resources Corp</t>
  </si>
  <si>
    <t>206.23%</t>
  </si>
  <si>
    <t>77.39%</t>
  </si>
  <si>
    <t>22.97%</t>
  </si>
  <si>
    <t>41.58%</t>
  </si>
  <si>
    <t>16.50%</t>
  </si>
  <si>
    <t>-35.27%</t>
  </si>
  <si>
    <t>-0.68%</t>
  </si>
  <si>
    <t>29.34%</t>
  </si>
  <si>
    <t>7.50%</t>
  </si>
  <si>
    <t>-2.72%</t>
  </si>
  <si>
    <t>-4.17%</t>
  </si>
  <si>
    <t>24.90%</t>
  </si>
  <si>
    <t>-27.42%</t>
  </si>
  <si>
    <t>28.76%</t>
  </si>
  <si>
    <t>137.26 - 243.49</t>
  </si>
  <si>
    <t>56545.83%</t>
  </si>
  <si>
    <t>-20.96%</t>
  </si>
  <si>
    <t>17.25%</t>
  </si>
  <si>
    <t>Hycroft Mining Holding Corporation</t>
  </si>
  <si>
    <t>-2.49%</t>
  </si>
  <si>
    <t>43.72%</t>
  </si>
  <si>
    <t>75.97%</t>
  </si>
  <si>
    <t>46.18%</t>
  </si>
  <si>
    <t>-13.16%</t>
  </si>
  <si>
    <t>301.07%</t>
  </si>
  <si>
    <t>9.03%</t>
  </si>
  <si>
    <t>6.14%</t>
  </si>
  <si>
    <t>36.26%</t>
  </si>
  <si>
    <t>88.92%</t>
  </si>
  <si>
    <t>-12.67%</t>
  </si>
  <si>
    <t>94.72%</t>
  </si>
  <si>
    <t>215.08%</t>
  </si>
  <si>
    <t>1.99 - 7.18</t>
  </si>
  <si>
    <t>-96.12%</t>
  </si>
  <si>
    <t>284.66%</t>
  </si>
  <si>
    <t>102.91%</t>
  </si>
  <si>
    <t>80.17%</t>
  </si>
  <si>
    <t>135.71%</t>
  </si>
  <si>
    <t>Nautilus Biotechnology Inc</t>
  </si>
  <si>
    <t>-4.00%</t>
  </si>
  <si>
    <t>22.58%</t>
  </si>
  <si>
    <t>0.37%</t>
  </si>
  <si>
    <t>27.27%</t>
  </si>
  <si>
    <t>13.41%</t>
  </si>
  <si>
    <t>11.90%</t>
  </si>
  <si>
    <t>-23.44%</t>
  </si>
  <si>
    <t>-3.80%</t>
  </si>
  <si>
    <t>-73.29%</t>
  </si>
  <si>
    <t>0.62 - 3.03</t>
  </si>
  <si>
    <t>-96.88%</t>
  </si>
  <si>
    <t>16.49%</t>
  </si>
  <si>
    <t>-13.74%</t>
  </si>
  <si>
    <t>-73.24%</t>
  </si>
  <si>
    <t>PIMCO Dynamic Income Strategy Fund</t>
  </si>
  <si>
    <t>0.85%</t>
  </si>
  <si>
    <t>44.59%</t>
  </si>
  <si>
    <t>23.15%</t>
  </si>
  <si>
    <t>50.26%</t>
  </si>
  <si>
    <t>50.60%</t>
  </si>
  <si>
    <t>1.11%</t>
  </si>
  <si>
    <t>1.42%</t>
  </si>
  <si>
    <t>4.38%</t>
  </si>
  <si>
    <t>-24.03%</t>
  </si>
  <si>
    <t>19.26 - 32.88</t>
  </si>
  <si>
    <t>647.33%</t>
  </si>
  <si>
    <t>1.46%</t>
  </si>
  <si>
    <t>4.30%</t>
  </si>
  <si>
    <t>Protagonist Therapeutics Inc</t>
  </si>
  <si>
    <t>-0.92%</t>
  </si>
  <si>
    <t>-34.45%</t>
  </si>
  <si>
    <t>151.35%</t>
  </si>
  <si>
    <t>351.71%</t>
  </si>
  <si>
    <t>-2.59%</t>
  </si>
  <si>
    <t>110.99%</t>
  </si>
  <si>
    <t>99.14%</t>
  </si>
  <si>
    <t>24.88%</t>
  </si>
  <si>
    <t>3.34%</t>
  </si>
  <si>
    <t>5.80%</t>
  </si>
  <si>
    <t>33.07%</t>
  </si>
  <si>
    <t>26.98%</t>
  </si>
  <si>
    <t>92.45%</t>
  </si>
  <si>
    <t>33.31 - 66.70</t>
  </si>
  <si>
    <t>1334.12%</t>
  </si>
  <si>
    <t>15.11%</t>
  </si>
  <si>
    <t>29.66%</t>
  </si>
  <si>
    <t>37.62%</t>
  </si>
  <si>
    <t>North European Oil Royalty Trust</t>
  </si>
  <si>
    <t>8/15/2025</t>
  </si>
  <si>
    <t>0.70%</t>
  </si>
  <si>
    <t>-10.16%</t>
  </si>
  <si>
    <t>87.23%</t>
  </si>
  <si>
    <t>8.34%</t>
  </si>
  <si>
    <t>-7.77%</t>
  </si>
  <si>
    <t>22.51%</t>
  </si>
  <si>
    <t>6.39%</t>
  </si>
  <si>
    <t>5.32%</t>
  </si>
  <si>
    <t>87.37%</t>
  </si>
  <si>
    <t>87.22%</t>
  </si>
  <si>
    <t>5.58%</t>
  </si>
  <si>
    <t>15.29%</t>
  </si>
  <si>
    <t>16.18%</t>
  </si>
  <si>
    <t>42.53%</t>
  </si>
  <si>
    <t>3.88 - 5.75</t>
  </si>
  <si>
    <t>-87.36%</t>
  </si>
  <si>
    <t>152.51%</t>
  </si>
  <si>
    <t>10.16%</t>
  </si>
  <si>
    <t>20.74%</t>
  </si>
  <si>
    <t>5.33%</t>
  </si>
  <si>
    <t>Mawson Infrastructure Group Inc</t>
  </si>
  <si>
    <t>18.57%</t>
  </si>
  <si>
    <t>34.51%</t>
  </si>
  <si>
    <t>-11.36%</t>
  </si>
  <si>
    <t>10.55%</t>
  </si>
  <si>
    <t>-27.29%</t>
  </si>
  <si>
    <t>20.82%</t>
  </si>
  <si>
    <t>-46.41%</t>
  </si>
  <si>
    <t>-49.44%</t>
  </si>
  <si>
    <t>9.13%</t>
  </si>
  <si>
    <t>13.20%</t>
  </si>
  <si>
    <t>24.21%</t>
  </si>
  <si>
    <t>11.77%</t>
  </si>
  <si>
    <t>-18.02%</t>
  </si>
  <si>
    <t>-25.34%</t>
  </si>
  <si>
    <t>73.32%</t>
  </si>
  <si>
    <t>-79.17%</t>
  </si>
  <si>
    <t>0.28 - 2.33</t>
  </si>
  <si>
    <t>-6.60%</t>
  </si>
  <si>
    <t>-60.22%</t>
  </si>
  <si>
    <t>U.S. Energy Corp</t>
  </si>
  <si>
    <t>5.74%</t>
  </si>
  <si>
    <t>5/18/2023</t>
  </si>
  <si>
    <t>-34.80%</t>
  </si>
  <si>
    <t>-7.01%</t>
  </si>
  <si>
    <t>-51.27%</t>
  </si>
  <si>
    <t>45.76%</t>
  </si>
  <si>
    <t>-66.46%</t>
  </si>
  <si>
    <t>-245.45%</t>
  </si>
  <si>
    <t>-13.15%</t>
  </si>
  <si>
    <t>-76.83%</t>
  </si>
  <si>
    <t>-174.90%</t>
  </si>
  <si>
    <t>10.12%</t>
  </si>
  <si>
    <t>8.24%</t>
  </si>
  <si>
    <t>-12.29%</t>
  </si>
  <si>
    <t>-7.86%</t>
  </si>
  <si>
    <t>17.27%</t>
  </si>
  <si>
    <t>-79.84%</t>
  </si>
  <si>
    <t>34.37%</t>
  </si>
  <si>
    <t>0.96 - 6.40</t>
  </si>
  <si>
    <t>-99.92%</t>
  </si>
  <si>
    <t>59.26%</t>
  </si>
  <si>
    <t>-14.00%</t>
  </si>
  <si>
    <t>Graf Global Corp</t>
  </si>
  <si>
    <t>83.72%</t>
  </si>
  <si>
    <t>0.44%</t>
  </si>
  <si>
    <t>-1.01%</t>
  </si>
  <si>
    <t>-3.63%</t>
  </si>
  <si>
    <t>6.41%</t>
  </si>
  <si>
    <t>9.98 - 11.02</t>
  </si>
  <si>
    <t>17.60%</t>
  </si>
  <si>
    <t>1.92%</t>
  </si>
  <si>
    <t>4.63%</t>
  </si>
  <si>
    <t>Erasca Inc</t>
  </si>
  <si>
    <t>7.18%</t>
  </si>
  <si>
    <t>12.46%</t>
  </si>
  <si>
    <t>-46.86%</t>
  </si>
  <si>
    <t>-3.90%</t>
  </si>
  <si>
    <t>50.44%</t>
  </si>
  <si>
    <t>6.82%</t>
  </si>
  <si>
    <t>7.04%</t>
  </si>
  <si>
    <t>19.32%</t>
  </si>
  <si>
    <t>45.85%</t>
  </si>
  <si>
    <t>-41.30%</t>
  </si>
  <si>
    <t>92.08%</t>
  </si>
  <si>
    <t>1.01 - 3.31</t>
  </si>
  <si>
    <t>-92.07%</t>
  </si>
  <si>
    <t>48.09%</t>
  </si>
  <si>
    <t>-23.47%</t>
  </si>
  <si>
    <t>Fortress Biotech Inc</t>
  </si>
  <si>
    <t>39.06%</t>
  </si>
  <si>
    <t>24.49%</t>
  </si>
  <si>
    <t>-28.23%</t>
  </si>
  <si>
    <t>-5.71%</t>
  </si>
  <si>
    <t>9.50%</t>
  </si>
  <si>
    <t>225.00%</t>
  </si>
  <si>
    <t>60.77%</t>
  </si>
  <si>
    <t>-182.51%</t>
  </si>
  <si>
    <t>-40.56%</t>
  </si>
  <si>
    <t>9.33%</t>
  </si>
  <si>
    <t>9.41%</t>
  </si>
  <si>
    <t>6.31%</t>
  </si>
  <si>
    <t>42.63%</t>
  </si>
  <si>
    <t>87.51%</t>
  </si>
  <si>
    <t>111.13%</t>
  </si>
  <si>
    <t>182.04%</t>
  </si>
  <si>
    <t>1.33 - 4.12</t>
  </si>
  <si>
    <t>-98.04%</t>
  </si>
  <si>
    <t>201.37%</t>
  </si>
  <si>
    <t>105.33%</t>
  </si>
  <si>
    <t>116.01%</t>
  </si>
  <si>
    <t>168.85%</t>
  </si>
  <si>
    <t>Cross Country Healthcares, Inc</t>
  </si>
  <si>
    <t>Medical Care Facilities</t>
  </si>
  <si>
    <t>23.00%</t>
  </si>
  <si>
    <t>-17.32%</t>
  </si>
  <si>
    <t>-24.30%</t>
  </si>
  <si>
    <t>-7.11%</t>
  </si>
  <si>
    <t>-19.34%</t>
  </si>
  <si>
    <t>-117.48%</t>
  </si>
  <si>
    <t>96.42%</t>
  </si>
  <si>
    <t>18.71%</t>
  </si>
  <si>
    <t>0.78%</t>
  </si>
  <si>
    <t>3.87%</t>
  </si>
  <si>
    <t>10.17%</t>
  </si>
  <si>
    <t>-1.62%</t>
  </si>
  <si>
    <t>2.80%</t>
  </si>
  <si>
    <t>32.55%</t>
  </si>
  <si>
    <t>-19.80%</t>
  </si>
  <si>
    <t>53.44%</t>
  </si>
  <si>
    <t>9.58 - 18.33</t>
  </si>
  <si>
    <t>-63.36%</t>
  </si>
  <si>
    <t>290.96%</t>
  </si>
  <si>
    <t>14.93%</t>
  </si>
  <si>
    <t>7.30%</t>
  </si>
  <si>
    <t>Forte Biosciences Inc</t>
  </si>
  <si>
    <t>32.09%</t>
  </si>
  <si>
    <t>24.08%</t>
  </si>
  <si>
    <t>34.98%</t>
  </si>
  <si>
    <t>13.32%</t>
  </si>
  <si>
    <t>75.06%</t>
  </si>
  <si>
    <t>11.81%</t>
  </si>
  <si>
    <t>9.35%</t>
  </si>
  <si>
    <t>16.35%</t>
  </si>
  <si>
    <t>25.70%</t>
  </si>
  <si>
    <t>24.99%</t>
  </si>
  <si>
    <t>-15.74%</t>
  </si>
  <si>
    <t>57.36%</t>
  </si>
  <si>
    <t>-50.07%</t>
  </si>
  <si>
    <t>248.42%</t>
  </si>
  <si>
    <t>4.11 - 28.68</t>
  </si>
  <si>
    <t>-99.79%</t>
  </si>
  <si>
    <t>16.90%</t>
  </si>
  <si>
    <t>81.04%</t>
  </si>
  <si>
    <t>104.57%</t>
  </si>
  <si>
    <t>Amtech Systems Inc</t>
  </si>
  <si>
    <t>-20.20%</t>
  </si>
  <si>
    <t>5.91%</t>
  </si>
  <si>
    <t>3.54%</t>
  </si>
  <si>
    <t>-26.89%</t>
  </si>
  <si>
    <t>112.50%</t>
  </si>
  <si>
    <t>2.42%</t>
  </si>
  <si>
    <t>55.71%</t>
  </si>
  <si>
    <t>33.45%</t>
  </si>
  <si>
    <t>-38.18%</t>
  </si>
  <si>
    <t>9.38%</t>
  </si>
  <si>
    <t>43.65%</t>
  </si>
  <si>
    <t>79.44%</t>
  </si>
  <si>
    <t>-11.32%</t>
  </si>
  <si>
    <t>111.39%</t>
  </si>
  <si>
    <t>184.06%</t>
  </si>
  <si>
    <t>3.20 - 10.25</t>
  </si>
  <si>
    <t>-70.49%</t>
  </si>
  <si>
    <t>869.60%</t>
  </si>
  <si>
    <t>95.91%</t>
  </si>
  <si>
    <t>82.16%</t>
  </si>
  <si>
    <t>49.75%</t>
  </si>
  <si>
    <t>AirJoule Technologies Corp</t>
  </si>
  <si>
    <t>Building Products &amp; Equipment</t>
  </si>
  <si>
    <t>0.38%</t>
  </si>
  <si>
    <t>-0.04%</t>
  </si>
  <si>
    <t>7.45%</t>
  </si>
  <si>
    <t>6.32%</t>
  </si>
  <si>
    <t>9.63%</t>
  </si>
  <si>
    <t>13.31%</t>
  </si>
  <si>
    <t>-5.38%</t>
  </si>
  <si>
    <t>34.35%</t>
  </si>
  <si>
    <t>-54.48%</t>
  </si>
  <si>
    <t>41.18%</t>
  </si>
  <si>
    <t>3.74 - 11.60</t>
  </si>
  <si>
    <t>-89.25%</t>
  </si>
  <si>
    <t>15.79%</t>
  </si>
  <si>
    <t>-11.71%</t>
  </si>
  <si>
    <t>IperionX Ltd ADR</t>
  </si>
  <si>
    <t>22.96%</t>
  </si>
  <si>
    <t>-41.39%</t>
  </si>
  <si>
    <t>12.39%</t>
  </si>
  <si>
    <t>3.58%</t>
  </si>
  <si>
    <t>8.91%</t>
  </si>
  <si>
    <t>70.40%</t>
  </si>
  <si>
    <t>57.92%</t>
  </si>
  <si>
    <t>306.14%</t>
  </si>
  <si>
    <t>12.27 - 49.46</t>
  </si>
  <si>
    <t>1059.40%</t>
  </si>
  <si>
    <t>71.79%</t>
  </si>
  <si>
    <t>156.19%</t>
  </si>
  <si>
    <t>175.44%</t>
  </si>
  <si>
    <t>Akari Therapeutics Plc ADR</t>
  </si>
  <si>
    <t>26.49%</t>
  </si>
  <si>
    <t>66.60%</t>
  </si>
  <si>
    <t>1.72%</t>
  </si>
  <si>
    <t>19.79%</t>
  </si>
  <si>
    <t>13.55%</t>
  </si>
  <si>
    <t>30.11%</t>
  </si>
  <si>
    <t>-13.31%</t>
  </si>
  <si>
    <t>88.13%</t>
  </si>
  <si>
    <t>-72.08%</t>
  </si>
  <si>
    <t>0.57 - 3.85</t>
  </si>
  <si>
    <t>-99.98%</t>
  </si>
  <si>
    <t>-7.26%</t>
  </si>
  <si>
    <t>-63.93%</t>
  </si>
  <si>
    <t>Healthy Choice Wellness Corp</t>
  </si>
  <si>
    <t>Packaged Foods</t>
  </si>
  <si>
    <t>15.00%</t>
  </si>
  <si>
    <t>24.86%</t>
  </si>
  <si>
    <t>17.17%</t>
  </si>
  <si>
    <t>32.42%</t>
  </si>
  <si>
    <t>61.31%</t>
  </si>
  <si>
    <t>29.11%</t>
  </si>
  <si>
    <t>-20.91%</t>
  </si>
  <si>
    <t>114.47%</t>
  </si>
  <si>
    <t>-72.32%</t>
  </si>
  <si>
    <t>167.28%</t>
  </si>
  <si>
    <t>0.29 - 2.80</t>
  </si>
  <si>
    <t>-90.88%</t>
  </si>
  <si>
    <t>89.05%</t>
  </si>
  <si>
    <t>46.44%</t>
  </si>
  <si>
    <t>-75.78%</t>
  </si>
  <si>
    <t>Passage Bio Inc</t>
  </si>
  <si>
    <t>-1.48%</t>
  </si>
  <si>
    <t>42.21%</t>
  </si>
  <si>
    <t>-85.30%</t>
  </si>
  <si>
    <t>47.62%</t>
  </si>
  <si>
    <t>13.65%</t>
  </si>
  <si>
    <t>21.65%</t>
  </si>
  <si>
    <t>-5.85%</t>
  </si>
  <si>
    <t>61.01%</t>
  </si>
  <si>
    <t>-68.98%</t>
  </si>
  <si>
    <t>5.12 - 26.60</t>
  </si>
  <si>
    <t>-98.92%</t>
  </si>
  <si>
    <t>24.58%</t>
  </si>
  <si>
    <t>-35.04%</t>
  </si>
  <si>
    <t>DarioHealth Corp</t>
  </si>
  <si>
    <t>-7.23%</t>
  </si>
  <si>
    <t>49.44%</t>
  </si>
  <si>
    <t>41.84%</t>
  </si>
  <si>
    <t>5.18%</t>
  </si>
  <si>
    <t>41.79%</t>
  </si>
  <si>
    <t>9.65%</t>
  </si>
  <si>
    <t>29.04%</t>
  </si>
  <si>
    <t>-14.16%</t>
  </si>
  <si>
    <t>22.86%</t>
  </si>
  <si>
    <t>54.98%</t>
  </si>
  <si>
    <t>-155.78%</t>
  </si>
  <si>
    <t>-160.44%</t>
  </si>
  <si>
    <t>27.17%</t>
  </si>
  <si>
    <t>46.99%</t>
  </si>
  <si>
    <t>26.65%</t>
  </si>
  <si>
    <t>-2.70%</t>
  </si>
  <si>
    <t>-19.77%</t>
  </si>
  <si>
    <t>113.98%</t>
  </si>
  <si>
    <t>-59.03%</t>
  </si>
  <si>
    <t>5.93 - 31.00</t>
  </si>
  <si>
    <t>-99.99%</t>
  </si>
  <si>
    <t>-5.22%</t>
  </si>
  <si>
    <t>-3.17%</t>
  </si>
  <si>
    <t>-33.61%</t>
  </si>
  <si>
    <t>Vanda Pharmaceuticals Inc</t>
  </si>
  <si>
    <t>3.62%</t>
  </si>
  <si>
    <t>10.70%</t>
  </si>
  <si>
    <t>11.78%</t>
  </si>
  <si>
    <t>-2.64%</t>
  </si>
  <si>
    <t>-28.96%</t>
  </si>
  <si>
    <t>76.98%</t>
  </si>
  <si>
    <t>90.95%</t>
  </si>
  <si>
    <t>-49.55%</t>
  </si>
  <si>
    <t>-32.90%</t>
  </si>
  <si>
    <t>3.93%</t>
  </si>
  <si>
    <t>9.83%</t>
  </si>
  <si>
    <t>0.50%</t>
  </si>
  <si>
    <t>20.89%</t>
  </si>
  <si>
    <t>-9.74%</t>
  </si>
  <si>
    <t>31.39%</t>
  </si>
  <si>
    <t>3.81 - 5.55</t>
  </si>
  <si>
    <t>-85.03%</t>
  </si>
  <si>
    <t>1012.22%</t>
  </si>
  <si>
    <t>4.71%</t>
  </si>
  <si>
    <t>0.91%</t>
  </si>
  <si>
    <t>Lightpath Technologies, Inc</t>
  </si>
  <si>
    <t>Electronic Components</t>
  </si>
  <si>
    <t>-40.54%</t>
  </si>
  <si>
    <t>17.26%</t>
  </si>
  <si>
    <t>1.52%</t>
  </si>
  <si>
    <t>1.25%</t>
  </si>
  <si>
    <t>-263.64%</t>
  </si>
  <si>
    <t>37.65%</t>
  </si>
  <si>
    <t>23.28%</t>
  </si>
  <si>
    <t>-26.39%</t>
  </si>
  <si>
    <t>-39.98%</t>
  </si>
  <si>
    <t>61.98%</t>
  </si>
  <si>
    <t>137.58%</t>
  </si>
  <si>
    <t>0.14%</t>
  </si>
  <si>
    <t>157.42%</t>
  </si>
  <si>
    <t>480.68%</t>
  </si>
  <si>
    <t>1.29 - 7.48</t>
  </si>
  <si>
    <t>-98.65%</t>
  </si>
  <si>
    <t>2396.93%</t>
  </si>
  <si>
    <t>147.22%</t>
  </si>
  <si>
    <t>258.41%</t>
  </si>
  <si>
    <t>489.83%</t>
  </si>
  <si>
    <t>Acumen Pharmaceuticals Inc</t>
  </si>
  <si>
    <t>10.47%</t>
  </si>
  <si>
    <t>-54.87%</t>
  </si>
  <si>
    <t>-39.17%</t>
  </si>
  <si>
    <t>54.10%</t>
  </si>
  <si>
    <t>6.71%</t>
  </si>
  <si>
    <t>20.86%</t>
  </si>
  <si>
    <t>16.61%</t>
  </si>
  <si>
    <t>21.74%</t>
  </si>
  <si>
    <t>-8.15%</t>
  </si>
  <si>
    <t>37.38%</t>
  </si>
  <si>
    <t>-51.34%</t>
  </si>
  <si>
    <t>91.21%</t>
  </si>
  <si>
    <t>0.86 - 3.36</t>
  </si>
  <si>
    <t>-93.94%</t>
  </si>
  <si>
    <t>45.98%</t>
  </si>
  <si>
    <t>32.93%</t>
  </si>
  <si>
    <t>-32.99%</t>
  </si>
  <si>
    <t>Contango Ore Inc</t>
  </si>
  <si>
    <t>-19.59%</t>
  </si>
  <si>
    <t>4744.19%</t>
  </si>
  <si>
    <t>-0.39%</t>
  </si>
  <si>
    <t>6.46%</t>
  </si>
  <si>
    <t>17.43%</t>
  </si>
  <si>
    <t>62.80%</t>
  </si>
  <si>
    <t>38.59%</t>
  </si>
  <si>
    <t>184.86%</t>
  </si>
  <si>
    <t>8.85 - 25.20</t>
  </si>
  <si>
    <t>-25.13%</t>
  </si>
  <si>
    <t>13721.27%</t>
  </si>
  <si>
    <t>25.99%</t>
  </si>
  <si>
    <t>151.60%</t>
  </si>
  <si>
    <t>30.35%</t>
  </si>
  <si>
    <t>908 Devices Inc</t>
  </si>
  <si>
    <t>-6.51%</t>
  </si>
  <si>
    <t>-38.77%</t>
  </si>
  <si>
    <t>-32.72%</t>
  </si>
  <si>
    <t>46.76%</t>
  </si>
  <si>
    <t>14.65%</t>
  </si>
  <si>
    <t>12.21%</t>
  </si>
  <si>
    <t>27.11%</t>
  </si>
  <si>
    <t>-7.20%</t>
  </si>
  <si>
    <t>-111.76%</t>
  </si>
  <si>
    <t>66.09%</t>
  </si>
  <si>
    <t>-52.52%</t>
  </si>
  <si>
    <t>-124.23%</t>
  </si>
  <si>
    <t>19.75%</t>
  </si>
  <si>
    <t>59.46%</t>
  </si>
  <si>
    <t>-7.24%</t>
  </si>
  <si>
    <t>44.45%</t>
  </si>
  <si>
    <t>324.59%</t>
  </si>
  <si>
    <t>1.81 - 8.28</t>
  </si>
  <si>
    <t>-90.35%</t>
  </si>
  <si>
    <t>14.19%</t>
  </si>
  <si>
    <t>91.65%</t>
  </si>
  <si>
    <t>American Shared Hospital Services</t>
  </si>
  <si>
    <t>-4.77%</t>
  </si>
  <si>
    <t>6/28/2007</t>
  </si>
  <si>
    <t>116.80%</t>
  </si>
  <si>
    <t>24.03%</t>
  </si>
  <si>
    <t>26.61%</t>
  </si>
  <si>
    <t>17.15%</t>
  </si>
  <si>
    <t>6.58%</t>
  </si>
  <si>
    <t>13.09%</t>
  </si>
  <si>
    <t>-8.27%</t>
  </si>
  <si>
    <t>7.19%</t>
  </si>
  <si>
    <t>4.00%</t>
  </si>
  <si>
    <t>14.54%</t>
  </si>
  <si>
    <t>5.45%</t>
  </si>
  <si>
    <t>-6.91%</t>
  </si>
  <si>
    <t>21.13%</t>
  </si>
  <si>
    <t>-19.36%</t>
  </si>
  <si>
    <t>27.53%</t>
  </si>
  <si>
    <t>2.27 - 3.59</t>
  </si>
  <si>
    <t>-76.12%</t>
  </si>
  <si>
    <t>1058.00%</t>
  </si>
  <si>
    <t>4.32%</t>
  </si>
  <si>
    <t>-4.46%</t>
  </si>
  <si>
    <t>Mexco Energy Corp</t>
  </si>
  <si>
    <t>0.32%</t>
  </si>
  <si>
    <t>1.05%</t>
  </si>
  <si>
    <t>6/2/2025</t>
  </si>
  <si>
    <t>13.06%</t>
  </si>
  <si>
    <t>5.00%</t>
  </si>
  <si>
    <t>17.70%</t>
  </si>
  <si>
    <t>43.70%</t>
  </si>
  <si>
    <t>22.34%</t>
  </si>
  <si>
    <t>3.37%</t>
  </si>
  <si>
    <t>8.47%</t>
  </si>
  <si>
    <t>2.79%</t>
  </si>
  <si>
    <t>21.54%</t>
  </si>
  <si>
    <t>-40.75%</t>
  </si>
  <si>
    <t>60.95%</t>
  </si>
  <si>
    <t>5.89 - 16.00</t>
  </si>
  <si>
    <t>-82.75%</t>
  </si>
  <si>
    <t>3434.00%</t>
  </si>
  <si>
    <t>0.64%</t>
  </si>
  <si>
    <t>-18.70%</t>
  </si>
  <si>
    <t>HCM II Acquisition Corp</t>
  </si>
  <si>
    <t>-2.30%</t>
  </si>
  <si>
    <t>72.25%</t>
  </si>
  <si>
    <t>10.20%</t>
  </si>
  <si>
    <t>4.05%</t>
  </si>
  <si>
    <t>19.17%</t>
  </si>
  <si>
    <t>29.35%</t>
  </si>
  <si>
    <t>41.19%</t>
  </si>
  <si>
    <t>-14.62%</t>
  </si>
  <si>
    <t>43.51%</t>
  </si>
  <si>
    <t>55.83%</t>
  </si>
  <si>
    <t>9.90 - 18.07</t>
  </si>
  <si>
    <t>42.85%</t>
  </si>
  <si>
    <t>Allete, Inc</t>
  </si>
  <si>
    <t>Utilities - Diversified</t>
  </si>
  <si>
    <t>4.45%</t>
  </si>
  <si>
    <t>3.82%</t>
  </si>
  <si>
    <t>3.71%</t>
  </si>
  <si>
    <t>90.91%</t>
  </si>
  <si>
    <t>-1.27%</t>
  </si>
  <si>
    <t>-2.88%</t>
  </si>
  <si>
    <t>-0.44%</t>
  </si>
  <si>
    <t>1.64%</t>
  </si>
  <si>
    <t>-29.48%</t>
  </si>
  <si>
    <t>75.75%</t>
  </si>
  <si>
    <t>14.23%</t>
  </si>
  <si>
    <t>10.08%</t>
  </si>
  <si>
    <t>11.98%</t>
  </si>
  <si>
    <t>0.90%</t>
  </si>
  <si>
    <t>1.66%</t>
  </si>
  <si>
    <t>-0.67%</t>
  </si>
  <si>
    <t>5.59%</t>
  </si>
  <si>
    <t>62.38 - 66.46</t>
  </si>
  <si>
    <t>-25.66%</t>
  </si>
  <si>
    <t>944.45%</t>
  </si>
  <si>
    <t>3.11%</t>
  </si>
  <si>
    <t>HeartBeam Inc</t>
  </si>
  <si>
    <t>-8.78%</t>
  </si>
  <si>
    <t>-61.91%</t>
  </si>
  <si>
    <t>45.22%</t>
  </si>
  <si>
    <t>10.48%</t>
  </si>
  <si>
    <t>6.26%</t>
  </si>
  <si>
    <t>7.74%</t>
  </si>
  <si>
    <t>30.30%</t>
  </si>
  <si>
    <t>-5.64%</t>
  </si>
  <si>
    <t>82.40%</t>
  </si>
  <si>
    <t>-52.30%</t>
  </si>
  <si>
    <t>0.91 - 3.48</t>
  </si>
  <si>
    <t>-75.37%</t>
  </si>
  <si>
    <t>22.06%</t>
  </si>
  <si>
    <t>-17.41%</t>
  </si>
  <si>
    <t>-18.23%</t>
  </si>
  <si>
    <t>Graham Holdings Co</t>
  </si>
  <si>
    <t>10/16/2025</t>
  </si>
  <si>
    <t>4.24%</t>
  </si>
  <si>
    <t>4.35%</t>
  </si>
  <si>
    <t>4.21%</t>
  </si>
  <si>
    <t>21.70%</t>
  </si>
  <si>
    <t>-28.09%</t>
  </si>
  <si>
    <t>4.73%</t>
  </si>
  <si>
    <t>14.57%</t>
  </si>
  <si>
    <t>10.32%</t>
  </si>
  <si>
    <t>-17.73%</t>
  </si>
  <si>
    <t>64.69%</t>
  </si>
  <si>
    <t>28.73%</t>
  </si>
  <si>
    <t>6.16%</t>
  </si>
  <si>
    <t>14.01%</t>
  </si>
  <si>
    <t>11.37%</t>
  </si>
  <si>
    <t>22.02%</t>
  </si>
  <si>
    <t>52.45%</t>
  </si>
  <si>
    <t>770.06 - 1200.00</t>
  </si>
  <si>
    <t>3098.38%</t>
  </si>
  <si>
    <t>22.43%</t>
  </si>
  <si>
    <t>20.63%</t>
  </si>
  <si>
    <t>47.12%</t>
  </si>
  <si>
    <t>ONE Gas Inc</t>
  </si>
  <si>
    <t>Utilities - Regulated Gas</t>
  </si>
  <si>
    <t>3.36%</t>
  </si>
  <si>
    <t>67.56%</t>
  </si>
  <si>
    <t>2.18%</t>
  </si>
  <si>
    <t>4.83%</t>
  </si>
  <si>
    <t>19.65%</t>
  </si>
  <si>
    <t>96.30%</t>
  </si>
  <si>
    <t>18.72%</t>
  </si>
  <si>
    <t>10.63%</t>
  </si>
  <si>
    <t>1.49%</t>
  </si>
  <si>
    <t>1.44%</t>
  </si>
  <si>
    <t>1.06%</t>
  </si>
  <si>
    <t>11.03%</t>
  </si>
  <si>
    <t>-3.19%</t>
  </si>
  <si>
    <t>66.38 - 82.25</t>
  </si>
  <si>
    <t>-17.89%</t>
  </si>
  <si>
    <t>149.30%</t>
  </si>
  <si>
    <t>Comstock Inc</t>
  </si>
  <si>
    <t>-2.01%</t>
  </si>
  <si>
    <t>13.01%</t>
  </si>
  <si>
    <t>-10.41%</t>
  </si>
  <si>
    <t>58.56%</t>
  </si>
  <si>
    <t>51.81%</t>
  </si>
  <si>
    <t>75.80%</t>
  </si>
  <si>
    <t>-21.91%</t>
  </si>
  <si>
    <t>6.87%</t>
  </si>
  <si>
    <t>-32.61%</t>
  </si>
  <si>
    <t>-1102.57%</t>
  </si>
  <si>
    <t>-1667.53%</t>
  </si>
  <si>
    <t>24.56%</t>
  </si>
  <si>
    <t>-11.02%</t>
  </si>
  <si>
    <t>63.62%</t>
  </si>
  <si>
    <t>-63.71%</t>
  </si>
  <si>
    <t>119.46%</t>
  </si>
  <si>
    <t>1.67 - 10.10</t>
  </si>
  <si>
    <t>192.03%</t>
  </si>
  <si>
    <t>-5.05%</t>
  </si>
  <si>
    <t>-17.55%</t>
  </si>
  <si>
    <t>Aqua Metals Inc</t>
  </si>
  <si>
    <t>27.42%</t>
  </si>
  <si>
    <t>9.72%</t>
  </si>
  <si>
    <t>25.92%</t>
  </si>
  <si>
    <t>51.20%</t>
  </si>
  <si>
    <t>48.27%</t>
  </si>
  <si>
    <t>-50.60%</t>
  </si>
  <si>
    <t>-3.55%</t>
  </si>
  <si>
    <t>86.03%</t>
  </si>
  <si>
    <t>-84.14%</t>
  </si>
  <si>
    <t>3.37 - 39.52</t>
  </si>
  <si>
    <t>-99.86%</t>
  </si>
  <si>
    <t>20.56%</t>
  </si>
  <si>
    <t>-70.15%</t>
  </si>
  <si>
    <t>-83.57%</t>
  </si>
  <si>
    <t>Protara Therapeutics Inc</t>
  </si>
  <si>
    <t>-5.36%</t>
  </si>
  <si>
    <t>19.85%</t>
  </si>
  <si>
    <t>55.31%</t>
  </si>
  <si>
    <t>-0.03%</t>
  </si>
  <si>
    <t>70.64%</t>
  </si>
  <si>
    <t>11.05%</t>
  </si>
  <si>
    <t>6.00%</t>
  </si>
  <si>
    <t>5.41%</t>
  </si>
  <si>
    <t>36.70%</t>
  </si>
  <si>
    <t>-61.26%</t>
  </si>
  <si>
    <t>154.55%</t>
  </si>
  <si>
    <t>1.60 - 10.48</t>
  </si>
  <si>
    <t>-99.49%</t>
  </si>
  <si>
    <t>290.38%</t>
  </si>
  <si>
    <t>40.97%</t>
  </si>
  <si>
    <t>-10.57%</t>
  </si>
  <si>
    <t>125.56%</t>
  </si>
  <si>
    <t>Harrow Inc</t>
  </si>
  <si>
    <t>3.63%</t>
  </si>
  <si>
    <t>10.79%</t>
  </si>
  <si>
    <t>47.69%</t>
  </si>
  <si>
    <t>40.17%</t>
  </si>
  <si>
    <t>31.29%</t>
  </si>
  <si>
    <t>30.25%</t>
  </si>
  <si>
    <t>1633.33%</t>
  </si>
  <si>
    <t>57.25%</t>
  </si>
  <si>
    <t>74.56%</t>
  </si>
  <si>
    <t>-4.49%</t>
  </si>
  <si>
    <t>24.47%</t>
  </si>
  <si>
    <t>50.81%</t>
  </si>
  <si>
    <t>-4.71%</t>
  </si>
  <si>
    <t>60.76%</t>
  </si>
  <si>
    <t>129.38%</t>
  </si>
  <si>
    <t>20.85 - 59.23</t>
  </si>
  <si>
    <t>-70.11%</t>
  </si>
  <si>
    <t>9465.00%</t>
  </si>
  <si>
    <t>54.87%</t>
  </si>
  <si>
    <t>71.60%</t>
  </si>
  <si>
    <t>Horizon Space Acquisition II Corp</t>
  </si>
  <si>
    <t>-0.96%</t>
  </si>
  <si>
    <t>2.48%</t>
  </si>
  <si>
    <t>3.30%</t>
  </si>
  <si>
    <t>10.01 - 10.44</t>
  </si>
  <si>
    <t>3.09%</t>
  </si>
  <si>
    <t>AXT Inc</t>
  </si>
  <si>
    <t>-2.93%</t>
  </si>
  <si>
    <t>-31.22%</t>
  </si>
  <si>
    <t>-35.63%</t>
  </si>
  <si>
    <t>31.37%</t>
  </si>
  <si>
    <t>11.94%</t>
  </si>
  <si>
    <t>-30.89%</t>
  </si>
  <si>
    <t>-27.89%</t>
  </si>
  <si>
    <t>11.41%</t>
  </si>
  <si>
    <t>9.02%</t>
  </si>
  <si>
    <t>20.94%</t>
  </si>
  <si>
    <t>57.80%</t>
  </si>
  <si>
    <t>119.48%</t>
  </si>
  <si>
    <t>149.24%</t>
  </si>
  <si>
    <t>308.05%</t>
  </si>
  <si>
    <t>1.13 - 5.42</t>
  </si>
  <si>
    <t>-90.70%</t>
  </si>
  <si>
    <t>598.64%</t>
  </si>
  <si>
    <t>127.14%</t>
  </si>
  <si>
    <t>197.48%</t>
  </si>
  <si>
    <t>121.68%</t>
  </si>
  <si>
    <t>TD Synnex Corp</t>
  </si>
  <si>
    <t>Electronics &amp; Computer Distribution</t>
  </si>
  <si>
    <t>10/17/2025</t>
  </si>
  <si>
    <t>20.12%</t>
  </si>
  <si>
    <t>8.44%</t>
  </si>
  <si>
    <t>-3.97%</t>
  </si>
  <si>
    <t>22.74%</t>
  </si>
  <si>
    <t>19.73%</t>
  </si>
  <si>
    <t>17.55%</t>
  </si>
  <si>
    <t>92.90%</t>
  </si>
  <si>
    <t>3.76%</t>
  </si>
  <si>
    <t>2.09%</t>
  </si>
  <si>
    <t>8.19%</t>
  </si>
  <si>
    <t>73.90%</t>
  </si>
  <si>
    <t>92.23 - 159.92</t>
  </si>
  <si>
    <t>3609.74%</t>
  </si>
  <si>
    <t>19.00%</t>
  </si>
  <si>
    <t>49.14%</t>
  </si>
  <si>
    <t>34.91%</t>
  </si>
  <si>
    <t>Idaho Strategic Resources Inc</t>
  </si>
  <si>
    <t>9/28/2006</t>
  </si>
  <si>
    <t>59.64%</t>
  </si>
  <si>
    <t>54.71%</t>
  </si>
  <si>
    <t>27.36%</t>
  </si>
  <si>
    <t>34.64%</t>
  </si>
  <si>
    <t>27.57%</t>
  </si>
  <si>
    <t>29.13%</t>
  </si>
  <si>
    <t>7.91%</t>
  </si>
  <si>
    <t>7.17%</t>
  </si>
  <si>
    <t>34.59%</t>
  </si>
  <si>
    <t>106.69%</t>
  </si>
  <si>
    <t>110.75%</t>
  </si>
  <si>
    <t>249.43%</t>
  </si>
  <si>
    <t>9.67 - 33.68</t>
  </si>
  <si>
    <t>24030.79%</t>
  </si>
  <si>
    <t>162.70%</t>
  </si>
  <si>
    <t>144.10%</t>
  </si>
  <si>
    <t>115.32%</t>
  </si>
  <si>
    <t>Better Home &amp; Finance Holding Co</t>
  </si>
  <si>
    <t>Mortgage Finance</t>
  </si>
  <si>
    <t>-13.28%</t>
  </si>
  <si>
    <t>-421.19%</t>
  </si>
  <si>
    <t>75.03%</t>
  </si>
  <si>
    <t>40.47%</t>
  </si>
  <si>
    <t>-5.29%</t>
  </si>
  <si>
    <t>-8.73%</t>
  </si>
  <si>
    <t>76.09%</t>
  </si>
  <si>
    <t>-100.62%</t>
  </si>
  <si>
    <t>-130.85%</t>
  </si>
  <si>
    <t>52.06%</t>
  </si>
  <si>
    <t>18.11%</t>
  </si>
  <si>
    <t>57.86%</t>
  </si>
  <si>
    <t>132.93%</t>
  </si>
  <si>
    <t>264.28%</t>
  </si>
  <si>
    <t>-43.20%</t>
  </si>
  <si>
    <t>324.99%</t>
  </si>
  <si>
    <t>593.18%</t>
  </si>
  <si>
    <t>7.71 - 94.06</t>
  </si>
  <si>
    <t>-98.30%</t>
  </si>
  <si>
    <t>340.77%</t>
  </si>
  <si>
    <t>336.09%</t>
  </si>
  <si>
    <t>188.77%</t>
  </si>
  <si>
    <t>Neuraxis Inc</t>
  </si>
  <si>
    <t>6.55%</t>
  </si>
  <si>
    <t>-25.70%</t>
  </si>
  <si>
    <t>-14.82%</t>
  </si>
  <si>
    <t>41.93%</t>
  </si>
  <si>
    <t>46.21%</t>
  </si>
  <si>
    <t>-15.79%</t>
  </si>
  <si>
    <t>-8.30%</t>
  </si>
  <si>
    <t>84.83%</t>
  </si>
  <si>
    <t>-221.62%</t>
  </si>
  <si>
    <t>-242.56%</t>
  </si>
  <si>
    <t>5.84%</t>
  </si>
  <si>
    <t>14.97%</t>
  </si>
  <si>
    <t>20.42%</t>
  </si>
  <si>
    <t>0.34%</t>
  </si>
  <si>
    <t>-52.74%</t>
  </si>
  <si>
    <t>120.30%</t>
  </si>
  <si>
    <t>1.33 - 6.20</t>
  </si>
  <si>
    <t>-57.72%</t>
  </si>
  <si>
    <t>18.15%</t>
  </si>
  <si>
    <t>37.47%</t>
  </si>
  <si>
    <t>FirstCash Holdings Inc</t>
  </si>
  <si>
    <t>Credit Services</t>
  </si>
  <si>
    <t>7.35%</t>
  </si>
  <si>
    <t>7.44%</t>
  </si>
  <si>
    <t>25.48%</t>
  </si>
  <si>
    <t>23.46%</t>
  </si>
  <si>
    <t>23.24%</t>
  </si>
  <si>
    <t>25.88%</t>
  </si>
  <si>
    <t>12.69%</t>
  </si>
  <si>
    <t>-0.05%</t>
  </si>
  <si>
    <t>-2.16%</t>
  </si>
  <si>
    <t>88.23%</t>
  </si>
  <si>
    <t>51.12%</t>
  </si>
  <si>
    <t>14.48%</t>
  </si>
  <si>
    <t>1.77%</t>
  </si>
  <si>
    <t>5.23%</t>
  </si>
  <si>
    <t>11.07%</t>
  </si>
  <si>
    <t>24.82%</t>
  </si>
  <si>
    <t>0.93%</t>
  </si>
  <si>
    <t>31.15%</t>
  </si>
  <si>
    <t>55.97%</t>
  </si>
  <si>
    <t>100.24 - 154.90</t>
  </si>
  <si>
    <t>28218.19%</t>
  </si>
  <si>
    <t>16.22%</t>
  </si>
  <si>
    <t>30.12%</t>
  </si>
  <si>
    <t>35.78%</t>
  </si>
  <si>
    <t>Cidara Therapeutics Inc</t>
  </si>
  <si>
    <t>-17.79%</t>
  </si>
  <si>
    <t>33.92%</t>
  </si>
  <si>
    <t>-70.48%</t>
  </si>
  <si>
    <t>-42.85%</t>
  </si>
  <si>
    <t>14.95%</t>
  </si>
  <si>
    <t>84.29%</t>
  </si>
  <si>
    <t>9.76%</t>
  </si>
  <si>
    <t>6.36%</t>
  </si>
  <si>
    <t>31.78%</t>
  </si>
  <si>
    <t>143.93%</t>
  </si>
  <si>
    <t>-4.72%</t>
  </si>
  <si>
    <t>751.68%</t>
  </si>
  <si>
    <t>10.14 - 90.64</t>
  </si>
  <si>
    <t>-77.43%</t>
  </si>
  <si>
    <t>979.50%</t>
  </si>
  <si>
    <t>74.64%</t>
  </si>
  <si>
    <t>300.19%</t>
  </si>
  <si>
    <t>701.86%</t>
  </si>
  <si>
    <t>Interlink Electronics</t>
  </si>
  <si>
    <t>14.17%</t>
  </si>
  <si>
    <t>-45.17%</t>
  </si>
  <si>
    <t>-38.99%</t>
  </si>
  <si>
    <t>-7.12%</t>
  </si>
  <si>
    <t>9.84%</t>
  </si>
  <si>
    <t>17.81%</t>
  </si>
  <si>
    <t>-15.07%</t>
  </si>
  <si>
    <t>-17.39%</t>
  </si>
  <si>
    <t>15.98%</t>
  </si>
  <si>
    <t>12.84%</t>
  </si>
  <si>
    <t>40.36%</t>
  </si>
  <si>
    <t>69.87%</t>
  </si>
  <si>
    <t>105.37%</t>
  </si>
  <si>
    <t>154.06%</t>
  </si>
  <si>
    <t>342.46%</t>
  </si>
  <si>
    <t>3.25 - 14.46</t>
  </si>
  <si>
    <t>-84.41%</t>
  </si>
  <si>
    <t>7603.57%</t>
  </si>
  <si>
    <t>103.11%</t>
  </si>
  <si>
    <t>114.95%</t>
  </si>
  <si>
    <t>307.37%</t>
  </si>
  <si>
    <t>Werewolf Therapeutics Inc</t>
  </si>
  <si>
    <t>-2.23%</t>
  </si>
  <si>
    <t>39.54%</t>
  </si>
  <si>
    <t>-20.76%</t>
  </si>
  <si>
    <t>-3.27%</t>
  </si>
  <si>
    <t>14.53%</t>
  </si>
  <si>
    <t>34.32%</t>
  </si>
  <si>
    <t>17.19%</t>
  </si>
  <si>
    <t>8.09%</t>
  </si>
  <si>
    <t>29.21%</t>
  </si>
  <si>
    <t>42.33%</t>
  </si>
  <si>
    <t>56.86%</t>
  </si>
  <si>
    <t>-11.43%</t>
  </si>
  <si>
    <t>76.34%</t>
  </si>
  <si>
    <t>-52.75%</t>
  </si>
  <si>
    <t>231.93%</t>
  </si>
  <si>
    <t>0.60 - 4.18</t>
  </si>
  <si>
    <t>-91.77%</t>
  </si>
  <si>
    <t>93.63%</t>
  </si>
  <si>
    <t>84.58%</t>
  </si>
  <si>
    <t>First Savings Financial Group Inc</t>
  </si>
  <si>
    <t>-1.32%</t>
  </si>
  <si>
    <t>1.93%</t>
  </si>
  <si>
    <t>9/15/2025</t>
  </si>
  <si>
    <t>17.90%</t>
  </si>
  <si>
    <t>22.95%</t>
  </si>
  <si>
    <t>-21.65%</t>
  </si>
  <si>
    <t>7.93%</t>
  </si>
  <si>
    <t>-12.35%</t>
  </si>
  <si>
    <t>32.40%</t>
  </si>
  <si>
    <t>16.23%</t>
  </si>
  <si>
    <t>15.04%</t>
  </si>
  <si>
    <t>2.24%</t>
  </si>
  <si>
    <t>19.10%</t>
  </si>
  <si>
    <t>23.49%</t>
  </si>
  <si>
    <t>-2.94%</t>
  </si>
  <si>
    <t>27.48%</t>
  </si>
  <si>
    <t>48.08%</t>
  </si>
  <si>
    <t>21.63 - 33.00</t>
  </si>
  <si>
    <t>1098.24%</t>
  </si>
  <si>
    <t>31.81%</t>
  </si>
  <si>
    <t>34.41%</t>
  </si>
  <si>
    <t>Willow Lane Acquisition Corp</t>
  </si>
  <si>
    <t>-4.10%</t>
  </si>
  <si>
    <t>64.20%</t>
  </si>
  <si>
    <t>5.08%</t>
  </si>
  <si>
    <t>1.99%</t>
  </si>
  <si>
    <t>12.37%</t>
  </si>
  <si>
    <t>21.44%</t>
  </si>
  <si>
    <t>-5.70%</t>
  </si>
  <si>
    <t>21.75%</t>
  </si>
  <si>
    <t>26.53%</t>
  </si>
  <si>
    <t>9.80 - 13.15</t>
  </si>
  <si>
    <t>22.65%</t>
  </si>
  <si>
    <t>25.13%</t>
  </si>
  <si>
    <t>Nova Lifestyle Inc</t>
  </si>
  <si>
    <t>Furnishings, Fixtures &amp; Appliances</t>
  </si>
  <si>
    <t>55.15%</t>
  </si>
  <si>
    <t>27.92%</t>
  </si>
  <si>
    <t>-8.28%</t>
  </si>
  <si>
    <t>-15.12%</t>
  </si>
  <si>
    <t>0.72%</t>
  </si>
  <si>
    <t>-38.39%</t>
  </si>
  <si>
    <t>-42.43%</t>
  </si>
  <si>
    <t>4.66%</t>
  </si>
  <si>
    <t>15.10%</t>
  </si>
  <si>
    <t>68.00%</t>
  </si>
  <si>
    <t>256.60%</t>
  </si>
  <si>
    <t>265.25%</t>
  </si>
  <si>
    <t>1237.66%</t>
  </si>
  <si>
    <t>0.38 - 5.93</t>
  </si>
  <si>
    <t>-98.53%</t>
  </si>
  <si>
    <t>267.86%</t>
  </si>
  <si>
    <t>631.95%</t>
  </si>
  <si>
    <t>262.68%</t>
  </si>
  <si>
    <t>Delixy Holdings Ltd</t>
  </si>
  <si>
    <t>Oil &amp; Gas Refining &amp; Marketing</t>
  </si>
  <si>
    <t>5.07%</t>
  </si>
  <si>
    <t>17.62%</t>
  </si>
  <si>
    <t>26.12%</t>
  </si>
  <si>
    <t>-0.30%</t>
  </si>
  <si>
    <t>56.64%</t>
  </si>
  <si>
    <t>-7.68%</t>
  </si>
  <si>
    <t>69.49%</t>
  </si>
  <si>
    <t>3.90 - 7.16</t>
  </si>
  <si>
    <t>Monopar Therapeutics Inc</t>
  </si>
  <si>
    <t>-0.57%</t>
  </si>
  <si>
    <t>-4.06%</t>
  </si>
  <si>
    <t>-15.56%</t>
  </si>
  <si>
    <t>23.63%</t>
  </si>
  <si>
    <t>50.96%</t>
  </si>
  <si>
    <t>10.68%</t>
  </si>
  <si>
    <t>42.59%</t>
  </si>
  <si>
    <t>72.21%</t>
  </si>
  <si>
    <t>104.92%</t>
  </si>
  <si>
    <t>-3.51%</t>
  </si>
  <si>
    <t>163.88%</t>
  </si>
  <si>
    <t>1611.11%</t>
  </si>
  <si>
    <t>4.50 - 79.80</t>
  </si>
  <si>
    <t>-67.92%</t>
  </si>
  <si>
    <t>5522.49%</t>
  </si>
  <si>
    <t>129.17%</t>
  </si>
  <si>
    <t>86.04%</t>
  </si>
  <si>
    <t>1646.03%</t>
  </si>
  <si>
    <t>Sabine Royalty Trust</t>
  </si>
  <si>
    <t>Oil &amp; Gas Midstream</t>
  </si>
  <si>
    <t>2.17%</t>
  </si>
  <si>
    <t>-14.58%</t>
  </si>
  <si>
    <t>12.53%</t>
  </si>
  <si>
    <t>99.80%</t>
  </si>
  <si>
    <t>11.24%</t>
  </si>
  <si>
    <t>12.58%</t>
  </si>
  <si>
    <t>-16.05%</t>
  </si>
  <si>
    <t>12.14%</t>
  </si>
  <si>
    <t>13.34%</t>
  </si>
  <si>
    <t>1.81%</t>
  </si>
  <si>
    <t>23.58%</t>
  </si>
  <si>
    <t>28.07%</t>
  </si>
  <si>
    <t>58.25 - 81.73</t>
  </si>
  <si>
    <t>-8.41%</t>
  </si>
  <si>
    <t>976.63%</t>
  </si>
  <si>
    <t>24.70%</t>
  </si>
  <si>
    <t>37.03%</t>
  </si>
  <si>
    <t>Tenax Therapeutics Inc</t>
  </si>
  <si>
    <t>92.30%</t>
  </si>
  <si>
    <t>77.86%</t>
  </si>
  <si>
    <t>-25.63%</t>
  </si>
  <si>
    <t>-1.43%</t>
  </si>
  <si>
    <t>49.95%</t>
  </si>
  <si>
    <t>16.28%</t>
  </si>
  <si>
    <t>-1.11%</t>
  </si>
  <si>
    <t>-10.65%</t>
  </si>
  <si>
    <t>116.92%</t>
  </si>
  <si>
    <t>3.25 - 7.89</t>
  </si>
  <si>
    <t>154.51%</t>
  </si>
  <si>
    <t>106.74%</t>
  </si>
  <si>
    <t>Texas Ventures Acquisition III Corp</t>
  </si>
  <si>
    <t>60.43%</t>
  </si>
  <si>
    <t>5.28%</t>
  </si>
  <si>
    <t>5.62%</t>
  </si>
  <si>
    <t>-0.93%</t>
  </si>
  <si>
    <t>6.06%</t>
  </si>
  <si>
    <t>6.91%</t>
  </si>
  <si>
    <t>9.98 - 10.77</t>
  </si>
  <si>
    <t>eXoZymes Inc</t>
  </si>
  <si>
    <t>13.28%</t>
  </si>
  <si>
    <t>-81.79%</t>
  </si>
  <si>
    <t>5.35%</t>
  </si>
  <si>
    <t>5.25%</t>
  </si>
  <si>
    <t>34.49%</t>
  </si>
  <si>
    <t>52.65%</t>
  </si>
  <si>
    <t>26.30%</t>
  </si>
  <si>
    <t>10.00%</t>
  </si>
  <si>
    <t>94.12%</t>
  </si>
  <si>
    <t>8.50 - 23.99</t>
  </si>
  <si>
    <t>14.35%</t>
  </si>
  <si>
    <t>Churchill Capital Corp X</t>
  </si>
  <si>
    <t>-1.54%</t>
  </si>
  <si>
    <t>18.06%</t>
  </si>
  <si>
    <t>25.42%</t>
  </si>
  <si>
    <t>30.05%</t>
  </si>
  <si>
    <t>30.96%</t>
  </si>
  <si>
    <t>10.03 - 13.80</t>
  </si>
  <si>
    <t>Amplify Energy Corp</t>
  </si>
  <si>
    <t>3/13/2020</t>
  </si>
  <si>
    <t>-10.36%</t>
  </si>
  <si>
    <t>1.35%</t>
  </si>
  <si>
    <t>-14.01%</t>
  </si>
  <si>
    <t>-155.35%</t>
  </si>
  <si>
    <t>46.03%</t>
  </si>
  <si>
    <t>26.38%</t>
  </si>
  <si>
    <t>5.26%</t>
  </si>
  <si>
    <t>7.90%</t>
  </si>
  <si>
    <t>5.63%</t>
  </si>
  <si>
    <t>41.32%</t>
  </si>
  <si>
    <t>52.76%</t>
  </si>
  <si>
    <t>50.01%</t>
  </si>
  <si>
    <t>91.67%</t>
  </si>
  <si>
    <t>-16.26%</t>
  </si>
  <si>
    <t>171.15%</t>
  </si>
  <si>
    <t>2.27 - 7.35</t>
  </si>
  <si>
    <t>-75.38%</t>
  </si>
  <si>
    <t>1149.75%</t>
  </si>
  <si>
    <t>53.49%</t>
  </si>
  <si>
    <t>ClearPoint Neuro Inc</t>
  </si>
  <si>
    <t>-10.69%</t>
  </si>
  <si>
    <t>24.42%</t>
  </si>
  <si>
    <t>22.85%</t>
  </si>
  <si>
    <t>-5.00%</t>
  </si>
  <si>
    <t>-1.00%</t>
  </si>
  <si>
    <t>33.53%</t>
  </si>
  <si>
    <t>60.42%</t>
  </si>
  <si>
    <t>-67.33%</t>
  </si>
  <si>
    <t>-66.15%</t>
  </si>
  <si>
    <t>60.52%</t>
  </si>
  <si>
    <t>72.26%</t>
  </si>
  <si>
    <t>46.84%</t>
  </si>
  <si>
    <t>-9.04%</t>
  </si>
  <si>
    <t>97.38%</t>
  </si>
  <si>
    <t>101.02%</t>
  </si>
  <si>
    <t>9.76 - 21.57</t>
  </si>
  <si>
    <t>-90.19%</t>
  </si>
  <si>
    <t>1375.19%</t>
  </si>
  <si>
    <t>66.27%</t>
  </si>
  <si>
    <t>57.97%</t>
  </si>
  <si>
    <t>72.11%</t>
  </si>
  <si>
    <t>RAPT Therapeutics Inc</t>
  </si>
  <si>
    <t>45.65%</t>
  </si>
  <si>
    <t>84.71%</t>
  </si>
  <si>
    <t>150.23%</t>
  </si>
  <si>
    <t>186.51%</t>
  </si>
  <si>
    <t>-5.61%</t>
  </si>
  <si>
    <t>342.53%</t>
  </si>
  <si>
    <t>5.67 - 26.56</t>
  </si>
  <si>
    <t>-93.88%</t>
  </si>
  <si>
    <t>197.39%</t>
  </si>
  <si>
    <t>121.47%</t>
  </si>
  <si>
    <t>78.05%</t>
  </si>
  <si>
    <t>Tourmaline Bio Inc</t>
  </si>
  <si>
    <t>10/20/2023</t>
  </si>
  <si>
    <t>43.97%</t>
  </si>
  <si>
    <t>74.40%</t>
  </si>
  <si>
    <t>62.23%</t>
  </si>
  <si>
    <t>138.97%</t>
  </si>
  <si>
    <t>167.54%</t>
  </si>
  <si>
    <t>312.89%</t>
  </si>
  <si>
    <t>11.56 - 47.79</t>
  </si>
  <si>
    <t>-75.92%</t>
  </si>
  <si>
    <t>436.29%</t>
  </si>
  <si>
    <t>188.57%</t>
  </si>
  <si>
    <t>185.30%</t>
  </si>
  <si>
    <t>102.68%</t>
  </si>
  <si>
    <t>Wolverine World Wide, Inc</t>
  </si>
  <si>
    <t>Footwear &amp; Accessories</t>
  </si>
  <si>
    <t>69.11%</t>
  </si>
  <si>
    <t>-10.61%</t>
  </si>
  <si>
    <t>-16.72%</t>
  </si>
  <si>
    <t>31.06%</t>
  </si>
  <si>
    <t>-10.09%</t>
  </si>
  <si>
    <t>44.63%</t>
  </si>
  <si>
    <t>114.77%</t>
  </si>
  <si>
    <t>45.51%</t>
  </si>
  <si>
    <t>4.58%</t>
  </si>
  <si>
    <t>-8.24%</t>
  </si>
  <si>
    <t>-14.99%</t>
  </si>
  <si>
    <t>42.18%</t>
  </si>
  <si>
    <t>191.04%</t>
  </si>
  <si>
    <t>9.58 - 32.80</t>
  </si>
  <si>
    <t>-37.68%</t>
  </si>
  <si>
    <t>6813.52%</t>
  </si>
  <si>
    <t>50.47%</t>
  </si>
  <si>
    <t>96.77%</t>
  </si>
  <si>
    <t>73.29%</t>
  </si>
  <si>
    <t>['50 SMA above 200 SMA (Golden cross)', 'Average Volume (Over 1M)', 'Performance 1Y (1Y up)', 'Performance 3M (3M up)', 'Performance 6M (6M up)', 'Price Above 50 SMA (Price &gt; 50 SMA)', 'RSI (14) High (RSI &gt; 60)']</t>
  </si>
  <si>
    <t>Ally Financial Inc</t>
  </si>
  <si>
    <t>-1.07%</t>
  </si>
  <si>
    <t>8/1/2025</t>
  </si>
  <si>
    <t>10.89%</t>
  </si>
  <si>
    <t>12.03%</t>
  </si>
  <si>
    <t>66.70%</t>
  </si>
  <si>
    <t>-39.74%</t>
  </si>
  <si>
    <t>-16.14%</t>
  </si>
  <si>
    <t>36.80%</t>
  </si>
  <si>
    <t>-5.33%</t>
  </si>
  <si>
    <t>15.08%</t>
  </si>
  <si>
    <t>21.89%</t>
  </si>
  <si>
    <t>93.70%</t>
  </si>
  <si>
    <t>6.04%</t>
  </si>
  <si>
    <t>-4.08%</t>
  </si>
  <si>
    <t>11.87%</t>
  </si>
  <si>
    <t>36.84%</t>
  </si>
  <si>
    <t>29.52 - 44.83</t>
  </si>
  <si>
    <t>-28.64%</t>
  </si>
  <si>
    <t>295.25%</t>
  </si>
  <si>
    <t>18.18%</t>
  </si>
  <si>
    <t>Enovis Corp</t>
  </si>
  <si>
    <t>-0.72%</t>
  </si>
  <si>
    <t>12.25%</t>
  </si>
  <si>
    <t>13.90%</t>
  </si>
  <si>
    <t>9.91%</t>
  </si>
  <si>
    <t>118.69%</t>
  </si>
  <si>
    <t>50.72%</t>
  </si>
  <si>
    <t>-37.80%</t>
  </si>
  <si>
    <t>3.49%</t>
  </si>
  <si>
    <t>-17.14%</t>
  </si>
  <si>
    <t>-11.95%</t>
  </si>
  <si>
    <t>17.04%</t>
  </si>
  <si>
    <t>-40.19%</t>
  </si>
  <si>
    <t>25.47 - 49.83</t>
  </si>
  <si>
    <t>-77.01%</t>
  </si>
  <si>
    <t>225.13%</t>
  </si>
  <si>
    <t>-6.21%</t>
  </si>
  <si>
    <t>-31.50%</t>
  </si>
  <si>
    <t>Cousins Properties Inc</t>
  </si>
  <si>
    <t>4.55%</t>
  </si>
  <si>
    <t>10/3/2025</t>
  </si>
  <si>
    <t>428.81%</t>
  </si>
  <si>
    <t>-45.77%</t>
  </si>
  <si>
    <t>14.67%</t>
  </si>
  <si>
    <t>13.07%</t>
  </si>
  <si>
    <t>12.08%</t>
  </si>
  <si>
    <t>102.29%</t>
  </si>
  <si>
    <t>26.77%</t>
  </si>
  <si>
    <t>-2.82%</t>
  </si>
  <si>
    <t>7.76%</t>
  </si>
  <si>
    <t>-13.36%</t>
  </si>
  <si>
    <t>17.16%</t>
  </si>
  <si>
    <t>24.07 - 32.55</t>
  </si>
  <si>
    <t>-73.33%</t>
  </si>
  <si>
    <t>505.46%</t>
  </si>
  <si>
    <t>-6.28%</t>
  </si>
  <si>
    <t>-4.86%</t>
  </si>
  <si>
    <t>-6.65%</t>
  </si>
  <si>
    <t>Fortrea Holdings Inc</t>
  </si>
  <si>
    <t>-2.54%</t>
  </si>
  <si>
    <t>3.94%</t>
  </si>
  <si>
    <t>-4.96%</t>
  </si>
  <si>
    <t>150.99%</t>
  </si>
  <si>
    <t>8.29%</t>
  </si>
  <si>
    <t>111.03%</t>
  </si>
  <si>
    <t>16.76%</t>
  </si>
  <si>
    <t>-2.67%</t>
  </si>
  <si>
    <t>-37.70%</t>
  </si>
  <si>
    <t>5.85%</t>
  </si>
  <si>
    <t>-13.44%</t>
  </si>
  <si>
    <t>-27.43%</t>
  </si>
  <si>
    <t>95.14%</t>
  </si>
  <si>
    <t>-65.61%</t>
  </si>
  <si>
    <t>118.98%</t>
  </si>
  <si>
    <t>3.97 - 25.28</t>
  </si>
  <si>
    <t>-78.81%</t>
  </si>
  <si>
    <t>74.57%</t>
  </si>
  <si>
    <t>3.99%</t>
  </si>
  <si>
    <t>-60.86%</t>
  </si>
  <si>
    <t>Park Hotels &amp; Resorts Inc</t>
  </si>
  <si>
    <t>REIT - Hotel &amp; Motel</t>
  </si>
  <si>
    <t>99.05%</t>
  </si>
  <si>
    <t>-6.81%</t>
  </si>
  <si>
    <t>-13.22%</t>
  </si>
  <si>
    <t>-1.79%</t>
  </si>
  <si>
    <t>-2.04%</t>
  </si>
  <si>
    <t>-110.67%</t>
  </si>
  <si>
    <t>102.19%</t>
  </si>
  <si>
    <t>15.72%</t>
  </si>
  <si>
    <t>2.64%</t>
  </si>
  <si>
    <t>-2.13%</t>
  </si>
  <si>
    <t>-28.02%</t>
  </si>
  <si>
    <t>37.42%</t>
  </si>
  <si>
    <t>8.27 - 15.79</t>
  </si>
  <si>
    <t>-61.54%</t>
  </si>
  <si>
    <t>226.63%</t>
  </si>
  <si>
    <t>Evolv Technologies Holdings Inc</t>
  </si>
  <si>
    <t>Security &amp; Protection Services</t>
  </si>
  <si>
    <t>-31.45%</t>
  </si>
  <si>
    <t>42.09%</t>
  </si>
  <si>
    <t>35.63%</t>
  </si>
  <si>
    <t>64.36%</t>
  </si>
  <si>
    <t>115.85%</t>
  </si>
  <si>
    <t>-3.23%</t>
  </si>
  <si>
    <t>56.39%</t>
  </si>
  <si>
    <t>-55.12%</t>
  </si>
  <si>
    <t>-73.04%</t>
  </si>
  <si>
    <t>5.30%</t>
  </si>
  <si>
    <t>5.22%</t>
  </si>
  <si>
    <t>-6.52%</t>
  </si>
  <si>
    <t>51.24%</t>
  </si>
  <si>
    <t>39.09%</t>
  </si>
  <si>
    <t>275.00%</t>
  </si>
  <si>
    <t>2.04 - 8.91</t>
  </si>
  <si>
    <t>-40.70%</t>
  </si>
  <si>
    <t>387.26%</t>
  </si>
  <si>
    <t>22.79%</t>
  </si>
  <si>
    <t>140.57%</t>
  </si>
  <si>
    <t>82.14%</t>
  </si>
  <si>
    <t>Brilliant Earth Group Inc</t>
  </si>
  <si>
    <t>Luxury Goods</t>
  </si>
  <si>
    <t>8/22/2025</t>
  </si>
  <si>
    <t>-4.32%</t>
  </si>
  <si>
    <t>15.96%</t>
  </si>
  <si>
    <t>3.33%</t>
  </si>
  <si>
    <t>181.97%</t>
  </si>
  <si>
    <t>-0.22%</t>
  </si>
  <si>
    <t>57.84%</t>
  </si>
  <si>
    <t>8.93%</t>
  </si>
  <si>
    <t>-14.63%</t>
  </si>
  <si>
    <t>-30.35%</t>
  </si>
  <si>
    <t>72.72%</t>
  </si>
  <si>
    <t>1.25 - 3.10</t>
  </si>
  <si>
    <t>-89.41%</t>
  </si>
  <si>
    <t>55.32%</t>
  </si>
  <si>
    <t>34.10%</t>
  </si>
  <si>
    <t>Natera Inc</t>
  </si>
  <si>
    <t>Diagnostics &amp; Research</t>
  </si>
  <si>
    <t>-0.71%</t>
  </si>
  <si>
    <t>3.18%</t>
  </si>
  <si>
    <t>44.38%</t>
  </si>
  <si>
    <t>39.47%</t>
  </si>
  <si>
    <t>41.20%</t>
  </si>
  <si>
    <t>32.24%</t>
  </si>
  <si>
    <t>-20.23%</t>
  </si>
  <si>
    <t>-4.35%</t>
  </si>
  <si>
    <t>94.40%</t>
  </si>
  <si>
    <t>62.86%</t>
  </si>
  <si>
    <t>-14.95%</t>
  </si>
  <si>
    <t>-12.89%</t>
  </si>
  <si>
    <t>-5.01%</t>
  </si>
  <si>
    <t>2.67%</t>
  </si>
  <si>
    <t>-10.64%</t>
  </si>
  <si>
    <t>-11.20%</t>
  </si>
  <si>
    <t>38.57%</t>
  </si>
  <si>
    <t>117.27 - 183.00</t>
  </si>
  <si>
    <t>2392.30%</t>
  </si>
  <si>
    <t>-3.25%</t>
  </si>
  <si>
    <t>9.57%</t>
  </si>
  <si>
    <t>32.03%</t>
  </si>
  <si>
    <t>ZipRecruiter Inc</t>
  </si>
  <si>
    <t>-7.16%</t>
  </si>
  <si>
    <t>-16.20%</t>
  </si>
  <si>
    <t>-13.84%</t>
  </si>
  <si>
    <t>-9.24%</t>
  </si>
  <si>
    <t>23.17%</t>
  </si>
  <si>
    <t>-29.56%</t>
  </si>
  <si>
    <t>57.71%</t>
  </si>
  <si>
    <t>88.97%</t>
  </si>
  <si>
    <t>-5.68%</t>
  </si>
  <si>
    <t>-7.93%</t>
  </si>
  <si>
    <t>-6.97%</t>
  </si>
  <si>
    <t>0.05%</t>
  </si>
  <si>
    <t>-15.94%</t>
  </si>
  <si>
    <t>37.97%</t>
  </si>
  <si>
    <t>-58.98%</t>
  </si>
  <si>
    <t>3.35 - 11.25</t>
  </si>
  <si>
    <t>-85.97%</t>
  </si>
  <si>
    <t>-6.96%</t>
  </si>
  <si>
    <t>-25.44%</t>
  </si>
  <si>
    <t>-50.80%</t>
  </si>
  <si>
    <t>Live Nation Entertainment Inc</t>
  </si>
  <si>
    <t>Entertainment</t>
  </si>
  <si>
    <t>9.55%</t>
  </si>
  <si>
    <t>54.58%</t>
  </si>
  <si>
    <t>16.32%</t>
  </si>
  <si>
    <t>-60.11%</t>
  </si>
  <si>
    <t>81.35%</t>
  </si>
  <si>
    <t>22.76%</t>
  </si>
  <si>
    <t>5.90%</t>
  </si>
  <si>
    <t>2.31%</t>
  </si>
  <si>
    <t>1.97%</t>
  </si>
  <si>
    <t>-2.84%</t>
  </si>
  <si>
    <t>13.08%</t>
  </si>
  <si>
    <t>-7.56%</t>
  </si>
  <si>
    <t>52.04%</t>
  </si>
  <si>
    <t>106.56 - 175.25</t>
  </si>
  <si>
    <t>6458.91%</t>
  </si>
  <si>
    <t>50.80%</t>
  </si>
  <si>
    <t>Lowe's Cos., Inc</t>
  </si>
  <si>
    <t>Home Improvement Retail</t>
  </si>
  <si>
    <t>0.25%</t>
  </si>
  <si>
    <t>1.85%</t>
  </si>
  <si>
    <t>10/22/2025</t>
  </si>
  <si>
    <t>4.60%</t>
  </si>
  <si>
    <t>37.24%</t>
  </si>
  <si>
    <t>0.52%</t>
  </si>
  <si>
    <t>17.37%</t>
  </si>
  <si>
    <t>-0.49%</t>
  </si>
  <si>
    <t>-4.56%</t>
  </si>
  <si>
    <t>1.58%</t>
  </si>
  <si>
    <t>2.07%</t>
  </si>
  <si>
    <t>-13.42%</t>
  </si>
  <si>
    <t>78.01%</t>
  </si>
  <si>
    <t>31.33%</t>
  </si>
  <si>
    <t>1.36%</t>
  </si>
  <si>
    <t>-3.28%</t>
  </si>
  <si>
    <t>-6.84%</t>
  </si>
  <si>
    <t>18.68%</t>
  </si>
  <si>
    <t>-10.74%</t>
  </si>
  <si>
    <t>24.13%</t>
  </si>
  <si>
    <t>206.38 - 287.01</t>
  </si>
  <si>
    <t>53656.31%</t>
  </si>
  <si>
    <t>10.34%</t>
  </si>
  <si>
    <t>-3.71%</t>
  </si>
  <si>
    <t>Modine Manufacturing Co</t>
  </si>
  <si>
    <t>11/19/2008</t>
  </si>
  <si>
    <t>24.15%</t>
  </si>
  <si>
    <t>7.99%</t>
  </si>
  <si>
    <t>3.22%</t>
  </si>
  <si>
    <t>14.86%</t>
  </si>
  <si>
    <t>-21.39%</t>
  </si>
  <si>
    <t>109.12%</t>
  </si>
  <si>
    <t>25.04%</t>
  </si>
  <si>
    <t>4.13%</t>
  </si>
  <si>
    <t>28.42%</t>
  </si>
  <si>
    <t>-14.35%</t>
  </si>
  <si>
    <t>51.13%</t>
  </si>
  <si>
    <t>110.90%</t>
  </si>
  <si>
    <t>64.79 - 159.54</t>
  </si>
  <si>
    <t>18617.81%</t>
  </si>
  <si>
    <t>70.89%</t>
  </si>
  <si>
    <t>Diamondrock Hospitality Co</t>
  </si>
  <si>
    <t>0.62%</t>
  </si>
  <si>
    <t>-24.83%</t>
  </si>
  <si>
    <t>42.42%</t>
  </si>
  <si>
    <t>25.83%</t>
  </si>
  <si>
    <t>-1.15%</t>
  </si>
  <si>
    <t>106.11%</t>
  </si>
  <si>
    <t>17.36%</t>
  </si>
  <si>
    <t>14.46%</t>
  </si>
  <si>
    <t>-2.69%</t>
  </si>
  <si>
    <t>-7.17%</t>
  </si>
  <si>
    <t>-17.29%</t>
  </si>
  <si>
    <t>30.80%</t>
  </si>
  <si>
    <t>6.18 - 9.78</t>
  </si>
  <si>
    <t>-61.09%</t>
  </si>
  <si>
    <t>323.55%</t>
  </si>
  <si>
    <t>3.98%</t>
  </si>
  <si>
    <t>3.85%</t>
  </si>
  <si>
    <t>-8.61%</t>
  </si>
  <si>
    <t>Precigen Inc</t>
  </si>
  <si>
    <t>25.76%</t>
  </si>
  <si>
    <t>-1.12%</t>
  </si>
  <si>
    <t>-34.96%</t>
  </si>
  <si>
    <t>-46.64%</t>
  </si>
  <si>
    <t>19.39%</t>
  </si>
  <si>
    <t>27.55%</t>
  </si>
  <si>
    <t>-30.02%</t>
  </si>
  <si>
    <t>-2176.31%</t>
  </si>
  <si>
    <t>-2868.66%</t>
  </si>
  <si>
    <t>-15.06%</t>
  </si>
  <si>
    <t>85.32%</t>
  </si>
  <si>
    <t>-34.64%</t>
  </si>
  <si>
    <t>132.31%</t>
  </si>
  <si>
    <t>424.34%</t>
  </si>
  <si>
    <t>0.65 - 5.22</t>
  </si>
  <si>
    <t>-95.04%</t>
  </si>
  <si>
    <t>140.49%</t>
  </si>
  <si>
    <t>108.23%</t>
  </si>
  <si>
    <t>253.12%</t>
  </si>
  <si>
    <t>374Water Inc</t>
  </si>
  <si>
    <t>Pollution &amp; Treatment Controls</t>
  </si>
  <si>
    <t>-39.96%</t>
  </si>
  <si>
    <t>-41.65%</t>
  </si>
  <si>
    <t>110.00%</t>
  </si>
  <si>
    <t>79.36%</t>
  </si>
  <si>
    <t>1515.84%</t>
  </si>
  <si>
    <t>-573.79%</t>
  </si>
  <si>
    <t>-1299.84%</t>
  </si>
  <si>
    <t>-1279.52%</t>
  </si>
  <si>
    <t>-14.42%</t>
  </si>
  <si>
    <t>-21.95%</t>
  </si>
  <si>
    <t>-30.48%</t>
  </si>
  <si>
    <t>84.62%</t>
  </si>
  <si>
    <t>-84.62%</t>
  </si>
  <si>
    <t>0.16 - 1.95</t>
  </si>
  <si>
    <t>-99.72%</t>
  </si>
  <si>
    <t>-12.74%</t>
  </si>
  <si>
    <t>-16.36%</t>
  </si>
  <si>
    <t>-76.74%</t>
  </si>
  <si>
    <t>Astera Labs Inc</t>
  </si>
  <si>
    <t>-2.57%</t>
  </si>
  <si>
    <t>-17.13%</t>
  </si>
  <si>
    <t>52.69%</t>
  </si>
  <si>
    <t>163.80%</t>
  </si>
  <si>
    <t>122.75%</t>
  </si>
  <si>
    <t>149.74%</t>
  </si>
  <si>
    <t>35.76%</t>
  </si>
  <si>
    <t>-8.01%</t>
  </si>
  <si>
    <t>61.18%</t>
  </si>
  <si>
    <t>75.52%</t>
  </si>
  <si>
    <t>7.38%</t>
  </si>
  <si>
    <t>8.46%</t>
  </si>
  <si>
    <t>72.50%</t>
  </si>
  <si>
    <t>-25.64%</t>
  </si>
  <si>
    <t>115.05%</t>
  </si>
  <si>
    <t>314.81%</t>
  </si>
  <si>
    <t>47.12 - 262.90</t>
  </si>
  <si>
    <t>439.78%</t>
  </si>
  <si>
    <t>211.32%</t>
  </si>
  <si>
    <t>282.02%</t>
  </si>
  <si>
    <t>Revolve Group Inc</t>
  </si>
  <si>
    <t>Internet Retail</t>
  </si>
  <si>
    <t>-19.78%</t>
  </si>
  <si>
    <t>13.46%</t>
  </si>
  <si>
    <t>67.75%</t>
  </si>
  <si>
    <t>52.47%</t>
  </si>
  <si>
    <t>5.17%</t>
  </si>
  <si>
    <t>3.46%</t>
  </si>
  <si>
    <t>3.92%</t>
  </si>
  <si>
    <t>-4.50%</t>
  </si>
  <si>
    <t>-8.80%</t>
  </si>
  <si>
    <t>22.01%</t>
  </si>
  <si>
    <t>-44.26%</t>
  </si>
  <si>
    <t>31.31%</t>
  </si>
  <si>
    <t>16.80 - 39.58</t>
  </si>
  <si>
    <t>207.67%</t>
  </si>
  <si>
    <t>5.55%</t>
  </si>
  <si>
    <t>-4.79%</t>
  </si>
  <si>
    <t>-14.79%</t>
  </si>
  <si>
    <t>Lemonade Inc</t>
  </si>
  <si>
    <t>Insurance - Property &amp; Casualty</t>
  </si>
  <si>
    <t>-2.97%</t>
  </si>
  <si>
    <t>10.27%</t>
  </si>
  <si>
    <t>-8.22%</t>
  </si>
  <si>
    <t>38.92%</t>
  </si>
  <si>
    <t>22.91%</t>
  </si>
  <si>
    <t>73.41%</t>
  </si>
  <si>
    <t>45.27%</t>
  </si>
  <si>
    <t>53.64%</t>
  </si>
  <si>
    <t>7.85%</t>
  </si>
  <si>
    <t>-5.35%</t>
  </si>
  <si>
    <t>30.50%</t>
  </si>
  <si>
    <t>42.58%</t>
  </si>
  <si>
    <t>233.34%</t>
  </si>
  <si>
    <t>15.27 - 62.00</t>
  </si>
  <si>
    <t>-72.97%</t>
  </si>
  <si>
    <t>395.87%</t>
  </si>
  <si>
    <t>21.02%</t>
  </si>
  <si>
    <t>50.64%</t>
  </si>
  <si>
    <t>195.42%</t>
  </si>
  <si>
    <t>Designer Brands Inc</t>
  </si>
  <si>
    <t>5.34%</t>
  </si>
  <si>
    <t>-27.52%</t>
  </si>
  <si>
    <t>-4.63%</t>
  </si>
  <si>
    <t>-1.99%</t>
  </si>
  <si>
    <t>-4.16%</t>
  </si>
  <si>
    <t>52.19%</t>
  </si>
  <si>
    <t>72.13%</t>
  </si>
  <si>
    <t>38.84%</t>
  </si>
  <si>
    <t>-1.09%</t>
  </si>
  <si>
    <t>7.82%</t>
  </si>
  <si>
    <t>-10.67%</t>
  </si>
  <si>
    <t>-3.64%</t>
  </si>
  <si>
    <t>-24.85%</t>
  </si>
  <si>
    <t>46.08%</t>
  </si>
  <si>
    <t>71.26%</t>
  </si>
  <si>
    <t>2.17 - 7.46</t>
  </si>
  <si>
    <t>-92.17%</t>
  </si>
  <si>
    <t>51.42%</t>
  </si>
  <si>
    <t>-5.93%</t>
  </si>
  <si>
    <t>-46.56%</t>
  </si>
  <si>
    <t>IGC Pharma Inc</t>
  </si>
  <si>
    <t>32.33%</t>
  </si>
  <si>
    <t>12.85%</t>
  </si>
  <si>
    <t>24.95%</t>
  </si>
  <si>
    <t>47.38%</t>
  </si>
  <si>
    <t>-524.11%</t>
  </si>
  <si>
    <t>-477.92%</t>
  </si>
  <si>
    <t>15.41%</t>
  </si>
  <si>
    <t>-22.45%</t>
  </si>
  <si>
    <t>53.11%</t>
  </si>
  <si>
    <t>0.25 - 0.50</t>
  </si>
  <si>
    <t>-99.46%</t>
  </si>
  <si>
    <t>25.11%</t>
  </si>
  <si>
    <t>28.87%</t>
  </si>
  <si>
    <t>12.48%</t>
  </si>
  <si>
    <t>Insmed Inc</t>
  </si>
  <si>
    <t>-13.12%</t>
  </si>
  <si>
    <t>50.45%</t>
  </si>
  <si>
    <t>21.15%</t>
  </si>
  <si>
    <t>24.50%</t>
  </si>
  <si>
    <t>18.90%</t>
  </si>
  <si>
    <t>-31.51%</t>
  </si>
  <si>
    <t>-21.52%</t>
  </si>
  <si>
    <t>99.30%</t>
  </si>
  <si>
    <t>74.45%</t>
  </si>
  <si>
    <t>-233.02%</t>
  </si>
  <si>
    <t>-259.82%</t>
  </si>
  <si>
    <t>-5.67%</t>
  </si>
  <si>
    <t>6.38%</t>
  </si>
  <si>
    <t>50.20%</t>
  </si>
  <si>
    <t>-9.21%</t>
  </si>
  <si>
    <t>33.28%</t>
  </si>
  <si>
    <t>124.09%</t>
  </si>
  <si>
    <t>60.40 - 149.08</t>
  </si>
  <si>
    <t>-80.66%</t>
  </si>
  <si>
    <t>5026.89%</t>
  </si>
  <si>
    <t>36.04%</t>
  </si>
  <si>
    <t>74.22%</t>
  </si>
  <si>
    <t>86.36%</t>
  </si>
  <si>
    <t>Gap, Inc</t>
  </si>
  <si>
    <t>Apparel Retail</t>
  </si>
  <si>
    <t>10/8/2025</t>
  </si>
  <si>
    <t>27.30%</t>
  </si>
  <si>
    <t>48.70%</t>
  </si>
  <si>
    <t>18.81%</t>
  </si>
  <si>
    <t>1.90%</t>
  </si>
  <si>
    <t>0.13%</t>
  </si>
  <si>
    <t>3.41%</t>
  </si>
  <si>
    <t>58.44%</t>
  </si>
  <si>
    <t>40.99%</t>
  </si>
  <si>
    <t>7.58%</t>
  </si>
  <si>
    <t>3.26%</t>
  </si>
  <si>
    <t>-5.03%</t>
  </si>
  <si>
    <t>-1.86%</t>
  </si>
  <si>
    <t>-25.18%</t>
  </si>
  <si>
    <t>28.98%</t>
  </si>
  <si>
    <t>16.99 - 29.29</t>
  </si>
  <si>
    <t>-59.23%</t>
  </si>
  <si>
    <t>13423.70%</t>
  </si>
  <si>
    <t>0.06%</t>
  </si>
  <si>
    <t>Webster Financial Corp</t>
  </si>
  <si>
    <t>36.60%</t>
  </si>
  <si>
    <t>49.26%</t>
  </si>
  <si>
    <t>23.90%</t>
  </si>
  <si>
    <t>7.72%</t>
  </si>
  <si>
    <t>90.66%</t>
  </si>
  <si>
    <t>25.93%</t>
  </si>
  <si>
    <t>19.42%</t>
  </si>
  <si>
    <t>-2.66%</t>
  </si>
  <si>
    <t>-6.23%</t>
  </si>
  <si>
    <t>8.36%</t>
  </si>
  <si>
    <t>51.23%</t>
  </si>
  <si>
    <t>39.43 - 63.99</t>
  </si>
  <si>
    <t>-14.36%</t>
  </si>
  <si>
    <t>2986.73%</t>
  </si>
  <si>
    <t>14.63%</t>
  </si>
  <si>
    <t>28.51%</t>
  </si>
  <si>
    <t>First Hawaiian INC</t>
  </si>
  <si>
    <t>4.15%</t>
  </si>
  <si>
    <t>57.99%</t>
  </si>
  <si>
    <t>-4.38%</t>
  </si>
  <si>
    <t>-3.40%</t>
  </si>
  <si>
    <t>4.36%</t>
  </si>
  <si>
    <t>-2.56%</t>
  </si>
  <si>
    <t>16.70%</t>
  </si>
  <si>
    <t>18.37%</t>
  </si>
  <si>
    <t>99.76%</t>
  </si>
  <si>
    <t>26.52%</t>
  </si>
  <si>
    <t>21.34%</t>
  </si>
  <si>
    <t>-1.97%</t>
  </si>
  <si>
    <t>-0.25%</t>
  </si>
  <si>
    <t>0.08%</t>
  </si>
  <si>
    <t>-5.12%</t>
  </si>
  <si>
    <t>23.23%</t>
  </si>
  <si>
    <t>20.32 - 28.80</t>
  </si>
  <si>
    <t>-29.41%</t>
  </si>
  <si>
    <t>84.73%</t>
  </si>
  <si>
    <t>TEGNA Inc</t>
  </si>
  <si>
    <t>Broadcasting</t>
  </si>
  <si>
    <t>2.46%</t>
  </si>
  <si>
    <t>9/5/2025</t>
  </si>
  <si>
    <t>13.84%</t>
  </si>
  <si>
    <t>-13.17%</t>
  </si>
  <si>
    <t>5.89%</t>
  </si>
  <si>
    <t>1.22%</t>
  </si>
  <si>
    <t>-4.97%</t>
  </si>
  <si>
    <t>20.55%</t>
  </si>
  <si>
    <t>100.47%</t>
  </si>
  <si>
    <t>38.56%</t>
  </si>
  <si>
    <t>24.45%</t>
  </si>
  <si>
    <t>13.42%</t>
  </si>
  <si>
    <t>-4.64%</t>
  </si>
  <si>
    <t>36.92%</t>
  </si>
  <si>
    <t>14.87 - 21.35</t>
  </si>
  <si>
    <t>-56.50%</t>
  </si>
  <si>
    <t>2048.50%</t>
  </si>
  <si>
    <t>21.63%</t>
  </si>
  <si>
    <t>11.32%</t>
  </si>
  <si>
    <t>35.64%</t>
  </si>
  <si>
    <t>Celsius Holdings Inc</t>
  </si>
  <si>
    <t>Beverages - Non-Alcoholic</t>
  </si>
  <si>
    <t>3.39%</t>
  </si>
  <si>
    <t>199.19%</t>
  </si>
  <si>
    <t>54.27%</t>
  </si>
  <si>
    <t>59.73%</t>
  </si>
  <si>
    <t>62.78%</t>
  </si>
  <si>
    <t>78.34%</t>
  </si>
  <si>
    <t>83.91%</t>
  </si>
  <si>
    <t>56.40%</t>
  </si>
  <si>
    <t>65.71%</t>
  </si>
  <si>
    <t>49.55%</t>
  </si>
  <si>
    <t>38.90%</t>
  </si>
  <si>
    <t>-15.65%</t>
  </si>
  <si>
    <t>29.65%</t>
  </si>
  <si>
    <t>153.84%</t>
  </si>
  <si>
    <t>21.10 - 63.50</t>
  </si>
  <si>
    <t>-46.24%</t>
  </si>
  <si>
    <t>114671.55%</t>
  </si>
  <si>
    <t>52.38%</t>
  </si>
  <si>
    <t>69.33%</t>
  </si>
  <si>
    <t>Incyte Corp</t>
  </si>
  <si>
    <t>-66.90%</t>
  </si>
  <si>
    <t>-40.36%</t>
  </si>
  <si>
    <t>98.15%</t>
  </si>
  <si>
    <t>18.87%</t>
  </si>
  <si>
    <t>12.41%</t>
  </si>
  <si>
    <t>16.46%</t>
  </si>
  <si>
    <t>-2.20%</t>
  </si>
  <si>
    <t>102.38%</t>
  </si>
  <si>
    <t>91.43%</t>
  </si>
  <si>
    <t>21.69%</t>
  </si>
  <si>
    <t>18.99%</t>
  </si>
  <si>
    <t>2.37%</t>
  </si>
  <si>
    <t>16.83%</t>
  </si>
  <si>
    <t>22.77%</t>
  </si>
  <si>
    <t>53.97%</t>
  </si>
  <si>
    <t>53.56 - 87.99</t>
  </si>
  <si>
    <t>-46.15%</t>
  </si>
  <si>
    <t>4879.02%</t>
  </si>
  <si>
    <t>20.62%</t>
  </si>
  <si>
    <t>35.90%</t>
  </si>
  <si>
    <t>29.46%</t>
  </si>
  <si>
    <t>Streamex Corp</t>
  </si>
  <si>
    <t>57.17%</t>
  </si>
  <si>
    <t>46.11%</t>
  </si>
  <si>
    <t>-67.50%</t>
  </si>
  <si>
    <t>-55.07%</t>
  </si>
  <si>
    <t>-180.00%</t>
  </si>
  <si>
    <t>26.23%</t>
  </si>
  <si>
    <t>-4792.31%</t>
  </si>
  <si>
    <t>-211400.00%</t>
  </si>
  <si>
    <t>-201892.31%</t>
  </si>
  <si>
    <t>13.49%</t>
  </si>
  <si>
    <t>13.71%</t>
  </si>
  <si>
    <t>-6.61%</t>
  </si>
  <si>
    <t>0.59%</t>
  </si>
  <si>
    <t>59.61%</t>
  </si>
  <si>
    <t>39.12%</t>
  </si>
  <si>
    <t>-64.21%</t>
  </si>
  <si>
    <t>2095.65%</t>
  </si>
  <si>
    <t>0.23 - 14.11</t>
  </si>
  <si>
    <t>2412.44%</t>
  </si>
  <si>
    <t>-34.07%</t>
  </si>
  <si>
    <t>717.15%</t>
  </si>
  <si>
    <t>1480.15%</t>
  </si>
  <si>
    <t>SL Green Realty Corp</t>
  </si>
  <si>
    <t>-1.26%</t>
  </si>
  <si>
    <t>-7.15%</t>
  </si>
  <si>
    <t>-3.73%</t>
  </si>
  <si>
    <t>3826.34%</t>
  </si>
  <si>
    <t>-77.28%</t>
  </si>
  <si>
    <t>-52.62%</t>
  </si>
  <si>
    <t>15.25%</t>
  </si>
  <si>
    <t>5.73%</t>
  </si>
  <si>
    <t>84.54%</t>
  </si>
  <si>
    <t>38.54%</t>
  </si>
  <si>
    <t>37.25%</t>
  </si>
  <si>
    <t>-3.88%</t>
  </si>
  <si>
    <t>-2.80%</t>
  </si>
  <si>
    <t>-11.07%</t>
  </si>
  <si>
    <t>13.45%</t>
  </si>
  <si>
    <t>-28.81%</t>
  </si>
  <si>
    <t>45.15 - 82.81</t>
  </si>
  <si>
    <t>-62.91%</t>
  </si>
  <si>
    <t>660.21%</t>
  </si>
  <si>
    <t>-4.53%</t>
  </si>
  <si>
    <t>-17.60%</t>
  </si>
  <si>
    <t>Broadstone Net Lease Inc</t>
  </si>
  <si>
    <t>REIT - Diversified</t>
  </si>
  <si>
    <t>134.52%</t>
  </si>
  <si>
    <t>2.74%</t>
  </si>
  <si>
    <t>4.62%</t>
  </si>
  <si>
    <t>-43.63%</t>
  </si>
  <si>
    <t>85.12%</t>
  </si>
  <si>
    <t>58.14%</t>
  </si>
  <si>
    <t>48.48%</t>
  </si>
  <si>
    <t>21.83%</t>
  </si>
  <si>
    <t>-4.80%</t>
  </si>
  <si>
    <t>14.55%</t>
  </si>
  <si>
    <t>-6.27%</t>
  </si>
  <si>
    <t>28.58%</t>
  </si>
  <si>
    <t>13.96 - 19.15</t>
  </si>
  <si>
    <t>-31.64%</t>
  </si>
  <si>
    <t>34.68%</t>
  </si>
  <si>
    <t>11.08%</t>
  </si>
  <si>
    <t>-3.96%</t>
  </si>
  <si>
    <t>First American Financial Corp</t>
  </si>
  <si>
    <t>Insurance - Specialty</t>
  </si>
  <si>
    <t>9/22/2025</t>
  </si>
  <si>
    <t>3.32%</t>
  </si>
  <si>
    <t>4.96%</t>
  </si>
  <si>
    <t>170.25%</t>
  </si>
  <si>
    <t>-51.68%</t>
  </si>
  <si>
    <t>-27.38%</t>
  </si>
  <si>
    <t>75.41%</t>
  </si>
  <si>
    <t>14.28%</t>
  </si>
  <si>
    <t>34.82%</t>
  </si>
  <si>
    <t>90.16%</t>
  </si>
  <si>
    <t>6.15%</t>
  </si>
  <si>
    <t>2.90%</t>
  </si>
  <si>
    <t>-2.33%</t>
  </si>
  <si>
    <t>1.01%</t>
  </si>
  <si>
    <t>4.16%</t>
  </si>
  <si>
    <t>-5.83%</t>
  </si>
  <si>
    <t>-8.86%</t>
  </si>
  <si>
    <t>21.76%</t>
  </si>
  <si>
    <t>53.09 - 70.92</t>
  </si>
  <si>
    <t>-20.73%</t>
  </si>
  <si>
    <t>515.03%</t>
  </si>
  <si>
    <t>5.57%</t>
  </si>
  <si>
    <t>-2.75%</t>
  </si>
  <si>
    <t>-0.11%</t>
  </si>
  <si>
    <t>Biogen Inc</t>
  </si>
  <si>
    <t>Drug Manufacturers - General</t>
  </si>
  <si>
    <t>-18.66%</t>
  </si>
  <si>
    <t>-0.28%</t>
  </si>
  <si>
    <t>-3.78%</t>
  </si>
  <si>
    <t>-6.13%</t>
  </si>
  <si>
    <t>40.31%</t>
  </si>
  <si>
    <t>-1.87%</t>
  </si>
  <si>
    <t>89.80%</t>
  </si>
  <si>
    <t>66.28%</t>
  </si>
  <si>
    <t>2.40%</t>
  </si>
  <si>
    <t>-2.77%</t>
  </si>
  <si>
    <t>-8.64%</t>
  </si>
  <si>
    <t>-30.55%</t>
  </si>
  <si>
    <t>24.78%</t>
  </si>
  <si>
    <t>110.04 - 197.70</t>
  </si>
  <si>
    <t>-70.70%</t>
  </si>
  <si>
    <t>41987.75%</t>
  </si>
  <si>
    <t>8.90%</t>
  </si>
  <si>
    <t>Equillium Inc</t>
  </si>
  <si>
    <t>44.79%</t>
  </si>
  <si>
    <t>31.13%</t>
  </si>
  <si>
    <t>-11.64%</t>
  </si>
  <si>
    <t>-61.16%</t>
  </si>
  <si>
    <t>30.43%</t>
  </si>
  <si>
    <t>99.18%</t>
  </si>
  <si>
    <t>-123.69%</t>
  </si>
  <si>
    <t>-122.00%</t>
  </si>
  <si>
    <t>9.89%</t>
  </si>
  <si>
    <t>-14.84%</t>
  </si>
  <si>
    <t>95.87%</t>
  </si>
  <si>
    <t>-39.57%</t>
  </si>
  <si>
    <t>294.14%</t>
  </si>
  <si>
    <t>425.96%</t>
  </si>
  <si>
    <t>0.27 - 2.35</t>
  </si>
  <si>
    <t>-94.75%</t>
  </si>
  <si>
    <t>358.10%</t>
  </si>
  <si>
    <t>191.00%</t>
  </si>
  <si>
    <t>73.16%</t>
  </si>
  <si>
    <t>Universal Safety Products Inc</t>
  </si>
  <si>
    <t>-19.42%</t>
  </si>
  <si>
    <t>9/26/2025</t>
  </si>
  <si>
    <t>6.42%</t>
  </si>
  <si>
    <t>-16.84%</t>
  </si>
  <si>
    <t>4.27%</t>
  </si>
  <si>
    <t>23.59%</t>
  </si>
  <si>
    <t>-17.88%</t>
  </si>
  <si>
    <t>13.98%</t>
  </si>
  <si>
    <t>78.39%</t>
  </si>
  <si>
    <t>-38.32%</t>
  </si>
  <si>
    <t>78.35%</t>
  </si>
  <si>
    <t>359.53%</t>
  </si>
  <si>
    <t>0.93 - 6.96</t>
  </si>
  <si>
    <t>-85.94%</t>
  </si>
  <si>
    <t>1594.06%</t>
  </si>
  <si>
    <t>77.73%</t>
  </si>
  <si>
    <t>186.56%</t>
  </si>
  <si>
    <t>328.64%</t>
  </si>
  <si>
    <t>Carters Inc</t>
  </si>
  <si>
    <t>0.96%</t>
  </si>
  <si>
    <t>6.67%</t>
  </si>
  <si>
    <t>31.73%</t>
  </si>
  <si>
    <t>-24.84%</t>
  </si>
  <si>
    <t>-1.46%</t>
  </si>
  <si>
    <t>-6.56%</t>
  </si>
  <si>
    <t>3.70%</t>
  </si>
  <si>
    <t>-56.61%</t>
  </si>
  <si>
    <t>124.94%</t>
  </si>
  <si>
    <t>47.29%</t>
  </si>
  <si>
    <t>-25.48%</t>
  </si>
  <si>
    <t>-16.74%</t>
  </si>
  <si>
    <t>21.85%</t>
  </si>
  <si>
    <t>-58.52%</t>
  </si>
  <si>
    <t>23.38 - 68.69</t>
  </si>
  <si>
    <t>-77.91%</t>
  </si>
  <si>
    <t>143.50%</t>
  </si>
  <si>
    <t>-5.19%</t>
  </si>
  <si>
    <t>-57.73%</t>
  </si>
  <si>
    <t>VisionWave Holdings Inc</t>
  </si>
  <si>
    <t>Aerospace &amp; Defense</t>
  </si>
  <si>
    <t>1.50%</t>
  </si>
  <si>
    <t>-94.31%</t>
  </si>
  <si>
    <t>0.67%</t>
  </si>
  <si>
    <t>10.01%</t>
  </si>
  <si>
    <t>-11.50%</t>
  </si>
  <si>
    <t>-27.28%</t>
  </si>
  <si>
    <t>344.27%</t>
  </si>
  <si>
    <t>-50.27%</t>
  </si>
  <si>
    <t>2.06 - 18.41</t>
  </si>
  <si>
    <t>-20.39%</t>
  </si>
  <si>
    <t>-18.04%</t>
  </si>
  <si>
    <t>-13.71%</t>
  </si>
  <si>
    <t>Old National Bancorp</t>
  </si>
  <si>
    <t>33.30%</t>
  </si>
  <si>
    <t>0.18%</t>
  </si>
  <si>
    <t>4.04%</t>
  </si>
  <si>
    <t>51.34%</t>
  </si>
  <si>
    <t>26.02%</t>
  </si>
  <si>
    <t>27.38%</t>
  </si>
  <si>
    <t>23.07%</t>
  </si>
  <si>
    <t>2.44%</t>
  </si>
  <si>
    <t>0.48%</t>
  </si>
  <si>
    <t>-10.62%</t>
  </si>
  <si>
    <t>30.10%</t>
  </si>
  <si>
    <t>16.83 - 24.49</t>
  </si>
  <si>
    <t>-23.16%</t>
  </si>
  <si>
    <t>570.48%</t>
  </si>
  <si>
    <t>17.50%</t>
  </si>
  <si>
    <t>iBio Inc</t>
  </si>
  <si>
    <t>-0.51%</t>
  </si>
  <si>
    <t>91.54%</t>
  </si>
  <si>
    <t>64.37%</t>
  </si>
  <si>
    <t>77.78%</t>
  </si>
  <si>
    <t>-40.34%</t>
  </si>
  <si>
    <t>-24.57%</t>
  </si>
  <si>
    <t>8.57%</t>
  </si>
  <si>
    <t>-181.50%</t>
  </si>
  <si>
    <t>-4650.50%</t>
  </si>
  <si>
    <t>-4594.25%</t>
  </si>
  <si>
    <t>7.26%</t>
  </si>
  <si>
    <t>-18.21%</t>
  </si>
  <si>
    <t>42.50%</t>
  </si>
  <si>
    <t>-88.50%</t>
  </si>
  <si>
    <t>0.56 - 6.89</t>
  </si>
  <si>
    <t>4.98%</t>
  </si>
  <si>
    <t>-82.03%</t>
  </si>
  <si>
    <t>Blackstone Inc</t>
  </si>
  <si>
    <t>8/4/2025</t>
  </si>
  <si>
    <t>-1.13%</t>
  </si>
  <si>
    <t>12.44%</t>
  </si>
  <si>
    <t>95.26%</t>
  </si>
  <si>
    <t>-23.64%</t>
  </si>
  <si>
    <t>20.23%</t>
  </si>
  <si>
    <t>23.08%</t>
  </si>
  <si>
    <t>15.69%</t>
  </si>
  <si>
    <t>10.26%</t>
  </si>
  <si>
    <t>42.04%</t>
  </si>
  <si>
    <t>99.44%</t>
  </si>
  <si>
    <t>22.09%</t>
  </si>
  <si>
    <t>2.38%</t>
  </si>
  <si>
    <t>0.63%</t>
  </si>
  <si>
    <t>-7.88%</t>
  </si>
  <si>
    <t>-12.57%</t>
  </si>
  <si>
    <t>51.40%</t>
  </si>
  <si>
    <t>115.66 - 200.28</t>
  </si>
  <si>
    <t>5153.63%</t>
  </si>
  <si>
    <t>15.88%</t>
  </si>
  <si>
    <t>21.18%</t>
  </si>
  <si>
    <t>Agilent Technologies Inc</t>
  </si>
  <si>
    <t>0.51%</t>
  </si>
  <si>
    <t>7.33%</t>
  </si>
  <si>
    <t>21.31%</t>
  </si>
  <si>
    <t>10.14%</t>
  </si>
  <si>
    <t>91.74%</t>
  </si>
  <si>
    <t>52.98%</t>
  </si>
  <si>
    <t>17.97%</t>
  </si>
  <si>
    <t>1.37%</t>
  </si>
  <si>
    <t>10.62%</t>
  </si>
  <si>
    <t>-20.37%</t>
  </si>
  <si>
    <t>27.05%</t>
  </si>
  <si>
    <t>96.43 - 153.84</t>
  </si>
  <si>
    <t>-31.78%</t>
  </si>
  <si>
    <t>1631.69%</t>
  </si>
  <si>
    <t>-13.65%</t>
  </si>
  <si>
    <t>Janus International Group Inc</t>
  </si>
  <si>
    <t>0.71%</t>
  </si>
  <si>
    <t>-14.06%</t>
  </si>
  <si>
    <t>8.71%</t>
  </si>
  <si>
    <t>-8.17%</t>
  </si>
  <si>
    <t>35.87%</t>
  </si>
  <si>
    <t>100.72%</t>
  </si>
  <si>
    <t>35.22%</t>
  </si>
  <si>
    <t>4.85%</t>
  </si>
  <si>
    <t>2.94%</t>
  </si>
  <si>
    <t>19.07%</t>
  </si>
  <si>
    <t>-8.06%</t>
  </si>
  <si>
    <t>19.64%</t>
  </si>
  <si>
    <t>65.91%</t>
  </si>
  <si>
    <t>5.99 - 10.80</t>
  </si>
  <si>
    <t>-1.19%</t>
  </si>
  <si>
    <t>DuPont de Nemours Inc</t>
  </si>
  <si>
    <t>1.32%</t>
  </si>
  <si>
    <t>8/29/2025</t>
  </si>
  <si>
    <t>90.94%</t>
  </si>
  <si>
    <t>-47.99%</t>
  </si>
  <si>
    <t>20.20%</t>
  </si>
  <si>
    <t>-0.48%</t>
  </si>
  <si>
    <t>-10.45%</t>
  </si>
  <si>
    <t>-6.38%</t>
  </si>
  <si>
    <t>74.30%</t>
  </si>
  <si>
    <t>32.52%</t>
  </si>
  <si>
    <t>2.14%</t>
  </si>
  <si>
    <t>2.91%</t>
  </si>
  <si>
    <t>-4.89%</t>
  </si>
  <si>
    <t>-16.13%</t>
  </si>
  <si>
    <t>40.48%</t>
  </si>
  <si>
    <t>53.77 - 90.06</t>
  </si>
  <si>
    <t>-31.12%</t>
  </si>
  <si>
    <t>166.63%</t>
  </si>
  <si>
    <t>-13.29%</t>
  </si>
  <si>
    <t>SS&amp;C Technologies Holdings Inc</t>
  </si>
  <si>
    <t>0.54%</t>
  </si>
  <si>
    <t>1.12%</t>
  </si>
  <si>
    <t>11.36%</t>
  </si>
  <si>
    <t>18.47%</t>
  </si>
  <si>
    <t>32.71%</t>
  </si>
  <si>
    <t>12.54%</t>
  </si>
  <si>
    <t>5.88%</t>
  </si>
  <si>
    <t>4.59%</t>
  </si>
  <si>
    <t>85.56%</t>
  </si>
  <si>
    <t>48.66%</t>
  </si>
  <si>
    <t>66.83 - 91.07</t>
  </si>
  <si>
    <t>1220.11%</t>
  </si>
  <si>
    <t>7.03%</t>
  </si>
  <si>
    <t>17.05%</t>
  </si>
  <si>
    <t>JBG SMITH Properties</t>
  </si>
  <si>
    <t>3.16%</t>
  </si>
  <si>
    <t>-17.65%</t>
  </si>
  <si>
    <t>-38.10%</t>
  </si>
  <si>
    <t>-11.33%</t>
  </si>
  <si>
    <t>-3.26%</t>
  </si>
  <si>
    <t>-6.53%</t>
  </si>
  <si>
    <t>46.30%</t>
  </si>
  <si>
    <t>-34.31%</t>
  </si>
  <si>
    <t>109.01%</t>
  </si>
  <si>
    <t>24.55%</t>
  </si>
  <si>
    <t>-29.88%</t>
  </si>
  <si>
    <t>-3.58%</t>
  </si>
  <si>
    <t>28.34%</t>
  </si>
  <si>
    <t>-8.94%</t>
  </si>
  <si>
    <t>23.41%</t>
  </si>
  <si>
    <t>66.62%</t>
  </si>
  <si>
    <t>13.28 - 24.30</t>
  </si>
  <si>
    <t>-48.79%</t>
  </si>
  <si>
    <t>26.59%</t>
  </si>
  <si>
    <t>38.64%</t>
  </si>
  <si>
    <t>Columbia Banking System, Inc</t>
  </si>
  <si>
    <t>56.48%</t>
  </si>
  <si>
    <t>-1.39%</t>
  </si>
  <si>
    <t>67.35%</t>
  </si>
  <si>
    <t>36.30%</t>
  </si>
  <si>
    <t>14.80%</t>
  </si>
  <si>
    <t>70.52%</t>
  </si>
  <si>
    <t>27.09%</t>
  </si>
  <si>
    <t>17.94%</t>
  </si>
  <si>
    <t>2.76%</t>
  </si>
  <si>
    <t>1.75%</t>
  </si>
  <si>
    <t>-6.47%</t>
  </si>
  <si>
    <t>-21.64%</t>
  </si>
  <si>
    <t>31.26%</t>
  </si>
  <si>
    <t>19.61 - 32.85</t>
  </si>
  <si>
    <t>-49.21%</t>
  </si>
  <si>
    <t>697.11%</t>
  </si>
  <si>
    <t>-1.30%</t>
  </si>
  <si>
    <t>Associated Banc-Corp</t>
  </si>
  <si>
    <t>-0.16%</t>
  </si>
  <si>
    <t>3.59%</t>
  </si>
  <si>
    <t>5.40%</t>
  </si>
  <si>
    <t>123.00%</t>
  </si>
  <si>
    <t>-30.77%</t>
  </si>
  <si>
    <t>-17.66%</t>
  </si>
  <si>
    <t>13.82%</t>
  </si>
  <si>
    <t>25.97%</t>
  </si>
  <si>
    <t>-0.64%</t>
  </si>
  <si>
    <t>85.40%</t>
  </si>
  <si>
    <t>9.75%</t>
  </si>
  <si>
    <t>6.76%</t>
  </si>
  <si>
    <t>-6.26%</t>
  </si>
  <si>
    <t>40.50%</t>
  </si>
  <si>
    <t>18.32 - 28.18</t>
  </si>
  <si>
    <t>-27.41%</t>
  </si>
  <si>
    <t>1365.71%</t>
  </si>
  <si>
    <t>BitMine Immersion Technologies Inc</t>
  </si>
  <si>
    <t>-61.02%</t>
  </si>
  <si>
    <t>89.77%</t>
  </si>
  <si>
    <t>67.50%</t>
  </si>
  <si>
    <t>2.68%</t>
  </si>
  <si>
    <t>-119.74%</t>
  </si>
  <si>
    <t>130.93%</t>
  </si>
  <si>
    <t>-32.74%</t>
  </si>
  <si>
    <t>59.24%</t>
  </si>
  <si>
    <t>-70.03%</t>
  </si>
  <si>
    <t>2403.88%</t>
  </si>
  <si>
    <t>1.93 - 161.00</t>
  </si>
  <si>
    <t>1031.29%</t>
  </si>
  <si>
    <t>534.86%</t>
  </si>
  <si>
    <t>338.64%</t>
  </si>
  <si>
    <t>Ryvyl Inc</t>
  </si>
  <si>
    <t>22.67%</t>
  </si>
  <si>
    <t>-19.07%</t>
  </si>
  <si>
    <t>-33.86%</t>
  </si>
  <si>
    <t>28.64%</t>
  </si>
  <si>
    <t>41.13%</t>
  </si>
  <si>
    <t>-76.61%</t>
  </si>
  <si>
    <t>-250.00%</t>
  </si>
  <si>
    <t>5.52%</t>
  </si>
  <si>
    <t>10.50%</t>
  </si>
  <si>
    <t>-16.65%</t>
  </si>
  <si>
    <t>-36.90%</t>
  </si>
  <si>
    <t>6.92%</t>
  </si>
  <si>
    <t>-1.67%</t>
  </si>
  <si>
    <t>-63.97%</t>
  </si>
  <si>
    <t>-16.43%</t>
  </si>
  <si>
    <t>17.48%</t>
  </si>
  <si>
    <t>-87.45%</t>
  </si>
  <si>
    <t>0.25 - 2.35</t>
  </si>
  <si>
    <t>-63.98%</t>
  </si>
  <si>
    <t>-72.43%</t>
  </si>
  <si>
    <t>-75.42%</t>
  </si>
  <si>
    <t>Everbright Digital Holding Ltd</t>
  </si>
  <si>
    <t>11.67%</t>
  </si>
  <si>
    <t>24.27%</t>
  </si>
  <si>
    <t>16.21%</t>
  </si>
  <si>
    <t>-73.42%</t>
  </si>
  <si>
    <t>-54.39%</t>
  </si>
  <si>
    <t>102.72%</t>
  </si>
  <si>
    <t>-89.39%</t>
  </si>
  <si>
    <t>0.36 - 6.88</t>
  </si>
  <si>
    <t>-87.90%</t>
  </si>
  <si>
    <t>Chemours Company</t>
  </si>
  <si>
    <t>174.61%</t>
  </si>
  <si>
    <t>-45.84%</t>
  </si>
  <si>
    <t>27.14%</t>
  </si>
  <si>
    <t>100.63%</t>
  </si>
  <si>
    <t>18.32%</t>
  </si>
  <si>
    <t>6.84%</t>
  </si>
  <si>
    <t>4.39%</t>
  </si>
  <si>
    <t>5.36%</t>
  </si>
  <si>
    <t>-14.10%</t>
  </si>
  <si>
    <t>38.26%</t>
  </si>
  <si>
    <t>-30.56%</t>
  </si>
  <si>
    <t>9.13 - 22.38</t>
  </si>
  <si>
    <t>407.84%</t>
  </si>
  <si>
    <t>32.59%</t>
  </si>
  <si>
    <t>-20.51%</t>
  </si>
  <si>
    <t>Somnigroup International Inc</t>
  </si>
  <si>
    <t>0.73%</t>
  </si>
  <si>
    <t>8/21/2025</t>
  </si>
  <si>
    <t>17.57%</t>
  </si>
  <si>
    <t>24.11%</t>
  </si>
  <si>
    <t>-5.15%</t>
  </si>
  <si>
    <t>23.05%</t>
  </si>
  <si>
    <t>52.46%</t>
  </si>
  <si>
    <t>109.47%</t>
  </si>
  <si>
    <t>44.12%</t>
  </si>
  <si>
    <t>4.47%</t>
  </si>
  <si>
    <t>17.02%</t>
  </si>
  <si>
    <t>73.61%</t>
  </si>
  <si>
    <t>47.46 - 88.15</t>
  </si>
  <si>
    <t>8482.95%</t>
  </si>
  <si>
    <t>22.05%</t>
  </si>
  <si>
    <t>40.85%</t>
  </si>
  <si>
    <t>52.59%</t>
  </si>
  <si>
    <t>Toll Brothers Inc</t>
  </si>
  <si>
    <t>Residential Construction</t>
  </si>
  <si>
    <t>0.98%</t>
  </si>
  <si>
    <t>10/10/2025</t>
  </si>
  <si>
    <t>15.39%</t>
  </si>
  <si>
    <t>1.39%</t>
  </si>
  <si>
    <t>-10.46%</t>
  </si>
  <si>
    <t>16.30%</t>
  </si>
  <si>
    <t>-3.36%</t>
  </si>
  <si>
    <t>-8.99%</t>
  </si>
  <si>
    <t>18.03%</t>
  </si>
  <si>
    <t>-19.58%</t>
  </si>
  <si>
    <t>57.30%</t>
  </si>
  <si>
    <t>86.67 - 169.52</t>
  </si>
  <si>
    <t>24136.44%</t>
  </si>
  <si>
    <t>25.29%</t>
  </si>
  <si>
    <t>Vornado Realty Trust</t>
  </si>
  <si>
    <t>-1.56%</t>
  </si>
  <si>
    <t>1.87%</t>
  </si>
  <si>
    <t>12/16/2024</t>
  </si>
  <si>
    <t>-29.59%</t>
  </si>
  <si>
    <t>-22.46%</t>
  </si>
  <si>
    <t>1757.72%</t>
  </si>
  <si>
    <t>-56.90%</t>
  </si>
  <si>
    <t>-69.60%</t>
  </si>
  <si>
    <t>128.91%</t>
  </si>
  <si>
    <t>2942.76%</t>
  </si>
  <si>
    <t>95.09%</t>
  </si>
  <si>
    <t>23.67%</t>
  </si>
  <si>
    <t>14.72%</t>
  </si>
  <si>
    <t>45.05%</t>
  </si>
  <si>
    <t>1.76%</t>
  </si>
  <si>
    <t>-8.33%</t>
  </si>
  <si>
    <t>33.96%</t>
  </si>
  <si>
    <t>29.68 - 46.63</t>
  </si>
  <si>
    <t>-56.88%</t>
  </si>
  <si>
    <t>4506.59%</t>
  </si>
  <si>
    <t>5.46%</t>
  </si>
  <si>
    <t>Rocket Companies Inc</t>
  </si>
  <si>
    <t>3/20/2025</t>
  </si>
  <si>
    <t>-55.24%</t>
  </si>
  <si>
    <t>63.00%</t>
  </si>
  <si>
    <t>21.52%</t>
  </si>
  <si>
    <t>13.67%</t>
  </si>
  <si>
    <t>46.52%</t>
  </si>
  <si>
    <t>89.16%</t>
  </si>
  <si>
    <t>97.73%</t>
  </si>
  <si>
    <t>4.87%</t>
  </si>
  <si>
    <t>-4.12%</t>
  </si>
  <si>
    <t>4.92%</t>
  </si>
  <si>
    <t>36.40%</t>
  </si>
  <si>
    <t>-15.38%</t>
  </si>
  <si>
    <t>41.06%</t>
  </si>
  <si>
    <t>100.48%</t>
  </si>
  <si>
    <t>9.52 - 22.56</t>
  </si>
  <si>
    <t>-47.18%</t>
  </si>
  <si>
    <t>237.82%</t>
  </si>
  <si>
    <t>45.02%</t>
  </si>
  <si>
    <t>3.64%</t>
  </si>
  <si>
    <t>Western Alliance Bancorp</t>
  </si>
  <si>
    <t>24.41%</t>
  </si>
  <si>
    <t>7.14%</t>
  </si>
  <si>
    <t>31.59%</t>
  </si>
  <si>
    <t>1.48%</t>
  </si>
  <si>
    <t>89.60%</t>
  </si>
  <si>
    <t>20.38%</t>
  </si>
  <si>
    <t>16.43%</t>
  </si>
  <si>
    <t>-2.62%</t>
  </si>
  <si>
    <t>2.45%</t>
  </si>
  <si>
    <t>7.78%</t>
  </si>
  <si>
    <t>-11.37%</t>
  </si>
  <si>
    <t>57.05 - 98.10</t>
  </si>
  <si>
    <t>-30.41%</t>
  </si>
  <si>
    <t>2807.69%</t>
  </si>
  <si>
    <t>12.01%</t>
  </si>
  <si>
    <t>11.63%</t>
  </si>
  <si>
    <t>Green Plains Inc</t>
  </si>
  <si>
    <t>Chemicals</t>
  </si>
  <si>
    <t>5/23/2019</t>
  </si>
  <si>
    <t>2.95%</t>
  </si>
  <si>
    <t>-15.66%</t>
  </si>
  <si>
    <t>-7.37%</t>
  </si>
  <si>
    <t>-231.01%</t>
  </si>
  <si>
    <t>88.09%</t>
  </si>
  <si>
    <t>-6.35%</t>
  </si>
  <si>
    <t>-7.52%</t>
  </si>
  <si>
    <t>31.89%</t>
  </si>
  <si>
    <t>30.95%</t>
  </si>
  <si>
    <t>-33.99%</t>
  </si>
  <si>
    <t>195.06%</t>
  </si>
  <si>
    <t>3.14 - 14.04</t>
  </si>
  <si>
    <t>727.23%</t>
  </si>
  <si>
    <t>55.98%</t>
  </si>
  <si>
    <t>71.57%</t>
  </si>
  <si>
    <t>-31.27%</t>
  </si>
  <si>
    <t>Brixmor Property Group Inc</t>
  </si>
  <si>
    <t>10/2/2025</t>
  </si>
  <si>
    <t>7.32%</t>
  </si>
  <si>
    <t>7.31%</t>
  </si>
  <si>
    <t>5.98%</t>
  </si>
  <si>
    <t>-1.36%</t>
  </si>
  <si>
    <t>100.86%</t>
  </si>
  <si>
    <t>44.58%</t>
  </si>
  <si>
    <t>35.93%</t>
  </si>
  <si>
    <t>25.05%</t>
  </si>
  <si>
    <t>1.28%</t>
  </si>
  <si>
    <t>-1.61%</t>
  </si>
  <si>
    <t>22.64%</t>
  </si>
  <si>
    <t>22.28 - 30.67</t>
  </si>
  <si>
    <t>263.91%</t>
  </si>
  <si>
    <t>4.91%</t>
  </si>
  <si>
    <t>4.07%</t>
  </si>
  <si>
    <t>Verastem Inc</t>
  </si>
  <si>
    <t>1.16%</t>
  </si>
  <si>
    <t>31.36%</t>
  </si>
  <si>
    <t>36.02%</t>
  </si>
  <si>
    <t>-78.63%</t>
  </si>
  <si>
    <t>154.59%</t>
  </si>
  <si>
    <t>46.41%</t>
  </si>
  <si>
    <t>83.80%</t>
  </si>
  <si>
    <t>72.02%</t>
  </si>
  <si>
    <t>-7326.06%</t>
  </si>
  <si>
    <t>-7793.82%</t>
  </si>
  <si>
    <t>-8.14%</t>
  </si>
  <si>
    <t>-22.54%</t>
  </si>
  <si>
    <t>79.22%</t>
  </si>
  <si>
    <t>242.91%</t>
  </si>
  <si>
    <t>2.54 - 11.24</t>
  </si>
  <si>
    <t>-96.14%</t>
  </si>
  <si>
    <t>314.76%</t>
  </si>
  <si>
    <t>109.88%</t>
  </si>
  <si>
    <t>29.42%</t>
  </si>
  <si>
    <t>B&amp;G Foods, Inc</t>
  </si>
  <si>
    <t>-26.32%</t>
  </si>
  <si>
    <t>3.23%</t>
  </si>
  <si>
    <t>3.08%</t>
  </si>
  <si>
    <t>-4.54%</t>
  </si>
  <si>
    <t>-32.43%</t>
  </si>
  <si>
    <t>79.70%</t>
  </si>
  <si>
    <t>20.69%</t>
  </si>
  <si>
    <t>10.65%</t>
  </si>
  <si>
    <t>-12.02%</t>
  </si>
  <si>
    <t>-2.48%</t>
  </si>
  <si>
    <t>-20.40%</t>
  </si>
  <si>
    <t>-7.80%</t>
  </si>
  <si>
    <t>-53.07%</t>
  </si>
  <si>
    <t>3.67 - 9.44</t>
  </si>
  <si>
    <t>-90.93%</t>
  </si>
  <si>
    <t>88.60%</t>
  </si>
  <si>
    <t>-32.67%</t>
  </si>
  <si>
    <t>-50.83%</t>
  </si>
  <si>
    <t>Celcuity Inc</t>
  </si>
  <si>
    <t>-8.60%</t>
  </si>
  <si>
    <t>-31.53%</t>
  </si>
  <si>
    <t>26.69%</t>
  </si>
  <si>
    <t>-17.61%</t>
  </si>
  <si>
    <t>76.00%</t>
  </si>
  <si>
    <t>5.66%</t>
  </si>
  <si>
    <t>-7.99%</t>
  </si>
  <si>
    <t>9.27%</t>
  </si>
  <si>
    <t>150.02%</t>
  </si>
  <si>
    <t>272.78%</t>
  </si>
  <si>
    <t>562.89%</t>
  </si>
  <si>
    <t>7.57 - 63.06</t>
  </si>
  <si>
    <t>1146.00%</t>
  </si>
  <si>
    <t>300.43%</t>
  </si>
  <si>
    <t>376.41%</t>
  </si>
  <si>
    <t>251.64%</t>
  </si>
  <si>
    <t>Sonim Technologies Inc</t>
  </si>
  <si>
    <t>44.09%</t>
  </si>
  <si>
    <t>44.78%</t>
  </si>
  <si>
    <t>12.62%</t>
  </si>
  <si>
    <t>-51.46%</t>
  </si>
  <si>
    <t>-53.77%</t>
  </si>
  <si>
    <t>10.61%</t>
  </si>
  <si>
    <t>-62.65%</t>
  </si>
  <si>
    <t>-28.14%</t>
  </si>
  <si>
    <t>21.38%</t>
  </si>
  <si>
    <t>-90.09%</t>
  </si>
  <si>
    <t>0.52 - 6.38</t>
  </si>
  <si>
    <t>-99.97%</t>
  </si>
  <si>
    <t>-55.46%</t>
  </si>
  <si>
    <t>-72.86%</t>
  </si>
  <si>
    <t>-78.42%</t>
  </si>
  <si>
    <t>Pagerduty Inc</t>
  </si>
  <si>
    <t>22.49%</t>
  </si>
  <si>
    <t>16.24%</t>
  </si>
  <si>
    <t>18.44%</t>
  </si>
  <si>
    <t>46.77%</t>
  </si>
  <si>
    <t>-0.00%</t>
  </si>
  <si>
    <t>89.54%</t>
  </si>
  <si>
    <t>83.65%</t>
  </si>
  <si>
    <t>-2.87%</t>
  </si>
  <si>
    <t>-4.83%</t>
  </si>
  <si>
    <t>-11.31%</t>
  </si>
  <si>
    <t>10.86%</t>
  </si>
  <si>
    <t>13.69 - 21.98</t>
  </si>
  <si>
    <t>-73.31%</t>
  </si>
  <si>
    <t>29.47%</t>
  </si>
  <si>
    <t>Highwoods Properties, Inc</t>
  </si>
  <si>
    <t>0.68%</t>
  </si>
  <si>
    <t>212.83%</t>
  </si>
  <si>
    <t>-31.94%</t>
  </si>
  <si>
    <t>2.77%</t>
  </si>
  <si>
    <t>-1.80%</t>
  </si>
  <si>
    <t>1.98%</t>
  </si>
  <si>
    <t>108.70%</t>
  </si>
  <si>
    <t>30.22%</t>
  </si>
  <si>
    <t>24.96%</t>
  </si>
  <si>
    <t>15.54%</t>
  </si>
  <si>
    <t>2.06%</t>
  </si>
  <si>
    <t>-4.74%</t>
  </si>
  <si>
    <t>11.00%</t>
  </si>
  <si>
    <t>-15.52%</t>
  </si>
  <si>
    <t>28.47%</t>
  </si>
  <si>
    <t>24.18 - 36.78</t>
  </si>
  <si>
    <t>-43.85%</t>
  </si>
  <si>
    <t>115.50%</t>
  </si>
  <si>
    <t>-7.50%</t>
  </si>
  <si>
    <t>Gossamer Bio Inc</t>
  </si>
  <si>
    <t>-4.04%</t>
  </si>
  <si>
    <t>56.92%</t>
  </si>
  <si>
    <t>40.29%</t>
  </si>
  <si>
    <t>-58.02%</t>
  </si>
  <si>
    <t>-88.01%</t>
  </si>
  <si>
    <t>61.54%</t>
  </si>
  <si>
    <t>93.26%</t>
  </si>
  <si>
    <t>-361.91%</t>
  </si>
  <si>
    <t>-344.81%</t>
  </si>
  <si>
    <t>12.15%</t>
  </si>
  <si>
    <t>86.54%</t>
  </si>
  <si>
    <t>-25.90%</t>
  </si>
  <si>
    <t>63.16%</t>
  </si>
  <si>
    <t>303.16%</t>
  </si>
  <si>
    <t>0.66 - 3.60</t>
  </si>
  <si>
    <t>-90.17%</t>
  </si>
  <si>
    <t>489.55%</t>
  </si>
  <si>
    <t>113.42%</t>
  </si>
  <si>
    <t>129.97%</t>
  </si>
  <si>
    <t>168.41%</t>
  </si>
  <si>
    <t>Blend Labs Inc</t>
  </si>
  <si>
    <t>-4.76%</t>
  </si>
  <si>
    <t>26.17%</t>
  </si>
  <si>
    <t>-22.13%</t>
  </si>
  <si>
    <t>48.39%</t>
  </si>
  <si>
    <t>63.80%</t>
  </si>
  <si>
    <t>-14.08%</t>
  </si>
  <si>
    <t>-27.93%</t>
  </si>
  <si>
    <t>-5.55%</t>
  </si>
  <si>
    <t>42.88%</t>
  </si>
  <si>
    <t>-31.86%</t>
  </si>
  <si>
    <t>2.63 - 5.53</t>
  </si>
  <si>
    <t>-82.11%</t>
  </si>
  <si>
    <t>612.26%</t>
  </si>
  <si>
    <t>14.79%</t>
  </si>
  <si>
    <t>9.45%</t>
  </si>
  <si>
    <t>-3.46%</t>
  </si>
  <si>
    <t>e.l.f. Beauty Inc</t>
  </si>
  <si>
    <t>Household &amp; Personal Products</t>
  </si>
  <si>
    <t>-0.81%</t>
  </si>
  <si>
    <t>67.91%</t>
  </si>
  <si>
    <t>40.42%</t>
  </si>
  <si>
    <t>35.95%</t>
  </si>
  <si>
    <t>-27.75%</t>
  </si>
  <si>
    <t>67.23%</t>
  </si>
  <si>
    <t>11.62%</t>
  </si>
  <si>
    <t>7.29%</t>
  </si>
  <si>
    <t>27.93%</t>
  </si>
  <si>
    <t>37.91%</t>
  </si>
  <si>
    <t>162.42%</t>
  </si>
  <si>
    <t>49.40 - 150.99</t>
  </si>
  <si>
    <t>1833.41%</t>
  </si>
  <si>
    <t>SmartRent Inc</t>
  </si>
  <si>
    <t>23.09%</t>
  </si>
  <si>
    <t>53.38%</t>
  </si>
  <si>
    <t>-28.45%</t>
  </si>
  <si>
    <t>35.08%</t>
  </si>
  <si>
    <t>-21.04%</t>
  </si>
  <si>
    <t>4.20%</t>
  </si>
  <si>
    <t>53.63%</t>
  </si>
  <si>
    <t>32.05%</t>
  </si>
  <si>
    <t>-30.68%</t>
  </si>
  <si>
    <t>-46.54%</t>
  </si>
  <si>
    <t>5.53%</t>
  </si>
  <si>
    <t>17.03%</t>
  </si>
  <si>
    <t>59.98%</t>
  </si>
  <si>
    <t>-27.64%</t>
  </si>
  <si>
    <t>114.61%</t>
  </si>
  <si>
    <t>0.67 - 1.99</t>
  </si>
  <si>
    <t>-90.49%</t>
  </si>
  <si>
    <t>54.77%</t>
  </si>
  <si>
    <t>24.14%</t>
  </si>
  <si>
    <t>Samsara Inc</t>
  </si>
  <si>
    <t>26.54%</t>
  </si>
  <si>
    <t>40.75%</t>
  </si>
  <si>
    <t>30.32%</t>
  </si>
  <si>
    <t>42.87%</t>
  </si>
  <si>
    <t>59.80%</t>
  </si>
  <si>
    <t>30.41%</t>
  </si>
  <si>
    <t>65.75%</t>
  </si>
  <si>
    <t>50.73%</t>
  </si>
  <si>
    <t>-8.47%</t>
  </si>
  <si>
    <t>-6.16%</t>
  </si>
  <si>
    <t>-3.35%</t>
  </si>
  <si>
    <t>31.40 - 61.90</t>
  </si>
  <si>
    <t>341.39%</t>
  </si>
  <si>
    <t>-6.15%</t>
  </si>
  <si>
    <t>-25.30%</t>
  </si>
  <si>
    <t>Jetblue Airways Corp</t>
  </si>
  <si>
    <t>Airlines</t>
  </si>
  <si>
    <t>-58.94%</t>
  </si>
  <si>
    <t>36.44%</t>
  </si>
  <si>
    <t>-1.90%</t>
  </si>
  <si>
    <t>50.19%</t>
  </si>
  <si>
    <t>67.22%</t>
  </si>
  <si>
    <t>-4.22%</t>
  </si>
  <si>
    <t>3.42%</t>
  </si>
  <si>
    <t>4.70%</t>
  </si>
  <si>
    <t>-8.34%</t>
  </si>
  <si>
    <t>-13.00%</t>
  </si>
  <si>
    <t>-40.01%</t>
  </si>
  <si>
    <t>49.25%</t>
  </si>
  <si>
    <t>3.34 - 8.31</t>
  </si>
  <si>
    <t>77.40%</t>
  </si>
  <si>
    <t>-16.92%</t>
  </si>
  <si>
    <t>New York Times Co</t>
  </si>
  <si>
    <t>Publishing</t>
  </si>
  <si>
    <t>1.19%</t>
  </si>
  <si>
    <t>7/9/2025</t>
  </si>
  <si>
    <t>22.92%</t>
  </si>
  <si>
    <t>7.37%</t>
  </si>
  <si>
    <t>96.51%</t>
  </si>
  <si>
    <t>46.90%</t>
  </si>
  <si>
    <t>15.17%</t>
  </si>
  <si>
    <t>11.92%</t>
  </si>
  <si>
    <t>-0.95%</t>
  </si>
  <si>
    <t>8.28%</t>
  </si>
  <si>
    <t>13.54%</t>
  </si>
  <si>
    <t>29.24%</t>
  </si>
  <si>
    <t>44.83 - 62.24</t>
  </si>
  <si>
    <t>1584.30%</t>
  </si>
  <si>
    <t>18.29%</t>
  </si>
  <si>
    <t>5.19%</t>
  </si>
  <si>
    <t>Urban-gro Inc</t>
  </si>
  <si>
    <t>-29.98%</t>
  </si>
  <si>
    <t>-21.86%</t>
  </si>
  <si>
    <t>-20.80%</t>
  </si>
  <si>
    <t>39.35%</t>
  </si>
  <si>
    <t>28.38%</t>
  </si>
  <si>
    <t>-52.76%</t>
  </si>
  <si>
    <t>-13.64%</t>
  </si>
  <si>
    <t>10.11%</t>
  </si>
  <si>
    <t>12.45%</t>
  </si>
  <si>
    <t>-21.43%</t>
  </si>
  <si>
    <t>-33.27%</t>
  </si>
  <si>
    <t>15.68%</t>
  </si>
  <si>
    <t>-8.67%</t>
  </si>
  <si>
    <t>-16.64%</t>
  </si>
  <si>
    <t>-38.27%</t>
  </si>
  <si>
    <t>67.34%</t>
  </si>
  <si>
    <t>-74.59%</t>
  </si>
  <si>
    <t>86.18%</t>
  </si>
  <si>
    <t>0.26 - 1.92</t>
  </si>
  <si>
    <t>-99.70%</t>
  </si>
  <si>
    <t>62.65%</t>
  </si>
  <si>
    <t>-61.29%</t>
  </si>
  <si>
    <t>Dana Inc</t>
  </si>
  <si>
    <t>2.12%</t>
  </si>
  <si>
    <t>38.12%</t>
  </si>
  <si>
    <t>-29.33%</t>
  </si>
  <si>
    <t>-13.67%</t>
  </si>
  <si>
    <t>-0.84%</t>
  </si>
  <si>
    <t>2.88%</t>
  </si>
  <si>
    <t>-3.34%</t>
  </si>
  <si>
    <t>26.34%</t>
  </si>
  <si>
    <t>-7.60%</t>
  </si>
  <si>
    <t>29.17%</t>
  </si>
  <si>
    <t>160.82%</t>
  </si>
  <si>
    <t>7.58 - 21.40</t>
  </si>
  <si>
    <t>-43.95%</t>
  </si>
  <si>
    <t>10305.26%</t>
  </si>
  <si>
    <t>43.78%</t>
  </si>
  <si>
    <t>88.29%</t>
  </si>
  <si>
    <t>Waystar Holding Corp</t>
  </si>
  <si>
    <t>23.29%</t>
  </si>
  <si>
    <t>17.76%</t>
  </si>
  <si>
    <t>15.40%</t>
  </si>
  <si>
    <t>-49.36%</t>
  </si>
  <si>
    <t>69.65%</t>
  </si>
  <si>
    <t>51.01%</t>
  </si>
  <si>
    <t>21.39%</t>
  </si>
  <si>
    <t>-2.22%</t>
  </si>
  <si>
    <t>-10.06%</t>
  </si>
  <si>
    <t>11.61%</t>
  </si>
  <si>
    <t>-22.47%</t>
  </si>
  <si>
    <t>40.43%</t>
  </si>
  <si>
    <t>26.56 - 48.11</t>
  </si>
  <si>
    <t>84.11%</t>
  </si>
  <si>
    <t>37.74%</t>
  </si>
  <si>
    <t>Norwegian Cruise Line Holdings Ltd</t>
  </si>
  <si>
    <t>-16.28%</t>
  </si>
  <si>
    <t>144.57%</t>
  </si>
  <si>
    <t>6.11%</t>
  </si>
  <si>
    <t>78.74%</t>
  </si>
  <si>
    <t>31.83%</t>
  </si>
  <si>
    <t>16.11%</t>
  </si>
  <si>
    <t>11.17%</t>
  </si>
  <si>
    <t>8.92%</t>
  </si>
  <si>
    <t>75.23%</t>
  </si>
  <si>
    <t>14.21 - 29.29</t>
  </si>
  <si>
    <t>254.20%</t>
  </si>
  <si>
    <t>23.39%</t>
  </si>
  <si>
    <t>18.80%</t>
  </si>
  <si>
    <t>Papa John's International, Inc</t>
  </si>
  <si>
    <t>4.18%</t>
  </si>
  <si>
    <t>15.38%</t>
  </si>
  <si>
    <t>72.48%</t>
  </si>
  <si>
    <t>180.28%</t>
  </si>
  <si>
    <t>21.91%</t>
  </si>
  <si>
    <t>111.72%</t>
  </si>
  <si>
    <t>16.92%</t>
  </si>
  <si>
    <t>-23.19%</t>
  </si>
  <si>
    <t>54.72%</t>
  </si>
  <si>
    <t>30.16 - 60.75</t>
  </si>
  <si>
    <t>-66.83%</t>
  </si>
  <si>
    <t>2370.50%</t>
  </si>
  <si>
    <t>13.76%</t>
  </si>
  <si>
    <t>-8.23%</t>
  </si>
  <si>
    <t>Gitlab Inc</t>
  </si>
  <si>
    <t>66.59%</t>
  </si>
  <si>
    <t>46.64%</t>
  </si>
  <si>
    <t>28.97%</t>
  </si>
  <si>
    <t>44.31%</t>
  </si>
  <si>
    <t>56.36%</t>
  </si>
  <si>
    <t>29.23%</t>
  </si>
  <si>
    <t>-6.29%</t>
  </si>
  <si>
    <t>77.72%</t>
  </si>
  <si>
    <t>88.52%</t>
  </si>
  <si>
    <t>-10.94%</t>
  </si>
  <si>
    <t>21.35%</t>
  </si>
  <si>
    <t>-36.51%</t>
  </si>
  <si>
    <t>37.90 - 74.18</t>
  </si>
  <si>
    <t>-65.62%</t>
  </si>
  <si>
    <t>79.48%</t>
  </si>
  <si>
    <t>4.33%</t>
  </si>
  <si>
    <t>-11.29%</t>
  </si>
  <si>
    <t>Alnylam Pharmaceuticals Inc</t>
  </si>
  <si>
    <t>32.86%</t>
  </si>
  <si>
    <t>23.11%</t>
  </si>
  <si>
    <t>38.61%</t>
  </si>
  <si>
    <t>59.21%</t>
  </si>
  <si>
    <t>97.78%</t>
  </si>
  <si>
    <t>83.64%</t>
  </si>
  <si>
    <t>-7.32%</t>
  </si>
  <si>
    <t>-12.96%</t>
  </si>
  <si>
    <t>44.27%</t>
  </si>
  <si>
    <t>-8.18%</t>
  </si>
  <si>
    <t>39.87%</t>
  </si>
  <si>
    <t>115.97%</t>
  </si>
  <si>
    <t>205.87 - 484.21</t>
  </si>
  <si>
    <t>12081.20%</t>
  </si>
  <si>
    <t>37.72%</t>
  </si>
  <si>
    <t>64.05%</t>
  </si>
  <si>
    <t>64.06%</t>
  </si>
  <si>
    <t>Reddit Inc</t>
  </si>
  <si>
    <t>-50.81%</t>
  </si>
  <si>
    <t>-65.02%</t>
  </si>
  <si>
    <t>69.97%</t>
  </si>
  <si>
    <t>38.93%</t>
  </si>
  <si>
    <t>54.38%</t>
  </si>
  <si>
    <t>77.69%</t>
  </si>
  <si>
    <t>136.59%</t>
  </si>
  <si>
    <t>59.40%</t>
  </si>
  <si>
    <t>90.08%</t>
  </si>
  <si>
    <t>5.76%</t>
  </si>
  <si>
    <t>8.31%</t>
  </si>
  <si>
    <t>45.26%</t>
  </si>
  <si>
    <t>69.45%</t>
  </si>
  <si>
    <t>262.75%</t>
  </si>
  <si>
    <t>64.51 - 282.95</t>
  </si>
  <si>
    <t>526.59%</t>
  </si>
  <si>
    <t>63.65%</t>
  </si>
  <si>
    <t>112.31%</t>
  </si>
  <si>
    <t>249.51%</t>
  </si>
  <si>
    <t>Tharimmune Inc</t>
  </si>
  <si>
    <t>29.89%</t>
  </si>
  <si>
    <t>13.64%</t>
  </si>
  <si>
    <t>19.46%</t>
  </si>
  <si>
    <t>53.50%</t>
  </si>
  <si>
    <t>-67.40%</t>
  </si>
  <si>
    <t>173.95%</t>
  </si>
  <si>
    <t>210.92%</t>
  </si>
  <si>
    <t>0.95 - 9.08</t>
  </si>
  <si>
    <t>64.22%</t>
  </si>
  <si>
    <t>117.65%</t>
  </si>
  <si>
    <t>F.N.B. Corp</t>
  </si>
  <si>
    <t>0.03%</t>
  </si>
  <si>
    <t>37.92%</t>
  </si>
  <si>
    <t>10.92%</t>
  </si>
  <si>
    <t>7.73%</t>
  </si>
  <si>
    <t>24.30%</t>
  </si>
  <si>
    <t>4.46%</t>
  </si>
  <si>
    <t>83.57%</t>
  </si>
  <si>
    <t>21.48%</t>
  </si>
  <si>
    <t>9.15%</t>
  </si>
  <si>
    <t>-5.02%</t>
  </si>
  <si>
    <t>-9.07%</t>
  </si>
  <si>
    <t>47.93%</t>
  </si>
  <si>
    <t>10.88 - 17.70</t>
  </si>
  <si>
    <t>-29.75%</t>
  </si>
  <si>
    <t>543.86%</t>
  </si>
  <si>
    <t>17.23%</t>
  </si>
  <si>
    <t>AGNC Investment Corp</t>
  </si>
  <si>
    <t>REIT - Mortgage</t>
  </si>
  <si>
    <t>-6.36%</t>
  </si>
  <si>
    <t>154.84%</t>
  </si>
  <si>
    <t>-8.76%</t>
  </si>
  <si>
    <t>-18.28%</t>
  </si>
  <si>
    <t>26.41%</t>
  </si>
  <si>
    <t>35.13%</t>
  </si>
  <si>
    <t>-7.34%</t>
  </si>
  <si>
    <t>-3.30%</t>
  </si>
  <si>
    <t>43.63%</t>
  </si>
  <si>
    <t>155.08%</t>
  </si>
  <si>
    <t>1.02%</t>
  </si>
  <si>
    <t>-5.47%</t>
  </si>
  <si>
    <t>8.27%</t>
  </si>
  <si>
    <t>25.71%</t>
  </si>
  <si>
    <t>7.85 - 10.63</t>
  </si>
  <si>
    <t>-73.16%</t>
  </si>
  <si>
    <t>57.90%</t>
  </si>
  <si>
    <t>-5.74%</t>
  </si>
  <si>
    <t>LendingClub Corp</t>
  </si>
  <si>
    <t>60.91%</t>
  </si>
  <si>
    <t>13.72%</t>
  </si>
  <si>
    <t>114.15%</t>
  </si>
  <si>
    <t>80.20%</t>
  </si>
  <si>
    <t>69.03%</t>
  </si>
  <si>
    <t>5.43%</t>
  </si>
  <si>
    <t>3.74%</t>
  </si>
  <si>
    <t>3.29%</t>
  </si>
  <si>
    <t>-8.40%</t>
  </si>
  <si>
    <t>30.23%</t>
  </si>
  <si>
    <t>-12.45%</t>
  </si>
  <si>
    <t>107.78%</t>
  </si>
  <si>
    <t>7.90 - 18.75</t>
  </si>
  <si>
    <t>-88.79%</t>
  </si>
  <si>
    <t>280.42%</t>
  </si>
  <si>
    <t>37.13%</t>
  </si>
  <si>
    <t>51.29%</t>
  </si>
  <si>
    <t>A.O. Smith Corp</t>
  </si>
  <si>
    <t>7/31/2025</t>
  </si>
  <si>
    <t>35.83%</t>
  </si>
  <si>
    <t>-3.53%</t>
  </si>
  <si>
    <t>8.54%</t>
  </si>
  <si>
    <t>79.51%</t>
  </si>
  <si>
    <t>13.68%</t>
  </si>
  <si>
    <t>1.47%</t>
  </si>
  <si>
    <t>5.31%</t>
  </si>
  <si>
    <t>-6.98%</t>
  </si>
  <si>
    <t>-21.89%</t>
  </si>
  <si>
    <t>22.23%</t>
  </si>
  <si>
    <t>58.83 - 92.06</t>
  </si>
  <si>
    <t>-22.21%</t>
  </si>
  <si>
    <t>13348.10%</t>
  </si>
  <si>
    <t>9.54%</t>
  </si>
  <si>
    <t>iSpecimen Inc</t>
  </si>
  <si>
    <t>5.03%</t>
  </si>
  <si>
    <t>-4.07%</t>
  </si>
  <si>
    <t>-43.77%</t>
  </si>
  <si>
    <t>-5.86%</t>
  </si>
  <si>
    <t>-75.10%</t>
  </si>
  <si>
    <t>-186.28%</t>
  </si>
  <si>
    <t>-172.51%</t>
  </si>
  <si>
    <t>17.72%</t>
  </si>
  <si>
    <t>-5.48%</t>
  </si>
  <si>
    <t>-20.55%</t>
  </si>
  <si>
    <t>-61.32%</t>
  </si>
  <si>
    <t>92.19%</t>
  </si>
  <si>
    <t>-85.18%</t>
  </si>
  <si>
    <t>0.64 - 8.30</t>
  </si>
  <si>
    <t>31.05%</t>
  </si>
  <si>
    <t>-77.84%</t>
  </si>
  <si>
    <t>Frontier Group Holdings Inc</t>
  </si>
  <si>
    <t>-19.57%</t>
  </si>
  <si>
    <t>42.41%</t>
  </si>
  <si>
    <t>-4.52%</t>
  </si>
  <si>
    <t>-9.85%</t>
  </si>
  <si>
    <t>-7.76%</t>
  </si>
  <si>
    <t>6.81%</t>
  </si>
  <si>
    <t>-19.00%</t>
  </si>
  <si>
    <t>55.56%</t>
  </si>
  <si>
    <t>-52.24%</t>
  </si>
  <si>
    <t>69.47%</t>
  </si>
  <si>
    <t>2.89 - 10.26</t>
  </si>
  <si>
    <t>-78.41%</t>
  </si>
  <si>
    <t>75.63%</t>
  </si>
  <si>
    <t>-4.11%</t>
  </si>
  <si>
    <t>Lincoln National Corp</t>
  </si>
  <si>
    <t>Insurance - Life</t>
  </si>
  <si>
    <t>9.78%</t>
  </si>
  <si>
    <t>35.33%</t>
  </si>
  <si>
    <t>33.25%</t>
  </si>
  <si>
    <t>11.33%</t>
  </si>
  <si>
    <t>80.37%</t>
  </si>
  <si>
    <t>8.33%</t>
  </si>
  <si>
    <t>5.68%</t>
  </si>
  <si>
    <t>2.22%</t>
  </si>
  <si>
    <t>-2.36%</t>
  </si>
  <si>
    <t>14.36%</t>
  </si>
  <si>
    <t>-7.49%</t>
  </si>
  <si>
    <t>21.29%</t>
  </si>
  <si>
    <t>46.45%</t>
  </si>
  <si>
    <t>27.58 - 43.66</t>
  </si>
  <si>
    <t>-53.40%</t>
  </si>
  <si>
    <t>748.53%</t>
  </si>
  <si>
    <t>29.08%</t>
  </si>
  <si>
    <t>Elme Communities</t>
  </si>
  <si>
    <t>REIT - Residential</t>
  </si>
  <si>
    <t>4.29%</t>
  </si>
  <si>
    <t>9/17/2025</t>
  </si>
  <si>
    <t>-8.50%</t>
  </si>
  <si>
    <t>-9.71%</t>
  </si>
  <si>
    <t>12.67%</t>
  </si>
  <si>
    <t>-8.70%</t>
  </si>
  <si>
    <t>93.05%</t>
  </si>
  <si>
    <t>21.71%</t>
  </si>
  <si>
    <t>13.30%</t>
  </si>
  <si>
    <t>20.32%</t>
  </si>
  <si>
    <t>13.95 - 18.08</t>
  </si>
  <si>
    <t>-57.49%</t>
  </si>
  <si>
    <t>269.89%</t>
  </si>
  <si>
    <t>4.64%</t>
  </si>
  <si>
    <t>-2.81%</t>
  </si>
  <si>
    <t>Ametek Inc</t>
  </si>
  <si>
    <t>89.20%</t>
  </si>
  <si>
    <t>38.83%</t>
  </si>
  <si>
    <t>26.24%</t>
  </si>
  <si>
    <t>20.60%</t>
  </si>
  <si>
    <t>1.33%</t>
  </si>
  <si>
    <t>-0.86%</t>
  </si>
  <si>
    <t>28.04%</t>
  </si>
  <si>
    <t>145.02 - 198.33</t>
  </si>
  <si>
    <t>18251.69%</t>
  </si>
  <si>
    <t>8.88%</t>
  </si>
  <si>
    <t>D.R. Horton Inc</t>
  </si>
  <si>
    <t>14.47%</t>
  </si>
  <si>
    <t>8.37%</t>
  </si>
  <si>
    <t>27.31%</t>
  </si>
  <si>
    <t>15.91%</t>
  </si>
  <si>
    <t>-7.43%</t>
  </si>
  <si>
    <t>85.25%</t>
  </si>
  <si>
    <t>24.80%</t>
  </si>
  <si>
    <t>14.75%</t>
  </si>
  <si>
    <t>-9.68%</t>
  </si>
  <si>
    <t>28.99%</t>
  </si>
  <si>
    <t>50.92%</t>
  </si>
  <si>
    <t>110.44 - 195.50</t>
  </si>
  <si>
    <t>15753.66%</t>
  </si>
  <si>
    <t>29.52%</t>
  </si>
  <si>
    <t>28.14%</t>
  </si>
  <si>
    <t>-13.35%</t>
  </si>
  <si>
    <t>Harley-Davidson, Inc</t>
  </si>
  <si>
    <t>Recreational Vehicles</t>
  </si>
  <si>
    <t>9/10/2025</t>
  </si>
  <si>
    <t>-14.38%</t>
  </si>
  <si>
    <t>20.05%</t>
  </si>
  <si>
    <t>-24.81%</t>
  </si>
  <si>
    <t>-0.94%</t>
  </si>
  <si>
    <t>-7.90%</t>
  </si>
  <si>
    <t>90.58%</t>
  </si>
  <si>
    <t>30.51%</t>
  </si>
  <si>
    <t>-3.62%</t>
  </si>
  <si>
    <t>8.79%</t>
  </si>
  <si>
    <t>24.79%</t>
  </si>
  <si>
    <t>-28.48%</t>
  </si>
  <si>
    <t>39.43%</t>
  </si>
  <si>
    <t>20.45 - 39.87</t>
  </si>
  <si>
    <t>-62.42%</t>
  </si>
  <si>
    <t>12487.76%</t>
  </si>
  <si>
    <t>-25.92%</t>
  </si>
  <si>
    <t>Archer Daniels Midland Co</t>
  </si>
  <si>
    <t>Farm Products</t>
  </si>
  <si>
    <t>3.44%</t>
  </si>
  <si>
    <t>8/20/2025</t>
  </si>
  <si>
    <t>10.56%</t>
  </si>
  <si>
    <t>7.39%</t>
  </si>
  <si>
    <t>54.78%</t>
  </si>
  <si>
    <t>-8.63%</t>
  </si>
  <si>
    <t>-4.69%</t>
  </si>
  <si>
    <t>13.79%</t>
  </si>
  <si>
    <t>83.78%</t>
  </si>
  <si>
    <t>1.27%</t>
  </si>
  <si>
    <t>-1.73%</t>
  </si>
  <si>
    <t>16.68%</t>
  </si>
  <si>
    <t>-6.11%</t>
  </si>
  <si>
    <t>15.73%</t>
  </si>
  <si>
    <t>47.50%</t>
  </si>
  <si>
    <t>40.98 - 64.38</t>
  </si>
  <si>
    <t>-38.87%</t>
  </si>
  <si>
    <t>3093.17%</t>
  </si>
  <si>
    <t>25.20%</t>
  </si>
  <si>
    <t>Elastic N.V</t>
  </si>
  <si>
    <t>13.24%</t>
  </si>
  <si>
    <t>14.11%</t>
  </si>
  <si>
    <t>17.42%</t>
  </si>
  <si>
    <t>19.81%</t>
  </si>
  <si>
    <t>28.24%</t>
  </si>
  <si>
    <t>19.53%</t>
  </si>
  <si>
    <t>43.33%</t>
  </si>
  <si>
    <t>-3.50%</t>
  </si>
  <si>
    <t>82.90%</t>
  </si>
  <si>
    <t>-1.91%</t>
  </si>
  <si>
    <t>-7.08%</t>
  </si>
  <si>
    <t>-9.73%</t>
  </si>
  <si>
    <t>-28.26%</t>
  </si>
  <si>
    <t>21.53%</t>
  </si>
  <si>
    <t>70.14 - 118.84</t>
  </si>
  <si>
    <t>-55.09%</t>
  </si>
  <si>
    <t>118.53%</t>
  </si>
  <si>
    <t>-10.32%</t>
  </si>
  <si>
    <t>RingCentral Inc</t>
  </si>
  <si>
    <t>14.60%</t>
  </si>
  <si>
    <t>95.29%</t>
  </si>
  <si>
    <t>-0.50%</t>
  </si>
  <si>
    <t>-2.42%</t>
  </si>
  <si>
    <t>3.15%</t>
  </si>
  <si>
    <t>2.78%</t>
  </si>
  <si>
    <t>-7.59%</t>
  </si>
  <si>
    <t>28.33%</t>
  </si>
  <si>
    <t>-28.25%</t>
  </si>
  <si>
    <t>47.06%</t>
  </si>
  <si>
    <t>20.58 - 42.19</t>
  </si>
  <si>
    <t>-93.26%</t>
  </si>
  <si>
    <t>202.12%</t>
  </si>
  <si>
    <t>10.97%</t>
  </si>
  <si>
    <t>-1.14%</t>
  </si>
  <si>
    <t>ServiceNow Inc</t>
  </si>
  <si>
    <t>82.11%</t>
  </si>
  <si>
    <t>20.19%</t>
  </si>
  <si>
    <t>21.12%</t>
  </si>
  <si>
    <t>22.38%</t>
  </si>
  <si>
    <t>14.71%</t>
  </si>
  <si>
    <t>89.33%</t>
  </si>
  <si>
    <t>78.52%</t>
  </si>
  <si>
    <t>13.78%</t>
  </si>
  <si>
    <t>-23.11%</t>
  </si>
  <si>
    <t>35.74%</t>
  </si>
  <si>
    <t>678.66 - 1198.09</t>
  </si>
  <si>
    <t>3972.46%</t>
  </si>
  <si>
    <t>Sarepta Therapeutics Inc</t>
  </si>
  <si>
    <t>64.89%</t>
  </si>
  <si>
    <t>37.94%</t>
  </si>
  <si>
    <t>68.38%</t>
  </si>
  <si>
    <t>88.25%</t>
  </si>
  <si>
    <t>77.63%</t>
  </si>
  <si>
    <t>-2.34%</t>
  </si>
  <si>
    <t>-70.27%</t>
  </si>
  <si>
    <t>71.77%</t>
  </si>
  <si>
    <t>-87.11%</t>
  </si>
  <si>
    <t>10.41 - 138.81</t>
  </si>
  <si>
    <t>-90.16%</t>
  </si>
  <si>
    <t>562.59%</t>
  </si>
  <si>
    <t>-75.09%</t>
  </si>
  <si>
    <t>-85.74%</t>
  </si>
  <si>
    <t>Tempus AI Inc</t>
  </si>
  <si>
    <t>-37.97%</t>
  </si>
  <si>
    <t>-32.48%</t>
  </si>
  <si>
    <t>59.84%</t>
  </si>
  <si>
    <t>38.58%</t>
  </si>
  <si>
    <t>89.57%</t>
  </si>
  <si>
    <t>-1.98%</t>
  </si>
  <si>
    <t>41.65%</t>
  </si>
  <si>
    <t>-23.80%</t>
  </si>
  <si>
    <t>-20.98%</t>
  </si>
  <si>
    <t>-19.73%</t>
  </si>
  <si>
    <t>47.01%</t>
  </si>
  <si>
    <t>150.29%</t>
  </si>
  <si>
    <t>31.36 - 97.79</t>
  </si>
  <si>
    <t>242.90%</t>
  </si>
  <si>
    <t>51.03%</t>
  </si>
  <si>
    <t>53.24%</t>
  </si>
  <si>
    <t>Adobe Inc</t>
  </si>
  <si>
    <t>3/24/2005</t>
  </si>
  <si>
    <t>12.71%</t>
  </si>
  <si>
    <t>10.69%</t>
  </si>
  <si>
    <t>10.85%</t>
  </si>
  <si>
    <t>14.10%</t>
  </si>
  <si>
    <t>10.72%</t>
  </si>
  <si>
    <t>83.81%</t>
  </si>
  <si>
    <t>88.43%</t>
  </si>
  <si>
    <t>36.58%</t>
  </si>
  <si>
    <t>30.01%</t>
  </si>
  <si>
    <t>-10.66%</t>
  </si>
  <si>
    <t>7.43%</t>
  </si>
  <si>
    <t>-36.45%</t>
  </si>
  <si>
    <t>330.04 - 557.90</t>
  </si>
  <si>
    <t>-49.31%</t>
  </si>
  <si>
    <t>175163.46%</t>
  </si>
  <si>
    <t>-8.10%</t>
  </si>
  <si>
    <t>-10.50%</t>
  </si>
  <si>
    <t>-32.34%</t>
  </si>
  <si>
    <t>Applied Optoelectronics Inc</t>
  </si>
  <si>
    <t>-30.72%</t>
  </si>
  <si>
    <t>-6.34%</t>
  </si>
  <si>
    <t>77.94%</t>
  </si>
  <si>
    <t>5.49%</t>
  </si>
  <si>
    <t>137.93%</t>
  </si>
  <si>
    <t>-124.09%</t>
  </si>
  <si>
    <t>53.57%</t>
  </si>
  <si>
    <t>-13.02%</t>
  </si>
  <si>
    <t>8.63%</t>
  </si>
  <si>
    <t>11.15%</t>
  </si>
  <si>
    <t>-16.66%</t>
  </si>
  <si>
    <t>30.48%</t>
  </si>
  <si>
    <t>-41.70%</t>
  </si>
  <si>
    <t>167.17%</t>
  </si>
  <si>
    <t>9.71 - 44.50</t>
  </si>
  <si>
    <t>-74.91%</t>
  </si>
  <si>
    <t>1653.04%</t>
  </si>
  <si>
    <t>45.92%</t>
  </si>
  <si>
    <t>62.36%</t>
  </si>
  <si>
    <t>Huntington Bancshares, Inc</t>
  </si>
  <si>
    <t>50.83%</t>
  </si>
  <si>
    <t>10.83%</t>
  </si>
  <si>
    <t>87.54%</t>
  </si>
  <si>
    <t>-1.52%</t>
  </si>
  <si>
    <t>-6.02%</t>
  </si>
  <si>
    <t>45.49%</t>
  </si>
  <si>
    <t>11.91 - 18.44</t>
  </si>
  <si>
    <t>-43.88%</t>
  </si>
  <si>
    <t>1633.50%</t>
  </si>
  <si>
    <t>4.43%</t>
  </si>
  <si>
    <t>19.47%</t>
  </si>
  <si>
    <t>Carvana Co</t>
  </si>
  <si>
    <t>Auto &amp; Truck Dealerships</t>
  </si>
  <si>
    <t>63.40%</t>
  </si>
  <si>
    <t>39.48%</t>
  </si>
  <si>
    <t>28.26%</t>
  </si>
  <si>
    <t>41.94%</t>
  </si>
  <si>
    <t>16.55%</t>
  </si>
  <si>
    <t>20.91%</t>
  </si>
  <si>
    <t>-1.55%</t>
  </si>
  <si>
    <t>30.33%</t>
  </si>
  <si>
    <t>14.91%</t>
  </si>
  <si>
    <t>146.61%</t>
  </si>
  <si>
    <t>148.25 - 413.33</t>
  </si>
  <si>
    <t>10198.59%</t>
  </si>
  <si>
    <t>14.51%</t>
  </si>
  <si>
    <t>79.26%</t>
  </si>
  <si>
    <t>111.70%</t>
  </si>
  <si>
    <t>Signing Day Sports Inc</t>
  </si>
  <si>
    <t>-32.14%</t>
  </si>
  <si>
    <t>-67.41%</t>
  </si>
  <si>
    <t>4.67%</t>
  </si>
  <si>
    <t>35.14%</t>
  </si>
  <si>
    <t>-1743.04%</t>
  </si>
  <si>
    <t>-1821.64%</t>
  </si>
  <si>
    <t>8.97%</t>
  </si>
  <si>
    <t>8.95%</t>
  </si>
  <si>
    <t>-3.77%</t>
  </si>
  <si>
    <t>10.31%</t>
  </si>
  <si>
    <t>-22.50%</t>
  </si>
  <si>
    <t>41.66%</t>
  </si>
  <si>
    <t>-88.03%</t>
  </si>
  <si>
    <t>303.54%</t>
  </si>
  <si>
    <t>0.44 - 14.67</t>
  </si>
  <si>
    <t>-99.28%</t>
  </si>
  <si>
    <t>67.30%</t>
  </si>
  <si>
    <t>128.13%</t>
  </si>
  <si>
    <t>-87.80%</t>
  </si>
  <si>
    <t>PulteGroup Inc</t>
  </si>
  <si>
    <t>9/16/2025</t>
  </si>
  <si>
    <t>25.55%</t>
  </si>
  <si>
    <t>32.08%</t>
  </si>
  <si>
    <t>-3.29%</t>
  </si>
  <si>
    <t>2.81%</t>
  </si>
  <si>
    <t>95.36%</t>
  </si>
  <si>
    <t>27.76%</t>
  </si>
  <si>
    <t>-8.21%</t>
  </si>
  <si>
    <t>20.88%</t>
  </si>
  <si>
    <t>-12.73%</t>
  </si>
  <si>
    <t>48.11%</t>
  </si>
  <si>
    <t>88.07 - 149.47</t>
  </si>
  <si>
    <t>17292.00%</t>
  </si>
  <si>
    <t>23.62%</t>
  </si>
  <si>
    <t>-8.95%</t>
  </si>
  <si>
    <t>HWH International Inc</t>
  </si>
  <si>
    <t>Leisure</t>
  </si>
  <si>
    <t>-277.45%</t>
  </si>
  <si>
    <t>99.39%</t>
  </si>
  <si>
    <t>6.24%</t>
  </si>
  <si>
    <t>45.90%</t>
  </si>
  <si>
    <t>-111.14%</t>
  </si>
  <si>
    <t>-108.85%</t>
  </si>
  <si>
    <t>28.00%</t>
  </si>
  <si>
    <t>-21.29%</t>
  </si>
  <si>
    <t>19.63%</t>
  </si>
  <si>
    <t>50.56%</t>
  </si>
  <si>
    <t>-65.14%</t>
  </si>
  <si>
    <t>106.77%</t>
  </si>
  <si>
    <t>200.97%</t>
  </si>
  <si>
    <t>0.90 - 7.77</t>
  </si>
  <si>
    <t>-96.40%</t>
  </si>
  <si>
    <t>113.28%</t>
  </si>
  <si>
    <t>-11.34%</t>
  </si>
  <si>
    <t>Gannett Co Inc</t>
  </si>
  <si>
    <t>10/31/2019</t>
  </si>
  <si>
    <t>43.05%</t>
  </si>
  <si>
    <t>36.36%</t>
  </si>
  <si>
    <t>-8.00%</t>
  </si>
  <si>
    <t>-8.59%</t>
  </si>
  <si>
    <t>876.16%</t>
  </si>
  <si>
    <t>77.17%</t>
  </si>
  <si>
    <t>31.69%</t>
  </si>
  <si>
    <t>2.04%</t>
  </si>
  <si>
    <t>4.84%</t>
  </si>
  <si>
    <t>18.67%</t>
  </si>
  <si>
    <t>-29.38%</t>
  </si>
  <si>
    <t>63.53%</t>
  </si>
  <si>
    <t>2.55 - 5.91</t>
  </si>
  <si>
    <t>-83.82%</t>
  </si>
  <si>
    <t>561.90%</t>
  </si>
  <si>
    <t>16.48%</t>
  </si>
  <si>
    <t>36.27%</t>
  </si>
  <si>
    <t>-25.54%</t>
  </si>
  <si>
    <t>Hyperion DeFi Inc</t>
  </si>
  <si>
    <t>-15.48%</t>
  </si>
  <si>
    <t>41.50%</t>
  </si>
  <si>
    <t>-84.00%</t>
  </si>
  <si>
    <t>-8650.05%</t>
  </si>
  <si>
    <t>-60666.85%</t>
  </si>
  <si>
    <t>-90270.16%</t>
  </si>
  <si>
    <t>73.01%</t>
  </si>
  <si>
    <t>-43.35%</t>
  </si>
  <si>
    <t>77.32%</t>
  </si>
  <si>
    <t>-80.99%</t>
  </si>
  <si>
    <t>958.72%</t>
  </si>
  <si>
    <t>0.85 - 47.33</t>
  </si>
  <si>
    <t>-98.95%</t>
  </si>
  <si>
    <t>614.21%</t>
  </si>
  <si>
    <t>-75.17%</t>
  </si>
  <si>
    <t>KB Home</t>
  </si>
  <si>
    <t>35.71%</t>
  </si>
  <si>
    <t>32.80%</t>
  </si>
  <si>
    <t>24.25%</t>
  </si>
  <si>
    <t>7.22%</t>
  </si>
  <si>
    <t>98.10%</t>
  </si>
  <si>
    <t>19.96%</t>
  </si>
  <si>
    <t>-2.46%</t>
  </si>
  <si>
    <t>2.27%</t>
  </si>
  <si>
    <t>-27.27%</t>
  </si>
  <si>
    <t>48.90 - 86.73</t>
  </si>
  <si>
    <t>-29.68%</t>
  </si>
  <si>
    <t>2246.98%</t>
  </si>
  <si>
    <t>6.53%</t>
  </si>
  <si>
    <t>-27.86%</t>
  </si>
  <si>
    <t>Ready Capital Corp</t>
  </si>
  <si>
    <t>-24.66%</t>
  </si>
  <si>
    <t>-12.82%</t>
  </si>
  <si>
    <t>-7.22%</t>
  </si>
  <si>
    <t>-34.48%</t>
  </si>
  <si>
    <t>-27.58%</t>
  </si>
  <si>
    <t>-160.22%</t>
  </si>
  <si>
    <t>68.20%</t>
  </si>
  <si>
    <t>-42.22%</t>
  </si>
  <si>
    <t>-18.31%</t>
  </si>
  <si>
    <t>-47.49%</t>
  </si>
  <si>
    <t>3.70 - 7.96</t>
  </si>
  <si>
    <t>22.15%</t>
  </si>
  <si>
    <t>-17.23%</t>
  </si>
  <si>
    <t>Chegg Inc</t>
  </si>
  <si>
    <t>-823.16%</t>
  </si>
  <si>
    <t>-151.46%</t>
  </si>
  <si>
    <t>-25.87%</t>
  </si>
  <si>
    <t>8.49%</t>
  </si>
  <si>
    <t>-35.57%</t>
  </si>
  <si>
    <t>48.28%</t>
  </si>
  <si>
    <t>65.03%</t>
  </si>
  <si>
    <t>-53.68%</t>
  </si>
  <si>
    <t>-22.66%</t>
  </si>
  <si>
    <t>46.95%</t>
  </si>
  <si>
    <t>-46.07%</t>
  </si>
  <si>
    <t>233.90%</t>
  </si>
  <si>
    <t>0.44 - 2.72</t>
  </si>
  <si>
    <t>-98.72%</t>
  </si>
  <si>
    <t>100.31%</t>
  </si>
  <si>
    <t>-14.56%</t>
  </si>
  <si>
    <t>Porch Group Inc</t>
  </si>
  <si>
    <t>33.78%</t>
  </si>
  <si>
    <t>-7.41%</t>
  </si>
  <si>
    <t>31.53%</t>
  </si>
  <si>
    <t>61.76%</t>
  </si>
  <si>
    <t>81.91%</t>
  </si>
  <si>
    <t>44.95%</t>
  </si>
  <si>
    <t>1264.39%</t>
  </si>
  <si>
    <t>1.26 - 19.44</t>
  </si>
  <si>
    <t>-37.49%</t>
  </si>
  <si>
    <t>3372.99%</t>
  </si>
  <si>
    <t>45.94%</t>
  </si>
  <si>
    <t>133.58%</t>
  </si>
  <si>
    <t>1034.74%</t>
  </si>
  <si>
    <t>Synchrony Financial</t>
  </si>
  <si>
    <t>1.53%</t>
  </si>
  <si>
    <t>8/5/2025</t>
  </si>
  <si>
    <t>-3.16%</t>
  </si>
  <si>
    <t>37.57%</t>
  </si>
  <si>
    <t>-5.20%</t>
  </si>
  <si>
    <t>105.10%</t>
  </si>
  <si>
    <t>79.62%</t>
  </si>
  <si>
    <t>26.07%</t>
  </si>
  <si>
    <t>16.63%</t>
  </si>
  <si>
    <t>83.13%</t>
  </si>
  <si>
    <t>40.54 - 77.41</t>
  </si>
  <si>
    <t>511.11%</t>
  </si>
  <si>
    <t>12.18%</t>
  </si>
  <si>
    <t>37.09%</t>
  </si>
  <si>
    <t>54.01%</t>
  </si>
  <si>
    <t>Omega Healthcare Investors, Inc</t>
  </si>
  <si>
    <t>REIT - Healthcare Facilities</t>
  </si>
  <si>
    <t>178.38%</t>
  </si>
  <si>
    <t>-4.14%</t>
  </si>
  <si>
    <t>6.59%</t>
  </si>
  <si>
    <t>11.19%</t>
  </si>
  <si>
    <t>76.83%</t>
  </si>
  <si>
    <t>70.58%</t>
  </si>
  <si>
    <t>40.62%</t>
  </si>
  <si>
    <t>-4.18%</t>
  </si>
  <si>
    <t>18.69%</t>
  </si>
  <si>
    <t>35.04 - 44.42</t>
  </si>
  <si>
    <t>3132.32%</t>
  </si>
  <si>
    <t>13.70%</t>
  </si>
  <si>
    <t>10.91%</t>
  </si>
  <si>
    <t>CommScope Holding Company Inc</t>
  </si>
  <si>
    <t>13.63%</t>
  </si>
  <si>
    <t>-11.03%</t>
  </si>
  <si>
    <t>77.71%</t>
  </si>
  <si>
    <t>87.04%</t>
  </si>
  <si>
    <t>36.35%</t>
  </si>
  <si>
    <t>-4.23%</t>
  </si>
  <si>
    <t>102.58%</t>
  </si>
  <si>
    <t>-9.31%</t>
  </si>
  <si>
    <t>113.32%</t>
  </si>
  <si>
    <t>428.23%</t>
  </si>
  <si>
    <t>2.94 - 17.12</t>
  </si>
  <si>
    <t>-63.67%</t>
  </si>
  <si>
    <t>1705.81%</t>
  </si>
  <si>
    <t>180.32%</t>
  </si>
  <si>
    <t>134.95%</t>
  </si>
  <si>
    <t>Dyne Therapeutics Inc</t>
  </si>
  <si>
    <t>-59.45%</t>
  </si>
  <si>
    <t>3.12%</t>
  </si>
  <si>
    <t>-2.96%</t>
  </si>
  <si>
    <t>6.62%</t>
  </si>
  <si>
    <t>-10.91%</t>
  </si>
  <si>
    <t>43.92%</t>
  </si>
  <si>
    <t>-64.59%</t>
  </si>
  <si>
    <t>100.94%</t>
  </si>
  <si>
    <t>6.36 - 36.09</t>
  </si>
  <si>
    <t>-73.07%</t>
  </si>
  <si>
    <t>197.21%</t>
  </si>
  <si>
    <t>33.54%</t>
  </si>
  <si>
    <t>-61.74%</t>
  </si>
  <si>
    <t>Genuine Parts Co</t>
  </si>
  <si>
    <t>0.87%</t>
  </si>
  <si>
    <t>2.99%</t>
  </si>
  <si>
    <t>88.11%</t>
  </si>
  <si>
    <t>34.96%</t>
  </si>
  <si>
    <t>3.40%</t>
  </si>
  <si>
    <t>10.46%</t>
  </si>
  <si>
    <t>-4.21%</t>
  </si>
  <si>
    <t>12.90%</t>
  </si>
  <si>
    <t>104.01 - 144.29</t>
  </si>
  <si>
    <t>1855.34%</t>
  </si>
  <si>
    <t>-1.59%</t>
  </si>
  <si>
    <t>QuidelOrtho Corporation</t>
  </si>
  <si>
    <t>29.26%</t>
  </si>
  <si>
    <t>-3.00%</t>
  </si>
  <si>
    <t>17.92%</t>
  </si>
  <si>
    <t>39.10%</t>
  </si>
  <si>
    <t>7900.00%</t>
  </si>
  <si>
    <t>117.59%</t>
  </si>
  <si>
    <t>40.27%</t>
  </si>
  <si>
    <t>-16.08%</t>
  </si>
  <si>
    <t>-2.41%</t>
  </si>
  <si>
    <t>-16.95%</t>
  </si>
  <si>
    <t>-8.69%</t>
  </si>
  <si>
    <t>-44.08%</t>
  </si>
  <si>
    <t>22.05 - 49.45</t>
  </si>
  <si>
    <t>-90.99%</t>
  </si>
  <si>
    <t>1538.52%</t>
  </si>
  <si>
    <t>-22.92%</t>
  </si>
  <si>
    <t>-39.08%</t>
  </si>
  <si>
    <t>Verizon Communications Inc</t>
  </si>
  <si>
    <t>Telecom Services</t>
  </si>
  <si>
    <t>64.77%</t>
  </si>
  <si>
    <t>-2.29%</t>
  </si>
  <si>
    <t>3.45%</t>
  </si>
  <si>
    <t>2.05%</t>
  </si>
  <si>
    <t>-1.93%</t>
  </si>
  <si>
    <t>67.62%</t>
  </si>
  <si>
    <t>22.93%</t>
  </si>
  <si>
    <t>1.21%</t>
  </si>
  <si>
    <t>0.16%</t>
  </si>
  <si>
    <t>-7.98%</t>
  </si>
  <si>
    <t>37.58 - 47.35</t>
  </si>
  <si>
    <t>-29.97%</t>
  </si>
  <si>
    <t>571.79%</t>
  </si>
  <si>
    <t>-3.08%</t>
  </si>
  <si>
    <t>-2.43%</t>
  </si>
  <si>
    <t>Service Properties Trust</t>
  </si>
  <si>
    <t>7/21/2025</t>
  </si>
  <si>
    <t>-47.50%</t>
  </si>
  <si>
    <t>20.44%</t>
  </si>
  <si>
    <t>74.28%</t>
  </si>
  <si>
    <t>10.43%</t>
  </si>
  <si>
    <t>24.43%</t>
  </si>
  <si>
    <t>-44.83%</t>
  </si>
  <si>
    <t>60.82%</t>
  </si>
  <si>
    <t>1.71 - 4.99</t>
  </si>
  <si>
    <t>-94.17%</t>
  </si>
  <si>
    <t>-44.22%</t>
  </si>
  <si>
    <t>MaxLinear Inc</t>
  </si>
  <si>
    <t>-59.94%</t>
  </si>
  <si>
    <t>-26.07%</t>
  </si>
  <si>
    <t>83.27%</t>
  </si>
  <si>
    <t>55.11%</t>
  </si>
  <si>
    <t>-35.46%</t>
  </si>
  <si>
    <t>-55.53%</t>
  </si>
  <si>
    <t>0.24%</t>
  </si>
  <si>
    <t>6.10%</t>
  </si>
  <si>
    <t>14.73%</t>
  </si>
  <si>
    <t>91.13%</t>
  </si>
  <si>
    <t>8.35 - 25.73</t>
  </si>
  <si>
    <t>-79.51%</t>
  </si>
  <si>
    <t>303.01%</t>
  </si>
  <si>
    <t>XPO Inc</t>
  </si>
  <si>
    <t>Trucking</t>
  </si>
  <si>
    <t>-13.48%</t>
  </si>
  <si>
    <t>-0.09%</t>
  </si>
  <si>
    <t>105.99%</t>
  </si>
  <si>
    <t>-0.53%</t>
  </si>
  <si>
    <t>-8.02%</t>
  </si>
  <si>
    <t>11.60%</t>
  </si>
  <si>
    <t>-19.12%</t>
  </si>
  <si>
    <t>53.08%</t>
  </si>
  <si>
    <t>85.06 - 161.00</t>
  </si>
  <si>
    <t>20372.67%</t>
  </si>
  <si>
    <t>15.02%</t>
  </si>
  <si>
    <t>13.10%</t>
  </si>
  <si>
    <t>Phathom Pharmaceuticals Inc</t>
  </si>
  <si>
    <t>-2.53%</t>
  </si>
  <si>
    <t>-10.82%</t>
  </si>
  <si>
    <t>12.50%</t>
  </si>
  <si>
    <t>1049.81%</t>
  </si>
  <si>
    <t>439.36%</t>
  </si>
  <si>
    <t>46.70%</t>
  </si>
  <si>
    <t>86.91%</t>
  </si>
  <si>
    <t>-235.89%</t>
  </si>
  <si>
    <t>-289.51%</t>
  </si>
  <si>
    <t>54.20%</t>
  </si>
  <si>
    <t>-12.58%</t>
  </si>
  <si>
    <t>49.34%</t>
  </si>
  <si>
    <t>-41.72%</t>
  </si>
  <si>
    <t>414.25%</t>
  </si>
  <si>
    <t>2.21 - 19.50</t>
  </si>
  <si>
    <t>-82.39%</t>
  </si>
  <si>
    <t>69.88%</t>
  </si>
  <si>
    <t>-34.00%</t>
  </si>
  <si>
    <t>Home Depot, Inc</t>
  </si>
  <si>
    <t>9/4/2025</t>
  </si>
  <si>
    <t>60.36%</t>
  </si>
  <si>
    <t>7.79%</t>
  </si>
  <si>
    <t>5.20%</t>
  </si>
  <si>
    <t>-8.81%</t>
  </si>
  <si>
    <t>73.13%</t>
  </si>
  <si>
    <t>31.40%</t>
  </si>
  <si>
    <t>15.30%</t>
  </si>
  <si>
    <t>-6.93%</t>
  </si>
  <si>
    <t>326.31 - 439.37</t>
  </si>
  <si>
    <t>177339.91%</t>
  </si>
  <si>
    <t>10.90%</t>
  </si>
  <si>
    <t>SentinelOne Inc</t>
  </si>
  <si>
    <t>-27.88%</t>
  </si>
  <si>
    <t>109.33%</t>
  </si>
  <si>
    <t>25.39%</t>
  </si>
  <si>
    <t>58.89%</t>
  </si>
  <si>
    <t>77.61%</t>
  </si>
  <si>
    <t>73.35%</t>
  </si>
  <si>
    <t>74.70%</t>
  </si>
  <si>
    <t>-36.26%</t>
  </si>
  <si>
    <t>-47.32%</t>
  </si>
  <si>
    <t>0.76%</t>
  </si>
  <si>
    <t>-7.81%</t>
  </si>
  <si>
    <t>-15.61%</t>
  </si>
  <si>
    <t>-38.34%</t>
  </si>
  <si>
    <t>17.58%</t>
  </si>
  <si>
    <t>15.36 - 29.29</t>
  </si>
  <si>
    <t>-77.00%</t>
  </si>
  <si>
    <t>45.29%</t>
  </si>
  <si>
    <t>-6.67%</t>
  </si>
  <si>
    <t>-25.53%</t>
  </si>
  <si>
    <t>Adaptive Biotechnologies Corp</t>
  </si>
  <si>
    <t>-2.18%</t>
  </si>
  <si>
    <t>-1.51%</t>
  </si>
  <si>
    <t>32.07%</t>
  </si>
  <si>
    <t>36.33%</t>
  </si>
  <si>
    <t>28.81%</t>
  </si>
  <si>
    <t>95.06%</t>
  </si>
  <si>
    <t>60.69%</t>
  </si>
  <si>
    <t>-58.88%</t>
  </si>
  <si>
    <t>-59.07%</t>
  </si>
  <si>
    <t>-1.58%</t>
  </si>
  <si>
    <t>-11.27%</t>
  </si>
  <si>
    <t>29.02%</t>
  </si>
  <si>
    <t>215.58%</t>
  </si>
  <si>
    <t>4.07 - 14.48</t>
  </si>
  <si>
    <t>-81.97%</t>
  </si>
  <si>
    <t>463.33%</t>
  </si>
  <si>
    <t>8.94%</t>
  </si>
  <si>
    <t>56.25%</t>
  </si>
  <si>
    <t>208.01%</t>
  </si>
  <si>
    <t>Kopin Corp</t>
  </si>
  <si>
    <t>-2.78%</t>
  </si>
  <si>
    <t>-29.77%</t>
  </si>
  <si>
    <t>13.03%</t>
  </si>
  <si>
    <t>-31.46%</t>
  </si>
  <si>
    <t>-125.56%</t>
  </si>
  <si>
    <t>-30.62%</t>
  </si>
  <si>
    <t>-29.15%</t>
  </si>
  <si>
    <t>44.52%</t>
  </si>
  <si>
    <t>-19.33%</t>
  </si>
  <si>
    <t>37.05%</t>
  </si>
  <si>
    <t>264.88%</t>
  </si>
  <si>
    <t>0.62 - 2.82</t>
  </si>
  <si>
    <t>-95.44%</t>
  </si>
  <si>
    <t>1097.37%</t>
  </si>
  <si>
    <t>79.13%</t>
  </si>
  <si>
    <t>279.29%</t>
  </si>
  <si>
    <t>Invivyd Inc</t>
  </si>
  <si>
    <t>11.20%</t>
  </si>
  <si>
    <t>-24.99%</t>
  </si>
  <si>
    <t>1941.08%</t>
  </si>
  <si>
    <t>420.58%</t>
  </si>
  <si>
    <t>-2690.70%</t>
  </si>
  <si>
    <t>-0.69%</t>
  </si>
  <si>
    <t>54.12%</t>
  </si>
  <si>
    <t>86.23%</t>
  </si>
  <si>
    <t>-245.67%</t>
  </si>
  <si>
    <t>-238.33%</t>
  </si>
  <si>
    <t>-8.45%</t>
  </si>
  <si>
    <t>34.05%</t>
  </si>
  <si>
    <t>-25.86%</t>
  </si>
  <si>
    <t>122.57%</t>
  </si>
  <si>
    <t>-60.77%</t>
  </si>
  <si>
    <t>203.16%</t>
  </si>
  <si>
    <t>0.35 - 2.74</t>
  </si>
  <si>
    <t>-98.64%</t>
  </si>
  <si>
    <t>47.97%</t>
  </si>
  <si>
    <t>76.23%</t>
  </si>
  <si>
    <t>Topgolf Callaway Brands Corp</t>
  </si>
  <si>
    <t>5/26/2020</t>
  </si>
  <si>
    <t>10.60%</t>
  </si>
  <si>
    <t>20.04%</t>
  </si>
  <si>
    <t>912.66%</t>
  </si>
  <si>
    <t>68.57%</t>
  </si>
  <si>
    <t>-36.08%</t>
  </si>
  <si>
    <t>-17.51%</t>
  </si>
  <si>
    <t>71.68%</t>
  </si>
  <si>
    <t>5.42 - 11.28</t>
  </si>
  <si>
    <t>-75.83%</t>
  </si>
  <si>
    <t>319.38%</t>
  </si>
  <si>
    <t>34.86%</t>
  </si>
  <si>
    <t>-9.22%</t>
  </si>
  <si>
    <t>NNN REIT Inc</t>
  </si>
  <si>
    <t>106.39%</t>
  </si>
  <si>
    <t>12.61%</t>
  </si>
  <si>
    <t>6.65%</t>
  </si>
  <si>
    <t>11.43%</t>
  </si>
  <si>
    <t>90.97%</t>
  </si>
  <si>
    <t>66.90%</t>
  </si>
  <si>
    <t>61.65%</t>
  </si>
  <si>
    <t>43.82%</t>
  </si>
  <si>
    <t>1.73%</t>
  </si>
  <si>
    <t>-14.66%</t>
  </si>
  <si>
    <t>35.80 - 49.57</t>
  </si>
  <si>
    <t>504.39%</t>
  </si>
  <si>
    <t>-11.99%</t>
  </si>
  <si>
    <t>First Industrial Realty Trust, Inc</t>
  </si>
  <si>
    <t>REIT - Industrial</t>
  </si>
  <si>
    <t>15.62%</t>
  </si>
  <si>
    <t>9.98%</t>
  </si>
  <si>
    <t>-5.32%</t>
  </si>
  <si>
    <t>99.88%</t>
  </si>
  <si>
    <t>41.54%</t>
  </si>
  <si>
    <t>8.21%</t>
  </si>
  <si>
    <t>-11.85%</t>
  </si>
  <si>
    <t>27.19%</t>
  </si>
  <si>
    <t>40.31 - 58.17</t>
  </si>
  <si>
    <t>-21.77%</t>
  </si>
  <si>
    <t>2866.28%</t>
  </si>
  <si>
    <t>-5.49%</t>
  </si>
  <si>
    <t>Unity Software Inc</t>
  </si>
  <si>
    <t>-22.36%</t>
  </si>
  <si>
    <t>17.75%</t>
  </si>
  <si>
    <t>27.33%</t>
  </si>
  <si>
    <t>-1.85%</t>
  </si>
  <si>
    <t>30.06%</t>
  </si>
  <si>
    <t>67.12%</t>
  </si>
  <si>
    <t>-25.56%</t>
  </si>
  <si>
    <t>55.86%</t>
  </si>
  <si>
    <t>41.28%</t>
  </si>
  <si>
    <t>174.17%</t>
  </si>
  <si>
    <t>15.33 - 46.94</t>
  </si>
  <si>
    <t>-79.99%</t>
  </si>
  <si>
    <t>202.48%</t>
  </si>
  <si>
    <t>72.82%</t>
  </si>
  <si>
    <t>94.76%</t>
  </si>
  <si>
    <t>81.24%</t>
  </si>
  <si>
    <t>WM Technology Inc</t>
  </si>
  <si>
    <t>-14.41%</t>
  </si>
  <si>
    <t>28.56%</t>
  </si>
  <si>
    <t>-75.00%</t>
  </si>
  <si>
    <t>39.30%</t>
  </si>
  <si>
    <t>87.52%</t>
  </si>
  <si>
    <t>4.49%</t>
  </si>
  <si>
    <t>37.15%</t>
  </si>
  <si>
    <t>-28.49%</t>
  </si>
  <si>
    <t>68.56%</t>
  </si>
  <si>
    <t>0.70 - 1.65</t>
  </si>
  <si>
    <t>-96.00%</t>
  </si>
  <si>
    <t>97.97%</t>
  </si>
  <si>
    <t>35.81%</t>
  </si>
  <si>
    <t>Ainos Inc</t>
  </si>
  <si>
    <t>15.31%</t>
  </si>
  <si>
    <t>12.06%</t>
  </si>
  <si>
    <t>82.22%</t>
  </si>
  <si>
    <t>-13151.21%</t>
  </si>
  <si>
    <t>-14182.68%</t>
  </si>
  <si>
    <t>7.53%</t>
  </si>
  <si>
    <t>19.04%</t>
  </si>
  <si>
    <t>-22.22%</t>
  </si>
  <si>
    <t>-30.00%</t>
  </si>
  <si>
    <t>75.00%</t>
  </si>
  <si>
    <t>2.00 - 5.00</t>
  </si>
  <si>
    <t>40.00%</t>
  </si>
  <si>
    <t>34.62%</t>
  </si>
  <si>
    <t>45.23%</t>
  </si>
  <si>
    <t>Regions Financial Corp</t>
  </si>
  <si>
    <t>50.71%</t>
  </si>
  <si>
    <t>-8.13%</t>
  </si>
  <si>
    <t>5.13%</t>
  </si>
  <si>
    <t>81.49%</t>
  </si>
  <si>
    <t>20.58%</t>
  </si>
  <si>
    <t>-1.18%</t>
  </si>
  <si>
    <t>11.12%</t>
  </si>
  <si>
    <t>50.08%</t>
  </si>
  <si>
    <t>17.74 - 27.96</t>
  </si>
  <si>
    <t>-31.99%</t>
  </si>
  <si>
    <t>1032.98%</t>
  </si>
  <si>
    <t>14.03%</t>
  </si>
  <si>
    <t>21.41%</t>
  </si>
  <si>
    <t>16.16%</t>
  </si>
  <si>
    <t>Tapestry Inc</t>
  </si>
  <si>
    <t>170.03%</t>
  </si>
  <si>
    <t>-36.20%</t>
  </si>
  <si>
    <t>5.09%</t>
  </si>
  <si>
    <t>7.16%</t>
  </si>
  <si>
    <t>8.30%</t>
  </si>
  <si>
    <t>98.60%</t>
  </si>
  <si>
    <t>71.65%</t>
  </si>
  <si>
    <t>149.97%</t>
  </si>
  <si>
    <t>43.07 - 117.00</t>
  </si>
  <si>
    <t>5283.00%</t>
  </si>
  <si>
    <t>47.99%</t>
  </si>
  <si>
    <t>137.14%</t>
  </si>
  <si>
    <t>Organon &amp; Co</t>
  </si>
  <si>
    <t>2.50%</t>
  </si>
  <si>
    <t>-14.47%</t>
  </si>
  <si>
    <t>-23.49%</t>
  </si>
  <si>
    <t>84.09%</t>
  </si>
  <si>
    <t>56.26%</t>
  </si>
  <si>
    <t>-16.01%</t>
  </si>
  <si>
    <t>-7.67%</t>
  </si>
  <si>
    <t>21.59%</t>
  </si>
  <si>
    <t>-47.91%</t>
  </si>
  <si>
    <t>26.22%</t>
  </si>
  <si>
    <t>8.01 - 19.41</t>
  </si>
  <si>
    <t>-74.39%</t>
  </si>
  <si>
    <t>-48.58%</t>
  </si>
  <si>
    <t>Summit Hotel Properties Inc</t>
  </si>
  <si>
    <t>136.18%</t>
  </si>
  <si>
    <t>-19.44%</t>
  </si>
  <si>
    <t>26.45%</t>
  </si>
  <si>
    <t>98.40%</t>
  </si>
  <si>
    <t>9.99%</t>
  </si>
  <si>
    <t>-1.28%</t>
  </si>
  <si>
    <t>-6.58%</t>
  </si>
  <si>
    <t>21.58%</t>
  </si>
  <si>
    <t>57.00%</t>
  </si>
  <si>
    <t>3.57 - 7.22</t>
  </si>
  <si>
    <t>-71.09%</t>
  </si>
  <si>
    <t>141.59%</t>
  </si>
  <si>
    <t>8.41%</t>
  </si>
  <si>
    <t>Omnicom Group, Inc</t>
  </si>
  <si>
    <t>37.56%</t>
  </si>
  <si>
    <t>4.52%</t>
  </si>
  <si>
    <t>4.22%</t>
  </si>
  <si>
    <t>112.44%</t>
  </si>
  <si>
    <t>17.39%</t>
  </si>
  <si>
    <t>0.79%</t>
  </si>
  <si>
    <t>-2.50%</t>
  </si>
  <si>
    <t>-28.54%</t>
  </si>
  <si>
    <t>11.83%</t>
  </si>
  <si>
    <t>68.37 - 107.00</t>
  </si>
  <si>
    <t>4348.52%</t>
  </si>
  <si>
    <t>-5.17%</t>
  </si>
  <si>
    <t>Viasat, Inc</t>
  </si>
  <si>
    <t>-176.54%</t>
  </si>
  <si>
    <t>-320.60%</t>
  </si>
  <si>
    <t>40.90%</t>
  </si>
  <si>
    <t>14.37%</t>
  </si>
  <si>
    <t>3.96%</t>
  </si>
  <si>
    <t>97.05%</t>
  </si>
  <si>
    <t>26.74%</t>
  </si>
  <si>
    <t>1.29%</t>
  </si>
  <si>
    <t>-13.11%</t>
  </si>
  <si>
    <t>-4.88%</t>
  </si>
  <si>
    <t>104.76%</t>
  </si>
  <si>
    <t>-15.11%</t>
  </si>
  <si>
    <t>106.46%</t>
  </si>
  <si>
    <t>332.06%</t>
  </si>
  <si>
    <t>6.69 - 34.05</t>
  </si>
  <si>
    <t>-70.30%</t>
  </si>
  <si>
    <t>725.86%</t>
  </si>
  <si>
    <t>97.98%</t>
  </si>
  <si>
    <t>152.01%</t>
  </si>
  <si>
    <t>126.71%</t>
  </si>
  <si>
    <t>Interpublic Group Of Cos., Inc</t>
  </si>
  <si>
    <t>72.31%</t>
  </si>
  <si>
    <t>1.71%</t>
  </si>
  <si>
    <t>-5.16%</t>
  </si>
  <si>
    <t>33.52%</t>
  </si>
  <si>
    <t>98.77%</t>
  </si>
  <si>
    <t>15.48%</t>
  </si>
  <si>
    <t>14.02%</t>
  </si>
  <si>
    <t>-4.61%</t>
  </si>
  <si>
    <t>-20.86%</t>
  </si>
  <si>
    <t>16.19%</t>
  </si>
  <si>
    <t>22.51 - 33.05</t>
  </si>
  <si>
    <t>-55.19%</t>
  </si>
  <si>
    <t>1882.27%</t>
  </si>
  <si>
    <t>-16.22%</t>
  </si>
  <si>
    <t>Red Cat Holdings Inc</t>
  </si>
  <si>
    <t>-51.88%</t>
  </si>
  <si>
    <t>-47.70%</t>
  </si>
  <si>
    <t>49.84%</t>
  </si>
  <si>
    <t>-48.99%</t>
  </si>
  <si>
    <t>-26.52%</t>
  </si>
  <si>
    <t>24.63%</t>
  </si>
  <si>
    <t>-159.80%</t>
  </si>
  <si>
    <t>-232.64%</t>
  </si>
  <si>
    <t>22.81%</t>
  </si>
  <si>
    <t>-23.65%</t>
  </si>
  <si>
    <t>28.05%</t>
  </si>
  <si>
    <t>-34.69%</t>
  </si>
  <si>
    <t>326.28%</t>
  </si>
  <si>
    <t>2.34 - 15.27</t>
  </si>
  <si>
    <t>2750.00%</t>
  </si>
  <si>
    <t>66.25%</t>
  </si>
  <si>
    <t>285.14%</t>
  </si>
  <si>
    <t>Enterprise Products Partners L P</t>
  </si>
  <si>
    <t>5.05%</t>
  </si>
  <si>
    <t>78.06%</t>
  </si>
  <si>
    <t>5.15%</t>
  </si>
  <si>
    <t>11.35%</t>
  </si>
  <si>
    <t>-16.37%</t>
  </si>
  <si>
    <t>12.42%</t>
  </si>
  <si>
    <t>11.96%</t>
  </si>
  <si>
    <t>10.74%</t>
  </si>
  <si>
    <t>-1.83%</t>
  </si>
  <si>
    <t>-8.58%</t>
  </si>
  <si>
    <t>27.77 - 34.63</t>
  </si>
  <si>
    <t>821.02%</t>
  </si>
  <si>
    <t>CaliberCos Inc</t>
  </si>
  <si>
    <t>-6.71%</t>
  </si>
  <si>
    <t>-199.90%</t>
  </si>
  <si>
    <t>-54.32%</t>
  </si>
  <si>
    <t>-3.01%</t>
  </si>
  <si>
    <t>-37.98%</t>
  </si>
  <si>
    <t>-341.49%</t>
  </si>
  <si>
    <t>-27.59%</t>
  </si>
  <si>
    <t>-64.77%</t>
  </si>
  <si>
    <t>42.27%</t>
  </si>
  <si>
    <t>39.15%</t>
  </si>
  <si>
    <t>-28.22%</t>
  </si>
  <si>
    <t>-89.00%</t>
  </si>
  <si>
    <t>223.93%</t>
  </si>
  <si>
    <t>1.63 - 48.00</t>
  </si>
  <si>
    <t>-97.97%</t>
  </si>
  <si>
    <t>49.15%</t>
  </si>
  <si>
    <t>-57.42%</t>
  </si>
  <si>
    <t>-56.40%</t>
  </si>
  <si>
    <t>Neogen Corp</t>
  </si>
  <si>
    <t>73.84%</t>
  </si>
  <si>
    <t>19.28%</t>
  </si>
  <si>
    <t>-5836.84%</t>
  </si>
  <si>
    <t>111.22%</t>
  </si>
  <si>
    <t>37.16%</t>
  </si>
  <si>
    <t>-122.06%</t>
  </si>
  <si>
    <t>-26.91%</t>
  </si>
  <si>
    <t>-67.84%</t>
  </si>
  <si>
    <t>42.76%</t>
  </si>
  <si>
    <t>3.87 - 17.18</t>
  </si>
  <si>
    <t>-88.69%</t>
  </si>
  <si>
    <t>4420.45%</t>
  </si>
  <si>
    <t>16.81%</t>
  </si>
  <si>
    <t>Marwynn Holdings Inc</t>
  </si>
  <si>
    <t>-18.09%</t>
  </si>
  <si>
    <t>0.75%</t>
  </si>
  <si>
    <t>10.64%</t>
  </si>
  <si>
    <t>18.55%</t>
  </si>
  <si>
    <t>-63.68%</t>
  </si>
  <si>
    <t>-51.51%</t>
  </si>
  <si>
    <t>60.30%</t>
  </si>
  <si>
    <t>-89.82%</t>
  </si>
  <si>
    <t>0.71 - 11.20</t>
  </si>
  <si>
    <t>-40.65%</t>
  </si>
  <si>
    <t>-73.56%</t>
  </si>
  <si>
    <t>Equifax, Inc</t>
  </si>
  <si>
    <t>32.25%</t>
  </si>
  <si>
    <t>6.86%</t>
  </si>
  <si>
    <t>97.30%</t>
  </si>
  <si>
    <t>43.94%</t>
  </si>
  <si>
    <t>10.95%</t>
  </si>
  <si>
    <t>199.98 - 295.49</t>
  </si>
  <si>
    <t>-18.29%</t>
  </si>
  <si>
    <t>24446.31%</t>
  </si>
  <si>
    <t>-15.76%</t>
  </si>
  <si>
    <t>Capital One Financial Corp</t>
  </si>
  <si>
    <t>6.27%</t>
  </si>
  <si>
    <t>-24.51%</t>
  </si>
  <si>
    <t>18.84%</t>
  </si>
  <si>
    <t>35.29%</t>
  </si>
  <si>
    <t>-1.81%</t>
  </si>
  <si>
    <t>13.13%</t>
  </si>
  <si>
    <t>55.52%</t>
  </si>
  <si>
    <t>143.22 - 232.45</t>
  </si>
  <si>
    <t>4733.77%</t>
  </si>
  <si>
    <t>25.03%</t>
  </si>
  <si>
    <t>51.16%</t>
  </si>
  <si>
    <t>GlucoTrack Inc</t>
  </si>
  <si>
    <t>-37.51%</t>
  </si>
  <si>
    <t>-18.33%</t>
  </si>
  <si>
    <t>8.58%</t>
  </si>
  <si>
    <t>13.48%</t>
  </si>
  <si>
    <t>44.55%</t>
  </si>
  <si>
    <t>4.22 - 2989.68</t>
  </si>
  <si>
    <t>-56.23%</t>
  </si>
  <si>
    <t>B. Riley Financial Inc</t>
  </si>
  <si>
    <t>Financial Conglomerates</t>
  </si>
  <si>
    <t>-1.57%</t>
  </si>
  <si>
    <t>5/23/2024</t>
  </si>
  <si>
    <t>-33.56%</t>
  </si>
  <si>
    <t>-25.16%</t>
  </si>
  <si>
    <t>47.67%</t>
  </si>
  <si>
    <t>-62.41%</t>
  </si>
  <si>
    <t>-80.00%</t>
  </si>
  <si>
    <t>39.76%</t>
  </si>
  <si>
    <t>-21.88%</t>
  </si>
  <si>
    <t>29.79%</t>
  </si>
  <si>
    <t>131.14%</t>
  </si>
  <si>
    <t>2.67 - 7.90</t>
  </si>
  <si>
    <t>-96.01%</t>
  </si>
  <si>
    <t>3850.51%</t>
  </si>
  <si>
    <t>110.63%</t>
  </si>
  <si>
    <t>49.43%</t>
  </si>
  <si>
    <t>Staar Surgical Co</t>
  </si>
  <si>
    <t>43.00%</t>
  </si>
  <si>
    <t>-32.59%</t>
  </si>
  <si>
    <t>15.89%</t>
  </si>
  <si>
    <t>-55.23%</t>
  </si>
  <si>
    <t>396.93%</t>
  </si>
  <si>
    <t>109.23%</t>
  </si>
  <si>
    <t>70.53%</t>
  </si>
  <si>
    <t>-46.49%</t>
  </si>
  <si>
    <t>-42.45%</t>
  </si>
  <si>
    <t>-2.24%</t>
  </si>
  <si>
    <t>28.35%</t>
  </si>
  <si>
    <t>57.20%</t>
  </si>
  <si>
    <t>-30.73%</t>
  </si>
  <si>
    <t>98.07%</t>
  </si>
  <si>
    <t>13.50 - 38.60</t>
  </si>
  <si>
    <t>-83.60%</t>
  </si>
  <si>
    <t>3284.80%</t>
  </si>
  <si>
    <t>58.04%</t>
  </si>
  <si>
    <t>-17.19%</t>
  </si>
  <si>
    <t>Alphatec Holdings Inc</t>
  </si>
  <si>
    <t>26.27%</t>
  </si>
  <si>
    <t>35.98%</t>
  </si>
  <si>
    <t>40.07%</t>
  </si>
  <si>
    <t>145.15%</t>
  </si>
  <si>
    <t>68.61%</t>
  </si>
  <si>
    <t>56.98%</t>
  </si>
  <si>
    <t>-13.89%</t>
  </si>
  <si>
    <t>-24.33%</t>
  </si>
  <si>
    <t>-1.78%</t>
  </si>
  <si>
    <t>-8.44%</t>
  </si>
  <si>
    <t>213.32%</t>
  </si>
  <si>
    <t>4.88 - 16.70</t>
  </si>
  <si>
    <t>-85.84%</t>
  </si>
  <si>
    <t>1195.76%</t>
  </si>
  <si>
    <t>52.14%</t>
  </si>
  <si>
    <t>173.52%</t>
  </si>
  <si>
    <t>Array Technologies Inc</t>
  </si>
  <si>
    <t>-56.53%</t>
  </si>
  <si>
    <t>41.63%</t>
  </si>
  <si>
    <t>36.39%</t>
  </si>
  <si>
    <t>120.58%</t>
  </si>
  <si>
    <t>25.75%</t>
  </si>
  <si>
    <t>-22.70%</t>
  </si>
  <si>
    <t>6.90%</t>
  </si>
  <si>
    <t>21.55%</t>
  </si>
  <si>
    <t>-19.52%</t>
  </si>
  <si>
    <t>49.17%</t>
  </si>
  <si>
    <t>113.83%</t>
  </si>
  <si>
    <t>3.76 - 9.99</t>
  </si>
  <si>
    <t>-85.32%</t>
  </si>
  <si>
    <t>24.84%</t>
  </si>
  <si>
    <t>57.34%</t>
  </si>
  <si>
    <t>Alexandria Real Estate Equities Inc</t>
  </si>
  <si>
    <t>6.33%</t>
  </si>
  <si>
    <t>288.49%</t>
  </si>
  <si>
    <t>-22.20%</t>
  </si>
  <si>
    <t>-10.42%</t>
  </si>
  <si>
    <t>-15.93%</t>
  </si>
  <si>
    <t>13.81%</t>
  </si>
  <si>
    <t>15.27%</t>
  </si>
  <si>
    <t>-208.40%</t>
  </si>
  <si>
    <t>2.02%</t>
  </si>
  <si>
    <t>-5.42%</t>
  </si>
  <si>
    <t>16.64%</t>
  </si>
  <si>
    <t>-33.51%</t>
  </si>
  <si>
    <t>23.88%</t>
  </si>
  <si>
    <t>67.37 - 125.51</t>
  </si>
  <si>
    <t>-62.35%</t>
  </si>
  <si>
    <t>311.48%</t>
  </si>
  <si>
    <t>-12.80%</t>
  </si>
  <si>
    <t>-32.92%</t>
  </si>
  <si>
    <t>RxSight Inc</t>
  </si>
  <si>
    <t>26.50%</t>
  </si>
  <si>
    <t>27.68%</t>
  </si>
  <si>
    <t>128.61%</t>
  </si>
  <si>
    <t>94.05%</t>
  </si>
  <si>
    <t>73.12%</t>
  </si>
  <si>
    <t>-28.92%</t>
  </si>
  <si>
    <t>-21.93%</t>
  </si>
  <si>
    <t>-52.50%</t>
  </si>
  <si>
    <t>37.76%</t>
  </si>
  <si>
    <t>-83.59%</t>
  </si>
  <si>
    <t>44.30%</t>
  </si>
  <si>
    <t>6.32 - 55.57</t>
  </si>
  <si>
    <t>-86.29%</t>
  </si>
  <si>
    <t>-65.80%</t>
  </si>
  <si>
    <t>-81.35%</t>
  </si>
  <si>
    <t>ExlService Holdings Inc</t>
  </si>
  <si>
    <t>0.39%</t>
  </si>
  <si>
    <t>25.37%</t>
  </si>
  <si>
    <t>15.15%</t>
  </si>
  <si>
    <t>17.88%</t>
  </si>
  <si>
    <t>13.15%</t>
  </si>
  <si>
    <t>97.23%</t>
  </si>
  <si>
    <t>35.19%</t>
  </si>
  <si>
    <t>3.56%</t>
  </si>
  <si>
    <t>-17.24%</t>
  </si>
  <si>
    <t>37.33 - 52.43</t>
  </si>
  <si>
    <t>4797.29%</t>
  </si>
  <si>
    <t>-7.82%</t>
  </si>
  <si>
    <t>Comerica, Inc</t>
  </si>
  <si>
    <t>1.17%</t>
  </si>
  <si>
    <t>56.71%</t>
  </si>
  <si>
    <t>-15.57%</t>
  </si>
  <si>
    <t>-8.62%</t>
  </si>
  <si>
    <t>18.14%</t>
  </si>
  <si>
    <t>13.26%</t>
  </si>
  <si>
    <t>93.01%</t>
  </si>
  <si>
    <t>-3.91%</t>
  </si>
  <si>
    <t>13.47%</t>
  </si>
  <si>
    <t>-6.17%</t>
  </si>
  <si>
    <t>43.22%</t>
  </si>
  <si>
    <t>48.12 - 73.45</t>
  </si>
  <si>
    <t>-32.87%</t>
  </si>
  <si>
    <t>1695.54%</t>
  </si>
  <si>
    <t>15.90%</t>
  </si>
  <si>
    <t>15.61%</t>
  </si>
  <si>
    <t>13.99%</t>
  </si>
  <si>
    <t>Sotera Health Co</t>
  </si>
  <si>
    <t>-27.77%</t>
  </si>
  <si>
    <t>11.86%</t>
  </si>
  <si>
    <t>15.87%</t>
  </si>
  <si>
    <t>54.04%</t>
  </si>
  <si>
    <t>50.59%</t>
  </si>
  <si>
    <t>-6.25%</t>
  </si>
  <si>
    <t>42.60%</t>
  </si>
  <si>
    <t>-7.53%</t>
  </si>
  <si>
    <t>63.69%</t>
  </si>
  <si>
    <t>9.53 - 16.87</t>
  </si>
  <si>
    <t>-48.65%</t>
  </si>
  <si>
    <t>169.90%</t>
  </si>
  <si>
    <t>37.81%</t>
  </si>
  <si>
    <t>32.20%</t>
  </si>
  <si>
    <t>Olin Corp</t>
  </si>
  <si>
    <t>8/28/2025</t>
  </si>
  <si>
    <t>88.03%</t>
  </si>
  <si>
    <t>-51.48%</t>
  </si>
  <si>
    <t>325.00%</t>
  </si>
  <si>
    <t>91.20%</t>
  </si>
  <si>
    <t>3.31%</t>
  </si>
  <si>
    <t>31.07%</t>
  </si>
  <si>
    <t>-52.23%</t>
  </si>
  <si>
    <t>34.14%</t>
  </si>
  <si>
    <t>17.66 - 49.60</t>
  </si>
  <si>
    <t>-6.18%</t>
  </si>
  <si>
    <t>-48.50%</t>
  </si>
  <si>
    <t>LifeStance Health Group Inc</t>
  </si>
  <si>
    <t>47.55%</t>
  </si>
  <si>
    <t>13.86%</t>
  </si>
  <si>
    <t>42.55%</t>
  </si>
  <si>
    <t>58.85%</t>
  </si>
  <si>
    <t>37.86%</t>
  </si>
  <si>
    <t>-7.95%</t>
  </si>
  <si>
    <t>40.78%</t>
  </si>
  <si>
    <t>-38.85%</t>
  </si>
  <si>
    <t>3.74 - 8.61</t>
  </si>
  <si>
    <t>-82.34%</t>
  </si>
  <si>
    <t>-22.23%</t>
  </si>
  <si>
    <t>-24.14%</t>
  </si>
  <si>
    <t>Cloudflare Inc</t>
  </si>
  <si>
    <t>8.13%</t>
  </si>
  <si>
    <t>25.14%</t>
  </si>
  <si>
    <t>27.32%</t>
  </si>
  <si>
    <t>36.50%</t>
  </si>
  <si>
    <t>14.50%</t>
  </si>
  <si>
    <t>80.52%</t>
  </si>
  <si>
    <t>76.12%</t>
  </si>
  <si>
    <t>-9.65%</t>
  </si>
  <si>
    <t>16.60%</t>
  </si>
  <si>
    <t>176.55%</t>
  </si>
  <si>
    <t>77.80 - 230.10</t>
  </si>
  <si>
    <t>1383.86%</t>
  </si>
  <si>
    <t>81.46%</t>
  </si>
  <si>
    <t>151.65%</t>
  </si>
  <si>
    <t>Co-Diagnostics Inc</t>
  </si>
  <si>
    <t>56.80%</t>
  </si>
  <si>
    <t>-91.14%</t>
  </si>
  <si>
    <t>-80.11%</t>
  </si>
  <si>
    <t>29.07%</t>
  </si>
  <si>
    <t>10.77%</t>
  </si>
  <si>
    <t>-231.30%</t>
  </si>
  <si>
    <t>-6882.12%</t>
  </si>
  <si>
    <t>-6321.00%</t>
  </si>
  <si>
    <t>16.07%</t>
  </si>
  <si>
    <t>16.95%</t>
  </si>
  <si>
    <t>-16.55%</t>
  </si>
  <si>
    <t>-48.11%</t>
  </si>
  <si>
    <t>-73.47%</t>
  </si>
  <si>
    <t>63.25%</t>
  </si>
  <si>
    <t>0.23 - 1.40</t>
  </si>
  <si>
    <t>-98.80%</t>
  </si>
  <si>
    <t>-5.13%</t>
  </si>
  <si>
    <t>-69.05%</t>
  </si>
  <si>
    <t>Performance Food Group Company</t>
  </si>
  <si>
    <t>Food Distribution</t>
  </si>
  <si>
    <t>43.02%</t>
  </si>
  <si>
    <t>-10.04%</t>
  </si>
  <si>
    <t>101.88%</t>
  </si>
  <si>
    <t>1.43%</t>
  </si>
  <si>
    <t>16.93%</t>
  </si>
  <si>
    <t>51.73%</t>
  </si>
  <si>
    <t>68.39 - 109.05</t>
  </si>
  <si>
    <t>1300.53%</t>
  </si>
  <si>
    <t>18.65%</t>
  </si>
  <si>
    <t>33.05%</t>
  </si>
  <si>
    <t>Hour Loop Inc</t>
  </si>
  <si>
    <t>-49.32%</t>
  </si>
  <si>
    <t>-2.09%</t>
  </si>
  <si>
    <t>30.09%</t>
  </si>
  <si>
    <t>39.08%</t>
  </si>
  <si>
    <t>51.53%</t>
  </si>
  <si>
    <t>0.56%</t>
  </si>
  <si>
    <t>23.44%</t>
  </si>
  <si>
    <t>51.92%</t>
  </si>
  <si>
    <t>-59.80%</t>
  </si>
  <si>
    <t>121.77%</t>
  </si>
  <si>
    <t>-60.14%</t>
  </si>
  <si>
    <t>1.10 - 6.90</t>
  </si>
  <si>
    <t>-73.38%</t>
  </si>
  <si>
    <t>231.33%</t>
  </si>
  <si>
    <t>103.70%</t>
  </si>
  <si>
    <t>43.23%</t>
  </si>
  <si>
    <t>92.31%</t>
  </si>
  <si>
    <t>Beam Global</t>
  </si>
  <si>
    <t>76.31%</t>
  </si>
  <si>
    <t>57.37%</t>
  </si>
  <si>
    <t>-57.62%</t>
  </si>
  <si>
    <t>-69.33%</t>
  </si>
  <si>
    <t>8.15%</t>
  </si>
  <si>
    <t>16.53%</t>
  </si>
  <si>
    <t>-22.65%</t>
  </si>
  <si>
    <t>26.14%</t>
  </si>
  <si>
    <t>-50.42%</t>
  </si>
  <si>
    <t>97.74%</t>
  </si>
  <si>
    <t>1.33 - 5.30</t>
  </si>
  <si>
    <t>-96.53%</t>
  </si>
  <si>
    <t>67.52%</t>
  </si>
  <si>
    <t>22.33%</t>
  </si>
  <si>
    <t>-46.87%</t>
  </si>
  <si>
    <t>LoanDepot Inc</t>
  </si>
  <si>
    <t>-0.31%</t>
  </si>
  <si>
    <t>4/1/2022</t>
  </si>
  <si>
    <t>-40.63%</t>
  </si>
  <si>
    <t>-109.22%</t>
  </si>
  <si>
    <t>15.59%</t>
  </si>
  <si>
    <t>10.04%</t>
  </si>
  <si>
    <t>28.32%</t>
  </si>
  <si>
    <t>83.86%</t>
  </si>
  <si>
    <t>-36.83%</t>
  </si>
  <si>
    <t>118.49%</t>
  </si>
  <si>
    <t>215.84%</t>
  </si>
  <si>
    <t>1.01 - 5.05</t>
  </si>
  <si>
    <t>-91.75%</t>
  </si>
  <si>
    <t>143.51%</t>
  </si>
  <si>
    <t>159.35%</t>
  </si>
  <si>
    <t>Symbotic Inc</t>
  </si>
  <si>
    <t>-30.12%</t>
  </si>
  <si>
    <t>-415.28%</t>
  </si>
  <si>
    <t>73.85%</t>
  </si>
  <si>
    <t>54.64%</t>
  </si>
  <si>
    <t>-19.94%</t>
  </si>
  <si>
    <t>21.21%</t>
  </si>
  <si>
    <t>214.79%</t>
  </si>
  <si>
    <t>16.32 - 64.16</t>
  </si>
  <si>
    <t>487.06%</t>
  </si>
  <si>
    <t>37.90%</t>
  </si>
  <si>
    <t>138.81%</t>
  </si>
  <si>
    <t>117.20%</t>
  </si>
  <si>
    <t>Millrose Properties Inc</t>
  </si>
  <si>
    <t>64.52%</t>
  </si>
  <si>
    <t>38.01%</t>
  </si>
  <si>
    <t>38.07%</t>
  </si>
  <si>
    <t>21.98%</t>
  </si>
  <si>
    <t>79.47%</t>
  </si>
  <si>
    <t>19.00 - 36.00</t>
  </si>
  <si>
    <t>Syndax Pharmaceuticals Inc</t>
  </si>
  <si>
    <t>-15.16%</t>
  </si>
  <si>
    <t>71.19%</t>
  </si>
  <si>
    <t>2133.71%</t>
  </si>
  <si>
    <t>-44.66%</t>
  </si>
  <si>
    <t>73.25%</t>
  </si>
  <si>
    <t>984.51%</t>
  </si>
  <si>
    <t>119.72%</t>
  </si>
  <si>
    <t>96.17%</t>
  </si>
  <si>
    <t>-433.37%</t>
  </si>
  <si>
    <t>-428.48%</t>
  </si>
  <si>
    <t>18.41%</t>
  </si>
  <si>
    <t>-12.38%</t>
  </si>
  <si>
    <t>76.05%</t>
  </si>
  <si>
    <t>8.58 - 22.50</t>
  </si>
  <si>
    <t>-49.41%</t>
  </si>
  <si>
    <t>345.58%</t>
  </si>
  <si>
    <t>11.39%</t>
  </si>
  <si>
    <t>-17.37%</t>
  </si>
  <si>
    <t>Veritex Holdings Inc</t>
  </si>
  <si>
    <t>29.39%</t>
  </si>
  <si>
    <t>85.72%</t>
  </si>
  <si>
    <t>10.84%</t>
  </si>
  <si>
    <t>65.10%</t>
  </si>
  <si>
    <t>20.37 - 34.96</t>
  </si>
  <si>
    <t>235.63%</t>
  </si>
  <si>
    <t>28.60%</t>
  </si>
  <si>
    <t>35.44%</t>
  </si>
  <si>
    <t>30.00%</t>
  </si>
  <si>
    <t>Keycorp</t>
  </si>
  <si>
    <t>4.37%</t>
  </si>
  <si>
    <t>2.92%</t>
  </si>
  <si>
    <t>20.53%</t>
  </si>
  <si>
    <t>-12.30%</t>
  </si>
  <si>
    <t>90.01%</t>
  </si>
  <si>
    <t>47.94%</t>
  </si>
  <si>
    <t>12.73 - 20.04</t>
  </si>
  <si>
    <t>-58.05%</t>
  </si>
  <si>
    <t>518.66%</t>
  </si>
  <si>
    <t>9.32%</t>
  </si>
  <si>
    <t>13.27%</t>
  </si>
  <si>
    <t>Nuvation Bio Inc</t>
  </si>
  <si>
    <t>-68.86%</t>
  </si>
  <si>
    <t>-49.14%</t>
  </si>
  <si>
    <t>43.04%</t>
  </si>
  <si>
    <t>900.35%</t>
  </si>
  <si>
    <t>236.79%</t>
  </si>
  <si>
    <t>20.25%</t>
  </si>
  <si>
    <t>-1564.86%</t>
  </si>
  <si>
    <t>-1413.43%</t>
  </si>
  <si>
    <t>5.42%</t>
  </si>
  <si>
    <t>30.78%</t>
  </si>
  <si>
    <t>-23.84%</t>
  </si>
  <si>
    <t>42.89%</t>
  </si>
  <si>
    <t>1.54 - 4.09</t>
  </si>
  <si>
    <t>-79.55%</t>
  </si>
  <si>
    <t>227.89%</t>
  </si>
  <si>
    <t>61.40%</t>
  </si>
  <si>
    <t>66.58%</t>
  </si>
  <si>
    <t>17.11%</t>
  </si>
  <si>
    <t>SouthState Bank Corp</t>
  </si>
  <si>
    <t>13.83%</t>
  </si>
  <si>
    <t>21.10%</t>
  </si>
  <si>
    <t>20.84%</t>
  </si>
  <si>
    <t>27.59%</t>
  </si>
  <si>
    <t>53.14%</t>
  </si>
  <si>
    <t>86.27%</t>
  </si>
  <si>
    <t>23.03%</t>
  </si>
  <si>
    <t>20.80%</t>
  </si>
  <si>
    <t>2.10%</t>
  </si>
  <si>
    <t>-4.36%</t>
  </si>
  <si>
    <t>-12.12%</t>
  </si>
  <si>
    <t>29.18%</t>
  </si>
  <si>
    <t>77.74 - 114.26</t>
  </si>
  <si>
    <t>909.62%</t>
  </si>
  <si>
    <t>10.38%</t>
  </si>
  <si>
    <t>Advance Auto Parts Inc</t>
  </si>
  <si>
    <t>-55.56%</t>
  </si>
  <si>
    <t>33.03%</t>
  </si>
  <si>
    <t>-6.14%</t>
  </si>
  <si>
    <t>-25.09%</t>
  </si>
  <si>
    <t>129.63%</t>
  </si>
  <si>
    <t>37.06%</t>
  </si>
  <si>
    <t>-4.37%</t>
  </si>
  <si>
    <t>1.61%</t>
  </si>
  <si>
    <t>-13.77%</t>
  </si>
  <si>
    <t>108.93%</t>
  </si>
  <si>
    <t>28.89 - 70.00</t>
  </si>
  <si>
    <t>-75.32%</t>
  </si>
  <si>
    <t>389.53%</t>
  </si>
  <si>
    <t>29.80%</t>
  </si>
  <si>
    <t>49.51%</t>
  </si>
  <si>
    <t>47.54%</t>
  </si>
  <si>
    <t>Coterra Energy Inc</t>
  </si>
  <si>
    <t>-28.21%</t>
  </si>
  <si>
    <t>19.14%</t>
  </si>
  <si>
    <t>55.87%</t>
  </si>
  <si>
    <t>34.65%</t>
  </si>
  <si>
    <t>93.76%</t>
  </si>
  <si>
    <t>34.79%</t>
  </si>
  <si>
    <t>29.63%</t>
  </si>
  <si>
    <t>24.28%</t>
  </si>
  <si>
    <t>-6.43%</t>
  </si>
  <si>
    <t>-19.75%</t>
  </si>
  <si>
    <t>7.00%</t>
  </si>
  <si>
    <t>22.46 - 29.95</t>
  </si>
  <si>
    <t>-35.48%</t>
  </si>
  <si>
    <t>3055.97%</t>
  </si>
  <si>
    <t>-15.73%</t>
  </si>
  <si>
    <t>Novavax, Inc</t>
  </si>
  <si>
    <t>12/13/2007</t>
  </si>
  <si>
    <t>62.54%</t>
  </si>
  <si>
    <t>38.16%</t>
  </si>
  <si>
    <t>9.22%</t>
  </si>
  <si>
    <t>105.39%</t>
  </si>
  <si>
    <t>-42.42%</t>
  </si>
  <si>
    <t>7280.95%</t>
  </si>
  <si>
    <t>58.83%</t>
  </si>
  <si>
    <t>87.10%</t>
  </si>
  <si>
    <t>39.20%</t>
  </si>
  <si>
    <t>29.87%</t>
  </si>
  <si>
    <t>-45.73%</t>
  </si>
  <si>
    <t>64.87%</t>
  </si>
  <si>
    <t>5.01 - 15.22</t>
  </si>
  <si>
    <t>-97.51%</t>
  </si>
  <si>
    <t>133.84%</t>
  </si>
  <si>
    <t>29.67%</t>
  </si>
  <si>
    <t>13.77%</t>
  </si>
  <si>
    <t>-37.85%</t>
  </si>
  <si>
    <t>Petco Health and Wellness Co Inc</t>
  </si>
  <si>
    <t>-2.31%</t>
  </si>
  <si>
    <t>801.01%</t>
  </si>
  <si>
    <t>56.93%</t>
  </si>
  <si>
    <t>-1.66%</t>
  </si>
  <si>
    <t>25.81%</t>
  </si>
  <si>
    <t>-44.59%</t>
  </si>
  <si>
    <t>52.85%</t>
  </si>
  <si>
    <t>2.28 - 6.29</t>
  </si>
  <si>
    <t>146.46%</t>
  </si>
  <si>
    <t>23.14%</t>
  </si>
  <si>
    <t>-20.62%</t>
  </si>
  <si>
    <t>Ocular Therapeutix Inc</t>
  </si>
  <si>
    <t>72.05%</t>
  </si>
  <si>
    <t>-9.34%</t>
  </si>
  <si>
    <t>89.42%</t>
  </si>
  <si>
    <t>-402.60%</t>
  </si>
  <si>
    <t>-382.51%</t>
  </si>
  <si>
    <t>36.47%</t>
  </si>
  <si>
    <t>-9.96%</t>
  </si>
  <si>
    <t>17.86%</t>
  </si>
  <si>
    <t>115.56%</t>
  </si>
  <si>
    <t>5.78 - 13.85</t>
  </si>
  <si>
    <t>-71.78%</t>
  </si>
  <si>
    <t>525.06%</t>
  </si>
  <si>
    <t>60.90%</t>
  </si>
  <si>
    <t>45.17%</t>
  </si>
  <si>
    <t>Sun Communities, Inc</t>
  </si>
  <si>
    <t>532.58%</t>
  </si>
  <si>
    <t>-40.52%</t>
  </si>
  <si>
    <t>-17.06%</t>
  </si>
  <si>
    <t>65.23%</t>
  </si>
  <si>
    <t>-14.17%</t>
  </si>
  <si>
    <t>12.55%</t>
  </si>
  <si>
    <t>-27.13%</t>
  </si>
  <si>
    <t>1306.51%</t>
  </si>
  <si>
    <t>105.24%</t>
  </si>
  <si>
    <t>17.78%</t>
  </si>
  <si>
    <t>45.80%</t>
  </si>
  <si>
    <t>-5.81%</t>
  </si>
  <si>
    <t>105.71 - 135.97</t>
  </si>
  <si>
    <t>-36.37%</t>
  </si>
  <si>
    <t>1895.45%</t>
  </si>
  <si>
    <t>Clear Secure Inc</t>
  </si>
  <si>
    <t>13.89%</t>
  </si>
  <si>
    <t>44.77%</t>
  </si>
  <si>
    <t>32.00%</t>
  </si>
  <si>
    <t>17.52%</t>
  </si>
  <si>
    <t>50.61%</t>
  </si>
  <si>
    <t>103.16%</t>
  </si>
  <si>
    <t>59.69%</t>
  </si>
  <si>
    <t>17.85%</t>
  </si>
  <si>
    <t>21.17%</t>
  </si>
  <si>
    <t>3.13%</t>
  </si>
  <si>
    <t>-1.42%</t>
  </si>
  <si>
    <t>5.99%</t>
  </si>
  <si>
    <t>-7.38%</t>
  </si>
  <si>
    <t>27.23%</t>
  </si>
  <si>
    <t>68.46%</t>
  </si>
  <si>
    <t>21.44 - 39.00</t>
  </si>
  <si>
    <t>-41.07%</t>
  </si>
  <si>
    <t>149.36%</t>
  </si>
  <si>
    <t>30.77%</t>
  </si>
  <si>
    <t>SITE Centers Corp</t>
  </si>
  <si>
    <t>69.15%</t>
  </si>
  <si>
    <t>-19.14%</t>
  </si>
  <si>
    <t>-11.41%</t>
  </si>
  <si>
    <t>-71.35%</t>
  </si>
  <si>
    <t>650.00%</t>
  </si>
  <si>
    <t>107.28%</t>
  </si>
  <si>
    <t>31.34%</t>
  </si>
  <si>
    <t>10.49%</t>
  </si>
  <si>
    <t>176.20%</t>
  </si>
  <si>
    <t>14.34%</t>
  </si>
  <si>
    <t>-25.25%</t>
  </si>
  <si>
    <t>6.80 - 11.81</t>
  </si>
  <si>
    <t>-84.78%</t>
  </si>
  <si>
    <t>697.81%</t>
  </si>
  <si>
    <t>EBay Inc</t>
  </si>
  <si>
    <t>14.04%</t>
  </si>
  <si>
    <t>27.40%</t>
  </si>
  <si>
    <t>13.57%</t>
  </si>
  <si>
    <t>3.86%</t>
  </si>
  <si>
    <t>5.67%</t>
  </si>
  <si>
    <t>-33.11%</t>
  </si>
  <si>
    <t>96.69%</t>
  </si>
  <si>
    <t>71.78%</t>
  </si>
  <si>
    <t>22.62%</t>
  </si>
  <si>
    <t>20.78%</t>
  </si>
  <si>
    <t>0.84%</t>
  </si>
  <si>
    <t>23.54%</t>
  </si>
  <si>
    <t>63.28%</t>
  </si>
  <si>
    <t>56.33 - 101.15</t>
  </si>
  <si>
    <t>20671.83%</t>
  </si>
  <si>
    <t>37.67%</t>
  </si>
  <si>
    <t>40.55%</t>
  </si>
  <si>
    <t>GigaCloud Technology Inc</t>
  </si>
  <si>
    <t>138.44%</t>
  </si>
  <si>
    <t>160.76%</t>
  </si>
  <si>
    <t>21.20%</t>
  </si>
  <si>
    <t>56.85%</t>
  </si>
  <si>
    <t>119.28%</t>
  </si>
  <si>
    <t>-1.03%</t>
  </si>
  <si>
    <t>30.93%</t>
  </si>
  <si>
    <t>23.70%</t>
  </si>
  <si>
    <t>39.21%</t>
  </si>
  <si>
    <t>158.10%</t>
  </si>
  <si>
    <t>11.17 - 34.50</t>
  </si>
  <si>
    <t>-53.50%</t>
  </si>
  <si>
    <t>596.38%</t>
  </si>
  <si>
    <t>45.61%</t>
  </si>
  <si>
    <t>81.09%</t>
  </si>
  <si>
    <t>53.19%</t>
  </si>
  <si>
    <t>Hologic, Inc</t>
  </si>
  <si>
    <t>-22.74%</t>
  </si>
  <si>
    <t>6.83%</t>
  </si>
  <si>
    <t>-10.56%</t>
  </si>
  <si>
    <t>100.81%</t>
  </si>
  <si>
    <t>55.93%</t>
  </si>
  <si>
    <t>2.96%</t>
  </si>
  <si>
    <t>-20.84%</t>
  </si>
  <si>
    <t>28.71%</t>
  </si>
  <si>
    <t>51.90 - 84.39</t>
  </si>
  <si>
    <t>-23.99%</t>
  </si>
  <si>
    <t>15734.07%</t>
  </si>
  <si>
    <t>-17.74%</t>
  </si>
  <si>
    <t>Empire State Realty Trust Inc</t>
  </si>
  <si>
    <t>49.45%</t>
  </si>
  <si>
    <t>79.32%</t>
  </si>
  <si>
    <t>-7.62%</t>
  </si>
  <si>
    <t>-5.08%</t>
  </si>
  <si>
    <t>-34.08%</t>
  </si>
  <si>
    <t>16.77%</t>
  </si>
  <si>
    <t>6.56 - 11.62</t>
  </si>
  <si>
    <t>-65.59%</t>
  </si>
  <si>
    <t>47.89%</t>
  </si>
  <si>
    <t>-32.33%</t>
  </si>
  <si>
    <t>Serve Robotics Inc</t>
  </si>
  <si>
    <t>-22.31%</t>
  </si>
  <si>
    <t>37.07%</t>
  </si>
  <si>
    <t>-76.90%</t>
  </si>
  <si>
    <t>-2.32%</t>
  </si>
  <si>
    <t>27.81%</t>
  </si>
  <si>
    <t>-347.27%</t>
  </si>
  <si>
    <t>-4032.17%</t>
  </si>
  <si>
    <t>-3728.86%</t>
  </si>
  <si>
    <t>-22.80%</t>
  </si>
  <si>
    <t>153.65%</t>
  </si>
  <si>
    <t>4.66 - 24.35</t>
  </si>
  <si>
    <t>567.80%</t>
  </si>
  <si>
    <t>74.59%</t>
  </si>
  <si>
    <t>46.29%</t>
  </si>
  <si>
    <t>Volato Group Inc</t>
  </si>
  <si>
    <t>Airports &amp; Air Services</t>
  </si>
  <si>
    <t>-345.16%</t>
  </si>
  <si>
    <t>-9.49%</t>
  </si>
  <si>
    <t>64.27%</t>
  </si>
  <si>
    <t>16.34%</t>
  </si>
  <si>
    <t>-2.58%</t>
  </si>
  <si>
    <t>-40.09%</t>
  </si>
  <si>
    <t>-29.25%</t>
  </si>
  <si>
    <t>30.69%</t>
  </si>
  <si>
    <t>-91.50%</t>
  </si>
  <si>
    <t>1.14 - 19.06</t>
  </si>
  <si>
    <t>25.58%</t>
  </si>
  <si>
    <t>-11.96%</t>
  </si>
  <si>
    <t>-79.78%</t>
  </si>
  <si>
    <t>Xenia Hotels &amp; Resorts Inc</t>
  </si>
  <si>
    <t>-15.28%</t>
  </si>
  <si>
    <t>311.49%</t>
  </si>
  <si>
    <t>-20.52%</t>
  </si>
  <si>
    <t>19.03%</t>
  </si>
  <si>
    <t>84.94%</t>
  </si>
  <si>
    <t>96.99%</t>
  </si>
  <si>
    <t>9.62%</t>
  </si>
  <si>
    <t>5.81%</t>
  </si>
  <si>
    <t>18.82%</t>
  </si>
  <si>
    <t>-13.52%</t>
  </si>
  <si>
    <t>8.55 - 16.50</t>
  </si>
  <si>
    <t>-44.90%</t>
  </si>
  <si>
    <t>132.22%</t>
  </si>
  <si>
    <t>11.57%</t>
  </si>
  <si>
    <t>17.84%</t>
  </si>
  <si>
    <t>News Corp</t>
  </si>
  <si>
    <t>-6.63%</t>
  </si>
  <si>
    <t>-18.16%</t>
  </si>
  <si>
    <t>12.28%</t>
  </si>
  <si>
    <t>48.45%</t>
  </si>
  <si>
    <t>26.25 - 35.58</t>
  </si>
  <si>
    <t>326.34%</t>
  </si>
  <si>
    <t>19.48%</t>
  </si>
  <si>
    <t>Digital Realty Trust Inc</t>
  </si>
  <si>
    <t>REIT - Specialty</t>
  </si>
  <si>
    <t>302.58%</t>
  </si>
  <si>
    <t>-35.24%</t>
  </si>
  <si>
    <t>-7.28%</t>
  </si>
  <si>
    <t>5.64%</t>
  </si>
  <si>
    <t>10.05%</t>
  </si>
  <si>
    <t>618.48%</t>
  </si>
  <si>
    <t>-9.63%</t>
  </si>
  <si>
    <t>98.70%</t>
  </si>
  <si>
    <t>7.46%</t>
  </si>
  <si>
    <t>-13.58%</t>
  </si>
  <si>
    <t>129.95 - 198.00</t>
  </si>
  <si>
    <t>1325.87%</t>
  </si>
  <si>
    <t>American Healthcare REIT Inc</t>
  </si>
  <si>
    <t>76.54%</t>
  </si>
  <si>
    <t>-50.00%</t>
  </si>
  <si>
    <t>-1.53%</t>
  </si>
  <si>
    <t>25.09%</t>
  </si>
  <si>
    <t>77.87%</t>
  </si>
  <si>
    <t>23.66 - 43.52</t>
  </si>
  <si>
    <t>233.21%</t>
  </si>
  <si>
    <t>40.61%</t>
  </si>
  <si>
    <t>60.63%</t>
  </si>
  <si>
    <t>Netapp Inc</t>
  </si>
  <si>
    <t>36.65%</t>
  </si>
  <si>
    <t>97.93%</t>
  </si>
  <si>
    <t>69.76%</t>
  </si>
  <si>
    <t>21.80%</t>
  </si>
  <si>
    <t>17.77%</t>
  </si>
  <si>
    <t>-5.53%</t>
  </si>
  <si>
    <t>66.56%</t>
  </si>
  <si>
    <t>71.84 - 135.45</t>
  </si>
  <si>
    <t>-21.67%</t>
  </si>
  <si>
    <t>10997.97%</t>
  </si>
  <si>
    <t>31.35%</t>
  </si>
  <si>
    <t>-2.68%</t>
  </si>
  <si>
    <t>Oscar Health Inc</t>
  </si>
  <si>
    <t>Healthcare Plans</t>
  </si>
  <si>
    <t>120.68%</t>
  </si>
  <si>
    <t>48.29%</t>
  </si>
  <si>
    <t>70.90%</t>
  </si>
  <si>
    <t>79.82%</t>
  </si>
  <si>
    <t>-9.99%</t>
  </si>
  <si>
    <t>-0.60%</t>
  </si>
  <si>
    <t>55.92%</t>
  </si>
  <si>
    <t>-2.44%</t>
  </si>
  <si>
    <t>18.43%</t>
  </si>
  <si>
    <t>-20.65%</t>
  </si>
  <si>
    <t>61.38%</t>
  </si>
  <si>
    <t>11.20 - 22.78</t>
  </si>
  <si>
    <t>-51.15%</t>
  </si>
  <si>
    <t>781.71%</t>
  </si>
  <si>
    <t>-11.44%</t>
  </si>
  <si>
    <t>34.09%</t>
  </si>
  <si>
    <t>Williams-Sonoma, Inc</t>
  </si>
  <si>
    <t>26.11%</t>
  </si>
  <si>
    <t>18.78%</t>
  </si>
  <si>
    <t>3.28%</t>
  </si>
  <si>
    <t>-5.30%</t>
  </si>
  <si>
    <t>46.46%</t>
  </si>
  <si>
    <t>18.79%</t>
  </si>
  <si>
    <t>9.87%</t>
  </si>
  <si>
    <t>-5.60%</t>
  </si>
  <si>
    <t>20.06%</t>
  </si>
  <si>
    <t>58.61%</t>
  </si>
  <si>
    <t>125.33 - 219.98</t>
  </si>
  <si>
    <t>137917.05%</t>
  </si>
  <si>
    <t>21.05%</t>
  </si>
  <si>
    <t>20.90%</t>
  </si>
  <si>
    <t>Broadcom Inc</t>
  </si>
  <si>
    <t>14.13%</t>
  </si>
  <si>
    <t>13.40%</t>
  </si>
  <si>
    <t>170.61%</t>
  </si>
  <si>
    <t>-6.32%</t>
  </si>
  <si>
    <t>13.91%</t>
  </si>
  <si>
    <t>33.98%</t>
  </si>
  <si>
    <t>22.03%</t>
  </si>
  <si>
    <t>77.76%</t>
  </si>
  <si>
    <t>63.13%</t>
  </si>
  <si>
    <t>39.33%</t>
  </si>
  <si>
    <t>-11.15%</t>
  </si>
  <si>
    <t>21.79%</t>
  </si>
  <si>
    <t>140.76%</t>
  </si>
  <si>
    <t>138.10 - 374.23</t>
  </si>
  <si>
    <t>23102.09%</t>
  </si>
  <si>
    <t>93.32%</t>
  </si>
  <si>
    <t>90.17%</t>
  </si>
  <si>
    <t>Southwest Airlines Co</t>
  </si>
  <si>
    <t>9/3/2025</t>
  </si>
  <si>
    <t>95.45%</t>
  </si>
  <si>
    <t>-22.24%</t>
  </si>
  <si>
    <t>-29.29%</t>
  </si>
  <si>
    <t>50.76%</t>
  </si>
  <si>
    <t>20.29%</t>
  </si>
  <si>
    <t>17.73%</t>
  </si>
  <si>
    <t>2.30%</t>
  </si>
  <si>
    <t>35.57%</t>
  </si>
  <si>
    <t>23.82 - 37.96</t>
  </si>
  <si>
    <t>-51.80%</t>
  </si>
  <si>
    <t>6159.51%</t>
  </si>
  <si>
    <t>Harmonic, Inc</t>
  </si>
  <si>
    <t>38.81%</t>
  </si>
  <si>
    <t>394.51%</t>
  </si>
  <si>
    <t>90.43%</t>
  </si>
  <si>
    <t>54.19%</t>
  </si>
  <si>
    <t>-2.45%</t>
  </si>
  <si>
    <t>-36.22%</t>
  </si>
  <si>
    <t>7.80 - 15.46</t>
  </si>
  <si>
    <t>-93.74%</t>
  </si>
  <si>
    <t>876.24%</t>
  </si>
  <si>
    <t>Las Vegas Sands Corp</t>
  </si>
  <si>
    <t>1.80%</t>
  </si>
  <si>
    <t>-23.63%</t>
  </si>
  <si>
    <t>40.77%</t>
  </si>
  <si>
    <t>-10.93%</t>
  </si>
  <si>
    <t>38.70%</t>
  </si>
  <si>
    <t>48.86%</t>
  </si>
  <si>
    <t>36.72%</t>
  </si>
  <si>
    <t>12.16%</t>
  </si>
  <si>
    <t>-0.43%</t>
  </si>
  <si>
    <t>-7.40%</t>
  </si>
  <si>
    <t>78.11%</t>
  </si>
  <si>
    <t>30.18 - 58.05</t>
  </si>
  <si>
    <t>-61.53%</t>
  </si>
  <si>
    <t>4046.98%</t>
  </si>
  <si>
    <t>21.84%</t>
  </si>
  <si>
    <t>33.32%</t>
  </si>
  <si>
    <t>Eightco Holdings Inc</t>
  </si>
  <si>
    <t>Packaging &amp; Containers</t>
  </si>
  <si>
    <t>-2.76%</t>
  </si>
  <si>
    <t>-92.08%</t>
  </si>
  <si>
    <t>-27.06%</t>
  </si>
  <si>
    <t>71.36%</t>
  </si>
  <si>
    <t>51.76%</t>
  </si>
  <si>
    <t>10.81%</t>
  </si>
  <si>
    <t>-15.17%</t>
  </si>
  <si>
    <t>-23.22%</t>
  </si>
  <si>
    <t>39.70%</t>
  </si>
  <si>
    <t>-12.19%</t>
  </si>
  <si>
    <t>350.72%</t>
  </si>
  <si>
    <t>882.92%</t>
  </si>
  <si>
    <t>1108.50%</t>
  </si>
  <si>
    <t>0.98 - 83.12</t>
  </si>
  <si>
    <t>-99.74%</t>
  </si>
  <si>
    <t>373.69%</t>
  </si>
  <si>
    <t>Abbott Laboratories</t>
  </si>
  <si>
    <t>10/15/2025</t>
  </si>
  <si>
    <t>29.33%</t>
  </si>
  <si>
    <t>24.73%</t>
  </si>
  <si>
    <t>29.98%</t>
  </si>
  <si>
    <t>80.15%</t>
  </si>
  <si>
    <t>51.83%</t>
  </si>
  <si>
    <t>17.56%</t>
  </si>
  <si>
    <t>-5.54%</t>
  </si>
  <si>
    <t>20.34%</t>
  </si>
  <si>
    <t>110.86 - 141.23</t>
  </si>
  <si>
    <t>-6.44%</t>
  </si>
  <si>
    <t>12834.16%</t>
  </si>
  <si>
    <t>Reynolds Consumer Products Inc</t>
  </si>
  <si>
    <t>54.99%</t>
  </si>
  <si>
    <t>9.29%</t>
  </si>
  <si>
    <t>0.86%</t>
  </si>
  <si>
    <t>27.60%</t>
  </si>
  <si>
    <t>25.33%</t>
  </si>
  <si>
    <t>-2.86%</t>
  </si>
  <si>
    <t>-4.57%</t>
  </si>
  <si>
    <t>-26.55%</t>
  </si>
  <si>
    <t>20.91 - 31.47</t>
  </si>
  <si>
    <t>-35.79%</t>
  </si>
  <si>
    <t>-25.41%</t>
  </si>
  <si>
    <t>Hershey Company</t>
  </si>
  <si>
    <t>Confectioners</t>
  </si>
  <si>
    <t>17.13%</t>
  </si>
  <si>
    <t>15.35%</t>
  </si>
  <si>
    <t>14.88%</t>
  </si>
  <si>
    <t>-5.76%</t>
  </si>
  <si>
    <t>7.68%</t>
  </si>
  <si>
    <t>26.04%</t>
  </si>
  <si>
    <t>63.89%</t>
  </si>
  <si>
    <t>17.63%</t>
  </si>
  <si>
    <t>9.80%</t>
  </si>
  <si>
    <t>-9.98%</t>
  </si>
  <si>
    <t>33.64%</t>
  </si>
  <si>
    <t>140.13 - 208.03</t>
  </si>
  <si>
    <t>-32.36%</t>
  </si>
  <si>
    <t>7889.28%</t>
  </si>
  <si>
    <t>-3.14%</t>
  </si>
  <si>
    <t>Firefly Neuroscience Inc</t>
  </si>
  <si>
    <t>-94.38%</t>
  </si>
  <si>
    <t>-80.70%</t>
  </si>
  <si>
    <t>-59.70%</t>
  </si>
  <si>
    <t>-84.29%</t>
  </si>
  <si>
    <t>10.66%</t>
  </si>
  <si>
    <t>64.95%</t>
  </si>
  <si>
    <t>-2460.05%</t>
  </si>
  <si>
    <t>-6366.12%</t>
  </si>
  <si>
    <t>1.63%</t>
  </si>
  <si>
    <t>-21.76%</t>
  </si>
  <si>
    <t>-83.49%</t>
  </si>
  <si>
    <t>1.86 - 17.20</t>
  </si>
  <si>
    <t>-99.71%</t>
  </si>
  <si>
    <t>136.67%</t>
  </si>
  <si>
    <t>-3.07%</t>
  </si>
  <si>
    <t>-20.22%</t>
  </si>
  <si>
    <t>Arcos Dorados Holdings Inc</t>
  </si>
  <si>
    <t>12/22/2025</t>
  </si>
  <si>
    <t>26.32%</t>
  </si>
  <si>
    <t>48.37%</t>
  </si>
  <si>
    <t>12.81%</t>
  </si>
  <si>
    <t>8.60%</t>
  </si>
  <si>
    <t>2.83%</t>
  </si>
  <si>
    <t>39.90%</t>
  </si>
  <si>
    <t>-9.26%</t>
  </si>
  <si>
    <t>6.51 - 10.27</t>
  </si>
  <si>
    <t>-75.64%</t>
  </si>
  <si>
    <t>231.96%</t>
  </si>
  <si>
    <t>-15.09%</t>
  </si>
  <si>
    <t>-17.20%</t>
  </si>
  <si>
    <t>VF Corp</t>
  </si>
  <si>
    <t>Apparel Manufacturing</t>
  </si>
  <si>
    <t>-53.85%</t>
  </si>
  <si>
    <t>-28.30%</t>
  </si>
  <si>
    <t>-7.79%</t>
  </si>
  <si>
    <t>29.14%</t>
  </si>
  <si>
    <t>94.41%</t>
  </si>
  <si>
    <t>53.89%</t>
  </si>
  <si>
    <t>5.11%</t>
  </si>
  <si>
    <t>-11.19%</t>
  </si>
  <si>
    <t>-7.05%</t>
  </si>
  <si>
    <t>-49.89%</t>
  </si>
  <si>
    <t>54.55%</t>
  </si>
  <si>
    <t>9.41 - 29.02</t>
  </si>
  <si>
    <t>-85.49%</t>
  </si>
  <si>
    <t>1036.59%</t>
  </si>
  <si>
    <t>-22.44%</t>
  </si>
  <si>
    <t>Dicks Sporting Goods, Inc</t>
  </si>
  <si>
    <t>31.95%</t>
  </si>
  <si>
    <t>0.43%</t>
  </si>
  <si>
    <t>33.29%</t>
  </si>
  <si>
    <t>61.20%</t>
  </si>
  <si>
    <t>36.10%</t>
  </si>
  <si>
    <t>-4.30%</t>
  </si>
  <si>
    <t>-11.93%</t>
  </si>
  <si>
    <t>34.77%</t>
  </si>
  <si>
    <t>166.37 - 254.60</t>
  </si>
  <si>
    <t>7937.79%</t>
  </si>
  <si>
    <t>Roblox Corporation</t>
  </si>
  <si>
    <t>Electronic Gaming &amp; Multimedia</t>
  </si>
  <si>
    <t>-19.85%</t>
  </si>
  <si>
    <t>-61.92%</t>
  </si>
  <si>
    <t>15.81%</t>
  </si>
  <si>
    <t>27.39%</t>
  </si>
  <si>
    <t>23.35%</t>
  </si>
  <si>
    <t>-12.36%</t>
  </si>
  <si>
    <t>75.84%</t>
  </si>
  <si>
    <t>-27.35%</t>
  </si>
  <si>
    <t>-23.67%</t>
  </si>
  <si>
    <t>3.25%</t>
  </si>
  <si>
    <t>52.13%</t>
  </si>
  <si>
    <t>17.21%</t>
  </si>
  <si>
    <t>250.08%</t>
  </si>
  <si>
    <t>37.50 - 150.59</t>
  </si>
  <si>
    <t>506.37%</t>
  </si>
  <si>
    <t>24.33%</t>
  </si>
  <si>
    <t>120.64%</t>
  </si>
  <si>
    <t>178.67%</t>
  </si>
  <si>
    <t>eXp World Holdings Inc</t>
  </si>
  <si>
    <t>Real Estate Services</t>
  </si>
  <si>
    <t>35.72%</t>
  </si>
  <si>
    <t>-12.71%</t>
  </si>
  <si>
    <t>48.12%</t>
  </si>
  <si>
    <t>36.05%</t>
  </si>
  <si>
    <t>-110.53%</t>
  </si>
  <si>
    <t>39.27%</t>
  </si>
  <si>
    <t>22.12%</t>
  </si>
  <si>
    <t>-27.63%</t>
  </si>
  <si>
    <t>6.90 - 15.22</t>
  </si>
  <si>
    <t>-87.76%</t>
  </si>
  <si>
    <t>54837.66%</t>
  </si>
  <si>
    <t>-22.81%</t>
  </si>
  <si>
    <t>Dominion Energy Inc</t>
  </si>
  <si>
    <t>109.54%</t>
  </si>
  <si>
    <t>-15.10%</t>
  </si>
  <si>
    <t>11.54%</t>
  </si>
  <si>
    <t>8.17%</t>
  </si>
  <si>
    <t>10.82%</t>
  </si>
  <si>
    <t>58.39%</t>
  </si>
  <si>
    <t>29.19%</t>
  </si>
  <si>
    <t>25.10%</t>
  </si>
  <si>
    <t>48.07 - 62.46</t>
  </si>
  <si>
    <t>-33.84%</t>
  </si>
  <si>
    <t>785.42%</t>
  </si>
  <si>
    <t>Alkami Technology Inc</t>
  </si>
  <si>
    <t>84.92%</t>
  </si>
  <si>
    <t>29.94%</t>
  </si>
  <si>
    <t>-71.17%</t>
  </si>
  <si>
    <t>74.49%</t>
  </si>
  <si>
    <t>58.17%</t>
  </si>
  <si>
    <t>-11.87%</t>
  </si>
  <si>
    <t>-12.70%</t>
  </si>
  <si>
    <t>-11.01%</t>
  </si>
  <si>
    <t>19.94 - 42.29</t>
  </si>
  <si>
    <t>-48.52%</t>
  </si>
  <si>
    <t>175.08%</t>
  </si>
  <si>
    <t>-14.57%</t>
  </si>
  <si>
    <t>-5.51%</t>
  </si>
  <si>
    <t>-17.56%</t>
  </si>
  <si>
    <t>Maravai LifeSciences Holdings Inc</t>
  </si>
  <si>
    <t>-64.27%</t>
  </si>
  <si>
    <t>-31.30%</t>
  </si>
  <si>
    <t>-35.43%</t>
  </si>
  <si>
    <t>77.08%</t>
  </si>
  <si>
    <t>25.08%</t>
  </si>
  <si>
    <t>-90.21%</t>
  </si>
  <si>
    <t>6.07%</t>
  </si>
  <si>
    <t>6.40%</t>
  </si>
  <si>
    <t>-10.55%</t>
  </si>
  <si>
    <t>33.72%</t>
  </si>
  <si>
    <t>-69.06%</t>
  </si>
  <si>
    <t>59.82%</t>
  </si>
  <si>
    <t>1.66 - 8.60</t>
  </si>
  <si>
    <t>-95.81%</t>
  </si>
  <si>
    <t>-68.51%</t>
  </si>
  <si>
    <t>Vistra Corp</t>
  </si>
  <si>
    <t>Utilities - Independent Power Producers</t>
  </si>
  <si>
    <t>9/19/2025</t>
  </si>
  <si>
    <t>13.19%</t>
  </si>
  <si>
    <t>30.39%</t>
  </si>
  <si>
    <t>14.30%</t>
  </si>
  <si>
    <t>10.99%</t>
  </si>
  <si>
    <t>-7.44%</t>
  </si>
  <si>
    <t>-15.43%</t>
  </si>
  <si>
    <t>91.79%</t>
  </si>
  <si>
    <t>125.51%</t>
  </si>
  <si>
    <t>90.51 - 219.82</t>
  </si>
  <si>
    <t>1706.24%</t>
  </si>
  <si>
    <t>71.07%</t>
  </si>
  <si>
    <t>81.59%</t>
  </si>
  <si>
    <t>Zions Bancorporation N.A</t>
  </si>
  <si>
    <t>7.83%</t>
  </si>
  <si>
    <t>8.98%</t>
  </si>
  <si>
    <t>-1.04%</t>
  </si>
  <si>
    <t>24.68%</t>
  </si>
  <si>
    <t>79.11%</t>
  </si>
  <si>
    <t>-9.62%</t>
  </si>
  <si>
    <t>45.32%</t>
  </si>
  <si>
    <t>39.32 - 63.22</t>
  </si>
  <si>
    <t>2337.97%</t>
  </si>
  <si>
    <t>13.69%</t>
  </si>
  <si>
    <t>Arista Networks Inc</t>
  </si>
  <si>
    <t>50.09%</t>
  </si>
  <si>
    <t>27.37%</t>
  </si>
  <si>
    <t>20.61%</t>
  </si>
  <si>
    <t>33.43%</t>
  </si>
  <si>
    <t>23.77%</t>
  </si>
  <si>
    <t>-3.56%</t>
  </si>
  <si>
    <t>68.52%</t>
  </si>
  <si>
    <t>64.24%</t>
  </si>
  <si>
    <t>43.14%</t>
  </si>
  <si>
    <t>40.89%</t>
  </si>
  <si>
    <t>-9.39%</t>
  </si>
  <si>
    <t>32.39%</t>
  </si>
  <si>
    <t>138.32%</t>
  </si>
  <si>
    <t>59.43 - 156.32</t>
  </si>
  <si>
    <t>4216.08%</t>
  </si>
  <si>
    <t>79.38%</t>
  </si>
  <si>
    <t>47.13%</t>
  </si>
  <si>
    <t>Novabay Pharmaceuticals Inc</t>
  </si>
  <si>
    <t>76.04%</t>
  </si>
  <si>
    <t>66.43%</t>
  </si>
  <si>
    <t>-60.49%</t>
  </si>
  <si>
    <t>-1.40%</t>
  </si>
  <si>
    <t>2054.17%</t>
  </si>
  <si>
    <t>71.83%</t>
  </si>
  <si>
    <t>21.27%</t>
  </si>
  <si>
    <t>63.20%</t>
  </si>
  <si>
    <t>-146.15%</t>
  </si>
  <si>
    <t>-189.31%</t>
  </si>
  <si>
    <t>11.40%</t>
  </si>
  <si>
    <t>159.08%</t>
  </si>
  <si>
    <t>-52.67%</t>
  </si>
  <si>
    <t>356.83%</t>
  </si>
  <si>
    <t>0.46 - 4.44</t>
  </si>
  <si>
    <t>481.94%</t>
  </si>
  <si>
    <t>246.88%</t>
  </si>
  <si>
    <t>245.06%</t>
  </si>
  <si>
    <t>198.07%</t>
  </si>
  <si>
    <t>Ollies Bargain Outlet Holdings Inc</t>
  </si>
  <si>
    <t>Discount Stores</t>
  </si>
  <si>
    <t>8.59%</t>
  </si>
  <si>
    <t>15.51%</t>
  </si>
  <si>
    <t>17.49%</t>
  </si>
  <si>
    <t>-45.14%</t>
  </si>
  <si>
    <t>112.83%</t>
  </si>
  <si>
    <t>-5.25%</t>
  </si>
  <si>
    <t>7.75%</t>
  </si>
  <si>
    <t>86.88 - 141.74</t>
  </si>
  <si>
    <t>802.52%</t>
  </si>
  <si>
    <t>18.77%</t>
  </si>
  <si>
    <t>31.58%</t>
  </si>
  <si>
    <t>DLocal Limited</t>
  </si>
  <si>
    <t>5/27/2025</t>
  </si>
  <si>
    <t>16.91%</t>
  </si>
  <si>
    <t>68.27%</t>
  </si>
  <si>
    <t>32.31%</t>
  </si>
  <si>
    <t>39.82%</t>
  </si>
  <si>
    <t>28.75%</t>
  </si>
  <si>
    <t>-13.81%</t>
  </si>
  <si>
    <t>44.44%</t>
  </si>
  <si>
    <t>95.05%</t>
  </si>
  <si>
    <t>7.26 - 16.44</t>
  </si>
  <si>
    <t>-79.79%</t>
  </si>
  <si>
    <t>125.76%</t>
  </si>
  <si>
    <t>23.43%</t>
  </si>
  <si>
    <t>86.01%</t>
  </si>
  <si>
    <t>Altria Group Inc</t>
  </si>
  <si>
    <t>Tobacco</t>
  </si>
  <si>
    <t>61.16%</t>
  </si>
  <si>
    <t>69.82%</t>
  </si>
  <si>
    <t>-1.06%</t>
  </si>
  <si>
    <t>62.04%</t>
  </si>
  <si>
    <t>71.63%</t>
  </si>
  <si>
    <t>59.43%</t>
  </si>
  <si>
    <t>13.87%</t>
  </si>
  <si>
    <t>48.86 - 68.60</t>
  </si>
  <si>
    <t>-15.83%</t>
  </si>
  <si>
    <t>10670.41%</t>
  </si>
  <si>
    <t>11.45%</t>
  </si>
  <si>
    <t>12.31%</t>
  </si>
  <si>
    <t>27.91%</t>
  </si>
  <si>
    <t>Jefferies Financial Group Inc</t>
  </si>
  <si>
    <t>43.67%</t>
  </si>
  <si>
    <t>23.96%</t>
  </si>
  <si>
    <t>67.24%</t>
  </si>
  <si>
    <t>39.28 - 82.68</t>
  </si>
  <si>
    <t>27044.60%</t>
  </si>
  <si>
    <t>17.83%</t>
  </si>
  <si>
    <t>Aclaris Therapeutics Inc</t>
  </si>
  <si>
    <t>-47.56%</t>
  </si>
  <si>
    <t>34.66%</t>
  </si>
  <si>
    <t>-35.76%</t>
  </si>
  <si>
    <t>72.89%</t>
  </si>
  <si>
    <t>10.21%</t>
  </si>
  <si>
    <t>-346.70%</t>
  </si>
  <si>
    <t>-802.03%</t>
  </si>
  <si>
    <t>-11.80%</t>
  </si>
  <si>
    <t>30.18%</t>
  </si>
  <si>
    <t>-63.24%</t>
  </si>
  <si>
    <t>81.02%</t>
  </si>
  <si>
    <t>1.05 - 5.17</t>
  </si>
  <si>
    <t>-94.39%</t>
  </si>
  <si>
    <t>222.04%</t>
  </si>
  <si>
    <t>63.85%</t>
  </si>
  <si>
    <t>CRH Plc</t>
  </si>
  <si>
    <t>Building Materials</t>
  </si>
  <si>
    <t>5.48%</t>
  </si>
  <si>
    <t>15.12%</t>
  </si>
  <si>
    <t>18.51%</t>
  </si>
  <si>
    <t>5.72%</t>
  </si>
  <si>
    <t>82.78%</t>
  </si>
  <si>
    <t>35.99%</t>
  </si>
  <si>
    <t>14.09%</t>
  </si>
  <si>
    <t>-3.86%</t>
  </si>
  <si>
    <t>45.75%</t>
  </si>
  <si>
    <t>76.75 - 116.36</t>
  </si>
  <si>
    <t>693.38%</t>
  </si>
  <si>
    <t>22.27%</t>
  </si>
  <si>
    <t>Rayonier Inc</t>
  </si>
  <si>
    <t>47.64%</t>
  </si>
  <si>
    <t>31.60%</t>
  </si>
  <si>
    <t>39.31%</t>
  </si>
  <si>
    <t>9.90%</t>
  </si>
  <si>
    <t>4.41%</t>
  </si>
  <si>
    <t>-38.63%</t>
  </si>
  <si>
    <t>94.61%</t>
  </si>
  <si>
    <t>41.22%</t>
  </si>
  <si>
    <t>35.11%</t>
  </si>
  <si>
    <t>-14.91%</t>
  </si>
  <si>
    <t>21.84 - 30.66</t>
  </si>
  <si>
    <t>510.21%</t>
  </si>
  <si>
    <t>-13.25%</t>
  </si>
  <si>
    <t>Rexford Industrial Realty Inc</t>
  </si>
  <si>
    <t>-0.02%</t>
  </si>
  <si>
    <t>20.27%</t>
  </si>
  <si>
    <t>17.68%</t>
  </si>
  <si>
    <t>138.80%</t>
  </si>
  <si>
    <t>27.24%</t>
  </si>
  <si>
    <t>93.39%</t>
  </si>
  <si>
    <t>111.53%</t>
  </si>
  <si>
    <t>39.03%</t>
  </si>
  <si>
    <t>31.16%</t>
  </si>
  <si>
    <t>18.39%</t>
  </si>
  <si>
    <t>-20.05%</t>
  </si>
  <si>
    <t>40.09%</t>
  </si>
  <si>
    <t>29.68 - 52.00</t>
  </si>
  <si>
    <t>-50.89%</t>
  </si>
  <si>
    <t>242.57%</t>
  </si>
  <si>
    <t>14.77%</t>
  </si>
  <si>
    <t>DigitalOcean Holdings Inc</t>
  </si>
  <si>
    <t>22.13%</t>
  </si>
  <si>
    <t>13.62%</t>
  </si>
  <si>
    <t>25.96%</t>
  </si>
  <si>
    <t>59.67%</t>
  </si>
  <si>
    <t>25.45 - 47.02</t>
  </si>
  <si>
    <t>-73.84%</t>
  </si>
  <si>
    <t>79.99%</t>
  </si>
  <si>
    <t>23.50%</t>
  </si>
  <si>
    <t>Prologis Inc</t>
  </si>
  <si>
    <t>15.07%</t>
  </si>
  <si>
    <t>95.86%</t>
  </si>
  <si>
    <t>-11.68%</t>
  </si>
  <si>
    <t>96.46%</t>
  </si>
  <si>
    <t>44.80%</t>
  </si>
  <si>
    <t>41.38%</t>
  </si>
  <si>
    <t>40.22%</t>
  </si>
  <si>
    <t>-2.92%</t>
  </si>
  <si>
    <t>85.35 - 127.65</t>
  </si>
  <si>
    <t>-35.25%</t>
  </si>
  <si>
    <t>1194.50%</t>
  </si>
  <si>
    <t>-10.79%</t>
  </si>
  <si>
    <t>Gray Media Inc</t>
  </si>
  <si>
    <t>103.37%</t>
  </si>
  <si>
    <t>21.51%</t>
  </si>
  <si>
    <t>-6.54%</t>
  </si>
  <si>
    <t>-111.94%</t>
  </si>
  <si>
    <t>70.83%</t>
  </si>
  <si>
    <t>32.81%</t>
  </si>
  <si>
    <t>-8.72%</t>
  </si>
  <si>
    <t>64.43%</t>
  </si>
  <si>
    <t>97.77%</t>
  </si>
  <si>
    <t>2.91 - 6.30</t>
  </si>
  <si>
    <t>-77.26%</t>
  </si>
  <si>
    <t>3496.88%</t>
  </si>
  <si>
    <t>12.40%</t>
  </si>
  <si>
    <t>Nextdoor Holdings Inc</t>
  </si>
  <si>
    <t>19.01%</t>
  </si>
  <si>
    <t>36.17%</t>
  </si>
  <si>
    <t>82.91%</t>
  </si>
  <si>
    <t>-34.05%</t>
  </si>
  <si>
    <t>-25.72%</t>
  </si>
  <si>
    <t>6.22%</t>
  </si>
  <si>
    <t>28.18%</t>
  </si>
  <si>
    <t>1.32 - 2.99</t>
  </si>
  <si>
    <t>-88.62%</t>
  </si>
  <si>
    <t>60.23%</t>
  </si>
  <si>
    <t>33.02%</t>
  </si>
  <si>
    <t>29.75%</t>
  </si>
  <si>
    <t>Truist Financial Corporation</t>
  </si>
  <si>
    <t>13.50%</t>
  </si>
  <si>
    <t>18.31%</t>
  </si>
  <si>
    <t>10.87%</t>
  </si>
  <si>
    <t>553.06%</t>
  </si>
  <si>
    <t>75.11%</t>
  </si>
  <si>
    <t>1.40%</t>
  </si>
  <si>
    <t>8.81%</t>
  </si>
  <si>
    <t>-6.88%</t>
  </si>
  <si>
    <t>36.11%</t>
  </si>
  <si>
    <t>33.56 - 49.06</t>
  </si>
  <si>
    <t>-33.75%</t>
  </si>
  <si>
    <t>1344.25%</t>
  </si>
  <si>
    <t>Civitas Resources Inc</t>
  </si>
  <si>
    <t>9/11/2025</t>
  </si>
  <si>
    <t>19.91%</t>
  </si>
  <si>
    <t>23.65%</t>
  </si>
  <si>
    <t>77.53%</t>
  </si>
  <si>
    <t>75.45%</t>
  </si>
  <si>
    <t>-19.48%</t>
  </si>
  <si>
    <t>-10.80%</t>
  </si>
  <si>
    <t>101.04%</t>
  </si>
  <si>
    <t>28.90%</t>
  </si>
  <si>
    <t>24.04%</t>
  </si>
  <si>
    <t>-10.49%</t>
  </si>
  <si>
    <t>-39.44%</t>
  </si>
  <si>
    <t>47.08%</t>
  </si>
  <si>
    <t>22.79 - 55.35</t>
  </si>
  <si>
    <t>-99.42%</t>
  </si>
  <si>
    <t>395.27%</t>
  </si>
  <si>
    <t>19.71%</t>
  </si>
  <si>
    <t>-37.19%</t>
  </si>
  <si>
    <t>Chewy Inc</t>
  </si>
  <si>
    <t>19.60%</t>
  </si>
  <si>
    <t>-1.89%</t>
  </si>
  <si>
    <t>51.19%</t>
  </si>
  <si>
    <t>28.49%</t>
  </si>
  <si>
    <t>-9.93%</t>
  </si>
  <si>
    <t>49.09%</t>
  </si>
  <si>
    <t>26.28 - 48.62</t>
  </si>
  <si>
    <t>-67.35%</t>
  </si>
  <si>
    <t>166.80%</t>
  </si>
  <si>
    <t>32.72%</t>
  </si>
  <si>
    <t>Lightwave Logic Inc</t>
  </si>
  <si>
    <t>-18.26%</t>
  </si>
  <si>
    <t>32.29%</t>
  </si>
  <si>
    <t>-2048.79%</t>
  </si>
  <si>
    <t>-22796.63%</t>
  </si>
  <si>
    <t>-22473.21%</t>
  </si>
  <si>
    <t>100.50%</t>
  </si>
  <si>
    <t>-26.88%</t>
  </si>
  <si>
    <t>100.57%</t>
  </si>
  <si>
    <t>344.25%</t>
  </si>
  <si>
    <t>0.79 - 4.80</t>
  </si>
  <si>
    <t>-82.71%</t>
  </si>
  <si>
    <t>1304.00%</t>
  </si>
  <si>
    <t>190.08%</t>
  </si>
  <si>
    <t>247.52%</t>
  </si>
  <si>
    <t>Atossa Therapeutics Inc</t>
  </si>
  <si>
    <t>69.80%</t>
  </si>
  <si>
    <t>20.93%</t>
  </si>
  <si>
    <t>-16.32%</t>
  </si>
  <si>
    <t>-50.40%</t>
  </si>
  <si>
    <t>49.00%</t>
  </si>
  <si>
    <t>0.55 - 1.66</t>
  </si>
  <si>
    <t>64.68%</t>
  </si>
  <si>
    <t>-41.19%</t>
  </si>
  <si>
    <t>Electronic Arts, Inc</t>
  </si>
  <si>
    <t>8/27/2025</t>
  </si>
  <si>
    <t>15.46%</t>
  </si>
  <si>
    <t>-16.24%</t>
  </si>
  <si>
    <t>126.38%</t>
  </si>
  <si>
    <t>20.24%</t>
  </si>
  <si>
    <t>14.44%</t>
  </si>
  <si>
    <t>48.49%</t>
  </si>
  <si>
    <t>115.21 - 180.90</t>
  </si>
  <si>
    <t>44580.38%</t>
  </si>
  <si>
    <t>17.74%</t>
  </si>
  <si>
    <t>Expeditors International Of Washington, Inc</t>
  </si>
  <si>
    <t>Integrated Freight &amp; Logistics</t>
  </si>
  <si>
    <t>7.97%</t>
  </si>
  <si>
    <t>25.54%</t>
  </si>
  <si>
    <t>-11.57%</t>
  </si>
  <si>
    <t>-13.75%</t>
  </si>
  <si>
    <t>8.73%</t>
  </si>
  <si>
    <t>98.74%</t>
  </si>
  <si>
    <t>100.47 - 131.59</t>
  </si>
  <si>
    <t>-11.58%</t>
  </si>
  <si>
    <t>80566.48%</t>
  </si>
  <si>
    <t>First Horizon Corporation</t>
  </si>
  <si>
    <t>44.25%</t>
  </si>
  <si>
    <t>-2.90%</t>
  </si>
  <si>
    <t>17.47%</t>
  </si>
  <si>
    <t>-2.25%</t>
  </si>
  <si>
    <t>87.34%</t>
  </si>
  <si>
    <t>21.97%</t>
  </si>
  <si>
    <t>52.86%</t>
  </si>
  <si>
    <t>14.82 - 23.26</t>
  </si>
  <si>
    <t>-44.09%</t>
  </si>
  <si>
    <t>1058.87%</t>
  </si>
  <si>
    <t>17.54%</t>
  </si>
  <si>
    <t>48.30%</t>
  </si>
  <si>
    <t>Perimeter Solutions Inc</t>
  </si>
  <si>
    <t>78.73%</t>
  </si>
  <si>
    <t>44.83%</t>
  </si>
  <si>
    <t>56.87%</t>
  </si>
  <si>
    <t>27.78%</t>
  </si>
  <si>
    <t>48.06%</t>
  </si>
  <si>
    <t>88.31%</t>
  </si>
  <si>
    <t>13.05%</t>
  </si>
  <si>
    <t>-3.10%</t>
  </si>
  <si>
    <t>54.85%</t>
  </si>
  <si>
    <t>-10.03%</t>
  </si>
  <si>
    <t>38.71%</t>
  </si>
  <si>
    <t>144.33%</t>
  </si>
  <si>
    <t>8.76 - 23.79</t>
  </si>
  <si>
    <t>667.14%</t>
  </si>
  <si>
    <t>53.10%</t>
  </si>
  <si>
    <t>101.54%</t>
  </si>
  <si>
    <t>64.01%</t>
  </si>
  <si>
    <t>Cadence Bank</t>
  </si>
  <si>
    <t>33.15%</t>
  </si>
  <si>
    <t>89.38%</t>
  </si>
  <si>
    <t>26.40%</t>
  </si>
  <si>
    <t>11.80%</t>
  </si>
  <si>
    <t>47.40%</t>
  </si>
  <si>
    <t>25.22 - 40.20</t>
  </si>
  <si>
    <t>1449.40%</t>
  </si>
  <si>
    <t>20.81%</t>
  </si>
  <si>
    <t>18.54%</t>
  </si>
  <si>
    <t>FTAI Aviation Ltd</t>
  </si>
  <si>
    <t>Rental &amp; Leasing Services</t>
  </si>
  <si>
    <t>8/12/2025</t>
  </si>
  <si>
    <t>-3.13%</t>
  </si>
  <si>
    <t>39.61%</t>
  </si>
  <si>
    <t>55.05%</t>
  </si>
  <si>
    <t>73.43%</t>
  </si>
  <si>
    <t>96.90%</t>
  </si>
  <si>
    <t>31.49%</t>
  </si>
  <si>
    <t>19.33%</t>
  </si>
  <si>
    <t>32.90%</t>
  </si>
  <si>
    <t>-10.11%</t>
  </si>
  <si>
    <t>120.88%</t>
  </si>
  <si>
    <t>75.06 - 184.44</t>
  </si>
  <si>
    <t>5161.74%</t>
  </si>
  <si>
    <t>39.79%</t>
  </si>
  <si>
    <t>Gaxos.AI Inc</t>
  </si>
  <si>
    <t>-441.68%</t>
  </si>
  <si>
    <t>72158.55%</t>
  </si>
  <si>
    <t>41.67%</t>
  </si>
  <si>
    <t>-2103.38%</t>
  </si>
  <si>
    <t>-1830.80%</t>
  </si>
  <si>
    <t>-41.55%</t>
  </si>
  <si>
    <t>69.61%</t>
  </si>
  <si>
    <t>-76.93%</t>
  </si>
  <si>
    <t>73.00%</t>
  </si>
  <si>
    <t>1.00 - 7.50</t>
  </si>
  <si>
    <t>-97.20%</t>
  </si>
  <si>
    <t>42.98%</t>
  </si>
  <si>
    <t>Warner Music Group Corp</t>
  </si>
  <si>
    <t>83.23%</t>
  </si>
  <si>
    <t>6.63%</t>
  </si>
  <si>
    <t>-110.33%</t>
  </si>
  <si>
    <t>41.15%</t>
  </si>
  <si>
    <t>8.02%</t>
  </si>
  <si>
    <t>30.13%</t>
  </si>
  <si>
    <t>25.56 - 36.64</t>
  </si>
  <si>
    <t>-33.78%</t>
  </si>
  <si>
    <t>7.01%</t>
  </si>
  <si>
    <t>PNC Financial Services Group Inc</t>
  </si>
  <si>
    <t>7/15/2025</t>
  </si>
  <si>
    <t>9.49%</t>
  </si>
  <si>
    <t>84.96%</t>
  </si>
  <si>
    <t>22.59%</t>
  </si>
  <si>
    <t>-2.89%</t>
  </si>
  <si>
    <t>39.72%</t>
  </si>
  <si>
    <t>145.12 - 216.26</t>
  </si>
  <si>
    <t>-11.12%</t>
  </si>
  <si>
    <t>2474.76%</t>
  </si>
  <si>
    <t>Acadia Realty Trust</t>
  </si>
  <si>
    <t>-8.12%</t>
  </si>
  <si>
    <t>391.53%</t>
  </si>
  <si>
    <t>-10.26%</t>
  </si>
  <si>
    <t>-21.23%</t>
  </si>
  <si>
    <t>31.44%</t>
  </si>
  <si>
    <t>-3.48%</t>
  </si>
  <si>
    <t>-24.00%</t>
  </si>
  <si>
    <t>16.98 - 26.29</t>
  </si>
  <si>
    <t>-47.12%</t>
  </si>
  <si>
    <t>390.07%</t>
  </si>
  <si>
    <t>-5.40%</t>
  </si>
  <si>
    <t>ZoomInfo Technologies Inc</t>
  </si>
  <si>
    <t>-35.30%</t>
  </si>
  <si>
    <t>86.35%</t>
  </si>
  <si>
    <t>82.21%</t>
  </si>
  <si>
    <t>18.24%</t>
  </si>
  <si>
    <t>7.28%</t>
  </si>
  <si>
    <t>5.61%</t>
  </si>
  <si>
    <t>-8.77%</t>
  </si>
  <si>
    <t>-14.77%</t>
  </si>
  <si>
    <t>7.01 - 13.39</t>
  </si>
  <si>
    <t>-85.58%</t>
  </si>
  <si>
    <t>11.56%</t>
  </si>
  <si>
    <t>Citius Oncology Inc</t>
  </si>
  <si>
    <t>4.95%</t>
  </si>
  <si>
    <t>-537.43%</t>
  </si>
  <si>
    <t>46.67%</t>
  </si>
  <si>
    <t>32.57%</t>
  </si>
  <si>
    <t>-69.14%</t>
  </si>
  <si>
    <t>246.91%</t>
  </si>
  <si>
    <t>0.55 - 6.19</t>
  </si>
  <si>
    <t>-96.10%</t>
  </si>
  <si>
    <t>-57.55%</t>
  </si>
  <si>
    <t>191.62%</t>
  </si>
  <si>
    <t>Noble Corp Plc</t>
  </si>
  <si>
    <t>Oil &amp; Gas Drilling</t>
  </si>
  <si>
    <t>157.14%</t>
  </si>
  <si>
    <t>60.88%</t>
  </si>
  <si>
    <t>-20.36%</t>
  </si>
  <si>
    <t>53.36%</t>
  </si>
  <si>
    <t>-72.14%</t>
  </si>
  <si>
    <t>24.89%</t>
  </si>
  <si>
    <t>-8.09%</t>
  </si>
  <si>
    <t>-22.61%</t>
  </si>
  <si>
    <t>68.97%</t>
  </si>
  <si>
    <t>17.40 - 37.99</t>
  </si>
  <si>
    <t>Allarity Therapeutics Inc</t>
  </si>
  <si>
    <t>98.35%</t>
  </si>
  <si>
    <t>84.72%</t>
  </si>
  <si>
    <t>28.57%</t>
  </si>
  <si>
    <t>-5.44%</t>
  </si>
  <si>
    <t>22.46%</t>
  </si>
  <si>
    <t>89.29%</t>
  </si>
  <si>
    <t>159.04%</t>
  </si>
  <si>
    <t>0.61 - 2.35</t>
  </si>
  <si>
    <t>59.02%</t>
  </si>
  <si>
    <t>51.43%</t>
  </si>
  <si>
    <t>-28.38%</t>
  </si>
  <si>
    <t>Sysco Corp</t>
  </si>
  <si>
    <t>3.21%</t>
  </si>
  <si>
    <t>89.95%</t>
  </si>
  <si>
    <t>18.28%</t>
  </si>
  <si>
    <t>2.25%</t>
  </si>
  <si>
    <t>67.12 - 83.24</t>
  </si>
  <si>
    <t>10046.80%</t>
  </si>
  <si>
    <t>BlackSky Technology Inc</t>
  </si>
  <si>
    <t>53.83%</t>
  </si>
  <si>
    <t>-12.83%</t>
  </si>
  <si>
    <t>70.65%</t>
  </si>
  <si>
    <t>-10.98%</t>
  </si>
  <si>
    <t>-187.07%</t>
  </si>
  <si>
    <t>49.18%</t>
  </si>
  <si>
    <t>-43.22%</t>
  </si>
  <si>
    <t>-82.04%</t>
  </si>
  <si>
    <t>39.00%</t>
  </si>
  <si>
    <t>-32.44%</t>
  </si>
  <si>
    <t>26.89%</t>
  </si>
  <si>
    <t>364.05%</t>
  </si>
  <si>
    <t>4.20 - 28.85</t>
  </si>
  <si>
    <t>404.92%</t>
  </si>
  <si>
    <t>127.16%</t>
  </si>
  <si>
    <t>286.71%</t>
  </si>
  <si>
    <t>Presidio Property Trust Inc</t>
  </si>
  <si>
    <t>12/15/2023</t>
  </si>
  <si>
    <t>-69.24%</t>
  </si>
  <si>
    <t>-137.14%</t>
  </si>
  <si>
    <t>-74.62%</t>
  </si>
  <si>
    <t>11.75%</t>
  </si>
  <si>
    <t>-40.50%</t>
  </si>
  <si>
    <t>35.43%</t>
  </si>
  <si>
    <t>-72.91%</t>
  </si>
  <si>
    <t>48.69%</t>
  </si>
  <si>
    <t>4.19 - 23.00</t>
  </si>
  <si>
    <t>-93.24%</t>
  </si>
  <si>
    <t>-13.09%</t>
  </si>
  <si>
    <t>Analog Devices Inc</t>
  </si>
  <si>
    <t>8.38%</t>
  </si>
  <si>
    <t>11.51%</t>
  </si>
  <si>
    <t>110.40%</t>
  </si>
  <si>
    <t>-1.82%</t>
  </si>
  <si>
    <t>7.08%</t>
  </si>
  <si>
    <t>-7.72%</t>
  </si>
  <si>
    <t>91.77%</t>
  </si>
  <si>
    <t>18.85%</t>
  </si>
  <si>
    <t>-4.40%</t>
  </si>
  <si>
    <t>13.00%</t>
  </si>
  <si>
    <t>55.54%</t>
  </si>
  <si>
    <t>158.65 - 258.13</t>
  </si>
  <si>
    <t>26819.63%</t>
  </si>
  <si>
    <t>18.10%</t>
  </si>
  <si>
    <t>DigitalBridge Group Inc</t>
  </si>
  <si>
    <t>-53.09%</t>
  </si>
  <si>
    <t>57.89%</t>
  </si>
  <si>
    <t>130.35%</t>
  </si>
  <si>
    <t>-76.81%</t>
  </si>
  <si>
    <t>-71.34%</t>
  </si>
  <si>
    <t>400.00%</t>
  </si>
  <si>
    <t>89.24%</t>
  </si>
  <si>
    <t>44.54%</t>
  </si>
  <si>
    <t>-7.94%</t>
  </si>
  <si>
    <t>-31.79%</t>
  </si>
  <si>
    <t>84.40%</t>
  </si>
  <si>
    <t>6.41 - 17.33</t>
  </si>
  <si>
    <t>-87.20%</t>
  </si>
  <si>
    <t>15.09%</t>
  </si>
  <si>
    <t>29.32%</t>
  </si>
  <si>
    <t>-18.87%</t>
  </si>
  <si>
    <t>Savara Inc</t>
  </si>
  <si>
    <t>24.35%</t>
  </si>
  <si>
    <t>32.14%</t>
  </si>
  <si>
    <t>-16.67%</t>
  </si>
  <si>
    <t>48.40%</t>
  </si>
  <si>
    <t>11.38%</t>
  </si>
  <si>
    <t>21.22%</t>
  </si>
  <si>
    <t>-20.44%</t>
  </si>
  <si>
    <t>82.28%</t>
  </si>
  <si>
    <t>1.89 - 4.33</t>
  </si>
  <si>
    <t>399.28%</t>
  </si>
  <si>
    <t>55.88%</t>
  </si>
  <si>
    <t>23.92%</t>
  </si>
  <si>
    <t>-22.06%</t>
  </si>
  <si>
    <t>Mr. Cooper Group Inc</t>
  </si>
  <si>
    <t>-14.90%</t>
  </si>
  <si>
    <t>28.11%</t>
  </si>
  <si>
    <t>-11.67%</t>
  </si>
  <si>
    <t>94.64%</t>
  </si>
  <si>
    <t>42.14%</t>
  </si>
  <si>
    <t>145.47%</t>
  </si>
  <si>
    <t>84.68 - 234.73</t>
  </si>
  <si>
    <t>4722.74%</t>
  </si>
  <si>
    <t>94.17%</t>
  </si>
  <si>
    <t>129.65%</t>
  </si>
  <si>
    <t>Dnow Inc</t>
  </si>
  <si>
    <t>Industrial Distribution</t>
  </si>
  <si>
    <t>154.67%</t>
  </si>
  <si>
    <t>-4.27%</t>
  </si>
  <si>
    <t>26.58%</t>
  </si>
  <si>
    <t>97.16%</t>
  </si>
  <si>
    <t>11.54 - 18.45</t>
  </si>
  <si>
    <t>-58.58%</t>
  </si>
  <si>
    <t>286.94%</t>
  </si>
  <si>
    <t>-9.86%</t>
  </si>
  <si>
    <t>Kohl's Corp</t>
  </si>
  <si>
    <t>Department Stores</t>
  </si>
  <si>
    <t>205.51%</t>
  </si>
  <si>
    <t>-25.96%</t>
  </si>
  <si>
    <t>-26.56%</t>
  </si>
  <si>
    <t>-4.98%</t>
  </si>
  <si>
    <t>88.49%</t>
  </si>
  <si>
    <t>105.34%</t>
  </si>
  <si>
    <t>35.97%</t>
  </si>
  <si>
    <t>6.52%</t>
  </si>
  <si>
    <t>44.61%</t>
  </si>
  <si>
    <t>-24.78%</t>
  </si>
  <si>
    <t>70.81%</t>
  </si>
  <si>
    <t>166.40%</t>
  </si>
  <si>
    <t>6.04 - 21.39</t>
  </si>
  <si>
    <t>-80.68%</t>
  </si>
  <si>
    <t>871.50%</t>
  </si>
  <si>
    <t>90.65%</t>
  </si>
  <si>
    <t>86.88%</t>
  </si>
  <si>
    <t>-18.57%</t>
  </si>
  <si>
    <t>Elevance Health Inc</t>
  </si>
  <si>
    <t>92.75%</t>
  </si>
  <si>
    <t>-14.49%</t>
  </si>
  <si>
    <t>-4.91%</t>
  </si>
  <si>
    <t>-39.91%</t>
  </si>
  <si>
    <t>273.71 - 528.52</t>
  </si>
  <si>
    <t>-44.01%</t>
  </si>
  <si>
    <t>1474.23%</t>
  </si>
  <si>
    <t>-16.75%</t>
  </si>
  <si>
    <t>-26.47%</t>
  </si>
  <si>
    <t>-39.77%</t>
  </si>
  <si>
    <t>Alcoa Corp</t>
  </si>
  <si>
    <t>Aluminum</t>
  </si>
  <si>
    <t>58.74%</t>
  </si>
  <si>
    <t>142.65%</t>
  </si>
  <si>
    <t>-50.11%</t>
  </si>
  <si>
    <t>36.29%</t>
  </si>
  <si>
    <t>21.32%</t>
  </si>
  <si>
    <t>78.55%</t>
  </si>
  <si>
    <t>7.71%</t>
  </si>
  <si>
    <t>-6.00%</t>
  </si>
  <si>
    <t>-32.60%</t>
  </si>
  <si>
    <t>49.54%</t>
  </si>
  <si>
    <t>21.53 - 47.77</t>
  </si>
  <si>
    <t>-67.18%</t>
  </si>
  <si>
    <t>523.93%</t>
  </si>
  <si>
    <t>-12.47%</t>
  </si>
  <si>
    <t>Solidion Technology Inc</t>
  </si>
  <si>
    <t>5.97%</t>
  </si>
  <si>
    <t>-1275.26%</t>
  </si>
  <si>
    <t>-29.24%</t>
  </si>
  <si>
    <t>-7248.32%</t>
  </si>
  <si>
    <t>-288167.12%</t>
  </si>
  <si>
    <t>-220993.37%</t>
  </si>
  <si>
    <t>-50.82%</t>
  </si>
  <si>
    <t>60.20%</t>
  </si>
  <si>
    <t>-91.29%</t>
  </si>
  <si>
    <t>62.93%</t>
  </si>
  <si>
    <t>2.94 - 55.00</t>
  </si>
  <si>
    <t>-99.31%</t>
  </si>
  <si>
    <t>-73.44%</t>
  </si>
  <si>
    <t>M &amp; T Bank Corp</t>
  </si>
  <si>
    <t>36.55%</t>
  </si>
  <si>
    <t>0.69%</t>
  </si>
  <si>
    <t>30.89%</t>
  </si>
  <si>
    <t>13.25%</t>
  </si>
  <si>
    <t>-7.74%</t>
  </si>
  <si>
    <t>88.63%</t>
  </si>
  <si>
    <t>-11.65%</t>
  </si>
  <si>
    <t>32.28%</t>
  </si>
  <si>
    <t>150.75 - 225.70</t>
  </si>
  <si>
    <t>12869.43%</t>
  </si>
  <si>
    <t>10.98%</t>
  </si>
  <si>
    <t>reAlpha Tech Corp</t>
  </si>
  <si>
    <t>-5.57%</t>
  </si>
  <si>
    <t>1908.53%</t>
  </si>
  <si>
    <t>-60.00%</t>
  </si>
  <si>
    <t>-114.64%</t>
  </si>
  <si>
    <t>-350.59%</t>
  </si>
  <si>
    <t>-988.54%</t>
  </si>
  <si>
    <t>26.43%</t>
  </si>
  <si>
    <t>52.82%</t>
  </si>
  <si>
    <t>-52.22%</t>
  </si>
  <si>
    <t>514.29%</t>
  </si>
  <si>
    <t>-80.85%</t>
  </si>
  <si>
    <t>0.14 - 4.49</t>
  </si>
  <si>
    <t>173.89%</t>
  </si>
  <si>
    <t>-26.50%</t>
  </si>
  <si>
    <t>-33.85%</t>
  </si>
  <si>
    <t>Sailpoint Inc</t>
  </si>
  <si>
    <t>-156.07%</t>
  </si>
  <si>
    <t>24.17%</t>
  </si>
  <si>
    <t>33.13%</t>
  </si>
  <si>
    <t>11.65%</t>
  </si>
  <si>
    <t>72.90%</t>
  </si>
  <si>
    <t>-28.91%</t>
  </si>
  <si>
    <t>19.38%</t>
  </si>
  <si>
    <t>45.08%</t>
  </si>
  <si>
    <t>15.05 - 26.35</t>
  </si>
  <si>
    <t>Patterson-UTI Energy Inc</t>
  </si>
  <si>
    <t>-3.06%</t>
  </si>
  <si>
    <t>58.25%</t>
  </si>
  <si>
    <t>-209.36%</t>
  </si>
  <si>
    <t>102.67%</t>
  </si>
  <si>
    <t>-21.49%</t>
  </si>
  <si>
    <t>-40.94%</t>
  </si>
  <si>
    <t>5.12 - 9.57</t>
  </si>
  <si>
    <t>-85.31%</t>
  </si>
  <si>
    <t>654.00%</t>
  </si>
  <si>
    <t>-4.31%</t>
  </si>
  <si>
    <t>-32.52%</t>
  </si>
  <si>
    <t>Constellation Energy Corporation</t>
  </si>
  <si>
    <t>0.46%</t>
  </si>
  <si>
    <t>4.50%</t>
  </si>
  <si>
    <t>-7.87%</t>
  </si>
  <si>
    <t>103.85%</t>
  </si>
  <si>
    <t>161.35 - 357.00</t>
  </si>
  <si>
    <t>765.54%</t>
  </si>
  <si>
    <t>57.22%</t>
  </si>
  <si>
    <t>Hewlett Packard Enterprise Co</t>
  </si>
  <si>
    <t>9/18/2025</t>
  </si>
  <si>
    <t>27.22%</t>
  </si>
  <si>
    <t>-9.50%</t>
  </si>
  <si>
    <t>19.99%</t>
  </si>
  <si>
    <t>10.23%</t>
  </si>
  <si>
    <t>19.93%</t>
  </si>
  <si>
    <t>-12.97%</t>
  </si>
  <si>
    <t>87.84%</t>
  </si>
  <si>
    <t>28.65%</t>
  </si>
  <si>
    <t>11.97 - 25.36</t>
  </si>
  <si>
    <t>254.15%</t>
  </si>
  <si>
    <t>29.96%</t>
  </si>
  <si>
    <t>26.72%</t>
  </si>
  <si>
    <t>BT Brands Inc</t>
  </si>
  <si>
    <t>-26.45%</t>
  </si>
  <si>
    <t>-8.05%</t>
  </si>
  <si>
    <t>-14.25%</t>
  </si>
  <si>
    <t>26.00%</t>
  </si>
  <si>
    <t>-65.98%</t>
  </si>
  <si>
    <t>58.75%</t>
  </si>
  <si>
    <t>90.50%</t>
  </si>
  <si>
    <t>1.00 - 5.60</t>
  </si>
  <si>
    <t>22.90%</t>
  </si>
  <si>
    <t>Funko Inc</t>
  </si>
  <si>
    <t>-22.04%</t>
  </si>
  <si>
    <t>72.43%</t>
  </si>
  <si>
    <t>-6.72%</t>
  </si>
  <si>
    <t>-47.80%</t>
  </si>
  <si>
    <t>65.35%</t>
  </si>
  <si>
    <t>-74.94%</t>
  </si>
  <si>
    <t>2.22 - 14.65</t>
  </si>
  <si>
    <t>-88.20%</t>
  </si>
  <si>
    <t>-23.37%</t>
  </si>
  <si>
    <t>-47.86%</t>
  </si>
  <si>
    <t>-69.51%</t>
  </si>
  <si>
    <t>ADT Inc</t>
  </si>
  <si>
    <t>57.14%</t>
  </si>
  <si>
    <t>16.26%</t>
  </si>
  <si>
    <t>9.46%</t>
  </si>
  <si>
    <t>42.30%</t>
  </si>
  <si>
    <t>6.85%</t>
  </si>
  <si>
    <t>-67.26%</t>
  </si>
  <si>
    <t>71.80%</t>
  </si>
  <si>
    <t>49.79%</t>
  </si>
  <si>
    <t>25.74%</t>
  </si>
  <si>
    <t>30.71%</t>
  </si>
  <si>
    <t>6.68 - 8.94</t>
  </si>
  <si>
    <t>-49.30%</t>
  </si>
  <si>
    <t>156.24%</t>
  </si>
  <si>
    <t>UWM Holdings Corporation</t>
  </si>
  <si>
    <t>6.43%</t>
  </si>
  <si>
    <t>309.36%</t>
  </si>
  <si>
    <t>-42.04%</t>
  </si>
  <si>
    <t>54.57%</t>
  </si>
  <si>
    <t>21.90%</t>
  </si>
  <si>
    <t>164.03%</t>
  </si>
  <si>
    <t>-10.87%</t>
  </si>
  <si>
    <t>-2.26%</t>
  </si>
  <si>
    <t>-12.87%</t>
  </si>
  <si>
    <t>56.31%</t>
  </si>
  <si>
    <t>63.93%</t>
  </si>
  <si>
    <t>3.80 - 8.64</t>
  </si>
  <si>
    <t>-56.74%</t>
  </si>
  <si>
    <t>119.05%</t>
  </si>
  <si>
    <t>-27.91%</t>
  </si>
  <si>
    <t>Altimmune Inc</t>
  </si>
  <si>
    <t>17.12%</t>
  </si>
  <si>
    <t>-95.11%</t>
  </si>
  <si>
    <t>-83.45%</t>
  </si>
  <si>
    <t>-67.83%</t>
  </si>
  <si>
    <t>42.95%</t>
  </si>
  <si>
    <t>-545.00%</t>
  </si>
  <si>
    <t>-471850.00%</t>
  </si>
  <si>
    <t>-438730.00%</t>
  </si>
  <si>
    <t>-28.89%</t>
  </si>
  <si>
    <t>-11.94%</t>
  </si>
  <si>
    <t>-65.36%</t>
  </si>
  <si>
    <t>2.90 - 11.16</t>
  </si>
  <si>
    <t>-99.12%</t>
  </si>
  <si>
    <t>156.01%</t>
  </si>
  <si>
    <t>-30.60%</t>
  </si>
  <si>
    <t>-45.71%</t>
  </si>
  <si>
    <t>LegalZoom.com Inc</t>
  </si>
  <si>
    <t>10.80%</t>
  </si>
  <si>
    <t>63.21%</t>
  </si>
  <si>
    <t>62.83%</t>
  </si>
  <si>
    <t>19.15%</t>
  </si>
  <si>
    <t>71.34%</t>
  </si>
  <si>
    <t>6.26 - 11.93</t>
  </si>
  <si>
    <t>-73.80%</t>
  </si>
  <si>
    <t>101.24%</t>
  </si>
  <si>
    <t>21.33%</t>
  </si>
  <si>
    <t>Vaxcyte Inc</t>
  </si>
  <si>
    <t>-25.42%</t>
  </si>
  <si>
    <t>-16.47%</t>
  </si>
  <si>
    <t>111.65%</t>
  </si>
  <si>
    <t>-35.90%</t>
  </si>
  <si>
    <t>-13.27%</t>
  </si>
  <si>
    <t>-72.25%</t>
  </si>
  <si>
    <t>27.66 - 118.62</t>
  </si>
  <si>
    <t>-72.81%</t>
  </si>
  <si>
    <t>112.21%</t>
  </si>
  <si>
    <t>-53.49%</t>
  </si>
  <si>
    <t>-71.54%</t>
  </si>
  <si>
    <t>MRC Global Inc</t>
  </si>
  <si>
    <t>Oil &amp; Gas Equipment &amp; Services</t>
  </si>
  <si>
    <t>24.05%</t>
  </si>
  <si>
    <t>-9.81%</t>
  </si>
  <si>
    <t>100.58%</t>
  </si>
  <si>
    <t>12.74%</t>
  </si>
  <si>
    <t>-5.52%</t>
  </si>
  <si>
    <t>59.53%</t>
  </si>
  <si>
    <t>9.23 - 15.59</t>
  </si>
  <si>
    <t>-56.85%</t>
  </si>
  <si>
    <t>345.02%</t>
  </si>
  <si>
    <t>23.57%</t>
  </si>
  <si>
    <t>Valley National Bancorp</t>
  </si>
  <si>
    <t>63.50%</t>
  </si>
  <si>
    <t>33.70%</t>
  </si>
  <si>
    <t>70.79%</t>
  </si>
  <si>
    <t>12.13%</t>
  </si>
  <si>
    <t>-0.83%</t>
  </si>
  <si>
    <t>-4.67%</t>
  </si>
  <si>
    <t>18.60%</t>
  </si>
  <si>
    <t>41.91%</t>
  </si>
  <si>
    <t>7.48 - 11.14</t>
  </si>
  <si>
    <t>-47.87%</t>
  </si>
  <si>
    <t>638.63%</t>
  </si>
  <si>
    <t>18.21%</t>
  </si>
  <si>
    <t>20.22%</t>
  </si>
  <si>
    <t>Skechers U S A, Inc</t>
  </si>
  <si>
    <t>38.33%</t>
  </si>
  <si>
    <t>83.73%</t>
  </si>
  <si>
    <t>50.24%</t>
  </si>
  <si>
    <t>44.50 - 78.85</t>
  </si>
  <si>
    <t>5727.39%</t>
  </si>
  <si>
    <t>11.93%</t>
  </si>
  <si>
    <t>Vertiv Holdings Co</t>
  </si>
  <si>
    <t>-0.63%</t>
  </si>
  <si>
    <t>266.67%</t>
  </si>
  <si>
    <t>122.40%</t>
  </si>
  <si>
    <t>26.48%</t>
  </si>
  <si>
    <t>26.31%</t>
  </si>
  <si>
    <t>12.57%</t>
  </si>
  <si>
    <t>-3.79%</t>
  </si>
  <si>
    <t>33.23%</t>
  </si>
  <si>
    <t>-9.51%</t>
  </si>
  <si>
    <t>17.01%</t>
  </si>
  <si>
    <t>159.13%</t>
  </si>
  <si>
    <t>53.60 - 155.84</t>
  </si>
  <si>
    <t>2824.11%</t>
  </si>
  <si>
    <t>81.99%</t>
  </si>
  <si>
    <t>42.62%</t>
  </si>
  <si>
    <t>AES Corp</t>
  </si>
  <si>
    <t>39.18%</t>
  </si>
  <si>
    <t>93.56%</t>
  </si>
  <si>
    <t>-35.05%</t>
  </si>
  <si>
    <t>39.38%</t>
  </si>
  <si>
    <t>9.46 - 20.30</t>
  </si>
  <si>
    <t>-81.89%</t>
  </si>
  <si>
    <t>1333.15%</t>
  </si>
  <si>
    <t>-31.00%</t>
  </si>
  <si>
    <t>Xylem Inc</t>
  </si>
  <si>
    <t>39.40%</t>
  </si>
  <si>
    <t>15.82%</t>
  </si>
  <si>
    <t>10.25%</t>
  </si>
  <si>
    <t>-1.16%</t>
  </si>
  <si>
    <t>37.80%</t>
  </si>
  <si>
    <t>100.47 - 145.33</t>
  </si>
  <si>
    <t>533.57%</t>
  </si>
  <si>
    <t>Snowflake Inc</t>
  </si>
  <si>
    <t>-19.50%</t>
  </si>
  <si>
    <t>42.02%</t>
  </si>
  <si>
    <t>43.81%</t>
  </si>
  <si>
    <t>68.78%</t>
  </si>
  <si>
    <t>31.09%</t>
  </si>
  <si>
    <t>69.94%</t>
  </si>
  <si>
    <t>65.45%</t>
  </si>
  <si>
    <t>-34.71%</t>
  </si>
  <si>
    <t>19.72%</t>
  </si>
  <si>
    <t>-10.60%</t>
  </si>
  <si>
    <t>18.88%</t>
  </si>
  <si>
    <t>105.59%</t>
  </si>
  <si>
    <t>108.71 - 249.99</t>
  </si>
  <si>
    <t>-47.90%</t>
  </si>
  <si>
    <t>108.62%</t>
  </si>
  <si>
    <t>42.37%</t>
  </si>
  <si>
    <t>98.66%</t>
  </si>
  <si>
    <t>Banc of California Inc</t>
  </si>
  <si>
    <t>-0.27%</t>
  </si>
  <si>
    <t>77.41%</t>
  </si>
  <si>
    <t>58.47%</t>
  </si>
  <si>
    <t>49.10%</t>
  </si>
  <si>
    <t>82.73%</t>
  </si>
  <si>
    <t>36.20%</t>
  </si>
  <si>
    <t>-54.22%</t>
  </si>
  <si>
    <t>-29.85%</t>
  </si>
  <si>
    <t>18.66%</t>
  </si>
  <si>
    <t>43.79%</t>
  </si>
  <si>
    <t>11.52 - 18.08</t>
  </si>
  <si>
    <t>273.09%</t>
  </si>
  <si>
    <t>14.24%</t>
  </si>
  <si>
    <t>Neogenomics Inc</t>
  </si>
  <si>
    <t>-107.48%</t>
  </si>
  <si>
    <t>47.33%</t>
  </si>
  <si>
    <t>10.07%</t>
  </si>
  <si>
    <t>29.31%</t>
  </si>
  <si>
    <t>97.27%</t>
  </si>
  <si>
    <t>-18.96%</t>
  </si>
  <si>
    <t>68.13%</t>
  </si>
  <si>
    <t>-58.48%</t>
  </si>
  <si>
    <t>4.72 - 19.11</t>
  </si>
  <si>
    <t>-96.47%</t>
  </si>
  <si>
    <t>19739.00%</t>
  </si>
  <si>
    <t>-16.29%</t>
  </si>
  <si>
    <t>-49.77%</t>
  </si>
  <si>
    <t>Duke Energy Corp</t>
  </si>
  <si>
    <t>72.84%</t>
  </si>
  <si>
    <t>69.12%</t>
  </si>
  <si>
    <t>31.75%</t>
  </si>
  <si>
    <t>15.16%</t>
  </si>
  <si>
    <t>105.20 - 127.85</t>
  </si>
  <si>
    <t>1165.38%</t>
  </si>
  <si>
    <t>Atlantic Union Bankshares Corp</t>
  </si>
  <si>
    <t>6.05%</t>
  </si>
  <si>
    <t>57.93%</t>
  </si>
  <si>
    <t>23.31%</t>
  </si>
  <si>
    <t>71.71%</t>
  </si>
  <si>
    <t>19.24%</t>
  </si>
  <si>
    <t>82.66%</t>
  </si>
  <si>
    <t>20.40%</t>
  </si>
  <si>
    <t>55.23%</t>
  </si>
  <si>
    <t>22.85 - 44.54</t>
  </si>
  <si>
    <t>516.87%</t>
  </si>
  <si>
    <t>-5.46%</t>
  </si>
  <si>
    <t>Trevi Therapeutics Inc</t>
  </si>
  <si>
    <t>60.31%</t>
  </si>
  <si>
    <t>39.11%</t>
  </si>
  <si>
    <t>26.87%</t>
  </si>
  <si>
    <t>252.12%</t>
  </si>
  <si>
    <t>2.36 - 9.92</t>
  </si>
  <si>
    <t>-21.75%</t>
  </si>
  <si>
    <t>1706.52%</t>
  </si>
  <si>
    <t>47.86%</t>
  </si>
  <si>
    <t>162.15%</t>
  </si>
  <si>
    <t>Sonnet BioTherapeutics Holdings Inc</t>
  </si>
  <si>
    <t>83.46%</t>
  </si>
  <si>
    <t>85.27%</t>
  </si>
  <si>
    <t>1689.52%</t>
  </si>
  <si>
    <t>-66.23%</t>
  </si>
  <si>
    <t>-77.19%</t>
  </si>
  <si>
    <t>-12.23%</t>
  </si>
  <si>
    <t>91.19%</t>
  </si>
  <si>
    <t>-1404.67%</t>
  </si>
  <si>
    <t>-1355.62%</t>
  </si>
  <si>
    <t>19.54%</t>
  </si>
  <si>
    <t>125.75%</t>
  </si>
  <si>
    <t>-38.04%</t>
  </si>
  <si>
    <t>114.11%</t>
  </si>
  <si>
    <t>-72.49%</t>
  </si>
  <si>
    <t>391.67%</t>
  </si>
  <si>
    <t>1.08 - 19.30</t>
  </si>
  <si>
    <t>374.11%</t>
  </si>
  <si>
    <t>305.34%</t>
  </si>
  <si>
    <t>-26.26%</t>
  </si>
  <si>
    <t>Offerpad Solutions Inc</t>
  </si>
  <si>
    <t>57.31%</t>
  </si>
  <si>
    <t>-30.44%</t>
  </si>
  <si>
    <t>-36.16%</t>
  </si>
  <si>
    <t>33.20%</t>
  </si>
  <si>
    <t>-5.96%</t>
  </si>
  <si>
    <t>-8.08%</t>
  </si>
  <si>
    <t>103.97%</t>
  </si>
  <si>
    <t>-31.56%</t>
  </si>
  <si>
    <t>348.64%</t>
  </si>
  <si>
    <t>377.58%</t>
  </si>
  <si>
    <t>0.91 - 6.35</t>
  </si>
  <si>
    <t>-98.62%</t>
  </si>
  <si>
    <t>358.15%</t>
  </si>
  <si>
    <t>141.44%</t>
  </si>
  <si>
    <t>Pebblebrook Hotel Trust</t>
  </si>
  <si>
    <t>39.86%</t>
  </si>
  <si>
    <t>25.62%</t>
  </si>
  <si>
    <t>116.68%</t>
  </si>
  <si>
    <t>-4.39%</t>
  </si>
  <si>
    <t>23.45%</t>
  </si>
  <si>
    <t>54.76%</t>
  </si>
  <si>
    <t>7.41 - 15.12</t>
  </si>
  <si>
    <t>-77.12%</t>
  </si>
  <si>
    <t>113.01%</t>
  </si>
  <si>
    <t>14.41%</t>
  </si>
  <si>
    <t>-17.80%</t>
  </si>
  <si>
    <t>Fastenal Co</t>
  </si>
  <si>
    <t>7/29/2025</t>
  </si>
  <si>
    <t>11.68%</t>
  </si>
  <si>
    <t>85.81%</t>
  </si>
  <si>
    <t>42.90%</t>
  </si>
  <si>
    <t>20.10%</t>
  </si>
  <si>
    <t>-4.47%</t>
  </si>
  <si>
    <t>7.80%</t>
  </si>
  <si>
    <t>39.44%</t>
  </si>
  <si>
    <t>34.69 - 50.63</t>
  </si>
  <si>
    <t>193620.73%</t>
  </si>
  <si>
    <t>24.44%</t>
  </si>
  <si>
    <t>34.70%</t>
  </si>
  <si>
    <t>Babcock &amp; Wilcox Enterprises Inc</t>
  </si>
  <si>
    <t>-3.54%</t>
  </si>
  <si>
    <t>-11.11%</t>
  </si>
  <si>
    <t>55.60%</t>
  </si>
  <si>
    <t>-31.07%</t>
  </si>
  <si>
    <t>43.57%</t>
  </si>
  <si>
    <t>116.61%</t>
  </si>
  <si>
    <t>-23.38%</t>
  </si>
  <si>
    <t>211.75%</t>
  </si>
  <si>
    <t>1113.74%</t>
  </si>
  <si>
    <t>0.22 - 3.55</t>
  </si>
  <si>
    <t>-98.87%</t>
  </si>
  <si>
    <t>180.93%</t>
  </si>
  <si>
    <t>267.57%</t>
  </si>
  <si>
    <t>66.87%</t>
  </si>
  <si>
    <t>fuboTV Inc</t>
  </si>
  <si>
    <t>40.30%</t>
  </si>
  <si>
    <t>19.08%</t>
  </si>
  <si>
    <t>36.48%</t>
  </si>
  <si>
    <t>228.06%</t>
  </si>
  <si>
    <t>35.69%</t>
  </si>
  <si>
    <t>-8.49%</t>
  </si>
  <si>
    <t>49.21%</t>
  </si>
  <si>
    <t>14.27%</t>
  </si>
  <si>
    <t>24.62%</t>
  </si>
  <si>
    <t>-35.51%</t>
  </si>
  <si>
    <t>243.79%</t>
  </si>
  <si>
    <t>1.21 - 6.45</t>
  </si>
  <si>
    <t>1208.14%</t>
  </si>
  <si>
    <t>37.75%</t>
  </si>
  <si>
    <t>190.90%</t>
  </si>
  <si>
    <t>Expion360 Inc</t>
  </si>
  <si>
    <t>34.03%</t>
  </si>
  <si>
    <t>-46.44%</t>
  </si>
  <si>
    <t>68.33%</t>
  </si>
  <si>
    <t>19.06%</t>
  </si>
  <si>
    <t>-66.63%</t>
  </si>
  <si>
    <t>-137.71%</t>
  </si>
  <si>
    <t>16.12%</t>
  </si>
  <si>
    <t>22.08%</t>
  </si>
  <si>
    <t>-72.18%</t>
  </si>
  <si>
    <t>75.87%</t>
  </si>
  <si>
    <t>-83.99%</t>
  </si>
  <si>
    <t>155.02%</t>
  </si>
  <si>
    <t>0.60 - 9.56</t>
  </si>
  <si>
    <t>77.92%</t>
  </si>
  <si>
    <t>45.72%</t>
  </si>
  <si>
    <t>-82.69%</t>
  </si>
  <si>
    <t>Pioneer Power Solutions Inc</t>
  </si>
  <si>
    <t>12/17/2024</t>
  </si>
  <si>
    <t>-19.60%</t>
  </si>
  <si>
    <t>21.43%</t>
  </si>
  <si>
    <t>6.66%</t>
  </si>
  <si>
    <t>11.97%</t>
  </si>
  <si>
    <t>24.85%</t>
  </si>
  <si>
    <t>-26.35%</t>
  </si>
  <si>
    <t>86.59%</t>
  </si>
  <si>
    <t>2.25 - 5.70</t>
  </si>
  <si>
    <t>-66.44%</t>
  </si>
  <si>
    <t>11308.91%</t>
  </si>
  <si>
    <t>Office Properties Income Trust</t>
  </si>
  <si>
    <t>4/22/2025</t>
  </si>
  <si>
    <t>-96.92%</t>
  </si>
  <si>
    <t>-73.70%</t>
  </si>
  <si>
    <t>-55.13%</t>
  </si>
  <si>
    <t>-149.24%</t>
  </si>
  <si>
    <t>-4.45%</t>
  </si>
  <si>
    <t>25.80%</t>
  </si>
  <si>
    <t>40.40%</t>
  </si>
  <si>
    <t>-62.98%</t>
  </si>
  <si>
    <t>24.83%</t>
  </si>
  <si>
    <t>45.09%</t>
  </si>
  <si>
    <t>-18.00%</t>
  </si>
  <si>
    <t>-61.78%</t>
  </si>
  <si>
    <t>127.32%</t>
  </si>
  <si>
    <t>-80.37%</t>
  </si>
  <si>
    <t>146.80%</t>
  </si>
  <si>
    <t>0.17 - 2.20</t>
  </si>
  <si>
    <t>-99.62%</t>
  </si>
  <si>
    <t>105.67%</t>
  </si>
  <si>
    <t>-13.90%</t>
  </si>
  <si>
    <t>-79.43%</t>
  </si>
  <si>
    <t>ORIC Pharmaceuticals Inc</t>
  </si>
  <si>
    <t>-15.32%</t>
  </si>
  <si>
    <t>4.34%</t>
  </si>
  <si>
    <t>-6.09%</t>
  </si>
  <si>
    <t>19.84%</t>
  </si>
  <si>
    <t>-26.72%</t>
  </si>
  <si>
    <t>3.90 - 14.67</t>
  </si>
  <si>
    <t>-73.66%</t>
  </si>
  <si>
    <t>355.51%</t>
  </si>
  <si>
    <t>70.91%</t>
  </si>
  <si>
    <t>Inovio Pharmaceuticals Inc</t>
  </si>
  <si>
    <t>-0.82%</t>
  </si>
  <si>
    <t>-69.19%</t>
  </si>
  <si>
    <t>-50.31%</t>
  </si>
  <si>
    <t>-44.44%</t>
  </si>
  <si>
    <t>-1560.01%</t>
  </si>
  <si>
    <t>-52568.64%</t>
  </si>
  <si>
    <t>-48131.35%</t>
  </si>
  <si>
    <t>21.81%</t>
  </si>
  <si>
    <t>79.85%</t>
  </si>
  <si>
    <t>-60.10%</t>
  </si>
  <si>
    <t>85.38%</t>
  </si>
  <si>
    <t>1.30 - 6.04</t>
  </si>
  <si>
    <t>36.93%</t>
  </si>
  <si>
    <t>-59.39%</t>
  </si>
  <si>
    <t>WisdomTree Inc</t>
  </si>
  <si>
    <t>8/13/2025</t>
  </si>
  <si>
    <t>9.77%</t>
  </si>
  <si>
    <t>88.80%</t>
  </si>
  <si>
    <t>76.93%</t>
  </si>
  <si>
    <t>32.97%</t>
  </si>
  <si>
    <t>-5.87%</t>
  </si>
  <si>
    <t>7.47 - 14.95</t>
  </si>
  <si>
    <t>-45.66%</t>
  </si>
  <si>
    <t>53.51%</t>
  </si>
  <si>
    <t>DocuSign Inc</t>
  </si>
  <si>
    <t>-8.54%</t>
  </si>
  <si>
    <t>88.70%</t>
  </si>
  <si>
    <t>78.91%</t>
  </si>
  <si>
    <t>9.08%</t>
  </si>
  <si>
    <t>-24.69%</t>
  </si>
  <si>
    <t>34.12%</t>
  </si>
  <si>
    <t>60.57 - 107.86</t>
  </si>
  <si>
    <t>-74.19%</t>
  </si>
  <si>
    <t>131.70%</t>
  </si>
  <si>
    <t>38.48%</t>
  </si>
  <si>
    <t>Mind Medicine Inc</t>
  </si>
  <si>
    <t>-5.75%</t>
  </si>
  <si>
    <t>-31.58%</t>
  </si>
  <si>
    <t>54.42%</t>
  </si>
  <si>
    <t>28.29%</t>
  </si>
  <si>
    <t>108.05%</t>
  </si>
  <si>
    <t>4.70 - 11.02</t>
  </si>
  <si>
    <t>-93.68%</t>
  </si>
  <si>
    <t>81385.00%</t>
  </si>
  <si>
    <t>52.07%</t>
  </si>
  <si>
    <t>61.36%</t>
  </si>
  <si>
    <t>UiPath Inc</t>
  </si>
  <si>
    <t>48.64%</t>
  </si>
  <si>
    <t>33.36%</t>
  </si>
  <si>
    <t>33.58%</t>
  </si>
  <si>
    <t>14.38%</t>
  </si>
  <si>
    <t>64.19%</t>
  </si>
  <si>
    <t>-24.17%</t>
  </si>
  <si>
    <t>28.78%</t>
  </si>
  <si>
    <t>9.38 - 15.93</t>
  </si>
  <si>
    <t>-86.58%</t>
  </si>
  <si>
    <t>-5.11%</t>
  </si>
  <si>
    <t>11.13%</t>
  </si>
  <si>
    <t>Professional Diversity Network Inc</t>
  </si>
  <si>
    <t>Staffing &amp; Employment Services</t>
  </si>
  <si>
    <t>19.31%</t>
  </si>
  <si>
    <t>-34.40%</t>
  </si>
  <si>
    <t>-36.61%</t>
  </si>
  <si>
    <t>16.69%</t>
  </si>
  <si>
    <t>36.83%</t>
  </si>
  <si>
    <t>49.53%</t>
  </si>
  <si>
    <t>-65.66%</t>
  </si>
  <si>
    <t>148.78%</t>
  </si>
  <si>
    <t>339.39%</t>
  </si>
  <si>
    <t>0.97 - 12.39</t>
  </si>
  <si>
    <t>-99.68%</t>
  </si>
  <si>
    <t>143.10%</t>
  </si>
  <si>
    <t>66.83%</t>
  </si>
  <si>
    <t>Best Buy Co. Inc</t>
  </si>
  <si>
    <t>87.85%</t>
  </si>
  <si>
    <t>-24.24%</t>
  </si>
  <si>
    <t>-5.73%</t>
  </si>
  <si>
    <t>87.79%</t>
  </si>
  <si>
    <t>22.50%</t>
  </si>
  <si>
    <t>-27.62%</t>
  </si>
  <si>
    <t>54.99 - 103.48</t>
  </si>
  <si>
    <t>-47.24%</t>
  </si>
  <si>
    <t>55244.80%</t>
  </si>
  <si>
    <t>-24.32%</t>
  </si>
  <si>
    <t>Guardant Health Inc</t>
  </si>
  <si>
    <t>28.74%</t>
  </si>
  <si>
    <t>25.52%</t>
  </si>
  <si>
    <t>28.08%</t>
  </si>
  <si>
    <t>-10.72%</t>
  </si>
  <si>
    <t>100.18%</t>
  </si>
  <si>
    <t>62.84%</t>
  </si>
  <si>
    <t>-55.59%</t>
  </si>
  <si>
    <t>-49.93%</t>
  </si>
  <si>
    <t>8.03%</t>
  </si>
  <si>
    <t>29.00%</t>
  </si>
  <si>
    <t>-12.33%</t>
  </si>
  <si>
    <t>47.73%</t>
  </si>
  <si>
    <t>196.01%</t>
  </si>
  <si>
    <t>20.14 - 68.00</t>
  </si>
  <si>
    <t>-67.08%</t>
  </si>
  <si>
    <t>277.08%</t>
  </si>
  <si>
    <t>17.22%</t>
  </si>
  <si>
    <t>32.04%</t>
  </si>
  <si>
    <t>164.26%</t>
  </si>
  <si>
    <t>Allogene Therapeutics Inc</t>
  </si>
  <si>
    <t>-94.22%</t>
  </si>
  <si>
    <t>60.67%</t>
  </si>
  <si>
    <t>-20.64%</t>
  </si>
  <si>
    <t>-29.07%</t>
  </si>
  <si>
    <t>-68.29%</t>
  </si>
  <si>
    <t>0.86 - 3.78</t>
  </si>
  <si>
    <t>-97.82%</t>
  </si>
  <si>
    <t>-23.15%</t>
  </si>
  <si>
    <t>-55.10%</t>
  </si>
  <si>
    <t>Peraso Inc</t>
  </si>
  <si>
    <t>63.64%</t>
  </si>
  <si>
    <t>40.44%</t>
  </si>
  <si>
    <t>36.91%</t>
  </si>
  <si>
    <t>-47.62%</t>
  </si>
  <si>
    <t>38.46%</t>
  </si>
  <si>
    <t>52.01%</t>
  </si>
  <si>
    <t>-50.29%</t>
  </si>
  <si>
    <t>-48.30%</t>
  </si>
  <si>
    <t>-28.83%</t>
  </si>
  <si>
    <t>-50.43%</t>
  </si>
  <si>
    <t>122.91%</t>
  </si>
  <si>
    <t>0.52 - 2.34</t>
  </si>
  <si>
    <t>44.91%</t>
  </si>
  <si>
    <t>Esperion Therapeutics Inc</t>
  </si>
  <si>
    <t>-2.19%</t>
  </si>
  <si>
    <t>69.04%</t>
  </si>
  <si>
    <t>40.11%</t>
  </si>
  <si>
    <t>48.89%</t>
  </si>
  <si>
    <t>61.58%</t>
  </si>
  <si>
    <t>-38.80%</t>
  </si>
  <si>
    <t>51.69%</t>
  </si>
  <si>
    <t>-14.83%</t>
  </si>
  <si>
    <t>126.60%</t>
  </si>
  <si>
    <t>261.57%</t>
  </si>
  <si>
    <t>0.69 - 3.94</t>
  </si>
  <si>
    <t>-97.93%</t>
  </si>
  <si>
    <t>152.00%</t>
  </si>
  <si>
    <t>51.75%</t>
  </si>
  <si>
    <t>Permian Resources Corp</t>
  </si>
  <si>
    <t>60.00%</t>
  </si>
  <si>
    <t>46.36%</t>
  </si>
  <si>
    <t>90.07%</t>
  </si>
  <si>
    <t>16.37%</t>
  </si>
  <si>
    <t>69.34%</t>
  </si>
  <si>
    <t>39.57%</t>
  </si>
  <si>
    <t>84.24%</t>
  </si>
  <si>
    <t>-14.60%</t>
  </si>
  <si>
    <t>10.01 - 16.33</t>
  </si>
  <si>
    <t>-37.23%</t>
  </si>
  <si>
    <t>6069.98%</t>
  </si>
  <si>
    <t>-1.37%</t>
  </si>
  <si>
    <t>Immunovant Inc</t>
  </si>
  <si>
    <t>-24.09%</t>
  </si>
  <si>
    <t>-12.18%</t>
  </si>
  <si>
    <t>55.30%</t>
  </si>
  <si>
    <t>-10.58%</t>
  </si>
  <si>
    <t>-14.29%</t>
  </si>
  <si>
    <t>-49.56%</t>
  </si>
  <si>
    <t>27.28%</t>
  </si>
  <si>
    <t>12.72 - 32.10</t>
  </si>
  <si>
    <t>-69.88%</t>
  </si>
  <si>
    <t>414.79%</t>
  </si>
  <si>
    <t>-43.78%</t>
  </si>
  <si>
    <t>Sunstone Hotel Investors Inc</t>
  </si>
  <si>
    <t>248.18%</t>
  </si>
  <si>
    <t>-24.01%</t>
  </si>
  <si>
    <t>-65.83%</t>
  </si>
  <si>
    <t>103.80%</t>
  </si>
  <si>
    <t>18.86%</t>
  </si>
  <si>
    <t>7.47%</t>
  </si>
  <si>
    <t>7.45 - 12.41</t>
  </si>
  <si>
    <t>-69.20%</t>
  </si>
  <si>
    <t>418.06%</t>
  </si>
  <si>
    <t>-11.28%</t>
  </si>
  <si>
    <t>Roku Inc</t>
  </si>
  <si>
    <t>14.16%</t>
  </si>
  <si>
    <t>146.67%</t>
  </si>
  <si>
    <t>74.95%</t>
  </si>
  <si>
    <t>44.04%</t>
  </si>
  <si>
    <t>3.73%</t>
  </si>
  <si>
    <t>52.43 - 104.96</t>
  </si>
  <si>
    <t>520.34%</t>
  </si>
  <si>
    <t>27.95%</t>
  </si>
  <si>
    <t>PowerFleet Inc</t>
  </si>
  <si>
    <t>119.36%</t>
  </si>
  <si>
    <t>38.68%</t>
  </si>
  <si>
    <t>38.04%</t>
  </si>
  <si>
    <t>-700.00%</t>
  </si>
  <si>
    <t>83.18%</t>
  </si>
  <si>
    <t>54.03%</t>
  </si>
  <si>
    <t>-9.95%</t>
  </si>
  <si>
    <t>-5.06%</t>
  </si>
  <si>
    <t>-9.77%</t>
  </si>
  <si>
    <t>35.75%</t>
  </si>
  <si>
    <t>-40.93%</t>
  </si>
  <si>
    <t>39.05%</t>
  </si>
  <si>
    <t>3.70 - 8.71</t>
  </si>
  <si>
    <t>213.72%</t>
  </si>
  <si>
    <t>15.36%</t>
  </si>
  <si>
    <t>-13.24%</t>
  </si>
  <si>
    <t>Airship AI Holdings Inc</t>
  </si>
  <si>
    <t>52.17%</t>
  </si>
  <si>
    <t>-49.66%</t>
  </si>
  <si>
    <t>-320.69%</t>
  </si>
  <si>
    <t>6.69%</t>
  </si>
  <si>
    <t>27.58%</t>
  </si>
  <si>
    <t>1.90 - 7.66</t>
  </si>
  <si>
    <t>-62.85%</t>
  </si>
  <si>
    <t>297.01%</t>
  </si>
  <si>
    <t>14.66%</t>
  </si>
  <si>
    <t>128.33%</t>
  </si>
  <si>
    <t>Black Diamond Therapeutics Inc</t>
  </si>
  <si>
    <t>28.55%</t>
  </si>
  <si>
    <t>7.05%</t>
  </si>
  <si>
    <t>58.24%</t>
  </si>
  <si>
    <t>99.51%</t>
  </si>
  <si>
    <t>6.72%</t>
  </si>
  <si>
    <t>38.41%</t>
  </si>
  <si>
    <t>-28.84%</t>
  </si>
  <si>
    <t>167.68%</t>
  </si>
  <si>
    <t>1.20 - 4.49</t>
  </si>
  <si>
    <t>-93.08%</t>
  </si>
  <si>
    <t>171.08%</t>
  </si>
  <si>
    <t>36.12%</t>
  </si>
  <si>
    <t>-30.16%</t>
  </si>
  <si>
    <t>Flex Ltd</t>
  </si>
  <si>
    <t>65.01%</t>
  </si>
  <si>
    <t>101.64%</t>
  </si>
  <si>
    <t>30.62%</t>
  </si>
  <si>
    <t>125.38%</t>
  </si>
  <si>
    <t>25.11 - 59.76</t>
  </si>
  <si>
    <t>7013.16%</t>
  </si>
  <si>
    <t>76.02%</t>
  </si>
  <si>
    <t>Bluejay Diagnostics Inc</t>
  </si>
  <si>
    <t>56.50%</t>
  </si>
  <si>
    <t>26.06%</t>
  </si>
  <si>
    <t>-155.21%</t>
  </si>
  <si>
    <t>-40.10%</t>
  </si>
  <si>
    <t>-37.52%</t>
  </si>
  <si>
    <t>-87.56%</t>
  </si>
  <si>
    <t>1.26 - 12.45</t>
  </si>
  <si>
    <t>-59.65%</t>
  </si>
  <si>
    <t>-78.58%</t>
  </si>
  <si>
    <t>AAON Inc</t>
  </si>
  <si>
    <t>31.25%</t>
  </si>
  <si>
    <t>40.35%</t>
  </si>
  <si>
    <t>24.26%</t>
  </si>
  <si>
    <t>20.67%</t>
  </si>
  <si>
    <t>-33.33%</t>
  </si>
  <si>
    <t>26.56%</t>
  </si>
  <si>
    <t>-5.66%</t>
  </si>
  <si>
    <t>42.22%</t>
  </si>
  <si>
    <t>62.00 - 144.07</t>
  </si>
  <si>
    <t>331341.23%</t>
  </si>
  <si>
    <t>19.82%</t>
  </si>
  <si>
    <t>Hut 8 Corp</t>
  </si>
  <si>
    <t>105.42%</t>
  </si>
  <si>
    <t>61.97%</t>
  </si>
  <si>
    <t>-57.10%</t>
  </si>
  <si>
    <t>113.02%</t>
  </si>
  <si>
    <t>64.46%</t>
  </si>
  <si>
    <t>-16.87%</t>
  </si>
  <si>
    <t>226.79%</t>
  </si>
  <si>
    <t>10.04 - 39.47</t>
  </si>
  <si>
    <t>-60.40%</t>
  </si>
  <si>
    <t>1676.88%</t>
  </si>
  <si>
    <t>85.79%</t>
  </si>
  <si>
    <t>163.32%</t>
  </si>
  <si>
    <t>162.48%</t>
  </si>
  <si>
    <t>U.S. Bancorp</t>
  </si>
  <si>
    <t>52.31%</t>
  </si>
  <si>
    <t>-9.48%</t>
  </si>
  <si>
    <t>21.19%</t>
  </si>
  <si>
    <t>39.58%</t>
  </si>
  <si>
    <t>35.18 - 53.98</t>
  </si>
  <si>
    <t>-22.75%</t>
  </si>
  <si>
    <t>4654.33%</t>
  </si>
  <si>
    <t>13.59%</t>
  </si>
  <si>
    <t>Fidelity National Financial Inc</t>
  </si>
  <si>
    <t>-18.01%</t>
  </si>
  <si>
    <t>-15.20%</t>
  </si>
  <si>
    <t>82.39%</t>
  </si>
  <si>
    <t>-10.01%</t>
  </si>
  <si>
    <t>18.64%</t>
  </si>
  <si>
    <t>50.61 - 66.72</t>
  </si>
  <si>
    <t>1480.60%</t>
  </si>
  <si>
    <t>6.21%</t>
  </si>
  <si>
    <t>Healthcare Realty Trust Inc</t>
  </si>
  <si>
    <t>33.35%</t>
  </si>
  <si>
    <t>12.83%</t>
  </si>
  <si>
    <t>-5.95%</t>
  </si>
  <si>
    <t>-531.14%</t>
  </si>
  <si>
    <t>107.36%</t>
  </si>
  <si>
    <t>-0.62%</t>
  </si>
  <si>
    <t>-5.37%</t>
  </si>
  <si>
    <t>14.09 - 18.82</t>
  </si>
  <si>
    <t>-38.69%</t>
  </si>
  <si>
    <t>39.46%</t>
  </si>
  <si>
    <t>-2.37%</t>
  </si>
  <si>
    <t>X4 Pharmaceuticals Inc</t>
  </si>
  <si>
    <t>63.98%</t>
  </si>
  <si>
    <t>47.41%</t>
  </si>
  <si>
    <t>5721.31%</t>
  </si>
  <si>
    <t>250.44%</t>
  </si>
  <si>
    <t>23.91%</t>
  </si>
  <si>
    <t>81.10%</t>
  </si>
  <si>
    <t>-323.09%</t>
  </si>
  <si>
    <t>-311.15%</t>
  </si>
  <si>
    <t>-55.76%</t>
  </si>
  <si>
    <t>-28.47%</t>
  </si>
  <si>
    <t>155.93%</t>
  </si>
  <si>
    <t>-87.12%</t>
  </si>
  <si>
    <t>1.35 - 26.83</t>
  </si>
  <si>
    <t>-99.93%</t>
  </si>
  <si>
    <t>-57.52%</t>
  </si>
  <si>
    <t>-83.91%</t>
  </si>
  <si>
    <t>DoorDash Inc</t>
  </si>
  <si>
    <t>169.65%</t>
  </si>
  <si>
    <t>23.78%</t>
  </si>
  <si>
    <t>29.93%</t>
  </si>
  <si>
    <t>24.87%</t>
  </si>
  <si>
    <t>6.57%</t>
  </si>
  <si>
    <t>85.48%</t>
  </si>
  <si>
    <t>140.53 - 278.15</t>
  </si>
  <si>
    <t>530.15%</t>
  </si>
  <si>
    <t>83.98%</t>
  </si>
  <si>
    <t>LXP Industrial Trust</t>
  </si>
  <si>
    <t>5.27%</t>
  </si>
  <si>
    <t>403.54%</t>
  </si>
  <si>
    <t>-53.99%</t>
  </si>
  <si>
    <t>-35.31%</t>
  </si>
  <si>
    <t>-8.55%</t>
  </si>
  <si>
    <t>725.00%</t>
  </si>
  <si>
    <t>98.61%</t>
  </si>
  <si>
    <t>28.45%</t>
  </si>
  <si>
    <t>-11.38%</t>
  </si>
  <si>
    <t>6.85 - 10.28</t>
  </si>
  <si>
    <t>-52.14%</t>
  </si>
  <si>
    <t>444.88%</t>
  </si>
  <si>
    <t>First Bancorp PR</t>
  </si>
  <si>
    <t>-0.59%</t>
  </si>
  <si>
    <t>35.52%</t>
  </si>
  <si>
    <t>35.41%</t>
  </si>
  <si>
    <t>18.97%</t>
  </si>
  <si>
    <t>96.80%</t>
  </si>
  <si>
    <t>31.77%</t>
  </si>
  <si>
    <t>-2.28%</t>
  </si>
  <si>
    <t>16.40 - 22.60</t>
  </si>
  <si>
    <t>-95.50%</t>
  </si>
  <si>
    <t>972.33%</t>
  </si>
  <si>
    <t>Global Business Travel Group Inc</t>
  </si>
  <si>
    <t>58.71%</t>
  </si>
  <si>
    <t>-48.36%</t>
  </si>
  <si>
    <t>54.34%</t>
  </si>
  <si>
    <t>-15.21%</t>
  </si>
  <si>
    <t>40.83%</t>
  </si>
  <si>
    <t>5.78 - 9.60</t>
  </si>
  <si>
    <t>91.08%</t>
  </si>
  <si>
    <t>26.20%</t>
  </si>
  <si>
    <t>Boxlight Corporation</t>
  </si>
  <si>
    <t>-14.78%</t>
  </si>
  <si>
    <t>-30.79%</t>
  </si>
  <si>
    <t>32.70%</t>
  </si>
  <si>
    <t>-19.89%</t>
  </si>
  <si>
    <t>20.85%</t>
  </si>
  <si>
    <t>-20.61%</t>
  </si>
  <si>
    <t>41.53%</t>
  </si>
  <si>
    <t>18.94%</t>
  </si>
  <si>
    <t>29.43%</t>
  </si>
  <si>
    <t>33.19%</t>
  </si>
  <si>
    <t>26.03%</t>
  </si>
  <si>
    <t>-73.05%</t>
  </si>
  <si>
    <t>-74.32%</t>
  </si>
  <si>
    <t>158.02%</t>
  </si>
  <si>
    <t>1.06 - 10.65</t>
  </si>
  <si>
    <t>-99.61%</t>
  </si>
  <si>
    <t>56.29%</t>
  </si>
  <si>
    <t>53.65%</t>
  </si>
  <si>
    <t>Teradata Corp</t>
  </si>
  <si>
    <t>-6.74%</t>
  </si>
  <si>
    <t>-6.42%</t>
  </si>
  <si>
    <t>99.47%</t>
  </si>
  <si>
    <t>59.28%</t>
  </si>
  <si>
    <t>-3.11%</t>
  </si>
  <si>
    <t>-34.86%</t>
  </si>
  <si>
    <t>18.43 - 33.69</t>
  </si>
  <si>
    <t>-72.90%</t>
  </si>
  <si>
    <t>97.52%</t>
  </si>
  <si>
    <t>-24.97%</t>
  </si>
  <si>
    <t>Immunome Inc</t>
  </si>
  <si>
    <t>-32.63%</t>
  </si>
  <si>
    <t>-38.15%</t>
  </si>
  <si>
    <t>16.74%</t>
  </si>
  <si>
    <t>69.84%</t>
  </si>
  <si>
    <t>85.13%</t>
  </si>
  <si>
    <t>79.25%</t>
  </si>
  <si>
    <t>-1513.45%</t>
  </si>
  <si>
    <t>-1687.08%</t>
  </si>
  <si>
    <t>10.03%</t>
  </si>
  <si>
    <t>-14.80%</t>
  </si>
  <si>
    <t>20.95%</t>
  </si>
  <si>
    <t>-31.05%</t>
  </si>
  <si>
    <t>103.49%</t>
  </si>
  <si>
    <t>5.15 - 15.20</t>
  </si>
  <si>
    <t>401.44%</t>
  </si>
  <si>
    <t>19.50%</t>
  </si>
  <si>
    <t>-28.27%</t>
  </si>
  <si>
    <t>Zeta Global Holdings Corp</t>
  </si>
  <si>
    <t>40.60%</t>
  </si>
  <si>
    <t>29.95%</t>
  </si>
  <si>
    <t>35.38%</t>
  </si>
  <si>
    <t>66.33%</t>
  </si>
  <si>
    <t>22.69%</t>
  </si>
  <si>
    <t>40.14%</t>
  </si>
  <si>
    <t>-46.62%</t>
  </si>
  <si>
    <t>90.74%</t>
  </si>
  <si>
    <t>10.69 - 38.20</t>
  </si>
  <si>
    <t>398.53%</t>
  </si>
  <si>
    <t>34.94%</t>
  </si>
  <si>
    <t>41.89%</t>
  </si>
  <si>
    <t>-32.57%</t>
  </si>
  <si>
    <t>Fifth Third Bancorp</t>
  </si>
  <si>
    <t>45.93%</t>
  </si>
  <si>
    <t>87.32%</t>
  </si>
  <si>
    <t>40.65%</t>
  </si>
  <si>
    <t>32.25 - 49.07</t>
  </si>
  <si>
    <t>-34.92%</t>
  </si>
  <si>
    <t>4391.09%</t>
  </si>
  <si>
    <t>Opko Health Inc</t>
  </si>
  <si>
    <t>-18.15%</t>
  </si>
  <si>
    <t>-26.21%</t>
  </si>
  <si>
    <t>-4.59%</t>
  </si>
  <si>
    <t>-13.93%</t>
  </si>
  <si>
    <t>-67.70%</t>
  </si>
  <si>
    <t>-40.29%</t>
  </si>
  <si>
    <t>-26.68%</t>
  </si>
  <si>
    <t>-1.44%</t>
  </si>
  <si>
    <t>-28.99%</t>
  </si>
  <si>
    <t>1.11 - 2.04</t>
  </si>
  <si>
    <t>-92.47%</t>
  </si>
  <si>
    <t>588.10%</t>
  </si>
  <si>
    <t>Energy Transfer LP</t>
  </si>
  <si>
    <t>27.69%</t>
  </si>
  <si>
    <t>99.28%</t>
  </si>
  <si>
    <t>-12.09%</t>
  </si>
  <si>
    <t>-0.73%</t>
  </si>
  <si>
    <t>-2.74%</t>
  </si>
  <si>
    <t>29.50%</t>
  </si>
  <si>
    <t>-3.44%</t>
  </si>
  <si>
    <t>14.60 - 21.45</t>
  </si>
  <si>
    <t>-50.38%</t>
  </si>
  <si>
    <t>451.67%</t>
  </si>
  <si>
    <t>-6.86%</t>
  </si>
  <si>
    <t>Hexcel Corp</t>
  </si>
  <si>
    <t>37.70%</t>
  </si>
  <si>
    <t>102.99%</t>
  </si>
  <si>
    <t>-14.94%</t>
  </si>
  <si>
    <t>16.00%</t>
  </si>
  <si>
    <t>12.86%</t>
  </si>
  <si>
    <t>-3.18%</t>
  </si>
  <si>
    <t>107.00%</t>
  </si>
  <si>
    <t>-11.18%</t>
  </si>
  <si>
    <t>39.39%</t>
  </si>
  <si>
    <t>45.28 - 71.05</t>
  </si>
  <si>
    <t>-27.46%</t>
  </si>
  <si>
    <t>4948.80%</t>
  </si>
  <si>
    <t>Vestand Inc</t>
  </si>
  <si>
    <t>25.23%</t>
  </si>
  <si>
    <t>25.90%</t>
  </si>
  <si>
    <t>10.93%</t>
  </si>
  <si>
    <t>-23.83%</t>
  </si>
  <si>
    <t>15.44%</t>
  </si>
  <si>
    <t>-24.39%</t>
  </si>
  <si>
    <t>65.93%</t>
  </si>
  <si>
    <t>177.32%</t>
  </si>
  <si>
    <t>0.68 - 5.62</t>
  </si>
  <si>
    <t>-88.46%</t>
  </si>
  <si>
    <t>-20.21%</t>
  </si>
  <si>
    <t>-53.70%</t>
  </si>
  <si>
    <t>Travelers Companies Inc</t>
  </si>
  <si>
    <t>78.29%</t>
  </si>
  <si>
    <t>-18.99%</t>
  </si>
  <si>
    <t>85.57%</t>
  </si>
  <si>
    <t>14.42%</t>
  </si>
  <si>
    <t>10.10%</t>
  </si>
  <si>
    <t>224.62 - 280.70</t>
  </si>
  <si>
    <t>5755.00%</t>
  </si>
  <si>
    <t>Talkspace Inc</t>
  </si>
  <si>
    <t>171.44%</t>
  </si>
  <si>
    <t>37.49%</t>
  </si>
  <si>
    <t>43.98%</t>
  </si>
  <si>
    <t>3.67%</t>
  </si>
  <si>
    <t>34.85%</t>
  </si>
  <si>
    <t>1.98 - 4.36</t>
  </si>
  <si>
    <t>-78.55%</t>
  </si>
  <si>
    <t>413.46%</t>
  </si>
  <si>
    <t>Expedia Group Inc</t>
  </si>
  <si>
    <t>1.55%</t>
  </si>
  <si>
    <t>19.19%</t>
  </si>
  <si>
    <t>97.61%</t>
  </si>
  <si>
    <t>83.44%</t>
  </si>
  <si>
    <t>20.18%</t>
  </si>
  <si>
    <t>68.09%</t>
  </si>
  <si>
    <t>130.01 - 229.00</t>
  </si>
  <si>
    <t>3806.40%</t>
  </si>
  <si>
    <t>27.98%</t>
  </si>
  <si>
    <t>47.74%</t>
  </si>
  <si>
    <t>Zurn Elkay Water Solutions Corp</t>
  </si>
  <si>
    <t>32.18%</t>
  </si>
  <si>
    <t>-5.41%</t>
  </si>
  <si>
    <t>17.06%</t>
  </si>
  <si>
    <t>41.82%</t>
  </si>
  <si>
    <t>22.89%</t>
  </si>
  <si>
    <t>67.95%</t>
  </si>
  <si>
    <t>27.74 - 48.42</t>
  </si>
  <si>
    <t>555.69%</t>
  </si>
  <si>
    <t>34.38%</t>
  </si>
  <si>
    <t>Parsons Corp</t>
  </si>
  <si>
    <t>22.63%</t>
  </si>
  <si>
    <t>105.55%</t>
  </si>
  <si>
    <t>8.70%</t>
  </si>
  <si>
    <t>-4.01%</t>
  </si>
  <si>
    <t>46.89%</t>
  </si>
  <si>
    <t>54.56 - 114.68</t>
  </si>
  <si>
    <t>224.85%</t>
  </si>
  <si>
    <t>13.56%</t>
  </si>
  <si>
    <t>32.35%</t>
  </si>
  <si>
    <t>Nukkleus Inc</t>
  </si>
  <si>
    <t>-195.98%</t>
  </si>
  <si>
    <t>-198.79%</t>
  </si>
  <si>
    <t>-97.40%</t>
  </si>
  <si>
    <t>-34.98%</t>
  </si>
  <si>
    <t>-21.06%</t>
  </si>
  <si>
    <t>-22.30%</t>
  </si>
  <si>
    <t>-1209.57%</t>
  </si>
  <si>
    <t>26455.70%</t>
  </si>
  <si>
    <t>15.64%</t>
  </si>
  <si>
    <t>75.83%</t>
  </si>
  <si>
    <t>-92.57%</t>
  </si>
  <si>
    <t>347.69%</t>
  </si>
  <si>
    <t>1.30 - 78.32</t>
  </si>
  <si>
    <t>-93.38%</t>
  </si>
  <si>
    <t>-41.57%</t>
  </si>
  <si>
    <t>-62.45%</t>
  </si>
  <si>
    <t>118.01%</t>
  </si>
  <si>
    <t>Nano Nuclear Energy Inc</t>
  </si>
  <si>
    <t>-202.57%</t>
  </si>
  <si>
    <t>6.54%</t>
  </si>
  <si>
    <t>11.30%</t>
  </si>
  <si>
    <t>-16.53%</t>
  </si>
  <si>
    <t>42.05%</t>
  </si>
  <si>
    <t>204.54%</t>
  </si>
  <si>
    <t>13.00 - 48.05</t>
  </si>
  <si>
    <t>1118.15%</t>
  </si>
  <si>
    <t>Otis Worldwide Corp</t>
  </si>
  <si>
    <t>17.96%</t>
  </si>
  <si>
    <t>37.12%</t>
  </si>
  <si>
    <t>12.09%</t>
  </si>
  <si>
    <t>90.90%</t>
  </si>
  <si>
    <t>-11.51%</t>
  </si>
  <si>
    <t>-16.04%</t>
  </si>
  <si>
    <t>84.25 - 106.83</t>
  </si>
  <si>
    <t>136.03%</t>
  </si>
  <si>
    <t>-12.93%</t>
  </si>
  <si>
    <t>Varonis Systems Inc</t>
  </si>
  <si>
    <t>8.23%</t>
  </si>
  <si>
    <t>215.79%</t>
  </si>
  <si>
    <t>104.30%</t>
  </si>
  <si>
    <t>-19.90%</t>
  </si>
  <si>
    <t>16.33%</t>
  </si>
  <si>
    <t>59.68%</t>
  </si>
  <si>
    <t>36.53 - 60.58</t>
  </si>
  <si>
    <t>-22.57%</t>
  </si>
  <si>
    <t>1220.68%</t>
  </si>
  <si>
    <t>39.91%</t>
  </si>
  <si>
    <t>Ingersoll-Rand Inc</t>
  </si>
  <si>
    <t>24.16%</t>
  </si>
  <si>
    <t>102.94%</t>
  </si>
  <si>
    <t>19.74%</t>
  </si>
  <si>
    <t>65.61 - 106.03</t>
  </si>
  <si>
    <t>380.49%</t>
  </si>
  <si>
    <t>-16.61%</t>
  </si>
  <si>
    <t>Coherent Corp</t>
  </si>
  <si>
    <t>Scientific &amp; Technical Instruments</t>
  </si>
  <si>
    <t>27.20%</t>
  </si>
  <si>
    <t>23.42%</t>
  </si>
  <si>
    <t>16.36%</t>
  </si>
  <si>
    <t>36.08%</t>
  </si>
  <si>
    <t>10.42%</t>
  </si>
  <si>
    <t>4.78%</t>
  </si>
  <si>
    <t>23.10%</t>
  </si>
  <si>
    <t>-14.09%</t>
  </si>
  <si>
    <t>132.29%</t>
  </si>
  <si>
    <t>45.58 - 123.25</t>
  </si>
  <si>
    <t>104151.07%</t>
  </si>
  <si>
    <t>55.94%</t>
  </si>
  <si>
    <t>ProPhase Labs Inc</t>
  </si>
  <si>
    <t>5/24/2022</t>
  </si>
  <si>
    <t>-57.56%</t>
  </si>
  <si>
    <t>-79.66%</t>
  </si>
  <si>
    <t>-55.92%</t>
  </si>
  <si>
    <t>-7.27%</t>
  </si>
  <si>
    <t>-65.69%</t>
  </si>
  <si>
    <t>-32.38%</t>
  </si>
  <si>
    <t>-277.69%</t>
  </si>
  <si>
    <t>-217.64%</t>
  </si>
  <si>
    <t>-23.51%</t>
  </si>
  <si>
    <t>-82.56%</t>
  </si>
  <si>
    <t>100.09%</t>
  </si>
  <si>
    <t>0.22 - 2.50</t>
  </si>
  <si>
    <t>-97.14%</t>
  </si>
  <si>
    <t>-80.18%</t>
  </si>
  <si>
    <t>Fox Corporation</t>
  </si>
  <si>
    <t>33.11%</t>
  </si>
  <si>
    <t>13.88%</t>
  </si>
  <si>
    <t>-3.52%</t>
  </si>
  <si>
    <t>37.88 - 57.02</t>
  </si>
  <si>
    <t>187.56%</t>
  </si>
  <si>
    <t>41.56%</t>
  </si>
  <si>
    <t>Compass Therapeutics Inc</t>
  </si>
  <si>
    <t>-104.70%</t>
  </si>
  <si>
    <t>-12.90%</t>
  </si>
  <si>
    <t>-10.33%</t>
  </si>
  <si>
    <t>38.49%</t>
  </si>
  <si>
    <t>175.98%</t>
  </si>
  <si>
    <t>1.27 - 4.08</t>
  </si>
  <si>
    <t>-68.14%</t>
  </si>
  <si>
    <t>358.17%</t>
  </si>
  <si>
    <t>104.97%</t>
  </si>
  <si>
    <t>Revolution Medicines Inc</t>
  </si>
  <si>
    <t>-27.80%</t>
  </si>
  <si>
    <t>91.90%</t>
  </si>
  <si>
    <t>-8.83%</t>
  </si>
  <si>
    <t>-31.03%</t>
  </si>
  <si>
    <t>29.17 - 62.40</t>
  </si>
  <si>
    <t>205.68%</t>
  </si>
  <si>
    <t>Village Farms International Inc</t>
  </si>
  <si>
    <t>-42.82%</t>
  </si>
  <si>
    <t>-35.02%</t>
  </si>
  <si>
    <t>789.66%</t>
  </si>
  <si>
    <t>-3.59%</t>
  </si>
  <si>
    <t>9.25%</t>
  </si>
  <si>
    <t>17.65%</t>
  </si>
  <si>
    <t>125.89%</t>
  </si>
  <si>
    <t>-18.73%</t>
  </si>
  <si>
    <t>113.57%</t>
  </si>
  <si>
    <t>509.51%</t>
  </si>
  <si>
    <t>0.45 - 3.39</t>
  </si>
  <si>
    <t>-86.44%</t>
  </si>
  <si>
    <t>157.48%</t>
  </si>
  <si>
    <t>312.06%</t>
  </si>
  <si>
    <t>203.08%</t>
  </si>
  <si>
    <t>TKO Group Holdings Inc</t>
  </si>
  <si>
    <t>-42.28%</t>
  </si>
  <si>
    <t>53.33%</t>
  </si>
  <si>
    <t>36.81%</t>
  </si>
  <si>
    <t>53.72%</t>
  </si>
  <si>
    <t>29.69%</t>
  </si>
  <si>
    <t>73.24%</t>
  </si>
  <si>
    <t>114.01 - 212.49</t>
  </si>
  <si>
    <t>2933.55%</t>
  </si>
  <si>
    <t>10.13%</t>
  </si>
  <si>
    <t>30.04%</t>
  </si>
  <si>
    <t>Halozyme Therapeutics Inc</t>
  </si>
  <si>
    <t>32.26%</t>
  </si>
  <si>
    <t>34.97%</t>
  </si>
  <si>
    <t>31.82%</t>
  </si>
  <si>
    <t>40.79%</t>
  </si>
  <si>
    <t>100.37%</t>
  </si>
  <si>
    <t>78.17%</t>
  </si>
  <si>
    <t>47.28%</t>
  </si>
  <si>
    <t>26.05%</t>
  </si>
  <si>
    <t>78.30%</t>
  </si>
  <si>
    <t>42.01 - 79.50</t>
  </si>
  <si>
    <t>5212.41%</t>
  </si>
  <si>
    <t>43.47%</t>
  </si>
  <si>
    <t>Datadog Inc</t>
  </si>
  <si>
    <t>49.22%</t>
  </si>
  <si>
    <t>28.12%</t>
  </si>
  <si>
    <t>76.52%</t>
  </si>
  <si>
    <t>79.90%</t>
  </si>
  <si>
    <t>-18.37%</t>
  </si>
  <si>
    <t>70.08%</t>
  </si>
  <si>
    <t>81.63 - 170.08</t>
  </si>
  <si>
    <t>-30.47%</t>
  </si>
  <si>
    <t>403.94%</t>
  </si>
  <si>
    <t>18.35%</t>
  </si>
  <si>
    <t>Coursera Inc</t>
  </si>
  <si>
    <t>30.38%</t>
  </si>
  <si>
    <t>68.92%</t>
  </si>
  <si>
    <t>54.37%</t>
  </si>
  <si>
    <t>-10.28%</t>
  </si>
  <si>
    <t>30.72%</t>
  </si>
  <si>
    <t>-13.68%</t>
  </si>
  <si>
    <t>38.19%</t>
  </si>
  <si>
    <t>103.21%</t>
  </si>
  <si>
    <t>5.76 - 13.56</t>
  </si>
  <si>
    <t>-81.28%</t>
  </si>
  <si>
    <t>33.77%</t>
  </si>
  <si>
    <t>68.90%</t>
  </si>
  <si>
    <t>48.54%</t>
  </si>
  <si>
    <t>Amneal Pharmaceuticals Inc</t>
  </si>
  <si>
    <t>23.33%</t>
  </si>
  <si>
    <t>9.81%</t>
  </si>
  <si>
    <t>41.61%</t>
  </si>
  <si>
    <t>18.20%</t>
  </si>
  <si>
    <t>45.78%</t>
  </si>
  <si>
    <t>6.68 - 10.34</t>
  </si>
  <si>
    <t>-81.29%</t>
  </si>
  <si>
    <t>1099.43%</t>
  </si>
  <si>
    <t>19.87%</t>
  </si>
  <si>
    <t>17.91%</t>
  </si>
  <si>
    <t>Galaxy Digital Inc</t>
  </si>
  <si>
    <t>-46.53%</t>
  </si>
  <si>
    <t>-78.77%</t>
  </si>
  <si>
    <t>62.63%</t>
  </si>
  <si>
    <t>52.50%</t>
  </si>
  <si>
    <t>275.30%</t>
  </si>
  <si>
    <t>8.20 - 35.79</t>
  </si>
  <si>
    <t>-95.60%</t>
  </si>
  <si>
    <t>12075.58%</t>
  </si>
  <si>
    <t>54.11%</t>
  </si>
  <si>
    <t>149.80%</t>
  </si>
  <si>
    <t>156.46%</t>
  </si>
  <si>
    <t>Vir Biotechnology Inc</t>
  </si>
  <si>
    <t>-18.74%</t>
  </si>
  <si>
    <t>-75.91%</t>
  </si>
  <si>
    <t>-59.24%</t>
  </si>
  <si>
    <t>55.77%</t>
  </si>
  <si>
    <t>-60.52%</t>
  </si>
  <si>
    <t>57.18%</t>
  </si>
  <si>
    <t>35.21%</t>
  </si>
  <si>
    <t>-2961.64%</t>
  </si>
  <si>
    <t>-2895.94%</t>
  </si>
  <si>
    <t>26.47%</t>
  </si>
  <si>
    <t>-63.63%</t>
  </si>
  <si>
    <t>4.16 - 14.45</t>
  </si>
  <si>
    <t>-96.27%</t>
  </si>
  <si>
    <t>-21.21%</t>
  </si>
  <si>
    <t>-30.31%</t>
  </si>
  <si>
    <t>American Superconductor Corp</t>
  </si>
  <si>
    <t>63.73%</t>
  </si>
  <si>
    <t>27.13%</t>
  </si>
  <si>
    <t>79.59%</t>
  </si>
  <si>
    <t>141.67%</t>
  </si>
  <si>
    <t>-16.85%</t>
  </si>
  <si>
    <t>73.02%</t>
  </si>
  <si>
    <t>28.43%</t>
  </si>
  <si>
    <t>11.48%</t>
  </si>
  <si>
    <t>78.12%</t>
  </si>
  <si>
    <t>49.50%</t>
  </si>
  <si>
    <t>314.91%</t>
  </si>
  <si>
    <t>13.98 - 65.70</t>
  </si>
  <si>
    <t>-92.28%</t>
  </si>
  <si>
    <t>1907.09%</t>
  </si>
  <si>
    <t>59.18%</t>
  </si>
  <si>
    <t>198.99%</t>
  </si>
  <si>
    <t>141.39%</t>
  </si>
  <si>
    <t>Amicus Therapeutics Inc</t>
  </si>
  <si>
    <t>41.55%</t>
  </si>
  <si>
    <t>25.35%</t>
  </si>
  <si>
    <t>102.98%</t>
  </si>
  <si>
    <t>88.98%</t>
  </si>
  <si>
    <t>37.21%</t>
  </si>
  <si>
    <t>-35.84%</t>
  </si>
  <si>
    <t>47.30%</t>
  </si>
  <si>
    <t>5.51 - 12.65</t>
  </si>
  <si>
    <t>-68.03%</t>
  </si>
  <si>
    <t>359.83%</t>
  </si>
  <si>
    <t>36.86%</t>
  </si>
  <si>
    <t>-27.66%</t>
  </si>
  <si>
    <t>Portland General Electric Co</t>
  </si>
  <si>
    <t>65.72%</t>
  </si>
  <si>
    <t>-6.08%</t>
  </si>
  <si>
    <t>99.69%</t>
  </si>
  <si>
    <t>-13.40%</t>
  </si>
  <si>
    <t>39.54 - 49.85</t>
  </si>
  <si>
    <t>220.97%</t>
  </si>
  <si>
    <t>-8.90%</t>
  </si>
  <si>
    <t>AST SpaceMobile Inc</t>
  </si>
  <si>
    <t>-74.30%</t>
  </si>
  <si>
    <t>-80.92%</t>
  </si>
  <si>
    <t>-29.12%</t>
  </si>
  <si>
    <t>28.44%</t>
  </si>
  <si>
    <t>-113.88%</t>
  </si>
  <si>
    <t>-833.79%</t>
  </si>
  <si>
    <t>-5315.41%</t>
  </si>
  <si>
    <t>-7213.88%</t>
  </si>
  <si>
    <t>46.47%</t>
  </si>
  <si>
    <t>35.84%</t>
  </si>
  <si>
    <t>180.06%</t>
  </si>
  <si>
    <t>17.50 - 60.95</t>
  </si>
  <si>
    <t>2387.82%</t>
  </si>
  <si>
    <t>89.96%</t>
  </si>
  <si>
    <t>89.59%</t>
  </si>
  <si>
    <t>28.30%</t>
  </si>
  <si>
    <t>-18.48%</t>
  </si>
  <si>
    <t>48.14%</t>
  </si>
  <si>
    <t>41.13 - 62.85</t>
  </si>
  <si>
    <t>207.57%</t>
  </si>
  <si>
    <t>Arbutus Biopharma Corp</t>
  </si>
  <si>
    <t>23.21%</t>
  </si>
  <si>
    <t>33.46%</t>
  </si>
  <si>
    <t>53.23%</t>
  </si>
  <si>
    <t>-17.50%</t>
  </si>
  <si>
    <t>522.19%</t>
  </si>
  <si>
    <t>121.05%</t>
  </si>
  <si>
    <t>93.45%</t>
  </si>
  <si>
    <t>-262.93%</t>
  </si>
  <si>
    <t>-351.92%</t>
  </si>
  <si>
    <t>39.81%</t>
  </si>
  <si>
    <t>59.19%</t>
  </si>
  <si>
    <t>2.70 - 5.10</t>
  </si>
  <si>
    <t>-86.32%</t>
  </si>
  <si>
    <t>424.23%</t>
  </si>
  <si>
    <t>31.68%</t>
  </si>
  <si>
    <t>Polaris Inc</t>
  </si>
  <si>
    <t>135.34%</t>
  </si>
  <si>
    <t>-16.63%</t>
  </si>
  <si>
    <t>30669.23%</t>
  </si>
  <si>
    <t>105.98%</t>
  </si>
  <si>
    <t>18.26%</t>
  </si>
  <si>
    <t>22.61%</t>
  </si>
  <si>
    <t>-32.75%</t>
  </si>
  <si>
    <t>88.15%</t>
  </si>
  <si>
    <t>30.92 - 86.51</t>
  </si>
  <si>
    <t>-63.49%</t>
  </si>
  <si>
    <t>6070.51%</t>
  </si>
  <si>
    <t>42.10%</t>
  </si>
  <si>
    <t>34.57%</t>
  </si>
  <si>
    <t>-31.52%</t>
  </si>
  <si>
    <t>Centerpoint Energy Inc</t>
  </si>
  <si>
    <t>-6.77%</t>
  </si>
  <si>
    <t>-11.48%</t>
  </si>
  <si>
    <t>100.38%</t>
  </si>
  <si>
    <t>28.16%</t>
  </si>
  <si>
    <t>-2.15%</t>
  </si>
  <si>
    <t>28.57 - 39.39</t>
  </si>
  <si>
    <t>1058.01%</t>
  </si>
  <si>
    <t>8.06%</t>
  </si>
  <si>
    <t>34.40%</t>
  </si>
  <si>
    <t>PTC Therapeutics Inc</t>
  </si>
  <si>
    <t>47.87%</t>
  </si>
  <si>
    <t>96.00%</t>
  </si>
  <si>
    <t>18.74%</t>
  </si>
  <si>
    <t>99.99%</t>
  </si>
  <si>
    <t>96.28%</t>
  </si>
  <si>
    <t>49.11%</t>
  </si>
  <si>
    <t>35.65%</t>
  </si>
  <si>
    <t>18.40%</t>
  </si>
  <si>
    <t>-7.30%</t>
  </si>
  <si>
    <t>34.57 - 63.19</t>
  </si>
  <si>
    <t>-25.58%</t>
  </si>
  <si>
    <t>1353.60%</t>
  </si>
  <si>
    <t>60.41%</t>
  </si>
  <si>
    <t>Warby Parker Inc</t>
  </si>
  <si>
    <t>50.37%</t>
  </si>
  <si>
    <t>23.68%</t>
  </si>
  <si>
    <t>15.80%</t>
  </si>
  <si>
    <t>-1.88%</t>
  </si>
  <si>
    <t>81.34%</t>
  </si>
  <si>
    <t>-2.14%</t>
  </si>
  <si>
    <t>22.21%</t>
  </si>
  <si>
    <t>102.05%</t>
  </si>
  <si>
    <t>13.63 - 29.73</t>
  </si>
  <si>
    <t>-54.33%</t>
  </si>
  <si>
    <t>189.89%</t>
  </si>
  <si>
    <t>80.95%</t>
  </si>
  <si>
    <t>Ventas Inc</t>
  </si>
  <si>
    <t>923.55%</t>
  </si>
  <si>
    <t>-30.13%</t>
  </si>
  <si>
    <t>66.92%</t>
  </si>
  <si>
    <t>-1.63%</t>
  </si>
  <si>
    <t>56.68 - 71.36</t>
  </si>
  <si>
    <t>-8.56%</t>
  </si>
  <si>
    <t>5845.96%</t>
  </si>
  <si>
    <t>9.53%</t>
  </si>
  <si>
    <t>Super League Enterprise Inc</t>
  </si>
  <si>
    <t>50.32%</t>
  </si>
  <si>
    <t>-27.09%</t>
  </si>
  <si>
    <t>57.82%</t>
  </si>
  <si>
    <t>-110.81%</t>
  </si>
  <si>
    <t>-137.47%</t>
  </si>
  <si>
    <t>27.82%</t>
  </si>
  <si>
    <t>15.45%</t>
  </si>
  <si>
    <t>35.34%</t>
  </si>
  <si>
    <t>30.64%</t>
  </si>
  <si>
    <t>-55.47%</t>
  </si>
  <si>
    <t>-54.03%</t>
  </si>
  <si>
    <t>91.09%</t>
  </si>
  <si>
    <t>-88.48%</t>
  </si>
  <si>
    <t>2.75 - 45.60</t>
  </si>
  <si>
    <t>-79.80%</t>
  </si>
  <si>
    <t>Caesars Entertainment Inc</t>
  </si>
  <si>
    <t>35.55%</t>
  </si>
  <si>
    <t>34.78%</t>
  </si>
  <si>
    <t>-45966.67%</t>
  </si>
  <si>
    <t>106.65%</t>
  </si>
  <si>
    <t>-8.26%</t>
  </si>
  <si>
    <t>-41.36%</t>
  </si>
  <si>
    <t>25.86%</t>
  </si>
  <si>
    <t>21.40 - 45.93</t>
  </si>
  <si>
    <t>-77.52%</t>
  </si>
  <si>
    <t>7082.67%</t>
  </si>
  <si>
    <t>-34.06%</t>
  </si>
  <si>
    <t>Penguin Solutions Inc</t>
  </si>
  <si>
    <t>12.93%</t>
  </si>
  <si>
    <t>102.28%</t>
  </si>
  <si>
    <t>27.67%</t>
  </si>
  <si>
    <t>14.20 - 28.20</t>
  </si>
  <si>
    <t>-29.26%</t>
  </si>
  <si>
    <t>358.26%</t>
  </si>
  <si>
    <t>33.01%</t>
  </si>
  <si>
    <t>Kilroy Realty Corp</t>
  </si>
  <si>
    <t>122.12%</t>
  </si>
  <si>
    <t>-25.29%</t>
  </si>
  <si>
    <t>119.55%</t>
  </si>
  <si>
    <t>29.81%</t>
  </si>
  <si>
    <t>19.12%</t>
  </si>
  <si>
    <t>58.59%</t>
  </si>
  <si>
    <t>27.07 - 45.03</t>
  </si>
  <si>
    <t>-51.13%</t>
  </si>
  <si>
    <t>205.60%</t>
  </si>
  <si>
    <t>23.40%</t>
  </si>
  <si>
    <t>Arbor Realty Trust Inc</t>
  </si>
  <si>
    <t>145.75%</t>
  </si>
  <si>
    <t>-19.71%</t>
  </si>
  <si>
    <t>-17.43%</t>
  </si>
  <si>
    <t>-16.78%</t>
  </si>
  <si>
    <t>60.38%</t>
  </si>
  <si>
    <t>78.33%</t>
  </si>
  <si>
    <t>9.52%</t>
  </si>
  <si>
    <t>-24.77%</t>
  </si>
  <si>
    <t>42.25%</t>
  </si>
  <si>
    <t>8.43 - 15.94</t>
  </si>
  <si>
    <t>-60.19%</t>
  </si>
  <si>
    <t>2349.28%</t>
  </si>
  <si>
    <t>-22.63%</t>
  </si>
  <si>
    <t>Odyssey Marine Exploration, Inc</t>
  </si>
  <si>
    <t>-18.53%</t>
  </si>
  <si>
    <t>-24.21%</t>
  </si>
  <si>
    <t>-37.37%</t>
  </si>
  <si>
    <t>-515.69%</t>
  </si>
  <si>
    <t>-1778.81%</t>
  </si>
  <si>
    <t>174.28%</t>
  </si>
  <si>
    <t>100.92%</t>
  </si>
  <si>
    <t>-15.24%</t>
  </si>
  <si>
    <t>56.52%</t>
  </si>
  <si>
    <t>618.59%</t>
  </si>
  <si>
    <t>0.27 - 2.29</t>
  </si>
  <si>
    <t>-98.29%</t>
  </si>
  <si>
    <t>350.43%</t>
  </si>
  <si>
    <t>Informatica Inc</t>
  </si>
  <si>
    <t>-12.24%</t>
  </si>
  <si>
    <t>74.03%</t>
  </si>
  <si>
    <t>-11.78%</t>
  </si>
  <si>
    <t>58.62%</t>
  </si>
  <si>
    <t>15.65 - 28.14</t>
  </si>
  <si>
    <t>-38.14%</t>
  </si>
  <si>
    <t>Victoria's Secret &amp; Co</t>
  </si>
  <si>
    <t>-35.52%</t>
  </si>
  <si>
    <t>-3.67%</t>
  </si>
  <si>
    <t>162.11%</t>
  </si>
  <si>
    <t>35.92%</t>
  </si>
  <si>
    <t>45.30%</t>
  </si>
  <si>
    <t>-46.98%</t>
  </si>
  <si>
    <t>87.75%</t>
  </si>
  <si>
    <t>13.76 - 48.73</t>
  </si>
  <si>
    <t>-66.01%</t>
  </si>
  <si>
    <t>32.49%</t>
  </si>
  <si>
    <t>Mosaic Company</t>
  </si>
  <si>
    <t>Agricultural Inputs</t>
  </si>
  <si>
    <t>9/8/2025</t>
  </si>
  <si>
    <t>36.85%</t>
  </si>
  <si>
    <t>-29.99%</t>
  </si>
  <si>
    <t>13.51%</t>
  </si>
  <si>
    <t>22.36 - 38.23</t>
  </si>
  <si>
    <t>-78.09%</t>
  </si>
  <si>
    <t>514.70%</t>
  </si>
  <si>
    <t>-1.84%</t>
  </si>
  <si>
    <t>26.16%</t>
  </si>
  <si>
    <t>PENN Entertainment Inc</t>
  </si>
  <si>
    <t>-1438.46%</t>
  </si>
  <si>
    <t>100.45%</t>
  </si>
  <si>
    <t>9.10%</t>
  </si>
  <si>
    <t>48.72%</t>
  </si>
  <si>
    <t>13.25 - 23.08</t>
  </si>
  <si>
    <t>-86.12%</t>
  </si>
  <si>
    <t>16637.04%</t>
  </si>
  <si>
    <t>Aehr Test Systems</t>
  </si>
  <si>
    <t>-6.41%</t>
  </si>
  <si>
    <t>49.38%</t>
  </si>
  <si>
    <t>-10.95%</t>
  </si>
  <si>
    <t>-15.13%</t>
  </si>
  <si>
    <t>36.71%</t>
  </si>
  <si>
    <t>59.35%</t>
  </si>
  <si>
    <t>-8.16%</t>
  </si>
  <si>
    <t>8.08%</t>
  </si>
  <si>
    <t>106.21%</t>
  </si>
  <si>
    <t>-15.25%</t>
  </si>
  <si>
    <t>96.33%</t>
  </si>
  <si>
    <t>360.93%</t>
  </si>
  <si>
    <t>6.27 - 34.10</t>
  </si>
  <si>
    <t>-46.58%</t>
  </si>
  <si>
    <t>7125.00%</t>
  </si>
  <si>
    <t>130.83%</t>
  </si>
  <si>
    <t>236.05%</t>
  </si>
  <si>
    <t>134.67%</t>
  </si>
  <si>
    <t>Cheniere Energy Inc</t>
  </si>
  <si>
    <t>76.03%</t>
  </si>
  <si>
    <t>193.56%</t>
  </si>
  <si>
    <t>91.46%</t>
  </si>
  <si>
    <t>4.09%</t>
  </si>
  <si>
    <t>177.56 - 257.65</t>
  </si>
  <si>
    <t>63498.67%</t>
  </si>
  <si>
    <t>32.01%</t>
  </si>
  <si>
    <t>GRI Bio Inc</t>
  </si>
  <si>
    <t>90.45%</t>
  </si>
  <si>
    <t>80.04%</t>
  </si>
  <si>
    <t>-59.92%</t>
  </si>
  <si>
    <t>-33.45%</t>
  </si>
  <si>
    <t>73.64%</t>
  </si>
  <si>
    <t>1.10 - 30.43</t>
  </si>
  <si>
    <t>50.39%</t>
  </si>
  <si>
    <t>-67.46%</t>
  </si>
  <si>
    <t>-75.58%</t>
  </si>
  <si>
    <t>Leonardo DRS Inc</t>
  </si>
  <si>
    <t>-9.18%</t>
  </si>
  <si>
    <t>-12.61%</t>
  </si>
  <si>
    <t>56.41%</t>
  </si>
  <si>
    <t>27.55 - 49.31</t>
  </si>
  <si>
    <t>-71.63%</t>
  </si>
  <si>
    <t>7879.63%</t>
  </si>
  <si>
    <t>-4.33%</t>
  </si>
  <si>
    <t>58.65%</t>
  </si>
  <si>
    <t>Ventyx Biosciences Inc</t>
  </si>
  <si>
    <t>-87.13%</t>
  </si>
  <si>
    <t>62.25%</t>
  </si>
  <si>
    <t>-20.53%</t>
  </si>
  <si>
    <t>244.06%</t>
  </si>
  <si>
    <t>0.78 - 3.39</t>
  </si>
  <si>
    <t>-94.30%</t>
  </si>
  <si>
    <t>15.13%</t>
  </si>
  <si>
    <t>119.02%</t>
  </si>
  <si>
    <t>Uber Technologies Inc</t>
  </si>
  <si>
    <t>18.23%</t>
  </si>
  <si>
    <t>80.41%</t>
  </si>
  <si>
    <t>32.46%</t>
  </si>
  <si>
    <t>26.68%</t>
  </si>
  <si>
    <t>64.67%</t>
  </si>
  <si>
    <t>59.33 - 101.99</t>
  </si>
  <si>
    <t>612.62%</t>
  </si>
  <si>
    <t>Schlumberger Ltd</t>
  </si>
  <si>
    <t>33.08%</t>
  </si>
  <si>
    <t>79.42%</t>
  </si>
  <si>
    <t>-22.76%</t>
  </si>
  <si>
    <t>31.11 - 46.15</t>
  </si>
  <si>
    <t>-69.98%</t>
  </si>
  <si>
    <t>517.57%</t>
  </si>
  <si>
    <t>-17.05%</t>
  </si>
  <si>
    <t>Nutanix Inc</t>
  </si>
  <si>
    <t>14.18%</t>
  </si>
  <si>
    <t>-44.74%</t>
  </si>
  <si>
    <t>86.24%</t>
  </si>
  <si>
    <t>6.80%</t>
  </si>
  <si>
    <t>-7.07%</t>
  </si>
  <si>
    <t>40.12%</t>
  </si>
  <si>
    <t>54.66 - 83.36</t>
  </si>
  <si>
    <t>577.19%</t>
  </si>
  <si>
    <t>Omeros Corporation</t>
  </si>
  <si>
    <t>-14.69%</t>
  </si>
  <si>
    <t>-9.58%</t>
  </si>
  <si>
    <t>-5.21%</t>
  </si>
  <si>
    <t>-68.08%</t>
  </si>
  <si>
    <t>2.95 - 13.60</t>
  </si>
  <si>
    <t>-85.64%</t>
  </si>
  <si>
    <t>371.87%</t>
  </si>
  <si>
    <t>35.66%</t>
  </si>
  <si>
    <t>-51.33%</t>
  </si>
  <si>
    <t>11.31%</t>
  </si>
  <si>
    <t>Matador Resources Co</t>
  </si>
  <si>
    <t>92.05%</t>
  </si>
  <si>
    <t>16.20%</t>
  </si>
  <si>
    <t>23.16%</t>
  </si>
  <si>
    <t>92.17%</t>
  </si>
  <si>
    <t>41.29%</t>
  </si>
  <si>
    <t>-6.79%</t>
  </si>
  <si>
    <t>40.49%</t>
  </si>
  <si>
    <t>35.19 - 64.04</t>
  </si>
  <si>
    <t>4354.05%</t>
  </si>
  <si>
    <t>Metlife Inc</t>
  </si>
  <si>
    <t>75.38%</t>
  </si>
  <si>
    <t>-9.25%</t>
  </si>
  <si>
    <t>23.93%</t>
  </si>
  <si>
    <t>65.21 - 89.05</t>
  </si>
  <si>
    <t>697.58%</t>
  </si>
  <si>
    <t>Fastly Inc</t>
  </si>
  <si>
    <t>12.34%</t>
  </si>
  <si>
    <t>38.52%</t>
  </si>
  <si>
    <t>-5.45%</t>
  </si>
  <si>
    <t>68.31%</t>
  </si>
  <si>
    <t>-25.85%</t>
  </si>
  <si>
    <t>-8.25%</t>
  </si>
  <si>
    <t>32.67%</t>
  </si>
  <si>
    <t>-30.92%</t>
  </si>
  <si>
    <t>79.46%</t>
  </si>
  <si>
    <t>4.65 - 12.08</t>
  </si>
  <si>
    <t>-93.89%</t>
  </si>
  <si>
    <t>24.74%</t>
  </si>
  <si>
    <t>PVH Corp</t>
  </si>
  <si>
    <t>55.36%</t>
  </si>
  <si>
    <t>113.03%</t>
  </si>
  <si>
    <t>6.98%</t>
  </si>
  <si>
    <t>23.80%</t>
  </si>
  <si>
    <t>45.42%</t>
  </si>
  <si>
    <t>59.28 - 113.47</t>
  </si>
  <si>
    <t>-49.06%</t>
  </si>
  <si>
    <t>2552.46%</t>
  </si>
  <si>
    <t>-10.25%</t>
  </si>
  <si>
    <t>Ideaya Biosciences Inc</t>
  </si>
  <si>
    <t>-41.48%</t>
  </si>
  <si>
    <t>-36.96%</t>
  </si>
  <si>
    <t>-12.56%</t>
  </si>
  <si>
    <t>104.11%</t>
  </si>
  <si>
    <t>42.56%</t>
  </si>
  <si>
    <t>-5488.94%</t>
  </si>
  <si>
    <t>-4740.03%</t>
  </si>
  <si>
    <t>-20.78%</t>
  </si>
  <si>
    <t>92.42%</t>
  </si>
  <si>
    <t>13.45 - 32.67</t>
  </si>
  <si>
    <t>-45.78%</t>
  </si>
  <si>
    <t>777.29%</t>
  </si>
  <si>
    <t>-16.40%</t>
  </si>
  <si>
    <t>23.38 - 30.94</t>
  </si>
  <si>
    <t>284.62%</t>
  </si>
  <si>
    <t>Zscaler Inc</t>
  </si>
  <si>
    <t>54.06%</t>
  </si>
  <si>
    <t>34.81%</t>
  </si>
  <si>
    <t>44.03%</t>
  </si>
  <si>
    <t>53.46%</t>
  </si>
  <si>
    <t>76.82%</t>
  </si>
  <si>
    <t>-4.48%</t>
  </si>
  <si>
    <t>75.81%</t>
  </si>
  <si>
    <t>164.78 - 318.46</t>
  </si>
  <si>
    <t>-22.97%</t>
  </si>
  <si>
    <t>1070.05%</t>
  </si>
  <si>
    <t>38.32%</t>
  </si>
  <si>
    <t>66.35%</t>
  </si>
  <si>
    <t>Perfect Moment Ltd</t>
  </si>
  <si>
    <t>-35.41%</t>
  </si>
  <si>
    <t>9.34%</t>
  </si>
  <si>
    <t>23.75%</t>
  </si>
  <si>
    <t>48.75%</t>
  </si>
  <si>
    <t>-61.18%</t>
  </si>
  <si>
    <t>-74.42%</t>
  </si>
  <si>
    <t>18.02%</t>
  </si>
  <si>
    <t>-35.20%</t>
  </si>
  <si>
    <t>83.92%</t>
  </si>
  <si>
    <t>-69.55%</t>
  </si>
  <si>
    <t>120.95%</t>
  </si>
  <si>
    <t>0.22 - 1.60</t>
  </si>
  <si>
    <t>-91.95%</t>
  </si>
  <si>
    <t>99.67%</t>
  </si>
  <si>
    <t>-58.00%</t>
  </si>
  <si>
    <t>-55.71%</t>
  </si>
  <si>
    <t>Adient plc</t>
  </si>
  <si>
    <t>10/23/2018</t>
  </si>
  <si>
    <t>-74.16%</t>
  </si>
  <si>
    <t>102.18%</t>
  </si>
  <si>
    <t>36.98%</t>
  </si>
  <si>
    <t>10.04 - 25.84</t>
  </si>
  <si>
    <t>319.65%</t>
  </si>
  <si>
    <t>Wayfair Inc</t>
  </si>
  <si>
    <t>-46.99%</t>
  </si>
  <si>
    <t>191.50%</t>
  </si>
  <si>
    <t>-4.73%</t>
  </si>
  <si>
    <t>88.27%</t>
  </si>
  <si>
    <t>69.01%</t>
  </si>
  <si>
    <t>317.79%</t>
  </si>
  <si>
    <t>20.41 - 91.77</t>
  </si>
  <si>
    <t>-76.89%</t>
  </si>
  <si>
    <t>409.38%</t>
  </si>
  <si>
    <t>66.48%</t>
  </si>
  <si>
    <t>139.46%</t>
  </si>
  <si>
    <t>GoPro Inc</t>
  </si>
  <si>
    <t>-94.63%</t>
  </si>
  <si>
    <t>-19.83%</t>
  </si>
  <si>
    <t>-11.62%</t>
  </si>
  <si>
    <t>-18.03%</t>
  </si>
  <si>
    <t>58.67%</t>
  </si>
  <si>
    <t>-14.53%</t>
  </si>
  <si>
    <t>9.61%</t>
  </si>
  <si>
    <t>37.34%</t>
  </si>
  <si>
    <t>121.12%</t>
  </si>
  <si>
    <t>-26.58%</t>
  </si>
  <si>
    <t>193.40%</t>
  </si>
  <si>
    <t>462.61%</t>
  </si>
  <si>
    <t>0.40 - 3.05</t>
  </si>
  <si>
    <t>-97.73%</t>
  </si>
  <si>
    <t>198.04%</t>
  </si>
  <si>
    <t>206.49%</t>
  </si>
  <si>
    <t>Terns Pharmaceuticals Inc</t>
  </si>
  <si>
    <t>10.44%</t>
  </si>
  <si>
    <t>83.03%</t>
  </si>
  <si>
    <t>13.60%</t>
  </si>
  <si>
    <t>45.99%</t>
  </si>
  <si>
    <t>-19.39%</t>
  </si>
  <si>
    <t>310.19%</t>
  </si>
  <si>
    <t>1.87 - 9.49</t>
  </si>
  <si>
    <t>-73.03%</t>
  </si>
  <si>
    <t>427.59%</t>
  </si>
  <si>
    <t>99.74%</t>
  </si>
  <si>
    <t>145.19%</t>
  </si>
  <si>
    <t>PPL Corp</t>
  </si>
  <si>
    <t>-14.71%</t>
  </si>
  <si>
    <t>-2.79%</t>
  </si>
  <si>
    <t>82.80%</t>
  </si>
  <si>
    <t>31.22 - 37.38</t>
  </si>
  <si>
    <t>-28.78%</t>
  </si>
  <si>
    <t>706.86%</t>
  </si>
  <si>
    <t>Pegasystems Inc</t>
  </si>
  <si>
    <t>15.85%</t>
  </si>
  <si>
    <t>12.47%</t>
  </si>
  <si>
    <t>55.81%</t>
  </si>
  <si>
    <t>75.39%</t>
  </si>
  <si>
    <t>13.14%</t>
  </si>
  <si>
    <t>18.45%</t>
  </si>
  <si>
    <t>95.81%</t>
  </si>
  <si>
    <t>29.84 - 61.00</t>
  </si>
  <si>
    <t>-21.48%</t>
  </si>
  <si>
    <t>12792.69%</t>
  </si>
  <si>
    <t>61.11%</t>
  </si>
  <si>
    <t>62.01%</t>
  </si>
  <si>
    <t>Cognex Corp</t>
  </si>
  <si>
    <t>49.59%</t>
  </si>
  <si>
    <t>-26.60%</t>
  </si>
  <si>
    <t>98.00%</t>
  </si>
  <si>
    <t>67.72%</t>
  </si>
  <si>
    <t>29.05%</t>
  </si>
  <si>
    <t>98.50%</t>
  </si>
  <si>
    <t>22.67 - 47.52</t>
  </si>
  <si>
    <t>-55.80%</t>
  </si>
  <si>
    <t>14893.46%</t>
  </si>
  <si>
    <t>46.39%</t>
  </si>
  <si>
    <t>Pure Storage Inc</t>
  </si>
  <si>
    <t>20.48%</t>
  </si>
  <si>
    <t>85.96%</t>
  </si>
  <si>
    <t>69.17%</t>
  </si>
  <si>
    <t>18.63%</t>
  </si>
  <si>
    <t>37.18%</t>
  </si>
  <si>
    <t>-9.10%</t>
  </si>
  <si>
    <t>48.96%</t>
  </si>
  <si>
    <t>134.69%</t>
  </si>
  <si>
    <t>34.51 - 89.10</t>
  </si>
  <si>
    <t>921.31%</t>
  </si>
  <si>
    <t>46.19%</t>
  </si>
  <si>
    <t>67.20%</t>
  </si>
  <si>
    <t>62.60%</t>
  </si>
  <si>
    <t>Arcutis Biotherapeutics Inc</t>
  </si>
  <si>
    <t>34.80%</t>
  </si>
  <si>
    <t>99.50%</t>
  </si>
  <si>
    <t>164.13%</t>
  </si>
  <si>
    <t>98.63%</t>
  </si>
  <si>
    <t>89.10%</t>
  </si>
  <si>
    <t>-32.58%</t>
  </si>
  <si>
    <t>-35.40%</t>
  </si>
  <si>
    <t>19.34%</t>
  </si>
  <si>
    <t>116.06%</t>
  </si>
  <si>
    <t>8.03 - 18.15</t>
  </si>
  <si>
    <t>885.80%</t>
  </si>
  <si>
    <t>79.24%</t>
  </si>
  <si>
    <t>HIVE Digital Technologies Ltd</t>
  </si>
  <si>
    <t>-18.07%</t>
  </si>
  <si>
    <t>41.47%</t>
  </si>
  <si>
    <t>250.00%</t>
  </si>
  <si>
    <t>-33.50%</t>
  </si>
  <si>
    <t>-18.91%</t>
  </si>
  <si>
    <t>47.84%</t>
  </si>
  <si>
    <t>-18.69%</t>
  </si>
  <si>
    <t>80.55%</t>
  </si>
  <si>
    <t>179.42%</t>
  </si>
  <si>
    <t>1.26 - 5.54</t>
  </si>
  <si>
    <t>-87.75%</t>
  </si>
  <si>
    <t>95.59%</t>
  </si>
  <si>
    <t>118.68%</t>
  </si>
  <si>
    <t>Acadia Healthcare Company Inc</t>
  </si>
  <si>
    <t>-0.34%</t>
  </si>
  <si>
    <t>115.71%</t>
  </si>
  <si>
    <t>-5.39%</t>
  </si>
  <si>
    <t>38.34%</t>
  </si>
  <si>
    <t>-69.10%</t>
  </si>
  <si>
    <t>17.12 - 76.66</t>
  </si>
  <si>
    <t>-73.63%</t>
  </si>
  <si>
    <t>9376.00%</t>
  </si>
  <si>
    <t>-21.35%</t>
  </si>
  <si>
    <t>-69.08%</t>
  </si>
  <si>
    <t>DTE Energy Co</t>
  </si>
  <si>
    <t>6.96%</t>
  </si>
  <si>
    <t>79.98%</t>
  </si>
  <si>
    <t>-2.51%</t>
  </si>
  <si>
    <t>115.59 - 142.05</t>
  </si>
  <si>
    <t>1315.36%</t>
  </si>
  <si>
    <t>Editas Medicine Inc</t>
  </si>
  <si>
    <t>-41.97%</t>
  </si>
  <si>
    <t>597.47%</t>
  </si>
  <si>
    <t>47.45%</t>
  </si>
  <si>
    <t>82.70%</t>
  </si>
  <si>
    <t>-413.35%</t>
  </si>
  <si>
    <t>-608.88%</t>
  </si>
  <si>
    <t>48.57%</t>
  </si>
  <si>
    <t>237.92%</t>
  </si>
  <si>
    <t>0.91 - 3.80</t>
  </si>
  <si>
    <t>34.89%</t>
  </si>
  <si>
    <t>136.57%</t>
  </si>
  <si>
    <t>-12.88%</t>
  </si>
  <si>
    <t>Laser Photonics Corp</t>
  </si>
  <si>
    <t>-9.84%</t>
  </si>
  <si>
    <t>-230.21%</t>
  </si>
  <si>
    <t>123.75%</t>
  </si>
  <si>
    <t>316.88%</t>
  </si>
  <si>
    <t>-94.92%</t>
  </si>
  <si>
    <t>22.41%</t>
  </si>
  <si>
    <t>-36.34%</t>
  </si>
  <si>
    <t>152.04%</t>
  </si>
  <si>
    <t>-74.93%</t>
  </si>
  <si>
    <t>1.71 - 17.19</t>
  </si>
  <si>
    <t>-78.23%</t>
  </si>
  <si>
    <t>543.25%</t>
  </si>
  <si>
    <t>79.58%</t>
  </si>
  <si>
    <t>32.61%</t>
  </si>
  <si>
    <t>-70.58%</t>
  </si>
  <si>
    <t>JFrog Ltd</t>
  </si>
  <si>
    <t>-60.26%</t>
  </si>
  <si>
    <t>17.38%</t>
  </si>
  <si>
    <t>27.51%</t>
  </si>
  <si>
    <t>71.93%</t>
  </si>
  <si>
    <t>74.47%</t>
  </si>
  <si>
    <t>-20.71%</t>
  </si>
  <si>
    <t>-18.18%</t>
  </si>
  <si>
    <t>33.21%</t>
  </si>
  <si>
    <t>27.00 - 51.94</t>
  </si>
  <si>
    <t>-47.97%</t>
  </si>
  <si>
    <t>202.86%</t>
  </si>
  <si>
    <t>53.07%</t>
  </si>
  <si>
    <t>73.93%</t>
  </si>
  <si>
    <t>MetaVia Inc</t>
  </si>
  <si>
    <t>67.49%</t>
  </si>
  <si>
    <t>42.92%</t>
  </si>
  <si>
    <t>12.98%</t>
  </si>
  <si>
    <t>-42.20%</t>
  </si>
  <si>
    <t>80.00%</t>
  </si>
  <si>
    <t>-71.43%</t>
  </si>
  <si>
    <t>0.56 - 3.50</t>
  </si>
  <si>
    <t>-68.75%</t>
  </si>
  <si>
    <t>Lionsgate Studios Corp</t>
  </si>
  <si>
    <t>-1558.51%</t>
  </si>
  <si>
    <t>42.40%</t>
  </si>
  <si>
    <t>432.48%</t>
  </si>
  <si>
    <t>55.85%</t>
  </si>
  <si>
    <t>-8.65%</t>
  </si>
  <si>
    <t>24.34%</t>
  </si>
  <si>
    <t>-23.93%</t>
  </si>
  <si>
    <t>5.55 - 9.24</t>
  </si>
  <si>
    <t>-45.85%</t>
  </si>
  <si>
    <t>Monster Beverage Corp</t>
  </si>
  <si>
    <t>66.47%</t>
  </si>
  <si>
    <t>55.18%</t>
  </si>
  <si>
    <t>20.54%</t>
  </si>
  <si>
    <t>45.70 - 67.12</t>
  </si>
  <si>
    <t>23.85%</t>
  </si>
  <si>
    <t>BorgWarner Inc</t>
  </si>
  <si>
    <t>-13.51%</t>
  </si>
  <si>
    <t>-8.53%</t>
  </si>
  <si>
    <t>101.36%</t>
  </si>
  <si>
    <t>78.65%</t>
  </si>
  <si>
    <t>24.40 - 44.70</t>
  </si>
  <si>
    <t>-26.57%</t>
  </si>
  <si>
    <t>1833.90%</t>
  </si>
  <si>
    <t>24.19%</t>
  </si>
  <si>
    <t>Acrivon Therapeutics Inc</t>
  </si>
  <si>
    <t>-45.20%</t>
  </si>
  <si>
    <t>-74.96%</t>
  </si>
  <si>
    <t>-19.79%</t>
  </si>
  <si>
    <t>48.68%</t>
  </si>
  <si>
    <t>-46.82%</t>
  </si>
  <si>
    <t>-40.26%</t>
  </si>
  <si>
    <t>32.89%</t>
  </si>
  <si>
    <t>-81.75%</t>
  </si>
  <si>
    <t>51.90%</t>
  </si>
  <si>
    <t>1.05 - 8.74</t>
  </si>
  <si>
    <t>-36.71%</t>
  </si>
  <si>
    <t>-77.82%</t>
  </si>
  <si>
    <t>SoundHound AI Inc</t>
  </si>
  <si>
    <t>-37.66%</t>
  </si>
  <si>
    <t>37.82%</t>
  </si>
  <si>
    <t>136.97%</t>
  </si>
  <si>
    <t>58.68%</t>
  </si>
  <si>
    <t>217.06%</t>
  </si>
  <si>
    <t>-103.64%</t>
  </si>
  <si>
    <t>43.21%</t>
  </si>
  <si>
    <t>30.76%</t>
  </si>
  <si>
    <t>-120.88%</t>
  </si>
  <si>
    <t>-171.81%</t>
  </si>
  <si>
    <t>18.19%</t>
  </si>
  <si>
    <t>64.75%</t>
  </si>
  <si>
    <t>-35.96%</t>
  </si>
  <si>
    <t>259.50%</t>
  </si>
  <si>
    <t>4.45 - 24.98</t>
  </si>
  <si>
    <t>1620.18%</t>
  </si>
  <si>
    <t>62.74%</t>
  </si>
  <si>
    <t>226.48%</t>
  </si>
  <si>
    <t>Coherus Oncology Inc</t>
  </si>
  <si>
    <t>-27.36%</t>
  </si>
  <si>
    <t>-53.67%</t>
  </si>
  <si>
    <t>-84.22%</t>
  </si>
  <si>
    <t>-77.03%</t>
  </si>
  <si>
    <t>46.81%</t>
  </si>
  <si>
    <t>-111.61%</t>
  </si>
  <si>
    <t>75.31%</t>
  </si>
  <si>
    <t>0.66 - 2.43</t>
  </si>
  <si>
    <t>66.86%</t>
  </si>
  <si>
    <t>42.00%</t>
  </si>
  <si>
    <t>Qorvo Inc</t>
  </si>
  <si>
    <t>-60.23%</t>
  </si>
  <si>
    <t>-26.96%</t>
  </si>
  <si>
    <t>-8.84%</t>
  </si>
  <si>
    <t>-7.66%</t>
  </si>
  <si>
    <t>46.15%</t>
  </si>
  <si>
    <t>42.24%</t>
  </si>
  <si>
    <t>18.42%</t>
  </si>
  <si>
    <t>87.77%</t>
  </si>
  <si>
    <t>49.46 - 107.33</t>
  </si>
  <si>
    <t>-53.95%</t>
  </si>
  <si>
    <t>178.89%</t>
  </si>
  <si>
    <t>10.76%</t>
  </si>
  <si>
    <t>Oncology Institute Inc</t>
  </si>
  <si>
    <t>-62.37%</t>
  </si>
  <si>
    <t>71.00%</t>
  </si>
  <si>
    <t>-20.67%</t>
  </si>
  <si>
    <t>2749.16%</t>
  </si>
  <si>
    <t>0.13 - 4.50</t>
  </si>
  <si>
    <t>-71.80%</t>
  </si>
  <si>
    <t>63.01%</t>
  </si>
  <si>
    <t>221.62%</t>
  </si>
  <si>
    <t>1128.49%</t>
  </si>
  <si>
    <t>SM Energy Co</t>
  </si>
  <si>
    <t>236.20%</t>
  </si>
  <si>
    <t>183.41%</t>
  </si>
  <si>
    <t>28.20%</t>
  </si>
  <si>
    <t>100.53%</t>
  </si>
  <si>
    <t>39.55%</t>
  </si>
  <si>
    <t>33.89%</t>
  </si>
  <si>
    <t>25.94%</t>
  </si>
  <si>
    <t>-39.27%</t>
  </si>
  <si>
    <t>43.31%</t>
  </si>
  <si>
    <t>19.67 - 46.42</t>
  </si>
  <si>
    <t>-70.01%</t>
  </si>
  <si>
    <t>3032.22%</t>
  </si>
  <si>
    <t>Veracyte Inc</t>
  </si>
  <si>
    <t>72.79%</t>
  </si>
  <si>
    <t>26.63%</t>
  </si>
  <si>
    <t>57.65%</t>
  </si>
  <si>
    <t>66.44%</t>
  </si>
  <si>
    <t>-30.90%</t>
  </si>
  <si>
    <t>22.61 - 47.32</t>
  </si>
  <si>
    <t>-62.00%</t>
  </si>
  <si>
    <t>676.60%</t>
  </si>
  <si>
    <t>Bloom Energy Corp</t>
  </si>
  <si>
    <t>48.62%</t>
  </si>
  <si>
    <t>45.46%</t>
  </si>
  <si>
    <t>22.72%</t>
  </si>
  <si>
    <t>726.45%</t>
  </si>
  <si>
    <t>-33.35%</t>
  </si>
  <si>
    <t>89.36%</t>
  </si>
  <si>
    <t>32.91%</t>
  </si>
  <si>
    <t>9.43%</t>
  </si>
  <si>
    <t>36.95%</t>
  </si>
  <si>
    <t>136.24%</t>
  </si>
  <si>
    <t>186.52%</t>
  </si>
  <si>
    <t>663.64%</t>
  </si>
  <si>
    <t>9.02 - 86.89</t>
  </si>
  <si>
    <t>2722.95%</t>
  </si>
  <si>
    <t>210.55%</t>
  </si>
  <si>
    <t>213.23%</t>
  </si>
  <si>
    <t>553.51%</t>
  </si>
  <si>
    <t>Certara Inc</t>
  </si>
  <si>
    <t>-29.65%</t>
  </si>
  <si>
    <t>78.23%</t>
  </si>
  <si>
    <t>47.46%</t>
  </si>
  <si>
    <t>23.82%</t>
  </si>
  <si>
    <t>-26.13%</t>
  </si>
  <si>
    <t>8.64 - 15.69</t>
  </si>
  <si>
    <t>-74.52%</t>
  </si>
  <si>
    <t>8.32%</t>
  </si>
  <si>
    <t>Axogen Inc</t>
  </si>
  <si>
    <t>1/27/2010</t>
  </si>
  <si>
    <t>21.24%</t>
  </si>
  <si>
    <t>86.45%</t>
  </si>
  <si>
    <t>13.73%</t>
  </si>
  <si>
    <t>88.68%</t>
  </si>
  <si>
    <t>74.27%</t>
  </si>
  <si>
    <t>49.40%</t>
  </si>
  <si>
    <t>-19.96%</t>
  </si>
  <si>
    <t>9.22 - 21.00</t>
  </si>
  <si>
    <t>-70.44%</t>
  </si>
  <si>
    <t>9886.44%</t>
  </si>
  <si>
    <t>60.07%</t>
  </si>
  <si>
    <t>-11.49%</t>
  </si>
  <si>
    <t>JBDI Holdings Ltd</t>
  </si>
  <si>
    <t>49.28%</t>
  </si>
  <si>
    <t>99.56%</t>
  </si>
  <si>
    <t>-38.98%</t>
  </si>
  <si>
    <t>115.38%</t>
  </si>
  <si>
    <t>273.00%</t>
  </si>
  <si>
    <t>0.49 - 3.00</t>
  </si>
  <si>
    <t>-95.35%</t>
  </si>
  <si>
    <t>128.84%</t>
  </si>
  <si>
    <t>38.69%</t>
  </si>
  <si>
    <t>Zoom Communications Inc</t>
  </si>
  <si>
    <t>106.45%</t>
  </si>
  <si>
    <t>49.60%</t>
  </si>
  <si>
    <t>63.75%</t>
  </si>
  <si>
    <t>76.38%</t>
  </si>
  <si>
    <t>30.59%</t>
  </si>
  <si>
    <t>64.41 - 92.80</t>
  </si>
  <si>
    <t>-85.72%</t>
  </si>
  <si>
    <t>21.14%</t>
  </si>
  <si>
    <t>Westinghouse Air Brake Technologies Corp</t>
  </si>
  <si>
    <t>Railroads</t>
  </si>
  <si>
    <t>26.90%</t>
  </si>
  <si>
    <t>26.88%</t>
  </si>
  <si>
    <t>-9.27%</t>
  </si>
  <si>
    <t>93.78%</t>
  </si>
  <si>
    <t>30.60%</t>
  </si>
  <si>
    <t>151.81 - 216.10</t>
  </si>
  <si>
    <t>4951.65%</t>
  </si>
  <si>
    <t>-4.99%</t>
  </si>
  <si>
    <t>Inspire Veterinary Partners Inc</t>
  </si>
  <si>
    <t>Personal Services</t>
  </si>
  <si>
    <t>86.71%</t>
  </si>
  <si>
    <t>-63.45%</t>
  </si>
  <si>
    <t>-84.39%</t>
  </si>
  <si>
    <t>-24.25%</t>
  </si>
  <si>
    <t>60.83%</t>
  </si>
  <si>
    <t>-95.88%</t>
  </si>
  <si>
    <t>0.63 - 24.61</t>
  </si>
  <si>
    <t>-37.88%</t>
  </si>
  <si>
    <t>-40.64%</t>
  </si>
  <si>
    <t>-94.23%</t>
  </si>
  <si>
    <t>Principal Financial Group Inc</t>
  </si>
  <si>
    <t>42.69%</t>
  </si>
  <si>
    <t>68.39 - 91.97</t>
  </si>
  <si>
    <t>1418.48%</t>
  </si>
  <si>
    <t>Cerence Inc</t>
  </si>
  <si>
    <t>-31.20%</t>
  </si>
  <si>
    <t>-5.04%</t>
  </si>
  <si>
    <t>-11.77%</t>
  </si>
  <si>
    <t>176.62%</t>
  </si>
  <si>
    <t>71.43%</t>
  </si>
  <si>
    <t>69.86%</t>
  </si>
  <si>
    <t>-10.48%</t>
  </si>
  <si>
    <t>14.20%</t>
  </si>
  <si>
    <t>-57.38%</t>
  </si>
  <si>
    <t>372.58%</t>
  </si>
  <si>
    <t>2.48 - 27.50</t>
  </si>
  <si>
    <t>-91.57%</t>
  </si>
  <si>
    <t>400.85%</t>
  </si>
  <si>
    <t>347.33%</t>
  </si>
  <si>
    <t>Opendoor Technologies Inc</t>
  </si>
  <si>
    <t>-6.46%</t>
  </si>
  <si>
    <t>76.30%</t>
  </si>
  <si>
    <t>316.20%</t>
  </si>
  <si>
    <t>-21.78%</t>
  </si>
  <si>
    <t>452.14%</t>
  </si>
  <si>
    <t>1572.48%</t>
  </si>
  <si>
    <t>0.51 - 10.87</t>
  </si>
  <si>
    <t>-78.33%</t>
  </si>
  <si>
    <t>1422.73%</t>
  </si>
  <si>
    <t>626.74%</t>
  </si>
  <si>
    <t>293.65%</t>
  </si>
  <si>
    <t>Steel Dynamics Inc</t>
  </si>
  <si>
    <t>Steel</t>
  </si>
  <si>
    <t>12.26%</t>
  </si>
  <si>
    <t>-11.56%</t>
  </si>
  <si>
    <t>103.17 - 155.56</t>
  </si>
  <si>
    <t>6647.41%</t>
  </si>
  <si>
    <t>MasterBrand Inc</t>
  </si>
  <si>
    <t>4.54%</t>
  </si>
  <si>
    <t>-12.31%</t>
  </si>
  <si>
    <t>-5.24%</t>
  </si>
  <si>
    <t>-34.81%</t>
  </si>
  <si>
    <t>39.93%</t>
  </si>
  <si>
    <t>9.63 - 20.67</t>
  </si>
  <si>
    <t>90.32%</t>
  </si>
  <si>
    <t>25.12%</t>
  </si>
  <si>
    <t>Chevron Corp</t>
  </si>
  <si>
    <t>Oil &amp; Gas Integrated</t>
  </si>
  <si>
    <t>8/19/2025</t>
  </si>
  <si>
    <t>6.49%</t>
  </si>
  <si>
    <t>67.08%</t>
  </si>
  <si>
    <t>44.50%</t>
  </si>
  <si>
    <t>-10.81%</t>
  </si>
  <si>
    <t>65.25%</t>
  </si>
  <si>
    <t>132.04 - 168.96</t>
  </si>
  <si>
    <t>2088.03%</t>
  </si>
  <si>
    <t>Whitefiber Inc</t>
  </si>
  <si>
    <t>61.91%</t>
  </si>
  <si>
    <t>-190.63%</t>
  </si>
  <si>
    <t>10.35%</t>
  </si>
  <si>
    <t>14.01 - 29.53</t>
  </si>
  <si>
    <t>NiSource Inc</t>
  </si>
  <si>
    <t>10/31/2025</t>
  </si>
  <si>
    <t>65.49%</t>
  </si>
  <si>
    <t>16.98%</t>
  </si>
  <si>
    <t>58.49%</t>
  </si>
  <si>
    <t>14.43%</t>
  </si>
  <si>
    <t>33.65 - 43.51</t>
  </si>
  <si>
    <t>2583.48%</t>
  </si>
  <si>
    <t>Take-Two Interactive Software, Inc</t>
  </si>
  <si>
    <t>59.94%</t>
  </si>
  <si>
    <t>115.12%</t>
  </si>
  <si>
    <t>89.18%</t>
  </si>
  <si>
    <t>-72.92%</t>
  </si>
  <si>
    <t>-3.09%</t>
  </si>
  <si>
    <t>146.76 - 255.33</t>
  </si>
  <si>
    <t>8148.80%</t>
  </si>
  <si>
    <t>Rush Street Interactive Inc</t>
  </si>
  <si>
    <t>Gambling</t>
  </si>
  <si>
    <t>47.95%</t>
  </si>
  <si>
    <t>23.71%</t>
  </si>
  <si>
    <t>70.75%</t>
  </si>
  <si>
    <t>22.16%</t>
  </si>
  <si>
    <t>75.16%</t>
  </si>
  <si>
    <t>-28.24%</t>
  </si>
  <si>
    <t>9.95%</t>
  </si>
  <si>
    <t>126.67%</t>
  </si>
  <si>
    <t>9.54 - 22.65</t>
  </si>
  <si>
    <t>680.87%</t>
  </si>
  <si>
    <t>47.04%</t>
  </si>
  <si>
    <t>96.82%</t>
  </si>
  <si>
    <t>104.06%</t>
  </si>
  <si>
    <t>Liberty Latin America Ltd</t>
  </si>
  <si>
    <t>-20.72%</t>
  </si>
  <si>
    <t>-51.17%</t>
  </si>
  <si>
    <t>-10745.23%</t>
  </si>
  <si>
    <t>50.75%</t>
  </si>
  <si>
    <t>-26.61%</t>
  </si>
  <si>
    <t>-22.87%</t>
  </si>
  <si>
    <t>94.56%</t>
  </si>
  <si>
    <t>4.23 - 10.67</t>
  </si>
  <si>
    <t>-89.56%</t>
  </si>
  <si>
    <t>MGIC Investment Corp</t>
  </si>
  <si>
    <t>101.01%</t>
  </si>
  <si>
    <t>82.50%</t>
  </si>
  <si>
    <t>62.58%</t>
  </si>
  <si>
    <t>29.88%</t>
  </si>
  <si>
    <t>21.94 - 29.01</t>
  </si>
  <si>
    <t>-63.91%</t>
  </si>
  <si>
    <t>4228.07%</t>
  </si>
  <si>
    <t>Butterfly Network Inc</t>
  </si>
  <si>
    <t>66.40%</t>
  </si>
  <si>
    <t>23.13%</t>
  </si>
  <si>
    <t>42.45%</t>
  </si>
  <si>
    <t>-73.51%</t>
  </si>
  <si>
    <t>15.20%</t>
  </si>
  <si>
    <t>-16.90%</t>
  </si>
  <si>
    <t>43.54%</t>
  </si>
  <si>
    <t>-61.95%</t>
  </si>
  <si>
    <t>1.32 - 4.98</t>
  </si>
  <si>
    <t>-93.50%</t>
  </si>
  <si>
    <t>181.07%</t>
  </si>
  <si>
    <t>-22.35%</t>
  </si>
  <si>
    <t>Teladoc Health Inc</t>
  </si>
  <si>
    <t>-29.04%</t>
  </si>
  <si>
    <t>-33.66%</t>
  </si>
  <si>
    <t>55.57%</t>
  </si>
  <si>
    <t>26.33%</t>
  </si>
  <si>
    <t>73.71%</t>
  </si>
  <si>
    <t>22.22%</t>
  </si>
  <si>
    <t>-45.72%</t>
  </si>
  <si>
    <t>30.02%</t>
  </si>
  <si>
    <t>6.35 - 15.21</t>
  </si>
  <si>
    <t>-97.32%</t>
  </si>
  <si>
    <t>Cytokinetics Inc</t>
  </si>
  <si>
    <t>-23.42%</t>
  </si>
  <si>
    <t>-20.02%</t>
  </si>
  <si>
    <t>2635.74%</t>
  </si>
  <si>
    <t>-35.99%</t>
  </si>
  <si>
    <t>26714.86%</t>
  </si>
  <si>
    <t>89.06%</t>
  </si>
  <si>
    <t>-637.96%</t>
  </si>
  <si>
    <t>-707.17%</t>
  </si>
  <si>
    <t>18.48%</t>
  </si>
  <si>
    <t>-10.23%</t>
  </si>
  <si>
    <t>66.07%</t>
  </si>
  <si>
    <t>29.31 - 59.39</t>
  </si>
  <si>
    <t>-55.85%</t>
  </si>
  <si>
    <t>1495.92%</t>
  </si>
  <si>
    <t>46.79%</t>
  </si>
  <si>
    <t>-7.57%</t>
  </si>
  <si>
    <t>BigBear.ai Holdings Inc</t>
  </si>
  <si>
    <t>-552.03%</t>
  </si>
  <si>
    <t>-18.38%</t>
  </si>
  <si>
    <t>-1083.33%</t>
  </si>
  <si>
    <t>-75.47%</t>
  </si>
  <si>
    <t>34.20%</t>
  </si>
  <si>
    <t>27.97%</t>
  </si>
  <si>
    <t>-36.70%</t>
  </si>
  <si>
    <t>-269.28%</t>
  </si>
  <si>
    <t>40.19%</t>
  </si>
  <si>
    <t>-21.54%</t>
  </si>
  <si>
    <t>-34.94%</t>
  </si>
  <si>
    <t>395.59%</t>
  </si>
  <si>
    <t>1.36 - 10.36</t>
  </si>
  <si>
    <t>-58.19%</t>
  </si>
  <si>
    <t>1062.07%</t>
  </si>
  <si>
    <t>120.26%</t>
  </si>
  <si>
    <t>334.84%</t>
  </si>
  <si>
    <t>Exact Sciences Corp</t>
  </si>
  <si>
    <t>-54.24%</t>
  </si>
  <si>
    <t>16.01%</t>
  </si>
  <si>
    <t>25.78%</t>
  </si>
  <si>
    <t>15.99%</t>
  </si>
  <si>
    <t>95.20%</t>
  </si>
  <si>
    <t>-34.19%</t>
  </si>
  <si>
    <t>-5.62%</t>
  </si>
  <si>
    <t>37.45%</t>
  </si>
  <si>
    <t>-26.75%</t>
  </si>
  <si>
    <t>38.81 - 72.83</t>
  </si>
  <si>
    <t>-66.56%</t>
  </si>
  <si>
    <t>24147.73%</t>
  </si>
  <si>
    <t>-22.38%</t>
  </si>
  <si>
    <t>Ross Stores, Inc</t>
  </si>
  <si>
    <t>91.96%</t>
  </si>
  <si>
    <t>22.53%</t>
  </si>
  <si>
    <t>122.36 - 158.69</t>
  </si>
  <si>
    <t>-8.36%</t>
  </si>
  <si>
    <t>132245.38%</t>
  </si>
  <si>
    <t>Procore Technologies Inc</t>
  </si>
  <si>
    <t>33.33%</t>
  </si>
  <si>
    <t>30.79%</t>
  </si>
  <si>
    <t>13.92%</t>
  </si>
  <si>
    <t>80.03%</t>
  </si>
  <si>
    <t>78.89%</t>
  </si>
  <si>
    <t>-13.46%</t>
  </si>
  <si>
    <t>20.46%</t>
  </si>
  <si>
    <t>-17.97%</t>
  </si>
  <si>
    <t>35.80%</t>
  </si>
  <si>
    <t>53.71 - 88.92</t>
  </si>
  <si>
    <t>-32.93%</t>
  </si>
  <si>
    <t>82.35%</t>
  </si>
  <si>
    <t>Interactive Brokers Group Inc</t>
  </si>
  <si>
    <t>28.80%</t>
  </si>
  <si>
    <t>27.01%</t>
  </si>
  <si>
    <t>12.30%</t>
  </si>
  <si>
    <t>46.69%</t>
  </si>
  <si>
    <t>28.89%</t>
  </si>
  <si>
    <t>88.14%</t>
  </si>
  <si>
    <t>94.25%</t>
  </si>
  <si>
    <t>98.96%</t>
  </si>
  <si>
    <t>32.82 - 68.07</t>
  </si>
  <si>
    <t>2335.62%</t>
  </si>
  <si>
    <t>54.56%</t>
  </si>
  <si>
    <t>Healthequity Inc</t>
  </si>
  <si>
    <t>13.44%</t>
  </si>
  <si>
    <t>-14.96%</t>
  </si>
  <si>
    <t>106.70%</t>
  </si>
  <si>
    <t>59.96%</t>
  </si>
  <si>
    <t>11.49%</t>
  </si>
  <si>
    <t>-17.21%</t>
  </si>
  <si>
    <t>74.07 - 116.65</t>
  </si>
  <si>
    <t>511.20%</t>
  </si>
  <si>
    <t>-7.92%</t>
  </si>
  <si>
    <t>22.55%</t>
  </si>
  <si>
    <t>Hartford Insurance Group Inc.(The)</t>
  </si>
  <si>
    <t>-23.98%</t>
  </si>
  <si>
    <t>94.21%</t>
  </si>
  <si>
    <t>104.93 - 135.17</t>
  </si>
  <si>
    <t>3895.35%</t>
  </si>
  <si>
    <t>Ironwood Pharmaceuticals Inc</t>
  </si>
  <si>
    <t>-88.04%</t>
  </si>
  <si>
    <t>-22.98%</t>
  </si>
  <si>
    <t>-9.70%</t>
  </si>
  <si>
    <t>500.86%</t>
  </si>
  <si>
    <t>90.46%</t>
  </si>
  <si>
    <t>99.37%</t>
  </si>
  <si>
    <t>7.98%</t>
  </si>
  <si>
    <t>90.21%</t>
  </si>
  <si>
    <t>-73.48%</t>
  </si>
  <si>
    <t>0.53 - 5.13</t>
  </si>
  <si>
    <t>-92.34%</t>
  </si>
  <si>
    <t>86.07%</t>
  </si>
  <si>
    <t>-6.85%</t>
  </si>
  <si>
    <t>-66.17%</t>
  </si>
  <si>
    <t>Five Below Inc</t>
  </si>
  <si>
    <t>107.25%</t>
  </si>
  <si>
    <t>30.73%</t>
  </si>
  <si>
    <t>40.88%</t>
  </si>
  <si>
    <t>192.75%</t>
  </si>
  <si>
    <t>52.38 - 156.50</t>
  </si>
  <si>
    <t>-35.53%</t>
  </si>
  <si>
    <t>513.38%</t>
  </si>
  <si>
    <t>17.41%</t>
  </si>
  <si>
    <t>93.23%</t>
  </si>
  <si>
    <t>63.15%</t>
  </si>
  <si>
    <t>Coupang Inc</t>
  </si>
  <si>
    <t>131.03%</t>
  </si>
  <si>
    <t>36.99%</t>
  </si>
  <si>
    <t>-69.65%</t>
  </si>
  <si>
    <t>57.03%</t>
  </si>
  <si>
    <t>-6.10%</t>
  </si>
  <si>
    <t>68.22%</t>
  </si>
  <si>
    <t>19.02 - 34.08</t>
  </si>
  <si>
    <t>-53.63%</t>
  </si>
  <si>
    <t>256.29%</t>
  </si>
  <si>
    <t>36.03%</t>
  </si>
  <si>
    <t>Etsy Inc</t>
  </si>
  <si>
    <t>25.24%</t>
  </si>
  <si>
    <t>-48.33%</t>
  </si>
  <si>
    <t>-31.04%</t>
  </si>
  <si>
    <t>133.10%</t>
  </si>
  <si>
    <t>72.40%</t>
  </si>
  <si>
    <t>-10.08%</t>
  </si>
  <si>
    <t>26.26%</t>
  </si>
  <si>
    <t>58.45%</t>
  </si>
  <si>
    <t>40.05 - 70.57</t>
  </si>
  <si>
    <t>-79.38%</t>
  </si>
  <si>
    <t>950.66%</t>
  </si>
  <si>
    <t>25.32%</t>
  </si>
  <si>
    <t>Triller Group Inc</t>
  </si>
  <si>
    <t>-2.95%</t>
  </si>
  <si>
    <t>-394.23%</t>
  </si>
  <si>
    <t>-334.99%</t>
  </si>
  <si>
    <t>-71.67%</t>
  </si>
  <si>
    <t>-114.14%</t>
  </si>
  <si>
    <t>-119.97%</t>
  </si>
  <si>
    <t>-10.99%</t>
  </si>
  <si>
    <t>154.75%</t>
  </si>
  <si>
    <t>-84.37%</t>
  </si>
  <si>
    <t>0.40 - 6.52</t>
  </si>
  <si>
    <t>-95.82%</t>
  </si>
  <si>
    <t>53.79%</t>
  </si>
  <si>
    <t>-74.70%</t>
  </si>
  <si>
    <t>Entegris Inc</t>
  </si>
  <si>
    <t>7/30/2025</t>
  </si>
  <si>
    <t>114.38%</t>
  </si>
  <si>
    <t>16.59%</t>
  </si>
  <si>
    <t>50.94%</t>
  </si>
  <si>
    <t>60.75 - 117.88</t>
  </si>
  <si>
    <t>-41.96%</t>
  </si>
  <si>
    <t>18239.24%</t>
  </si>
  <si>
    <t>-18.35%</t>
  </si>
  <si>
    <t>O'Reilly Automotive, Inc</t>
  </si>
  <si>
    <t>86.48%</t>
  </si>
  <si>
    <t>75.79 - 108.42</t>
  </si>
  <si>
    <t>69358.28%</t>
  </si>
  <si>
    <t>40.32%</t>
  </si>
  <si>
    <t>Skyworks Solutions, Inc</t>
  </si>
  <si>
    <t>74.25%</t>
  </si>
  <si>
    <t>15.05%</t>
  </si>
  <si>
    <t>20.16%</t>
  </si>
  <si>
    <t>64.71%</t>
  </si>
  <si>
    <t>47.93 - 101.50</t>
  </si>
  <si>
    <t>-61.30%</t>
  </si>
  <si>
    <t>14474.46%</t>
  </si>
  <si>
    <t>-20.04%</t>
  </si>
  <si>
    <t>Autodesk Inc</t>
  </si>
  <si>
    <t>3/22/2005</t>
  </si>
  <si>
    <t>39.67%</t>
  </si>
  <si>
    <t>17.20%</t>
  </si>
  <si>
    <t>86.37%</t>
  </si>
  <si>
    <t>232.67 - 329.09</t>
  </si>
  <si>
    <t>66733.71%</t>
  </si>
  <si>
    <t>Strata Critical Medical Inc</t>
  </si>
  <si>
    <t>27.74%</t>
  </si>
  <si>
    <t>70.10%</t>
  </si>
  <si>
    <t>57.57%</t>
  </si>
  <si>
    <t>21.96%</t>
  </si>
  <si>
    <t>-9.61%</t>
  </si>
  <si>
    <t>-7.46%</t>
  </si>
  <si>
    <t>16.86%</t>
  </si>
  <si>
    <t>-13.80%</t>
  </si>
  <si>
    <t>120.81%</t>
  </si>
  <si>
    <t>2.35 - 6.02</t>
  </si>
  <si>
    <t>-73.90%</t>
  </si>
  <si>
    <t>151.90%</t>
  </si>
  <si>
    <t>25.65%</t>
  </si>
  <si>
    <t>74.72%</t>
  </si>
  <si>
    <t>73.55%</t>
  </si>
  <si>
    <t>Taboola.com Ltd</t>
  </si>
  <si>
    <t>65.18%</t>
  </si>
  <si>
    <t>1329.41%</t>
  </si>
  <si>
    <t>-20.48%</t>
  </si>
  <si>
    <t>31.11%</t>
  </si>
  <si>
    <t>-6.92%</t>
  </si>
  <si>
    <t>40.73%</t>
  </si>
  <si>
    <t>2.50 - 4.30</t>
  </si>
  <si>
    <t>-79.54%</t>
  </si>
  <si>
    <t>131.47%</t>
  </si>
  <si>
    <t>Host Hotels &amp; Resorts Inc</t>
  </si>
  <si>
    <t>80.80%</t>
  </si>
  <si>
    <t>107.67%</t>
  </si>
  <si>
    <t>15.78%</t>
  </si>
  <si>
    <t>8.87%</t>
  </si>
  <si>
    <t>12.22 - 19.26</t>
  </si>
  <si>
    <t>-34.90%</t>
  </si>
  <si>
    <t>1370.85%</t>
  </si>
  <si>
    <t>-5.92%</t>
  </si>
  <si>
    <t>Textron Inc</t>
  </si>
  <si>
    <t>87.97%</t>
  </si>
  <si>
    <t>57.70 - 91.30</t>
  </si>
  <si>
    <t>-14.15%</t>
  </si>
  <si>
    <t>2483.65%</t>
  </si>
  <si>
    <t>Quantum-Si Incorporated</t>
  </si>
  <si>
    <t>43.26%</t>
  </si>
  <si>
    <t>-71.69%</t>
  </si>
  <si>
    <t>-3180.33%</t>
  </si>
  <si>
    <t>-3120.13%</t>
  </si>
  <si>
    <t>9.42%</t>
  </si>
  <si>
    <t>15.49%</t>
  </si>
  <si>
    <t>-8.48%</t>
  </si>
  <si>
    <t>-74.05%</t>
  </si>
  <si>
    <t>144.58%</t>
  </si>
  <si>
    <t>0.61 - 5.77</t>
  </si>
  <si>
    <t>-94.01%</t>
  </si>
  <si>
    <t>-23.23%</t>
  </si>
  <si>
    <t>60.03%</t>
  </si>
  <si>
    <t>W. P. Carey Inc</t>
  </si>
  <si>
    <t>167.00%</t>
  </si>
  <si>
    <t>-2.27%</t>
  </si>
  <si>
    <t>-60.63%</t>
  </si>
  <si>
    <t>72.62%</t>
  </si>
  <si>
    <t>59.74%</t>
  </si>
  <si>
    <t>45.35%</t>
  </si>
  <si>
    <t>52.91 - 69.00</t>
  </si>
  <si>
    <t>363.88%</t>
  </si>
  <si>
    <t>Boyd Gaming Corp</t>
  </si>
  <si>
    <t>34.95%</t>
  </si>
  <si>
    <t>12.36%</t>
  </si>
  <si>
    <t>72.08%</t>
  </si>
  <si>
    <t>44.49%</t>
  </si>
  <si>
    <t>23.73%</t>
  </si>
  <si>
    <t>-2.03%</t>
  </si>
  <si>
    <t>58.94 - 87.83</t>
  </si>
  <si>
    <t>3342.00%</t>
  </si>
  <si>
    <t>Realty Income Corp</t>
  </si>
  <si>
    <t>319.92%</t>
  </si>
  <si>
    <t>-6.64%</t>
  </si>
  <si>
    <t>28.93%</t>
  </si>
  <si>
    <t>-35.77%</t>
  </si>
  <si>
    <t>79.17%</t>
  </si>
  <si>
    <t>47.68%</t>
  </si>
  <si>
    <t>-7.36%</t>
  </si>
  <si>
    <t>50.71 - 64.70</t>
  </si>
  <si>
    <t>-25.88%</t>
  </si>
  <si>
    <t>734.45%</t>
  </si>
  <si>
    <t>Flywire Corp</t>
  </si>
  <si>
    <t>192.35%</t>
  </si>
  <si>
    <t>34.75%</t>
  </si>
  <si>
    <t>38.98%</t>
  </si>
  <si>
    <t>27.21%</t>
  </si>
  <si>
    <t>-37.74%</t>
  </si>
  <si>
    <t>86.42%</t>
  </si>
  <si>
    <t>58.70%</t>
  </si>
  <si>
    <t>-42.74%</t>
  </si>
  <si>
    <t>63.41%</t>
  </si>
  <si>
    <t>8.20 - 23.40</t>
  </si>
  <si>
    <t>-76.66%</t>
  </si>
  <si>
    <t>34.67%</t>
  </si>
  <si>
    <t>Berkshire Hathaway Inc</t>
  </si>
  <si>
    <t>Insurance - Diversified</t>
  </si>
  <si>
    <t>7.84%</t>
  </si>
  <si>
    <t>15.58%</t>
  </si>
  <si>
    <t>-8.11%</t>
  </si>
  <si>
    <t>437.90 - 542.07</t>
  </si>
  <si>
    <t>2415.66%</t>
  </si>
  <si>
    <t>Walmart Inc</t>
  </si>
  <si>
    <t>12/12/2025</t>
  </si>
  <si>
    <t>-7.21%</t>
  </si>
  <si>
    <t>24.39%</t>
  </si>
  <si>
    <t>9.26%</t>
  </si>
  <si>
    <t>30.63%</t>
  </si>
  <si>
    <t>78.98 - 106.11</t>
  </si>
  <si>
    <t>32641.59%</t>
  </si>
  <si>
    <t>27.89%</t>
  </si>
  <si>
    <t>EON Resources Inc</t>
  </si>
  <si>
    <t>-953.20%</t>
  </si>
  <si>
    <t>-28.20%</t>
  </si>
  <si>
    <t>-20.70%</t>
  </si>
  <si>
    <t>-37.40%</t>
  </si>
  <si>
    <t>-17.02%</t>
  </si>
  <si>
    <t>-83.65%</t>
  </si>
  <si>
    <t>0.27 - 2.69</t>
  </si>
  <si>
    <t>-18.84%</t>
  </si>
  <si>
    <t>-60.02%</t>
  </si>
  <si>
    <t>Newmark Group Inc</t>
  </si>
  <si>
    <t>44.22%</t>
  </si>
  <si>
    <t>-21.00%</t>
  </si>
  <si>
    <t>-55.08%</t>
  </si>
  <si>
    <t>17.87%</t>
  </si>
  <si>
    <t>60.89%</t>
  </si>
  <si>
    <t>38.91%</t>
  </si>
  <si>
    <t>95.52%</t>
  </si>
  <si>
    <t>9.65 - 19.78</t>
  </si>
  <si>
    <t>657.35%</t>
  </si>
  <si>
    <t>51.11%</t>
  </si>
  <si>
    <t>Palantir Technologies Inc</t>
  </si>
  <si>
    <t>38.79%</t>
  </si>
  <si>
    <t>48.01%</t>
  </si>
  <si>
    <t>15.77%</t>
  </si>
  <si>
    <t>22.18%</t>
  </si>
  <si>
    <t>48.80%</t>
  </si>
  <si>
    <t>24.24%</t>
  </si>
  <si>
    <t>390.55%</t>
  </si>
  <si>
    <t>36.05 - 190.00</t>
  </si>
  <si>
    <t>2928.17%</t>
  </si>
  <si>
    <t>35.26%</t>
  </si>
  <si>
    <t>379.25%</t>
  </si>
  <si>
    <t>Cencora Inc</t>
  </si>
  <si>
    <t>Medical Distribution</t>
  </si>
  <si>
    <t>27.07%</t>
  </si>
  <si>
    <t>93.90%</t>
  </si>
  <si>
    <t>39.60%</t>
  </si>
  <si>
    <t>218.65 - 310.00</t>
  </si>
  <si>
    <t>12641.39%</t>
  </si>
  <si>
    <t>35.45%</t>
  </si>
  <si>
    <t>Celldex Therapeutics Inc</t>
  </si>
  <si>
    <t>-14.23%</t>
  </si>
  <si>
    <t>-30.25%</t>
  </si>
  <si>
    <t>-70.78%</t>
  </si>
  <si>
    <t>108.79%</t>
  </si>
  <si>
    <t>-4053.69%</t>
  </si>
  <si>
    <t>-3446.88%</t>
  </si>
  <si>
    <t>29.62%</t>
  </si>
  <si>
    <t>-30.46%</t>
  </si>
  <si>
    <t>77.52%</t>
  </si>
  <si>
    <t>14.40 - 36.76</t>
  </si>
  <si>
    <t>-99.24%</t>
  </si>
  <si>
    <t>1604.23%</t>
  </si>
  <si>
    <t>-37.59%</t>
  </si>
  <si>
    <t>Beam Therapeutics Inc</t>
  </si>
  <si>
    <t>-20.88%</t>
  </si>
  <si>
    <t>-82.90%</t>
  </si>
  <si>
    <t>412.30%</t>
  </si>
  <si>
    <t>-28.08%</t>
  </si>
  <si>
    <t>101.29%</t>
  </si>
  <si>
    <t>-739.94%</t>
  </si>
  <si>
    <t>-661.31%</t>
  </si>
  <si>
    <t>-11.35%</t>
  </si>
  <si>
    <t>-35.39%</t>
  </si>
  <si>
    <t>68.39%</t>
  </si>
  <si>
    <t>13.52 - 35.25</t>
  </si>
  <si>
    <t>-83.56%</t>
  </si>
  <si>
    <t>Northern Trust Corp</t>
  </si>
  <si>
    <t>30.70%</t>
  </si>
  <si>
    <t>34.71%</t>
  </si>
  <si>
    <t>18.13%</t>
  </si>
  <si>
    <t>88.07%</t>
  </si>
  <si>
    <t>81.62 - 133.70</t>
  </si>
  <si>
    <t>8398.06%</t>
  </si>
  <si>
    <t>31.48%</t>
  </si>
  <si>
    <t>44.62%</t>
  </si>
  <si>
    <t>Duluth Holdings Inc</t>
  </si>
  <si>
    <t>125.66%</t>
  </si>
  <si>
    <t>-4.94%</t>
  </si>
  <si>
    <t>30.74%</t>
  </si>
  <si>
    <t>76.20%</t>
  </si>
  <si>
    <t>127.49%</t>
  </si>
  <si>
    <t>1.58 - 4.66</t>
  </si>
  <si>
    <t>-90.59%</t>
  </si>
  <si>
    <t>106.57%</t>
  </si>
  <si>
    <t>American Eagle Outfitters Inc</t>
  </si>
  <si>
    <t>19.05%</t>
  </si>
  <si>
    <t>29.82%</t>
  </si>
  <si>
    <t>-6.20%</t>
  </si>
  <si>
    <t>8.42%</t>
  </si>
  <si>
    <t>119.94%</t>
  </si>
  <si>
    <t>94.33%</t>
  </si>
  <si>
    <t>32.94%</t>
  </si>
  <si>
    <t>87.25%</t>
  </si>
  <si>
    <t>-20.15%</t>
  </si>
  <si>
    <t>94.93%</t>
  </si>
  <si>
    <t>9.27 - 22.63</t>
  </si>
  <si>
    <t>-53.65%</t>
  </si>
  <si>
    <t>7242.97%</t>
  </si>
  <si>
    <t>82.89%</t>
  </si>
  <si>
    <t>51.72%</t>
  </si>
  <si>
    <t>-11.81%</t>
  </si>
  <si>
    <t>OFA Group</t>
  </si>
  <si>
    <t>-33.06%</t>
  </si>
  <si>
    <t>40.87%</t>
  </si>
  <si>
    <t>1.09 - 9.79</t>
  </si>
  <si>
    <t>-10.00%</t>
  </si>
  <si>
    <t>SILO Pharma Inc</t>
  </si>
  <si>
    <t>-1226.47%</t>
  </si>
  <si>
    <t>-7253.59%</t>
  </si>
  <si>
    <t>-6789.22%</t>
  </si>
  <si>
    <t>13.93%</t>
  </si>
  <si>
    <t>-21.79%</t>
  </si>
  <si>
    <t>41.05%</t>
  </si>
  <si>
    <t>-76.56%</t>
  </si>
  <si>
    <t>92.61%</t>
  </si>
  <si>
    <t>0.41 - 3.37</t>
  </si>
  <si>
    <t>-99.37%</t>
  </si>
  <si>
    <t>-40.16%</t>
  </si>
  <si>
    <t>-26.84%</t>
  </si>
  <si>
    <t>Rollins, Inc</t>
  </si>
  <si>
    <t>63.86%</t>
  </si>
  <si>
    <t>-4.20%</t>
  </si>
  <si>
    <t>54.81%</t>
  </si>
  <si>
    <t>49.35%</t>
  </si>
  <si>
    <t>19.20%</t>
  </si>
  <si>
    <t>45.34 - 59.10</t>
  </si>
  <si>
    <t>24376.57%</t>
  </si>
  <si>
    <t>Liberty Media Corp</t>
  </si>
  <si>
    <t>46.56%</t>
  </si>
  <si>
    <t>37.83%</t>
  </si>
  <si>
    <t>136.92%</t>
  </si>
  <si>
    <t>88.75%</t>
  </si>
  <si>
    <t>74.34 - 106.26</t>
  </si>
  <si>
    <t>518.33%</t>
  </si>
  <si>
    <t>16.82%</t>
  </si>
  <si>
    <t>NOV Inc</t>
  </si>
  <si>
    <t>77.58%</t>
  </si>
  <si>
    <t>17.07%</t>
  </si>
  <si>
    <t>102.12%</t>
  </si>
  <si>
    <t>26.76%</t>
  </si>
  <si>
    <t>10.65 - 16.56</t>
  </si>
  <si>
    <t>-84.12%</t>
  </si>
  <si>
    <t>309.38%</t>
  </si>
  <si>
    <t>-10.07%</t>
  </si>
  <si>
    <t>-17.96%</t>
  </si>
  <si>
    <t>MPLX LP</t>
  </si>
  <si>
    <t>83.30%</t>
  </si>
  <si>
    <t>44.96%</t>
  </si>
  <si>
    <t>-3.02%</t>
  </si>
  <si>
    <t>18.30%</t>
  </si>
  <si>
    <t>43.53 - 54.87</t>
  </si>
  <si>
    <t>-38.72%</t>
  </si>
  <si>
    <t>663.30%</t>
  </si>
  <si>
    <t>SoFi Technologies Inc</t>
  </si>
  <si>
    <t>22.60%</t>
  </si>
  <si>
    <t>31.24%</t>
  </si>
  <si>
    <t>30.29%</t>
  </si>
  <si>
    <t>52.80%</t>
  </si>
  <si>
    <t>59.15%</t>
  </si>
  <si>
    <t>63.72%</t>
  </si>
  <si>
    <t>267.70%</t>
  </si>
  <si>
    <t>7.57 - 30.30</t>
  </si>
  <si>
    <t>556.49%</t>
  </si>
  <si>
    <t>62.02%</t>
  </si>
  <si>
    <t>128.16%</t>
  </si>
  <si>
    <t>255.49%</t>
  </si>
  <si>
    <t>Gentex Corp</t>
  </si>
  <si>
    <t>10.15%</t>
  </si>
  <si>
    <t>14.82%</t>
  </si>
  <si>
    <t>20.64%</t>
  </si>
  <si>
    <t>100.21%</t>
  </si>
  <si>
    <t>19.52%</t>
  </si>
  <si>
    <t>25.49%</t>
  </si>
  <si>
    <t>41.27%</t>
  </si>
  <si>
    <t>20.28 - 31.72</t>
  </si>
  <si>
    <t>-24.41%</t>
  </si>
  <si>
    <t>52288.57%</t>
  </si>
  <si>
    <t>19.97%</t>
  </si>
  <si>
    <t>Palladyne AI Corp</t>
  </si>
  <si>
    <t>46.97%</t>
  </si>
  <si>
    <t>15.33%</t>
  </si>
  <si>
    <t>-62.59%</t>
  </si>
  <si>
    <t>-0.76%</t>
  </si>
  <si>
    <t>17.98%</t>
  </si>
  <si>
    <t>-665.48%</t>
  </si>
  <si>
    <t>-1028.07%</t>
  </si>
  <si>
    <t>12.29%</t>
  </si>
  <si>
    <t>31.30%</t>
  </si>
  <si>
    <t>-42.47%</t>
  </si>
  <si>
    <t>412.82%</t>
  </si>
  <si>
    <t>1.68 - 14.95</t>
  </si>
  <si>
    <t>-87.85%</t>
  </si>
  <si>
    <t>2059.72%</t>
  </si>
  <si>
    <t>-2.38%</t>
  </si>
  <si>
    <t>397.11%</t>
  </si>
  <si>
    <t>Linkhome Holdings Inc</t>
  </si>
  <si>
    <t>249.02%</t>
  </si>
  <si>
    <t>116.20%</t>
  </si>
  <si>
    <t>-58.44%</t>
  </si>
  <si>
    <t>4.20 - 22.33</t>
  </si>
  <si>
    <t>Palo Alto Networks Inc</t>
  </si>
  <si>
    <t>-36.05%</t>
  </si>
  <si>
    <t>80.06%</t>
  </si>
  <si>
    <t>22.07%</t>
  </si>
  <si>
    <t>144.15 - 210.39</t>
  </si>
  <si>
    <t>2996.40%</t>
  </si>
  <si>
    <t>CVS Health Corp</t>
  </si>
  <si>
    <t>10/23/2025</t>
  </si>
  <si>
    <t>72.76%</t>
  </si>
  <si>
    <t>-66.38%</t>
  </si>
  <si>
    <t>87.60%</t>
  </si>
  <si>
    <t>43.56 - 77.34</t>
  </si>
  <si>
    <t>-34.21%</t>
  </si>
  <si>
    <t>2155.10%</t>
  </si>
  <si>
    <t>Iron Mountain Inc</t>
  </si>
  <si>
    <t>448.87%</t>
  </si>
  <si>
    <t>-4.29%</t>
  </si>
  <si>
    <t>85.59%</t>
  </si>
  <si>
    <t>-22.49%</t>
  </si>
  <si>
    <t>72.33 - 130.24</t>
  </si>
  <si>
    <t>4263.64%</t>
  </si>
  <si>
    <t>-15.29%</t>
  </si>
  <si>
    <t>Lumentum Holdings Inc</t>
  </si>
  <si>
    <t>-48.22%</t>
  </si>
  <si>
    <t>52.57%</t>
  </si>
  <si>
    <t>21.03%</t>
  </si>
  <si>
    <t>-1.33%</t>
  </si>
  <si>
    <t>120.52%</t>
  </si>
  <si>
    <t>23.89%</t>
  </si>
  <si>
    <t>-10.97%</t>
  </si>
  <si>
    <t>62.94%</t>
  </si>
  <si>
    <t>248.19%</t>
  </si>
  <si>
    <t>45.65 - 173.38</t>
  </si>
  <si>
    <t>1037.80%</t>
  </si>
  <si>
    <t>67.76%</t>
  </si>
  <si>
    <t>148.44%</t>
  </si>
  <si>
    <t>161.47%</t>
  </si>
  <si>
    <t>Nextracker Inc</t>
  </si>
  <si>
    <t>99.62%</t>
  </si>
  <si>
    <t>21.47%</t>
  </si>
  <si>
    <t>133.01%</t>
  </si>
  <si>
    <t>30.93 - 74.48</t>
  </si>
  <si>
    <t>155.20%</t>
  </si>
  <si>
    <t>68.58%</t>
  </si>
  <si>
    <t>96.22%</t>
  </si>
  <si>
    <t>Lixte Biotechnology Holdings Inc</t>
  </si>
  <si>
    <t>31.65%</t>
  </si>
  <si>
    <t>126.34%</t>
  </si>
  <si>
    <t>74.51%</t>
  </si>
  <si>
    <t>739.84%</t>
  </si>
  <si>
    <t>0.64 - 6.26</t>
  </si>
  <si>
    <t>-95.13%</t>
  </si>
  <si>
    <t>652.17%</t>
  </si>
  <si>
    <t>329.97%</t>
  </si>
  <si>
    <t>196.96%</t>
  </si>
  <si>
    <t>United Natural Foods Inc</t>
  </si>
  <si>
    <t>140.34%</t>
  </si>
  <si>
    <t>99.91%</t>
  </si>
  <si>
    <t>95.84%</t>
  </si>
  <si>
    <t>-13.01%</t>
  </si>
  <si>
    <t>83.37%</t>
  </si>
  <si>
    <t>16.49 - 34.76</t>
  </si>
  <si>
    <t>-63.96%</t>
  </si>
  <si>
    <t>763.92%</t>
  </si>
  <si>
    <t>32.79%</t>
  </si>
  <si>
    <t>83.26%</t>
  </si>
  <si>
    <t>American Axle &amp; Manufacturing Holdings Inc</t>
  </si>
  <si>
    <t>12/4/2008</t>
  </si>
  <si>
    <t>79.09%</t>
  </si>
  <si>
    <t>25.85%</t>
  </si>
  <si>
    <t>-6.73%</t>
  </si>
  <si>
    <t>44.42%</t>
  </si>
  <si>
    <t>104.83%</t>
  </si>
  <si>
    <t>3.00 - 7.03</t>
  </si>
  <si>
    <t>-85.40%</t>
  </si>
  <si>
    <t>2263.46%</t>
  </si>
  <si>
    <t>Global Net Lease Inc</t>
  </si>
  <si>
    <t>7/11/2025</t>
  </si>
  <si>
    <t>-23.87%</t>
  </si>
  <si>
    <t>-55.27%</t>
  </si>
  <si>
    <t>-11.06%</t>
  </si>
  <si>
    <t>-38.56%</t>
  </si>
  <si>
    <t>-72.73%</t>
  </si>
  <si>
    <t>69.21%</t>
  </si>
  <si>
    <t>44.06%</t>
  </si>
  <si>
    <t>-42.68%</t>
  </si>
  <si>
    <t>19.94%</t>
  </si>
  <si>
    <t>6.51 - 8.71</t>
  </si>
  <si>
    <t>-73.12%</t>
  </si>
  <si>
    <t>Arthur J. Gallagher &amp; Co</t>
  </si>
  <si>
    <t>Insurance Brokers</t>
  </si>
  <si>
    <t>14.12%</t>
  </si>
  <si>
    <t>14.68%</t>
  </si>
  <si>
    <t>89.81%</t>
  </si>
  <si>
    <t>91.75%</t>
  </si>
  <si>
    <t>275.56 - 351.23</t>
  </si>
  <si>
    <t>17709.94%</t>
  </si>
  <si>
    <t>Cinemark Holdings Inc</t>
  </si>
  <si>
    <t>28.10%</t>
  </si>
  <si>
    <t>122.42%</t>
  </si>
  <si>
    <t>5.37%</t>
  </si>
  <si>
    <t>23.12 - 36.28</t>
  </si>
  <si>
    <t>399.21%</t>
  </si>
  <si>
    <t>Mannkind Corp</t>
  </si>
  <si>
    <t>55.84%</t>
  </si>
  <si>
    <t>35.27%</t>
  </si>
  <si>
    <t>55.44%</t>
  </si>
  <si>
    <t>74.91%</t>
  </si>
  <si>
    <t>20.52%</t>
  </si>
  <si>
    <t>-12.59%</t>
  </si>
  <si>
    <t>60.26%</t>
  </si>
  <si>
    <t>-28.98%</t>
  </si>
  <si>
    <t>3.38 - 7.63</t>
  </si>
  <si>
    <t>-95.54%</t>
  </si>
  <si>
    <t>713.39%</t>
  </si>
  <si>
    <t>-16.51%</t>
  </si>
  <si>
    <t>MKS Inc</t>
  </si>
  <si>
    <t>8/25/2025</t>
  </si>
  <si>
    <t>-34.28%</t>
  </si>
  <si>
    <t>113.24%</t>
  </si>
  <si>
    <t>40.70%</t>
  </si>
  <si>
    <t>24.37%</t>
  </si>
  <si>
    <t>36.34%</t>
  </si>
  <si>
    <t>120.00%</t>
  </si>
  <si>
    <t>54.84 - 132.44</t>
  </si>
  <si>
    <t>-39.51%</t>
  </si>
  <si>
    <t>1334.61%</t>
  </si>
  <si>
    <t>Warrior Met Coal Inc</t>
  </si>
  <si>
    <t>Coking Coal</t>
  </si>
  <si>
    <t>-24.64%</t>
  </si>
  <si>
    <t>130.31%</t>
  </si>
  <si>
    <t>108.85%</t>
  </si>
  <si>
    <t>-3.15%</t>
  </si>
  <si>
    <t>29.44%</t>
  </si>
  <si>
    <t>67.14%</t>
  </si>
  <si>
    <t>38.00 - 75.15</t>
  </si>
  <si>
    <t>-15.91%</t>
  </si>
  <si>
    <t>964.65%</t>
  </si>
  <si>
    <t>45.48%</t>
  </si>
  <si>
    <t>Lumen Technologies Inc</t>
  </si>
  <si>
    <t>8/29/2022</t>
  </si>
  <si>
    <t>-24.80%</t>
  </si>
  <si>
    <t>-12.68%</t>
  </si>
  <si>
    <t>88.40%</t>
  </si>
  <si>
    <t>71.01%</t>
  </si>
  <si>
    <t>25.34%</t>
  </si>
  <si>
    <t>-9.19%</t>
  </si>
  <si>
    <t>75.65%</t>
  </si>
  <si>
    <t>-42.70%</t>
  </si>
  <si>
    <t>96.66%</t>
  </si>
  <si>
    <t>3.01 - 10.33</t>
  </si>
  <si>
    <t>-87.93%</t>
  </si>
  <si>
    <t>658.81%</t>
  </si>
  <si>
    <t>-17.67%</t>
  </si>
  <si>
    <t>Twin Vee PowerCats Co</t>
  </si>
  <si>
    <t>-96.81%</t>
  </si>
  <si>
    <t>-90.53%</t>
  </si>
  <si>
    <t>-13.62%</t>
  </si>
  <si>
    <t>-79.56%</t>
  </si>
  <si>
    <t>-73.58%</t>
  </si>
  <si>
    <t>-23.41%</t>
  </si>
  <si>
    <t>42.47%</t>
  </si>
  <si>
    <t>-71.51%</t>
  </si>
  <si>
    <t>1.86 - 9.30</t>
  </si>
  <si>
    <t>-96.99%</t>
  </si>
  <si>
    <t>-24.29%</t>
  </si>
  <si>
    <t>-52.17%</t>
  </si>
  <si>
    <t>Blaize Holdings Inc</t>
  </si>
  <si>
    <t>-442.55%</t>
  </si>
  <si>
    <t>-71.46%</t>
  </si>
  <si>
    <t>40.52%</t>
  </si>
  <si>
    <t>-1727.05%</t>
  </si>
  <si>
    <t>-6050.61%</t>
  </si>
  <si>
    <t>-36.60%</t>
  </si>
  <si>
    <t>-86.90%</t>
  </si>
  <si>
    <t>128.24%</t>
  </si>
  <si>
    <t>1.70 - 29.61</t>
  </si>
  <si>
    <t>65.11%</t>
  </si>
  <si>
    <t>-65.23%</t>
  </si>
  <si>
    <t>American Rebel Holdings Inc</t>
  </si>
  <si>
    <t>77.59%</t>
  </si>
  <si>
    <t>68.69%</t>
  </si>
  <si>
    <t>-37.77%</t>
  </si>
  <si>
    <t>126.19%</t>
  </si>
  <si>
    <t>84.44%</t>
  </si>
  <si>
    <t>-3500.00%</t>
  </si>
  <si>
    <t>-34.91%</t>
  </si>
  <si>
    <t>-9.47%</t>
  </si>
  <si>
    <t>-138.89%</t>
  </si>
  <si>
    <t>-346.67%</t>
  </si>
  <si>
    <t>-90.92%</t>
  </si>
  <si>
    <t>121.33%</t>
  </si>
  <si>
    <t>-99.41%</t>
  </si>
  <si>
    <t>0.52 - 193.48</t>
  </si>
  <si>
    <t>-53.94%</t>
  </si>
  <si>
    <t>-98.97%</t>
  </si>
  <si>
    <t>BrightSpring Health Services Inc</t>
  </si>
  <si>
    <t>36.43%</t>
  </si>
  <si>
    <t>18.93%</t>
  </si>
  <si>
    <t>-28.36%</t>
  </si>
  <si>
    <t>71.31%</t>
  </si>
  <si>
    <t>14.15%</t>
  </si>
  <si>
    <t>91.45%</t>
  </si>
  <si>
    <t>14.03 - 28.43</t>
  </si>
  <si>
    <t>242.17%</t>
  </si>
  <si>
    <t>76.48%</t>
  </si>
  <si>
    <t>Ameren Corp</t>
  </si>
  <si>
    <t>31.19%</t>
  </si>
  <si>
    <t>86.16%</t>
  </si>
  <si>
    <t>25.87%</t>
  </si>
  <si>
    <t>19.29%</t>
  </si>
  <si>
    <t>85.27 - 104.10</t>
  </si>
  <si>
    <t>747.62%</t>
  </si>
  <si>
    <t>19.09%</t>
  </si>
  <si>
    <t>Digital Turbine Inc</t>
  </si>
  <si>
    <t>-37.50%</t>
  </si>
  <si>
    <t>-10.15%</t>
  </si>
  <si>
    <t>-32.24%</t>
  </si>
  <si>
    <t>346.19%</t>
  </si>
  <si>
    <t>1.18 - 7.77</t>
  </si>
  <si>
    <t>-94.87%</t>
  </si>
  <si>
    <t>840.35%</t>
  </si>
  <si>
    <t>70.66%</t>
  </si>
  <si>
    <t>90.76%</t>
  </si>
  <si>
    <t>Molina Healthcare Inc</t>
  </si>
  <si>
    <t>99.49%</t>
  </si>
  <si>
    <t>25.30%</t>
  </si>
  <si>
    <t>-47.11%</t>
  </si>
  <si>
    <t>151.95 - 359.97</t>
  </si>
  <si>
    <t>1671.71%</t>
  </si>
  <si>
    <t>-41.14%</t>
  </si>
  <si>
    <t>-45.02%</t>
  </si>
  <si>
    <t>NRG Energy Inc</t>
  </si>
  <si>
    <t>68.50%</t>
  </si>
  <si>
    <t>32.66%</t>
  </si>
  <si>
    <t>-20.43%</t>
  </si>
  <si>
    <t>15.32%</t>
  </si>
  <si>
    <t>96.47%</t>
  </si>
  <si>
    <t>30.97%</t>
  </si>
  <si>
    <t>108.72%</t>
  </si>
  <si>
    <t>79.57 - 175.96</t>
  </si>
  <si>
    <t>1787.27%</t>
  </si>
  <si>
    <t>88.90%</t>
  </si>
  <si>
    <t>Unusual Machines Inc</t>
  </si>
  <si>
    <t>-460.63%</t>
  </si>
  <si>
    <t>64.62%</t>
  </si>
  <si>
    <t>279.38%</t>
  </si>
  <si>
    <t>937.11%</t>
  </si>
  <si>
    <t>50.52%</t>
  </si>
  <si>
    <t>-326.67%</t>
  </si>
  <si>
    <t>-191.11%</t>
  </si>
  <si>
    <t>-512.80%</t>
  </si>
  <si>
    <t>50.06%</t>
  </si>
  <si>
    <t>-45.94%</t>
  </si>
  <si>
    <t>897.66%</t>
  </si>
  <si>
    <t>1.28 - 23.62</t>
  </si>
  <si>
    <t>1203.06%</t>
  </si>
  <si>
    <t>61.44%</t>
  </si>
  <si>
    <t>729.22%</t>
  </si>
  <si>
    <t>GXO Logistics Inc</t>
  </si>
  <si>
    <t>15.86%</t>
  </si>
  <si>
    <t>102.06%</t>
  </si>
  <si>
    <t>-15.98%</t>
  </si>
  <si>
    <t>74.69%</t>
  </si>
  <si>
    <t>30.46 - 63.33</t>
  </si>
  <si>
    <t>-49.76%</t>
  </si>
  <si>
    <t>Alector Inc</t>
  </si>
  <si>
    <t>-39.73%</t>
  </si>
  <si>
    <t>46.78%</t>
  </si>
  <si>
    <t>63.76%</t>
  </si>
  <si>
    <t>-160.25%</t>
  </si>
  <si>
    <t>-142.10%</t>
  </si>
  <si>
    <t>32.38%</t>
  </si>
  <si>
    <t>80.27%</t>
  </si>
  <si>
    <t>116.55%</t>
  </si>
  <si>
    <t>-49.92%</t>
  </si>
  <si>
    <t>253.45%</t>
  </si>
  <si>
    <t>0.87 - 6.14</t>
  </si>
  <si>
    <t>-92.90%</t>
  </si>
  <si>
    <t>107.77%</t>
  </si>
  <si>
    <t>131.20%</t>
  </si>
  <si>
    <t>-40.87%</t>
  </si>
  <si>
    <t>Safe and Green Development Corp</t>
  </si>
  <si>
    <t>Real Estate - Development</t>
  </si>
  <si>
    <t>-154.16%</t>
  </si>
  <si>
    <t>1570.24%</t>
  </si>
  <si>
    <t>3226.48%</t>
  </si>
  <si>
    <t>-76.16%</t>
  </si>
  <si>
    <t>-608.78%</t>
  </si>
  <si>
    <t>-766.54%</t>
  </si>
  <si>
    <t>15.70%</t>
  </si>
  <si>
    <t>-36.44%</t>
  </si>
  <si>
    <t>76.47%</t>
  </si>
  <si>
    <t>-77.15%</t>
  </si>
  <si>
    <t>131.98%</t>
  </si>
  <si>
    <t>0.65 - 6.57</t>
  </si>
  <si>
    <t>-99.25%</t>
  </si>
  <si>
    <t>81.12%</t>
  </si>
  <si>
    <t>-68.63%</t>
  </si>
  <si>
    <t>Robinhood Markets Inc</t>
  </si>
  <si>
    <t>58.58%</t>
  </si>
  <si>
    <t>60.71%</t>
  </si>
  <si>
    <t>36.94%</t>
  </si>
  <si>
    <t>59.42%</t>
  </si>
  <si>
    <t>88.35%</t>
  </si>
  <si>
    <t>42.82%</t>
  </si>
  <si>
    <t>49.85%</t>
  </si>
  <si>
    <t>75.57%</t>
  </si>
  <si>
    <t>451.18%</t>
  </si>
  <si>
    <t>22.05 - 130.07</t>
  </si>
  <si>
    <t>1684.65%</t>
  </si>
  <si>
    <t>176.28%</t>
  </si>
  <si>
    <t>433.75%</t>
  </si>
  <si>
    <t>Raymond James Financial, Inc</t>
  </si>
  <si>
    <t>14.62%</t>
  </si>
  <si>
    <t>15.21%</t>
  </si>
  <si>
    <t>78.51%</t>
  </si>
  <si>
    <t>86.05%</t>
  </si>
  <si>
    <t>48.02%</t>
  </si>
  <si>
    <t>117.57 - 177.66</t>
  </si>
  <si>
    <t>89424.93%</t>
  </si>
  <si>
    <t>22.00%</t>
  </si>
  <si>
    <t>40.16%</t>
  </si>
  <si>
    <t>State Street Corp</t>
  </si>
  <si>
    <t>35.30%</t>
  </si>
  <si>
    <t>11.66%</t>
  </si>
  <si>
    <t>23.55%</t>
  </si>
  <si>
    <t>-7.64%</t>
  </si>
  <si>
    <t>92.91%</t>
  </si>
  <si>
    <t>58.01%</t>
  </si>
  <si>
    <t>72.81 - 116.37</t>
  </si>
  <si>
    <t>12817.33%</t>
  </si>
  <si>
    <t>MongoDB Inc</t>
  </si>
  <si>
    <t>11.21%</t>
  </si>
  <si>
    <t>36.61%</t>
  </si>
  <si>
    <t>85.17%</t>
  </si>
  <si>
    <t>71.99%</t>
  </si>
  <si>
    <t>-7.45%</t>
  </si>
  <si>
    <t>18.38%</t>
  </si>
  <si>
    <t>36.74%</t>
  </si>
  <si>
    <t>-14.81%</t>
  </si>
  <si>
    <t>123.91%</t>
  </si>
  <si>
    <t>140.78 - 370.00</t>
  </si>
  <si>
    <t>-46.57%</t>
  </si>
  <si>
    <t>1180.34%</t>
  </si>
  <si>
    <t>50.16%</t>
  </si>
  <si>
    <t>67.10%</t>
  </si>
  <si>
    <t>Alliant Energy Corp</t>
  </si>
  <si>
    <t>71.46%</t>
  </si>
  <si>
    <t>83.87%</t>
  </si>
  <si>
    <t>20.07%</t>
  </si>
  <si>
    <t>56.08 - 67.11</t>
  </si>
  <si>
    <t>927.13%</t>
  </si>
  <si>
    <t>Caredx Inc</t>
  </si>
  <si>
    <t>66.16%</t>
  </si>
  <si>
    <t>-17.53%</t>
  </si>
  <si>
    <t>-20.01%</t>
  </si>
  <si>
    <t>36.59%</t>
  </si>
  <si>
    <t>-54.60%</t>
  </si>
  <si>
    <t>10.96 - 32.97</t>
  </si>
  <si>
    <t>-85.00%</t>
  </si>
  <si>
    <t>1869.74%</t>
  </si>
  <si>
    <t>-22.15%</t>
  </si>
  <si>
    <t>-18.42%</t>
  </si>
  <si>
    <t>-47.84%</t>
  </si>
  <si>
    <t>Talen Energy Corp</t>
  </si>
  <si>
    <t>125.17%</t>
  </si>
  <si>
    <t>-22.69%</t>
  </si>
  <si>
    <t>122.62%</t>
  </si>
  <si>
    <t>244.62%</t>
  </si>
  <si>
    <t>-32.21%</t>
  </si>
  <si>
    <t>54.24%</t>
  </si>
  <si>
    <t>177.48%</t>
  </si>
  <si>
    <t>148.02 - 430.71</t>
  </si>
  <si>
    <t>822.99%</t>
  </si>
  <si>
    <t>37.88%</t>
  </si>
  <si>
    <t>102.54%</t>
  </si>
  <si>
    <t>121.63%</t>
  </si>
  <si>
    <t>Riot Platforms Inc</t>
  </si>
  <si>
    <t>10/12/2017</t>
  </si>
  <si>
    <t>93.46%</t>
  </si>
  <si>
    <t>122.95%</t>
  </si>
  <si>
    <t>118.50%</t>
  </si>
  <si>
    <t>425.53%</t>
  </si>
  <si>
    <t>-20.38%</t>
  </si>
  <si>
    <t>-74.92%</t>
  </si>
  <si>
    <t>20.17%</t>
  </si>
  <si>
    <t>-16.39%</t>
  </si>
  <si>
    <t>58.92%</t>
  </si>
  <si>
    <t>171.89%</t>
  </si>
  <si>
    <t>6.19 - 20.13</t>
  </si>
  <si>
    <t>-99.48%</t>
  </si>
  <si>
    <t>3193.54%</t>
  </si>
  <si>
    <t>116.60%</t>
  </si>
  <si>
    <t>123.51%</t>
  </si>
  <si>
    <t>Prime Medicine Inc</t>
  </si>
  <si>
    <t>-124.13%</t>
  </si>
  <si>
    <t>739.42%</t>
  </si>
  <si>
    <t>-37.86%</t>
  </si>
  <si>
    <t>-4116.57%</t>
  </si>
  <si>
    <t>-4016.83%</t>
  </si>
  <si>
    <t>60.80%</t>
  </si>
  <si>
    <t>346.85%</t>
  </si>
  <si>
    <t>1.11 - 5.63</t>
  </si>
  <si>
    <t>-77.17%</t>
  </si>
  <si>
    <t>104.96%</t>
  </si>
  <si>
    <t>148.00%</t>
  </si>
  <si>
    <t>41.71%</t>
  </si>
  <si>
    <t>GE Aerospace</t>
  </si>
  <si>
    <t>94.19%</t>
  </si>
  <si>
    <t>-32.80%</t>
  </si>
  <si>
    <t>-19.49%</t>
  </si>
  <si>
    <t>-16.45%</t>
  </si>
  <si>
    <t>15.95%</t>
  </si>
  <si>
    <t>80.32%</t>
  </si>
  <si>
    <t>37.98%</t>
  </si>
  <si>
    <t>-4.03%</t>
  </si>
  <si>
    <t>85.03%</t>
  </si>
  <si>
    <t>159.36 - 307.25</t>
  </si>
  <si>
    <t>2964.70%</t>
  </si>
  <si>
    <t>Johnson &amp; Johnson</t>
  </si>
  <si>
    <t>84.80%</t>
  </si>
  <si>
    <t>73.89%</t>
  </si>
  <si>
    <t>68.12%</t>
  </si>
  <si>
    <t>24.02%</t>
  </si>
  <si>
    <t>25.01%</t>
  </si>
  <si>
    <t>140.68 - 181.16</t>
  </si>
  <si>
    <t>-3.87%</t>
  </si>
  <si>
    <t>10155.14%</t>
  </si>
  <si>
    <t>TeraWulf Inc</t>
  </si>
  <si>
    <t>12/18/2012</t>
  </si>
  <si>
    <t>51.38%</t>
  </si>
  <si>
    <t>33.91%</t>
  </si>
  <si>
    <t>52.62%</t>
  </si>
  <si>
    <t>-1.24%</t>
  </si>
  <si>
    <t>-82.74%</t>
  </si>
  <si>
    <t>-91.62%</t>
  </si>
  <si>
    <t>104.18%</t>
  </si>
  <si>
    <t>-8.92%</t>
  </si>
  <si>
    <t>131.44%</t>
  </si>
  <si>
    <t>421.29%</t>
  </si>
  <si>
    <t>2.06 - 11.79</t>
  </si>
  <si>
    <t>-71.36%</t>
  </si>
  <si>
    <t>1907.21%</t>
  </si>
  <si>
    <t>154.47%</t>
  </si>
  <si>
    <t>266.51%</t>
  </si>
  <si>
    <t>99.97%</t>
  </si>
  <si>
    <t>Olo Inc</t>
  </si>
  <si>
    <t>74.75%</t>
  </si>
  <si>
    <t>21.92%</t>
  </si>
  <si>
    <t>41.24%</t>
  </si>
  <si>
    <t>64.83%</t>
  </si>
  <si>
    <t>53.31%</t>
  </si>
  <si>
    <t>125.00%</t>
  </si>
  <si>
    <t>4.56 - 10.55</t>
  </si>
  <si>
    <t>-79.06%</t>
  </si>
  <si>
    <t>144.29%</t>
  </si>
  <si>
    <t>18.75%</t>
  </si>
  <si>
    <t>109.39%</t>
  </si>
  <si>
    <t>Southern Company</t>
  </si>
  <si>
    <t>71.61%</t>
  </si>
  <si>
    <t>80.46 - 96.44</t>
  </si>
  <si>
    <t>2047.08%</t>
  </si>
  <si>
    <t>Indivior Plc</t>
  </si>
  <si>
    <t>-77.99%</t>
  </si>
  <si>
    <t>-56.08%</t>
  </si>
  <si>
    <t>14.52%</t>
  </si>
  <si>
    <t>96.15%</t>
  </si>
  <si>
    <t>91.85%</t>
  </si>
  <si>
    <t>86.02%</t>
  </si>
  <si>
    <t>27.02%</t>
  </si>
  <si>
    <t>69.74%</t>
  </si>
  <si>
    <t>228.10%</t>
  </si>
  <si>
    <t>7.33 - 25.10</t>
  </si>
  <si>
    <t>-28.42%</t>
  </si>
  <si>
    <t>1274.29%</t>
  </si>
  <si>
    <t>145.41%</t>
  </si>
  <si>
    <t>158.05%</t>
  </si>
  <si>
    <t>Braze Inc</t>
  </si>
  <si>
    <t>-23.78%</t>
  </si>
  <si>
    <t>71.20%</t>
  </si>
  <si>
    <t>35.59%</t>
  </si>
  <si>
    <t>23.79%</t>
  </si>
  <si>
    <t>403.36%</t>
  </si>
  <si>
    <t>61.77%</t>
  </si>
  <si>
    <t>-19.95%</t>
  </si>
  <si>
    <t>-16.62%</t>
  </si>
  <si>
    <t>-5.97%</t>
  </si>
  <si>
    <t>34.04%</t>
  </si>
  <si>
    <t>-33.69%</t>
  </si>
  <si>
    <t>23.91 - 48.33</t>
  </si>
  <si>
    <t>-67.55%</t>
  </si>
  <si>
    <t>Cerus Corp</t>
  </si>
  <si>
    <t>13.96%</t>
  </si>
  <si>
    <t>76.39%</t>
  </si>
  <si>
    <t>56.09%</t>
  </si>
  <si>
    <t>-18.47%</t>
  </si>
  <si>
    <t>29.57%</t>
  </si>
  <si>
    <t>33.04%</t>
  </si>
  <si>
    <t>1.12 - 2.23</t>
  </si>
  <si>
    <t>-98.18%</t>
  </si>
  <si>
    <t>170.91%</t>
  </si>
  <si>
    <t>-17.22%</t>
  </si>
  <si>
    <t>Hims &amp; Hers Health Inc</t>
  </si>
  <si>
    <t>88.69%</t>
  </si>
  <si>
    <t>75.77%</t>
  </si>
  <si>
    <t>72.61%</t>
  </si>
  <si>
    <t>-9.76%</t>
  </si>
  <si>
    <t>77.77%</t>
  </si>
  <si>
    <t>67.11%</t>
  </si>
  <si>
    <t>6.61%</t>
  </si>
  <si>
    <t>11.74%</t>
  </si>
  <si>
    <t>32.68%</t>
  </si>
  <si>
    <t>-21.36%</t>
  </si>
  <si>
    <t>257.57%</t>
  </si>
  <si>
    <t>16.05 - 72.98</t>
  </si>
  <si>
    <t>2009.93%</t>
  </si>
  <si>
    <t>79.79%</t>
  </si>
  <si>
    <t>232.31%</t>
  </si>
  <si>
    <t>SunCoke Energy Inc</t>
  </si>
  <si>
    <t>39.14%</t>
  </si>
  <si>
    <t>-16.16%</t>
  </si>
  <si>
    <t>-7.70%</t>
  </si>
  <si>
    <t>-88.57%</t>
  </si>
  <si>
    <t>96.25%</t>
  </si>
  <si>
    <t>7.18 - 12.82</t>
  </si>
  <si>
    <t>-66.93%</t>
  </si>
  <si>
    <t>296.40%</t>
  </si>
  <si>
    <t>-13.83%</t>
  </si>
  <si>
    <t>Medical Properties Trust Inc</t>
  </si>
  <si>
    <t>-47.73%</t>
  </si>
  <si>
    <t>-25.67%</t>
  </si>
  <si>
    <t>-14.72%</t>
  </si>
  <si>
    <t>27.66%</t>
  </si>
  <si>
    <t>-11328.57%</t>
  </si>
  <si>
    <t>58.06%</t>
  </si>
  <si>
    <t>-155.26%</t>
  </si>
  <si>
    <t>-22.79%</t>
  </si>
  <si>
    <t>3.51 - 6.34</t>
  </si>
  <si>
    <t>-79.85%</t>
  </si>
  <si>
    <t>77.36%</t>
  </si>
  <si>
    <t>Therealreal Inc</t>
  </si>
  <si>
    <t>21.62%</t>
  </si>
  <si>
    <t>-0.97%</t>
  </si>
  <si>
    <t>69.40%</t>
  </si>
  <si>
    <t>262.36%</t>
  </si>
  <si>
    <t>2.71 - 11.38</t>
  </si>
  <si>
    <t>882.00%</t>
  </si>
  <si>
    <t>100.82%</t>
  </si>
  <si>
    <t>69.02%</t>
  </si>
  <si>
    <t>204.97%</t>
  </si>
  <si>
    <t>ASP Isotopes Inc</t>
  </si>
  <si>
    <t>-102.55%</t>
  </si>
  <si>
    <t>99.57%</t>
  </si>
  <si>
    <t>50.68%</t>
  </si>
  <si>
    <t>39.26%</t>
  </si>
  <si>
    <t>-720.33%</t>
  </si>
  <si>
    <t>-2181.84%</t>
  </si>
  <si>
    <t>16.10%</t>
  </si>
  <si>
    <t>-8.85%</t>
  </si>
  <si>
    <t>40.57%</t>
  </si>
  <si>
    <t>314.18%</t>
  </si>
  <si>
    <t>2.61 - 11.86</t>
  </si>
  <si>
    <t>3760.71%</t>
  </si>
  <si>
    <t>128.54%</t>
  </si>
  <si>
    <t>CF Industries Holdings Inc</t>
  </si>
  <si>
    <t>33.80%</t>
  </si>
  <si>
    <t>67.34 - 104.45</t>
  </si>
  <si>
    <t>3925.92%</t>
  </si>
  <si>
    <t>Levi Strauss &amp; Co</t>
  </si>
  <si>
    <t>7/24/2025</t>
  </si>
  <si>
    <t>24.36%</t>
  </si>
  <si>
    <t>95.53%</t>
  </si>
  <si>
    <t>-27.10%</t>
  </si>
  <si>
    <t>-11.54%</t>
  </si>
  <si>
    <t>61.41%</t>
  </si>
  <si>
    <t>-3.03%</t>
  </si>
  <si>
    <t>88.04%</t>
  </si>
  <si>
    <t>12.17 - 23.60</t>
  </si>
  <si>
    <t>-25.79%</t>
  </si>
  <si>
    <t>151.76%</t>
  </si>
  <si>
    <t>Xeris Biopharma Holdings Inc</t>
  </si>
  <si>
    <t>40.01%</t>
  </si>
  <si>
    <t>35.62%</t>
  </si>
  <si>
    <t>59.99%</t>
  </si>
  <si>
    <t>136.89%</t>
  </si>
  <si>
    <t>48.84%</t>
  </si>
  <si>
    <t>64.29%</t>
  </si>
  <si>
    <t>77.83%</t>
  </si>
  <si>
    <t>63.23%</t>
  </si>
  <si>
    <t>200.37%</t>
  </si>
  <si>
    <t>2.69 - 8.35</t>
  </si>
  <si>
    <t>-71.12%</t>
  </si>
  <si>
    <t>732.90%</t>
  </si>
  <si>
    <t>71.91%</t>
  </si>
  <si>
    <t>43.52%</t>
  </si>
  <si>
    <t>Veeva Systems Inc</t>
  </si>
  <si>
    <t>75.40%</t>
  </si>
  <si>
    <t>27.96%</t>
  </si>
  <si>
    <t>44.32%</t>
  </si>
  <si>
    <t>200.30 - 296.72</t>
  </si>
  <si>
    <t>-15.96%</t>
  </si>
  <si>
    <t>1589.48%</t>
  </si>
  <si>
    <t>ATI Inc</t>
  </si>
  <si>
    <t>8/16/2016</t>
  </si>
  <si>
    <t>39.23 - 96.20</t>
  </si>
  <si>
    <t>3804.44%</t>
  </si>
  <si>
    <t>26.85%</t>
  </si>
  <si>
    <t>Oge Energy Corp</t>
  </si>
  <si>
    <t>10/6/2025</t>
  </si>
  <si>
    <t>76.55%</t>
  </si>
  <si>
    <t>-15.85%</t>
  </si>
  <si>
    <t>74.12%</t>
  </si>
  <si>
    <t>39.10 - 46.91</t>
  </si>
  <si>
    <t>852.33%</t>
  </si>
  <si>
    <t>Magnolia Oil &amp; Gas Corp</t>
  </si>
  <si>
    <t>86.63%</t>
  </si>
  <si>
    <t>26.82%</t>
  </si>
  <si>
    <t>-6.40%</t>
  </si>
  <si>
    <t>-5.27%</t>
  </si>
  <si>
    <t>112.76%</t>
  </si>
  <si>
    <t>49.66%</t>
  </si>
  <si>
    <t>32.56%</t>
  </si>
  <si>
    <t>19.09 - 29.02</t>
  </si>
  <si>
    <t>683.44%</t>
  </si>
  <si>
    <t>Microvision Inc</t>
  </si>
  <si>
    <t>-19.82%</t>
  </si>
  <si>
    <t>-36.53%</t>
  </si>
  <si>
    <t>31.17%</t>
  </si>
  <si>
    <t>-71.30%</t>
  </si>
  <si>
    <t>-91.84%</t>
  </si>
  <si>
    <t>-374.73%</t>
  </si>
  <si>
    <t>-2383.01%</t>
  </si>
  <si>
    <t>-3470.59%</t>
  </si>
  <si>
    <t>-26.01%</t>
  </si>
  <si>
    <t>-34.36%</t>
  </si>
  <si>
    <t>0.80 - 1.95</t>
  </si>
  <si>
    <t>-99.77%</t>
  </si>
  <si>
    <t>736.60%</t>
  </si>
  <si>
    <t>CareTrust REIT Inc</t>
  </si>
  <si>
    <t>144.42%</t>
  </si>
  <si>
    <t>27.80%</t>
  </si>
  <si>
    <t>50.84%</t>
  </si>
  <si>
    <t>64.65%</t>
  </si>
  <si>
    <t>58.72%</t>
  </si>
  <si>
    <t>24.79 - 35.08</t>
  </si>
  <si>
    <t>418.31%</t>
  </si>
  <si>
    <t>22.30%</t>
  </si>
  <si>
    <t>EVgo Inc</t>
  </si>
  <si>
    <t>-68.74%</t>
  </si>
  <si>
    <t>49.06%</t>
  </si>
  <si>
    <t>126.12%</t>
  </si>
  <si>
    <t>47.15%</t>
  </si>
  <si>
    <t>66.95%</t>
  </si>
  <si>
    <t>-40.53%</t>
  </si>
  <si>
    <t>-15.63%</t>
  </si>
  <si>
    <t>15.42%</t>
  </si>
  <si>
    <t>41.48%</t>
  </si>
  <si>
    <t>2.19 - 9.07</t>
  </si>
  <si>
    <t>-81.33%</t>
  </si>
  <si>
    <t>175.45%</t>
  </si>
  <si>
    <t>56.72%</t>
  </si>
  <si>
    <t>Sealed Air Corp</t>
  </si>
  <si>
    <t>43.34%</t>
  </si>
  <si>
    <t>-16.96%</t>
  </si>
  <si>
    <t>98.25%</t>
  </si>
  <si>
    <t>29.01%</t>
  </si>
  <si>
    <t>15.06%</t>
  </si>
  <si>
    <t>7.36%</t>
  </si>
  <si>
    <t>20.87%</t>
  </si>
  <si>
    <t>49.36%</t>
  </si>
  <si>
    <t>22.78 - 38.85</t>
  </si>
  <si>
    <t>-51.89%</t>
  </si>
  <si>
    <t>6708.14%</t>
  </si>
  <si>
    <t>Radian Group, Inc</t>
  </si>
  <si>
    <t>21.23%</t>
  </si>
  <si>
    <t>150.18%</t>
  </si>
  <si>
    <t>67.79%</t>
  </si>
  <si>
    <t>45.62%</t>
  </si>
  <si>
    <t>9.31%</t>
  </si>
  <si>
    <t>24.97%</t>
  </si>
  <si>
    <t>29.32 - 38.84</t>
  </si>
  <si>
    <t>-45.60%</t>
  </si>
  <si>
    <t>5134.29%</t>
  </si>
  <si>
    <t>Dropbox Inc</t>
  </si>
  <si>
    <t>78.37%</t>
  </si>
  <si>
    <t>81.23%</t>
  </si>
  <si>
    <t>-3.57%</t>
  </si>
  <si>
    <t>27.94%</t>
  </si>
  <si>
    <t>24.42 - 33.33</t>
  </si>
  <si>
    <t>-28.18%</t>
  </si>
  <si>
    <t>114.72%</t>
  </si>
  <si>
    <t>Viper Energy Inc</t>
  </si>
  <si>
    <t>37.14%</t>
  </si>
  <si>
    <t>65.00%</t>
  </si>
  <si>
    <t>38.51%</t>
  </si>
  <si>
    <t>82.19%</t>
  </si>
  <si>
    <t>58.41%</t>
  </si>
  <si>
    <t>38.40%</t>
  </si>
  <si>
    <t>17.29%</t>
  </si>
  <si>
    <t>34.31 - 55.65</t>
  </si>
  <si>
    <t>769.79%</t>
  </si>
  <si>
    <t>-8.31%</t>
  </si>
  <si>
    <t>-13.13%</t>
  </si>
  <si>
    <t>Citizens Financial Group Inc</t>
  </si>
  <si>
    <t>55.53%</t>
  </si>
  <si>
    <t>-16.31%</t>
  </si>
  <si>
    <t>26.83%</t>
  </si>
  <si>
    <t>97.55%</t>
  </si>
  <si>
    <t>62.35%</t>
  </si>
  <si>
    <t>32.60 - 53.89</t>
  </si>
  <si>
    <t>274.82%</t>
  </si>
  <si>
    <t>29.85%</t>
  </si>
  <si>
    <t>Applied Digital Corporation</t>
  </si>
  <si>
    <t>-46.17%</t>
  </si>
  <si>
    <t>30.16%</t>
  </si>
  <si>
    <t>156.45%</t>
  </si>
  <si>
    <t>80.43%</t>
  </si>
  <si>
    <t>10.53%</t>
  </si>
  <si>
    <t>-108.43%</t>
  </si>
  <si>
    <t>34.45%</t>
  </si>
  <si>
    <t>113.97%</t>
  </si>
  <si>
    <t>115.27%</t>
  </si>
  <si>
    <t>536.71%</t>
  </si>
  <si>
    <t>3.31 - 25.61</t>
  </si>
  <si>
    <t>-81.24%</t>
  </si>
  <si>
    <t>103.03%</t>
  </si>
  <si>
    <t>245.49%</t>
  </si>
  <si>
    <t>197.67%</t>
  </si>
  <si>
    <t>Abbvie Inc</t>
  </si>
  <si>
    <t>263.15%</t>
  </si>
  <si>
    <t>-14.67%</t>
  </si>
  <si>
    <t>70.97%</t>
  </si>
  <si>
    <t>18.52%</t>
  </si>
  <si>
    <t>163.81 - 225.16</t>
  </si>
  <si>
    <t>573.09%</t>
  </si>
  <si>
    <t>Quanta Services, Inc</t>
  </si>
  <si>
    <t>21.73%</t>
  </si>
  <si>
    <t>16.87%</t>
  </si>
  <si>
    <t>21.07%</t>
  </si>
  <si>
    <t>95.24%</t>
  </si>
  <si>
    <t>-5.14%</t>
  </si>
  <si>
    <t>77.51%</t>
  </si>
  <si>
    <t>227.08 - 424.94</t>
  </si>
  <si>
    <t>22933.14%</t>
  </si>
  <si>
    <t>35.15%</t>
  </si>
  <si>
    <t>Occidental Petroleum Corp</t>
  </si>
  <si>
    <t>180.20%</t>
  </si>
  <si>
    <t>36.00%</t>
  </si>
  <si>
    <t>31.18%</t>
  </si>
  <si>
    <t>76.92%</t>
  </si>
  <si>
    <t>34.61%</t>
  </si>
  <si>
    <t>20.36%</t>
  </si>
  <si>
    <t>-14.89%</t>
  </si>
  <si>
    <t>38.22%</t>
  </si>
  <si>
    <t>34.78 - 56.49</t>
  </si>
  <si>
    <t>-55.60%</t>
  </si>
  <si>
    <t>615.85%</t>
  </si>
  <si>
    <t>STRATA Skin Sciences Inc</t>
  </si>
  <si>
    <t>-49.38%</t>
  </si>
  <si>
    <t>-17.46%</t>
  </si>
  <si>
    <t>-19.05%</t>
  </si>
  <si>
    <t>-35.13%</t>
  </si>
  <si>
    <t>-34.72%</t>
  </si>
  <si>
    <t>82.61%</t>
  </si>
  <si>
    <t>1.38 - 3.86</t>
  </si>
  <si>
    <t>-7.35%</t>
  </si>
  <si>
    <t>-15.72%</t>
  </si>
  <si>
    <t>Expro Group Holdings N.V</t>
  </si>
  <si>
    <t>8/29/2017</t>
  </si>
  <si>
    <t>-26.17%</t>
  </si>
  <si>
    <t>52.48%</t>
  </si>
  <si>
    <t>88.58%</t>
  </si>
  <si>
    <t>6.70 - 18.06</t>
  </si>
  <si>
    <t>-93.57%</t>
  </si>
  <si>
    <t>49.41%</t>
  </si>
  <si>
    <t>19.78%</t>
  </si>
  <si>
    <t>-29.11%</t>
  </si>
  <si>
    <t>Crescent Energy Co</t>
  </si>
  <si>
    <t>-9.43%</t>
  </si>
  <si>
    <t>32.84%</t>
  </si>
  <si>
    <t>84.04%</t>
  </si>
  <si>
    <t>20.13%</t>
  </si>
  <si>
    <t>-41.71%</t>
  </si>
  <si>
    <t>6.83 - 16.94</t>
  </si>
  <si>
    <t>-49.75%</t>
  </si>
  <si>
    <t>-15.45%</t>
  </si>
  <si>
    <t>Unitedhealth Group Inc</t>
  </si>
  <si>
    <t>52.75%</t>
  </si>
  <si>
    <t>-8.32%</t>
  </si>
  <si>
    <t>86.67%</t>
  </si>
  <si>
    <t>-15.46%</t>
  </si>
  <si>
    <t>-45.55%</t>
  </si>
  <si>
    <t>234.60 - 630.73</t>
  </si>
  <si>
    <t>418569.72%</t>
  </si>
  <si>
    <t>-33.41%</t>
  </si>
  <si>
    <t>Peloton Interactive Inc</t>
  </si>
  <si>
    <t>67.37%</t>
  </si>
  <si>
    <t>173.21%</t>
  </si>
  <si>
    <t>-10.17%</t>
  </si>
  <si>
    <t>90.48%</t>
  </si>
  <si>
    <t>49.12%</t>
  </si>
  <si>
    <t>-4.78%</t>
  </si>
  <si>
    <t>6.78%</t>
  </si>
  <si>
    <t>41.23%</t>
  </si>
  <si>
    <t>-20.93%</t>
  </si>
  <si>
    <t>102.71%</t>
  </si>
  <si>
    <t>4.25 - 10.90</t>
  </si>
  <si>
    <t>-94.96%</t>
  </si>
  <si>
    <t>219.07%</t>
  </si>
  <si>
    <t>66.63%</t>
  </si>
  <si>
    <t>CarGurus Inc</t>
  </si>
  <si>
    <t>-11.88%</t>
  </si>
  <si>
    <t>8.72%</t>
  </si>
  <si>
    <t>84.37%</t>
  </si>
  <si>
    <t>11.23%</t>
  </si>
  <si>
    <t>-10.18%</t>
  </si>
  <si>
    <t>24.65 - 41.33</t>
  </si>
  <si>
    <t>-35.16%</t>
  </si>
  <si>
    <t>306.07%</t>
  </si>
  <si>
    <t>24.91%</t>
  </si>
  <si>
    <t>Entergy Corp</t>
  </si>
  <si>
    <t>95.75%</t>
  </si>
  <si>
    <t>42.38%</t>
  </si>
  <si>
    <t>64.38 - 92.40</t>
  </si>
  <si>
    <t>2265.42%</t>
  </si>
  <si>
    <t>40.98%</t>
  </si>
  <si>
    <t>Sunrun Inc</t>
  </si>
  <si>
    <t>-221.01%</t>
  </si>
  <si>
    <t>1295.53%</t>
  </si>
  <si>
    <t>104.45%</t>
  </si>
  <si>
    <t>-23.29%</t>
  </si>
  <si>
    <t>-120.53%</t>
  </si>
  <si>
    <t>26.09%</t>
  </si>
  <si>
    <t>79.67%</t>
  </si>
  <si>
    <t>-3.74%</t>
  </si>
  <si>
    <t>95.73%</t>
  </si>
  <si>
    <t>-9.33%</t>
  </si>
  <si>
    <t>227.79%</t>
  </si>
  <si>
    <t>5.38 - 19.45</t>
  </si>
  <si>
    <t>-82.53%</t>
  </si>
  <si>
    <t>324.94%</t>
  </si>
  <si>
    <t>193.43%</t>
  </si>
  <si>
    <t>Crowdstrike Holdings Inc</t>
  </si>
  <si>
    <t>57.62%</t>
  </si>
  <si>
    <t>34.76%</t>
  </si>
  <si>
    <t>39.65%</t>
  </si>
  <si>
    <t>52.37%</t>
  </si>
  <si>
    <t>21.28%</t>
  </si>
  <si>
    <t>-4.24%</t>
  </si>
  <si>
    <t>72.93%</t>
  </si>
  <si>
    <t>74.00%</t>
  </si>
  <si>
    <t>75.60%</t>
  </si>
  <si>
    <t>272.67 - 517.98</t>
  </si>
  <si>
    <t>1398.64%</t>
  </si>
  <si>
    <t>65.94%</t>
  </si>
  <si>
    <t>Frontier Communications Parent Inc</t>
  </si>
  <si>
    <t>53.04%</t>
  </si>
  <si>
    <t>27.41%</t>
  </si>
  <si>
    <t>-133.00%</t>
  </si>
  <si>
    <t>92.23%</t>
  </si>
  <si>
    <t>33.72 - 37.81</t>
  </si>
  <si>
    <t>220.90%</t>
  </si>
  <si>
    <t>Vital Energy Inc</t>
  </si>
  <si>
    <t>30.67%</t>
  </si>
  <si>
    <t>-38.52%</t>
  </si>
  <si>
    <t>-12.43%</t>
  </si>
  <si>
    <t>-8.46%</t>
  </si>
  <si>
    <t>35.82%</t>
  </si>
  <si>
    <t>52.28%</t>
  </si>
  <si>
    <t>12.30 - 36.72</t>
  </si>
  <si>
    <t>-97.29%</t>
  </si>
  <si>
    <t>183.79%</t>
  </si>
  <si>
    <t>-15.36%</t>
  </si>
  <si>
    <t>-36.57%</t>
  </si>
  <si>
    <t>Shattuck Labs Inc</t>
  </si>
  <si>
    <t>-5.88%</t>
  </si>
  <si>
    <t>-27.33%</t>
  </si>
  <si>
    <t>233.88%</t>
  </si>
  <si>
    <t>44.64%</t>
  </si>
  <si>
    <t>-2165.73%</t>
  </si>
  <si>
    <t>-2052.52%</t>
  </si>
  <si>
    <t>68.65%</t>
  </si>
  <si>
    <t>90.55%</t>
  </si>
  <si>
    <t>202.72%</t>
  </si>
  <si>
    <t>-45.43%</t>
  </si>
  <si>
    <t>211.41%</t>
  </si>
  <si>
    <t>0.69 - 3.95</t>
  </si>
  <si>
    <t>-96.44%</t>
  </si>
  <si>
    <t>152.48%</t>
  </si>
  <si>
    <t>89.07%</t>
  </si>
  <si>
    <t>Shoals Technologies Group Inc</t>
  </si>
  <si>
    <t>112.63%</t>
  </si>
  <si>
    <t>54.39%</t>
  </si>
  <si>
    <t>70.22%</t>
  </si>
  <si>
    <t>178.25%</t>
  </si>
  <si>
    <t>2.71 - 8.20</t>
  </si>
  <si>
    <t>-82.88%</t>
  </si>
  <si>
    <t>120.49%</t>
  </si>
  <si>
    <t>Simon Property Group, Inc</t>
  </si>
  <si>
    <t>107.34%</t>
  </si>
  <si>
    <t>90.96%</t>
  </si>
  <si>
    <t>8.83%</t>
  </si>
  <si>
    <t>34.74%</t>
  </si>
  <si>
    <t>136.34 - 190.13</t>
  </si>
  <si>
    <t>903.13%</t>
  </si>
  <si>
    <t>14.45%</t>
  </si>
  <si>
    <t>Semtech Corp</t>
  </si>
  <si>
    <t>45.70%</t>
  </si>
  <si>
    <t>19.61%</t>
  </si>
  <si>
    <t>120.51%</t>
  </si>
  <si>
    <t>30.26%</t>
  </si>
  <si>
    <t>34.90%</t>
  </si>
  <si>
    <t>158.13%</t>
  </si>
  <si>
    <t>24.05 - 79.52</t>
  </si>
  <si>
    <t>-34.60%</t>
  </si>
  <si>
    <t>56658.86%</t>
  </si>
  <si>
    <t>38.23%</t>
  </si>
  <si>
    <t>30.42%</t>
  </si>
  <si>
    <t>Telos Corp</t>
  </si>
  <si>
    <t>-13.76%</t>
  </si>
  <si>
    <t>26.21%</t>
  </si>
  <si>
    <t>57.48%</t>
  </si>
  <si>
    <t>36.41%</t>
  </si>
  <si>
    <t>-47.55%</t>
  </si>
  <si>
    <t>100.22%</t>
  </si>
  <si>
    <t>192.83%</t>
  </si>
  <si>
    <t>279.23%</t>
  </si>
  <si>
    <t>1.83 - 7.29</t>
  </si>
  <si>
    <t>-83.41%</t>
  </si>
  <si>
    <t>353.59%</t>
  </si>
  <si>
    <t>128.29%</t>
  </si>
  <si>
    <t>171.09%</t>
  </si>
  <si>
    <t>101.16%</t>
  </si>
  <si>
    <t>Intuitive Machines Inc</t>
  </si>
  <si>
    <t>-977.58%</t>
  </si>
  <si>
    <t>-239.86%</t>
  </si>
  <si>
    <t>50.66%</t>
  </si>
  <si>
    <t>-1788.79%</t>
  </si>
  <si>
    <t>56.12%</t>
  </si>
  <si>
    <t>-26.90%</t>
  </si>
  <si>
    <t>-106.98%</t>
  </si>
  <si>
    <t>-15.84%</t>
  </si>
  <si>
    <t>-25.99%</t>
  </si>
  <si>
    <t>-59.36%</t>
  </si>
  <si>
    <t>65.28%</t>
  </si>
  <si>
    <t>6.14 - 24.95</t>
  </si>
  <si>
    <t>-92.54%</t>
  </si>
  <si>
    <t>385.31%</t>
  </si>
  <si>
    <t>-7.48%</t>
  </si>
  <si>
    <t>Qualcomm, Inc</t>
  </si>
  <si>
    <t>36.77%</t>
  </si>
  <si>
    <t>20.08%</t>
  </si>
  <si>
    <t>81.76%</t>
  </si>
  <si>
    <t>55.68%</t>
  </si>
  <si>
    <t>120.80 - 182.10</t>
  </si>
  <si>
    <t>44882.73%</t>
  </si>
  <si>
    <t>Venture Global Inc</t>
  </si>
  <si>
    <t>62.15%</t>
  </si>
  <si>
    <t>179.87%</t>
  </si>
  <si>
    <t>-12.60%</t>
  </si>
  <si>
    <t>25.02%</t>
  </si>
  <si>
    <t>-41.80%</t>
  </si>
  <si>
    <t>119.85%</t>
  </si>
  <si>
    <t>6.75 - 25.50</t>
  </si>
  <si>
    <t>39.34%</t>
  </si>
  <si>
    <t>Yum Brands Inc</t>
  </si>
  <si>
    <t>85.51%</t>
  </si>
  <si>
    <t>46.26%</t>
  </si>
  <si>
    <t>-7.06%</t>
  </si>
  <si>
    <t>122.13 - 163.30</t>
  </si>
  <si>
    <t>3483.01%</t>
  </si>
  <si>
    <t>Clover Health Investments Corp</t>
  </si>
  <si>
    <t>60.49%</t>
  </si>
  <si>
    <t>-237.67%</t>
  </si>
  <si>
    <t>-4.87%</t>
  </si>
  <si>
    <t>34.07%</t>
  </si>
  <si>
    <t>-117.39%</t>
  </si>
  <si>
    <t>28.67%</t>
  </si>
  <si>
    <t>-2.65%</t>
  </si>
  <si>
    <t>49.92%</t>
  </si>
  <si>
    <t>2.12 - 4.87</t>
  </si>
  <si>
    <t>-88.98%</t>
  </si>
  <si>
    <t>424.49%</t>
  </si>
  <si>
    <t>Annexon Inc</t>
  </si>
  <si>
    <t>33.38%</t>
  </si>
  <si>
    <t>85.61%</t>
  </si>
  <si>
    <t>39.66%</t>
  </si>
  <si>
    <t>120.62%</t>
  </si>
  <si>
    <t>1.28 - 7.85</t>
  </si>
  <si>
    <t>-55.00%</t>
  </si>
  <si>
    <t>RPC, Inc</t>
  </si>
  <si>
    <t>133.28%</t>
  </si>
  <si>
    <t>42.11%</t>
  </si>
  <si>
    <t>-32.01%</t>
  </si>
  <si>
    <t>4.10 - 7.22</t>
  </si>
  <si>
    <t>-81.78%</t>
  </si>
  <si>
    <t>5476.82%</t>
  </si>
  <si>
    <t>-12.66%</t>
  </si>
  <si>
    <t>-26.18%</t>
  </si>
  <si>
    <t>Travere Therapeutics Inc</t>
  </si>
  <si>
    <t>87.94%</t>
  </si>
  <si>
    <t>111.49%</t>
  </si>
  <si>
    <t>55.09%</t>
  </si>
  <si>
    <t>-1.75%</t>
  </si>
  <si>
    <t>115.78%</t>
  </si>
  <si>
    <t>81.87%</t>
  </si>
  <si>
    <t>-51.12%</t>
  </si>
  <si>
    <t>-50.64%</t>
  </si>
  <si>
    <t>32.78%</t>
  </si>
  <si>
    <t>89.31%</t>
  </si>
  <si>
    <t>12.91 - 28.69</t>
  </si>
  <si>
    <t>13477.78%</t>
  </si>
  <si>
    <t>65.47%</t>
  </si>
  <si>
    <t>19.98%</t>
  </si>
  <si>
    <t>67.86%</t>
  </si>
  <si>
    <t>Invesco Ltd</t>
  </si>
  <si>
    <t>69.23%</t>
  </si>
  <si>
    <t>-26.73%</t>
  </si>
  <si>
    <t>14.61%</t>
  </si>
  <si>
    <t>-12.28%</t>
  </si>
  <si>
    <t>94.74%</t>
  </si>
  <si>
    <t>11.60 - 22.99</t>
  </si>
  <si>
    <t>-55.79%</t>
  </si>
  <si>
    <t>260.00%</t>
  </si>
  <si>
    <t>43.89%</t>
  </si>
  <si>
    <t>Intellia Therapeutics Inc</t>
  </si>
  <si>
    <t>80.76%</t>
  </si>
  <si>
    <t>-956.39%</t>
  </si>
  <si>
    <t>-908.48%</t>
  </si>
  <si>
    <t>16.41%</t>
  </si>
  <si>
    <t>26.42%</t>
  </si>
  <si>
    <t>50.69%</t>
  </si>
  <si>
    <t>164.66%</t>
  </si>
  <si>
    <t>5.90 - 21.47</t>
  </si>
  <si>
    <t>-92.30%</t>
  </si>
  <si>
    <t>63.34%</t>
  </si>
  <si>
    <t>85.89%</t>
  </si>
  <si>
    <t>Healthpeak Properties Inc</t>
  </si>
  <si>
    <t>334.63%</t>
  </si>
  <si>
    <t>52.84%</t>
  </si>
  <si>
    <t>12.51%</t>
  </si>
  <si>
    <t>-21.87%</t>
  </si>
  <si>
    <t>96.20%</t>
  </si>
  <si>
    <t>21.46%</t>
  </si>
  <si>
    <t>12.63%</t>
  </si>
  <si>
    <t>-19.03%</t>
  </si>
  <si>
    <t>16.63 - 23.13</t>
  </si>
  <si>
    <t>-61.97%</t>
  </si>
  <si>
    <t>348.88%</t>
  </si>
  <si>
    <t>Wynn Resorts Ltd</t>
  </si>
  <si>
    <t>30.52%</t>
  </si>
  <si>
    <t>68.15%</t>
  </si>
  <si>
    <t>33.69%</t>
  </si>
  <si>
    <t>25.41%</t>
  </si>
  <si>
    <t>96.50%</t>
  </si>
  <si>
    <t>65.25 - 130.84</t>
  </si>
  <si>
    <t>-48.28%</t>
  </si>
  <si>
    <t>1640.97%</t>
  </si>
  <si>
    <t>48.83%</t>
  </si>
  <si>
    <t>52.35%</t>
  </si>
  <si>
    <t>Ovintiv Inc</t>
  </si>
  <si>
    <t>36.68%</t>
  </si>
  <si>
    <t>28.52%</t>
  </si>
  <si>
    <t>88.00%</t>
  </si>
  <si>
    <t>47.18%</t>
  </si>
  <si>
    <t>29.80 - 47.18</t>
  </si>
  <si>
    <t>-83.50%</t>
  </si>
  <si>
    <t>1988.57%</t>
  </si>
  <si>
    <t>Sangamo Therapeutics Inc</t>
  </si>
  <si>
    <t>-3.21%</t>
  </si>
  <si>
    <t>26.70%</t>
  </si>
  <si>
    <t>41.07%</t>
  </si>
  <si>
    <t>565.52%</t>
  </si>
  <si>
    <t>5042.13%</t>
  </si>
  <si>
    <t>-692.08%</t>
  </si>
  <si>
    <t>90.11%</t>
  </si>
  <si>
    <t>-80.48%</t>
  </si>
  <si>
    <t>-12.32%</t>
  </si>
  <si>
    <t>-80.72%</t>
  </si>
  <si>
    <t>0.41 - 3.18</t>
  </si>
  <si>
    <t>-98.81%</t>
  </si>
  <si>
    <t>110.55%</t>
  </si>
  <si>
    <t>-28.51%</t>
  </si>
  <si>
    <t>-33.83%</t>
  </si>
  <si>
    <t>Elanco Animal Health Inc</t>
  </si>
  <si>
    <t>30.85%</t>
  </si>
  <si>
    <t>108.96%</t>
  </si>
  <si>
    <t>46.12%</t>
  </si>
  <si>
    <t>139.53%</t>
  </si>
  <si>
    <t>8.02 - 19.35</t>
  </si>
  <si>
    <t>-48.92%</t>
  </si>
  <si>
    <t>143.78%</t>
  </si>
  <si>
    <t>34.43%</t>
  </si>
  <si>
    <t>CoreCivic Inc</t>
  </si>
  <si>
    <t>3/31/2020</t>
  </si>
  <si>
    <t>-17.10%</t>
  </si>
  <si>
    <t>87.11%</t>
  </si>
  <si>
    <t>12.35%</t>
  </si>
  <si>
    <t>-13.37%</t>
  </si>
  <si>
    <t>76.88%</t>
  </si>
  <si>
    <t>12.24 - 24.99</t>
  </si>
  <si>
    <t>-57.97%</t>
  </si>
  <si>
    <t>4037.10%</t>
  </si>
  <si>
    <t>Steelcase, Inc</t>
  </si>
  <si>
    <t>209.59%</t>
  </si>
  <si>
    <t>-9.38%</t>
  </si>
  <si>
    <t>76.06%</t>
  </si>
  <si>
    <t>33.60%</t>
  </si>
  <si>
    <t>67.51%</t>
  </si>
  <si>
    <t>81.80%</t>
  </si>
  <si>
    <t>9.31 - 17.25</t>
  </si>
  <si>
    <t>-50.97%</t>
  </si>
  <si>
    <t>458.91%</t>
  </si>
  <si>
    <t>61.59%</t>
  </si>
  <si>
    <t>49.87%</t>
  </si>
  <si>
    <t>Targa Resources Corp</t>
  </si>
  <si>
    <t>48.65%</t>
  </si>
  <si>
    <t>90.15%</t>
  </si>
  <si>
    <t>55.39%</t>
  </si>
  <si>
    <t>-20.30%</t>
  </si>
  <si>
    <t>144.30 - 218.51</t>
  </si>
  <si>
    <t>4658.47%</t>
  </si>
  <si>
    <t>-12.49%</t>
  </si>
  <si>
    <t>Personalis Inc</t>
  </si>
  <si>
    <t>-23.81%</t>
  </si>
  <si>
    <t>43.43%</t>
  </si>
  <si>
    <t>31.45%</t>
  </si>
  <si>
    <t>-89.64%</t>
  </si>
  <si>
    <t>-113.70%</t>
  </si>
  <si>
    <t>58.46%</t>
  </si>
  <si>
    <t>115.31%</t>
  </si>
  <si>
    <t>2.83 - 7.79</t>
  </si>
  <si>
    <t>583.25%</t>
  </si>
  <si>
    <t>25.72%</t>
  </si>
  <si>
    <t>Gamestop Corporation</t>
  </si>
  <si>
    <t>3/14/2019</t>
  </si>
  <si>
    <t>21.78%</t>
  </si>
  <si>
    <t>39.97%</t>
  </si>
  <si>
    <t>20.35%</t>
  </si>
  <si>
    <t>-26.33%</t>
  </si>
  <si>
    <t>20.30 - 35.81</t>
  </si>
  <si>
    <t>-78.15%</t>
  </si>
  <si>
    <t>4005.84%</t>
  </si>
  <si>
    <t>OppFi Inc</t>
  </si>
  <si>
    <t>4/8/2025</t>
  </si>
  <si>
    <t>-42.87%</t>
  </si>
  <si>
    <t>52.54%</t>
  </si>
  <si>
    <t>95.44%</t>
  </si>
  <si>
    <t>29.59%</t>
  </si>
  <si>
    <t>-29.72%</t>
  </si>
  <si>
    <t>4.25 - 17.18</t>
  </si>
  <si>
    <t>664.34%</t>
  </si>
  <si>
    <t>-17.33%</t>
  </si>
  <si>
    <t>176.88%</t>
  </si>
  <si>
    <t>Northern Oil and Gas Inc</t>
  </si>
  <si>
    <t>121.95%</t>
  </si>
  <si>
    <t>31.92%</t>
  </si>
  <si>
    <t>41.92%</t>
  </si>
  <si>
    <t>116.83%</t>
  </si>
  <si>
    <t>34.47%</t>
  </si>
  <si>
    <t>19.88 - 44.31</t>
  </si>
  <si>
    <t>-91.83%</t>
  </si>
  <si>
    <t>729.75%</t>
  </si>
  <si>
    <t>-9.94%</t>
  </si>
  <si>
    <t>Antero Resources Corp</t>
  </si>
  <si>
    <t>119.97%</t>
  </si>
  <si>
    <t>-12.95%</t>
  </si>
  <si>
    <t>-16.18%</t>
  </si>
  <si>
    <t>87.30%</t>
  </si>
  <si>
    <t>-22.16%</t>
  </si>
  <si>
    <t>35.07%</t>
  </si>
  <si>
    <t>25.36 - 44.01</t>
  </si>
  <si>
    <t>5269.91%</t>
  </si>
  <si>
    <t>-16.80%</t>
  </si>
  <si>
    <t>-13.33%</t>
  </si>
  <si>
    <t>BWX Technologies Inc</t>
  </si>
  <si>
    <t>31.28%</t>
  </si>
  <si>
    <t>28.69%</t>
  </si>
  <si>
    <t>31.43%</t>
  </si>
  <si>
    <t>112.55%</t>
  </si>
  <si>
    <t>84.21 - 189.25</t>
  </si>
  <si>
    <t>1329.35%</t>
  </si>
  <si>
    <t>76.44%</t>
  </si>
  <si>
    <t>67.73%</t>
  </si>
  <si>
    <t>Hanesbrands Inc</t>
  </si>
  <si>
    <t>11/21/2022</t>
  </si>
  <si>
    <t>88.93%</t>
  </si>
  <si>
    <t>-3.93%</t>
  </si>
  <si>
    <t>-28.74%</t>
  </si>
  <si>
    <t>3.96 - 9.10</t>
  </si>
  <si>
    <t>-81.36%</t>
  </si>
  <si>
    <t>404.67%</t>
  </si>
  <si>
    <t>40.67%</t>
  </si>
  <si>
    <t>Microvast Holdings Inc</t>
  </si>
  <si>
    <t>21.30%</t>
  </si>
  <si>
    <t>35.70%</t>
  </si>
  <si>
    <t>35.46%</t>
  </si>
  <si>
    <t>-32.29%</t>
  </si>
  <si>
    <t>16.58%</t>
  </si>
  <si>
    <t>-16.70%</t>
  </si>
  <si>
    <t>75.59%</t>
  </si>
  <si>
    <t>2368.65%</t>
  </si>
  <si>
    <t>0.15 - 4.72</t>
  </si>
  <si>
    <t>-85.16%</t>
  </si>
  <si>
    <t>211.67%</t>
  </si>
  <si>
    <t>1252.13%</t>
  </si>
  <si>
    <t>Zevra Therapeutics Inc</t>
  </si>
  <si>
    <t>29.64%</t>
  </si>
  <si>
    <t>158.57%</t>
  </si>
  <si>
    <t>481.73%</t>
  </si>
  <si>
    <t>-46.55%</t>
  </si>
  <si>
    <t>-97.41%</t>
  </si>
  <si>
    <t>-23.59%</t>
  </si>
  <si>
    <t>6.19 - 13.16</t>
  </si>
  <si>
    <t>-97.66%</t>
  </si>
  <si>
    <t>405.17%</t>
  </si>
  <si>
    <t>Paramount Skydance Corp</t>
  </si>
  <si>
    <t>-48.72%</t>
  </si>
  <si>
    <t>-40.72%</t>
  </si>
  <si>
    <t>27.18%</t>
  </si>
  <si>
    <t>81.63%</t>
  </si>
  <si>
    <t>9.48%</t>
  </si>
  <si>
    <t>9.95 - 20.86</t>
  </si>
  <si>
    <t>-81.66%</t>
  </si>
  <si>
    <t>49.24%</t>
  </si>
  <si>
    <t>77.25%</t>
  </si>
  <si>
    <t>ProPetro Holding Corp</t>
  </si>
  <si>
    <t>-35.29%</t>
  </si>
  <si>
    <t>-186.23%</t>
  </si>
  <si>
    <t>85.73%</t>
  </si>
  <si>
    <t>-11.10%</t>
  </si>
  <si>
    <t>11.28%</t>
  </si>
  <si>
    <t>-18.97%</t>
  </si>
  <si>
    <t>-13.92%</t>
  </si>
  <si>
    <t>-51.03%</t>
  </si>
  <si>
    <t>4.51 - 11.17</t>
  </si>
  <si>
    <t>-78.45%</t>
  </si>
  <si>
    <t>302.24%</t>
  </si>
  <si>
    <t>-27.83%</t>
  </si>
  <si>
    <t>-34.17%</t>
  </si>
  <si>
    <t>Calumet Inc</t>
  </si>
  <si>
    <t>1/29/2016</t>
  </si>
  <si>
    <t>61.45%</t>
  </si>
  <si>
    <t>-9.45%</t>
  </si>
  <si>
    <t>-400.00%</t>
  </si>
  <si>
    <t>51.28%</t>
  </si>
  <si>
    <t>43.95%</t>
  </si>
  <si>
    <t>-26.37%</t>
  </si>
  <si>
    <t>142.45%</t>
  </si>
  <si>
    <t>7.68 - 25.29</t>
  </si>
  <si>
    <t>-66.30%</t>
  </si>
  <si>
    <t>2170.73%</t>
  </si>
  <si>
    <t>19.90%</t>
  </si>
  <si>
    <t>38.44%</t>
  </si>
  <si>
    <t>American Resources Corporation</t>
  </si>
  <si>
    <t>-94.49%</t>
  </si>
  <si>
    <t>-63.30%</t>
  </si>
  <si>
    <t>-56.45%</t>
  </si>
  <si>
    <t>223.71%</t>
  </si>
  <si>
    <t>-4019.16%</t>
  </si>
  <si>
    <t>-10544.99%</t>
  </si>
  <si>
    <t>-12959.65%</t>
  </si>
  <si>
    <t>51.93%</t>
  </si>
  <si>
    <t>166.05%</t>
  </si>
  <si>
    <t>-10.39%</t>
  </si>
  <si>
    <t>176.90%</t>
  </si>
  <si>
    <t>628.68%</t>
  </si>
  <si>
    <t>0.38 - 3.09</t>
  </si>
  <si>
    <t>5438.00%</t>
  </si>
  <si>
    <t>241.85%</t>
  </si>
  <si>
    <t>422.45%</t>
  </si>
  <si>
    <t>288.90%</t>
  </si>
  <si>
    <t>Arvinas Inc</t>
  </si>
  <si>
    <t>70.01%</t>
  </si>
  <si>
    <t>43.71%</t>
  </si>
  <si>
    <t>-70.72%</t>
  </si>
  <si>
    <t>92.07%</t>
  </si>
  <si>
    <t>-230.43%</t>
  </si>
  <si>
    <t>-92.98%</t>
  </si>
  <si>
    <t>33.76%</t>
  </si>
  <si>
    <t>-72.65%</t>
  </si>
  <si>
    <t>37.27%</t>
  </si>
  <si>
    <t>5.90 - 29.61</t>
  </si>
  <si>
    <t>-92.53%</t>
  </si>
  <si>
    <t>-67.25%</t>
  </si>
  <si>
    <t>Core Scientific Inc</t>
  </si>
  <si>
    <t>-1117.00%</t>
  </si>
  <si>
    <t>-39.43%</t>
  </si>
  <si>
    <t>-44.28%</t>
  </si>
  <si>
    <t>44.37%</t>
  </si>
  <si>
    <t>89.85%</t>
  </si>
  <si>
    <t>167.98%</t>
  </si>
  <si>
    <t>6.20 - 18.63</t>
  </si>
  <si>
    <t>536.59%</t>
  </si>
  <si>
    <t>110.85%</t>
  </si>
  <si>
    <t>scPharmaceuticals Inc</t>
  </si>
  <si>
    <t>107.79%</t>
  </si>
  <si>
    <t>99.17%</t>
  </si>
  <si>
    <t>62.37%</t>
  </si>
  <si>
    <t>-133.16%</t>
  </si>
  <si>
    <t>-183.55%</t>
  </si>
  <si>
    <t>-10.19%</t>
  </si>
  <si>
    <t>190.72%</t>
  </si>
  <si>
    <t>1.94 - 6.28</t>
  </si>
  <si>
    <t>-68.96%</t>
  </si>
  <si>
    <t>45.74%</t>
  </si>
  <si>
    <t>85.53%</t>
  </si>
  <si>
    <t>Howmet Aerospace Inc</t>
  </si>
  <si>
    <t>68.44%</t>
  </si>
  <si>
    <t>22.24%</t>
  </si>
  <si>
    <t>23.36%</t>
  </si>
  <si>
    <t>95.80%</t>
  </si>
  <si>
    <t>96.56%</t>
  </si>
  <si>
    <t>97.86 - 194.69</t>
  </si>
  <si>
    <t>3079.17%</t>
  </si>
  <si>
    <t>93.67%</t>
  </si>
  <si>
    <t>Clear Channel Outdoor Holdings Inc</t>
  </si>
  <si>
    <t>134.23%</t>
  </si>
  <si>
    <t>15.37%</t>
  </si>
  <si>
    <t>20.92%</t>
  </si>
  <si>
    <t>-12.07%</t>
  </si>
  <si>
    <t>83.14%</t>
  </si>
  <si>
    <t>0.81 - 1.69</t>
  </si>
  <si>
    <t>-82.06%</t>
  </si>
  <si>
    <t>309.93%</t>
  </si>
  <si>
    <t>Devon Energy Corp</t>
  </si>
  <si>
    <t>-49.48%</t>
  </si>
  <si>
    <t>32.88%</t>
  </si>
  <si>
    <t>31.80%</t>
  </si>
  <si>
    <t>18.46%</t>
  </si>
  <si>
    <t>72.57%</t>
  </si>
  <si>
    <t>25.77%</t>
  </si>
  <si>
    <t>43.12%</t>
  </si>
  <si>
    <t>25.89 - 43.29</t>
  </si>
  <si>
    <t>-65.84%</t>
  </si>
  <si>
    <t>1005.60%</t>
  </si>
  <si>
    <t>-9.64%</t>
  </si>
  <si>
    <t>Sonos Inc</t>
  </si>
  <si>
    <t>45.57%</t>
  </si>
  <si>
    <t>-10.02%</t>
  </si>
  <si>
    <t>-13.19%</t>
  </si>
  <si>
    <t>104.46%</t>
  </si>
  <si>
    <t>93.59%</t>
  </si>
  <si>
    <t>43.29%</t>
  </si>
  <si>
    <t>51.22%</t>
  </si>
  <si>
    <t>100.52%</t>
  </si>
  <si>
    <t>7.62 - 15.95</t>
  </si>
  <si>
    <t>-65.81%</t>
  </si>
  <si>
    <t>132.37%</t>
  </si>
  <si>
    <t>Conoco Phillips</t>
  </si>
  <si>
    <t>83.21%</t>
  </si>
  <si>
    <t>27.83%</t>
  </si>
  <si>
    <t>79.88 - 116.08</t>
  </si>
  <si>
    <t>3249.23%</t>
  </si>
  <si>
    <t>-8.93%</t>
  </si>
  <si>
    <t>SpartanNash Co</t>
  </si>
  <si>
    <t>10000.00%</t>
  </si>
  <si>
    <t>-83.81%</t>
  </si>
  <si>
    <t>-44.02%</t>
  </si>
  <si>
    <t>95.71%</t>
  </si>
  <si>
    <t>24.92%</t>
  </si>
  <si>
    <t>17.30 - 27.07</t>
  </si>
  <si>
    <t>-33.38%</t>
  </si>
  <si>
    <t>2123.14%</t>
  </si>
  <si>
    <t>52.49%</t>
  </si>
  <si>
    <t>Hertz Global Holdings Inc</t>
  </si>
  <si>
    <t>-227.32%</t>
  </si>
  <si>
    <t>-79.95%</t>
  </si>
  <si>
    <t>110.20%</t>
  </si>
  <si>
    <t>-29.58%</t>
  </si>
  <si>
    <t>36.73%</t>
  </si>
  <si>
    <t>-26.46%</t>
  </si>
  <si>
    <t>149.28%</t>
  </si>
  <si>
    <t>2.77 - 9.39</t>
  </si>
  <si>
    <t>-84.99%</t>
  </si>
  <si>
    <t>179.55%</t>
  </si>
  <si>
    <t>63.24%</t>
  </si>
  <si>
    <t>WEC Energy Group Inc</t>
  </si>
  <si>
    <t>69.22%</t>
  </si>
  <si>
    <t>-13.49%</t>
  </si>
  <si>
    <t>91.94 - 112.88</t>
  </si>
  <si>
    <t>2567.99%</t>
  </si>
  <si>
    <t>18.76%</t>
  </si>
  <si>
    <t>Fedex Corp</t>
  </si>
  <si>
    <t>78.72%</t>
  </si>
  <si>
    <t>-22.58%</t>
  </si>
  <si>
    <t>22.94%</t>
  </si>
  <si>
    <t>194.29 - 308.53</t>
  </si>
  <si>
    <t>-25.33%</t>
  </si>
  <si>
    <t>3343.24%</t>
  </si>
  <si>
    <t>Fuelcell Energy Inc</t>
  </si>
  <si>
    <t>32.19%</t>
  </si>
  <si>
    <t>78.82%</t>
  </si>
  <si>
    <t>17.24%</t>
  </si>
  <si>
    <t>-162.10%</t>
  </si>
  <si>
    <t>15.76%</t>
  </si>
  <si>
    <t>-20.03%</t>
  </si>
  <si>
    <t>-86.76%</t>
  </si>
  <si>
    <t>-132.91%</t>
  </si>
  <si>
    <t>48.10%</t>
  </si>
  <si>
    <t>110.45%</t>
  </si>
  <si>
    <t>122.41%</t>
  </si>
  <si>
    <t>3.58 - 13.98</t>
  </si>
  <si>
    <t>61.69%</t>
  </si>
  <si>
    <t>-34.77%</t>
  </si>
  <si>
    <t>Protagenic Therapeutics Inc</t>
  </si>
  <si>
    <t>-30.32%</t>
  </si>
  <si>
    <t>92.00%</t>
  </si>
  <si>
    <t>2.25 - 15.26</t>
  </si>
  <si>
    <t>-48.66%</t>
  </si>
  <si>
    <t>Aflac Inc</t>
  </si>
  <si>
    <t>20.76%</t>
  </si>
  <si>
    <t>-17.57%</t>
  </si>
  <si>
    <t>59.56%</t>
  </si>
  <si>
    <t>96.95 - 115.50</t>
  </si>
  <si>
    <t>48190.18%</t>
  </si>
  <si>
    <t>QuantumScape Corp</t>
  </si>
  <si>
    <t>-34.46%</t>
  </si>
  <si>
    <t>27.88%</t>
  </si>
  <si>
    <t>97.45%</t>
  </si>
  <si>
    <t>-18.46%</t>
  </si>
  <si>
    <t>65.61%</t>
  </si>
  <si>
    <t>260.44%</t>
  </si>
  <si>
    <t>3.40 - 15.03</t>
  </si>
  <si>
    <t>-90.77%</t>
  </si>
  <si>
    <t>171.13%</t>
  </si>
  <si>
    <t>112.39%</t>
  </si>
  <si>
    <t>Kinetik Holdings Inc</t>
  </si>
  <si>
    <t>7/25/2025</t>
  </si>
  <si>
    <t>297.70%</t>
  </si>
  <si>
    <t>32.34%</t>
  </si>
  <si>
    <t>47.26%</t>
  </si>
  <si>
    <t>-5.31%</t>
  </si>
  <si>
    <t>39.25 - 67.60</t>
  </si>
  <si>
    <t>-55.89%</t>
  </si>
  <si>
    <t>883.47%</t>
  </si>
  <si>
    <t>TTM Technologies Inc</t>
  </si>
  <si>
    <t>99.23%</t>
  </si>
  <si>
    <t>19.25%</t>
  </si>
  <si>
    <t>16.78%</t>
  </si>
  <si>
    <t>69.54%</t>
  </si>
  <si>
    <t>245.37%</t>
  </si>
  <si>
    <t>15.77 - 58.74</t>
  </si>
  <si>
    <t>4440.00%</t>
  </si>
  <si>
    <t>152.92%</t>
  </si>
  <si>
    <t>191.18%</t>
  </si>
  <si>
    <t>C.H. Robinson Worldwide, Inc</t>
  </si>
  <si>
    <t>-3.42%</t>
  </si>
  <si>
    <t>38.43%</t>
  </si>
  <si>
    <t>57.38%</t>
  </si>
  <si>
    <t>84.68 - 138.00</t>
  </si>
  <si>
    <t>3608.38%</t>
  </si>
  <si>
    <t>Talos Energy Inc</t>
  </si>
  <si>
    <t>42.07%</t>
  </si>
  <si>
    <t>75.09%</t>
  </si>
  <si>
    <t>-8.91%</t>
  </si>
  <si>
    <t>64.17%</t>
  </si>
  <si>
    <t>6.23 - 12.71</t>
  </si>
  <si>
    <t>-99.76%</t>
  </si>
  <si>
    <t>104.40%</t>
  </si>
  <si>
    <t>Evergy Inc</t>
  </si>
  <si>
    <t>68.51%</t>
  </si>
  <si>
    <t>59.00 - 74.57</t>
  </si>
  <si>
    <t>768.39%</t>
  </si>
  <si>
    <t>Wells Fargo &amp; Co</t>
  </si>
  <si>
    <t>Banks - Diversified</t>
  </si>
  <si>
    <t>12.94%</t>
  </si>
  <si>
    <t>59.05%</t>
  </si>
  <si>
    <t>53.31 - 86.65</t>
  </si>
  <si>
    <t>9414.57%</t>
  </si>
  <si>
    <t>56.56%</t>
  </si>
  <si>
    <t>Relay Therapeutics Inc</t>
  </si>
  <si>
    <t>-23.05%</t>
  </si>
  <si>
    <t>-76.27%</t>
  </si>
  <si>
    <t>48.94%</t>
  </si>
  <si>
    <t>79.10%</t>
  </si>
  <si>
    <t>-4105.60%</t>
  </si>
  <si>
    <t>-3728.45%</t>
  </si>
  <si>
    <t>-40.49%</t>
  </si>
  <si>
    <t>155.55%</t>
  </si>
  <si>
    <t>1.77 - 7.62</t>
  </si>
  <si>
    <t>-92.95%</t>
  </si>
  <si>
    <t>51.71%</t>
  </si>
  <si>
    <t>-37.78%</t>
  </si>
  <si>
    <t>Emergent Biosolutions Inc</t>
  </si>
  <si>
    <t>-44.68%</t>
  </si>
  <si>
    <t>138.71%</t>
  </si>
  <si>
    <t>74.46%</t>
  </si>
  <si>
    <t>46.25%</t>
  </si>
  <si>
    <t>12.92%</t>
  </si>
  <si>
    <t>121.14%</t>
  </si>
  <si>
    <t>4.02 - 12.73</t>
  </si>
  <si>
    <t>-93.54%</t>
  </si>
  <si>
    <t>526.06%</t>
  </si>
  <si>
    <t>80.69%</t>
  </si>
  <si>
    <t>45.50%</t>
  </si>
  <si>
    <t>Helix Energy Solutions Group Inc</t>
  </si>
  <si>
    <t>-169.44%</t>
  </si>
  <si>
    <t>90.38%</t>
  </si>
  <si>
    <t>-44.03%</t>
  </si>
  <si>
    <t>5.52 - 12.33</t>
  </si>
  <si>
    <t>-85.43%</t>
  </si>
  <si>
    <t>597.08%</t>
  </si>
  <si>
    <t>-19.19%</t>
  </si>
  <si>
    <t>Hong Kong Pharma Digital Technology Holdings Ltd</t>
  </si>
  <si>
    <t>Pharmaceutical Retailers</t>
  </si>
  <si>
    <t>-6.03%</t>
  </si>
  <si>
    <t>19.76%</t>
  </si>
  <si>
    <t>29.92%</t>
  </si>
  <si>
    <t>-36.63%</t>
  </si>
  <si>
    <t>70.31%</t>
  </si>
  <si>
    <t>101.83%</t>
  </si>
  <si>
    <t>0.81 - 3.79</t>
  </si>
  <si>
    <t>Dayforce Inc</t>
  </si>
  <si>
    <t>-26.59%</t>
  </si>
  <si>
    <t>105.03%</t>
  </si>
  <si>
    <t>51.57%</t>
  </si>
  <si>
    <t>-16.71%</t>
  </si>
  <si>
    <t>43.46%</t>
  </si>
  <si>
    <t>48.01 - 82.69</t>
  </si>
  <si>
    <t>-47.17%</t>
  </si>
  <si>
    <t>140.38%</t>
  </si>
  <si>
    <t>Heritage Distilling Holding Co. Inc</t>
  </si>
  <si>
    <t>44.87%</t>
  </si>
  <si>
    <t>52.79%</t>
  </si>
  <si>
    <t>-36.85%</t>
  </si>
  <si>
    <t>118.16%</t>
  </si>
  <si>
    <t>-79.00%</t>
  </si>
  <si>
    <t>216.23%</t>
  </si>
  <si>
    <t>0.27 - 4.00</t>
  </si>
  <si>
    <t>121.03%</t>
  </si>
  <si>
    <t>52.27%</t>
  </si>
  <si>
    <t>Talphera Inc</t>
  </si>
  <si>
    <t>48.17%</t>
  </si>
  <si>
    <t>-93.22%</t>
  </si>
  <si>
    <t>-49459.26%</t>
  </si>
  <si>
    <t>-41870.37%</t>
  </si>
  <si>
    <t>51.39%</t>
  </si>
  <si>
    <t>59.66%</t>
  </si>
  <si>
    <t>133.04%</t>
  </si>
  <si>
    <t>136.84%</t>
  </si>
  <si>
    <t>0.38 - 1.20</t>
  </si>
  <si>
    <t>-99.67%</t>
  </si>
  <si>
    <t>Par Pacific Holdings Inc</t>
  </si>
  <si>
    <t>25.07%</t>
  </si>
  <si>
    <t>119.07%</t>
  </si>
  <si>
    <t>71.66%</t>
  </si>
  <si>
    <t>97.82%</t>
  </si>
  <si>
    <t>70.87%</t>
  </si>
  <si>
    <t>216.27%</t>
  </si>
  <si>
    <t>11.86 - 38.60</t>
  </si>
  <si>
    <t>6207.32%</t>
  </si>
  <si>
    <t>41.02%</t>
  </si>
  <si>
    <t>153.45%</t>
  </si>
  <si>
    <t>105.76%</t>
  </si>
  <si>
    <t>Onto Innovation Inc</t>
  </si>
  <si>
    <t>9.18%</t>
  </si>
  <si>
    <t>101.40%</t>
  </si>
  <si>
    <t>48.92%</t>
  </si>
  <si>
    <t>85.88 - 228.42</t>
  </si>
  <si>
    <t>-46.47%</t>
  </si>
  <si>
    <t>40759.43%</t>
  </si>
  <si>
    <t>Premier Inc</t>
  </si>
  <si>
    <t>380.95%</t>
  </si>
  <si>
    <t>-53.44%</t>
  </si>
  <si>
    <t>-46.09%</t>
  </si>
  <si>
    <t>-24.79%</t>
  </si>
  <si>
    <t>-24.96%</t>
  </si>
  <si>
    <t>26.25%</t>
  </si>
  <si>
    <t>93.72%</t>
  </si>
  <si>
    <t>27.65%</t>
  </si>
  <si>
    <t>33.24%</t>
  </si>
  <si>
    <t>61.28%</t>
  </si>
  <si>
    <t>17.23 - 28.79</t>
  </si>
  <si>
    <t>-41.17%</t>
  </si>
  <si>
    <t>44.76%</t>
  </si>
  <si>
    <t>41.81%</t>
  </si>
  <si>
    <t>Beeline Holdings Inc</t>
  </si>
  <si>
    <t>-24.58%</t>
  </si>
  <si>
    <t>-20.16%</t>
  </si>
  <si>
    <t>-41.84%</t>
  </si>
  <si>
    <t>-91.07%</t>
  </si>
  <si>
    <t>-81.57%</t>
  </si>
  <si>
    <t>19.57%</t>
  </si>
  <si>
    <t>33.84%</t>
  </si>
  <si>
    <t>73.34%</t>
  </si>
  <si>
    <t>211.54%</t>
  </si>
  <si>
    <t>-61.43%</t>
  </si>
  <si>
    <t>553.02%</t>
  </si>
  <si>
    <t>0.62 - 10.50</t>
  </si>
  <si>
    <t>202.24%</t>
  </si>
  <si>
    <t>104.55%</t>
  </si>
  <si>
    <t>Macy's Inc</t>
  </si>
  <si>
    <t>117.05%</t>
  </si>
  <si>
    <t>90.34%</t>
  </si>
  <si>
    <t>47.27%</t>
  </si>
  <si>
    <t>77.60%</t>
  </si>
  <si>
    <t>9.76 - 18.13</t>
  </si>
  <si>
    <t>-76.45%</t>
  </si>
  <si>
    <t>295.75%</t>
  </si>
  <si>
    <t>52.72%</t>
  </si>
  <si>
    <t>31.52%</t>
  </si>
  <si>
    <t>TechnipFMC plc</t>
  </si>
  <si>
    <t>-17.40%</t>
  </si>
  <si>
    <t>301.79%</t>
  </si>
  <si>
    <t>-14.61%</t>
  </si>
  <si>
    <t>98.34%</t>
  </si>
  <si>
    <t>82.64%</t>
  </si>
  <si>
    <t>22.11 - 41.29</t>
  </si>
  <si>
    <t>1040.48%</t>
  </si>
  <si>
    <t>16.94%</t>
  </si>
  <si>
    <t>Viavi Solutions Inc</t>
  </si>
  <si>
    <t>97.79%</t>
  </si>
  <si>
    <t>56.84%</t>
  </si>
  <si>
    <t>50.62%</t>
  </si>
  <si>
    <t>8.10 - 12.91</t>
  </si>
  <si>
    <t>-98.25%</t>
  </si>
  <si>
    <t>1171.62%</t>
  </si>
  <si>
    <t>39.75%</t>
  </si>
  <si>
    <t>Community Health Systems, Inc</t>
  </si>
  <si>
    <t>53.47%</t>
  </si>
  <si>
    <t>52.20%</t>
  </si>
  <si>
    <t>77.15%</t>
  </si>
  <si>
    <t>6.97%</t>
  </si>
  <si>
    <t>41.85%</t>
  </si>
  <si>
    <t>2.24 - 6.27</t>
  </si>
  <si>
    <t>-94.06%</t>
  </si>
  <si>
    <t>-48.89%</t>
  </si>
  <si>
    <t>Diamondback Energy Inc</t>
  </si>
  <si>
    <t>64.41%</t>
  </si>
  <si>
    <t>51.78%</t>
  </si>
  <si>
    <t>48.13%</t>
  </si>
  <si>
    <t>59.06%</t>
  </si>
  <si>
    <t>37.63%</t>
  </si>
  <si>
    <t>-25.12%</t>
  </si>
  <si>
    <t>114.00 - 200.47</t>
  </si>
  <si>
    <t>-29.50%</t>
  </si>
  <si>
    <t>1040.86%</t>
  </si>
  <si>
    <t>7.40%</t>
  </si>
  <si>
    <t>-6.31%</t>
  </si>
  <si>
    <t>-19.04%</t>
  </si>
  <si>
    <t>Mueller Industries, Inc</t>
  </si>
  <si>
    <t>45.45%</t>
  </si>
  <si>
    <t>26.60%</t>
  </si>
  <si>
    <t>22.40%</t>
  </si>
  <si>
    <t>50.49%</t>
  </si>
  <si>
    <t>66.84 - 102.75</t>
  </si>
  <si>
    <t>29535.27%</t>
  </si>
  <si>
    <t>26.36%</t>
  </si>
  <si>
    <t>40.82%</t>
  </si>
  <si>
    <t>Amphenol Corp</t>
  </si>
  <si>
    <t>56.53%</t>
  </si>
  <si>
    <t>-39.82%</t>
  </si>
  <si>
    <t>96.76%</t>
  </si>
  <si>
    <t>34.73%</t>
  </si>
  <si>
    <t>23.01%</t>
  </si>
  <si>
    <t>116.32%</t>
  </si>
  <si>
    <t>56.45 - 126.06</t>
  </si>
  <si>
    <t>152394.83%</t>
  </si>
  <si>
    <t>84.60%</t>
  </si>
  <si>
    <t>HCA Healthcare Inc</t>
  </si>
  <si>
    <t>64.08%</t>
  </si>
  <si>
    <t>26.96%</t>
  </si>
  <si>
    <t>44.48%</t>
  </si>
  <si>
    <t>289.98 - 420.98</t>
  </si>
  <si>
    <t>2969.75%</t>
  </si>
  <si>
    <t>Micron Technology Inc</t>
  </si>
  <si>
    <t>48.85%</t>
  </si>
  <si>
    <t>-10.76%</t>
  </si>
  <si>
    <t>80.75%</t>
  </si>
  <si>
    <t>157.13%</t>
  </si>
  <si>
    <t>61.54 - 170.45</t>
  </si>
  <si>
    <t>46785.90%</t>
  </si>
  <si>
    <t>26.84%</t>
  </si>
  <si>
    <t>73.58%</t>
  </si>
  <si>
    <t>68.34%</t>
  </si>
  <si>
    <t>NET Power Inc</t>
  </si>
  <si>
    <t>-43.42%</t>
  </si>
  <si>
    <t>-211.42%</t>
  </si>
  <si>
    <t>-707416.67%</t>
  </si>
  <si>
    <t>24.81%</t>
  </si>
  <si>
    <t>-31.82%</t>
  </si>
  <si>
    <t>-78.95%</t>
  </si>
  <si>
    <t>103.04%</t>
  </si>
  <si>
    <t>1.48 - 14.28</t>
  </si>
  <si>
    <t>-82.95%</t>
  </si>
  <si>
    <t>Albemarle Corp</t>
  </si>
  <si>
    <t>-33.05%</t>
  </si>
  <si>
    <t>17.35%</t>
  </si>
  <si>
    <t>113.14%</t>
  </si>
  <si>
    <t>97.17%</t>
  </si>
  <si>
    <t>-22.78%</t>
  </si>
  <si>
    <t>77.95%</t>
  </si>
  <si>
    <t>49.43 - 113.91</t>
  </si>
  <si>
    <t>-73.71%</t>
  </si>
  <si>
    <t>1336.08%</t>
  </si>
  <si>
    <t>Brighthouse Financial Inc</t>
  </si>
  <si>
    <t>59.27%</t>
  </si>
  <si>
    <t>-38.96%</t>
  </si>
  <si>
    <t>86.76%</t>
  </si>
  <si>
    <t>32.47%</t>
  </si>
  <si>
    <t>-13.08%</t>
  </si>
  <si>
    <t>42.07 - 64.12</t>
  </si>
  <si>
    <t>-25.69%</t>
  </si>
  <si>
    <t>362.49%</t>
  </si>
  <si>
    <t>Rambus Inc</t>
  </si>
  <si>
    <t>117.81%</t>
  </si>
  <si>
    <t>25.53%</t>
  </si>
  <si>
    <t>35.17%</t>
  </si>
  <si>
    <t>91.31%</t>
  </si>
  <si>
    <t>154.19%</t>
  </si>
  <si>
    <t>39.56 - 109.15</t>
  </si>
  <si>
    <t>-20.82%</t>
  </si>
  <si>
    <t>3164.89%</t>
  </si>
  <si>
    <t>57.12%</t>
  </si>
  <si>
    <t>81.38%</t>
  </si>
  <si>
    <t>160.11%</t>
  </si>
  <si>
    <t>MDU Resources Group Inc</t>
  </si>
  <si>
    <t>-26.09%</t>
  </si>
  <si>
    <t>-40.60%</t>
  </si>
  <si>
    <t>-19.92%</t>
  </si>
  <si>
    <t>-66.48%</t>
  </si>
  <si>
    <t>79.45%</t>
  </si>
  <si>
    <t>14.82 - 20.39</t>
  </si>
  <si>
    <t>1676.67%</t>
  </si>
  <si>
    <t>BILL Holdings Inc</t>
  </si>
  <si>
    <t>10.41%</t>
  </si>
  <si>
    <t>56.14%</t>
  </si>
  <si>
    <t>11.55%</t>
  </si>
  <si>
    <t>27.47%</t>
  </si>
  <si>
    <t>46.74%</t>
  </si>
  <si>
    <t>36.55 - 100.19</t>
  </si>
  <si>
    <t>127.17%</t>
  </si>
  <si>
    <t>T1 Energy Inc</t>
  </si>
  <si>
    <t>43.64%</t>
  </si>
  <si>
    <t>-235.06%</t>
  </si>
  <si>
    <t>90.87%</t>
  </si>
  <si>
    <t>-34.67%</t>
  </si>
  <si>
    <t>138.59%</t>
  </si>
  <si>
    <t>0.92 - 3.36</t>
  </si>
  <si>
    <t>-87.04%</t>
  </si>
  <si>
    <t>141.10%</t>
  </si>
  <si>
    <t>117.33%</t>
  </si>
  <si>
    <t>First Solar Inc</t>
  </si>
  <si>
    <t>39.95%</t>
  </si>
  <si>
    <t>105.45%</t>
  </si>
  <si>
    <t>42.99%</t>
  </si>
  <si>
    <t>28.95%</t>
  </si>
  <si>
    <t>-3.39%</t>
  </si>
  <si>
    <t>31.62%</t>
  </si>
  <si>
    <t>89.25%</t>
  </si>
  <si>
    <t>116.56 - 262.72</t>
  </si>
  <si>
    <t>1829.92%</t>
  </si>
  <si>
    <t>44.99%</t>
  </si>
  <si>
    <t>74.24%</t>
  </si>
  <si>
    <t>Workday Inc</t>
  </si>
  <si>
    <t>156.63%</t>
  </si>
  <si>
    <t>20.79%</t>
  </si>
  <si>
    <t>73.10%</t>
  </si>
  <si>
    <t>75.48%</t>
  </si>
  <si>
    <t>-16.48%</t>
  </si>
  <si>
    <t>205.33 - 294.00</t>
  </si>
  <si>
    <t>-21.11%</t>
  </si>
  <si>
    <t>445.07%</t>
  </si>
  <si>
    <t>Lexicon Pharmaceuticals Inc</t>
  </si>
  <si>
    <t>31.00%</t>
  </si>
  <si>
    <t>1504.83%</t>
  </si>
  <si>
    <t>370.72%</t>
  </si>
  <si>
    <t>-37.35%</t>
  </si>
  <si>
    <t>1652.64%</t>
  </si>
  <si>
    <t>113.33%</t>
  </si>
  <si>
    <t>23.95%</t>
  </si>
  <si>
    <t>98.14%</t>
  </si>
  <si>
    <t>-187.35%</t>
  </si>
  <si>
    <t>-206.43%</t>
  </si>
  <si>
    <t>66.19%</t>
  </si>
  <si>
    <t>33.00%</t>
  </si>
  <si>
    <t>368.97%</t>
  </si>
  <si>
    <t>0.28 - 2.17</t>
  </si>
  <si>
    <t>282.62%</t>
  </si>
  <si>
    <t>-15.82%</t>
  </si>
  <si>
    <t>Cleveland-Cliffs Inc</t>
  </si>
  <si>
    <t>4/2/2020</t>
  </si>
  <si>
    <t>-7.84%</t>
  </si>
  <si>
    <t>116.87%</t>
  </si>
  <si>
    <t>5.63 - 14.34</t>
  </si>
  <si>
    <t>-89.93%</t>
  </si>
  <si>
    <t>2440.41%</t>
  </si>
  <si>
    <t>64.56%</t>
  </si>
  <si>
    <t>30.87%</t>
  </si>
  <si>
    <t>Robot Consulting Co Ltd. ADR</t>
  </si>
  <si>
    <t>30.58%</t>
  </si>
  <si>
    <t>41.43%</t>
  </si>
  <si>
    <t>121.70%</t>
  </si>
  <si>
    <t>1.50 - 4.84</t>
  </si>
  <si>
    <t>General Dynamics Corp</t>
  </si>
  <si>
    <t>-23.79%</t>
  </si>
  <si>
    <t>37.30%</t>
  </si>
  <si>
    <t>239.20 - 330.18</t>
  </si>
  <si>
    <t>23155.71%</t>
  </si>
  <si>
    <t>21.87%</t>
  </si>
  <si>
    <t>Bank Of New York Mellon Corp</t>
  </si>
  <si>
    <t>70.41 - 110.87</t>
  </si>
  <si>
    <t>6115.92%</t>
  </si>
  <si>
    <t>19.58%</t>
  </si>
  <si>
    <t>29.06%</t>
  </si>
  <si>
    <t>Tenet Healthcare Corp</t>
  </si>
  <si>
    <t>98.16%</t>
  </si>
  <si>
    <t>30.53%</t>
  </si>
  <si>
    <t>34.84%</t>
  </si>
  <si>
    <t>109.82 - 199.99</t>
  </si>
  <si>
    <t>6235.90%</t>
  </si>
  <si>
    <t>Century Aluminum Co</t>
  </si>
  <si>
    <t>60.65%</t>
  </si>
  <si>
    <t>103.64%</t>
  </si>
  <si>
    <t>13.05 - 28.43</t>
  </si>
  <si>
    <t>-67.00%</t>
  </si>
  <si>
    <t>2455.29%</t>
  </si>
  <si>
    <t>47.23%</t>
  </si>
  <si>
    <t>Chart Industries Inc</t>
  </si>
  <si>
    <t>42.29%</t>
  </si>
  <si>
    <t>22.47%</t>
  </si>
  <si>
    <t>108.56%</t>
  </si>
  <si>
    <t>91.26%</t>
  </si>
  <si>
    <t>104.60 - 220.03</t>
  </si>
  <si>
    <t>3769.63%</t>
  </si>
  <si>
    <t>60.66%</t>
  </si>
  <si>
    <t>Tenaya Therapeutics Inc</t>
  </si>
  <si>
    <t>42.94%</t>
  </si>
  <si>
    <t>136.10%</t>
  </si>
  <si>
    <t>-62.18%</t>
  </si>
  <si>
    <t>321.25%</t>
  </si>
  <si>
    <t>0.36 - 4.01</t>
  </si>
  <si>
    <t>-95.26%</t>
  </si>
  <si>
    <t>148.77%</t>
  </si>
  <si>
    <t>119.21%</t>
  </si>
  <si>
    <t>-23.02%</t>
  </si>
  <si>
    <t>Tango Therapeutics Inc</t>
  </si>
  <si>
    <t>-42.84%</t>
  </si>
  <si>
    <t>73.26%</t>
  </si>
  <si>
    <t>-647.34%</t>
  </si>
  <si>
    <t>-599.11%</t>
  </si>
  <si>
    <t>112.56%</t>
  </si>
  <si>
    <t>689.81%</t>
  </si>
  <si>
    <t>1.03 - 8.19</t>
  </si>
  <si>
    <t>-56.82%</t>
  </si>
  <si>
    <t>62.38%</t>
  </si>
  <si>
    <t>405.28%</t>
  </si>
  <si>
    <t>Western Midstream Partners LP</t>
  </si>
  <si>
    <t>33.86%</t>
  </si>
  <si>
    <t>33.60 - 43.33</t>
  </si>
  <si>
    <t>-39.13%</t>
  </si>
  <si>
    <t>1290.26%</t>
  </si>
  <si>
    <t>California Resources Corporation</t>
  </si>
  <si>
    <t>101.94%</t>
  </si>
  <si>
    <t>30.20%</t>
  </si>
  <si>
    <t>-14.43%</t>
  </si>
  <si>
    <t>61.30%</t>
  </si>
  <si>
    <t>93.58%</t>
  </si>
  <si>
    <t>39.45%</t>
  </si>
  <si>
    <t>18.22%</t>
  </si>
  <si>
    <t>83.58%</t>
  </si>
  <si>
    <t>30.97 - 60.41</t>
  </si>
  <si>
    <t>417.33%</t>
  </si>
  <si>
    <t>EQT Corp</t>
  </si>
  <si>
    <t>140.56%</t>
  </si>
  <si>
    <t>59.12%</t>
  </si>
  <si>
    <t>106.22%</t>
  </si>
  <si>
    <t>90.30%</t>
  </si>
  <si>
    <t>35.00 - 61.02</t>
  </si>
  <si>
    <t>3066.76%</t>
  </si>
  <si>
    <t>52.97%</t>
  </si>
  <si>
    <t>Allstate Corp</t>
  </si>
  <si>
    <t>-16.59%</t>
  </si>
  <si>
    <t>81.01%</t>
  </si>
  <si>
    <t>176.00 - 214.76</t>
  </si>
  <si>
    <t>1781.61%</t>
  </si>
  <si>
    <t>Lucid Group Inc</t>
  </si>
  <si>
    <t>41.98%</t>
  </si>
  <si>
    <t>39.01%</t>
  </si>
  <si>
    <t>210.02%</t>
  </si>
  <si>
    <t>277.54%</t>
  </si>
  <si>
    <t>-99.26%</t>
  </si>
  <si>
    <t>-322.76%</t>
  </si>
  <si>
    <t>-329.06%</t>
  </si>
  <si>
    <t>5.82%</t>
  </si>
  <si>
    <t>-29.51%</t>
  </si>
  <si>
    <t>-36.31%</t>
  </si>
  <si>
    <t>15.25 - 37.30</t>
  </si>
  <si>
    <t>-96.34%</t>
  </si>
  <si>
    <t>Brookdale Senior Living Inc</t>
  </si>
  <si>
    <t>10/8/2008</t>
  </si>
  <si>
    <t>-35.03%</t>
  </si>
  <si>
    <t>91.17%</t>
  </si>
  <si>
    <t>31.04%</t>
  </si>
  <si>
    <t>88.20%</t>
  </si>
  <si>
    <t>4.45 - 8.55</t>
  </si>
  <si>
    <t>-84.56%</t>
  </si>
  <si>
    <t>469.73%</t>
  </si>
  <si>
    <t>23.53%</t>
  </si>
  <si>
    <t>Amprius Technologies Inc</t>
  </si>
  <si>
    <t>-65.67%</t>
  </si>
  <si>
    <t>-56.97%</t>
  </si>
  <si>
    <t>209.20%</t>
  </si>
  <si>
    <t>105.81%</t>
  </si>
  <si>
    <t>383.05%</t>
  </si>
  <si>
    <t>30.66%</t>
  </si>
  <si>
    <t>-132.12%</t>
  </si>
  <si>
    <t>-135.54%</t>
  </si>
  <si>
    <t>18.95%</t>
  </si>
  <si>
    <t>150.78%</t>
  </si>
  <si>
    <t>-11.60%</t>
  </si>
  <si>
    <t>1120.22%</t>
  </si>
  <si>
    <t>0.89 - 12.29</t>
  </si>
  <si>
    <t>-58.25%</t>
  </si>
  <si>
    <t>1671.04%</t>
  </si>
  <si>
    <t>166.83%</t>
  </si>
  <si>
    <t>268.14%</t>
  </si>
  <si>
    <t>1042.32%</t>
  </si>
  <si>
    <t>OneMedNet Corp</t>
  </si>
  <si>
    <t>-31.72%</t>
  </si>
  <si>
    <t>-142.83%</t>
  </si>
  <si>
    <t>-2030.43%</t>
  </si>
  <si>
    <t>-728.70%</t>
  </si>
  <si>
    <t>44.34%</t>
  </si>
  <si>
    <t>136.36%</t>
  </si>
  <si>
    <t>246.67%</t>
  </si>
  <si>
    <t>0.30 - 1.56</t>
  </si>
  <si>
    <t>80.56%</t>
  </si>
  <si>
    <t>80.40%</t>
  </si>
  <si>
    <t>NextEra Energy Inc</t>
  </si>
  <si>
    <t>61.07%</t>
  </si>
  <si>
    <t>36.79%</t>
  </si>
  <si>
    <t>-12.34%</t>
  </si>
  <si>
    <t>22.29%</t>
  </si>
  <si>
    <t>61.72 - 86.10</t>
  </si>
  <si>
    <t>3325.82%</t>
  </si>
  <si>
    <t>Helmerich &amp; Payne, Inc</t>
  </si>
  <si>
    <t>11/18/2025</t>
  </si>
  <si>
    <t>-19.68%</t>
  </si>
  <si>
    <t>44.07%</t>
  </si>
  <si>
    <t>31.27%</t>
  </si>
  <si>
    <t>49.19%</t>
  </si>
  <si>
    <t>99.01%</t>
  </si>
  <si>
    <t>20.09%</t>
  </si>
  <si>
    <t>-39.85%</t>
  </si>
  <si>
    <t>53.81%</t>
  </si>
  <si>
    <t>14.65 - 37.46</t>
  </si>
  <si>
    <t>-80.26%</t>
  </si>
  <si>
    <t>652.84%</t>
  </si>
  <si>
    <t>46.32%</t>
  </si>
  <si>
    <t>-31.43%</t>
  </si>
  <si>
    <t>TJX Companies, Inc</t>
  </si>
  <si>
    <t>11/13/2025</t>
  </si>
  <si>
    <t>-2.40%</t>
  </si>
  <si>
    <t>111.22 - 145.58</t>
  </si>
  <si>
    <t>69574.96%</t>
  </si>
  <si>
    <t>20.77%</t>
  </si>
  <si>
    <t>Myriad Genetics, Inc</t>
  </si>
  <si>
    <t>-59.13%</t>
  </si>
  <si>
    <t>741.03%</t>
  </si>
  <si>
    <t>97.90%</t>
  </si>
  <si>
    <t>68.05%</t>
  </si>
  <si>
    <t>-47.45%</t>
  </si>
  <si>
    <t>27.72%</t>
  </si>
  <si>
    <t>104.65%</t>
  </si>
  <si>
    <t>-72.07%</t>
  </si>
  <si>
    <t>3.76 - 27.55</t>
  </si>
  <si>
    <t>-88.31%</t>
  </si>
  <si>
    <t>461.33%</t>
  </si>
  <si>
    <t>46.57%</t>
  </si>
  <si>
    <t>-16.54%</t>
  </si>
  <si>
    <t>-71.02%</t>
  </si>
  <si>
    <t>Ondas Holdings Inc</t>
  </si>
  <si>
    <t>76.42%</t>
  </si>
  <si>
    <t>86.31%</t>
  </si>
  <si>
    <t>554.94%</t>
  </si>
  <si>
    <t>-227.74%</t>
  </si>
  <si>
    <t>-307.19%</t>
  </si>
  <si>
    <t>11.47%</t>
  </si>
  <si>
    <t>65.37%</t>
  </si>
  <si>
    <t>241.65%</t>
  </si>
  <si>
    <t>318.37%</t>
  </si>
  <si>
    <t>1206.49%</t>
  </si>
  <si>
    <t>0.57 - 8.12</t>
  </si>
  <si>
    <t>-61.81%</t>
  </si>
  <si>
    <t>2267.13%</t>
  </si>
  <si>
    <t>306.94%</t>
  </si>
  <si>
    <t>644.85%</t>
  </si>
  <si>
    <t>967.36%</t>
  </si>
  <si>
    <t>Genworth Financial Inc</t>
  </si>
  <si>
    <t>87.81%</t>
  </si>
  <si>
    <t>5.99 - 9.08</t>
  </si>
  <si>
    <t>-75.72%</t>
  </si>
  <si>
    <t>1188.89%</t>
  </si>
  <si>
    <t>Kodiak Gas Services Inc</t>
  </si>
  <si>
    <t>315.79%</t>
  </si>
  <si>
    <t>279.84%</t>
  </si>
  <si>
    <t>-38.38%</t>
  </si>
  <si>
    <t>-37.56%</t>
  </si>
  <si>
    <t>73.38%</t>
  </si>
  <si>
    <t>40.02%</t>
  </si>
  <si>
    <t>-26.16%</t>
  </si>
  <si>
    <t>28.37 - 50.43</t>
  </si>
  <si>
    <t>147.41%</t>
  </si>
  <si>
    <t>TG Therapeutics Inc</t>
  </si>
  <si>
    <t>145.26%</t>
  </si>
  <si>
    <t>266.39%</t>
  </si>
  <si>
    <t>364.59%</t>
  </si>
  <si>
    <t>92.13%</t>
  </si>
  <si>
    <t>64.26%</t>
  </si>
  <si>
    <t>38.37%</t>
  </si>
  <si>
    <t>-24.74%</t>
  </si>
  <si>
    <t>65.31%</t>
  </si>
  <si>
    <t>21.16 - 46.48</t>
  </si>
  <si>
    <t>3558.04%</t>
  </si>
  <si>
    <t>-12.99%</t>
  </si>
  <si>
    <t>Welltower Inc</t>
  </si>
  <si>
    <t>310.57%</t>
  </si>
  <si>
    <t>53.26%</t>
  </si>
  <si>
    <t>19.56%</t>
  </si>
  <si>
    <t>122.34 - 173.22</t>
  </si>
  <si>
    <t>1802.13%</t>
  </si>
  <si>
    <t>Lyft Inc</t>
  </si>
  <si>
    <t>29.45%</t>
  </si>
  <si>
    <t>92.49%</t>
  </si>
  <si>
    <t>122.98%</t>
  </si>
  <si>
    <t>9.66 - 23.50</t>
  </si>
  <si>
    <t>-75.69%</t>
  </si>
  <si>
    <t>174.39%</t>
  </si>
  <si>
    <t>37.02%</t>
  </si>
  <si>
    <t>77.43%</t>
  </si>
  <si>
    <t>Delek US Holdings Inc</t>
  </si>
  <si>
    <t>-29.94%</t>
  </si>
  <si>
    <t>-19.20%</t>
  </si>
  <si>
    <t>109.86%</t>
  </si>
  <si>
    <t>-8.03%</t>
  </si>
  <si>
    <t>68.98%</t>
  </si>
  <si>
    <t>69.10%</t>
  </si>
  <si>
    <t>203.85%</t>
  </si>
  <si>
    <t>11.02 - 34.50</t>
  </si>
  <si>
    <t>-45.13%</t>
  </si>
  <si>
    <t>923.09%</t>
  </si>
  <si>
    <t>58.09%</t>
  </si>
  <si>
    <t>108.33%</t>
  </si>
  <si>
    <t>Sally Beauty Holdings Inc</t>
  </si>
  <si>
    <t>124.39%</t>
  </si>
  <si>
    <t>110.74%</t>
  </si>
  <si>
    <t>7.54 - 15.92</t>
  </si>
  <si>
    <t>-54.95%</t>
  </si>
  <si>
    <t>497.36%</t>
  </si>
  <si>
    <t>76.36%</t>
  </si>
  <si>
    <t>Lattice Semiconductor Corp</t>
  </si>
  <si>
    <t>58.95%</t>
  </si>
  <si>
    <t>54.73%</t>
  </si>
  <si>
    <t>107.12%</t>
  </si>
  <si>
    <t>34.69 - 76.61</t>
  </si>
  <si>
    <t>-26.92%</t>
  </si>
  <si>
    <t>8741.85%</t>
  </si>
  <si>
    <t>21.45%</t>
  </si>
  <si>
    <t>37.44%</t>
  </si>
  <si>
    <t>i-80 Gold Corp</t>
  </si>
  <si>
    <t>-117.20%</t>
  </si>
  <si>
    <t>40.21%</t>
  </si>
  <si>
    <t>287.47%</t>
  </si>
  <si>
    <t>41.59%</t>
  </si>
  <si>
    <t>-53.17%</t>
  </si>
  <si>
    <t>-101.12%</t>
  </si>
  <si>
    <t>-172.60%</t>
  </si>
  <si>
    <t>181.24%</t>
  </si>
  <si>
    <t>0.34 - 1.26</t>
  </si>
  <si>
    <t>-70.92%</t>
  </si>
  <si>
    <t>57.64%</t>
  </si>
  <si>
    <t>51.07%</t>
  </si>
  <si>
    <t>-13.30%</t>
  </si>
  <si>
    <t>American Express Co</t>
  </si>
  <si>
    <t>86.75%</t>
  </si>
  <si>
    <t>61.02%</t>
  </si>
  <si>
    <t>220.43 - 349.19</t>
  </si>
  <si>
    <t>14198.51%</t>
  </si>
  <si>
    <t>RTX Corp</t>
  </si>
  <si>
    <t>-11.13%</t>
  </si>
  <si>
    <t>112.27 - 163.03</t>
  </si>
  <si>
    <t>7703.90%</t>
  </si>
  <si>
    <t>Goldman Sachs Group, Inc</t>
  </si>
  <si>
    <t>-11.98%</t>
  </si>
  <si>
    <t>74.18%</t>
  </si>
  <si>
    <t>26.08%</t>
  </si>
  <si>
    <t>82.34%</t>
  </si>
  <si>
    <t>439.38 - 825.25</t>
  </si>
  <si>
    <t>1589.88%</t>
  </si>
  <si>
    <t>60.87%</t>
  </si>
  <si>
    <t>Exxon Mobil Corp</t>
  </si>
  <si>
    <t>66.29%</t>
  </si>
  <si>
    <t>-6.95%</t>
  </si>
  <si>
    <t>20.21%</t>
  </si>
  <si>
    <t>97.80 - 126.34</t>
  </si>
  <si>
    <t>2504.10%</t>
  </si>
  <si>
    <t>Centene Corp</t>
  </si>
  <si>
    <t>40.38%</t>
  </si>
  <si>
    <t>22.36%</t>
  </si>
  <si>
    <t>-243.37%</t>
  </si>
  <si>
    <t>98.53%</t>
  </si>
  <si>
    <t>-30.88%</t>
  </si>
  <si>
    <t>38.82%</t>
  </si>
  <si>
    <t>-53.80%</t>
  </si>
  <si>
    <t>25.08 - 75.35</t>
  </si>
  <si>
    <t>-64.67%</t>
  </si>
  <si>
    <t>2827.26%</t>
  </si>
  <si>
    <t>-53.21%</t>
  </si>
  <si>
    <t>Tesla Inc</t>
  </si>
  <si>
    <t>48.46%</t>
  </si>
  <si>
    <t>-12.40%</t>
  </si>
  <si>
    <t>101.77%</t>
  </si>
  <si>
    <t>212.11 - 488.54</t>
  </si>
  <si>
    <t>42754.18%</t>
  </si>
  <si>
    <t>56.69%</t>
  </si>
  <si>
    <t>Ur-Energy Inc</t>
  </si>
  <si>
    <t>-12.62%</t>
  </si>
  <si>
    <t>-26.05%</t>
  </si>
  <si>
    <t>149.20%</t>
  </si>
  <si>
    <t>1181.92%</t>
  </si>
  <si>
    <t>124.26%</t>
  </si>
  <si>
    <t>-259.28%</t>
  </si>
  <si>
    <t>-148.40%</t>
  </si>
  <si>
    <t>-169.66%</t>
  </si>
  <si>
    <t>-151.74%</t>
  </si>
  <si>
    <t>212.82%</t>
  </si>
  <si>
    <t>0.55 - 1.78</t>
  </si>
  <si>
    <t>-64.39%</t>
  </si>
  <si>
    <t>537.31%</t>
  </si>
  <si>
    <t>72.71%</t>
  </si>
  <si>
    <t>138.85%</t>
  </si>
  <si>
    <t>39.28%</t>
  </si>
  <si>
    <t>Cogent Biosciences Inc</t>
  </si>
  <si>
    <t>272.31%</t>
  </si>
  <si>
    <t>3.72 - 13.55</t>
  </si>
  <si>
    <t>-80.39%</t>
  </si>
  <si>
    <t>1073.73%</t>
  </si>
  <si>
    <t>95.07%</t>
  </si>
  <si>
    <t>109.53%</t>
  </si>
  <si>
    <t>Eversource Energy</t>
  </si>
  <si>
    <t>125.96%</t>
  </si>
  <si>
    <t>85.08%</t>
  </si>
  <si>
    <t>52.28 - 69.64</t>
  </si>
  <si>
    <t>-29.93%</t>
  </si>
  <si>
    <t>813.57%</t>
  </si>
  <si>
    <t>9.94%</t>
  </si>
  <si>
    <t>15.52%</t>
  </si>
  <si>
    <t>Sempra</t>
  </si>
  <si>
    <t>30.15%</t>
  </si>
  <si>
    <t>27.87%</t>
  </si>
  <si>
    <t>61.90 - 95.77</t>
  </si>
  <si>
    <t>1028.90%</t>
  </si>
  <si>
    <t>Marvell Technology Inc</t>
  </si>
  <si>
    <t>-24.61%</t>
  </si>
  <si>
    <t>37.79%</t>
  </si>
  <si>
    <t>57.60%</t>
  </si>
  <si>
    <t>81.19%</t>
  </si>
  <si>
    <t>33.40%</t>
  </si>
  <si>
    <t>-35.71%</t>
  </si>
  <si>
    <t>74.07%</t>
  </si>
  <si>
    <t>47.08 - 127.48</t>
  </si>
  <si>
    <t>4030.27%</t>
  </si>
  <si>
    <t>Clean Energy Fuels Corp</t>
  </si>
  <si>
    <t>-48.06%</t>
  </si>
  <si>
    <t>26.15%</t>
  </si>
  <si>
    <t>-23.57%</t>
  </si>
  <si>
    <t>1.30 - 3.67</t>
  </si>
  <si>
    <t>-88.67%</t>
  </si>
  <si>
    <t>167.14%</t>
  </si>
  <si>
    <t>48.41%</t>
  </si>
  <si>
    <t>61.21%</t>
  </si>
  <si>
    <t>Liberty Energy Inc</t>
  </si>
  <si>
    <t>-10.12%</t>
  </si>
  <si>
    <t>96.58%</t>
  </si>
  <si>
    <t>-9.37%</t>
  </si>
  <si>
    <t>-45.37%</t>
  </si>
  <si>
    <t>9.50 - 23.58</t>
  </si>
  <si>
    <t>493.59%</t>
  </si>
  <si>
    <t>-20.59%</t>
  </si>
  <si>
    <t>Kinder Morgan Inc</t>
  </si>
  <si>
    <t>97.84%</t>
  </si>
  <si>
    <t>35.32%</t>
  </si>
  <si>
    <t>21.61 - 31.48</t>
  </si>
  <si>
    <t>201.33%</t>
  </si>
  <si>
    <t>27.75%</t>
  </si>
  <si>
    <t>Upwork Inc</t>
  </si>
  <si>
    <t>15.23%</t>
  </si>
  <si>
    <t>20.68%</t>
  </si>
  <si>
    <t>89.73%</t>
  </si>
  <si>
    <t>77.84%</t>
  </si>
  <si>
    <t>92.39%</t>
  </si>
  <si>
    <t>9.93 - 20.54</t>
  </si>
  <si>
    <t>271.50%</t>
  </si>
  <si>
    <t>79.30%</t>
  </si>
  <si>
    <t>Durect Corp</t>
  </si>
  <si>
    <t>-62.57%</t>
  </si>
  <si>
    <t>-47.43%</t>
  </si>
  <si>
    <t>-79.41%</t>
  </si>
  <si>
    <t>79.96%</t>
  </si>
  <si>
    <t>-455.02%</t>
  </si>
  <si>
    <t>-460.55%</t>
  </si>
  <si>
    <t>35.96%</t>
  </si>
  <si>
    <t>108.89%</t>
  </si>
  <si>
    <t>-27.65%</t>
  </si>
  <si>
    <t>282.00%</t>
  </si>
  <si>
    <t>297.83%</t>
  </si>
  <si>
    <t>0.48 - 2.64</t>
  </si>
  <si>
    <t>306.12%</t>
  </si>
  <si>
    <t>232.17%</t>
  </si>
  <si>
    <t>133.38%</t>
  </si>
  <si>
    <t>Bank Of America Corp</t>
  </si>
  <si>
    <t>26.94%</t>
  </si>
  <si>
    <t>57.40%</t>
  </si>
  <si>
    <t>33.06 - 52.88</t>
  </si>
  <si>
    <t>1957.11%</t>
  </si>
  <si>
    <t>W.R. Berkley Corp</t>
  </si>
  <si>
    <t>22.70%</t>
  </si>
  <si>
    <t>37.60%</t>
  </si>
  <si>
    <t>54.97 - 75.86</t>
  </si>
  <si>
    <t>43859.81%</t>
  </si>
  <si>
    <t>35.54%</t>
  </si>
  <si>
    <t>Uranium Energy Corp</t>
  </si>
  <si>
    <t>29737.95%</t>
  </si>
  <si>
    <t>-69.49%</t>
  </si>
  <si>
    <t>86.51%</t>
  </si>
  <si>
    <t>-109.70%</t>
  </si>
  <si>
    <t>-131.15%</t>
  </si>
  <si>
    <t>87.49%</t>
  </si>
  <si>
    <t>84.28%</t>
  </si>
  <si>
    <t>254.68%</t>
  </si>
  <si>
    <t>3.85 - 15.06</t>
  </si>
  <si>
    <t>8434.38%</t>
  </si>
  <si>
    <t>103.50%</t>
  </si>
  <si>
    <t>167.22%</t>
  </si>
  <si>
    <t>111.71%</t>
  </si>
  <si>
    <t>Seagate Technology Holdings Plc</t>
  </si>
  <si>
    <t>38.86%</t>
  </si>
  <si>
    <t>94.20%</t>
  </si>
  <si>
    <t>35.18%</t>
  </si>
  <si>
    <t>23.48%</t>
  </si>
  <si>
    <t>239.64%</t>
  </si>
  <si>
    <t>63.19 - 231.96</t>
  </si>
  <si>
    <t>7102.01%</t>
  </si>
  <si>
    <t>51.74%</t>
  </si>
  <si>
    <t>145.28%</t>
  </si>
  <si>
    <t>101.28%</t>
  </si>
  <si>
    <t>National Vision Holdings Inc</t>
  </si>
  <si>
    <t>107.72%</t>
  </si>
  <si>
    <t>53.78%</t>
  </si>
  <si>
    <t>192.26%</t>
  </si>
  <si>
    <t>9.56 - 28.78</t>
  </si>
  <si>
    <t>110.71%</t>
  </si>
  <si>
    <t>162.35%</t>
  </si>
  <si>
    <t>Range Resources Corp</t>
  </si>
  <si>
    <t>-12.13%</t>
  </si>
  <si>
    <t>36.69%</t>
  </si>
  <si>
    <t>29.53%</t>
  </si>
  <si>
    <t>28.99 - 43.50</t>
  </si>
  <si>
    <t>3818.26%</t>
  </si>
  <si>
    <t>-8.88%</t>
  </si>
  <si>
    <t>4D Molecular Therapeutics Inc</t>
  </si>
  <si>
    <t>-9.91%</t>
  </si>
  <si>
    <t>-87.29%</t>
  </si>
  <si>
    <t>-64.94%</t>
  </si>
  <si>
    <t>200.00%</t>
  </si>
  <si>
    <t>81.97%</t>
  </si>
  <si>
    <t>-21503.03%</t>
  </si>
  <si>
    <t>-667654.55%</t>
  </si>
  <si>
    <t>-594375.76%</t>
  </si>
  <si>
    <t>71.73%</t>
  </si>
  <si>
    <t>270.92%</t>
  </si>
  <si>
    <t>2.23 - 11.47</t>
  </si>
  <si>
    <t>-84.96%</t>
  </si>
  <si>
    <t>115.89%</t>
  </si>
  <si>
    <t>132.87%</t>
  </si>
  <si>
    <t>-27.85%</t>
  </si>
  <si>
    <t>Citigroup Inc</t>
  </si>
  <si>
    <t>79.40%</t>
  </si>
  <si>
    <t>85.24%</t>
  </si>
  <si>
    <t>55.51 - 105.59</t>
  </si>
  <si>
    <t>-81.96%</t>
  </si>
  <si>
    <t>960.05%</t>
  </si>
  <si>
    <t>43.11%</t>
  </si>
  <si>
    <t>67.55%</t>
  </si>
  <si>
    <t>CNX Resources Corp</t>
  </si>
  <si>
    <t>2/11/2016</t>
  </si>
  <si>
    <t>36.25%</t>
  </si>
  <si>
    <t>38.21%</t>
  </si>
  <si>
    <t>-1.41%</t>
  </si>
  <si>
    <t>42.75%</t>
  </si>
  <si>
    <t>31.41%</t>
  </si>
  <si>
    <t>27.00 - 41.93</t>
  </si>
  <si>
    <t>751.40%</t>
  </si>
  <si>
    <t>Archrock Inc</t>
  </si>
  <si>
    <t>63.88%</t>
  </si>
  <si>
    <t>80.58%</t>
  </si>
  <si>
    <t>28.22%</t>
  </si>
  <si>
    <t>94.50%</t>
  </si>
  <si>
    <t>45.91%</t>
  </si>
  <si>
    <t>25.68%</t>
  </si>
  <si>
    <t>19.73 - 30.44</t>
  </si>
  <si>
    <t>-68.99%</t>
  </si>
  <si>
    <t>1172.99%</t>
  </si>
  <si>
    <t>Aris Water Solutions Inc</t>
  </si>
  <si>
    <t>Utilities - Regulated Water</t>
  </si>
  <si>
    <t>80.26%</t>
  </si>
  <si>
    <t>50.25%</t>
  </si>
  <si>
    <t>151.10%</t>
  </si>
  <si>
    <t>23.84%</t>
  </si>
  <si>
    <t>105.49%</t>
  </si>
  <si>
    <t>14.46 - 33.95</t>
  </si>
  <si>
    <t>270.90%</t>
  </si>
  <si>
    <t>-24.95%</t>
  </si>
  <si>
    <t>AMKOR Technology Inc</t>
  </si>
  <si>
    <t>-18.27%</t>
  </si>
  <si>
    <t>31.02%</t>
  </si>
  <si>
    <t>38.17%</t>
  </si>
  <si>
    <t>14.03 - 31.98</t>
  </si>
  <si>
    <t>-55.18%</t>
  </si>
  <si>
    <t>2490.25%</t>
  </si>
  <si>
    <t>36.31%</t>
  </si>
  <si>
    <t>Rekor Systems Inc</t>
  </si>
  <si>
    <t>58.43%</t>
  </si>
  <si>
    <t>53.12%</t>
  </si>
  <si>
    <t>-85.92%</t>
  </si>
  <si>
    <t>-115.76%</t>
  </si>
  <si>
    <t>69.63%</t>
  </si>
  <si>
    <t>-35.83%</t>
  </si>
  <si>
    <t>175.89%</t>
  </si>
  <si>
    <t>0.62 - 2.67</t>
  </si>
  <si>
    <t>296.51%</t>
  </si>
  <si>
    <t>50.29%</t>
  </si>
  <si>
    <t>41.60%</t>
  </si>
  <si>
    <t>Vera Therapeutics Inc</t>
  </si>
  <si>
    <t>-46.06%</t>
  </si>
  <si>
    <t>89.01%</t>
  </si>
  <si>
    <t>43.08%</t>
  </si>
  <si>
    <t>-47.14%</t>
  </si>
  <si>
    <t>47.22%</t>
  </si>
  <si>
    <t>18.53 - 51.61</t>
  </si>
  <si>
    <t>424.62%</t>
  </si>
  <si>
    <t>-41.60%</t>
  </si>
  <si>
    <t>APA Corporation</t>
  </si>
  <si>
    <t>43.91%</t>
  </si>
  <si>
    <t>87.66%</t>
  </si>
  <si>
    <t>94.69%</t>
  </si>
  <si>
    <t>13.58 - 27.48</t>
  </si>
  <si>
    <t>-83.04%</t>
  </si>
  <si>
    <t>875.52%</t>
  </si>
  <si>
    <t>Lineage Cell Therapeutics Inc</t>
  </si>
  <si>
    <t>29.15%</t>
  </si>
  <si>
    <t>76.43%</t>
  </si>
  <si>
    <t>96.38%</t>
  </si>
  <si>
    <t>-386.89%</t>
  </si>
  <si>
    <t>43.44%</t>
  </si>
  <si>
    <t>91.81%</t>
  </si>
  <si>
    <t>-186.87%</t>
  </si>
  <si>
    <t>-374.84%</t>
  </si>
  <si>
    <t>103.20%</t>
  </si>
  <si>
    <t>66.74%</t>
  </si>
  <si>
    <t>324.54%</t>
  </si>
  <si>
    <t>0.37 - 1.64</t>
  </si>
  <si>
    <t>-91.78%</t>
  </si>
  <si>
    <t>2118.92%</t>
  </si>
  <si>
    <t>65.74%</t>
  </si>
  <si>
    <t>212.12%</t>
  </si>
  <si>
    <t>Rivian Automotive Inc</t>
  </si>
  <si>
    <t>-58.18%</t>
  </si>
  <si>
    <t>348.74%</t>
  </si>
  <si>
    <t>12.52%</t>
  </si>
  <si>
    <t>41.76%</t>
  </si>
  <si>
    <t>-9.88%</t>
  </si>
  <si>
    <t>-69.87%</t>
  </si>
  <si>
    <t>-68.06%</t>
  </si>
  <si>
    <t>64.82%</t>
  </si>
  <si>
    <t>9.50 - 17.15</t>
  </si>
  <si>
    <t>-91.28%</t>
  </si>
  <si>
    <t>20.26%</t>
  </si>
  <si>
    <t>Eastern Bankshares Inc</t>
  </si>
  <si>
    <t>-9.92%</t>
  </si>
  <si>
    <t>69.59%</t>
  </si>
  <si>
    <t>34.31%</t>
  </si>
  <si>
    <t>13.51 - 19.40</t>
  </si>
  <si>
    <t>JPMorgan Chase &amp; Co</t>
  </si>
  <si>
    <t>16.88%</t>
  </si>
  <si>
    <t>74.32%</t>
  </si>
  <si>
    <t>55.50%</t>
  </si>
  <si>
    <t>202.16 - 316.58</t>
  </si>
  <si>
    <t>9721.91%</t>
  </si>
  <si>
    <t>WideOpenWest Inc</t>
  </si>
  <si>
    <t>-11.25%</t>
  </si>
  <si>
    <t>-18.92%</t>
  </si>
  <si>
    <t>39.49%</t>
  </si>
  <si>
    <t>15.75%</t>
  </si>
  <si>
    <t>69.48%</t>
  </si>
  <si>
    <t>3.06 - 5.78</t>
  </si>
  <si>
    <t>-78.32%</t>
  </si>
  <si>
    <t>124.50%</t>
  </si>
  <si>
    <t>Spruce Power Holding Corporation</t>
  </si>
  <si>
    <t>22.78%</t>
  </si>
  <si>
    <t>47.85%</t>
  </si>
  <si>
    <t>-78.61%</t>
  </si>
  <si>
    <t>34.52%</t>
  </si>
  <si>
    <t>-4.34%</t>
  </si>
  <si>
    <t>76.99%</t>
  </si>
  <si>
    <t>1.13 - 3.25</t>
  </si>
  <si>
    <t>-99.29%</t>
  </si>
  <si>
    <t>Ramaco Resources Inc</t>
  </si>
  <si>
    <t>12/2/2024</t>
  </si>
  <si>
    <t>197.75%</t>
  </si>
  <si>
    <t>97.65%</t>
  </si>
  <si>
    <t>-12.79%</t>
  </si>
  <si>
    <t>41.95%</t>
  </si>
  <si>
    <t>32.54%</t>
  </si>
  <si>
    <t>142.77%</t>
  </si>
  <si>
    <t>97.64%</t>
  </si>
  <si>
    <t>450.56%</t>
  </si>
  <si>
    <t>5.93 - 35.55</t>
  </si>
  <si>
    <t>2387.22%</t>
  </si>
  <si>
    <t>167.79%</t>
  </si>
  <si>
    <t>309.99%</t>
  </si>
  <si>
    <t>223.63%</t>
  </si>
  <si>
    <t>Entero Therapeutics Inc</t>
  </si>
  <si>
    <t>94.88%</t>
  </si>
  <si>
    <t>82.03%</t>
  </si>
  <si>
    <t>149.35%</t>
  </si>
  <si>
    <t>170.41%</t>
  </si>
  <si>
    <t>329.63%</t>
  </si>
  <si>
    <t>383.33%</t>
  </si>
  <si>
    <t>0.96 - 5.47</t>
  </si>
  <si>
    <t>736.04%</t>
  </si>
  <si>
    <t>308.09%</t>
  </si>
  <si>
    <t>189.10%</t>
  </si>
  <si>
    <t>389.30%</t>
  </si>
  <si>
    <t>Solaris Energy Infrastructure Inc</t>
  </si>
  <si>
    <t>95.01%</t>
  </si>
  <si>
    <t>-21.42%</t>
  </si>
  <si>
    <t>62.66%</t>
  </si>
  <si>
    <t>102.11%</t>
  </si>
  <si>
    <t>-36.87%</t>
  </si>
  <si>
    <t>30.19%</t>
  </si>
  <si>
    <t>41.42%</t>
  </si>
  <si>
    <t>58.16%</t>
  </si>
  <si>
    <t>211.38%</t>
  </si>
  <si>
    <t>12.48 - 43.46</t>
  </si>
  <si>
    <t>763.56%</t>
  </si>
  <si>
    <t>179.17%</t>
  </si>
  <si>
    <t>Morgan Stanley</t>
  </si>
  <si>
    <t>19.13%</t>
  </si>
  <si>
    <t>22.25%</t>
  </si>
  <si>
    <t>20.83%</t>
  </si>
  <si>
    <t>69.69%</t>
  </si>
  <si>
    <t>94.33 - 163.98</t>
  </si>
  <si>
    <t>9884.20%</t>
  </si>
  <si>
    <t>56.04%</t>
  </si>
  <si>
    <t>Alphabet Inc</t>
  </si>
  <si>
    <t>32.65%</t>
  </si>
  <si>
    <t>36.76%</t>
  </si>
  <si>
    <t>140.53 - 256.00</t>
  </si>
  <si>
    <t>10178.70%</t>
  </si>
  <si>
    <t>38.25%</t>
  </si>
  <si>
    <t>52.09%</t>
  </si>
  <si>
    <t>EchoStar Corp</t>
  </si>
  <si>
    <t>-35.86%</t>
  </si>
  <si>
    <t>99.75%</t>
  </si>
  <si>
    <t>53.02%</t>
  </si>
  <si>
    <t>54.52%</t>
  </si>
  <si>
    <t>140.95%</t>
  </si>
  <si>
    <t>182.72%</t>
  </si>
  <si>
    <t>394.09%</t>
  </si>
  <si>
    <t>14.90 - 85.37</t>
  </si>
  <si>
    <t>828.02%</t>
  </si>
  <si>
    <t>155.54%</t>
  </si>
  <si>
    <t>181.42%</t>
  </si>
  <si>
    <t>190.64%</t>
  </si>
  <si>
    <t>enCore Energy Corp</t>
  </si>
  <si>
    <t>1/26/2015</t>
  </si>
  <si>
    <t>-37.04%</t>
  </si>
  <si>
    <t>-31.13%</t>
  </si>
  <si>
    <t>52.68%</t>
  </si>
  <si>
    <t>49.16%</t>
  </si>
  <si>
    <t>-151.92%</t>
  </si>
  <si>
    <t>-142.66%</t>
  </si>
  <si>
    <t>27.54%</t>
  </si>
  <si>
    <t>-30.29%</t>
  </si>
  <si>
    <t>206.44%</t>
  </si>
  <si>
    <t>1.01 - 4.44</t>
  </si>
  <si>
    <t>-66.61%</t>
  </si>
  <si>
    <t>10216.67%</t>
  </si>
  <si>
    <t>122.66%</t>
  </si>
  <si>
    <t>-28.52%</t>
  </si>
  <si>
    <t>Old Republic International Corp</t>
  </si>
  <si>
    <t>73.59%</t>
  </si>
  <si>
    <t>12.04%</t>
  </si>
  <si>
    <t>32.44 - 41.63</t>
  </si>
  <si>
    <t>3347.38%</t>
  </si>
  <si>
    <t>25.82%</t>
  </si>
  <si>
    <t>Jamf Holding Corp</t>
  </si>
  <si>
    <t>72.06%</t>
  </si>
  <si>
    <t>-37.81%</t>
  </si>
  <si>
    <t>7.09 - 18.00</t>
  </si>
  <si>
    <t>-78.05%</t>
  </si>
  <si>
    <t>-13.82%</t>
  </si>
  <si>
    <t>Savers Value Village Inc</t>
  </si>
  <si>
    <t>-35.01%</t>
  </si>
  <si>
    <t>35.05%</t>
  </si>
  <si>
    <t>34.55%</t>
  </si>
  <si>
    <t>110.96%</t>
  </si>
  <si>
    <t>6.48 - 13.35</t>
  </si>
  <si>
    <t>89.86%</t>
  </si>
  <si>
    <t>AvidXchange Holdings Inc</t>
  </si>
  <si>
    <t>75.92%</t>
  </si>
  <si>
    <t>64.70%</t>
  </si>
  <si>
    <t>-14.64%</t>
  </si>
  <si>
    <t>50.95%</t>
  </si>
  <si>
    <t>6.61 - 11.68</t>
  </si>
  <si>
    <t>-63.66%</t>
  </si>
  <si>
    <t>70.14%</t>
  </si>
  <si>
    <t>Caterpillar Inc</t>
  </si>
  <si>
    <t>267.30 - 485.34</t>
  </si>
  <si>
    <t>13031.16%</t>
  </si>
  <si>
    <t>73.52%</t>
  </si>
  <si>
    <t>142.66 - 256.70</t>
  </si>
  <si>
    <t>918.21%</t>
  </si>
  <si>
    <t>50.87%</t>
  </si>
  <si>
    <t>51.27%</t>
  </si>
  <si>
    <t>Apple Inc</t>
  </si>
  <si>
    <t>DJIA, NDX, S&amp;P 500</t>
  </si>
  <si>
    <t>46.68%</t>
  </si>
  <si>
    <t>11.72%</t>
  </si>
  <si>
    <t>26.66%</t>
  </si>
  <si>
    <t>50.82%</t>
  </si>
  <si>
    <t>169.21 - 260.10</t>
  </si>
  <si>
    <t>401072.62%</t>
  </si>
  <si>
    <t>26.92%</t>
  </si>
  <si>
    <t>Vince Holding Corp</t>
  </si>
  <si>
    <t>-3.12%</t>
  </si>
  <si>
    <t>-1.25%</t>
  </si>
  <si>
    <t>575.00%</t>
  </si>
  <si>
    <t>49.57%</t>
  </si>
  <si>
    <t>43.16%</t>
  </si>
  <si>
    <t>84.39%</t>
  </si>
  <si>
    <t>59.90%</t>
  </si>
  <si>
    <t>170.70%</t>
  </si>
  <si>
    <t>-49.71%</t>
  </si>
  <si>
    <t>239.71%</t>
  </si>
  <si>
    <t>1.02 - 6.89</t>
  </si>
  <si>
    <t>-99.11%</t>
  </si>
  <si>
    <t>246.50%</t>
  </si>
  <si>
    <t>145.74%</t>
  </si>
  <si>
    <t>69.85%</t>
  </si>
  <si>
    <t>86.29%</t>
  </si>
  <si>
    <t>Steven Madden Ltd</t>
  </si>
  <si>
    <t>108.95%</t>
  </si>
  <si>
    <t>19.05 - 50.01</t>
  </si>
  <si>
    <t>-35.69%</t>
  </si>
  <si>
    <t>17778.70%</t>
  </si>
  <si>
    <t>35.02%</t>
  </si>
  <si>
    <t>Arrowhead Pharmaceuticals Inc</t>
  </si>
  <si>
    <t>2816.21%</t>
  </si>
  <si>
    <t>-70.50%</t>
  </si>
  <si>
    <t>-32.31%</t>
  </si>
  <si>
    <t>74.93%</t>
  </si>
  <si>
    <t>96.06%</t>
  </si>
  <si>
    <t>234.59%</t>
  </si>
  <si>
    <t>9.57 - 33.73</t>
  </si>
  <si>
    <t>-98.91%</t>
  </si>
  <si>
    <t>2568.33%</t>
  </si>
  <si>
    <t>99.13%</t>
  </si>
  <si>
    <t>132.03%</t>
  </si>
  <si>
    <t>58.99%</t>
  </si>
  <si>
    <t>Blink Charging Co</t>
  </si>
  <si>
    <t>-14.31%</t>
  </si>
  <si>
    <t>-33.22%</t>
  </si>
  <si>
    <t>114.81%</t>
  </si>
  <si>
    <t>-76.34%</t>
  </si>
  <si>
    <t>-30.58%</t>
  </si>
  <si>
    <t>-79.30%</t>
  </si>
  <si>
    <t>-203.81%</t>
  </si>
  <si>
    <t>81.43%</t>
  </si>
  <si>
    <t>141.87%</t>
  </si>
  <si>
    <t>0.63 - 2.32</t>
  </si>
  <si>
    <t>62.40%</t>
  </si>
  <si>
    <t>Alignment Healthcare Inc</t>
  </si>
  <si>
    <t>-22.95%</t>
  </si>
  <si>
    <t>49.46%</t>
  </si>
  <si>
    <t>197.63%</t>
  </si>
  <si>
    <t>-61.46%</t>
  </si>
  <si>
    <t>74.16%</t>
  </si>
  <si>
    <t>49.98%</t>
  </si>
  <si>
    <t>9.15 - 21.06</t>
  </si>
  <si>
    <t>-39.02%</t>
  </si>
  <si>
    <t>290.92%</t>
  </si>
  <si>
    <t>57.78%</t>
  </si>
  <si>
    <t>Palisade Bio Inc</t>
  </si>
  <si>
    <t>84.12%</t>
  </si>
  <si>
    <t>77.35%</t>
  </si>
  <si>
    <t>51.67%</t>
  </si>
  <si>
    <t>35.10%</t>
  </si>
  <si>
    <t>-55.05%</t>
  </si>
  <si>
    <t>61.15%</t>
  </si>
  <si>
    <t>-80.22%</t>
  </si>
  <si>
    <t>0.53 - 4.32</t>
  </si>
  <si>
    <t>23.87%</t>
  </si>
  <si>
    <t>-75.74%</t>
  </si>
  <si>
    <t>CVR Energy Inc</t>
  </si>
  <si>
    <t>8/12/2024</t>
  </si>
  <si>
    <t>2155.17%</t>
  </si>
  <si>
    <t>-55.02%</t>
  </si>
  <si>
    <t>-10.47%</t>
  </si>
  <si>
    <t>-75.57%</t>
  </si>
  <si>
    <t>47.66%</t>
  </si>
  <si>
    <t>137.92%</t>
  </si>
  <si>
    <t>15.10 - 36.51</t>
  </si>
  <si>
    <t>3113.63%</t>
  </si>
  <si>
    <t>32.13%</t>
  </si>
  <si>
    <t>78.38%</t>
  </si>
  <si>
    <t>57.02%</t>
  </si>
  <si>
    <t>HA Sustainable Infrastructure Capital Inc</t>
  </si>
  <si>
    <t>102.62%</t>
  </si>
  <si>
    <t>104.60%</t>
  </si>
  <si>
    <t>62.67%</t>
  </si>
  <si>
    <t>-18.05%</t>
  </si>
  <si>
    <t>21.98 - 36.56</t>
  </si>
  <si>
    <t>-57.57%</t>
  </si>
  <si>
    <t>187.20%</t>
  </si>
  <si>
    <t>-13.78%</t>
  </si>
  <si>
    <t>Aveanna Healthcare Holdings Inc</t>
  </si>
  <si>
    <t>55.27%</t>
  </si>
  <si>
    <t>32.73%</t>
  </si>
  <si>
    <t>16.75%</t>
  </si>
  <si>
    <t>402.79%</t>
  </si>
  <si>
    <t>134.34%</t>
  </si>
  <si>
    <t>138.17%</t>
  </si>
  <si>
    <t>3.67 - 8.68</t>
  </si>
  <si>
    <t>-32.76%</t>
  </si>
  <si>
    <t>1211.67%</t>
  </si>
  <si>
    <t>56.37%</t>
  </si>
  <si>
    <t>Unum Group</t>
  </si>
  <si>
    <t>12.95%</t>
  </si>
  <si>
    <t>90.42%</t>
  </si>
  <si>
    <t>16.99%</t>
  </si>
  <si>
    <t>57.57 - 84.48</t>
  </si>
  <si>
    <t>1923.60%</t>
  </si>
  <si>
    <t>35.40%</t>
  </si>
  <si>
    <t>Pitanium Ltd</t>
  </si>
  <si>
    <t>62.20%</t>
  </si>
  <si>
    <t>202.64%</t>
  </si>
  <si>
    <t>100.60%</t>
  </si>
  <si>
    <t>-21.66%</t>
  </si>
  <si>
    <t>902.45%</t>
  </si>
  <si>
    <t>-33.58%</t>
  </si>
  <si>
    <t>0.98 - 14.79</t>
  </si>
  <si>
    <t>Lam Research Corp</t>
  </si>
  <si>
    <t>9/24/2025</t>
  </si>
  <si>
    <t>22.42%</t>
  </si>
  <si>
    <t>85.99%</t>
  </si>
  <si>
    <t>124.77%</t>
  </si>
  <si>
    <t>56.32 - 133.57</t>
  </si>
  <si>
    <t>189784.98%</t>
  </si>
  <si>
    <t>30.24%</t>
  </si>
  <si>
    <t>AeroVironment Inc</t>
  </si>
  <si>
    <t>22.56%</t>
  </si>
  <si>
    <t>139.96%</t>
  </si>
  <si>
    <t>58.30%</t>
  </si>
  <si>
    <t>55.79%</t>
  </si>
  <si>
    <t>190.87%</t>
  </si>
  <si>
    <t>102.25 - 307.11</t>
  </si>
  <si>
    <t>1651.58%</t>
  </si>
  <si>
    <t>140.65%</t>
  </si>
  <si>
    <t>50.35%</t>
  </si>
  <si>
    <t>Air Lease Corp</t>
  </si>
  <si>
    <t>310.25%</t>
  </si>
  <si>
    <t>94.02%</t>
  </si>
  <si>
    <t>56.46%</t>
  </si>
  <si>
    <t>33.83%</t>
  </si>
  <si>
    <t>38.25 - 64.30</t>
  </si>
  <si>
    <t>656.48%</t>
  </si>
  <si>
    <t>Corning, Inc</t>
  </si>
  <si>
    <t>192.34%</t>
  </si>
  <si>
    <t>-23.06%</t>
  </si>
  <si>
    <t>74.26%</t>
  </si>
  <si>
    <t>13.39%</t>
  </si>
  <si>
    <t>111.87%</t>
  </si>
  <si>
    <t>37.31 - 81.58</t>
  </si>
  <si>
    <t>-30.22%</t>
  </si>
  <si>
    <t>7086.36%</t>
  </si>
  <si>
    <t>52.55%</t>
  </si>
  <si>
    <t>69.78%</t>
  </si>
  <si>
    <t>74.54%</t>
  </si>
  <si>
    <t>Firstenergy Corp</t>
  </si>
  <si>
    <t>11/7/2025</t>
  </si>
  <si>
    <t>99.41%</t>
  </si>
  <si>
    <t>-2.39%</t>
  </si>
  <si>
    <t>92.11%</t>
  </si>
  <si>
    <t>28.39%</t>
  </si>
  <si>
    <t>37.58 - 44.58</t>
  </si>
  <si>
    <t>386.00%</t>
  </si>
  <si>
    <t>Qualigen Therapeutics Inc</t>
  </si>
  <si>
    <t>61.60%</t>
  </si>
  <si>
    <t>116.50%</t>
  </si>
  <si>
    <t>56.49%</t>
  </si>
  <si>
    <t>-41.32%</t>
  </si>
  <si>
    <t>221.12%</t>
  </si>
  <si>
    <t>-50.53%</t>
  </si>
  <si>
    <t>1.61 - 10.45</t>
  </si>
  <si>
    <t>45.63%</t>
  </si>
  <si>
    <t>-39.25%</t>
  </si>
  <si>
    <t>Western Digital Corp</t>
  </si>
  <si>
    <t>-41.82%</t>
  </si>
  <si>
    <t>-20.28%</t>
  </si>
  <si>
    <t>106.14%</t>
  </si>
  <si>
    <t>60.92%</t>
  </si>
  <si>
    <t>268.61%</t>
  </si>
  <si>
    <t>28.83 - 113.75</t>
  </si>
  <si>
    <t>13963.87%</t>
  </si>
  <si>
    <t>153.57%</t>
  </si>
  <si>
    <t>111.61%</t>
  </si>
  <si>
    <t>Union Pacific Corp</t>
  </si>
  <si>
    <t>47.63%</t>
  </si>
  <si>
    <t>82.24%</t>
  </si>
  <si>
    <t>40.18%</t>
  </si>
  <si>
    <t>204.66 - 256.84</t>
  </si>
  <si>
    <t>7875.38%</t>
  </si>
  <si>
    <t>Nektar Therapeutics</t>
  </si>
  <si>
    <t>-17.08%</t>
  </si>
  <si>
    <t>-19.56%</t>
  </si>
  <si>
    <t>-52.42%</t>
  </si>
  <si>
    <t>82.58%</t>
  </si>
  <si>
    <t>-185.67%</t>
  </si>
  <si>
    <t>-163.17%</t>
  </si>
  <si>
    <t>235.39%</t>
  </si>
  <si>
    <t>170.31%</t>
  </si>
  <si>
    <t>13052.78%</t>
  </si>
  <si>
    <t>0.43 - 61.15</t>
  </si>
  <si>
    <t>-96.60%</t>
  </si>
  <si>
    <t>120.57%</t>
  </si>
  <si>
    <t>7398.02%</t>
  </si>
  <si>
    <t>213.06%</t>
  </si>
  <si>
    <t>Corcept Therapeutics Inc</t>
  </si>
  <si>
    <t>64.35%</t>
  </si>
  <si>
    <t>18.70%</t>
  </si>
  <si>
    <t>54.67%</t>
  </si>
  <si>
    <t>75.37%</t>
  </si>
  <si>
    <t>98.37%</t>
  </si>
  <si>
    <t>98.92%</t>
  </si>
  <si>
    <t>42.01 - 117.33</t>
  </si>
  <si>
    <t>12188.97%</t>
  </si>
  <si>
    <t>89.92%</t>
  </si>
  <si>
    <t>Expand Energy Corp</t>
  </si>
  <si>
    <t>38.08%</t>
  </si>
  <si>
    <t>94.83%</t>
  </si>
  <si>
    <t>446.50%</t>
  </si>
  <si>
    <t>91.07%</t>
  </si>
  <si>
    <t>76.70 - 122.21</t>
  </si>
  <si>
    <t>194.21%</t>
  </si>
  <si>
    <t>32.96%</t>
  </si>
  <si>
    <t>Berry Corp</t>
  </si>
  <si>
    <t>-40.21%</t>
  </si>
  <si>
    <t>232.00%</t>
  </si>
  <si>
    <t>-24.55%</t>
  </si>
  <si>
    <t>84.42%</t>
  </si>
  <si>
    <t>-31.36%</t>
  </si>
  <si>
    <t>91.94%</t>
  </si>
  <si>
    <t>2.11 - 5.90</t>
  </si>
  <si>
    <t>-72.96%</t>
  </si>
  <si>
    <t>175.63%</t>
  </si>
  <si>
    <t>42.61%</t>
  </si>
  <si>
    <t>-23.30%</t>
  </si>
  <si>
    <t>General Motors Company</t>
  </si>
  <si>
    <t>-49.70%</t>
  </si>
  <si>
    <t>20.02%</t>
  </si>
  <si>
    <t>46.86%</t>
  </si>
  <si>
    <t>41.60 - 61.24</t>
  </si>
  <si>
    <t>326.49%</t>
  </si>
  <si>
    <t>27.10%</t>
  </si>
  <si>
    <t>Southern Copper Corporation</t>
  </si>
  <si>
    <t>Copper</t>
  </si>
  <si>
    <t>50.55%</t>
  </si>
  <si>
    <t>33.99%</t>
  </si>
  <si>
    <t>73.37 - 121.49</t>
  </si>
  <si>
    <t>8831.36%</t>
  </si>
  <si>
    <t>23.98%</t>
  </si>
  <si>
    <t>Acuren Corporation Ltd</t>
  </si>
  <si>
    <t>64.13%</t>
  </si>
  <si>
    <t>8.76 - 14.72</t>
  </si>
  <si>
    <t>Eos Energy Enterprises Inc</t>
  </si>
  <si>
    <t>-24.46%</t>
  </si>
  <si>
    <t>128.49%</t>
  </si>
  <si>
    <t>50.28%</t>
  </si>
  <si>
    <t>99.33%</t>
  </si>
  <si>
    <t>1596.66%</t>
  </si>
  <si>
    <t>-665.86%</t>
  </si>
  <si>
    <t>-307.40%</t>
  </si>
  <si>
    <t>-627.94%</t>
  </si>
  <si>
    <t>-3015.66%</t>
  </si>
  <si>
    <t>86.57%</t>
  </si>
  <si>
    <t>105.27%</t>
  </si>
  <si>
    <t>388.27%</t>
  </si>
  <si>
    <t>2.06 - 11.35</t>
  </si>
  <si>
    <t>-68.52%</t>
  </si>
  <si>
    <t>1548.92%</t>
  </si>
  <si>
    <t>128.08%</t>
  </si>
  <si>
    <t>148.97%</t>
  </si>
  <si>
    <t>289.86%</t>
  </si>
  <si>
    <t>L3Harris Technologies Inc</t>
  </si>
  <si>
    <t>58.40%</t>
  </si>
  <si>
    <t>50.93%</t>
  </si>
  <si>
    <t>193.09 - 290.90</t>
  </si>
  <si>
    <t>10283.54%</t>
  </si>
  <si>
    <t>37.01%</t>
  </si>
  <si>
    <t>Karman Holdings Inc</t>
  </si>
  <si>
    <t>112.04%</t>
  </si>
  <si>
    <t>23.51%</t>
  </si>
  <si>
    <t>38.66%</t>
  </si>
  <si>
    <t>-43.97%</t>
  </si>
  <si>
    <t>53.48%</t>
  </si>
  <si>
    <t>171.01%</t>
  </si>
  <si>
    <t>25.02 - 70.32</t>
  </si>
  <si>
    <t>Phillips 66</t>
  </si>
  <si>
    <t>90.10%</t>
  </si>
  <si>
    <t>38.72%</t>
  </si>
  <si>
    <t>78.16%</t>
  </si>
  <si>
    <t>19.40%</t>
  </si>
  <si>
    <t>54.90%</t>
  </si>
  <si>
    <t>91.01 - 140.60</t>
  </si>
  <si>
    <t>-19.02%</t>
  </si>
  <si>
    <t>390.34%</t>
  </si>
  <si>
    <t>Innodata Inc</t>
  </si>
  <si>
    <t>112.54%</t>
  </si>
  <si>
    <t>79.21%</t>
  </si>
  <si>
    <t>17.59%</t>
  </si>
  <si>
    <t>18.62%</t>
  </si>
  <si>
    <t>40.34%</t>
  </si>
  <si>
    <t>91.80%</t>
  </si>
  <si>
    <t>370.11%</t>
  </si>
  <si>
    <t>14.79 - 77.47</t>
  </si>
  <si>
    <t>74065.33%</t>
  </si>
  <si>
    <t>42.48%</t>
  </si>
  <si>
    <t>349.16%</t>
  </si>
  <si>
    <t>Ionis Pharmaceuticals Inc</t>
  </si>
  <si>
    <t>-146.45%</t>
  </si>
  <si>
    <t>100.69%</t>
  </si>
  <si>
    <t>868.39%</t>
  </si>
  <si>
    <t>-33.94%</t>
  </si>
  <si>
    <t>106.72%</t>
  </si>
  <si>
    <t>96.85%</t>
  </si>
  <si>
    <t>28.48%</t>
  </si>
  <si>
    <t>68.85%</t>
  </si>
  <si>
    <t>167.03%</t>
  </si>
  <si>
    <t>23.95 - 64.71</t>
  </si>
  <si>
    <t>-26.14%</t>
  </si>
  <si>
    <t>2458.12%</t>
  </si>
  <si>
    <t>101.62%</t>
  </si>
  <si>
    <t>Rezolute Inc</t>
  </si>
  <si>
    <t>-18.56%</t>
  </si>
  <si>
    <t>88.81%</t>
  </si>
  <si>
    <t>83.17%</t>
  </si>
  <si>
    <t>70.69%</t>
  </si>
  <si>
    <t>302.26%</t>
  </si>
  <si>
    <t>2.21 - 9.02</t>
  </si>
  <si>
    <t>1137.51%</t>
  </si>
  <si>
    <t>205.14%</t>
  </si>
  <si>
    <t>Teradyne, Inc</t>
  </si>
  <si>
    <t>103.59%</t>
  </si>
  <si>
    <t>58.84%</t>
  </si>
  <si>
    <t>30.88%</t>
  </si>
  <si>
    <t>49.61%</t>
  </si>
  <si>
    <t>102.86%</t>
  </si>
  <si>
    <t>65.77 - 144.16</t>
  </si>
  <si>
    <t>-21.01%</t>
  </si>
  <si>
    <t>14131.47%</t>
  </si>
  <si>
    <t>55.72%</t>
  </si>
  <si>
    <t>HF Sinclair Corp</t>
  </si>
  <si>
    <t>78.78%</t>
  </si>
  <si>
    <t>219.51%</t>
  </si>
  <si>
    <t>-13.54%</t>
  </si>
  <si>
    <t>58.05%</t>
  </si>
  <si>
    <t>82.54%</t>
  </si>
  <si>
    <t>120.46%</t>
  </si>
  <si>
    <t>24.66 - 54.19</t>
  </si>
  <si>
    <t>124990.57%</t>
  </si>
  <si>
    <t>Doximity Inc</t>
  </si>
  <si>
    <t>19.36%</t>
  </si>
  <si>
    <t>90.14%</t>
  </si>
  <si>
    <t>39.88%</t>
  </si>
  <si>
    <t>32.77%</t>
  </si>
  <si>
    <t>82.99%</t>
  </si>
  <si>
    <t>40.87 - 85.21</t>
  </si>
  <si>
    <t>279.45%</t>
  </si>
  <si>
    <t>23.52%</t>
  </si>
  <si>
    <t>80.78%</t>
  </si>
  <si>
    <t>SHF Holdings Inc</t>
  </si>
  <si>
    <t>29.58%</t>
  </si>
  <si>
    <t>-54.30%</t>
  </si>
  <si>
    <t>97.04%</t>
  </si>
  <si>
    <t>-485.45%</t>
  </si>
  <si>
    <t>44.43%</t>
  </si>
  <si>
    <t>226.34%</t>
  </si>
  <si>
    <t>264.12%</t>
  </si>
  <si>
    <t>1.84 - 11.20</t>
  </si>
  <si>
    <t>-98.90%</t>
  </si>
  <si>
    <t>55.58%</t>
  </si>
  <si>
    <t>Resideo Technologies Inc</t>
  </si>
  <si>
    <t>421.52%</t>
  </si>
  <si>
    <t>-4.60%</t>
  </si>
  <si>
    <t>189.21%</t>
  </si>
  <si>
    <t>14.18 - 42.99</t>
  </si>
  <si>
    <t>1002.42%</t>
  </si>
  <si>
    <t>82.59%</t>
  </si>
  <si>
    <t>121.56%</t>
  </si>
  <si>
    <t>113.59%</t>
  </si>
  <si>
    <t>ACM Research Inc</t>
  </si>
  <si>
    <t>38.38%</t>
  </si>
  <si>
    <t>44.40%</t>
  </si>
  <si>
    <t>48.71%</t>
  </si>
  <si>
    <t>-3.98%</t>
  </si>
  <si>
    <t>59.75%</t>
  </si>
  <si>
    <t>172.39%</t>
  </si>
  <si>
    <t>13.87 - 40.10</t>
  </si>
  <si>
    <t>-21.73%</t>
  </si>
  <si>
    <t>2289.28%</t>
  </si>
  <si>
    <t>46.55%</t>
  </si>
  <si>
    <t>107.58%</t>
  </si>
  <si>
    <t>Murphy Oil Corp</t>
  </si>
  <si>
    <t>44.51%</t>
  </si>
  <si>
    <t>-18.08%</t>
  </si>
  <si>
    <t>95.76%</t>
  </si>
  <si>
    <t>37.33%</t>
  </si>
  <si>
    <t>18.94 - 36.62</t>
  </si>
  <si>
    <t>-64.15%</t>
  </si>
  <si>
    <t>703.38%</t>
  </si>
  <si>
    <t>30.92%</t>
  </si>
  <si>
    <t>-15.77%</t>
  </si>
  <si>
    <t>Lockheed Martin Corp</t>
  </si>
  <si>
    <t>57.16%</t>
  </si>
  <si>
    <t>12.07%</t>
  </si>
  <si>
    <t>-77.60%</t>
  </si>
  <si>
    <t>74.76%</t>
  </si>
  <si>
    <t>-21.44%</t>
  </si>
  <si>
    <t>410.11 - 618.95</t>
  </si>
  <si>
    <t>6308.61%</t>
  </si>
  <si>
    <t>-15.97%</t>
  </si>
  <si>
    <t>PBF Energy Inc</t>
  </si>
  <si>
    <t>147.91%</t>
  </si>
  <si>
    <t>13.61 - 34.29</t>
  </si>
  <si>
    <t>-46.33%</t>
  </si>
  <si>
    <t>731.34%</t>
  </si>
  <si>
    <t>54.54%</t>
  </si>
  <si>
    <t>74.52%</t>
  </si>
  <si>
    <t>3D Systems Corp</t>
  </si>
  <si>
    <t>-9.11%</t>
  </si>
  <si>
    <t>51.26%</t>
  </si>
  <si>
    <t>33.12%</t>
  </si>
  <si>
    <t>-26.83%</t>
  </si>
  <si>
    <t>85.66%</t>
  </si>
  <si>
    <t>-41.69%</t>
  </si>
  <si>
    <t>120.83%</t>
  </si>
  <si>
    <t>1.32 - 5.00</t>
  </si>
  <si>
    <t>-97.00%</t>
  </si>
  <si>
    <t>483.00%</t>
  </si>
  <si>
    <t>91.78%</t>
  </si>
  <si>
    <t>35.58%</t>
  </si>
  <si>
    <t>18.50%</t>
  </si>
  <si>
    <t>Xcel Energy, Inc</t>
  </si>
  <si>
    <t>62.12 - 78.80</t>
  </si>
  <si>
    <t>1426.66%</t>
  </si>
  <si>
    <t>Metsera Inc</t>
  </si>
  <si>
    <t>-1497.55%</t>
  </si>
  <si>
    <t>43.37%</t>
  </si>
  <si>
    <t>81.53%</t>
  </si>
  <si>
    <t>326.59%</t>
  </si>
  <si>
    <t>12.30 - 54.47</t>
  </si>
  <si>
    <t>83.53%</t>
  </si>
  <si>
    <t>74.84%</t>
  </si>
  <si>
    <t>Comstock Resources, Inc</t>
  </si>
  <si>
    <t>11/30/2023</t>
  </si>
  <si>
    <t>-12.16%</t>
  </si>
  <si>
    <t>90.52%</t>
  </si>
  <si>
    <t>84.79%</t>
  </si>
  <si>
    <t>10.72 - 31.17</t>
  </si>
  <si>
    <t>650.38%</t>
  </si>
  <si>
    <t>78.31%</t>
  </si>
  <si>
    <t>Halliburton Co</t>
  </si>
  <si>
    <t>55.74%</t>
  </si>
  <si>
    <t>92.29%</t>
  </si>
  <si>
    <t>-22.02%</t>
  </si>
  <si>
    <t>18.72 - 32.57</t>
  </si>
  <si>
    <t>513.03%</t>
  </si>
  <si>
    <t>Applied Materials Inc</t>
  </si>
  <si>
    <t>11/20/2025</t>
  </si>
  <si>
    <t>24.59%</t>
  </si>
  <si>
    <t>48.50%</t>
  </si>
  <si>
    <t>-6.83%</t>
  </si>
  <si>
    <t>123.74 - 215.70</t>
  </si>
  <si>
    <t>-21.47%</t>
  </si>
  <si>
    <t>160668.01%</t>
  </si>
  <si>
    <t>Norfolk Southern Corp</t>
  </si>
  <si>
    <t>46.66%</t>
  </si>
  <si>
    <t>79.66%</t>
  </si>
  <si>
    <t>36.06%</t>
  </si>
  <si>
    <t>12.23%</t>
  </si>
  <si>
    <t>201.63 - 296.38</t>
  </si>
  <si>
    <t>5398.17%</t>
  </si>
  <si>
    <t>Miami International Holdings Inc</t>
  </si>
  <si>
    <t>45.13%</t>
  </si>
  <si>
    <t>28.63 - 42.16</t>
  </si>
  <si>
    <t>Peabody Energy Corp</t>
  </si>
  <si>
    <t>-11.74%</t>
  </si>
  <si>
    <t>-10900.00%</t>
  </si>
  <si>
    <t>94.91%</t>
  </si>
  <si>
    <t>34.56%</t>
  </si>
  <si>
    <t>52.78%</t>
  </si>
  <si>
    <t>9.61 - 29.94</t>
  </si>
  <si>
    <t>-45.44%</t>
  </si>
  <si>
    <t>2965.64%</t>
  </si>
  <si>
    <t>93.57%</t>
  </si>
  <si>
    <t>71.03%</t>
  </si>
  <si>
    <t>Hecla Mining Co</t>
  </si>
  <si>
    <t>70.67%</t>
  </si>
  <si>
    <t>55.26%</t>
  </si>
  <si>
    <t>63.56%</t>
  </si>
  <si>
    <t>111.12%</t>
  </si>
  <si>
    <t>166.03%</t>
  </si>
  <si>
    <t>4.46 - 11.90</t>
  </si>
  <si>
    <t>-55.11%</t>
  </si>
  <si>
    <t>2290.63%</t>
  </si>
  <si>
    <t>103.17%</t>
  </si>
  <si>
    <t>101.79%</t>
  </si>
  <si>
    <t>67.82%</t>
  </si>
  <si>
    <t>Mineralys Therapeutics Inc</t>
  </si>
  <si>
    <t>-116.58%</t>
  </si>
  <si>
    <t>-170.42%</t>
  </si>
  <si>
    <t>73.15%</t>
  </si>
  <si>
    <t>153.95%</t>
  </si>
  <si>
    <t>212.05%</t>
  </si>
  <si>
    <t>376.73%</t>
  </si>
  <si>
    <t>8.24 - 40.33</t>
  </si>
  <si>
    <t>571.58%</t>
  </si>
  <si>
    <t>161.92%</t>
  </si>
  <si>
    <t>235.79%</t>
  </si>
  <si>
    <t>Williams Cos Inc</t>
  </si>
  <si>
    <t>88.10%</t>
  </si>
  <si>
    <t>21.40%</t>
  </si>
  <si>
    <t>43.28%</t>
  </si>
  <si>
    <t>44.56 - 63.45</t>
  </si>
  <si>
    <t>9940.01%</t>
  </si>
  <si>
    <t>SSR Mining Inc</t>
  </si>
  <si>
    <t>11/10/2023</t>
  </si>
  <si>
    <t>112.18%</t>
  </si>
  <si>
    <t>-12.26%</t>
  </si>
  <si>
    <t>119.35%</t>
  </si>
  <si>
    <t>122.03%</t>
  </si>
  <si>
    <t>68.02%</t>
  </si>
  <si>
    <t>98.68%</t>
  </si>
  <si>
    <t>103.93%</t>
  </si>
  <si>
    <t>371.53%</t>
  </si>
  <si>
    <t>5.06 - 23.76</t>
  </si>
  <si>
    <t>-50.46%</t>
  </si>
  <si>
    <t>3717.62%</t>
  </si>
  <si>
    <t>112.85%</t>
  </si>
  <si>
    <t>298.33%</t>
  </si>
  <si>
    <t>Kratos Defense &amp; Security Solutions Inc</t>
  </si>
  <si>
    <t>100.15%</t>
  </si>
  <si>
    <t>101.50%</t>
  </si>
  <si>
    <t>273.45%</t>
  </si>
  <si>
    <t>22.69 - 85.48</t>
  </si>
  <si>
    <t>-94.82%</t>
  </si>
  <si>
    <t>2926.14%</t>
  </si>
  <si>
    <t>84.85%</t>
  </si>
  <si>
    <t>169.26%</t>
  </si>
  <si>
    <t>264.92%</t>
  </si>
  <si>
    <t>Antero Midstream Corp</t>
  </si>
  <si>
    <t>7/23/2025</t>
  </si>
  <si>
    <t>109.09%</t>
  </si>
  <si>
    <t>57.87%</t>
  </si>
  <si>
    <t>57.52%</t>
  </si>
  <si>
    <t>14.22 - 19.62</t>
  </si>
  <si>
    <t>-13.79%</t>
  </si>
  <si>
    <t>1066.63%</t>
  </si>
  <si>
    <t>Warner Bros. Discovery Inc</t>
  </si>
  <si>
    <t>3/24/2010</t>
  </si>
  <si>
    <t>362.83%</t>
  </si>
  <si>
    <t>71.23%</t>
  </si>
  <si>
    <t>82.48%</t>
  </si>
  <si>
    <t>170.83%</t>
  </si>
  <si>
    <t>7.25 - 20.24</t>
  </si>
  <si>
    <t>-74.87%</t>
  </si>
  <si>
    <t>283.60%</t>
  </si>
  <si>
    <t>73.76%</t>
  </si>
  <si>
    <t>136.00%</t>
  </si>
  <si>
    <t>Alx Oncology Holdings Inc</t>
  </si>
  <si>
    <t>-16.11%</t>
  </si>
  <si>
    <t>45.21%</t>
  </si>
  <si>
    <t>335.64%</t>
  </si>
  <si>
    <t>0.40 - 2.05</t>
  </si>
  <si>
    <t>-98.50%</t>
  </si>
  <si>
    <t>333.71%</t>
  </si>
  <si>
    <t>146.43%</t>
  </si>
  <si>
    <t>Baker Hughes Co</t>
  </si>
  <si>
    <t>28.23%</t>
  </si>
  <si>
    <t>-36.48%</t>
  </si>
  <si>
    <t>98.05%</t>
  </si>
  <si>
    <t>22.32%</t>
  </si>
  <si>
    <t>31.64%</t>
  </si>
  <si>
    <t>33.60 - 50.24</t>
  </si>
  <si>
    <t>722.37%</t>
  </si>
  <si>
    <t>33.06%</t>
  </si>
  <si>
    <t>39.36%</t>
  </si>
  <si>
    <t>Newmont Corp</t>
  </si>
  <si>
    <t>35.00%</t>
  </si>
  <si>
    <t>39.02%</t>
  </si>
  <si>
    <t>41.77%</t>
  </si>
  <si>
    <t>55.66%</t>
  </si>
  <si>
    <t>49.05%</t>
  </si>
  <si>
    <t>129.40%</t>
  </si>
  <si>
    <t>36.86 - 86.62</t>
  </si>
  <si>
    <t>1025.96%</t>
  </si>
  <si>
    <t>48.97%</t>
  </si>
  <si>
    <t>74.74%</t>
  </si>
  <si>
    <t>Coeur Mining Inc</t>
  </si>
  <si>
    <t>85.46%</t>
  </si>
  <si>
    <t>68.88%</t>
  </si>
  <si>
    <t>133.39%</t>
  </si>
  <si>
    <t>76.51%</t>
  </si>
  <si>
    <t>123.22%</t>
  </si>
  <si>
    <t>117.28%</t>
  </si>
  <si>
    <t>306.33%</t>
  </si>
  <si>
    <t>4.58 - 18.52</t>
  </si>
  <si>
    <t>-94.83%</t>
  </si>
  <si>
    <t>1048.77%</t>
  </si>
  <si>
    <t>113.66%</t>
  </si>
  <si>
    <t>193.53%</t>
  </si>
  <si>
    <t>149.13%</t>
  </si>
  <si>
    <t>AquaBounty Technologies Inc</t>
  </si>
  <si>
    <t>-81.81%</t>
  </si>
  <si>
    <t>-46.91%</t>
  </si>
  <si>
    <t>-837.39%</t>
  </si>
  <si>
    <t>-1780.94%</t>
  </si>
  <si>
    <t>-5840.37%</t>
  </si>
  <si>
    <t>41.62%</t>
  </si>
  <si>
    <t>89.15%</t>
  </si>
  <si>
    <t>135.64%</t>
  </si>
  <si>
    <t>168.57%</t>
  </si>
  <si>
    <t>299.74%</t>
  </si>
  <si>
    <t>0.47 - 1.83</t>
  </si>
  <si>
    <t>-99.69%</t>
  </si>
  <si>
    <t>1205.56%</t>
  </si>
  <si>
    <t>155.78%</t>
  </si>
  <si>
    <t>144.12%</t>
  </si>
  <si>
    <t>60.68%</t>
  </si>
  <si>
    <t>Novagold Resources Inc</t>
  </si>
  <si>
    <t>-3.70%</t>
  </si>
  <si>
    <t>-9.87%</t>
  </si>
  <si>
    <t>-275.00%</t>
  </si>
  <si>
    <t>62.33%</t>
  </si>
  <si>
    <t>89.61%</t>
  </si>
  <si>
    <t>59.57%</t>
  </si>
  <si>
    <t>257.96%</t>
  </si>
  <si>
    <t>2.26 - 8.06</t>
  </si>
  <si>
    <t>-59.16%</t>
  </si>
  <si>
    <t>2318.52%</t>
  </si>
  <si>
    <t>98.28%</t>
  </si>
  <si>
    <t>160.97%</t>
  </si>
  <si>
    <t>85.55%</t>
  </si>
  <si>
    <t>89bio Inc</t>
  </si>
  <si>
    <t>32.21%</t>
  </si>
  <si>
    <t>-41.83%</t>
  </si>
  <si>
    <t>109.29%</t>
  </si>
  <si>
    <t>64.51%</t>
  </si>
  <si>
    <t>253.22%</t>
  </si>
  <si>
    <t>4.16 - 15.06</t>
  </si>
  <si>
    <t>-68.90%</t>
  </si>
  <si>
    <t>634.70%</t>
  </si>
  <si>
    <t>64.00%</t>
  </si>
  <si>
    <t>94.11%</t>
  </si>
  <si>
    <t>Ivanhoe Electric Inc</t>
  </si>
  <si>
    <t>-18.60%</t>
  </si>
  <si>
    <t>-32.06%</t>
  </si>
  <si>
    <t>-85.57%</t>
  </si>
  <si>
    <t>64.38%</t>
  </si>
  <si>
    <t>-2105.81%</t>
  </si>
  <si>
    <t>-3195.17%</t>
  </si>
  <si>
    <t>-2120.18%</t>
  </si>
  <si>
    <t>20.96%</t>
  </si>
  <si>
    <t>53.15%</t>
  </si>
  <si>
    <t>162.67%</t>
  </si>
  <si>
    <t>4.50 - 13.25</t>
  </si>
  <si>
    <t>-29.43%</t>
  </si>
  <si>
    <t>73.57%</t>
  </si>
  <si>
    <t>Select Water Solutions Inc</t>
  </si>
  <si>
    <t>83.00%</t>
  </si>
  <si>
    <t>54.15%</t>
  </si>
  <si>
    <t>40.46%</t>
  </si>
  <si>
    <t>-27.08%</t>
  </si>
  <si>
    <t>7.20 - 15.14</t>
  </si>
  <si>
    <t>-49.73%</t>
  </si>
  <si>
    <t>397.30%</t>
  </si>
  <si>
    <t>Laureate Education Inc</t>
  </si>
  <si>
    <t>11/14/2023</t>
  </si>
  <si>
    <t>87.92%</t>
  </si>
  <si>
    <t>40.63%</t>
  </si>
  <si>
    <t>43.66%</t>
  </si>
  <si>
    <t>104.16%</t>
  </si>
  <si>
    <t>15.15 - 31.07</t>
  </si>
  <si>
    <t>810.70%</t>
  </si>
  <si>
    <t>49.71%</t>
  </si>
  <si>
    <t>84.88%</t>
  </si>
  <si>
    <t>Performant Healthcare Inc</t>
  </si>
  <si>
    <t>23.94%</t>
  </si>
  <si>
    <t>99.24%</t>
  </si>
  <si>
    <t>129.08%</t>
  </si>
  <si>
    <t>255.76%</t>
  </si>
  <si>
    <t>2.17 - 7.74</t>
  </si>
  <si>
    <t>-45.21%</t>
  </si>
  <si>
    <t>1329.63%</t>
  </si>
  <si>
    <t>93.00%</t>
  </si>
  <si>
    <t>167.13%</t>
  </si>
  <si>
    <t>99.48%</t>
  </si>
  <si>
    <t>Applovin Corp</t>
  </si>
  <si>
    <t>277.19%</t>
  </si>
  <si>
    <t>19.02%</t>
  </si>
  <si>
    <t>36.49%</t>
  </si>
  <si>
    <t>59.77%</t>
  </si>
  <si>
    <t>79.52%</t>
  </si>
  <si>
    <t>92.34%</t>
  </si>
  <si>
    <t>425.17%</t>
  </si>
  <si>
    <t>125.62 - 670.19</t>
  </si>
  <si>
    <t>7117.94%</t>
  </si>
  <si>
    <t>152.09%</t>
  </si>
  <si>
    <t>411.09%</t>
  </si>
  <si>
    <t>Tigo Energy Inc</t>
  </si>
  <si>
    <t>-237.43%</t>
  </si>
  <si>
    <t>-536.07%</t>
  </si>
  <si>
    <t>45.03%</t>
  </si>
  <si>
    <t>116.77%</t>
  </si>
  <si>
    <t>-53.74%</t>
  </si>
  <si>
    <t>-69.01%</t>
  </si>
  <si>
    <t>33.68%</t>
  </si>
  <si>
    <t>117.89%</t>
  </si>
  <si>
    <t>103.36%</t>
  </si>
  <si>
    <t>317.10%</t>
  </si>
  <si>
    <t>0.58 - 2.47</t>
  </si>
  <si>
    <t>-91.04%</t>
  </si>
  <si>
    <t>112.28%</t>
  </si>
  <si>
    <t>55.13%</t>
  </si>
  <si>
    <t>Planet Labs PBC</t>
  </si>
  <si>
    <t>33.48%</t>
  </si>
  <si>
    <t>58.96%</t>
  </si>
  <si>
    <t>-30.09%</t>
  </si>
  <si>
    <t>128.37%</t>
  </si>
  <si>
    <t>107.65%</t>
  </si>
  <si>
    <t>491.69%</t>
  </si>
  <si>
    <t>2.06 - 12.28</t>
  </si>
  <si>
    <t>629.87%</t>
  </si>
  <si>
    <t>227.66%</t>
  </si>
  <si>
    <t>480.42%</t>
  </si>
  <si>
    <t>Pros Holdings Inc</t>
  </si>
  <si>
    <t>38.09%</t>
  </si>
  <si>
    <t>35.94%</t>
  </si>
  <si>
    <t>100.93%</t>
  </si>
  <si>
    <t>-23.14%</t>
  </si>
  <si>
    <t>68.53%</t>
  </si>
  <si>
    <t>13.61 - 29.84</t>
  </si>
  <si>
    <t>-69.58%</t>
  </si>
  <si>
    <t>656.98%</t>
  </si>
  <si>
    <t>53.01%</t>
  </si>
  <si>
    <t>Amylyx Pharmaceuticals Inc</t>
  </si>
  <si>
    <t>-42.83%</t>
  </si>
  <si>
    <t>-78.71%</t>
  </si>
  <si>
    <t>30.99%</t>
  </si>
  <si>
    <t>-100.08%</t>
  </si>
  <si>
    <t>574.28%</t>
  </si>
  <si>
    <t>127.75%</t>
  </si>
  <si>
    <t>70.84%</t>
  </si>
  <si>
    <t>697.19%</t>
  </si>
  <si>
    <t>64567.07%</t>
  </si>
  <si>
    <t>75341.37%</t>
  </si>
  <si>
    <t>41.68%</t>
  </si>
  <si>
    <t>137.85%</t>
  </si>
  <si>
    <t>83.56%</t>
  </si>
  <si>
    <t>428.08%</t>
  </si>
  <si>
    <t>2.60 - 14.20</t>
  </si>
  <si>
    <t>771.75%</t>
  </si>
  <si>
    <t>116.90%</t>
  </si>
  <si>
    <t>254.78%</t>
  </si>
  <si>
    <t>356.15%</t>
  </si>
  <si>
    <t>Anywhere Real Estate Inc</t>
  </si>
  <si>
    <t>8/20/2019</t>
  </si>
  <si>
    <t>-22.93%</t>
  </si>
  <si>
    <t>94.52%</t>
  </si>
  <si>
    <t>38.35%</t>
  </si>
  <si>
    <t>69.96%</t>
  </si>
  <si>
    <t>147.64%</t>
  </si>
  <si>
    <t>167.43%</t>
  </si>
  <si>
    <t>286.35%</t>
  </si>
  <si>
    <t>2.71 - 12.03</t>
  </si>
  <si>
    <t>-81.06%</t>
  </si>
  <si>
    <t>400.96%</t>
  </si>
  <si>
    <t>179.95%</t>
  </si>
  <si>
    <t>187.64%</t>
  </si>
  <si>
    <t>Valero Energy Corp</t>
  </si>
  <si>
    <t>49.90%</t>
  </si>
  <si>
    <t>55.75%</t>
  </si>
  <si>
    <t>86.14%</t>
  </si>
  <si>
    <t>79.02%</t>
  </si>
  <si>
    <t>99.00 - 176.02</t>
  </si>
  <si>
    <t>26999.19%</t>
  </si>
  <si>
    <t>Tetra Technologies, Inc</t>
  </si>
  <si>
    <t>33.97%</t>
  </si>
  <si>
    <t>60.06%</t>
  </si>
  <si>
    <t>83.70%</t>
  </si>
  <si>
    <t>190.88%</t>
  </si>
  <si>
    <t>2.03 - 5.87</t>
  </si>
  <si>
    <t>-81.52%</t>
  </si>
  <si>
    <t>2588.64%</t>
  </si>
  <si>
    <t>57.73%</t>
  </si>
  <si>
    <t>Marathon Petroleum Corp</t>
  </si>
  <si>
    <t>55.40%</t>
  </si>
  <si>
    <t>12.10%</t>
  </si>
  <si>
    <t>27.03%</t>
  </si>
  <si>
    <t>74.38%</t>
  </si>
  <si>
    <t>115.10 - 196.70</t>
  </si>
  <si>
    <t>1423.42%</t>
  </si>
  <si>
    <t>Picard Medical Inc</t>
  </si>
  <si>
    <t>207.06%</t>
  </si>
  <si>
    <t>-330.86%</t>
  </si>
  <si>
    <t>-677.24%</t>
  </si>
  <si>
    <t>19.44%</t>
  </si>
  <si>
    <t>95.70%</t>
  </si>
  <si>
    <t>4.19 - 8.37</t>
  </si>
  <si>
    <t>Vimeo Inc</t>
  </si>
  <si>
    <t>1500.00%</t>
  </si>
  <si>
    <t>82.94%</t>
  </si>
  <si>
    <t>77.49%</t>
  </si>
  <si>
    <t>53.92%</t>
  </si>
  <si>
    <t>112.88%</t>
  </si>
  <si>
    <t>3.64 - 7.90</t>
  </si>
  <si>
    <t>-86.64%</t>
  </si>
  <si>
    <t>157.00%</t>
  </si>
  <si>
    <t>41.40%</t>
  </si>
  <si>
    <t>Trailblazer Acquisition Corp</t>
  </si>
  <si>
    <t>10.02 - 10.10</t>
  </si>
  <si>
    <t>Figure Technology Solutions Inc</t>
  </si>
  <si>
    <t>-15.15%</t>
  </si>
  <si>
    <t>30.01 - 46.20</t>
  </si>
  <si>
    <t>Hang Feng Technology Innovation Co Ltd</t>
  </si>
  <si>
    <t>35.60%</t>
  </si>
  <si>
    <t>127.89%</t>
  </si>
  <si>
    <t>721.60%</t>
  </si>
  <si>
    <t>4.63 - 31.99</t>
  </si>
  <si>
    <t>Galata Acquisition Corp II</t>
  </si>
  <si>
    <t>9.98 - 10.02</t>
  </si>
  <si>
    <t>Legence Corp</t>
  </si>
  <si>
    <t>26.96 - 34.40</t>
  </si>
  <si>
    <t>OTG Acquisition Corp I</t>
  </si>
  <si>
    <t>10.00 - 10.08</t>
  </si>
  <si>
    <t>Platinum Analytics Cayman Ltd</t>
  </si>
  <si>
    <t>33.82%</t>
  </si>
  <si>
    <t>244.73%</t>
  </si>
  <si>
    <t>4.60 - 16.42</t>
  </si>
  <si>
    <t>WaterBridge Infrastructure LLC</t>
  </si>
  <si>
    <t>22.22 - 25.02</t>
  </si>
  <si>
    <t>Cemtrex Inc</t>
  </si>
  <si>
    <t>3/29/2017</t>
  </si>
  <si>
    <t>91.62%</t>
  </si>
  <si>
    <t>15.74%</t>
  </si>
  <si>
    <t>-26.99%</t>
  </si>
  <si>
    <t>-48.97%</t>
  </si>
  <si>
    <t>-63.72%</t>
  </si>
  <si>
    <t>-73.97%</t>
  </si>
  <si>
    <t>-99.87%</t>
  </si>
  <si>
    <t>0.40 - 292.95</t>
  </si>
  <si>
    <t>-64.24%</t>
  </si>
  <si>
    <t>-76.53%</t>
  </si>
  <si>
    <t>['Average Volume (Over 1M)', 'Performance 1Y (1Y up)', 'Performance 3M (3M up)', 'Performance 6M (6M up)', 'Relative Volume (&gt; 1.5)', 'RSI (14) High (RSI &gt; 60)']</t>
  </si>
  <si>
    <t>Carmax Inc</t>
  </si>
  <si>
    <t>-38.67%</t>
  </si>
  <si>
    <t>107.46%</t>
  </si>
  <si>
    <t>-22.53%</t>
  </si>
  <si>
    <t>-22.83%</t>
  </si>
  <si>
    <t>-35.68%</t>
  </si>
  <si>
    <t>-29.03%</t>
  </si>
  <si>
    <t>42.75 - 91.25</t>
  </si>
  <si>
    <t>-71.00%</t>
  </si>
  <si>
    <t>6792.77%</t>
  </si>
  <si>
    <t>-32.08%</t>
  </si>
  <si>
    <t>-41.20%</t>
  </si>
  <si>
    <t>Atyr Pharma Inc</t>
  </si>
  <si>
    <t>-19.24%</t>
  </si>
  <si>
    <t>67.61%</t>
  </si>
  <si>
    <t>-73.93%</t>
  </si>
  <si>
    <t>-81.03%</t>
  </si>
  <si>
    <t>-78.93%</t>
  </si>
  <si>
    <t>-88.38%</t>
  </si>
  <si>
    <t>0.87 - 7.29</t>
  </si>
  <si>
    <t>-83.15%</t>
  </si>
  <si>
    <t>-74.00%</t>
  </si>
  <si>
    <t>-51.29%</t>
  </si>
  <si>
    <t>Kenvue Inc</t>
  </si>
  <si>
    <t>102.50%</t>
  </si>
  <si>
    <t>150.50%</t>
  </si>
  <si>
    <t>-20.60%</t>
  </si>
  <si>
    <t>58.12%</t>
  </si>
  <si>
    <t>-35.74%</t>
  </si>
  <si>
    <t>16.14 - 25.17</t>
  </si>
  <si>
    <t>-41.81%</t>
  </si>
  <si>
    <t>-31.17%</t>
  </si>
  <si>
    <t>-30.01%</t>
  </si>
  <si>
    <t>Freeport-McMoRan Inc</t>
  </si>
  <si>
    <t>46.04%</t>
  </si>
  <si>
    <t>28.31%</t>
  </si>
  <si>
    <t>-18.62%</t>
  </si>
  <si>
    <t>-10.31%</t>
  </si>
  <si>
    <t>-23.92%</t>
  </si>
  <si>
    <t>29.55%</t>
  </si>
  <si>
    <t>27.61 - 52.23</t>
  </si>
  <si>
    <t>-38.66%</t>
  </si>
  <si>
    <t>1183.27%</t>
  </si>
  <si>
    <t>-18.32%</t>
  </si>
  <si>
    <t>-10.37%</t>
  </si>
  <si>
    <t>Smart Digital Group Ltd</t>
  </si>
  <si>
    <t>-86.84%</t>
  </si>
  <si>
    <t>-84.32%</t>
  </si>
  <si>
    <t>-87.00%</t>
  </si>
  <si>
    <t>-83.71%</t>
  </si>
  <si>
    <t>-93.91%</t>
  </si>
  <si>
    <t>-77.64%</t>
  </si>
  <si>
    <t>4.03 - 29.40</t>
  </si>
  <si>
    <t>-77.67%</t>
  </si>
  <si>
    <t>Lunai Bioworks Inc</t>
  </si>
  <si>
    <t>-41.50%</t>
  </si>
  <si>
    <t>-74.69%</t>
  </si>
  <si>
    <t>-93.52%</t>
  </si>
  <si>
    <t>0.13 - 2.10</t>
  </si>
  <si>
    <t>-99.01%</t>
  </si>
  <si>
    <t>-53.54%</t>
  </si>
  <si>
    <t>-71.81%</t>
  </si>
  <si>
    <t>Reviva Pharmaceuticals Holdings Inc</t>
  </si>
  <si>
    <t>-25.75%</t>
  </si>
  <si>
    <t>-33.24%</t>
  </si>
  <si>
    <t>-70.88%</t>
  </si>
  <si>
    <t>-93.18%</t>
  </si>
  <si>
    <t>0.25 - 4.28</t>
  </si>
  <si>
    <t>-98.07%</t>
  </si>
  <si>
    <t>-13.45%</t>
  </si>
  <si>
    <t>-73.20%</t>
  </si>
  <si>
    <t>-77.18%</t>
  </si>
  <si>
    <t>ALT5 Sigma Corp</t>
  </si>
  <si>
    <t>55.49%</t>
  </si>
  <si>
    <t>926.05%</t>
  </si>
  <si>
    <t>-32.09%</t>
  </si>
  <si>
    <t>-18.61%</t>
  </si>
  <si>
    <t>194.05%</t>
  </si>
  <si>
    <t>-74.89%</t>
  </si>
  <si>
    <t>-27.71%</t>
  </si>
  <si>
    <t>-48.04%</t>
  </si>
  <si>
    <t>-50.73%</t>
  </si>
  <si>
    <t>-69.52%</t>
  </si>
  <si>
    <t>-72.83%</t>
  </si>
  <si>
    <t>1.55 - 10.95</t>
  </si>
  <si>
    <t>1249.82%</t>
  </si>
  <si>
    <t>-63.41%</t>
  </si>
  <si>
    <t>-32.84%</t>
  </si>
  <si>
    <t>Safety Shot Inc</t>
  </si>
  <si>
    <t>-63.00%</t>
  </si>
  <si>
    <t>155.44%</t>
  </si>
  <si>
    <t>-291.28%</t>
  </si>
  <si>
    <t>-7504.65%</t>
  </si>
  <si>
    <t>-5193.54%</t>
  </si>
  <si>
    <t>-51.85%</t>
  </si>
  <si>
    <t>-46.40%</t>
  </si>
  <si>
    <t>-80.02%</t>
  </si>
  <si>
    <t>-80.17%</t>
  </si>
  <si>
    <t>0.23 - 1.35</t>
  </si>
  <si>
    <t>-96.43%</t>
  </si>
  <si>
    <t>-38.16%</t>
  </si>
  <si>
    <t>-78.06%</t>
  </si>
  <si>
    <t>Huntsman Corp</t>
  </si>
  <si>
    <t>-58.86%</t>
  </si>
  <si>
    <t>13.74%</t>
  </si>
  <si>
    <t>-33.74%</t>
  </si>
  <si>
    <t>-64.03%</t>
  </si>
  <si>
    <t>8.82 - 25.12</t>
  </si>
  <si>
    <t>-78.31%</t>
  </si>
  <si>
    <t>345.05%</t>
  </si>
  <si>
    <t>-44.23%</t>
  </si>
  <si>
    <t>-61.88%</t>
  </si>
  <si>
    <t>Kindly MD Inc</t>
  </si>
  <si>
    <t>-27.67%</t>
  </si>
  <si>
    <t>-36.07%</t>
  </si>
  <si>
    <t>-108.15%</t>
  </si>
  <si>
    <t>-245.80%</t>
  </si>
  <si>
    <t>-244.09%</t>
  </si>
  <si>
    <t>-59.88%</t>
  </si>
  <si>
    <t>-83.36%</t>
  </si>
  <si>
    <t>-80.94%</t>
  </si>
  <si>
    <t>-92.81%</t>
  </si>
  <si>
    <t>-96.59%</t>
  </si>
  <si>
    <t>82.31%</t>
  </si>
  <si>
    <t>0.65 - 34.77</t>
  </si>
  <si>
    <t>-43.03%</t>
  </si>
  <si>
    <t>-2.06%</t>
  </si>
  <si>
    <t>Nuburu Inc</t>
  </si>
  <si>
    <t>-98.68%</t>
  </si>
  <si>
    <t>-11262.42%</t>
  </si>
  <si>
    <t>-168745.37%</t>
  </si>
  <si>
    <t>-404757.45%</t>
  </si>
  <si>
    <t>-52.88%</t>
  </si>
  <si>
    <t>-62.68%</t>
  </si>
  <si>
    <t>0.12 - 1.60</t>
  </si>
  <si>
    <t>-61.86%</t>
  </si>
  <si>
    <t>-75.59%</t>
  </si>
  <si>
    <t>Gogo Inc</t>
  </si>
  <si>
    <t>-55.51%</t>
  </si>
  <si>
    <t>106.98%</t>
  </si>
  <si>
    <t>72.74%</t>
  </si>
  <si>
    <t>121.48%</t>
  </si>
  <si>
    <t>-20.56%</t>
  </si>
  <si>
    <t>-12.54%</t>
  </si>
  <si>
    <t>-45.40%</t>
  </si>
  <si>
    <t>6.17 - 16.82</t>
  </si>
  <si>
    <t>-74.33%</t>
  </si>
  <si>
    <t>590.44%</t>
  </si>
  <si>
    <t>-37.91%</t>
  </si>
  <si>
    <t>Costco Wholesale Corp</t>
  </si>
  <si>
    <t>-7.55%</t>
  </si>
  <si>
    <t>867.16 - 1078.23</t>
  </si>
  <si>
    <t>118938.40%</t>
  </si>
  <si>
    <t>NextDecade Corporation</t>
  </si>
  <si>
    <t>43.93%</t>
  </si>
  <si>
    <t>-25.60%</t>
  </si>
  <si>
    <t>-40.35%</t>
  </si>
  <si>
    <t>4.59 - 12.12</t>
  </si>
  <si>
    <t>-63.85%</t>
  </si>
  <si>
    <t>548.43%</t>
  </si>
  <si>
    <t>Stitch Fix Inc</t>
  </si>
  <si>
    <t>51.06%</t>
  </si>
  <si>
    <t>78.32%</t>
  </si>
  <si>
    <t>42.36%</t>
  </si>
  <si>
    <t>-14.11%</t>
  </si>
  <si>
    <t>-20.79%</t>
  </si>
  <si>
    <t>-32.64%</t>
  </si>
  <si>
    <t>112.90%</t>
  </si>
  <si>
    <t>2.21 - 6.99</t>
  </si>
  <si>
    <t>-95.86%</t>
  </si>
  <si>
    <t>128.40%</t>
  </si>
  <si>
    <t>SeaStar Medical Holding Corp</t>
  </si>
  <si>
    <t>-407.48%</t>
  </si>
  <si>
    <t>-1932.25%</t>
  </si>
  <si>
    <t>-1915.27%</t>
  </si>
  <si>
    <t>-56.78%</t>
  </si>
  <si>
    <t>87.36%</t>
  </si>
  <si>
    <t>0.31 - 4.56</t>
  </si>
  <si>
    <t>41.25%</t>
  </si>
  <si>
    <t>-73.99%</t>
  </si>
  <si>
    <t>-88.05%</t>
  </si>
  <si>
    <t>Rumble Inc</t>
  </si>
  <si>
    <t>-225.66%</t>
  </si>
  <si>
    <t>68.89%</t>
  </si>
  <si>
    <t>32.45%</t>
  </si>
  <si>
    <t>116.07%</t>
  </si>
  <si>
    <t>-79.91%</t>
  </si>
  <si>
    <t>-36.49%</t>
  </si>
  <si>
    <t>-116.42%</t>
  </si>
  <si>
    <t>-289.37%</t>
  </si>
  <si>
    <t>-23.03%</t>
  </si>
  <si>
    <t>-59.57%</t>
  </si>
  <si>
    <t>5.09 - 17.40</t>
  </si>
  <si>
    <t>-62.01%</t>
  </si>
  <si>
    <t>111.26%</t>
  </si>
  <si>
    <t>-23.45%</t>
  </si>
  <si>
    <t>Northann Corp</t>
  </si>
  <si>
    <t>-23.68%</t>
  </si>
  <si>
    <t>-56.13%</t>
  </si>
  <si>
    <t>-43.49%</t>
  </si>
  <si>
    <t>-69.40%</t>
  </si>
  <si>
    <t>-19.17%</t>
  </si>
  <si>
    <t>-21.05%</t>
  </si>
  <si>
    <t>-54.88%</t>
  </si>
  <si>
    <t>-40.32%</t>
  </si>
  <si>
    <t>-91.76%</t>
  </si>
  <si>
    <t>0.13 - 1.52</t>
  </si>
  <si>
    <t>-99.44%</t>
  </si>
  <si>
    <t>-39.22%</t>
  </si>
  <si>
    <t>RH</t>
  </si>
  <si>
    <t>-16.77%</t>
  </si>
  <si>
    <t>91.92%</t>
  </si>
  <si>
    <t>44.65%</t>
  </si>
  <si>
    <t>-22.41%</t>
  </si>
  <si>
    <t>-55.69%</t>
  </si>
  <si>
    <t>123.03 - 457.26</t>
  </si>
  <si>
    <t>-72.79%</t>
  </si>
  <si>
    <t>729.95%</t>
  </si>
  <si>
    <t>-41.21%</t>
  </si>
  <si>
    <t>Curanex Pharmaceuticals Inc</t>
  </si>
  <si>
    <t>-78.98%</t>
  </si>
  <si>
    <t>-78.82%</t>
  </si>
  <si>
    <t>-88.78%</t>
  </si>
  <si>
    <t>55.59%</t>
  </si>
  <si>
    <t>0.66 - 9.18</t>
  </si>
  <si>
    <t>Crocs Inc</t>
  </si>
  <si>
    <t>56.99%</t>
  </si>
  <si>
    <t>59.36%</t>
  </si>
  <si>
    <t>-22.05%</t>
  </si>
  <si>
    <t>-29.18%</t>
  </si>
  <si>
    <t>-48.47%</t>
  </si>
  <si>
    <t>73.76 - 151.13</t>
  </si>
  <si>
    <t>-57.65%</t>
  </si>
  <si>
    <t>9758.23%</t>
  </si>
  <si>
    <t>-24.40%</t>
  </si>
  <si>
    <t>-46.23%</t>
  </si>
  <si>
    <t>Extreme Networks Inc</t>
  </si>
  <si>
    <t>19.62%</t>
  </si>
  <si>
    <t>92.04%</t>
  </si>
  <si>
    <t>-10.90%</t>
  </si>
  <si>
    <t>101.93%</t>
  </si>
  <si>
    <t>10.10 - 22.89</t>
  </si>
  <si>
    <t>-84.17%</t>
  </si>
  <si>
    <t>1824.09%</t>
  </si>
  <si>
    <t>Majestic Ideal Holdings Ltd</t>
  </si>
  <si>
    <t>Textile Manufacturing</t>
  </si>
  <si>
    <t>-21.26%</t>
  </si>
  <si>
    <t>31.46%</t>
  </si>
  <si>
    <t>0.89 - 5.40</t>
  </si>
  <si>
    <t>22nd Century Group Inc</t>
  </si>
  <si>
    <t>-14.92%</t>
  </si>
  <si>
    <t>70.48%</t>
  </si>
  <si>
    <t>-49.46%</t>
  </si>
  <si>
    <t>-48.62%</t>
  </si>
  <si>
    <t>-111.92%</t>
  </si>
  <si>
    <t>-64.20%</t>
  </si>
  <si>
    <t>-111.55%</t>
  </si>
  <si>
    <t>-2.47%</t>
  </si>
  <si>
    <t>-24.34%</t>
  </si>
  <si>
    <t>-82.21%</t>
  </si>
  <si>
    <t>1.51 - 869.09</t>
  </si>
  <si>
    <t>-79.28%</t>
  </si>
  <si>
    <t>-94.91%</t>
  </si>
  <si>
    <t>Recursion Pharmaceuticals Inc</t>
  </si>
  <si>
    <t>-15.58%</t>
  </si>
  <si>
    <t>-35.28%</t>
  </si>
  <si>
    <t>90.93%</t>
  </si>
  <si>
    <t>33.34%</t>
  </si>
  <si>
    <t>53.77%</t>
  </si>
  <si>
    <t>-57.68%</t>
  </si>
  <si>
    <t>-1005.82%</t>
  </si>
  <si>
    <t>-1004.91%</t>
  </si>
  <si>
    <t>-21.94%</t>
  </si>
  <si>
    <t>-62.70%</t>
  </si>
  <si>
    <t>3.79 - 12.36</t>
  </si>
  <si>
    <t>-89.23%</t>
  </si>
  <si>
    <t>-8.35%</t>
  </si>
  <si>
    <t>Wolfspeed Inc</t>
  </si>
  <si>
    <t>-89.53%</t>
  </si>
  <si>
    <t>-45.01%</t>
  </si>
  <si>
    <t>-16.17%</t>
  </si>
  <si>
    <t>-54.36%</t>
  </si>
  <si>
    <t>-212.41%</t>
  </si>
  <si>
    <t>-30.83%</t>
  </si>
  <si>
    <t>-19.93%</t>
  </si>
  <si>
    <t>-63.78%</t>
  </si>
  <si>
    <t>-63.15%</t>
  </si>
  <si>
    <t>234.67%</t>
  </si>
  <si>
    <t>0.39 - 17.45</t>
  </si>
  <si>
    <t>-99.09%</t>
  </si>
  <si>
    <t>214.02%</t>
  </si>
  <si>
    <t>-75.89%</t>
  </si>
  <si>
    <t>-84.18%</t>
  </si>
  <si>
    <t>Under Armour Inc</t>
  </si>
  <si>
    <t>-3.94%</t>
  </si>
  <si>
    <t>21.49%</t>
  </si>
  <si>
    <t>48.24%</t>
  </si>
  <si>
    <t>-10.75%</t>
  </si>
  <si>
    <t>-54.76%</t>
  </si>
  <si>
    <t>4.61 - 10.62</t>
  </si>
  <si>
    <t>-89.60%</t>
  </si>
  <si>
    <t>Connexa Sports Technologies Inc</t>
  </si>
  <si>
    <t>61.04%</t>
  </si>
  <si>
    <t>325.59%</t>
  </si>
  <si>
    <t>-29.30%</t>
  </si>
  <si>
    <t>55.34%</t>
  </si>
  <si>
    <t>-58.78%</t>
  </si>
  <si>
    <t>134.41%</t>
  </si>
  <si>
    <t>-78.83%</t>
  </si>
  <si>
    <t>522.68%</t>
  </si>
  <si>
    <t>0.35 - 10.30</t>
  </si>
  <si>
    <t>142.55%</t>
  </si>
  <si>
    <t>141.42%</t>
  </si>
  <si>
    <t>-64.84%</t>
  </si>
  <si>
    <t>Redwire Corporation</t>
  </si>
  <si>
    <t>-53.57%</t>
  </si>
  <si>
    <t>-1290.53%</t>
  </si>
  <si>
    <t>-39.97%</t>
  </si>
  <si>
    <t>-95.52%</t>
  </si>
  <si>
    <t>-37.27%</t>
  </si>
  <si>
    <t>-57.50%</t>
  </si>
  <si>
    <t>-67.59%</t>
  </si>
  <si>
    <t>6.38 - 26.66</t>
  </si>
  <si>
    <t>417.37%</t>
  </si>
  <si>
    <t>-12.37%</t>
  </si>
  <si>
    <t>Myomo Inc</t>
  </si>
  <si>
    <t>93.07%</t>
  </si>
  <si>
    <t>58.57%</t>
  </si>
  <si>
    <t>69.24%</t>
  </si>
  <si>
    <t>-22.85%</t>
  </si>
  <si>
    <t>-26.94%</t>
  </si>
  <si>
    <t>-74.38%</t>
  </si>
  <si>
    <t>-56.31%</t>
  </si>
  <si>
    <t>-86.47%</t>
  </si>
  <si>
    <t>0.80 - 7.17</t>
  </si>
  <si>
    <t>162.87%</t>
  </si>
  <si>
    <t>-57.08%</t>
  </si>
  <si>
    <t>-80.60%</t>
  </si>
  <si>
    <t>-73.85%</t>
  </si>
  <si>
    <t>Hyperscale Data Inc</t>
  </si>
  <si>
    <t>91.39%</t>
  </si>
  <si>
    <t>89.69%</t>
  </si>
  <si>
    <t>-36.74%</t>
  </si>
  <si>
    <t>-55.38%</t>
  </si>
  <si>
    <t>15.60%</t>
  </si>
  <si>
    <t>-21.22%</t>
  </si>
  <si>
    <t>-83.75%</t>
  </si>
  <si>
    <t>-60.13%</t>
  </si>
  <si>
    <t>-95.33%</t>
  </si>
  <si>
    <t>0.36 - 9.98</t>
  </si>
  <si>
    <t>-66.20%</t>
  </si>
  <si>
    <t>-82.23%</t>
  </si>
  <si>
    <t>-93.97%</t>
  </si>
  <si>
    <t>Apartment Investment &amp; Management Co</t>
  </si>
  <si>
    <t>-166.88%</t>
  </si>
  <si>
    <t>-16.09%</t>
  </si>
  <si>
    <t>6.89 - 9.29</t>
  </si>
  <si>
    <t>1607.46%</t>
  </si>
  <si>
    <t>-10.40%</t>
  </si>
  <si>
    <t>Boeing Co</t>
  </si>
  <si>
    <t>2/13/2020</t>
  </si>
  <si>
    <t>-36.92%</t>
  </si>
  <si>
    <t>-74.80%</t>
  </si>
  <si>
    <t>34.88%</t>
  </si>
  <si>
    <t>-2.85%</t>
  </si>
  <si>
    <t>73.88%</t>
  </si>
  <si>
    <t>128.88 - 242.69</t>
  </si>
  <si>
    <t>4100.54%</t>
  </si>
  <si>
    <t>Trio Petroleum Corp</t>
  </si>
  <si>
    <t>-265.72%</t>
  </si>
  <si>
    <t>123.36%</t>
  </si>
  <si>
    <t>60.02%</t>
  </si>
  <si>
    <t>-1344.50%</t>
  </si>
  <si>
    <t>-2063.21%</t>
  </si>
  <si>
    <t>-12.69%</t>
  </si>
  <si>
    <t>-74.67%</t>
  </si>
  <si>
    <t>0.79 - 4.50</t>
  </si>
  <si>
    <t>-98.10%</t>
  </si>
  <si>
    <t>-17.99%</t>
  </si>
  <si>
    <t>-71.49%</t>
  </si>
  <si>
    <t>['Performance 1Y (1Y up)', 'Performance 3M (3M up)', 'Performance 6M (6M up)', 'Price Above 50 SMA (Price &gt; 50 SMA)', 'Relative Volume (&gt; 1.5)', 'RSI (14) High (RSI &gt; 60)']</t>
  </si>
  <si>
    <t>Moleculin Biotech Inc</t>
  </si>
  <si>
    <t>45.64%</t>
  </si>
  <si>
    <t>27.99%</t>
  </si>
  <si>
    <t>-51.24%</t>
  </si>
  <si>
    <t>-87.17%</t>
  </si>
  <si>
    <t>87.24%</t>
  </si>
  <si>
    <t>0.25 - 3.65</t>
  </si>
  <si>
    <t>-99.95%</t>
  </si>
  <si>
    <t>49.94%</t>
  </si>
  <si>
    <t>-55.42%</t>
  </si>
  <si>
    <t>-82.60%</t>
  </si>
  <si>
    <t>Bolt Biotherapeutics Inc</t>
  </si>
  <si>
    <t>82.75%</t>
  </si>
  <si>
    <t>104.50%</t>
  </si>
  <si>
    <t>-1282.39%</t>
  </si>
  <si>
    <t>-1217.01%</t>
  </si>
  <si>
    <t>-61.80%</t>
  </si>
  <si>
    <t>4.59 - 14.36</t>
  </si>
  <si>
    <t>-54.11%</t>
  </si>
  <si>
    <t>['50 SMA above 200 SMA (Golden cross)', 'Performance 1Y (1Y up)', 'Performance 3M (3M up)', 'Performance 6M (6M up)', 'Relative Volume (&gt; 1.5)', 'RSI (14) High (RSI &gt; 60)']</t>
  </si>
  <si>
    <t>Plains All American Pipeline LP</t>
  </si>
  <si>
    <t>-1.65%</t>
  </si>
  <si>
    <t>173.45%</t>
  </si>
  <si>
    <t>-22.68%</t>
  </si>
  <si>
    <t>-15.50%</t>
  </si>
  <si>
    <t>15.57 - 21.00</t>
  </si>
  <si>
    <t>-70.95%</t>
  </si>
  <si>
    <t>491.49%</t>
  </si>
  <si>
    <t>Anteris Technologies Global Corp</t>
  </si>
  <si>
    <t>-57.99%</t>
  </si>
  <si>
    <t>-3419.78%</t>
  </si>
  <si>
    <t>-3385.59%</t>
  </si>
  <si>
    <t>-36.73%</t>
  </si>
  <si>
    <t>36.87%</t>
  </si>
  <si>
    <t>-53.75%</t>
  </si>
  <si>
    <t>73.72%</t>
  </si>
  <si>
    <t>2.34 - 8.79</t>
  </si>
  <si>
    <t>['50 SMA above 200 SMA (Golden cross)', 'Performance 1Y (1Y up)', 'Performance 3M (3M up)', 'Performance 6M (6M up)', 'Price Above 50 SMA (Price &gt; 50 SMA)', 'RSI (14) High (RSI &gt; 60)']</t>
  </si>
  <si>
    <t>Crescent Capital BDC Inc</t>
  </si>
  <si>
    <t>102.66%</t>
  </si>
  <si>
    <t>46.06%</t>
  </si>
  <si>
    <t>65.09%</t>
  </si>
  <si>
    <t>-24.18%</t>
  </si>
  <si>
    <t>13.45 - 20.00</t>
  </si>
  <si>
    <t>157.10%</t>
  </si>
  <si>
    <t>-14.19%</t>
  </si>
  <si>
    <t>PROG Holdings Inc</t>
  </si>
  <si>
    <t>57.49%</t>
  </si>
  <si>
    <t>33.49%</t>
  </si>
  <si>
    <t>-4.70%</t>
  </si>
  <si>
    <t>-33.08%</t>
  </si>
  <si>
    <t>23.50 - 50.12</t>
  </si>
  <si>
    <t>-49.68%</t>
  </si>
  <si>
    <t>6773.82%</t>
  </si>
  <si>
    <t>-32.40%</t>
  </si>
  <si>
    <t>COPT Defense Properties</t>
  </si>
  <si>
    <t>96.19%</t>
  </si>
  <si>
    <t>108.26%</t>
  </si>
  <si>
    <t>29.73%</t>
  </si>
  <si>
    <t>-6.82%</t>
  </si>
  <si>
    <t>23.92 - 34.22</t>
  </si>
  <si>
    <t>546.89%</t>
  </si>
  <si>
    <t>Atlanticus Holdings Corp</t>
  </si>
  <si>
    <t>12/29/2009</t>
  </si>
  <si>
    <t>37.95%</t>
  </si>
  <si>
    <t>90.78%</t>
  </si>
  <si>
    <t>24.00%</t>
  </si>
  <si>
    <t>-7.18%</t>
  </si>
  <si>
    <t>39.62%</t>
  </si>
  <si>
    <t>91.12%</t>
  </si>
  <si>
    <t>33.41 - 78.91</t>
  </si>
  <si>
    <t>-30.57%</t>
  </si>
  <si>
    <t>5453.04%</t>
  </si>
  <si>
    <t>19.23%</t>
  </si>
  <si>
    <t>20.49%</t>
  </si>
  <si>
    <t>84.41%</t>
  </si>
  <si>
    <t>Installed Building Products Inc</t>
  </si>
  <si>
    <t>31.88%</t>
  </si>
  <si>
    <t>105.61%</t>
  </si>
  <si>
    <t>32.16%</t>
  </si>
  <si>
    <t>28.21%</t>
  </si>
  <si>
    <t>-11.30%</t>
  </si>
  <si>
    <t>150.83 - 280.00</t>
  </si>
  <si>
    <t>2275.12%</t>
  </si>
  <si>
    <t>44.16%</t>
  </si>
  <si>
    <t>Lithia Motors, Inc</t>
  </si>
  <si>
    <t>-6.80%</t>
  </si>
  <si>
    <t>-21.38%</t>
  </si>
  <si>
    <t>262.10 - 405.67</t>
  </si>
  <si>
    <t>20744.55%</t>
  </si>
  <si>
    <t>Mohawk Industries, Inc</t>
  </si>
  <si>
    <t>81.69%</t>
  </si>
  <si>
    <t>96.24 - 164.29</t>
  </si>
  <si>
    <t>-55.96%</t>
  </si>
  <si>
    <t>2513.52%</t>
  </si>
  <si>
    <t>Stran &amp; Company Inc</t>
  </si>
  <si>
    <t>95.15%</t>
  </si>
  <si>
    <t>0.73 - 1.96</t>
  </si>
  <si>
    <t>-76.11%</t>
  </si>
  <si>
    <t>76.72%</t>
  </si>
  <si>
    <t>CNB Financial Corp (PA)</t>
  </si>
  <si>
    <t>14.94%</t>
  </si>
  <si>
    <t>43.85%</t>
  </si>
  <si>
    <t>-14.86%</t>
  </si>
  <si>
    <t>19.32 - 29.29</t>
  </si>
  <si>
    <t>331.92%</t>
  </si>
  <si>
    <t>Shimmick Corp</t>
  </si>
  <si>
    <t>41.72%</t>
  </si>
  <si>
    <t>-11.21%</t>
  </si>
  <si>
    <t>-23.86%</t>
  </si>
  <si>
    <t>68.67%</t>
  </si>
  <si>
    <t>105.00%</t>
  </si>
  <si>
    <t>1.30 - 3.78</t>
  </si>
  <si>
    <t>-66.65%</t>
  </si>
  <si>
    <t>52.29%</t>
  </si>
  <si>
    <t>Mativ Holdings Inc</t>
  </si>
  <si>
    <t>-38.97%</t>
  </si>
  <si>
    <t>-25.65%</t>
  </si>
  <si>
    <t>27.00%</t>
  </si>
  <si>
    <t>83.33%</t>
  </si>
  <si>
    <t>81.77%</t>
  </si>
  <si>
    <t>158.41%</t>
  </si>
  <si>
    <t>4.34 - 17.97</t>
  </si>
  <si>
    <t>70.18%</t>
  </si>
  <si>
    <t>-36.42%</t>
  </si>
  <si>
    <t>Village Super Market, Inc</t>
  </si>
  <si>
    <t>Grocery Stores</t>
  </si>
  <si>
    <t>35.36%</t>
  </si>
  <si>
    <t>29.60%</t>
  </si>
  <si>
    <t>28.33 - 40.15</t>
  </si>
  <si>
    <t>4925.88%</t>
  </si>
  <si>
    <t>Trustco Bank Corp</t>
  </si>
  <si>
    <t>77.28%</t>
  </si>
  <si>
    <t>37.99%</t>
  </si>
  <si>
    <t>27.18 - 40.96</t>
  </si>
  <si>
    <t>-47.36%</t>
  </si>
  <si>
    <t>2069.93%</t>
  </si>
  <si>
    <t>Onity Group Inc</t>
  </si>
  <si>
    <t>40.03%</t>
  </si>
  <si>
    <t>94.27%</t>
  </si>
  <si>
    <t>25.50 - 45.83</t>
  </si>
  <si>
    <t>-95.47%</t>
  </si>
  <si>
    <t>869.67%</t>
  </si>
  <si>
    <t>Mid Penn Bancorp, Inc</t>
  </si>
  <si>
    <t>27.62%</t>
  </si>
  <si>
    <t>12.60%</t>
  </si>
  <si>
    <t>-7.51%</t>
  </si>
  <si>
    <t>22.50 - 33.87</t>
  </si>
  <si>
    <t>413.20%</t>
  </si>
  <si>
    <t>Nexstar Media Group Inc</t>
  </si>
  <si>
    <t>34.15%</t>
  </si>
  <si>
    <t>101.18%</t>
  </si>
  <si>
    <t>42.81%</t>
  </si>
  <si>
    <t>39.59%</t>
  </si>
  <si>
    <t>141.66 - 223.36</t>
  </si>
  <si>
    <t>46980.12%</t>
  </si>
  <si>
    <t>Republic Bancorp, Inc. (KY)</t>
  </si>
  <si>
    <t>16.65%</t>
  </si>
  <si>
    <t>-6.07%</t>
  </si>
  <si>
    <t>56.79 - 80.68</t>
  </si>
  <si>
    <t>1810.65%</t>
  </si>
  <si>
    <t>Rallybio Corp</t>
  </si>
  <si>
    <t>-19.41%</t>
  </si>
  <si>
    <t>154.52%</t>
  </si>
  <si>
    <t>-29.10%</t>
  </si>
  <si>
    <t>84.76%</t>
  </si>
  <si>
    <t>-5479.76%</t>
  </si>
  <si>
    <t>-5473.32%</t>
  </si>
  <si>
    <t>-16.46%</t>
  </si>
  <si>
    <t>-56.21%</t>
  </si>
  <si>
    <t>146.71%</t>
  </si>
  <si>
    <t>0.22 - 1.24</t>
  </si>
  <si>
    <t>-97.89%</t>
  </si>
  <si>
    <t>['Average Volume (Over 1M)', 'Performance 1Y (1Y up)', 'Performance 3M (3M up)', 'Performance 6M (6M up)', 'Price Above 50 SMA (Price &gt; 50 SMA)', 'RSI (14) High (RSI &gt; 60)']</t>
  </si>
  <si>
    <t>Impinj Inc</t>
  </si>
  <si>
    <t>20.99%</t>
  </si>
  <si>
    <t>107.75%</t>
  </si>
  <si>
    <t>51.56%</t>
  </si>
  <si>
    <t>-13.72%</t>
  </si>
  <si>
    <t>-27.61%</t>
  </si>
  <si>
    <t>185.36%</t>
  </si>
  <si>
    <t>60.85 - 239.88</t>
  </si>
  <si>
    <t>1645.14%</t>
  </si>
  <si>
    <t>86.99%</t>
  </si>
  <si>
    <t>Openlane Inc</t>
  </si>
  <si>
    <t>3/19/2020</t>
  </si>
  <si>
    <t>-20.49%</t>
  </si>
  <si>
    <t>50.27%</t>
  </si>
  <si>
    <t>-12.42%</t>
  </si>
  <si>
    <t>103.84%</t>
  </si>
  <si>
    <t>81.31%</t>
  </si>
  <si>
    <t>15.44 - 30.93</t>
  </si>
  <si>
    <t>577.53%</t>
  </si>
  <si>
    <t>17.08%</t>
  </si>
  <si>
    <t>44.75%</t>
  </si>
  <si>
    <t>66.64%</t>
  </si>
  <si>
    <t>Biolife Solutions Inc</t>
  </si>
  <si>
    <t>-50.12%</t>
  </si>
  <si>
    <t>-55.83%</t>
  </si>
  <si>
    <t>-885.07%</t>
  </si>
  <si>
    <t>103.08%</t>
  </si>
  <si>
    <t>58.20%</t>
  </si>
  <si>
    <t>27.43%</t>
  </si>
  <si>
    <t>19.10 - 29.55</t>
  </si>
  <si>
    <t>-98.24%</t>
  </si>
  <si>
    <t>17285.71%</t>
  </si>
  <si>
    <t>Brunswick Corp</t>
  </si>
  <si>
    <t>87.03%</t>
  </si>
  <si>
    <t>-36.58%</t>
  </si>
  <si>
    <t>106.48%</t>
  </si>
  <si>
    <t>41.00 - 87.65</t>
  </si>
  <si>
    <t>3314.23%</t>
  </si>
  <si>
    <t>Embecta Corp</t>
  </si>
  <si>
    <t>44.70%</t>
  </si>
  <si>
    <t>-43.15%</t>
  </si>
  <si>
    <t>94.04%</t>
  </si>
  <si>
    <t>61.88%</t>
  </si>
  <si>
    <t>-35.94%</t>
  </si>
  <si>
    <t>9.20 - 21.48</t>
  </si>
  <si>
    <t>-71.92%</t>
  </si>
  <si>
    <t>42.74%</t>
  </si>
  <si>
    <t>Fulton Financial Corp</t>
  </si>
  <si>
    <t>76.90%</t>
  </si>
  <si>
    <t>14.32 - 22.49</t>
  </si>
  <si>
    <t>684.98%</t>
  </si>
  <si>
    <t>Starwood Property Trust Inc</t>
  </si>
  <si>
    <t>174.50%</t>
  </si>
  <si>
    <t>-10.30%</t>
  </si>
  <si>
    <t>86.60%</t>
  </si>
  <si>
    <t>20.66%</t>
  </si>
  <si>
    <t>16.59 - 21.05</t>
  </si>
  <si>
    <t>174.20%</t>
  </si>
  <si>
    <t>Fossil Group Inc</t>
  </si>
  <si>
    <t>-15.35%</t>
  </si>
  <si>
    <t>-15.23%</t>
  </si>
  <si>
    <t>55.70%</t>
  </si>
  <si>
    <t>56.60%</t>
  </si>
  <si>
    <t>-23.91%</t>
  </si>
  <si>
    <t>77.27%</t>
  </si>
  <si>
    <t>217.85%</t>
  </si>
  <si>
    <t>0.86 - 3.58</t>
  </si>
  <si>
    <t>263.20%</t>
  </si>
  <si>
    <t>81.60%</t>
  </si>
  <si>
    <t>134.83%</t>
  </si>
  <si>
    <t>Guidewire Software Inc</t>
  </si>
  <si>
    <t>24.20%</t>
  </si>
  <si>
    <t>-18.94%</t>
  </si>
  <si>
    <t>-15.01%</t>
  </si>
  <si>
    <t>165.08 - 272.60</t>
  </si>
  <si>
    <t>1308.42%</t>
  </si>
  <si>
    <t>Claros Mortgage Trust Inc</t>
  </si>
  <si>
    <t>9/30/2024</t>
  </si>
  <si>
    <t>-51.61%</t>
  </si>
  <si>
    <t>-65.30%</t>
  </si>
  <si>
    <t>-7.33%</t>
  </si>
  <si>
    <t>-19.35%</t>
  </si>
  <si>
    <t>-2555.17%</t>
  </si>
  <si>
    <t>52.21%</t>
  </si>
  <si>
    <t>-389.32%</t>
  </si>
  <si>
    <t>-421.20%</t>
  </si>
  <si>
    <t>-13.53%</t>
  </si>
  <si>
    <t>-55.65%</t>
  </si>
  <si>
    <t>2.13 - 7.78</t>
  </si>
  <si>
    <t>-82.91%</t>
  </si>
  <si>
    <t>-56.04%</t>
  </si>
  <si>
    <t>Methode Electronics, Inc</t>
  </si>
  <si>
    <t>-57.59%</t>
  </si>
  <si>
    <t>5.08 - 17.45</t>
  </si>
  <si>
    <t>-85.60%</t>
  </si>
  <si>
    <t>2396.62%</t>
  </si>
  <si>
    <t>-35.37%</t>
  </si>
  <si>
    <t>First Busey Corp</t>
  </si>
  <si>
    <t>7/18/2025</t>
  </si>
  <si>
    <t>48.59%</t>
  </si>
  <si>
    <t>26.75%</t>
  </si>
  <si>
    <t>72.55%</t>
  </si>
  <si>
    <t>60.85%</t>
  </si>
  <si>
    <t>-15.41%</t>
  </si>
  <si>
    <t>18.40 - 28.30</t>
  </si>
  <si>
    <t>-66.50%</t>
  </si>
  <si>
    <t>168.19%</t>
  </si>
  <si>
    <t>1st Source Corp</t>
  </si>
  <si>
    <t>52.14 - 68.12</t>
  </si>
  <si>
    <t>6012.44%</t>
  </si>
  <si>
    <t>CBL&amp; Associates Properties, Inc</t>
  </si>
  <si>
    <t>86.98%</t>
  </si>
  <si>
    <t>85.76%</t>
  </si>
  <si>
    <t>78.86%</t>
  </si>
  <si>
    <t>-7.89%</t>
  </si>
  <si>
    <t>42.68%</t>
  </si>
  <si>
    <t>21.10 - 32.69</t>
  </si>
  <si>
    <t>55.62%</t>
  </si>
  <si>
    <t>Vontier Corporation</t>
  </si>
  <si>
    <t>44.67%</t>
  </si>
  <si>
    <t>53.99%</t>
  </si>
  <si>
    <t>27.22 - 43.88</t>
  </si>
  <si>
    <t>153.26%</t>
  </si>
  <si>
    <t>InvenTrust Properties Corp</t>
  </si>
  <si>
    <t>38.28%</t>
  </si>
  <si>
    <t>470.72%</t>
  </si>
  <si>
    <t>1843.13%</t>
  </si>
  <si>
    <t>72.87%</t>
  </si>
  <si>
    <t>29.86%</t>
  </si>
  <si>
    <t>25.21 - 31.65</t>
  </si>
  <si>
    <t>Ingles Markets, Inc</t>
  </si>
  <si>
    <t>-24.15%</t>
  </si>
  <si>
    <t>69.99%</t>
  </si>
  <si>
    <t>58.92 - 75.63</t>
  </si>
  <si>
    <t>1225.06%</t>
  </si>
  <si>
    <t>Empire State Realty OP LP</t>
  </si>
  <si>
    <t>-11.23%</t>
  </si>
  <si>
    <t>-36.78%</t>
  </si>
  <si>
    <t>6.39 - 11.50</t>
  </si>
  <si>
    <t>-91.40%</t>
  </si>
  <si>
    <t>43.13%</t>
  </si>
  <si>
    <t>-14.07%</t>
  </si>
  <si>
    <t>-13.04%</t>
  </si>
  <si>
    <t>-27.70%</t>
  </si>
  <si>
    <t>Sanara MedTech Inc</t>
  </si>
  <si>
    <t>34.29%</t>
  </si>
  <si>
    <t>-10.22%</t>
  </si>
  <si>
    <t>33.74%</t>
  </si>
  <si>
    <t>23.53 - 39.08</t>
  </si>
  <si>
    <t>-99.60%</t>
  </si>
  <si>
    <t>1473.50%</t>
  </si>
  <si>
    <t>Insulet Corporation</t>
  </si>
  <si>
    <t>186.88%</t>
  </si>
  <si>
    <t>98.82%</t>
  </si>
  <si>
    <t>31.08%</t>
  </si>
  <si>
    <t>-6.76%</t>
  </si>
  <si>
    <t>101.15%</t>
  </si>
  <si>
    <t>71.48%</t>
  </si>
  <si>
    <t>11.95%</t>
  </si>
  <si>
    <t>43.60%</t>
  </si>
  <si>
    <t>225.37 - 353.50</t>
  </si>
  <si>
    <t>12492.61%</t>
  </si>
  <si>
    <t>Iradimed Corp</t>
  </si>
  <si>
    <t>29.91%</t>
  </si>
  <si>
    <t>55.82%</t>
  </si>
  <si>
    <t>76.96%</t>
  </si>
  <si>
    <t>46.86 - 74.43</t>
  </si>
  <si>
    <t>1070.66%</t>
  </si>
  <si>
    <t>29.16%</t>
  </si>
  <si>
    <t>41.69%</t>
  </si>
  <si>
    <t>Enterprise Financial Services Corp</t>
  </si>
  <si>
    <t>81.51%</t>
  </si>
  <si>
    <t>26.35%</t>
  </si>
  <si>
    <t>10.22%</t>
  </si>
  <si>
    <t>45.22 - 63.13</t>
  </si>
  <si>
    <t>738.64%</t>
  </si>
  <si>
    <t>Melar Acquisition Corp. I</t>
  </si>
  <si>
    <t>9.95 - 10.83</t>
  </si>
  <si>
    <t>Jones Lang Lasalle Inc</t>
  </si>
  <si>
    <t>11/14/2019</t>
  </si>
  <si>
    <t>96.03%</t>
  </si>
  <si>
    <t>98.90%</t>
  </si>
  <si>
    <t>15.65%</t>
  </si>
  <si>
    <t>194.36 - 322.36</t>
  </si>
  <si>
    <t>3163.89%</t>
  </si>
  <si>
    <t>19.70%</t>
  </si>
  <si>
    <t>Otter Tail Corporation</t>
  </si>
  <si>
    <t>19.26%</t>
  </si>
  <si>
    <t>-3.69%</t>
  </si>
  <si>
    <t>21.82%</t>
  </si>
  <si>
    <t>71.66 - 88.36</t>
  </si>
  <si>
    <t>-18.65%</t>
  </si>
  <si>
    <t>1326.76%</t>
  </si>
  <si>
    <t>Hingham Institution For Savings</t>
  </si>
  <si>
    <t>59.52%</t>
  </si>
  <si>
    <t>-10.13%</t>
  </si>
  <si>
    <t>209.71 - 300.00</t>
  </si>
  <si>
    <t>-37.87%</t>
  </si>
  <si>
    <t>28129.51%</t>
  </si>
  <si>
    <t>BrightSpire Capital Inc</t>
  </si>
  <si>
    <t>-10.14%</t>
  </si>
  <si>
    <t>-14.73%</t>
  </si>
  <si>
    <t>16.13%</t>
  </si>
  <si>
    <t>65.44%</t>
  </si>
  <si>
    <t>4.16 - 6.45</t>
  </si>
  <si>
    <t>-73.79%</t>
  </si>
  <si>
    <t>147.55%</t>
  </si>
  <si>
    <t>System1 Inc</t>
  </si>
  <si>
    <t>-12.76%</t>
  </si>
  <si>
    <t>28.46%</t>
  </si>
  <si>
    <t>-22.43%</t>
  </si>
  <si>
    <t>47.42%</t>
  </si>
  <si>
    <t>151.72%</t>
  </si>
  <si>
    <t>2.90 - 15.00</t>
  </si>
  <si>
    <t>-98.03%</t>
  </si>
  <si>
    <t>74.31%</t>
  </si>
  <si>
    <t>-37.61%</t>
  </si>
  <si>
    <t>Haverty Furniture Cos., Inc</t>
  </si>
  <si>
    <t>105.48%</t>
  </si>
  <si>
    <t>78.71%</t>
  </si>
  <si>
    <t>-18.86%</t>
  </si>
  <si>
    <t>17.01 - 27.48</t>
  </si>
  <si>
    <t>1579.26%</t>
  </si>
  <si>
    <t>Turning Point Brands Inc</t>
  </si>
  <si>
    <t>99.43%</t>
  </si>
  <si>
    <t>-7.73%</t>
  </si>
  <si>
    <t>28.03%</t>
  </si>
  <si>
    <t>139.57%</t>
  </si>
  <si>
    <t>40.35 - 104.76</t>
  </si>
  <si>
    <t>1395.90%</t>
  </si>
  <si>
    <t>128.96%</t>
  </si>
  <si>
    <t>Industrial Logistics Properties Trust</t>
  </si>
  <si>
    <t>-68.82%</t>
  </si>
  <si>
    <t>14.05%</t>
  </si>
  <si>
    <t>142.85%</t>
  </si>
  <si>
    <t>2.45 - 6.57</t>
  </si>
  <si>
    <t>-79.24%</t>
  </si>
  <si>
    <t>261.70%</t>
  </si>
  <si>
    <t>67.60%</t>
  </si>
  <si>
    <t>IPG Photonics Corp</t>
  </si>
  <si>
    <t>-0.42%</t>
  </si>
  <si>
    <t>12/19/2012</t>
  </si>
  <si>
    <t>-12.55%</t>
  </si>
  <si>
    <t>62.77%</t>
  </si>
  <si>
    <t>33.81%</t>
  </si>
  <si>
    <t>-22.77%</t>
  </si>
  <si>
    <t>62.47%</t>
  </si>
  <si>
    <t>48.59 - 88.50</t>
  </si>
  <si>
    <t>1074.57%</t>
  </si>
  <si>
    <t>Peapack-Gladstone Financial Corp</t>
  </si>
  <si>
    <t>-14.27%</t>
  </si>
  <si>
    <t>20.39%</t>
  </si>
  <si>
    <t>72.29%</t>
  </si>
  <si>
    <t>-7.00%</t>
  </si>
  <si>
    <t>17.51%</t>
  </si>
  <si>
    <t>23.96 - 37.88</t>
  </si>
  <si>
    <t>193.28%</t>
  </si>
  <si>
    <t>Moelis &amp; Co</t>
  </si>
  <si>
    <t>135.18%</t>
  </si>
  <si>
    <t>-30.71%</t>
  </si>
  <si>
    <t>36.28%</t>
  </si>
  <si>
    <t>14.31%</t>
  </si>
  <si>
    <t>-13.34%</t>
  </si>
  <si>
    <t>52.83%</t>
  </si>
  <si>
    <t>47.00 - 82.89</t>
  </si>
  <si>
    <t>332.18%</t>
  </si>
  <si>
    <t>Guardian Pharmacy Services Inc</t>
  </si>
  <si>
    <t>-26.06%</t>
  </si>
  <si>
    <t>80.44%</t>
  </si>
  <si>
    <t>14.16 - 30.39</t>
  </si>
  <si>
    <t>Federated Hermes Inc</t>
  </si>
  <si>
    <t>85.01%</t>
  </si>
  <si>
    <t>35.05 - 54.42</t>
  </si>
  <si>
    <t>864.56%</t>
  </si>
  <si>
    <t>16.97%</t>
  </si>
  <si>
    <t>Civista Bancshares Inc</t>
  </si>
  <si>
    <t>31.76%</t>
  </si>
  <si>
    <t>-8.51%</t>
  </si>
  <si>
    <t>46.02%</t>
  </si>
  <si>
    <t>17.00 - 25.59</t>
  </si>
  <si>
    <t>-46.94%</t>
  </si>
  <si>
    <t>539.25%</t>
  </si>
  <si>
    <t>United Community Banks Inc</t>
  </si>
  <si>
    <t>46.07%</t>
  </si>
  <si>
    <t>17.80%</t>
  </si>
  <si>
    <t>37.69%</t>
  </si>
  <si>
    <t>22.93 - 35.38</t>
  </si>
  <si>
    <t>474.03%</t>
  </si>
  <si>
    <t>Avanos Medical Inc</t>
  </si>
  <si>
    <t>-54.63%</t>
  </si>
  <si>
    <t>54.02%</t>
  </si>
  <si>
    <t>-66.89%</t>
  </si>
  <si>
    <t>-4.15%</t>
  </si>
  <si>
    <t>-14.30%</t>
  </si>
  <si>
    <t>-52.00%</t>
  </si>
  <si>
    <t>9.30 - 24.23</t>
  </si>
  <si>
    <t>-84.06%</t>
  </si>
  <si>
    <t>-50.99%</t>
  </si>
  <si>
    <t>Advanced Drainage Systems Inc</t>
  </si>
  <si>
    <t>35.56%</t>
  </si>
  <si>
    <t>21.99%</t>
  </si>
  <si>
    <t>93.92 - 166.03</t>
  </si>
  <si>
    <t>860.23%</t>
  </si>
  <si>
    <t>Hillenbrand Inc</t>
  </si>
  <si>
    <t>18.36 - 35.59</t>
  </si>
  <si>
    <t>-56.30%</t>
  </si>
  <si>
    <t>78.19%</t>
  </si>
  <si>
    <t>-13.61%</t>
  </si>
  <si>
    <t>Sunrise Realty Trust Inc</t>
  </si>
  <si>
    <t>62.70%</t>
  </si>
  <si>
    <t>241.12%</t>
  </si>
  <si>
    <t>61.86%</t>
  </si>
  <si>
    <t>7.80 - 15.74</t>
  </si>
  <si>
    <t>Brookfield Business Corp</t>
  </si>
  <si>
    <t>-47.33%</t>
  </si>
  <si>
    <t>21.52 - 37.01</t>
  </si>
  <si>
    <t>136.71%</t>
  </si>
  <si>
    <t>S &amp; T Bancorp, Inc</t>
  </si>
  <si>
    <t>29.38%</t>
  </si>
  <si>
    <t>30.84 - 45.46</t>
  </si>
  <si>
    <t>-20.08%</t>
  </si>
  <si>
    <t>683.18%</t>
  </si>
  <si>
    <t>American Assets Trust Inc</t>
  </si>
  <si>
    <t>142.34%</t>
  </si>
  <si>
    <t>25.79%</t>
  </si>
  <si>
    <t>79.01%</t>
  </si>
  <si>
    <t>14.81%</t>
  </si>
  <si>
    <t>-30.84%</t>
  </si>
  <si>
    <t>16.69 - 29.15</t>
  </si>
  <si>
    <t>25.67%</t>
  </si>
  <si>
    <t>Axos Financial Inc</t>
  </si>
  <si>
    <t>31.51%</t>
  </si>
  <si>
    <t>54.46 - 93.84</t>
  </si>
  <si>
    <t>11541.86%</t>
  </si>
  <si>
    <t>Upland Software Inc</t>
  </si>
  <si>
    <t>-30.37%</t>
  </si>
  <si>
    <t>-23.01%</t>
  </si>
  <si>
    <t>-18.17%</t>
  </si>
  <si>
    <t>49.74%</t>
  </si>
  <si>
    <t>-19.76%</t>
  </si>
  <si>
    <t>-5.94%</t>
  </si>
  <si>
    <t>-39.39%</t>
  </si>
  <si>
    <t>-57.98%</t>
  </si>
  <si>
    <t>40.24%</t>
  </si>
  <si>
    <t>1.69 - 5.64</t>
  </si>
  <si>
    <t>-95.68%</t>
  </si>
  <si>
    <t>-24.04%</t>
  </si>
  <si>
    <t>-9.20%</t>
  </si>
  <si>
    <t>FS Bancorp Inc</t>
  </si>
  <si>
    <t>24.29%</t>
  </si>
  <si>
    <t>64.28%</t>
  </si>
  <si>
    <t>18.49%</t>
  </si>
  <si>
    <t>34.42 - 48.87</t>
  </si>
  <si>
    <t>730.51%</t>
  </si>
  <si>
    <t>Univest Financial Corp</t>
  </si>
  <si>
    <t>32.53%</t>
  </si>
  <si>
    <t>78.83%</t>
  </si>
  <si>
    <t>22.83 - 32.86</t>
  </si>
  <si>
    <t>-21.90%</t>
  </si>
  <si>
    <t>347.98%</t>
  </si>
  <si>
    <t>Walker &amp; Dunlop Inc</t>
  </si>
  <si>
    <t>81.54%</t>
  </si>
  <si>
    <t>-26.86%</t>
  </si>
  <si>
    <t>84.23%</t>
  </si>
  <si>
    <t>64.48 - 118.19</t>
  </si>
  <si>
    <t>-47.22%</t>
  </si>
  <si>
    <t>819.29%</t>
  </si>
  <si>
    <t>-26.51%</t>
  </si>
  <si>
    <t>Sera Prognostics Inc</t>
  </si>
  <si>
    <t>-29.17%</t>
  </si>
  <si>
    <t>-746.30%</t>
  </si>
  <si>
    <t>-34125.00%</t>
  </si>
  <si>
    <t>-30306.48%</t>
  </si>
  <si>
    <t>34.44%</t>
  </si>
  <si>
    <t>-68.02%</t>
  </si>
  <si>
    <t>1.37 - 9.13</t>
  </si>
  <si>
    <t>-81.16%</t>
  </si>
  <si>
    <t>165.45%</t>
  </si>
  <si>
    <t>KORU Medical Systems Inc</t>
  </si>
  <si>
    <t>144.44%</t>
  </si>
  <si>
    <t>54.63%</t>
  </si>
  <si>
    <t>-12.25%</t>
  </si>
  <si>
    <t>1.86 - 5.05</t>
  </si>
  <si>
    <t>-69.47%</t>
  </si>
  <si>
    <t>26033.33%</t>
  </si>
  <si>
    <t>Synaptics Inc</t>
  </si>
  <si>
    <t>64.09%</t>
  </si>
  <si>
    <t>41.80 - 89.81</t>
  </si>
  <si>
    <t>-77.09%</t>
  </si>
  <si>
    <t>3187.06%</t>
  </si>
  <si>
    <t>-6.69%</t>
  </si>
  <si>
    <t>Aligos Therapeutics Inc</t>
  </si>
  <si>
    <t>-60.16%</t>
  </si>
  <si>
    <t>-9.05%</t>
  </si>
  <si>
    <t>43.99%</t>
  </si>
  <si>
    <t>-2473.35%</t>
  </si>
  <si>
    <t>-2337.24%</t>
  </si>
  <si>
    <t>-8.89%</t>
  </si>
  <si>
    <t>-20.34%</t>
  </si>
  <si>
    <t>32.95%</t>
  </si>
  <si>
    <t>147.87%</t>
  </si>
  <si>
    <t>3.76 - 46.80</t>
  </si>
  <si>
    <t>WaFd Inc</t>
  </si>
  <si>
    <t>81.07%</t>
  </si>
  <si>
    <t>-5.23%</t>
  </si>
  <si>
    <t>-20.27%</t>
  </si>
  <si>
    <t>23.75 - 38.62</t>
  </si>
  <si>
    <t>4422.68%</t>
  </si>
  <si>
    <t>Montrose Environmental Group Inc</t>
  </si>
  <si>
    <t>-12.44%</t>
  </si>
  <si>
    <t>333.72%</t>
  </si>
  <si>
    <t>98.54%</t>
  </si>
  <si>
    <t>-5.09%</t>
  </si>
  <si>
    <t>36.63%</t>
  </si>
  <si>
    <t>164.41%</t>
  </si>
  <si>
    <t>10.51 - 32.00</t>
  </si>
  <si>
    <t>-65.44%</t>
  </si>
  <si>
    <t>28.66%</t>
  </si>
  <si>
    <t>Metropolitan Bank Holding Corp</t>
  </si>
  <si>
    <t>7/28/2025</t>
  </si>
  <si>
    <t>28.53%</t>
  </si>
  <si>
    <t>80.72%</t>
  </si>
  <si>
    <t>61.49%</t>
  </si>
  <si>
    <t>47.08 - 81.33</t>
  </si>
  <si>
    <t>-34.33%</t>
  </si>
  <si>
    <t>443.85%</t>
  </si>
  <si>
    <t>Dorman Products Inc</t>
  </si>
  <si>
    <t>14.25%</t>
  </si>
  <si>
    <t>85.85%</t>
  </si>
  <si>
    <t>40.66%</t>
  </si>
  <si>
    <t>106.95 - 166.89</t>
  </si>
  <si>
    <t>53788.90%</t>
  </si>
  <si>
    <t>22.31%</t>
  </si>
  <si>
    <t>32.75%</t>
  </si>
  <si>
    <t>Live Oak Bancshares Inc</t>
  </si>
  <si>
    <t>30.94%</t>
  </si>
  <si>
    <t>37.36%</t>
  </si>
  <si>
    <t>18.27%</t>
  </si>
  <si>
    <t>22.68 - 50.30</t>
  </si>
  <si>
    <t>371.45%</t>
  </si>
  <si>
    <t>-24.87%</t>
  </si>
  <si>
    <t>First Bancorp Inc (ME)</t>
  </si>
  <si>
    <t>7/8/2025</t>
  </si>
  <si>
    <t>58.90%</t>
  </si>
  <si>
    <t>-15.14%</t>
  </si>
  <si>
    <t>22.11 - 31.05</t>
  </si>
  <si>
    <t>-28.40%</t>
  </si>
  <si>
    <t>498.84%</t>
  </si>
  <si>
    <t>Orion Properties Inc</t>
  </si>
  <si>
    <t>-7.03%</t>
  </si>
  <si>
    <t>59.50%</t>
  </si>
  <si>
    <t>88.36%</t>
  </si>
  <si>
    <t>1.46 - 4.32</t>
  </si>
  <si>
    <t>-89.95%</t>
  </si>
  <si>
    <t>Washington Trust Bancorp, Inc</t>
  </si>
  <si>
    <t>-24.82%</t>
  </si>
  <si>
    <t>67.54%</t>
  </si>
  <si>
    <t>-11.46%</t>
  </si>
  <si>
    <t>24.95 - 40.59</t>
  </si>
  <si>
    <t>-54.04%</t>
  </si>
  <si>
    <t>1449.13%</t>
  </si>
  <si>
    <t>-7.63%</t>
  </si>
  <si>
    <t>ePlus Inc</t>
  </si>
  <si>
    <t>-33.40%</t>
  </si>
  <si>
    <t>32.36%</t>
  </si>
  <si>
    <t>53.83 - 106.98</t>
  </si>
  <si>
    <t>5405.36%</t>
  </si>
  <si>
    <t>-27.25%</t>
  </si>
  <si>
    <t>Truecar Inc</t>
  </si>
  <si>
    <t>71.41%</t>
  </si>
  <si>
    <t>-18.45%</t>
  </si>
  <si>
    <t>-18.77%</t>
  </si>
  <si>
    <t>-55.52%</t>
  </si>
  <si>
    <t>1.05 - 4.62</t>
  </si>
  <si>
    <t>-38.47%</t>
  </si>
  <si>
    <t>Idexx Laboratories, Inc</t>
  </si>
  <si>
    <t>94.81%</t>
  </si>
  <si>
    <t>61.52%</t>
  </si>
  <si>
    <t>76.10%</t>
  </si>
  <si>
    <t>356.14 - 688.12</t>
  </si>
  <si>
    <t>74228.31%</t>
  </si>
  <si>
    <t>48.42%</t>
  </si>
  <si>
    <t>Intellicheck Inc</t>
  </si>
  <si>
    <t>45.54%</t>
  </si>
  <si>
    <t>89.87%</t>
  </si>
  <si>
    <t>-4.44%</t>
  </si>
  <si>
    <t>37.43%</t>
  </si>
  <si>
    <t>174.48%</t>
  </si>
  <si>
    <t>1.92 - 6.49</t>
  </si>
  <si>
    <t>-96.61%</t>
  </si>
  <si>
    <t>602.67%</t>
  </si>
  <si>
    <t>103.47%</t>
  </si>
  <si>
    <t>Cathay General Bancorp</t>
  </si>
  <si>
    <t>75.82%</t>
  </si>
  <si>
    <t>36.06 - 55.29</t>
  </si>
  <si>
    <t>1829.60%</t>
  </si>
  <si>
    <t>Vicor Corp</t>
  </si>
  <si>
    <t>8/5/2011</t>
  </si>
  <si>
    <t>-52.41%</t>
  </si>
  <si>
    <t>427.84%</t>
  </si>
  <si>
    <t>42.80%</t>
  </si>
  <si>
    <t>-20.32%</t>
  </si>
  <si>
    <t>38.92 - 65.70</t>
  </si>
  <si>
    <t>-69.53%</t>
  </si>
  <si>
    <t>2768.57%</t>
  </si>
  <si>
    <t>Adamas Trust Inc</t>
  </si>
  <si>
    <t>-119.78%</t>
  </si>
  <si>
    <t>58.37%</t>
  </si>
  <si>
    <t>72.09%</t>
  </si>
  <si>
    <t>5.01 - 7.52</t>
  </si>
  <si>
    <t>-98.08%</t>
  </si>
  <si>
    <t>118.55%</t>
  </si>
  <si>
    <t>Tempest Therapeutics Inc</t>
  </si>
  <si>
    <t>-55.01%</t>
  </si>
  <si>
    <t>5.35 - 20.67</t>
  </si>
  <si>
    <t>320.81%</t>
  </si>
  <si>
    <t>Innovative Industrial Properties Inc</t>
  </si>
  <si>
    <t>136.11%</t>
  </si>
  <si>
    <t>69.56%</t>
  </si>
  <si>
    <t>64.49%</t>
  </si>
  <si>
    <t>45.82%</t>
  </si>
  <si>
    <t>-11.09%</t>
  </si>
  <si>
    <t>-60.25%</t>
  </si>
  <si>
    <t>20.65%</t>
  </si>
  <si>
    <t>45.44 - 137.90</t>
  </si>
  <si>
    <t>-80.97%</t>
  </si>
  <si>
    <t>278.08%</t>
  </si>
  <si>
    <t>-59.66%</t>
  </si>
  <si>
    <t>Holley Inc</t>
  </si>
  <si>
    <t>-25.73%</t>
  </si>
  <si>
    <t>45.31%</t>
  </si>
  <si>
    <t>39.73%</t>
  </si>
  <si>
    <t>63.38%</t>
  </si>
  <si>
    <t>1.60 - 4.09</t>
  </si>
  <si>
    <t>-77.96%</t>
  </si>
  <si>
    <t>56.28%</t>
  </si>
  <si>
    <t>Oportun Financial Corp</t>
  </si>
  <si>
    <t>41.36%</t>
  </si>
  <si>
    <t>72.33%</t>
  </si>
  <si>
    <t>-12.27%</t>
  </si>
  <si>
    <t>167.94%</t>
  </si>
  <si>
    <t>2.40 - 9.24</t>
  </si>
  <si>
    <t>-76.99%</t>
  </si>
  <si>
    <t>213.69%</t>
  </si>
  <si>
    <t>-12.63%</t>
  </si>
  <si>
    <t>131.32%</t>
  </si>
  <si>
    <t>Climb Bio Inc</t>
  </si>
  <si>
    <t>-40.44%</t>
  </si>
  <si>
    <t>-18.34%</t>
  </si>
  <si>
    <t>-64.47%</t>
  </si>
  <si>
    <t>98.31%</t>
  </si>
  <si>
    <t>1.05 - 5.86</t>
  </si>
  <si>
    <t>-92.99%</t>
  </si>
  <si>
    <t>-68.26%</t>
  </si>
  <si>
    <t>Brand House Collective Inc</t>
  </si>
  <si>
    <t>-12.17%</t>
  </si>
  <si>
    <t>-12.86%</t>
  </si>
  <si>
    <t>44.36%</t>
  </si>
  <si>
    <t>-33.60%</t>
  </si>
  <si>
    <t>58.10%</t>
  </si>
  <si>
    <t>1.05 - 2.50</t>
  </si>
  <si>
    <t>-95.18%</t>
  </si>
  <si>
    <t>219.78%</t>
  </si>
  <si>
    <t>-20.57%</t>
  </si>
  <si>
    <t>Trimas Corporation</t>
  </si>
  <si>
    <t>-22.86%</t>
  </si>
  <si>
    <t>95.79%</t>
  </si>
  <si>
    <t>19.33 - 40.34</t>
  </si>
  <si>
    <t>4797.86%</t>
  </si>
  <si>
    <t>62.99%</t>
  </si>
  <si>
    <t>51.51%</t>
  </si>
  <si>
    <t>Genesco Inc</t>
  </si>
  <si>
    <t>102.23%</t>
  </si>
  <si>
    <t>46.82%</t>
  </si>
  <si>
    <t>-14.20%</t>
  </si>
  <si>
    <t>36.09%</t>
  </si>
  <si>
    <t>-31.95%</t>
  </si>
  <si>
    <t>88.30%</t>
  </si>
  <si>
    <t>16.19 - 44.80</t>
  </si>
  <si>
    <t>-65.97%</t>
  </si>
  <si>
    <t>1974.71%</t>
  </si>
  <si>
    <t>46.92%</t>
  </si>
  <si>
    <t>37.26%</t>
  </si>
  <si>
    <t>Capital City Bank Group, Inc</t>
  </si>
  <si>
    <t>47.81%</t>
  </si>
  <si>
    <t>32.38 - 44.69</t>
  </si>
  <si>
    <t>566.93%</t>
  </si>
  <si>
    <t>Littelfuse, Inc</t>
  </si>
  <si>
    <t>67.48%</t>
  </si>
  <si>
    <t>20.75%</t>
  </si>
  <si>
    <t>101.22%</t>
  </si>
  <si>
    <t>13.17%</t>
  </si>
  <si>
    <t>80.54%</t>
  </si>
  <si>
    <t>142.10 - 271.81</t>
  </si>
  <si>
    <t>4361.65%</t>
  </si>
  <si>
    <t>TriSalus Life Sciences Inc</t>
  </si>
  <si>
    <t>-175.42%</t>
  </si>
  <si>
    <t>-30.18%</t>
  </si>
  <si>
    <t>-86.08%</t>
  </si>
  <si>
    <t>-94.98%</t>
  </si>
  <si>
    <t>37.28%</t>
  </si>
  <si>
    <t>3.42 - 5.88</t>
  </si>
  <si>
    <t>-11.75%</t>
  </si>
  <si>
    <t>Maison Solutions Inc</t>
  </si>
  <si>
    <t>64.64%</t>
  </si>
  <si>
    <t>43.56%</t>
  </si>
  <si>
    <t>-8.38%</t>
  </si>
  <si>
    <t>-46.80%</t>
  </si>
  <si>
    <t>-56.01%</t>
  </si>
  <si>
    <t>0.80 - 2.08</t>
  </si>
  <si>
    <t>-96.02%</t>
  </si>
  <si>
    <t>UMB Financial Corp</t>
  </si>
  <si>
    <t>17.46%</t>
  </si>
  <si>
    <t>30.40%</t>
  </si>
  <si>
    <t>24.64%</t>
  </si>
  <si>
    <t>91.28%</t>
  </si>
  <si>
    <t>82.00 - 129.94</t>
  </si>
  <si>
    <t>3067.02%</t>
  </si>
  <si>
    <t>NVR Inc</t>
  </si>
  <si>
    <t>-19.46%</t>
  </si>
  <si>
    <t>6562.85 - 9964.77</t>
  </si>
  <si>
    <t>156495.21%</t>
  </si>
  <si>
    <t>iRhythm Technologies Inc</t>
  </si>
  <si>
    <t>110.98%</t>
  </si>
  <si>
    <t>203.54%</t>
  </si>
  <si>
    <t>55.92 - 187.57</t>
  </si>
  <si>
    <t>-40.69%</t>
  </si>
  <si>
    <t>665.97%</t>
  </si>
  <si>
    <t>141.45%</t>
  </si>
  <si>
    <t>Brady Corp</t>
  </si>
  <si>
    <t>50.30%</t>
  </si>
  <si>
    <t>15.67%</t>
  </si>
  <si>
    <t>62.70 - 84.03</t>
  </si>
  <si>
    <t>4465.93%</t>
  </si>
  <si>
    <t>Ingevity Corp</t>
  </si>
  <si>
    <t>-14.45%</t>
  </si>
  <si>
    <t>34.24%</t>
  </si>
  <si>
    <t>-16.35%</t>
  </si>
  <si>
    <t>93.47%</t>
  </si>
  <si>
    <t>28.49 - 60.77</t>
  </si>
  <si>
    <t>150.54%</t>
  </si>
  <si>
    <t>27.12%</t>
  </si>
  <si>
    <t>Equity Bancshares Inc</t>
  </si>
  <si>
    <t>22.73%</t>
  </si>
  <si>
    <t>31.22%</t>
  </si>
  <si>
    <t>62.98%</t>
  </si>
  <si>
    <t>34.11 - 50.85</t>
  </si>
  <si>
    <t>225.65%</t>
  </si>
  <si>
    <t>Terex Corp</t>
  </si>
  <si>
    <t>17.34%</t>
  </si>
  <si>
    <t>102.42%</t>
  </si>
  <si>
    <t>31.53 - 58.66</t>
  </si>
  <si>
    <t>-47.39%</t>
  </si>
  <si>
    <t>25400.00%</t>
  </si>
  <si>
    <t>First Bancorp</t>
  </si>
  <si>
    <t>47.72%</t>
  </si>
  <si>
    <t>70.29%</t>
  </si>
  <si>
    <t>18.12%</t>
  </si>
  <si>
    <t>53.25%</t>
  </si>
  <si>
    <t>34.50 - 56.45</t>
  </si>
  <si>
    <t>2653.37%</t>
  </si>
  <si>
    <t>25.43%</t>
  </si>
  <si>
    <t>Katapult Holdings Inc</t>
  </si>
  <si>
    <t>-11.97%</t>
  </si>
  <si>
    <t>64.80%</t>
  </si>
  <si>
    <t>-29.01%</t>
  </si>
  <si>
    <t>240.16%</t>
  </si>
  <si>
    <t>5.08 - 24.34</t>
  </si>
  <si>
    <t>-96.48%</t>
  </si>
  <si>
    <t>117.36%</t>
  </si>
  <si>
    <t>United Bankshares, Inc</t>
  </si>
  <si>
    <t>73.49%</t>
  </si>
  <si>
    <t>30.50 - 44.43</t>
  </si>
  <si>
    <t>-24.59%</t>
  </si>
  <si>
    <t>726.96%</t>
  </si>
  <si>
    <t>Generation Bio Co</t>
  </si>
  <si>
    <t>-81.30%</t>
  </si>
  <si>
    <t>-9.53%</t>
  </si>
  <si>
    <t>44.89%</t>
  </si>
  <si>
    <t>78.21%</t>
  </si>
  <si>
    <t>-346.11%</t>
  </si>
  <si>
    <t>-341.12%</t>
  </si>
  <si>
    <t>-19.21%</t>
  </si>
  <si>
    <t>86.92%</t>
  </si>
  <si>
    <t>3.00 - 27.40</t>
  </si>
  <si>
    <t>-98.99%</t>
  </si>
  <si>
    <t>-78.65%</t>
  </si>
  <si>
    <t>Third Coast Bancshares Inc</t>
  </si>
  <si>
    <t>69.60%</t>
  </si>
  <si>
    <t>56.01%</t>
  </si>
  <si>
    <t>56.08%</t>
  </si>
  <si>
    <t>25.00 - 41.25</t>
  </si>
  <si>
    <t>217.11%</t>
  </si>
  <si>
    <t>nLIGHT Inc</t>
  </si>
  <si>
    <t>-21.70%</t>
  </si>
  <si>
    <t>-29.60%</t>
  </si>
  <si>
    <t>166.82%</t>
  </si>
  <si>
    <t>-13.14%</t>
  </si>
  <si>
    <t>81.94%</t>
  </si>
  <si>
    <t>50.89%</t>
  </si>
  <si>
    <t>350.48%</t>
  </si>
  <si>
    <t>6.20 - 32.24</t>
  </si>
  <si>
    <t>-39.87%</t>
  </si>
  <si>
    <t>237.73%</t>
  </si>
  <si>
    <t>165.24%</t>
  </si>
  <si>
    <t>Kennedy-Wilson Holdings Inc</t>
  </si>
  <si>
    <t>-12.64%</t>
  </si>
  <si>
    <t>84.08%</t>
  </si>
  <si>
    <t>-17.36%</t>
  </si>
  <si>
    <t>-8.57%</t>
  </si>
  <si>
    <t>-29.55%</t>
  </si>
  <si>
    <t>5.98 - 11.88</t>
  </si>
  <si>
    <t>-70.46%</t>
  </si>
  <si>
    <t>-24.93%</t>
  </si>
  <si>
    <t>Yext Inc</t>
  </si>
  <si>
    <t>64.44%</t>
  </si>
  <si>
    <t>75.72%</t>
  </si>
  <si>
    <t>5.51 - 9.20</t>
  </si>
  <si>
    <t>-68.24%</t>
  </si>
  <si>
    <t>115.88%</t>
  </si>
  <si>
    <t>Great Lakes Dredge &amp; Dock Corporation</t>
  </si>
  <si>
    <t>24.40%</t>
  </si>
  <si>
    <t>51.35%</t>
  </si>
  <si>
    <t>81.36%</t>
  </si>
  <si>
    <t>7.51 - 12.89</t>
  </si>
  <si>
    <t>-27.76%</t>
  </si>
  <si>
    <t>579.38%</t>
  </si>
  <si>
    <t>30.81%</t>
  </si>
  <si>
    <t>Tanger Inc</t>
  </si>
  <si>
    <t>123.39%</t>
  </si>
  <si>
    <t>120.97%</t>
  </si>
  <si>
    <t>94.13%</t>
  </si>
  <si>
    <t>29.83%</t>
  </si>
  <si>
    <t>-11.61%</t>
  </si>
  <si>
    <t>28.69 - 37.57</t>
  </si>
  <si>
    <t>-21.30%</t>
  </si>
  <si>
    <t>720.00%</t>
  </si>
  <si>
    <t>Rave Restaurant Group Inc</t>
  </si>
  <si>
    <t>70.27%</t>
  </si>
  <si>
    <t>89.55%</t>
  </si>
  <si>
    <t>1.74 - 3.75</t>
  </si>
  <si>
    <t>-79.64%</t>
  </si>
  <si>
    <t>767.95%</t>
  </si>
  <si>
    <t>87.40%</t>
  </si>
  <si>
    <t>Ooma Inc</t>
  </si>
  <si>
    <t>70.07%</t>
  </si>
  <si>
    <t>-5.63%</t>
  </si>
  <si>
    <t>10.93 - 17.00</t>
  </si>
  <si>
    <t>-50.10%</t>
  </si>
  <si>
    <t>128.73%</t>
  </si>
  <si>
    <t>Planet Green Holdings Corp</t>
  </si>
  <si>
    <t>-71.40%</t>
  </si>
  <si>
    <t>-43.73%</t>
  </si>
  <si>
    <t>43.49%</t>
  </si>
  <si>
    <t>-53.37%</t>
  </si>
  <si>
    <t>-118.38%</t>
  </si>
  <si>
    <t>-121.93%</t>
  </si>
  <si>
    <t>-18.78%</t>
  </si>
  <si>
    <t>-68.66%</t>
  </si>
  <si>
    <t>270.69%</t>
  </si>
  <si>
    <t>0.47 - 5.52</t>
  </si>
  <si>
    <t>41.80%</t>
  </si>
  <si>
    <t>AG Mortgage Investment Trust Inc</t>
  </si>
  <si>
    <t>-33.34%</t>
  </si>
  <si>
    <t>60.84%</t>
  </si>
  <si>
    <t>-38.35%</t>
  </si>
  <si>
    <t>22.45%</t>
  </si>
  <si>
    <t>94.82%</t>
  </si>
  <si>
    <t>96.27%</t>
  </si>
  <si>
    <t>5.62 - 7.97</t>
  </si>
  <si>
    <t>-90.29%</t>
  </si>
  <si>
    <t>122.10%</t>
  </si>
  <si>
    <t>Orthofix Medical Inc</t>
  </si>
  <si>
    <t>32.02%</t>
  </si>
  <si>
    <t>91.48%</t>
  </si>
  <si>
    <t>63.52%</t>
  </si>
  <si>
    <t>-31.23%</t>
  </si>
  <si>
    <t>10.24 - 20.73</t>
  </si>
  <si>
    <t>153.42%</t>
  </si>
  <si>
    <t>28.54%</t>
  </si>
  <si>
    <t>-11.79%</t>
  </si>
  <si>
    <t>-8.68%</t>
  </si>
  <si>
    <t>NMI Holdings Inc</t>
  </si>
  <si>
    <t>11.44%</t>
  </si>
  <si>
    <t>97.07%</t>
  </si>
  <si>
    <t>31.90 - 43.20</t>
  </si>
  <si>
    <t>830.52%</t>
  </si>
  <si>
    <t>LightWave Acquisition Corp</t>
  </si>
  <si>
    <t>9.81 - 10.04</t>
  </si>
  <si>
    <t>Artivion Inc</t>
  </si>
  <si>
    <t>12/9/2015</t>
  </si>
  <si>
    <t>797.67%</t>
  </si>
  <si>
    <t>60.25%</t>
  </si>
  <si>
    <t>-10.43%</t>
  </si>
  <si>
    <t>83.75%</t>
  </si>
  <si>
    <t>21.97 - 45.07</t>
  </si>
  <si>
    <t>2783.57%</t>
  </si>
  <si>
    <t>64.78%</t>
  </si>
  <si>
    <t>58.31%</t>
  </si>
  <si>
    <t>La Rosa Holdings Corp</t>
  </si>
  <si>
    <t>54.92%</t>
  </si>
  <si>
    <t>-14.24%</t>
  </si>
  <si>
    <t>-33.76%</t>
  </si>
  <si>
    <t>-62.94%</t>
  </si>
  <si>
    <t>-30.14%</t>
  </si>
  <si>
    <t>56.81%</t>
  </si>
  <si>
    <t>-95.23%</t>
  </si>
  <si>
    <t>4.33 - 142.40</t>
  </si>
  <si>
    <t>-98.47%</t>
  </si>
  <si>
    <t>-55.33%</t>
  </si>
  <si>
    <t>-86.95%</t>
  </si>
  <si>
    <t>MasterCraft Boat Holdings Inc</t>
  </si>
  <si>
    <t>6/13/2016</t>
  </si>
  <si>
    <t>97.29%</t>
  </si>
  <si>
    <t>14.83%</t>
  </si>
  <si>
    <t>14.39 - 23.93</t>
  </si>
  <si>
    <t>-45.52%</t>
  </si>
  <si>
    <t>339.18%</t>
  </si>
  <si>
    <t>First Financial Corp</t>
  </si>
  <si>
    <t>87.88%</t>
  </si>
  <si>
    <t>19.51%</t>
  </si>
  <si>
    <t>41.51%</t>
  </si>
  <si>
    <t>40.57 - 60.77</t>
  </si>
  <si>
    <t>766.90%</t>
  </si>
  <si>
    <t>OceanFirst Financial Corp</t>
  </si>
  <si>
    <t>48.56%</t>
  </si>
  <si>
    <t>76.15%</t>
  </si>
  <si>
    <t>-18.52%</t>
  </si>
  <si>
    <t>14.29 - 21.87</t>
  </si>
  <si>
    <t>-42.33%</t>
  </si>
  <si>
    <t>175.92%</t>
  </si>
  <si>
    <t>First Commonwealth Financial Corp</t>
  </si>
  <si>
    <t>77.74%</t>
  </si>
  <si>
    <t>18.92%</t>
  </si>
  <si>
    <t>-5.50%</t>
  </si>
  <si>
    <t>13.54 - 19.96</t>
  </si>
  <si>
    <t>397.84%</t>
  </si>
  <si>
    <t>BRT Apartments Corp</t>
  </si>
  <si>
    <t>-21.96%</t>
  </si>
  <si>
    <t>14.17 - 20.22</t>
  </si>
  <si>
    <t>-47.06%</t>
  </si>
  <si>
    <t>878.60%</t>
  </si>
  <si>
    <t>BankUnited Inc</t>
  </si>
  <si>
    <t>104.43%</t>
  </si>
  <si>
    <t>28.21 - 44.45</t>
  </si>
  <si>
    <t>-24.92%</t>
  </si>
  <si>
    <t>182.62%</t>
  </si>
  <si>
    <t>Creative Medical Technology Holdings Inc</t>
  </si>
  <si>
    <t>-64.71%</t>
  </si>
  <si>
    <t>-41.85%</t>
  </si>
  <si>
    <t>-59.62%</t>
  </si>
  <si>
    <t>-1827.15%</t>
  </si>
  <si>
    <t>-98656.77%</t>
  </si>
  <si>
    <t>-96093.48%</t>
  </si>
  <si>
    <t>-52.83%</t>
  </si>
  <si>
    <t>92.60%</t>
  </si>
  <si>
    <t>1.69 - 6.90</t>
  </si>
  <si>
    <t>Cohen Circle Acquisition Corp II</t>
  </si>
  <si>
    <t>10.07 - 10.20</t>
  </si>
  <si>
    <t>Upstream Bio Inc</t>
  </si>
  <si>
    <t>-78.90%</t>
  </si>
  <si>
    <t>39.84%</t>
  </si>
  <si>
    <t>94.01%</t>
  </si>
  <si>
    <t>-4464.60%</t>
  </si>
  <si>
    <t>-4041.83%</t>
  </si>
  <si>
    <t>37.84%</t>
  </si>
  <si>
    <t>-21.16%</t>
  </si>
  <si>
    <t>-43.72%</t>
  </si>
  <si>
    <t>222.57%</t>
  </si>
  <si>
    <t>5.14 - 29.46</t>
  </si>
  <si>
    <t>143.47%</t>
  </si>
  <si>
    <t>Pacira BioSciences Inc</t>
  </si>
  <si>
    <t>-51.99%</t>
  </si>
  <si>
    <t>115.92%</t>
  </si>
  <si>
    <t>-18.06%</t>
  </si>
  <si>
    <t>-6.62%</t>
  </si>
  <si>
    <t>85.82%</t>
  </si>
  <si>
    <t>13.89 - 27.64</t>
  </si>
  <si>
    <t>-78.84%</t>
  </si>
  <si>
    <t>318.99%</t>
  </si>
  <si>
    <t>81.00%</t>
  </si>
  <si>
    <t>Pangaea Logistics Solutions Ltd</t>
  </si>
  <si>
    <t>-25.19%</t>
  </si>
  <si>
    <t>3.93 - 7.49</t>
  </si>
  <si>
    <t>-50.51%</t>
  </si>
  <si>
    <t>231.87%</t>
  </si>
  <si>
    <t>-25.21%</t>
  </si>
  <si>
    <t>First Bank (NJ)</t>
  </si>
  <si>
    <t>32.27%</t>
  </si>
  <si>
    <t>-5.98%</t>
  </si>
  <si>
    <t>28.41%</t>
  </si>
  <si>
    <t>12.74 - 17.40</t>
  </si>
  <si>
    <t>611.30%</t>
  </si>
  <si>
    <t>Ladder Capital Corp</t>
  </si>
  <si>
    <t>106.90%</t>
  </si>
  <si>
    <t>82.42%</t>
  </si>
  <si>
    <t>9.68 - 12.06</t>
  </si>
  <si>
    <t>371.64%</t>
  </si>
  <si>
    <t>Axsome Therapeutics Inc</t>
  </si>
  <si>
    <t>-24.44%</t>
  </si>
  <si>
    <t>69.83%</t>
  </si>
  <si>
    <t>75.86%</t>
  </si>
  <si>
    <t>89.78%</t>
  </si>
  <si>
    <t>-42.05%</t>
  </si>
  <si>
    <t>-49.88%</t>
  </si>
  <si>
    <t>53.91%</t>
  </si>
  <si>
    <t>75.56 - 139.13</t>
  </si>
  <si>
    <t>5894.69%</t>
  </si>
  <si>
    <t>Network-1 Technologies Inc</t>
  </si>
  <si>
    <t>-92.03%</t>
  </si>
  <si>
    <t>-85.95%</t>
  </si>
  <si>
    <t>-49.47%</t>
  </si>
  <si>
    <t>-2296.00%</t>
  </si>
  <si>
    <t>-1521.33%</t>
  </si>
  <si>
    <t>-20.46%</t>
  </si>
  <si>
    <t>1.16 - 1.90</t>
  </si>
  <si>
    <t>-93.32%</t>
  </si>
  <si>
    <t>Ryerson Holding Corp</t>
  </si>
  <si>
    <t>-57.89%</t>
  </si>
  <si>
    <t>84.90%</t>
  </si>
  <si>
    <t>29.90%</t>
  </si>
  <si>
    <t>17.18 - 27.41</t>
  </si>
  <si>
    <t>782.21%</t>
  </si>
  <si>
    <t>Great Southern Bancorp, Inc</t>
  </si>
  <si>
    <t>-5.34%</t>
  </si>
  <si>
    <t>30.03%</t>
  </si>
  <si>
    <t>47.57 - 68.01</t>
  </si>
  <si>
    <t>11035.52%</t>
  </si>
  <si>
    <t>Heritage Commerce Corp</t>
  </si>
  <si>
    <t>-47.37%</t>
  </si>
  <si>
    <t>-10.83%</t>
  </si>
  <si>
    <t>24.23%</t>
  </si>
  <si>
    <t>8.09 - 11.27</t>
  </si>
  <si>
    <t>340.79%</t>
  </si>
  <si>
    <t>Citizens &amp; Northern Corp</t>
  </si>
  <si>
    <t>66.39%</t>
  </si>
  <si>
    <t>17.85 - 22.68</t>
  </si>
  <si>
    <t>-45.46%</t>
  </si>
  <si>
    <t>143.66%</t>
  </si>
  <si>
    <t>OnKure Therapeutics Inc</t>
  </si>
  <si>
    <t>43.53%</t>
  </si>
  <si>
    <t>40.91%</t>
  </si>
  <si>
    <t>-15.80%</t>
  </si>
  <si>
    <t>-87.47%</t>
  </si>
  <si>
    <t>47.35%</t>
  </si>
  <si>
    <t>1.70 - 20.00</t>
  </si>
  <si>
    <t>-98.54%</t>
  </si>
  <si>
    <t>-46.59%</t>
  </si>
  <si>
    <t>Visteon Corp</t>
  </si>
  <si>
    <t>89.48%</t>
  </si>
  <si>
    <t>31.66%</t>
  </si>
  <si>
    <t>87.31%</t>
  </si>
  <si>
    <t>65.10 - 129.10</t>
  </si>
  <si>
    <t>678.52%</t>
  </si>
  <si>
    <t>SuRo Capital Corp</t>
  </si>
  <si>
    <t>-98.34%</t>
  </si>
  <si>
    <t>-27.94%</t>
  </si>
  <si>
    <t>-83.70%</t>
  </si>
  <si>
    <t>1411.76%</t>
  </si>
  <si>
    <t>30.65%</t>
  </si>
  <si>
    <t>128.67%</t>
  </si>
  <si>
    <t>3.86 - 9.50</t>
  </si>
  <si>
    <t>-54.01%</t>
  </si>
  <si>
    <t>204.37%</t>
  </si>
  <si>
    <t>63.46%</t>
  </si>
  <si>
    <t>United Fire Group Inc</t>
  </si>
  <si>
    <t>65.17%</t>
  </si>
  <si>
    <t>65.67%</t>
  </si>
  <si>
    <t>19.19 - 32.58</t>
  </si>
  <si>
    <t>-47.66%</t>
  </si>
  <si>
    <t>2149.35%</t>
  </si>
  <si>
    <t>48.04%</t>
  </si>
  <si>
    <t>Resources Connection Inc</t>
  </si>
  <si>
    <t>-6271.43%</t>
  </si>
  <si>
    <t>86.52%</t>
  </si>
  <si>
    <t>36.22%</t>
  </si>
  <si>
    <t>-34.78%</t>
  </si>
  <si>
    <t>-19.53%</t>
  </si>
  <si>
    <t>4.44 - 9.96</t>
  </si>
  <si>
    <t>DHI Group Inc</t>
  </si>
  <si>
    <t>-52.96%</t>
  </si>
  <si>
    <t>-300.00%</t>
  </si>
  <si>
    <t>61.93%</t>
  </si>
  <si>
    <t>72.24%</t>
  </si>
  <si>
    <t>130.05%</t>
  </si>
  <si>
    <t>1.21 - 3.34</t>
  </si>
  <si>
    <t>-85.15%</t>
  </si>
  <si>
    <t>67.69%</t>
  </si>
  <si>
    <t>Orasure Technologies Inc</t>
  </si>
  <si>
    <t>-42.50%</t>
  </si>
  <si>
    <t>91.52%</t>
  </si>
  <si>
    <t>-38.09%</t>
  </si>
  <si>
    <t>-36.84%</t>
  </si>
  <si>
    <t>-30.85%</t>
  </si>
  <si>
    <t>2.36 - 4.60</t>
  </si>
  <si>
    <t>-86.18%</t>
  </si>
  <si>
    <t>128.10%</t>
  </si>
  <si>
    <t>Tompkins Financial Corp</t>
  </si>
  <si>
    <t>67.03%</t>
  </si>
  <si>
    <t>-13.69%</t>
  </si>
  <si>
    <t>54.16 - 79.01</t>
  </si>
  <si>
    <t>-29.49%</t>
  </si>
  <si>
    <t>1376.99%</t>
  </si>
  <si>
    <t>Fathom Holdings Inc</t>
  </si>
  <si>
    <t>-6.78%</t>
  </si>
  <si>
    <t>-21.60%</t>
  </si>
  <si>
    <t>24.69%</t>
  </si>
  <si>
    <t>-333.33%</t>
  </si>
  <si>
    <t>-41.54%</t>
  </si>
  <si>
    <t>87.62%</t>
  </si>
  <si>
    <t>0.65 - 3.37</t>
  </si>
  <si>
    <t>104.48%</t>
  </si>
  <si>
    <t>Horizon Bancorp Inc (IN)</t>
  </si>
  <si>
    <t>79.60%</t>
  </si>
  <si>
    <t>-25.97%</t>
  </si>
  <si>
    <t>-12.03%</t>
  </si>
  <si>
    <t>12.70 - 19.18</t>
  </si>
  <si>
    <t>1372.08%</t>
  </si>
  <si>
    <t>Alico Inc</t>
  </si>
  <si>
    <t>-41.78%</t>
  </si>
  <si>
    <t>-28.94%</t>
  </si>
  <si>
    <t>-24.54%</t>
  </si>
  <si>
    <t>-119.27%</t>
  </si>
  <si>
    <t>58.76%</t>
  </si>
  <si>
    <t>-149.20%</t>
  </si>
  <si>
    <t>-470.09%</t>
  </si>
  <si>
    <t>-355.13%</t>
  </si>
  <si>
    <t>24.23 - 35.01</t>
  </si>
  <si>
    <t>-48.56%</t>
  </si>
  <si>
    <t>210.32%</t>
  </si>
  <si>
    <t>Autonation Inc</t>
  </si>
  <si>
    <t>148.33 - 228.92</t>
  </si>
  <si>
    <t>23080.53%</t>
  </si>
  <si>
    <t>32.74%</t>
  </si>
  <si>
    <t>21.42%</t>
  </si>
  <si>
    <t>Comstock Holding Co. Inc</t>
  </si>
  <si>
    <t>48.00%</t>
  </si>
  <si>
    <t>31.70%</t>
  </si>
  <si>
    <t>147.34%</t>
  </si>
  <si>
    <t>6.31 - 18.99</t>
  </si>
  <si>
    <t>4359.14%</t>
  </si>
  <si>
    <t>56.07%</t>
  </si>
  <si>
    <t>52.41%</t>
  </si>
  <si>
    <t>68.72%</t>
  </si>
  <si>
    <t>Cheetah Net Supply Chain Service Inc</t>
  </si>
  <si>
    <t>-77.35%</t>
  </si>
  <si>
    <t>-76.51%</t>
  </si>
  <si>
    <t>-52.77%</t>
  </si>
  <si>
    <t>-79.53%</t>
  </si>
  <si>
    <t>55.33%</t>
  </si>
  <si>
    <t>1.12 - 8.50</t>
  </si>
  <si>
    <t>Smartstop Self Storage REIT Inc</t>
  </si>
  <si>
    <t>-1233.33%</t>
  </si>
  <si>
    <t>69.41%</t>
  </si>
  <si>
    <t>23.19%</t>
  </si>
  <si>
    <t>29.89 - 39.77</t>
  </si>
  <si>
    <t>Mangoceuticals Inc</t>
  </si>
  <si>
    <t>-560.03%</t>
  </si>
  <si>
    <t>-40.47%</t>
  </si>
  <si>
    <t>-192.62%</t>
  </si>
  <si>
    <t>-2767.08%</t>
  </si>
  <si>
    <t>-2752.32%</t>
  </si>
  <si>
    <t>-22.00%</t>
  </si>
  <si>
    <t>1.32 - 7.66</t>
  </si>
  <si>
    <t>-96.83%</t>
  </si>
  <si>
    <t>-41.13%</t>
  </si>
  <si>
    <t>Dorian LPG Ltd</t>
  </si>
  <si>
    <t>-42.64%</t>
  </si>
  <si>
    <t>-26.36%</t>
  </si>
  <si>
    <t>-54.68%</t>
  </si>
  <si>
    <t>94.60%</t>
  </si>
  <si>
    <t>15.99 - 33.46</t>
  </si>
  <si>
    <t>-31.28%</t>
  </si>
  <si>
    <t>1212.54%</t>
  </si>
  <si>
    <t>Alpha &amp; Omega Semiconductor Ltd</t>
  </si>
  <si>
    <t>-65.51%</t>
  </si>
  <si>
    <t>72.58%</t>
  </si>
  <si>
    <t>36.23%</t>
  </si>
  <si>
    <t>-47.16%</t>
  </si>
  <si>
    <t>15.90 - 53.29</t>
  </si>
  <si>
    <t>-59.77%</t>
  </si>
  <si>
    <t>383.83%</t>
  </si>
  <si>
    <t>Trico Bancshares</t>
  </si>
  <si>
    <t>67.45%</t>
  </si>
  <si>
    <t>35.20 - 51.06</t>
  </si>
  <si>
    <t>-24.12%</t>
  </si>
  <si>
    <t>1135.56%</t>
  </si>
  <si>
    <t>Boston Beer Co., Inc</t>
  </si>
  <si>
    <t>Beverages - Brewers</t>
  </si>
  <si>
    <t>-11.16%</t>
  </si>
  <si>
    <t>41.11%</t>
  </si>
  <si>
    <t>71.08%</t>
  </si>
  <si>
    <t>46.48%</t>
  </si>
  <si>
    <t>185.34 - 329.55</t>
  </si>
  <si>
    <t>-83.93%</t>
  </si>
  <si>
    <t>3236.72%</t>
  </si>
  <si>
    <t>-9.78%</t>
  </si>
  <si>
    <t>-21.53%</t>
  </si>
  <si>
    <t>Dime Community Bancshares Inc</t>
  </si>
  <si>
    <t>181.75%</t>
  </si>
  <si>
    <t>-39.26%</t>
  </si>
  <si>
    <t>-26.62%</t>
  </si>
  <si>
    <t>-19.97%</t>
  </si>
  <si>
    <t>23.25 - 37.60</t>
  </si>
  <si>
    <t>1480.35%</t>
  </si>
  <si>
    <t>First Financial Bancorp</t>
  </si>
  <si>
    <t>39.19%</t>
  </si>
  <si>
    <t>21.10 - 31.18</t>
  </si>
  <si>
    <t>1233.12%</t>
  </si>
  <si>
    <t>Innventure inc</t>
  </si>
  <si>
    <t>-841.18%</t>
  </si>
  <si>
    <t>-1168.59%</t>
  </si>
  <si>
    <t>-6841.72%</t>
  </si>
  <si>
    <t>-15661.45%</t>
  </si>
  <si>
    <t>40.15%</t>
  </si>
  <si>
    <t>-70.77%</t>
  </si>
  <si>
    <t>82.67%</t>
  </si>
  <si>
    <t>3.00 - 18.75</t>
  </si>
  <si>
    <t>Launch Two Acquisition Corp</t>
  </si>
  <si>
    <t>82.26%</t>
  </si>
  <si>
    <t>9.89 - 11.06</t>
  </si>
  <si>
    <t>Mitek Systems Inc</t>
  </si>
  <si>
    <t>76.73%</t>
  </si>
  <si>
    <t>6.93 - 11.78</t>
  </si>
  <si>
    <t>-57.32%</t>
  </si>
  <si>
    <t>19781.40%</t>
  </si>
  <si>
    <t>GEE Group Inc</t>
  </si>
  <si>
    <t>12/12/2007</t>
  </si>
  <si>
    <t>-15.75%</t>
  </si>
  <si>
    <t>-60.70%</t>
  </si>
  <si>
    <t>0.17 - 0.51</t>
  </si>
  <si>
    <t>PB Bankshares Inc</t>
  </si>
  <si>
    <t>14.05 - 20.07</t>
  </si>
  <si>
    <t>75.34%</t>
  </si>
  <si>
    <t>45.43%</t>
  </si>
  <si>
    <t>XCF Global Inc</t>
  </si>
  <si>
    <t>-81.51%</t>
  </si>
  <si>
    <t>-96.97%</t>
  </si>
  <si>
    <t>1.16 - 45.90</t>
  </si>
  <si>
    <t>-28.35%</t>
  </si>
  <si>
    <t>-87.48%</t>
  </si>
  <si>
    <t>-86.57%</t>
  </si>
  <si>
    <t>['50 SMA above 200 SMA (Golden cross)', 'Average Volume (Over 1M)', 'Performance 1Y (1Y up)', 'Performance 3M (3M up)', 'Performance 6M (6M up)', 'RSI (14) High (RSI &gt; 60)']</t>
  </si>
  <si>
    <t>Farmers &amp; Merchants Bancorp Inc</t>
  </si>
  <si>
    <t>7/7/2025</t>
  </si>
  <si>
    <t>26.93%</t>
  </si>
  <si>
    <t>-24.76%</t>
  </si>
  <si>
    <t>23.06%</t>
  </si>
  <si>
    <t>20.88 - 34.15</t>
  </si>
  <si>
    <t>238.22%</t>
  </si>
  <si>
    <t>Farmers National Banc Corp</t>
  </si>
  <si>
    <t>55.51%</t>
  </si>
  <si>
    <t>11.58 - 16.29</t>
  </si>
  <si>
    <t>-27.15%</t>
  </si>
  <si>
    <t>352.86%</t>
  </si>
  <si>
    <t>Gentherm Inc</t>
  </si>
  <si>
    <t>100.88%</t>
  </si>
  <si>
    <t>24.54%</t>
  </si>
  <si>
    <t>-6.30%</t>
  </si>
  <si>
    <t>-29.20%</t>
  </si>
  <si>
    <t>22.75 - 49.32</t>
  </si>
  <si>
    <t>-64.73%</t>
  </si>
  <si>
    <t>5486.74%</t>
  </si>
  <si>
    <t>Customers Bancorp Inc</t>
  </si>
  <si>
    <t>40.75 - 72.51</t>
  </si>
  <si>
    <t>870.52%</t>
  </si>
  <si>
    <t>45.55%</t>
  </si>
  <si>
    <t>Beachbody Company Inc</t>
  </si>
  <si>
    <t>-31.96%</t>
  </si>
  <si>
    <t>-17.92%</t>
  </si>
  <si>
    <t>3.38 - 8.71</t>
  </si>
  <si>
    <t>50.51%</t>
  </si>
  <si>
    <t>-26.63%</t>
  </si>
  <si>
    <t>First Foundation Inc</t>
  </si>
  <si>
    <t>5/3/2024</t>
  </si>
  <si>
    <t>-15.26%</t>
  </si>
  <si>
    <t>-662.50%</t>
  </si>
  <si>
    <t>-32.70%</t>
  </si>
  <si>
    <t>4.41 - 8.52</t>
  </si>
  <si>
    <t>-80.50%</t>
  </si>
  <si>
    <t>55.38%</t>
  </si>
  <si>
    <t>15.83%</t>
  </si>
  <si>
    <t>Trinity Industries, Inc</t>
  </si>
  <si>
    <t>69.36%</t>
  </si>
  <si>
    <t>26.64%</t>
  </si>
  <si>
    <t>-39.84%</t>
  </si>
  <si>
    <t>-29.63%</t>
  </si>
  <si>
    <t>87.09%</t>
  </si>
  <si>
    <t>24.22%</t>
  </si>
  <si>
    <t>-5.58%</t>
  </si>
  <si>
    <t>24.51%</t>
  </si>
  <si>
    <t>-30.04%</t>
  </si>
  <si>
    <t>22.38 - 39.83</t>
  </si>
  <si>
    <t>1600.50%</t>
  </si>
  <si>
    <t>MI Homes Inc</t>
  </si>
  <si>
    <t>6/27/2008</t>
  </si>
  <si>
    <t>34.48%</t>
  </si>
  <si>
    <t>100.22 - 176.18</t>
  </si>
  <si>
    <t>4447.07%</t>
  </si>
  <si>
    <t>Byline Bancorp Inc</t>
  </si>
  <si>
    <t>52.26%</t>
  </si>
  <si>
    <t>22.63 - 32.89</t>
  </si>
  <si>
    <t>247.63%</t>
  </si>
  <si>
    <t>Wintrust Financial Corp</t>
  </si>
  <si>
    <t>8.14%</t>
  </si>
  <si>
    <t>89.10 - 142.04</t>
  </si>
  <si>
    <t>1565.83%</t>
  </si>
  <si>
    <t>Orrstown Financial Services, Inc</t>
  </si>
  <si>
    <t>-20.66%</t>
  </si>
  <si>
    <t>89.40%</t>
  </si>
  <si>
    <t>32.63%</t>
  </si>
  <si>
    <t>25.57 - 41.99</t>
  </si>
  <si>
    <t>363.22%</t>
  </si>
  <si>
    <t>Bancfirst Corp</t>
  </si>
  <si>
    <t>50.15%</t>
  </si>
  <si>
    <t>32.17%</t>
  </si>
  <si>
    <t>97.02 - 138.77</t>
  </si>
  <si>
    <t>9990.06%</t>
  </si>
  <si>
    <t>QCR Holding, Inc</t>
  </si>
  <si>
    <t>-19.88%</t>
  </si>
  <si>
    <t>26.55%</t>
  </si>
  <si>
    <t>60.83 - 96.08</t>
  </si>
  <si>
    <t>1937.71%</t>
  </si>
  <si>
    <t>Turtle Beach Corp</t>
  </si>
  <si>
    <t>-25.76%</t>
  </si>
  <si>
    <t>56.21%</t>
  </si>
  <si>
    <t>8.78 - 19.50</t>
  </si>
  <si>
    <t>-83.06%</t>
  </si>
  <si>
    <t>825.01%</t>
  </si>
  <si>
    <t>LCNB Corp</t>
  </si>
  <si>
    <t>90.33%</t>
  </si>
  <si>
    <t>13.34 - 17.92</t>
  </si>
  <si>
    <t>-43.40%</t>
  </si>
  <si>
    <t>144.63%</t>
  </si>
  <si>
    <t>Mirum Pharmaceuticals Inc</t>
  </si>
  <si>
    <t>160.13%</t>
  </si>
  <si>
    <t>63.22%</t>
  </si>
  <si>
    <t>78.93%</t>
  </si>
  <si>
    <t>42.01%</t>
  </si>
  <si>
    <t>93.49%</t>
  </si>
  <si>
    <t>36.88 - 78.10</t>
  </si>
  <si>
    <t>995.72%</t>
  </si>
  <si>
    <t>39.68%</t>
  </si>
  <si>
    <t>54.86%</t>
  </si>
  <si>
    <t>83.07%</t>
  </si>
  <si>
    <t>Appfolio Inc</t>
  </si>
  <si>
    <t>477.53%</t>
  </si>
  <si>
    <t>21.64%</t>
  </si>
  <si>
    <t>19.35%</t>
  </si>
  <si>
    <t>45.97%</t>
  </si>
  <si>
    <t>189.01 - 326.04</t>
  </si>
  <si>
    <t>2392.32%</t>
  </si>
  <si>
    <t>21.37%</t>
  </si>
  <si>
    <t>22.52%</t>
  </si>
  <si>
    <t>MSC Industrial Direct Co., Inc</t>
  </si>
  <si>
    <t>72.46%</t>
  </si>
  <si>
    <t>87.78%</t>
  </si>
  <si>
    <t>68.10 - 94.31</t>
  </si>
  <si>
    <t>1367.80%</t>
  </si>
  <si>
    <t>Cricut Inc</t>
  </si>
  <si>
    <t>68.63%</t>
  </si>
  <si>
    <t>-52.55%</t>
  </si>
  <si>
    <t>69.75%</t>
  </si>
  <si>
    <t>3.53 - 6.93</t>
  </si>
  <si>
    <t>-82.27%</t>
  </si>
  <si>
    <t>Medallion Financial Corp</t>
  </si>
  <si>
    <t>74.60%</t>
  </si>
  <si>
    <t>51.70%</t>
  </si>
  <si>
    <t>35.28%</t>
  </si>
  <si>
    <t>7.71 - 10.98</t>
  </si>
  <si>
    <t>-66.45%</t>
  </si>
  <si>
    <t>708.53%</t>
  </si>
  <si>
    <t>16.80%</t>
  </si>
  <si>
    <t>Cal Redwood Acquisition Corp</t>
  </si>
  <si>
    <t>9.92 - 10.44</t>
  </si>
  <si>
    <t>Oil-Dri Corp. Of America</t>
  </si>
  <si>
    <t>51.68%</t>
  </si>
  <si>
    <t>52.40%</t>
  </si>
  <si>
    <t>95.41%</t>
  </si>
  <si>
    <t>32.15 - 69.75</t>
  </si>
  <si>
    <t>3952.15%</t>
  </si>
  <si>
    <t>84.18%</t>
  </si>
  <si>
    <t>RYTHM Inc</t>
  </si>
  <si>
    <t>-31.80%</t>
  </si>
  <si>
    <t>-242.89%</t>
  </si>
  <si>
    <t>-654.42%</t>
  </si>
  <si>
    <t>40.53%</t>
  </si>
  <si>
    <t>50.40%</t>
  </si>
  <si>
    <t>1229.66%</t>
  </si>
  <si>
    <t>2.71 - 84.44</t>
  </si>
  <si>
    <t>71.14%</t>
  </si>
  <si>
    <t>83.20%</t>
  </si>
  <si>
    <t>868.69%</t>
  </si>
  <si>
    <t>C &amp; F Financial Corp</t>
  </si>
  <si>
    <t>29.28%</t>
  </si>
  <si>
    <t>42.03%</t>
  </si>
  <si>
    <t>-5.18%</t>
  </si>
  <si>
    <t>-23.00%</t>
  </si>
  <si>
    <t>30.27%</t>
  </si>
  <si>
    <t>53.13 - 89.90</t>
  </si>
  <si>
    <t>617.31%</t>
  </si>
  <si>
    <t>Allegiant Travel</t>
  </si>
  <si>
    <t>5/14/2024</t>
  </si>
  <si>
    <t>39.80 - 107.57</t>
  </si>
  <si>
    <t>-77.78%</t>
  </si>
  <si>
    <t>309.35%</t>
  </si>
  <si>
    <t>CISO Global Inc</t>
  </si>
  <si>
    <t>-39.32%</t>
  </si>
  <si>
    <t>74.36%</t>
  </si>
  <si>
    <t>-32.96%</t>
  </si>
  <si>
    <t>-61.64%</t>
  </si>
  <si>
    <t>-71.87%</t>
  </si>
  <si>
    <t>255.18%</t>
  </si>
  <si>
    <t>0.30 - 3.84</t>
  </si>
  <si>
    <t>315.42%</t>
  </si>
  <si>
    <t>Lincoln Electric Holdings, Inc</t>
  </si>
  <si>
    <t>Tools &amp; Accessories</t>
  </si>
  <si>
    <t>20.98%</t>
  </si>
  <si>
    <t>36.53%</t>
  </si>
  <si>
    <t>47.24%</t>
  </si>
  <si>
    <t>161.11 - 249.19</t>
  </si>
  <si>
    <t>4418.38%</t>
  </si>
  <si>
    <t>ACNB Corp</t>
  </si>
  <si>
    <t>24.76%</t>
  </si>
  <si>
    <t>35.70 - 50.72</t>
  </si>
  <si>
    <t>519.04%</t>
  </si>
  <si>
    <t>FVCBankcorp Inc</t>
  </si>
  <si>
    <t>47.05%</t>
  </si>
  <si>
    <t>9.49 - 14.50</t>
  </si>
  <si>
    <t>131.24%</t>
  </si>
  <si>
    <t>Hope Bancorp Inc</t>
  </si>
  <si>
    <t>68.08%</t>
  </si>
  <si>
    <t>-20.89%</t>
  </si>
  <si>
    <t>-9.41%</t>
  </si>
  <si>
    <t>-51.72%</t>
  </si>
  <si>
    <t>90.54%</t>
  </si>
  <si>
    <t>-25.52%</t>
  </si>
  <si>
    <t>8.82 - 14.53</t>
  </si>
  <si>
    <t>-52.91%</t>
  </si>
  <si>
    <t>574.09%</t>
  </si>
  <si>
    <t>J.Jill Inc</t>
  </si>
  <si>
    <t>65.77%</t>
  </si>
  <si>
    <t>-43.07%</t>
  </si>
  <si>
    <t>13.36 - 30.40</t>
  </si>
  <si>
    <t>1016.65%</t>
  </si>
  <si>
    <t>-30.38%</t>
  </si>
  <si>
    <t>Aware Inc</t>
  </si>
  <si>
    <t>7/25/2014</t>
  </si>
  <si>
    <t>91.71%</t>
  </si>
  <si>
    <t>85.93%</t>
  </si>
  <si>
    <t>1.35 - 2.95</t>
  </si>
  <si>
    <t>-93.62%</t>
  </si>
  <si>
    <t>251.59%</t>
  </si>
  <si>
    <t>48.52%</t>
  </si>
  <si>
    <t>BV Financial Inc</t>
  </si>
  <si>
    <t>12/28/2018</t>
  </si>
  <si>
    <t>23.38%</t>
  </si>
  <si>
    <t>13.53 - 18.19</t>
  </si>
  <si>
    <t>633.78%</t>
  </si>
  <si>
    <t>Richmond Mutual Bancorporation Inc</t>
  </si>
  <si>
    <t>61.08%</t>
  </si>
  <si>
    <t>11.37 - 15.24</t>
  </si>
  <si>
    <t>67.25%</t>
  </si>
  <si>
    <t>Armstrong World Industries Inc</t>
  </si>
  <si>
    <t>122.37 - 200.84</t>
  </si>
  <si>
    <t>3643.55%</t>
  </si>
  <si>
    <t>33.93%</t>
  </si>
  <si>
    <t>45.58%</t>
  </si>
  <si>
    <t>Value Line, Inc</t>
  </si>
  <si>
    <t>Financial Data &amp; Stock Exchanges</t>
  </si>
  <si>
    <t>40.64%</t>
  </si>
  <si>
    <t>-34.29%</t>
  </si>
  <si>
    <t>32.94 - 57.68</t>
  </si>
  <si>
    <t>-67.99%</t>
  </si>
  <si>
    <t>682.52%</t>
  </si>
  <si>
    <t>-16.81%</t>
  </si>
  <si>
    <t>Alset Inc</t>
  </si>
  <si>
    <t>82.02%</t>
  </si>
  <si>
    <t>48.43%</t>
  </si>
  <si>
    <t>-77.86%</t>
  </si>
  <si>
    <t>99.15%</t>
  </si>
  <si>
    <t>107.11%</t>
  </si>
  <si>
    <t>232.81%</t>
  </si>
  <si>
    <t>0.70 - 4.55</t>
  </si>
  <si>
    <t>409.18%</t>
  </si>
  <si>
    <t>135.95%</t>
  </si>
  <si>
    <t>115.72%</t>
  </si>
  <si>
    <t>Velocity Financial Inc</t>
  </si>
  <si>
    <t>35.12%</t>
  </si>
  <si>
    <t>36.88%</t>
  </si>
  <si>
    <t>89.23%</t>
  </si>
  <si>
    <t>16.12 - 20.98</t>
  </si>
  <si>
    <t>728.16%</t>
  </si>
  <si>
    <t>Farmland Partners Inc</t>
  </si>
  <si>
    <t>87.15%</t>
  </si>
  <si>
    <t>4142.42%</t>
  </si>
  <si>
    <t>60.33%</t>
  </si>
  <si>
    <t>42.96%</t>
  </si>
  <si>
    <t>121.26%</t>
  </si>
  <si>
    <t>-15.70%</t>
  </si>
  <si>
    <t>9.16 - 12.87</t>
  </si>
  <si>
    <t>173.32%</t>
  </si>
  <si>
    <t>Hudson Technologies, Inc</t>
  </si>
  <si>
    <t>93.54%</t>
  </si>
  <si>
    <t>5.11 - 10.52</t>
  </si>
  <si>
    <t>-64.04%</t>
  </si>
  <si>
    <t>3165.10%</t>
  </si>
  <si>
    <t>55.99%</t>
  </si>
  <si>
    <t>Franklin BSP Realty Trust Inc</t>
  </si>
  <si>
    <t>71.81%</t>
  </si>
  <si>
    <t>173.26%</t>
  </si>
  <si>
    <t>64.14%</t>
  </si>
  <si>
    <t>94.39%</t>
  </si>
  <si>
    <t>79.91%</t>
  </si>
  <si>
    <t>9.79 - 13.58</t>
  </si>
  <si>
    <t>-89.99%</t>
  </si>
  <si>
    <t>119.41%</t>
  </si>
  <si>
    <t>Magyar Bancorp Inc</t>
  </si>
  <si>
    <t>31.38%</t>
  </si>
  <si>
    <t>24.60%</t>
  </si>
  <si>
    <t>12.07 - 19.04</t>
  </si>
  <si>
    <t>839.58%</t>
  </si>
  <si>
    <t>40.93%</t>
  </si>
  <si>
    <t>N-able Inc</t>
  </si>
  <si>
    <t>549.37%</t>
  </si>
  <si>
    <t>79.14%</t>
  </si>
  <si>
    <t>-10.84%</t>
  </si>
  <si>
    <t>-38.57%</t>
  </si>
  <si>
    <t>6.07 - 13.12</t>
  </si>
  <si>
    <t>-49.62%</t>
  </si>
  <si>
    <t>Omada Health Inc</t>
  </si>
  <si>
    <t>-102.87%</t>
  </si>
  <si>
    <t>63.05%</t>
  </si>
  <si>
    <t>57.21%</t>
  </si>
  <si>
    <t>14.14 - 28.40</t>
  </si>
  <si>
    <t>Atlantic International Corp</t>
  </si>
  <si>
    <t>323.42%</t>
  </si>
  <si>
    <t>1182.15%</t>
  </si>
  <si>
    <t>283.56%</t>
  </si>
  <si>
    <t>-6.89%</t>
  </si>
  <si>
    <t>-29.90%</t>
  </si>
  <si>
    <t>153.79%</t>
  </si>
  <si>
    <t>1.45 - 7.97</t>
  </si>
  <si>
    <t>183.08%</t>
  </si>
  <si>
    <t>-39.67%</t>
  </si>
  <si>
    <t>Hilltop Holdings Inc</t>
  </si>
  <si>
    <t>16.27%</t>
  </si>
  <si>
    <t>39.07%</t>
  </si>
  <si>
    <t>-27.74%</t>
  </si>
  <si>
    <t>40.74%</t>
  </si>
  <si>
    <t>26.67 - 36.13</t>
  </si>
  <si>
    <t>391.79%</t>
  </si>
  <si>
    <t>Domo Inc</t>
  </si>
  <si>
    <t>137.04%</t>
  </si>
  <si>
    <t>67.81%</t>
  </si>
  <si>
    <t>-14.12%</t>
  </si>
  <si>
    <t>166.56%</t>
  </si>
  <si>
    <t>6.01 - 18.49</t>
  </si>
  <si>
    <t>93.95%</t>
  </si>
  <si>
    <t>129.51%</t>
  </si>
  <si>
    <t>Ziff Davis Inc</t>
  </si>
  <si>
    <t>5/17/2019</t>
  </si>
  <si>
    <t>-20.26%</t>
  </si>
  <si>
    <t>109.51%</t>
  </si>
  <si>
    <t>28.55 - 60.62</t>
  </si>
  <si>
    <t>19222.32%</t>
  </si>
  <si>
    <t>-10.59%</t>
  </si>
  <si>
    <t>eHealth Inc</t>
  </si>
  <si>
    <t>74.71%</t>
  </si>
  <si>
    <t>-35.95%</t>
  </si>
  <si>
    <t>3.18 - 11.36</t>
  </si>
  <si>
    <t>-97.45%</t>
  </si>
  <si>
    <t>45.36%</t>
  </si>
  <si>
    <t>BCB Bancorp Inc (NJ)</t>
  </si>
  <si>
    <t>64.86%</t>
  </si>
  <si>
    <t>39.37%</t>
  </si>
  <si>
    <t>-38.07%</t>
  </si>
  <si>
    <t>7.54 - 14.04</t>
  </si>
  <si>
    <t>66.06%</t>
  </si>
  <si>
    <t>-14.50%</t>
  </si>
  <si>
    <t>-28.55%</t>
  </si>
  <si>
    <t>EverCommerce Inc</t>
  </si>
  <si>
    <t>35.31%</t>
  </si>
  <si>
    <t>-16.56%</t>
  </si>
  <si>
    <t>-27.14%</t>
  </si>
  <si>
    <t>8.10 - 12.34</t>
  </si>
  <si>
    <t>-51.02%</t>
  </si>
  <si>
    <t>95.33%</t>
  </si>
  <si>
    <t>Bogota Financial Corp</t>
  </si>
  <si>
    <t>-25.93%</t>
  </si>
  <si>
    <t>38.47%</t>
  </si>
  <si>
    <t>6.59 - 9.50</t>
  </si>
  <si>
    <t>50.33%</t>
  </si>
  <si>
    <t>Champion Homes Inc</t>
  </si>
  <si>
    <t>6/1/2018</t>
  </si>
  <si>
    <t>106.99%</t>
  </si>
  <si>
    <t>-8.82%</t>
  </si>
  <si>
    <t>22.80%</t>
  </si>
  <si>
    <t>59.44 - 116.49</t>
  </si>
  <si>
    <t>3366.13%</t>
  </si>
  <si>
    <t>-20.33%</t>
  </si>
  <si>
    <t>Peoples Bancorp, Inc. (Marietta, OH)</t>
  </si>
  <si>
    <t>-22.42%</t>
  </si>
  <si>
    <t>26.21 - 37.07</t>
  </si>
  <si>
    <t>-23.52%</t>
  </si>
  <si>
    <t>388.98%</t>
  </si>
  <si>
    <t>Star Holdings</t>
  </si>
  <si>
    <t>-25.31%</t>
  </si>
  <si>
    <t>6.05 - 13.98</t>
  </si>
  <si>
    <t>-59.26%</t>
  </si>
  <si>
    <t>Ennis Inc</t>
  </si>
  <si>
    <t>Business Equipment &amp; Supplies</t>
  </si>
  <si>
    <t>65.04%</t>
  </si>
  <si>
    <t>82.25%</t>
  </si>
  <si>
    <t>-18.36%</t>
  </si>
  <si>
    <t>17.15 - 22.29</t>
  </si>
  <si>
    <t>-22.60%</t>
  </si>
  <si>
    <t>714.49%</t>
  </si>
  <si>
    <t>Appian Corp</t>
  </si>
  <si>
    <t>-10.29%</t>
  </si>
  <si>
    <t>16.52%</t>
  </si>
  <si>
    <t>-14.37%</t>
  </si>
  <si>
    <t>38.88%</t>
  </si>
  <si>
    <t>24.00 - 43.33</t>
  </si>
  <si>
    <t>Eagle Materials Inc</t>
  </si>
  <si>
    <t>100.25%</t>
  </si>
  <si>
    <t>-28.66%</t>
  </si>
  <si>
    <t>191.91 - 321.93</t>
  </si>
  <si>
    <t>8522.35%</t>
  </si>
  <si>
    <t>NCR Atleos Corp</t>
  </si>
  <si>
    <t>62.57%</t>
  </si>
  <si>
    <t>71.75%</t>
  </si>
  <si>
    <t>22.30 - 40.78</t>
  </si>
  <si>
    <t>112.79%</t>
  </si>
  <si>
    <t>41.86%</t>
  </si>
  <si>
    <t>Provident Financial Services Inc</t>
  </si>
  <si>
    <t>66.96%</t>
  </si>
  <si>
    <t>74.88%</t>
  </si>
  <si>
    <t>14.34 - 22.24</t>
  </si>
  <si>
    <t>-32.41%</t>
  </si>
  <si>
    <t>156.93%</t>
  </si>
  <si>
    <t>Arrow Financial Corp</t>
  </si>
  <si>
    <t>-15.34%</t>
  </si>
  <si>
    <t>51.77%</t>
  </si>
  <si>
    <t>22.72 - 34.63</t>
  </si>
  <si>
    <t>-19.99%</t>
  </si>
  <si>
    <t>2390.95%</t>
  </si>
  <si>
    <t>Gain Therapeutics Inc</t>
  </si>
  <si>
    <t>-37.02%</t>
  </si>
  <si>
    <t>-13.98%</t>
  </si>
  <si>
    <t>-46.52%</t>
  </si>
  <si>
    <t>1.41 - 3.19</t>
  </si>
  <si>
    <t>-17.59%</t>
  </si>
  <si>
    <t>Merchants Bancorp</t>
  </si>
  <si>
    <t>40.84%</t>
  </si>
  <si>
    <t>-46.43%</t>
  </si>
  <si>
    <t>27.25 - 46.78</t>
  </si>
  <si>
    <t>289.73%</t>
  </si>
  <si>
    <t>-15.42%</t>
  </si>
  <si>
    <t>-28.15%</t>
  </si>
  <si>
    <t>Bank7 Corp</t>
  </si>
  <si>
    <t>42.31%</t>
  </si>
  <si>
    <t>31.99%</t>
  </si>
  <si>
    <t>46.91%</t>
  </si>
  <si>
    <t>32.49 - 50.26</t>
  </si>
  <si>
    <t>755.38%</t>
  </si>
  <si>
    <t>23.97%</t>
  </si>
  <si>
    <t>Timberland Bancorp, Inc</t>
  </si>
  <si>
    <t>27.51 - 38.08</t>
  </si>
  <si>
    <t>1721.87%</t>
  </si>
  <si>
    <t>Winnebago Industries, Inc</t>
  </si>
  <si>
    <t>281.37%</t>
  </si>
  <si>
    <t>-62.38%</t>
  </si>
  <si>
    <t>-34.02%</t>
  </si>
  <si>
    <t>105.70%</t>
  </si>
  <si>
    <t>-9.02%</t>
  </si>
  <si>
    <t>-48.37%</t>
  </si>
  <si>
    <t>28.00 - 65.65</t>
  </si>
  <si>
    <t>-61.27%</t>
  </si>
  <si>
    <t>3090.35%</t>
  </si>
  <si>
    <t>-41.94%</t>
  </si>
  <si>
    <t>Advent Technologies Holdings Inc</t>
  </si>
  <si>
    <t>-98.36%</t>
  </si>
  <si>
    <t>-87.70%</t>
  </si>
  <si>
    <t>22.35%</t>
  </si>
  <si>
    <t>-2220.00%</t>
  </si>
  <si>
    <t>-19311.30%</t>
  </si>
  <si>
    <t>-23857.39%</t>
  </si>
  <si>
    <t>-46.11%</t>
  </si>
  <si>
    <t>90.31%</t>
  </si>
  <si>
    <t>-62.11%</t>
  </si>
  <si>
    <t>1.71 - 8.79</t>
  </si>
  <si>
    <t>-30.76%</t>
  </si>
  <si>
    <t>64.88%</t>
  </si>
  <si>
    <t>Regional Management Corp</t>
  </si>
  <si>
    <t>49.31%</t>
  </si>
  <si>
    <t>84.65%</t>
  </si>
  <si>
    <t>97.60%</t>
  </si>
  <si>
    <t>25.41 - 46.00</t>
  </si>
  <si>
    <t>-38.21%</t>
  </si>
  <si>
    <t>304.53%</t>
  </si>
  <si>
    <t>Astrana Health Inc</t>
  </si>
  <si>
    <t>51.97%</t>
  </si>
  <si>
    <t>-45.54%</t>
  </si>
  <si>
    <t>52.05%</t>
  </si>
  <si>
    <t>-54.69%</t>
  </si>
  <si>
    <t>21.20 - 63.20</t>
  </si>
  <si>
    <t>-78.50%</t>
  </si>
  <si>
    <t>Century Casinos Inc</t>
  </si>
  <si>
    <t>-45.12%</t>
  </si>
  <si>
    <t>1.30 - 5.09</t>
  </si>
  <si>
    <t>-84.19%</t>
  </si>
  <si>
    <t>593.33%</t>
  </si>
  <si>
    <t>42.08%</t>
  </si>
  <si>
    <t>Hyatt Hotels Corporation</t>
  </si>
  <si>
    <t>Lodging</t>
  </si>
  <si>
    <t>29.68%</t>
  </si>
  <si>
    <t>102.43 - 168.20</t>
  </si>
  <si>
    <t>489.63%</t>
  </si>
  <si>
    <t>Plumas Bancorp</t>
  </si>
  <si>
    <t>38.53%</t>
  </si>
  <si>
    <t>37.69 - 51.33</t>
  </si>
  <si>
    <t>2873.29%</t>
  </si>
  <si>
    <t>Coda Octopus Group Inc</t>
  </si>
  <si>
    <t>5.76 - 9.89</t>
  </si>
  <si>
    <t>57164.29%</t>
  </si>
  <si>
    <t>Crexendo Inc</t>
  </si>
  <si>
    <t>3/30/2023</t>
  </si>
  <si>
    <t>46.58%</t>
  </si>
  <si>
    <t>73.07%</t>
  </si>
  <si>
    <t>3.75 - 7.34</t>
  </si>
  <si>
    <t>963.93%</t>
  </si>
  <si>
    <t>43.90%</t>
  </si>
  <si>
    <t>Nuvalent Inc</t>
  </si>
  <si>
    <t>-59.96%</t>
  </si>
  <si>
    <t>-74.22%</t>
  </si>
  <si>
    <t>-9.79%</t>
  </si>
  <si>
    <t>55.53 - 106.32</t>
  </si>
  <si>
    <t>-30.99%</t>
  </si>
  <si>
    <t>1004.80%</t>
  </si>
  <si>
    <t>Elicio Therapeutics Inc</t>
  </si>
  <si>
    <t>39.51%</t>
  </si>
  <si>
    <t>-13.87%</t>
  </si>
  <si>
    <t>168.40%</t>
  </si>
  <si>
    <t>4.05 - 12.62</t>
  </si>
  <si>
    <t>-95.87%</t>
  </si>
  <si>
    <t>267.23%</t>
  </si>
  <si>
    <t>130.30%</t>
  </si>
  <si>
    <t>Parke Bancorp Inc</t>
  </si>
  <si>
    <t>49.91%</t>
  </si>
  <si>
    <t>16.94 - 24.29</t>
  </si>
  <si>
    <t>1065.77%</t>
  </si>
  <si>
    <t>Fuel Tech Inc</t>
  </si>
  <si>
    <t>-21.07%</t>
  </si>
  <si>
    <t>79.68%</t>
  </si>
  <si>
    <t>255.48%</t>
  </si>
  <si>
    <t>0.87 - 3.65</t>
  </si>
  <si>
    <t>-91.90%</t>
  </si>
  <si>
    <t>931.00%</t>
  </si>
  <si>
    <t>200.29%</t>
  </si>
  <si>
    <t>197.40%</t>
  </si>
  <si>
    <t>Parker-Hannifin Corp</t>
  </si>
  <si>
    <t>89.83%</t>
  </si>
  <si>
    <t>488.45 - 779.77</t>
  </si>
  <si>
    <t>14937.73%</t>
  </si>
  <si>
    <t>Home Bancorp Inc</t>
  </si>
  <si>
    <t>46.83%</t>
  </si>
  <si>
    <t>39.59 - 61.07</t>
  </si>
  <si>
    <t>513.06%</t>
  </si>
  <si>
    <t>18.96%</t>
  </si>
  <si>
    <t>Standex International Corp</t>
  </si>
  <si>
    <t>27.15%</t>
  </si>
  <si>
    <t>39.50%</t>
  </si>
  <si>
    <t>128.85 - 215.77</t>
  </si>
  <si>
    <t>3573.82%</t>
  </si>
  <si>
    <t>Nelnet Inc</t>
  </si>
  <si>
    <t>164.56%</t>
  </si>
  <si>
    <t>86.78%</t>
  </si>
  <si>
    <t>98.15 - 136.17</t>
  </si>
  <si>
    <t>3125.63%</t>
  </si>
  <si>
    <t>Terreno Realty Corp</t>
  </si>
  <si>
    <t>98.08%</t>
  </si>
  <si>
    <t>132.05%</t>
  </si>
  <si>
    <t>107.53%</t>
  </si>
  <si>
    <t>38.75%</t>
  </si>
  <si>
    <t>-16.86%</t>
  </si>
  <si>
    <t>48.18 - 69.20</t>
  </si>
  <si>
    <t>407.12%</t>
  </si>
  <si>
    <t>-16.25%</t>
  </si>
  <si>
    <t>Easterly Government Properties Inc</t>
  </si>
  <si>
    <t>578.86%</t>
  </si>
  <si>
    <t>-19.40%</t>
  </si>
  <si>
    <t>73.99%</t>
  </si>
  <si>
    <t>19.33 - 35.92</t>
  </si>
  <si>
    <t>-66.78%</t>
  </si>
  <si>
    <t>Martin Marietta Materials, Inc</t>
  </si>
  <si>
    <t>441.95 - 633.23</t>
  </si>
  <si>
    <t>3600.83%</t>
  </si>
  <si>
    <t>Blue Water Acquisition Corp III</t>
  </si>
  <si>
    <t>9.93 - 10.05</t>
  </si>
  <si>
    <t>Bank OZK</t>
  </si>
  <si>
    <t>94.65%</t>
  </si>
  <si>
    <t>33.61%</t>
  </si>
  <si>
    <t>35.71 - 53.66</t>
  </si>
  <si>
    <t>8004.83%</t>
  </si>
  <si>
    <t>23.66%</t>
  </si>
  <si>
    <t>Alerus Financial Corp</t>
  </si>
  <si>
    <t>-34.54%</t>
  </si>
  <si>
    <t>40.69%</t>
  </si>
  <si>
    <t>54.43%</t>
  </si>
  <si>
    <t>42.84%</t>
  </si>
  <si>
    <t>15.78 - 24.41</t>
  </si>
  <si>
    <t>-41.16%</t>
  </si>
  <si>
    <t>395.57%</t>
  </si>
  <si>
    <t>Rush Enterprises Inc</t>
  </si>
  <si>
    <t>47.06 - 65.43</t>
  </si>
  <si>
    <t>6304.62%</t>
  </si>
  <si>
    <t>Legato Merger Corp III</t>
  </si>
  <si>
    <t>86.49%</t>
  </si>
  <si>
    <t>10.18 - 10.86</t>
  </si>
  <si>
    <t>Atmus Filtration Technologies Inc</t>
  </si>
  <si>
    <t>101.68%</t>
  </si>
  <si>
    <t>44.41%</t>
  </si>
  <si>
    <t>30.94 - 47.10</t>
  </si>
  <si>
    <t>145.36%</t>
  </si>
  <si>
    <t>Northwest Bancshares Inc</t>
  </si>
  <si>
    <t>102.00%</t>
  </si>
  <si>
    <t>-13.39%</t>
  </si>
  <si>
    <t>-19.13%</t>
  </si>
  <si>
    <t>10.75 - 15.42</t>
  </si>
  <si>
    <t>751.54%</t>
  </si>
  <si>
    <t>Federal Realty Investment Trust</t>
  </si>
  <si>
    <t>128.03%</t>
  </si>
  <si>
    <t>-5.80%</t>
  </si>
  <si>
    <t>96.68%</t>
  </si>
  <si>
    <t>80.65 - 118.09</t>
  </si>
  <si>
    <t>-41.66%</t>
  </si>
  <si>
    <t>846.59%</t>
  </si>
  <si>
    <t>Great Elm Group Inc</t>
  </si>
  <si>
    <t>2/3/2009</t>
  </si>
  <si>
    <t>53.45%</t>
  </si>
  <si>
    <t>-22.67%</t>
  </si>
  <si>
    <t>-37.12%</t>
  </si>
  <si>
    <t>-49.05%</t>
  </si>
  <si>
    <t>56.47%</t>
  </si>
  <si>
    <t>1.70 - 3.51</t>
  </si>
  <si>
    <t>103.05%</t>
  </si>
  <si>
    <t>Voya Financial Inc</t>
  </si>
  <si>
    <t>35.06%</t>
  </si>
  <si>
    <t>-27.97%</t>
  </si>
  <si>
    <t>105.13%</t>
  </si>
  <si>
    <t>43.80%</t>
  </si>
  <si>
    <t>52.43 - 84.30</t>
  </si>
  <si>
    <t>292.71%</t>
  </si>
  <si>
    <t>Neurocrine Biosciences, Inc</t>
  </si>
  <si>
    <t>53.21%</t>
  </si>
  <si>
    <t>36.24%</t>
  </si>
  <si>
    <t>24.48%</t>
  </si>
  <si>
    <t>99.63%</t>
  </si>
  <si>
    <t>98.02%</t>
  </si>
  <si>
    <t>67.00%</t>
  </si>
  <si>
    <t>84.23 - 154.61</t>
  </si>
  <si>
    <t>-10.96%</t>
  </si>
  <si>
    <t>7150.77%</t>
  </si>
  <si>
    <t>United Parks &amp; Resorts Inc</t>
  </si>
  <si>
    <t>115.75%</t>
  </si>
  <si>
    <t>38.06%</t>
  </si>
  <si>
    <t>-15.81%</t>
  </si>
  <si>
    <t>37.68 - 60.83</t>
  </si>
  <si>
    <t>658.74%</t>
  </si>
  <si>
    <t>Norwood Financial Corp</t>
  </si>
  <si>
    <t>-24.23%</t>
  </si>
  <si>
    <t>21.25 - 34.50</t>
  </si>
  <si>
    <t>-35.58%</t>
  </si>
  <si>
    <t>331.31%</t>
  </si>
  <si>
    <t>FG Merger II Corp</t>
  </si>
  <si>
    <t>9.53 - 10.03</t>
  </si>
  <si>
    <t>Peoples Bancorp Of North Carolina Inc</t>
  </si>
  <si>
    <t>31.74%</t>
  </si>
  <si>
    <t>23.61 - 33.90</t>
  </si>
  <si>
    <t>-11.24%</t>
  </si>
  <si>
    <t>1288.95%</t>
  </si>
  <si>
    <t>Horace Mann Educators Corp</t>
  </si>
  <si>
    <t>78.56%</t>
  </si>
  <si>
    <t>-14.70%</t>
  </si>
  <si>
    <t>101.96%</t>
  </si>
  <si>
    <t>34.19 - 47.81</t>
  </si>
  <si>
    <t>1042.00%</t>
  </si>
  <si>
    <t>Xtant Medical Holdings Inc</t>
  </si>
  <si>
    <t>28.50%</t>
  </si>
  <si>
    <t>-76.65%</t>
  </si>
  <si>
    <t>60.16%</t>
  </si>
  <si>
    <t>91.72%</t>
  </si>
  <si>
    <t>0.33 - 0.78</t>
  </si>
  <si>
    <t>PJT Partners Inc</t>
  </si>
  <si>
    <t>20.31%</t>
  </si>
  <si>
    <t>85.64%</t>
  </si>
  <si>
    <t>119.76 - 190.27</t>
  </si>
  <si>
    <t>846.75%</t>
  </si>
  <si>
    <t>Provident Bancorp Inc</t>
  </si>
  <si>
    <t>8/11/2022</t>
  </si>
  <si>
    <t>-22.56%</t>
  </si>
  <si>
    <t>10.09 - 13.02</t>
  </si>
  <si>
    <t>Amplitech Group Inc</t>
  </si>
  <si>
    <t>336.25%</t>
  </si>
  <si>
    <t>-45.47%</t>
  </si>
  <si>
    <t>-44.65%</t>
  </si>
  <si>
    <t>52.16%</t>
  </si>
  <si>
    <t>-39.66%</t>
  </si>
  <si>
    <t>454.29%</t>
  </si>
  <si>
    <t>0.70 - 6.43</t>
  </si>
  <si>
    <t>-80.40%</t>
  </si>
  <si>
    <t>1840.00%</t>
  </si>
  <si>
    <t>83.89%</t>
  </si>
  <si>
    <t>151.95%</t>
  </si>
  <si>
    <t>353.85%</t>
  </si>
  <si>
    <t>Clarus Corp</t>
  </si>
  <si>
    <t>61.68%</t>
  </si>
  <si>
    <t>-88.52%</t>
  </si>
  <si>
    <t>56.97%</t>
  </si>
  <si>
    <t>-32.39%</t>
  </si>
  <si>
    <t>-30.06%</t>
  </si>
  <si>
    <t>3.02 - 5.29</t>
  </si>
  <si>
    <t>-97.42%</t>
  </si>
  <si>
    <t>Community Financial System Inc</t>
  </si>
  <si>
    <t>52.96%</t>
  </si>
  <si>
    <t>74.65%</t>
  </si>
  <si>
    <t>49.44 - 73.39</t>
  </si>
  <si>
    <t>3411.11%</t>
  </si>
  <si>
    <t>Seacoast Banking Corp. Of Florida</t>
  </si>
  <si>
    <t>31.54%</t>
  </si>
  <si>
    <t>86.82%</t>
  </si>
  <si>
    <t>42.46%</t>
  </si>
  <si>
    <t>21.36 - 32.09</t>
  </si>
  <si>
    <t>-80.96%</t>
  </si>
  <si>
    <t>453.27%</t>
  </si>
  <si>
    <t>Insteel Industries, Inc</t>
  </si>
  <si>
    <t>-33.87%</t>
  </si>
  <si>
    <t>70.34%</t>
  </si>
  <si>
    <t>22.49 - 41.64</t>
  </si>
  <si>
    <t>44408.38%</t>
  </si>
  <si>
    <t>38.85%</t>
  </si>
  <si>
    <t>26.13%</t>
  </si>
  <si>
    <t>Oruka Therapeutics Inc</t>
  </si>
  <si>
    <t>86.73%</t>
  </si>
  <si>
    <t>-50.50%</t>
  </si>
  <si>
    <t>180.95%</t>
  </si>
  <si>
    <t>5.49 - 31.13</t>
  </si>
  <si>
    <t>Northern Technologies International Corp</t>
  </si>
  <si>
    <t>50.90%</t>
  </si>
  <si>
    <t>-48.91%</t>
  </si>
  <si>
    <t>6.75 - 15.09</t>
  </si>
  <si>
    <t>-64.14%</t>
  </si>
  <si>
    <t>722.40%</t>
  </si>
  <si>
    <t>-28.87%</t>
  </si>
  <si>
    <t>-35.59%</t>
  </si>
  <si>
    <t>Avidia Bancorp Inc</t>
  </si>
  <si>
    <t>14.00 - 15.99</t>
  </si>
  <si>
    <t>Escalade, Inc</t>
  </si>
  <si>
    <t>-19.30%</t>
  </si>
  <si>
    <t>-13.10%</t>
  </si>
  <si>
    <t>11.74 - 16.99</t>
  </si>
  <si>
    <t>-50.92%</t>
  </si>
  <si>
    <t>7968.99%</t>
  </si>
  <si>
    <t>-11.22%</t>
  </si>
  <si>
    <t>Heidrick &amp; Struggles International, Inc</t>
  </si>
  <si>
    <t>145.67%</t>
  </si>
  <si>
    <t>-29.69%</t>
  </si>
  <si>
    <t>95.58%</t>
  </si>
  <si>
    <t>36.49 - 52.17</t>
  </si>
  <si>
    <t>-33.93%</t>
  </si>
  <si>
    <t>397.51%</t>
  </si>
  <si>
    <t>EQV Ventures Acquisition Corp</t>
  </si>
  <si>
    <t>9.88 - 10.74</t>
  </si>
  <si>
    <t>Marinemax, Inc</t>
  </si>
  <si>
    <t>-58.03%</t>
  </si>
  <si>
    <t>93.85%</t>
  </si>
  <si>
    <t>16.85 - 36.38</t>
  </si>
  <si>
    <t>-63.55%</t>
  </si>
  <si>
    <t>2071.43%</t>
  </si>
  <si>
    <t>SmartFinancial Inc</t>
  </si>
  <si>
    <t>26.31 - 37.92</t>
  </si>
  <si>
    <t>-44.72%</t>
  </si>
  <si>
    <t>1118.29%</t>
  </si>
  <si>
    <t>24.53%</t>
  </si>
  <si>
    <t>Coffee Holding Co Inc</t>
  </si>
  <si>
    <t>2/9/2022</t>
  </si>
  <si>
    <t>22.10%</t>
  </si>
  <si>
    <t>-54.27%</t>
  </si>
  <si>
    <t>68.80%</t>
  </si>
  <si>
    <t>2.69 - 9.93</t>
  </si>
  <si>
    <t>-85.10%</t>
  </si>
  <si>
    <t>724.37%</t>
  </si>
  <si>
    <t>National Bank Holdings Corp</t>
  </si>
  <si>
    <t>36.32%</t>
  </si>
  <si>
    <t>98.21%</t>
  </si>
  <si>
    <t>-24.72%</t>
  </si>
  <si>
    <t>32.83 - 51.76</t>
  </si>
  <si>
    <t>120.24%</t>
  </si>
  <si>
    <t>Eventbrite Inc</t>
  </si>
  <si>
    <t>51.58%</t>
  </si>
  <si>
    <t>66.84%</t>
  </si>
  <si>
    <t>-32.77%</t>
  </si>
  <si>
    <t>1.80 - 4.12</t>
  </si>
  <si>
    <t>-93.12%</t>
  </si>
  <si>
    <t>First Business Financial Services Inc</t>
  </si>
  <si>
    <t>-8.87%</t>
  </si>
  <si>
    <t>24.07%</t>
  </si>
  <si>
    <t>41.47 - 56.46</t>
  </si>
  <si>
    <t>1272.03%</t>
  </si>
  <si>
    <t>Dave Inc</t>
  </si>
  <si>
    <t>-56.70%</t>
  </si>
  <si>
    <t>65.76%</t>
  </si>
  <si>
    <t>-23.71%</t>
  </si>
  <si>
    <t>483.67%</t>
  </si>
  <si>
    <t>37.44 - 286.45</t>
  </si>
  <si>
    <t>-55.50%</t>
  </si>
  <si>
    <t>4792.24%</t>
  </si>
  <si>
    <t>147.62%</t>
  </si>
  <si>
    <t>436.00%</t>
  </si>
  <si>
    <t>Thermon Group Holdings Inc</t>
  </si>
  <si>
    <t>34.27%</t>
  </si>
  <si>
    <t>98.01%</t>
  </si>
  <si>
    <t>23.05 - 33.25</t>
  </si>
  <si>
    <t>165.48%</t>
  </si>
  <si>
    <t>F5 Inc</t>
  </si>
  <si>
    <t>99.42%</t>
  </si>
  <si>
    <t>79.75%</t>
  </si>
  <si>
    <t>25.28%</t>
  </si>
  <si>
    <t>213.24 - 337.39</t>
  </si>
  <si>
    <t>17053.93%</t>
  </si>
  <si>
    <t>Simulations Plus Inc</t>
  </si>
  <si>
    <t>7/29/2024</t>
  </si>
  <si>
    <t>48.95%</t>
  </si>
  <si>
    <t>117.71%</t>
  </si>
  <si>
    <t>53.75%</t>
  </si>
  <si>
    <t>-78.62%</t>
  </si>
  <si>
    <t>-40.14%</t>
  </si>
  <si>
    <t>-60.83%</t>
  </si>
  <si>
    <t>12.39 - 37.67</t>
  </si>
  <si>
    <t>-83.77%</t>
  </si>
  <si>
    <t>10392.44%</t>
  </si>
  <si>
    <t>-39.03%</t>
  </si>
  <si>
    <t>-52.92%</t>
  </si>
  <si>
    <t>Eastgroup Properties, Inc</t>
  </si>
  <si>
    <t>114.68%</t>
  </si>
  <si>
    <t>100.03%</t>
  </si>
  <si>
    <t>137.67 - 190.08</t>
  </si>
  <si>
    <t>-27.53%</t>
  </si>
  <si>
    <t>2564.96%</t>
  </si>
  <si>
    <t>Ideal Power Inc</t>
  </si>
  <si>
    <t>-86.56%</t>
  </si>
  <si>
    <t>-46.95%</t>
  </si>
  <si>
    <t>-32.00%</t>
  </si>
  <si>
    <t>-2414.33%</t>
  </si>
  <si>
    <t>-60090.49%</t>
  </si>
  <si>
    <t>-57307.23%</t>
  </si>
  <si>
    <t>3.77 - 8.62</t>
  </si>
  <si>
    <t>-95.78%</t>
  </si>
  <si>
    <t>391.93%</t>
  </si>
  <si>
    <t>VSE Corp</t>
  </si>
  <si>
    <t>-12.72%</t>
  </si>
  <si>
    <t>23.37%</t>
  </si>
  <si>
    <t>38.24%</t>
  </si>
  <si>
    <t>107.39%</t>
  </si>
  <si>
    <t>80.61 - 174.55</t>
  </si>
  <si>
    <t>29596.36%</t>
  </si>
  <si>
    <t>99.94%</t>
  </si>
  <si>
    <t>Callan Jmb Inc</t>
  </si>
  <si>
    <t>-16.33%</t>
  </si>
  <si>
    <t>45.56%</t>
  </si>
  <si>
    <t>3.38 - 7.76</t>
  </si>
  <si>
    <t>RenovoRx Inc</t>
  </si>
  <si>
    <t>16.03%</t>
  </si>
  <si>
    <t>-1699.09%</t>
  </si>
  <si>
    <t>-1610.88%</t>
  </si>
  <si>
    <t>-17.93%</t>
  </si>
  <si>
    <t>0.75 - 1.69</t>
  </si>
  <si>
    <t>-92.89%</t>
  </si>
  <si>
    <t>124.27%</t>
  </si>
  <si>
    <t>Concrete Pumping Holdings Inc</t>
  </si>
  <si>
    <t>1/24/2025</t>
  </si>
  <si>
    <t>-8.98%</t>
  </si>
  <si>
    <t>49.47%</t>
  </si>
  <si>
    <t>4.78 - 8.60</t>
  </si>
  <si>
    <t>343.08%</t>
  </si>
  <si>
    <t>37.85%</t>
  </si>
  <si>
    <t>Citizens Financial Services, Inc</t>
  </si>
  <si>
    <t>-18.49%</t>
  </si>
  <si>
    <t>49.99 - 75.40</t>
  </si>
  <si>
    <t>-32.53%</t>
  </si>
  <si>
    <t>842.30%</t>
  </si>
  <si>
    <t>Drugs Made In America Acquisition Corp</t>
  </si>
  <si>
    <t>9.95 - 10.34</t>
  </si>
  <si>
    <t>Intelligent Protection Management Corp</t>
  </si>
  <si>
    <t>-56.42%</t>
  </si>
  <si>
    <t>120.29%</t>
  </si>
  <si>
    <t>-366.67%</t>
  </si>
  <si>
    <t>-42.80%</t>
  </si>
  <si>
    <t>-29.86%</t>
  </si>
  <si>
    <t>1.52 - 3.30</t>
  </si>
  <si>
    <t>235.27%</t>
  </si>
  <si>
    <t>Universal Corp</t>
  </si>
  <si>
    <t>-17.87%</t>
  </si>
  <si>
    <t>49.40 - 67.33</t>
  </si>
  <si>
    <t>-33.65%</t>
  </si>
  <si>
    <t>665.59%</t>
  </si>
  <si>
    <t>OP Bancorp</t>
  </si>
  <si>
    <t>56.19%</t>
  </si>
  <si>
    <t>10.43 - 18.57</t>
  </si>
  <si>
    <t>5376.92%</t>
  </si>
  <si>
    <t>Pediatrix Medical Group Inc</t>
  </si>
  <si>
    <t>93.81%</t>
  </si>
  <si>
    <t>37.58%</t>
  </si>
  <si>
    <t>49.04%</t>
  </si>
  <si>
    <t>10.93 - 17.67</t>
  </si>
  <si>
    <t>-81.08%</t>
  </si>
  <si>
    <t>986.00%</t>
  </si>
  <si>
    <t>53.39%</t>
  </si>
  <si>
    <t>Helios Technologies Inc</t>
  </si>
  <si>
    <t>10/7/2025</t>
  </si>
  <si>
    <t>-28.62%</t>
  </si>
  <si>
    <t>-3.37%</t>
  </si>
  <si>
    <t>113.07%</t>
  </si>
  <si>
    <t>24.76 - 57.29</t>
  </si>
  <si>
    <t>4133.60%</t>
  </si>
  <si>
    <t>55.03%</t>
  </si>
  <si>
    <t>Global Industrial Co</t>
  </si>
  <si>
    <t>63.37%</t>
  </si>
  <si>
    <t>35.01%</t>
  </si>
  <si>
    <t>32.76%</t>
  </si>
  <si>
    <t>75.01%</t>
  </si>
  <si>
    <t>20.79 - 38.79</t>
  </si>
  <si>
    <t>8031.79%</t>
  </si>
  <si>
    <t>Surgepays Inc</t>
  </si>
  <si>
    <t>-67.73%</t>
  </si>
  <si>
    <t>-129.03%</t>
  </si>
  <si>
    <t>-133.85%</t>
  </si>
  <si>
    <t>-18.22%</t>
  </si>
  <si>
    <t>1.05 - 3.47</t>
  </si>
  <si>
    <t>-96.09%</t>
  </si>
  <si>
    <t>-10.77%</t>
  </si>
  <si>
    <t>70.94%</t>
  </si>
  <si>
    <t>Cardinal Health, Inc</t>
  </si>
  <si>
    <t>-34.61%</t>
  </si>
  <si>
    <t>106.98 - 168.44</t>
  </si>
  <si>
    <t>34787.54%</t>
  </si>
  <si>
    <t>National Cinemedia Inc</t>
  </si>
  <si>
    <t>66.34%</t>
  </si>
  <si>
    <t>56.30%</t>
  </si>
  <si>
    <t>-8.96%</t>
  </si>
  <si>
    <t>-38.43%</t>
  </si>
  <si>
    <t>4.12 - 7.60</t>
  </si>
  <si>
    <t>-98.38%</t>
  </si>
  <si>
    <t>364.24%</t>
  </si>
  <si>
    <t>AVITA Medical Inc</t>
  </si>
  <si>
    <t>-26.79%</t>
  </si>
  <si>
    <t>-88.92%</t>
  </si>
  <si>
    <t>63.43%</t>
  </si>
  <si>
    <t>-26.69%</t>
  </si>
  <si>
    <t>45.00%</t>
  </si>
  <si>
    <t>-63.14%</t>
  </si>
  <si>
    <t>3.60 - 14.16</t>
  </si>
  <si>
    <t>-43.38%</t>
  </si>
  <si>
    <t>-50.61%</t>
  </si>
  <si>
    <t>USCB Financial Holdings Inc</t>
  </si>
  <si>
    <t>-20.95%</t>
  </si>
  <si>
    <t>24.32%</t>
  </si>
  <si>
    <t>13.90 - 21.86</t>
  </si>
  <si>
    <t>101.87%</t>
  </si>
  <si>
    <t>KVH Industries, Inc</t>
  </si>
  <si>
    <t>33.71%</t>
  </si>
  <si>
    <t>34.60%</t>
  </si>
  <si>
    <t>4.35 - 6.41</t>
  </si>
  <si>
    <t>-83.14%</t>
  </si>
  <si>
    <t>569.14%</t>
  </si>
  <si>
    <t>Live Ventures Inc</t>
  </si>
  <si>
    <t>32.62%</t>
  </si>
  <si>
    <t>185.20%</t>
  </si>
  <si>
    <t>6.25 - 25.88</t>
  </si>
  <si>
    <t>-98.32%</t>
  </si>
  <si>
    <t>773.79%</t>
  </si>
  <si>
    <t>153.92%</t>
  </si>
  <si>
    <t>Luda Technology Group Ltd</t>
  </si>
  <si>
    <t>-49.07%</t>
  </si>
  <si>
    <t>188.76%</t>
  </si>
  <si>
    <t>240.29%</t>
  </si>
  <si>
    <t>3.40 - 22.72</t>
  </si>
  <si>
    <t>109.22%</t>
  </si>
  <si>
    <t>146.07%</t>
  </si>
  <si>
    <t>Watts Water Technologies, Inc</t>
  </si>
  <si>
    <t>177.59 - 287.89</t>
  </si>
  <si>
    <t>6013.23%</t>
  </si>
  <si>
    <t>34.23%</t>
  </si>
  <si>
    <t>MediaAlpha Inc</t>
  </si>
  <si>
    <t>-10.21%</t>
  </si>
  <si>
    <t>49.76%</t>
  </si>
  <si>
    <t>116.58%</t>
  </si>
  <si>
    <t>41.14%</t>
  </si>
  <si>
    <t>-290.86%</t>
  </si>
  <si>
    <t>54.05%</t>
  </si>
  <si>
    <t>-42.39%</t>
  </si>
  <si>
    <t>7.33 - 20.91</t>
  </si>
  <si>
    <t>137.15%</t>
  </si>
  <si>
    <t>-33.70%</t>
  </si>
  <si>
    <t>Rogers Corp</t>
  </si>
  <si>
    <t>-37.45%</t>
  </si>
  <si>
    <t>-7.61%</t>
  </si>
  <si>
    <t>-6.55%</t>
  </si>
  <si>
    <t>-30.63%</t>
  </si>
  <si>
    <t>53.84%</t>
  </si>
  <si>
    <t>51.43 - 114.05</t>
  </si>
  <si>
    <t>-71.18%</t>
  </si>
  <si>
    <t>2652.04%</t>
  </si>
  <si>
    <t>-24.49%</t>
  </si>
  <si>
    <t>Park-Ohio Holdings Corp</t>
  </si>
  <si>
    <t>51.41%</t>
  </si>
  <si>
    <t>15.52 - 34.50</t>
  </si>
  <si>
    <t>-68.35%</t>
  </si>
  <si>
    <t>1151.52%</t>
  </si>
  <si>
    <t>Centerspace</t>
  </si>
  <si>
    <t>-32.18%</t>
  </si>
  <si>
    <t>-596.56%</t>
  </si>
  <si>
    <t>-11.04%</t>
  </si>
  <si>
    <t>-23.36%</t>
  </si>
  <si>
    <t>52.76 - 75.92</t>
  </si>
  <si>
    <t>-66.21%</t>
  </si>
  <si>
    <t>Curbline Properties Corp</t>
  </si>
  <si>
    <t>-37.79%</t>
  </si>
  <si>
    <t>46.17%</t>
  </si>
  <si>
    <t>100.44%</t>
  </si>
  <si>
    <t>18.60 - 25.69</t>
  </si>
  <si>
    <t>Inspirato Incorporated</t>
  </si>
  <si>
    <t>39.98%</t>
  </si>
  <si>
    <t>-13.20%</t>
  </si>
  <si>
    <t>-57.88%</t>
  </si>
  <si>
    <t>2.19 - 7.17</t>
  </si>
  <si>
    <t>-32.89%</t>
  </si>
  <si>
    <t>-25.80%</t>
  </si>
  <si>
    <t>Clene Inc</t>
  </si>
  <si>
    <t>-22.08%</t>
  </si>
  <si>
    <t>-70.33%</t>
  </si>
  <si>
    <t>-64.80%</t>
  </si>
  <si>
    <t>-472.38%</t>
  </si>
  <si>
    <t>-9234.27%</t>
  </si>
  <si>
    <t>-10386.36%</t>
  </si>
  <si>
    <t>-18.39%</t>
  </si>
  <si>
    <t>154.11%</t>
  </si>
  <si>
    <t>2.28 - 7.10</t>
  </si>
  <si>
    <t>-98.37%</t>
  </si>
  <si>
    <t>82.20%</t>
  </si>
  <si>
    <t>Andretti Acquisition Corp. II</t>
  </si>
  <si>
    <t>9.94 - 11.16</t>
  </si>
  <si>
    <t>Texas Capital Bancshares, Inc</t>
  </si>
  <si>
    <t>-26.54%</t>
  </si>
  <si>
    <t>77.37%</t>
  </si>
  <si>
    <t>99.84%</t>
  </si>
  <si>
    <t>44.88%</t>
  </si>
  <si>
    <t>59.37 - 94.61</t>
  </si>
  <si>
    <t>1213.21%</t>
  </si>
  <si>
    <t>Digital Ally Inc</t>
  </si>
  <si>
    <t>93.08%</t>
  </si>
  <si>
    <t>-68.33%</t>
  </si>
  <si>
    <t>-17.48%</t>
  </si>
  <si>
    <t>1.66 - 2380.00</t>
  </si>
  <si>
    <t>-97.63%</t>
  </si>
  <si>
    <t>Nortech Systems Inc</t>
  </si>
  <si>
    <t>-33.23%</t>
  </si>
  <si>
    <t>7.25 - 13.90</t>
  </si>
  <si>
    <t>-52.56%</t>
  </si>
  <si>
    <t>607.05%</t>
  </si>
  <si>
    <t>Energy Services of America Corp</t>
  </si>
  <si>
    <t>7/3/2025</t>
  </si>
  <si>
    <t>73.48%</t>
  </si>
  <si>
    <t>20.57%</t>
  </si>
  <si>
    <t>37.32%</t>
  </si>
  <si>
    <t>7.64 - 19.83</t>
  </si>
  <si>
    <t>6750.96%</t>
  </si>
  <si>
    <t>Rackspace Technology Inc</t>
  </si>
  <si>
    <t>-50.09%</t>
  </si>
  <si>
    <t>15.97%</t>
  </si>
  <si>
    <t>-13.85%</t>
  </si>
  <si>
    <t>-18.90%</t>
  </si>
  <si>
    <t>1.00 - 3.41</t>
  </si>
  <si>
    <t>-94.72%</t>
  </si>
  <si>
    <t>-20.29%</t>
  </si>
  <si>
    <t>-43.29%</t>
  </si>
  <si>
    <t>Winchester Bancorp Inc</t>
  </si>
  <si>
    <t>8.76 - 10.10</t>
  </si>
  <si>
    <t>Five Star Bancorp</t>
  </si>
  <si>
    <t>35.39%</t>
  </si>
  <si>
    <t>46.65%</t>
  </si>
  <si>
    <t>22.22 - 35.12</t>
  </si>
  <si>
    <t>83.68%</t>
  </si>
  <si>
    <t>NRX Pharmaceuticals Inc</t>
  </si>
  <si>
    <t>-552.46%</t>
  </si>
  <si>
    <t>160.00%</t>
  </si>
  <si>
    <t>1.10 - 6.01</t>
  </si>
  <si>
    <t>77.64%</t>
  </si>
  <si>
    <t>Avalon GloboCare Corp</t>
  </si>
  <si>
    <t>-578.16%</t>
  </si>
  <si>
    <t>-1462.44%</t>
  </si>
  <si>
    <t>-30.97%</t>
  </si>
  <si>
    <t>-47.26%</t>
  </si>
  <si>
    <t>-78.56%</t>
  </si>
  <si>
    <t>1.87 - 11.66</t>
  </si>
  <si>
    <t>-99.88%</t>
  </si>
  <si>
    <t>-53.01%</t>
  </si>
  <si>
    <t>-23.90%</t>
  </si>
  <si>
    <t>Getty Images Holdings Inc</t>
  </si>
  <si>
    <t>184.09%</t>
  </si>
  <si>
    <t>66.38%</t>
  </si>
  <si>
    <t>1.25 - 4.49</t>
  </si>
  <si>
    <t>-94.85%</t>
  </si>
  <si>
    <t>-47.13%</t>
  </si>
  <si>
    <t>Texas Community Bancshares Inc</t>
  </si>
  <si>
    <t>14.75 - 19.40</t>
  </si>
  <si>
    <t>-18.54%</t>
  </si>
  <si>
    <t>Blue Foundry Bancorp</t>
  </si>
  <si>
    <t>49.96%</t>
  </si>
  <si>
    <t>8.23 - 11.38</t>
  </si>
  <si>
    <t>OFG Bancorp</t>
  </si>
  <si>
    <t>35.79%</t>
  </si>
  <si>
    <t>33.15 - 47.66</t>
  </si>
  <si>
    <t>9645.32%</t>
  </si>
  <si>
    <t>Taitron Components Inc</t>
  </si>
  <si>
    <t>116.62%</t>
  </si>
  <si>
    <t>-9.40%</t>
  </si>
  <si>
    <t>-15.92%</t>
  </si>
  <si>
    <t>-51.18%</t>
  </si>
  <si>
    <t>2.01 - 5.10</t>
  </si>
  <si>
    <t>-78.74%</t>
  </si>
  <si>
    <t>920.47%</t>
  </si>
  <si>
    <t>Franklin Wireless Corp</t>
  </si>
  <si>
    <t>85.71%</t>
  </si>
  <si>
    <t>-44.82%</t>
  </si>
  <si>
    <t>3.66 - 7.45</t>
  </si>
  <si>
    <t>-85.39%</t>
  </si>
  <si>
    <t>3353.78%</t>
  </si>
  <si>
    <t>Kingsway Financial Services Inc</t>
  </si>
  <si>
    <t>-106.10%</t>
  </si>
  <si>
    <t>49.23%</t>
  </si>
  <si>
    <t>-14.97%</t>
  </si>
  <si>
    <t>7.06 - 16.80</t>
  </si>
  <si>
    <t>1033.33%</t>
  </si>
  <si>
    <t>78.50%</t>
  </si>
  <si>
    <t>Brookfield Renewable Corp</t>
  </si>
  <si>
    <t>78.92%</t>
  </si>
  <si>
    <t>-3172.97%</t>
  </si>
  <si>
    <t>56.17%</t>
  </si>
  <si>
    <t>-33.20%</t>
  </si>
  <si>
    <t>43.68%</t>
  </si>
  <si>
    <t>23.73 - 37.00</t>
  </si>
  <si>
    <t>59.70%</t>
  </si>
  <si>
    <t>Cable One Inc</t>
  </si>
  <si>
    <t>2/18/2025</t>
  </si>
  <si>
    <t>458.09%</t>
  </si>
  <si>
    <t>-61.65%</t>
  </si>
  <si>
    <t>102.81%</t>
  </si>
  <si>
    <t>-1348.19%</t>
  </si>
  <si>
    <t>107.87%</t>
  </si>
  <si>
    <t>51.44%</t>
  </si>
  <si>
    <t>117.54 - 436.99</t>
  </si>
  <si>
    <t>-40.48%</t>
  </si>
  <si>
    <t>Eastern Co</t>
  </si>
  <si>
    <t>-29.80%</t>
  </si>
  <si>
    <t>19.06 - 35.03</t>
  </si>
  <si>
    <t>1452.27%</t>
  </si>
  <si>
    <t>-23.18%</t>
  </si>
  <si>
    <t>Safe Pro Group Inc</t>
  </si>
  <si>
    <t>-271.16%</t>
  </si>
  <si>
    <t>-372.78%</t>
  </si>
  <si>
    <t>-726.78%</t>
  </si>
  <si>
    <t>-731.86%</t>
  </si>
  <si>
    <t>80.38%</t>
  </si>
  <si>
    <t>132.17%</t>
  </si>
  <si>
    <t>351.70%</t>
  </si>
  <si>
    <t>1.47 - 9.16</t>
  </si>
  <si>
    <t>148.69%</t>
  </si>
  <si>
    <t>139.71%</t>
  </si>
  <si>
    <t>125.85%</t>
  </si>
  <si>
    <t>Starz Entertainment Corp</t>
  </si>
  <si>
    <t>-146.84%</t>
  </si>
  <si>
    <t>-70.97%</t>
  </si>
  <si>
    <t>-27.57%</t>
  </si>
  <si>
    <t>-298.24%</t>
  </si>
  <si>
    <t>68.48%</t>
  </si>
  <si>
    <t>-38.74%</t>
  </si>
  <si>
    <t>75.96%</t>
  </si>
  <si>
    <t>8.00 - 22.98</t>
  </si>
  <si>
    <t>Heritage Insurance Holdings Inc</t>
  </si>
  <si>
    <t>6/13/2022</t>
  </si>
  <si>
    <t>58.79%</t>
  </si>
  <si>
    <t>181.03%</t>
  </si>
  <si>
    <t>8.70 - 29.10</t>
  </si>
  <si>
    <t>2083.04%</t>
  </si>
  <si>
    <t>53.20%</t>
  </si>
  <si>
    <t>Trinity Capital Inc</t>
  </si>
  <si>
    <t>-24.37%</t>
  </si>
  <si>
    <t>34.02%</t>
  </si>
  <si>
    <t>28.19%</t>
  </si>
  <si>
    <t>82.88%</t>
  </si>
  <si>
    <t>54.66%</t>
  </si>
  <si>
    <t>12.50 - 16.82</t>
  </si>
  <si>
    <t>60.04%</t>
  </si>
  <si>
    <t>Shore Bancshares Inc</t>
  </si>
  <si>
    <t>57.44%</t>
  </si>
  <si>
    <t>11.47 - 17.67</t>
  </si>
  <si>
    <t>-45.98%</t>
  </si>
  <si>
    <t>327.67%</t>
  </si>
  <si>
    <t>Burke &amp; Herbert Financial Services Corp</t>
  </si>
  <si>
    <t>113.60%</t>
  </si>
  <si>
    <t>50.48%</t>
  </si>
  <si>
    <t>-17.15%</t>
  </si>
  <si>
    <t>47.57 - 75.32</t>
  </si>
  <si>
    <t>1696.65%</t>
  </si>
  <si>
    <t>Scansource, Inc</t>
  </si>
  <si>
    <t>-20.18%</t>
  </si>
  <si>
    <t>100.54%</t>
  </si>
  <si>
    <t>28.75 - 53.90</t>
  </si>
  <si>
    <t>3028.33%</t>
  </si>
  <si>
    <t>Belite Bio Inc ADR</t>
  </si>
  <si>
    <t>-777.09%</t>
  </si>
  <si>
    <t>56.75%</t>
  </si>
  <si>
    <t>43.70 - 86.53</t>
  </si>
  <si>
    <t>678.41%</t>
  </si>
  <si>
    <t>44.24%</t>
  </si>
  <si>
    <t>Proto Labs Inc</t>
  </si>
  <si>
    <t>-18.30%</t>
  </si>
  <si>
    <t>44.17%</t>
  </si>
  <si>
    <t>87.06%</t>
  </si>
  <si>
    <t>26.34 - 51.96</t>
  </si>
  <si>
    <t>-82.80%</t>
  </si>
  <si>
    <t>123.59%</t>
  </si>
  <si>
    <t>Movado Group, Inc</t>
  </si>
  <si>
    <t>172.31%</t>
  </si>
  <si>
    <t>-15.02%</t>
  </si>
  <si>
    <t>63.36%</t>
  </si>
  <si>
    <t>45.88%</t>
  </si>
  <si>
    <t>12.85 - 22.20</t>
  </si>
  <si>
    <t>-63.84%</t>
  </si>
  <si>
    <t>623.80%</t>
  </si>
  <si>
    <t>Strawberry Fields Reit Inc</t>
  </si>
  <si>
    <t>90.47%</t>
  </si>
  <si>
    <t>53.68%</t>
  </si>
  <si>
    <t>-6.01%</t>
  </si>
  <si>
    <t>8.70 - 12.90</t>
  </si>
  <si>
    <t>107.94%</t>
  </si>
  <si>
    <t>Trustmark Corp</t>
  </si>
  <si>
    <t>195.41%</t>
  </si>
  <si>
    <t>73.45%</t>
  </si>
  <si>
    <t>19.49%</t>
  </si>
  <si>
    <t>29.77 - 41.33</t>
  </si>
  <si>
    <t>2360.92%</t>
  </si>
  <si>
    <t>Macrogenics Inc</t>
  </si>
  <si>
    <t>303.47%</t>
  </si>
  <si>
    <t>-34.66%</t>
  </si>
  <si>
    <t>71.35%</t>
  </si>
  <si>
    <t>-21.99%</t>
  </si>
  <si>
    <t>-15.33%</t>
  </si>
  <si>
    <t>-66.86%</t>
  </si>
  <si>
    <t>70.77%</t>
  </si>
  <si>
    <t>0.99 - 5.10</t>
  </si>
  <si>
    <t>-43.67%</t>
  </si>
  <si>
    <t>Seaboard Corp</t>
  </si>
  <si>
    <t>58.55%</t>
  </si>
  <si>
    <t>2365.00 - 4038.54</t>
  </si>
  <si>
    <t>10962.12%</t>
  </si>
  <si>
    <t>Bankfinancial Corp</t>
  </si>
  <si>
    <t>-15.27%</t>
  </si>
  <si>
    <t>58.88%</t>
  </si>
  <si>
    <t>10.69 - 13.97</t>
  </si>
  <si>
    <t>133.83%</t>
  </si>
  <si>
    <t>Nordson Corp</t>
  </si>
  <si>
    <t>35.67%</t>
  </si>
  <si>
    <t>165.03 - 266.86</t>
  </si>
  <si>
    <t>-19.86%</t>
  </si>
  <si>
    <t>22289.81%</t>
  </si>
  <si>
    <t>Surrozen Inc</t>
  </si>
  <si>
    <t>329.73%</t>
  </si>
  <si>
    <t>38.15%</t>
  </si>
  <si>
    <t>91.32%</t>
  </si>
  <si>
    <t>-205.44%</t>
  </si>
  <si>
    <t>-274.42%</t>
  </si>
  <si>
    <t>97.54%</t>
  </si>
  <si>
    <t>5.90 - 18.17</t>
  </si>
  <si>
    <t>-94.45%</t>
  </si>
  <si>
    <t>159.00%</t>
  </si>
  <si>
    <t>Air T Inc</t>
  </si>
  <si>
    <t>6/5/2013</t>
  </si>
  <si>
    <t>62.09%</t>
  </si>
  <si>
    <t>14.56 - 26.70</t>
  </si>
  <si>
    <t>-45.18%</t>
  </si>
  <si>
    <t>11585.98%</t>
  </si>
  <si>
    <t>Deluxe Corp</t>
  </si>
  <si>
    <t>52.99%</t>
  </si>
  <si>
    <t>13.61 - 24.45</t>
  </si>
  <si>
    <t>-75.52%</t>
  </si>
  <si>
    <t>211.35%</t>
  </si>
  <si>
    <t>HilleVax Inc</t>
  </si>
  <si>
    <t>-166.47%</t>
  </si>
  <si>
    <t>1.34 - 2.17</t>
  </si>
  <si>
    <t>-91.44%</t>
  </si>
  <si>
    <t>18.08%</t>
  </si>
  <si>
    <t>Intellinetics Inc</t>
  </si>
  <si>
    <t>-13.59%</t>
  </si>
  <si>
    <t>-28.73%</t>
  </si>
  <si>
    <t>8.74 - 16.50</t>
  </si>
  <si>
    <t>-98.20%</t>
  </si>
  <si>
    <t>470.87%</t>
  </si>
  <si>
    <t>Swk Holdings Corp</t>
  </si>
  <si>
    <t>4/24/2025</t>
  </si>
  <si>
    <t>-18.76%</t>
  </si>
  <si>
    <t>87.18%</t>
  </si>
  <si>
    <t>92.67%</t>
  </si>
  <si>
    <t>61.17%</t>
  </si>
  <si>
    <t>38.42%</t>
  </si>
  <si>
    <t>11.99 - 16.23</t>
  </si>
  <si>
    <t>-99.89%</t>
  </si>
  <si>
    <t>310.83%</t>
  </si>
  <si>
    <t>Oragenics Inc</t>
  </si>
  <si>
    <t>42.39%</t>
  </si>
  <si>
    <t>-76.73%</t>
  </si>
  <si>
    <t>-93.31%</t>
  </si>
  <si>
    <t>1.01 - 18.90</t>
  </si>
  <si>
    <t>-68.77%</t>
  </si>
  <si>
    <t>-81.98%</t>
  </si>
  <si>
    <t>-90.83%</t>
  </si>
  <si>
    <t>CoreCard Corporation</t>
  </si>
  <si>
    <t>27.52%</t>
  </si>
  <si>
    <t>125.92%</t>
  </si>
  <si>
    <t>12.12 - 31.99</t>
  </si>
  <si>
    <t>-51.31%</t>
  </si>
  <si>
    <t>5442.26%</t>
  </si>
  <si>
    <t>79.08%</t>
  </si>
  <si>
    <t>Helius Medical Technologies Inc</t>
  </si>
  <si>
    <t>63.29%</t>
  </si>
  <si>
    <t>-50.34%</t>
  </si>
  <si>
    <t>-76.37%</t>
  </si>
  <si>
    <t>-98.31%</t>
  </si>
  <si>
    <t>-4918.64%</t>
  </si>
  <si>
    <t>-7215.25%</t>
  </si>
  <si>
    <t>-93.82%</t>
  </si>
  <si>
    <t>154.38%</t>
  </si>
  <si>
    <t>-98.86%</t>
  </si>
  <si>
    <t>5.37 - 1200.00</t>
  </si>
  <si>
    <t>29.48%</t>
  </si>
  <si>
    <t>-97.61%</t>
  </si>
  <si>
    <t>Skye Bioscience Inc</t>
  </si>
  <si>
    <t>48.21%</t>
  </si>
  <si>
    <t>-35.91%</t>
  </si>
  <si>
    <t>235.09%</t>
  </si>
  <si>
    <t>1.14 - 5.96</t>
  </si>
  <si>
    <t>80.19%</t>
  </si>
  <si>
    <t>Ares Commercial Real Estate Corp</t>
  </si>
  <si>
    <t>-27.60%</t>
  </si>
  <si>
    <t>-115.54%</t>
  </si>
  <si>
    <t>-127600.00%</t>
  </si>
  <si>
    <t>74.90%</t>
  </si>
  <si>
    <t>3.35 - 7.51</t>
  </si>
  <si>
    <t>-35.23%</t>
  </si>
  <si>
    <t>NeoVolta Inc</t>
  </si>
  <si>
    <t>45.44%</t>
  </si>
  <si>
    <t>52.64%</t>
  </si>
  <si>
    <t>609.44%</t>
  </si>
  <si>
    <t>-94.42%</t>
  </si>
  <si>
    <t>-96.68%</t>
  </si>
  <si>
    <t>30.68%</t>
  </si>
  <si>
    <t>-17.44%</t>
  </si>
  <si>
    <t>165.56%</t>
  </si>
  <si>
    <t>1.80 - 6.11</t>
  </si>
  <si>
    <t>662.97%</t>
  </si>
  <si>
    <t>95.90%</t>
  </si>
  <si>
    <t>Rhythm Pharmaceuticals Inc</t>
  </si>
  <si>
    <t>245.54%</t>
  </si>
  <si>
    <t>66.80%</t>
  </si>
  <si>
    <t>95.10%</t>
  </si>
  <si>
    <t>-113.53%</t>
  </si>
  <si>
    <t>-120.55%</t>
  </si>
  <si>
    <t>113.99%</t>
  </si>
  <si>
    <t>45.90 - 106.52</t>
  </si>
  <si>
    <t>3131.25%</t>
  </si>
  <si>
    <t>Avalonbay Communities Inc</t>
  </si>
  <si>
    <t>89.53%</t>
  </si>
  <si>
    <t>57.05%</t>
  </si>
  <si>
    <t>180.40 - 239.10</t>
  </si>
  <si>
    <t>-24.91%</t>
  </si>
  <si>
    <t>1097.09%</t>
  </si>
  <si>
    <t>Photronics, Inc</t>
  </si>
  <si>
    <t>24.77%</t>
  </si>
  <si>
    <t>-26.71%</t>
  </si>
  <si>
    <t>16.46 - 31.60</t>
  </si>
  <si>
    <t>-50.19%</t>
  </si>
  <si>
    <t>6918.18%</t>
  </si>
  <si>
    <t>AN2 Therapeutics Inc</t>
  </si>
  <si>
    <t>-41.25%</t>
  </si>
  <si>
    <t>37.31%</t>
  </si>
  <si>
    <t>-13.03%</t>
  </si>
  <si>
    <t>-26.27%</t>
  </si>
  <si>
    <t>26.67%</t>
  </si>
  <si>
    <t>0.98 - 1.67</t>
  </si>
  <si>
    <t>-94.76%</t>
  </si>
  <si>
    <t>REV Group Inc</t>
  </si>
  <si>
    <t>103.01%</t>
  </si>
  <si>
    <t>124.53%</t>
  </si>
  <si>
    <t>25.76 - 64.47</t>
  </si>
  <si>
    <t>1852.13%</t>
  </si>
  <si>
    <t>73.54%</t>
  </si>
  <si>
    <t>National Bankshares Inc</t>
  </si>
  <si>
    <t>122.09%</t>
  </si>
  <si>
    <t>27.85%</t>
  </si>
  <si>
    <t>23.75 - 32.89</t>
  </si>
  <si>
    <t>-37.48%</t>
  </si>
  <si>
    <t>314.73%</t>
  </si>
  <si>
    <t>Murphy USA Inc</t>
  </si>
  <si>
    <t>86.09%</t>
  </si>
  <si>
    <t>-12.91%</t>
  </si>
  <si>
    <t>-10.88%</t>
  </si>
  <si>
    <t>-30.43%</t>
  </si>
  <si>
    <t>345.23 - 561.08</t>
  </si>
  <si>
    <t>980.65%</t>
  </si>
  <si>
    <t>Northpointe Bancshares Inc</t>
  </si>
  <si>
    <t>11.43 - 18.85</t>
  </si>
  <si>
    <t>25.15%</t>
  </si>
  <si>
    <t>63.94%</t>
  </si>
  <si>
    <t>98.64%</t>
  </si>
  <si>
    <t>48.63 - 102.62</t>
  </si>
  <si>
    <t>226.02%</t>
  </si>
  <si>
    <t>106.37%</t>
  </si>
  <si>
    <t>98.44%</t>
  </si>
  <si>
    <t>47.30 - 99.63</t>
  </si>
  <si>
    <t>218.39%</t>
  </si>
  <si>
    <t>104.85%</t>
  </si>
  <si>
    <t>Chemed Corp</t>
  </si>
  <si>
    <t>96.96%</t>
  </si>
  <si>
    <t>-26.77%</t>
  </si>
  <si>
    <t>408.42 - 623.60</t>
  </si>
  <si>
    <t>-30.24%</t>
  </si>
  <si>
    <t>5194.77%</t>
  </si>
  <si>
    <t>Grove Collaborative Holdings Inc</t>
  </si>
  <si>
    <t>-18.44%</t>
  </si>
  <si>
    <t>-19.06%</t>
  </si>
  <si>
    <t>53.41%</t>
  </si>
  <si>
    <t>1.02 - 1.95</t>
  </si>
  <si>
    <t>-97.58%</t>
  </si>
  <si>
    <t>Thor Industries, Inc</t>
  </si>
  <si>
    <t>7/1/2025</t>
  </si>
  <si>
    <t>41.31%</t>
  </si>
  <si>
    <t>84.03%</t>
  </si>
  <si>
    <t>107.07%</t>
  </si>
  <si>
    <t>20.30%</t>
  </si>
  <si>
    <t>63.15 - 118.85</t>
  </si>
  <si>
    <t>-34.37%</t>
  </si>
  <si>
    <t>22127.37%</t>
  </si>
  <si>
    <t>TruBridge Inc</t>
  </si>
  <si>
    <t>113.63%</t>
  </si>
  <si>
    <t>81.57%</t>
  </si>
  <si>
    <t>44.66%</t>
  </si>
  <si>
    <t>-34.59%</t>
  </si>
  <si>
    <t>83.76%</t>
  </si>
  <si>
    <t>11.39 - 32.00</t>
  </si>
  <si>
    <t>-73.00%</t>
  </si>
  <si>
    <t>177.22%</t>
  </si>
  <si>
    <t>-26.64%</t>
  </si>
  <si>
    <t>Middlefield Banc Corp</t>
  </si>
  <si>
    <t>-9.00%</t>
  </si>
  <si>
    <t>22.74 - 34.00</t>
  </si>
  <si>
    <t>-16.38%</t>
  </si>
  <si>
    <t>321.38%</t>
  </si>
  <si>
    <t>ConnectOne Bancorp Inc</t>
  </si>
  <si>
    <t>68.70%</t>
  </si>
  <si>
    <t>20.61 - 29.31</t>
  </si>
  <si>
    <t>460.10%</t>
  </si>
  <si>
    <t>CareCloud Inc</t>
  </si>
  <si>
    <t>34.18%</t>
  </si>
  <si>
    <t>-15.71%</t>
  </si>
  <si>
    <t>-30.17%</t>
  </si>
  <si>
    <t>195.97%</t>
  </si>
  <si>
    <t>1.14 - 4.84</t>
  </si>
  <si>
    <t>-74.78%</t>
  </si>
  <si>
    <t>1065.52%</t>
  </si>
  <si>
    <t>40.25%</t>
  </si>
  <si>
    <t>128.38%</t>
  </si>
  <si>
    <t>Brag House Holdings Inc</t>
  </si>
  <si>
    <t>-97.95%</t>
  </si>
  <si>
    <t>-25.50%</t>
  </si>
  <si>
    <t>-78.59%</t>
  </si>
  <si>
    <t>186.54%</t>
  </si>
  <si>
    <t>0.52 - 6.96</t>
  </si>
  <si>
    <t>77.42%</t>
  </si>
  <si>
    <t>LendingTree Inc</t>
  </si>
  <si>
    <t>51.65%</t>
  </si>
  <si>
    <t>93.86%</t>
  </si>
  <si>
    <t>47.56%</t>
  </si>
  <si>
    <t>83.95%</t>
  </si>
  <si>
    <t>106.41%</t>
  </si>
  <si>
    <t>33.50 - 77.35</t>
  </si>
  <si>
    <t>-84.10%</t>
  </si>
  <si>
    <t>5066.51%</t>
  </si>
  <si>
    <t>87.14%</t>
  </si>
  <si>
    <t>Hanmi Financial Corp</t>
  </si>
  <si>
    <t>48.79%</t>
  </si>
  <si>
    <t>92.69%</t>
  </si>
  <si>
    <t>17.92 - 27.59</t>
  </si>
  <si>
    <t>314.83%</t>
  </si>
  <si>
    <t>Capitol Federal Financial</t>
  </si>
  <si>
    <t>117.00%</t>
  </si>
  <si>
    <t>-19.69%</t>
  </si>
  <si>
    <t>4.90 - 7.20</t>
  </si>
  <si>
    <t>-52.02%</t>
  </si>
  <si>
    <t>212.10%</t>
  </si>
  <si>
    <t>Nerdwallet Inc</t>
  </si>
  <si>
    <t>91.03%</t>
  </si>
  <si>
    <t>-34.10%</t>
  </si>
  <si>
    <t>43.58%</t>
  </si>
  <si>
    <t>7.55 - 16.45</t>
  </si>
  <si>
    <t>69.91%</t>
  </si>
  <si>
    <t>Dakota Gold Corp</t>
  </si>
  <si>
    <t>-242.79%</t>
  </si>
  <si>
    <t>38.55%</t>
  </si>
  <si>
    <t>120.73%</t>
  </si>
  <si>
    <t>2.05 - 5.15</t>
  </si>
  <si>
    <t>145.92%</t>
  </si>
  <si>
    <t>67.59%</t>
  </si>
  <si>
    <t>90.13%</t>
  </si>
  <si>
    <t>G-III Apparel Group Ltd</t>
  </si>
  <si>
    <t>-26.23%</t>
  </si>
  <si>
    <t>20.33 - 36.18</t>
  </si>
  <si>
    <t>-63.90%</t>
  </si>
  <si>
    <t>6305.19%</t>
  </si>
  <si>
    <t>Futurefuel Corp</t>
  </si>
  <si>
    <t>12/4/2025</t>
  </si>
  <si>
    <t>-29.37%</t>
  </si>
  <si>
    <t>-51.14%</t>
  </si>
  <si>
    <t>3.58 - 6.39</t>
  </si>
  <si>
    <t>235.12%</t>
  </si>
  <si>
    <t>RE/MAX Holdings Inc</t>
  </si>
  <si>
    <t>8/14/2023</t>
  </si>
  <si>
    <t>65.33%</t>
  </si>
  <si>
    <t>-33.26%</t>
  </si>
  <si>
    <t>6.90 - 14.31</t>
  </si>
  <si>
    <t>-85.85%</t>
  </si>
  <si>
    <t>Alaunos Therapeutics Inc</t>
  </si>
  <si>
    <t>62.43%</t>
  </si>
  <si>
    <t>-70.71%</t>
  </si>
  <si>
    <t>-3966.67%</t>
  </si>
  <si>
    <t>-67266.67%</t>
  </si>
  <si>
    <t>-66550.00%</t>
  </si>
  <si>
    <t>-36.55%</t>
  </si>
  <si>
    <t>49.70%</t>
  </si>
  <si>
    <t>-59.68%</t>
  </si>
  <si>
    <t>1.31 - 6.20</t>
  </si>
  <si>
    <t>64.47%</t>
  </si>
  <si>
    <t>-25.37%</t>
  </si>
  <si>
    <t>California BanCorp</t>
  </si>
  <si>
    <t>11.87 - 18.49</t>
  </si>
  <si>
    <t>257.89%</t>
  </si>
  <si>
    <t>Enpro Inc</t>
  </si>
  <si>
    <t>-26.08%</t>
  </si>
  <si>
    <t>133.50 - 231.94</t>
  </si>
  <si>
    <t>10200.93%</t>
  </si>
  <si>
    <t>Jacobs Solutions Inc</t>
  </si>
  <si>
    <t>89.41%</t>
  </si>
  <si>
    <t>106.23 - 152.40</t>
  </si>
  <si>
    <t>60437.44%</t>
  </si>
  <si>
    <t>Wesbanco, Inc</t>
  </si>
  <si>
    <t>62.10%</t>
  </si>
  <si>
    <t>72.64%</t>
  </si>
  <si>
    <t>26.42 - 37.36</t>
  </si>
  <si>
    <t>-37.31%</t>
  </si>
  <si>
    <t>291.66%</t>
  </si>
  <si>
    <t>PHINIA Inc</t>
  </si>
  <si>
    <t>103.73%</t>
  </si>
  <si>
    <t>36.25 - 59.88</t>
  </si>
  <si>
    <t>Sypris Solutions, Inc</t>
  </si>
  <si>
    <t>12/17/2014</t>
  </si>
  <si>
    <t>-500.00%</t>
  </si>
  <si>
    <t>-9.60%</t>
  </si>
  <si>
    <t>-42.16%</t>
  </si>
  <si>
    <t>65.51%</t>
  </si>
  <si>
    <t>1.30 - 3.72</t>
  </si>
  <si>
    <t>-94.88%</t>
  </si>
  <si>
    <t>497.67%</t>
  </si>
  <si>
    <t>Fidelity D&amp;D Bancorp, Inc</t>
  </si>
  <si>
    <t>-26.97%</t>
  </si>
  <si>
    <t>37.00 - 61.21</t>
  </si>
  <si>
    <t>-40.40%</t>
  </si>
  <si>
    <t>463.60%</t>
  </si>
  <si>
    <t>Heartland Express, Inc</t>
  </si>
  <si>
    <t>9/23/2025</t>
  </si>
  <si>
    <t>-16.42%</t>
  </si>
  <si>
    <t>-9.12%</t>
  </si>
  <si>
    <t>7.11 - 12.85</t>
  </si>
  <si>
    <t>-68.61%</t>
  </si>
  <si>
    <t>4579.19%</t>
  </si>
  <si>
    <t>-29.79%</t>
  </si>
  <si>
    <t>Trinseo PLC</t>
  </si>
  <si>
    <t>-76.47%</t>
  </si>
  <si>
    <t>-63.16%</t>
  </si>
  <si>
    <t>-52.18%</t>
  </si>
  <si>
    <t>-10.05%</t>
  </si>
  <si>
    <t>-14.75%</t>
  </si>
  <si>
    <t>-40.83%</t>
  </si>
  <si>
    <t>82.05%</t>
  </si>
  <si>
    <t>-20.58%</t>
  </si>
  <si>
    <t>1.90 - 7.05</t>
  </si>
  <si>
    <t>-97.02%</t>
  </si>
  <si>
    <t>-34.70%</t>
  </si>
  <si>
    <t>-49.40%</t>
  </si>
  <si>
    <t>Jakks Pacific Inc</t>
  </si>
  <si>
    <t>-19.87%</t>
  </si>
  <si>
    <t>117.14%</t>
  </si>
  <si>
    <t>16.24 - 35.79</t>
  </si>
  <si>
    <t>504.67%</t>
  </si>
  <si>
    <t>-28.97%</t>
  </si>
  <si>
    <t>Central Pacific Financial Corp</t>
  </si>
  <si>
    <t>52.88%</t>
  </si>
  <si>
    <t>-4.43%</t>
  </si>
  <si>
    <t>95.64%</t>
  </si>
  <si>
    <t>23.16 - 33.25</t>
  </si>
  <si>
    <t>-96.19%</t>
  </si>
  <si>
    <t>229.61%</t>
  </si>
  <si>
    <t>BayCom Corp</t>
  </si>
  <si>
    <t>22.22 - 30.96</t>
  </si>
  <si>
    <t>395.33%</t>
  </si>
  <si>
    <t>AerSale Corp</t>
  </si>
  <si>
    <t>-47.64%</t>
  </si>
  <si>
    <t>20.47%</t>
  </si>
  <si>
    <t>566.67%</t>
  </si>
  <si>
    <t>52.18%</t>
  </si>
  <si>
    <t>30.44%</t>
  </si>
  <si>
    <t>86.00%</t>
  </si>
  <si>
    <t>4.53 - 9.12</t>
  </si>
  <si>
    <t>-65.18%</t>
  </si>
  <si>
    <t>66.52%</t>
  </si>
  <si>
    <t>OSI Systems, Inc</t>
  </si>
  <si>
    <t>114.64%</t>
  </si>
  <si>
    <t>129.84 - 244.49</t>
  </si>
  <si>
    <t>8752.83%</t>
  </si>
  <si>
    <t>Solo Brands Inc</t>
  </si>
  <si>
    <t>-44.79%</t>
  </si>
  <si>
    <t>62.71%</t>
  </si>
  <si>
    <t>-29.87%</t>
  </si>
  <si>
    <t>-32.54%</t>
  </si>
  <si>
    <t>-20.41%</t>
  </si>
  <si>
    <t>-55.16%</t>
  </si>
  <si>
    <t>107.04%</t>
  </si>
  <si>
    <t>-77.29%</t>
  </si>
  <si>
    <t>1851.82%</t>
  </si>
  <si>
    <t>0.77 - 66.00</t>
  </si>
  <si>
    <t>-98.40%</t>
  </si>
  <si>
    <t>-75.35%</t>
  </si>
  <si>
    <t>Rain Enhancement Technologies Holdco Inc</t>
  </si>
  <si>
    <t>190.86%</t>
  </si>
  <si>
    <t>1.75 - 13.70</t>
  </si>
  <si>
    <t>163.73%</t>
  </si>
  <si>
    <t>Ralph Lauren Corp</t>
  </si>
  <si>
    <t>64.55%</t>
  </si>
  <si>
    <t>65.83%</t>
  </si>
  <si>
    <t>176.61 - 321.77</t>
  </si>
  <si>
    <t>2318.32%</t>
  </si>
  <si>
    <t>Independent Bank Corp</t>
  </si>
  <si>
    <t>50.46%</t>
  </si>
  <si>
    <t>52.15 - 77.23</t>
  </si>
  <si>
    <t>6934.50%</t>
  </si>
  <si>
    <t>FACT II Acquisition Corp</t>
  </si>
  <si>
    <t>74.13%</t>
  </si>
  <si>
    <t>9.85 - 10.33</t>
  </si>
  <si>
    <t>Karyopharm Therapeutics Inc</t>
  </si>
  <si>
    <t>27.56%</t>
  </si>
  <si>
    <t>28.85%</t>
  </si>
  <si>
    <t>96.14%</t>
  </si>
  <si>
    <t>-90.02%</t>
  </si>
  <si>
    <t>-21.28%</t>
  </si>
  <si>
    <t>-62.15%</t>
  </si>
  <si>
    <t>82.77%</t>
  </si>
  <si>
    <t>3.51 - 16.95</t>
  </si>
  <si>
    <t>-99.13%</t>
  </si>
  <si>
    <t>46.14%</t>
  </si>
  <si>
    <t>47.48%</t>
  </si>
  <si>
    <t>-39.19%</t>
  </si>
  <si>
    <t>Autozone Inc</t>
  </si>
  <si>
    <t>94.38%</t>
  </si>
  <si>
    <t>40.05%</t>
  </si>
  <si>
    <t>2980.10 - 4388.11</t>
  </si>
  <si>
    <t>63498.47%</t>
  </si>
  <si>
    <t>37.11%</t>
  </si>
  <si>
    <t>Lake Shore Bancorp Inc</t>
  </si>
  <si>
    <t>-3.41%</t>
  </si>
  <si>
    <t>9.60 - 13.48</t>
  </si>
  <si>
    <t>309.30%</t>
  </si>
  <si>
    <t>46.88%</t>
  </si>
  <si>
    <t>Pioneer Bancorp Inc</t>
  </si>
  <si>
    <t>141.41%</t>
  </si>
  <si>
    <t>10.60 - 13.65</t>
  </si>
  <si>
    <t>Ingram Micro Holding Corp</t>
  </si>
  <si>
    <t>44.35%</t>
  </si>
  <si>
    <t>14.25 - 25.69</t>
  </si>
  <si>
    <t>EGH Acquisition Corp</t>
  </si>
  <si>
    <t>9.93 - 10.39</t>
  </si>
  <si>
    <t>Landbridge Company LLC</t>
  </si>
  <si>
    <t>45.73%</t>
  </si>
  <si>
    <t>83.15%</t>
  </si>
  <si>
    <t>-73.61%</t>
  </si>
  <si>
    <t>89.94%</t>
  </si>
  <si>
    <t>47.77%</t>
  </si>
  <si>
    <t>-38.13%</t>
  </si>
  <si>
    <t>37.81 - 87.60</t>
  </si>
  <si>
    <t>189.04%</t>
  </si>
  <si>
    <t>-28.93%</t>
  </si>
  <si>
    <t>Reservoir Media Inc</t>
  </si>
  <si>
    <t>-19.32%</t>
  </si>
  <si>
    <t>-122.22%</t>
  </si>
  <si>
    <t>47.65%</t>
  </si>
  <si>
    <t>-19.74%</t>
  </si>
  <si>
    <t>6.56 - 9.83</t>
  </si>
  <si>
    <t>-31.87%</t>
  </si>
  <si>
    <t>BGSF Inc</t>
  </si>
  <si>
    <t>-24.36%</t>
  </si>
  <si>
    <t>-65.50%</t>
  </si>
  <si>
    <t>-575.00%</t>
  </si>
  <si>
    <t>31.14%</t>
  </si>
  <si>
    <t>34.13%</t>
  </si>
  <si>
    <t>137.08%</t>
  </si>
  <si>
    <t>2.91 - 9.06</t>
  </si>
  <si>
    <t>-76.68%</t>
  </si>
  <si>
    <t>Carver Bancorp Inc</t>
  </si>
  <si>
    <t>8/25/2010</t>
  </si>
  <si>
    <t>-123.97%</t>
  </si>
  <si>
    <t>-33.48%</t>
  </si>
  <si>
    <t>-39.48%</t>
  </si>
  <si>
    <t>44.72%</t>
  </si>
  <si>
    <t>79.23%</t>
  </si>
  <si>
    <t>1.30 - 3.85</t>
  </si>
  <si>
    <t>111.82%</t>
  </si>
  <si>
    <t>CSG Systems International Inc</t>
  </si>
  <si>
    <t>102.60%</t>
  </si>
  <si>
    <t>46.17 - 67.60</t>
  </si>
  <si>
    <t>805.88%</t>
  </si>
  <si>
    <t>Hippo Holdings Inc</t>
  </si>
  <si>
    <t>43.15%</t>
  </si>
  <si>
    <t>59.79%</t>
  </si>
  <si>
    <t>107.41%</t>
  </si>
  <si>
    <t>-2.52%</t>
  </si>
  <si>
    <t>41.10%</t>
  </si>
  <si>
    <t>121.88%</t>
  </si>
  <si>
    <t>15.74 - 38.98</t>
  </si>
  <si>
    <t>-90.72%</t>
  </si>
  <si>
    <t>425.56%</t>
  </si>
  <si>
    <t>92.41%</t>
  </si>
  <si>
    <t>Bristow Group Inc</t>
  </si>
  <si>
    <t>-19.84%</t>
  </si>
  <si>
    <t>97.75%</t>
  </si>
  <si>
    <t>25.11 - 39.31</t>
  </si>
  <si>
    <t>-63.75%</t>
  </si>
  <si>
    <t>258.76%</t>
  </si>
  <si>
    <t>First Interstate BancSystem Inc</t>
  </si>
  <si>
    <t>85.84%</t>
  </si>
  <si>
    <t>82.72%</t>
  </si>
  <si>
    <t>22.95 - 36.77</t>
  </si>
  <si>
    <t>-36.65%</t>
  </si>
  <si>
    <t>248.95%</t>
  </si>
  <si>
    <t>Quad/Graphics Inc</t>
  </si>
  <si>
    <t>53.93%</t>
  </si>
  <si>
    <t>-6.94%</t>
  </si>
  <si>
    <t>-9.82%</t>
  </si>
  <si>
    <t>41.97%</t>
  </si>
  <si>
    <t>-27.95%</t>
  </si>
  <si>
    <t>4.47 - 9.12</t>
  </si>
  <si>
    <t>228.75%</t>
  </si>
  <si>
    <t>ANI Pharmaceuticals Inc</t>
  </si>
  <si>
    <t>92.10%</t>
  </si>
  <si>
    <t>49.08%</t>
  </si>
  <si>
    <t>52.50 - 99.50</t>
  </si>
  <si>
    <t>-79.26%</t>
  </si>
  <si>
    <t>1844.44%</t>
  </si>
  <si>
    <t>42.49%</t>
  </si>
  <si>
    <t>59.49%</t>
  </si>
  <si>
    <t>Commercial Metals Co</t>
  </si>
  <si>
    <t>6/30/2025</t>
  </si>
  <si>
    <t>37.92 - 64.53</t>
  </si>
  <si>
    <t>7148.18%</t>
  </si>
  <si>
    <t>Heritage Financial Corp</t>
  </si>
  <si>
    <t>-23.10%</t>
  </si>
  <si>
    <t>85.41%</t>
  </si>
  <si>
    <t>23.74%</t>
  </si>
  <si>
    <t>19.84 - 27.58</t>
  </si>
  <si>
    <t>303.73%</t>
  </si>
  <si>
    <t>Qualys Inc</t>
  </si>
  <si>
    <t>-19.01%</t>
  </si>
  <si>
    <t>98.72%</t>
  </si>
  <si>
    <t>112.61 - 170.00</t>
  </si>
  <si>
    <t>-34.51%</t>
  </si>
  <si>
    <t>1231.43%</t>
  </si>
  <si>
    <t>Hawkins Inc</t>
  </si>
  <si>
    <t>71.87%</t>
  </si>
  <si>
    <t>98.30 - 185.50</t>
  </si>
  <si>
    <t>52694.01%</t>
  </si>
  <si>
    <t>44.98%</t>
  </si>
  <si>
    <t>Outdoor Holding Co</t>
  </si>
  <si>
    <t>-40.98%</t>
  </si>
  <si>
    <t>-70.67%</t>
  </si>
  <si>
    <t>166.67%</t>
  </si>
  <si>
    <t>-46.72%</t>
  </si>
  <si>
    <t>52.70%</t>
  </si>
  <si>
    <t>0.95 - 2.13</t>
  </si>
  <si>
    <t>-99.27%</t>
  </si>
  <si>
    <t>5718.00%</t>
  </si>
  <si>
    <t>Impact BioMedical Inc</t>
  </si>
  <si>
    <t>-166.64%</t>
  </si>
  <si>
    <t>-153.63%</t>
  </si>
  <si>
    <t>-16214.29%</t>
  </si>
  <si>
    <t>-59500.00%</t>
  </si>
  <si>
    <t>-549628.57%</t>
  </si>
  <si>
    <t>-89.47%</t>
  </si>
  <si>
    <t>0.36 - 6.17</t>
  </si>
  <si>
    <t>Precision Biosciences Inc</t>
  </si>
  <si>
    <t>-98.56%</t>
  </si>
  <si>
    <t>-42.00%</t>
  </si>
  <si>
    <t>37.61%</t>
  </si>
  <si>
    <t>-151.31%</t>
  </si>
  <si>
    <t>-7145.92%</t>
  </si>
  <si>
    <t>-6205.79%</t>
  </si>
  <si>
    <t>3.61 - 9.81</t>
  </si>
  <si>
    <t>-99.30%</t>
  </si>
  <si>
    <t>-46.25%</t>
  </si>
  <si>
    <t>Legacy Housing Corp</t>
  </si>
  <si>
    <t>21.58 - 29.45</t>
  </si>
  <si>
    <t>220.65%</t>
  </si>
  <si>
    <t>Commvault Systems Inc</t>
  </si>
  <si>
    <t>25.51%</t>
  </si>
  <si>
    <t>46.20%</t>
  </si>
  <si>
    <t>128.07 - 200.68</t>
  </si>
  <si>
    <t>2447.48%</t>
  </si>
  <si>
    <t>Madrigal Pharmaceuticals Inc</t>
  </si>
  <si>
    <t>3421.98%</t>
  </si>
  <si>
    <t>1353.76%</t>
  </si>
  <si>
    <t>46.54%</t>
  </si>
  <si>
    <t>106.67%</t>
  </si>
  <si>
    <t>96.01%</t>
  </si>
  <si>
    <t>-60.09%</t>
  </si>
  <si>
    <t>47.60%</t>
  </si>
  <si>
    <t>110.73%</t>
  </si>
  <si>
    <t>200.63 - 457.16</t>
  </si>
  <si>
    <t>7953.08%</t>
  </si>
  <si>
    <t>CryoPort Inc</t>
  </si>
  <si>
    <t>46.42%</t>
  </si>
  <si>
    <t>-21.08%</t>
  </si>
  <si>
    <t>878.58%</t>
  </si>
  <si>
    <t>-18.85%</t>
  </si>
  <si>
    <t>92.25%</t>
  </si>
  <si>
    <t>38.50%</t>
  </si>
  <si>
    <t>4.58 - 10.46</t>
  </si>
  <si>
    <t>-98.78%</t>
  </si>
  <si>
    <t>809.25%</t>
  </si>
  <si>
    <t>50.10%</t>
  </si>
  <si>
    <t>Comscore Inc</t>
  </si>
  <si>
    <t>31.98%</t>
  </si>
  <si>
    <t>-508.05%</t>
  </si>
  <si>
    <t>-10.51%</t>
  </si>
  <si>
    <t>-28.03%</t>
  </si>
  <si>
    <t>4.39 - 8.99</t>
  </si>
  <si>
    <t>-99.50%</t>
  </si>
  <si>
    <t>Data io Corp</t>
  </si>
  <si>
    <t>-73.34%</t>
  </si>
  <si>
    <t>75.53%</t>
  </si>
  <si>
    <t>1.88 - 3.57</t>
  </si>
  <si>
    <t>704.88%</t>
  </si>
  <si>
    <t>StoneX Group Inc</t>
  </si>
  <si>
    <t>27.70%</t>
  </si>
  <si>
    <t>28.68%</t>
  </si>
  <si>
    <t>82.01%</t>
  </si>
  <si>
    <t>82.29%</t>
  </si>
  <si>
    <t>53.21 - 106.98</t>
  </si>
  <si>
    <t>48399.95%</t>
  </si>
  <si>
    <t>76.32%</t>
  </si>
  <si>
    <t>United Rentals, Inc</t>
  </si>
  <si>
    <t>36.38%</t>
  </si>
  <si>
    <t>525.91 - 980.53</t>
  </si>
  <si>
    <t>37227.28%</t>
  </si>
  <si>
    <t>24.98%</t>
  </si>
  <si>
    <t>Kearny Financial Corp</t>
  </si>
  <si>
    <t>105.82%</t>
  </si>
  <si>
    <t>65.24%</t>
  </si>
  <si>
    <t>5.45 - 8.59</t>
  </si>
  <si>
    <t>-58.49%</t>
  </si>
  <si>
    <t>Glen Burnie Bancorp</t>
  </si>
  <si>
    <t>7/22/2024</t>
  </si>
  <si>
    <t>-35.34%</t>
  </si>
  <si>
    <t>3.89 - 6.99</t>
  </si>
  <si>
    <t>-75.56%</t>
  </si>
  <si>
    <t>NI Holdings Inc</t>
  </si>
  <si>
    <t>-13.38%</t>
  </si>
  <si>
    <t>12.01 - 17.24</t>
  </si>
  <si>
    <t>-36.12%</t>
  </si>
  <si>
    <t>33.50%</t>
  </si>
  <si>
    <t>Conduent Inc</t>
  </si>
  <si>
    <t>-42.57%</t>
  </si>
  <si>
    <t>1.90 - 4.90</t>
  </si>
  <si>
    <t>-87.97%</t>
  </si>
  <si>
    <t>Johnson Outdoors Inc</t>
  </si>
  <si>
    <t>212.50%</t>
  </si>
  <si>
    <t>89.17%</t>
  </si>
  <si>
    <t>21.33 - 42.88</t>
  </si>
  <si>
    <t>-73.83%</t>
  </si>
  <si>
    <t>937.27%</t>
  </si>
  <si>
    <t>Astria Therapeutics Inc</t>
  </si>
  <si>
    <t>82.82%</t>
  </si>
  <si>
    <t>-42.07%</t>
  </si>
  <si>
    <t>103.94%</t>
  </si>
  <si>
    <t>3.56 - 12.52</t>
  </si>
  <si>
    <t>207.20%</t>
  </si>
  <si>
    <t>Aclarion Inc</t>
  </si>
  <si>
    <t>60.35%</t>
  </si>
  <si>
    <t>-21.68%</t>
  </si>
  <si>
    <t>-359.97%</t>
  </si>
  <si>
    <t>-10056.73%</t>
  </si>
  <si>
    <t>-11215.90%</t>
  </si>
  <si>
    <t>-95.90%</t>
  </si>
  <si>
    <t>27.26%</t>
  </si>
  <si>
    <t>6.20 - 3499.51</t>
  </si>
  <si>
    <t>Tidewater Inc</t>
  </si>
  <si>
    <t>12/1/2010</t>
  </si>
  <si>
    <t>178.84%</t>
  </si>
  <si>
    <t>31.17 - 74.57</t>
  </si>
  <si>
    <t>-97.70%</t>
  </si>
  <si>
    <t>1313.80%</t>
  </si>
  <si>
    <t>-25.27%</t>
  </si>
  <si>
    <t>Pioneer Acquisition I Corp</t>
  </si>
  <si>
    <t>9.94 - 10.00</t>
  </si>
  <si>
    <t>Calix Inc</t>
  </si>
  <si>
    <t>67.58%</t>
  </si>
  <si>
    <t>113.93%</t>
  </si>
  <si>
    <t>28.60 - 64.30</t>
  </si>
  <si>
    <t>1339.88%</t>
  </si>
  <si>
    <t>70.46%</t>
  </si>
  <si>
    <t>55.67%</t>
  </si>
  <si>
    <t>Nutriband Inc</t>
  </si>
  <si>
    <t>-18.10%</t>
  </si>
  <si>
    <t>41.99%</t>
  </si>
  <si>
    <t>40.56%</t>
  </si>
  <si>
    <t>-264.04%</t>
  </si>
  <si>
    <t>-1244.44%</t>
  </si>
  <si>
    <t>88.86%</t>
  </si>
  <si>
    <t>3.72 - 11.78</t>
  </si>
  <si>
    <t>-83.85%</t>
  </si>
  <si>
    <t>720.17%</t>
  </si>
  <si>
    <t>MSCI Inc</t>
  </si>
  <si>
    <t>20.70%</t>
  </si>
  <si>
    <t>94.03%</t>
  </si>
  <si>
    <t>75.78%</t>
  </si>
  <si>
    <t>486.73 - 642.45</t>
  </si>
  <si>
    <t>5065.78%</t>
  </si>
  <si>
    <t>Repligen Corp</t>
  </si>
  <si>
    <t>97.92%</t>
  </si>
  <si>
    <t>46.16%</t>
  </si>
  <si>
    <t>-32.65%</t>
  </si>
  <si>
    <t>102.96 - 182.52</t>
  </si>
  <si>
    <t>24485.00%</t>
  </si>
  <si>
    <t>Gyrodyne LLC</t>
  </si>
  <si>
    <t>6/23/2017</t>
  </si>
  <si>
    <t>6.80 - 12.00</t>
  </si>
  <si>
    <t>-92.68%</t>
  </si>
  <si>
    <t>350.24%</t>
  </si>
  <si>
    <t>Green Dot Corp</t>
  </si>
  <si>
    <t>82.53%</t>
  </si>
  <si>
    <t>129.31%</t>
  </si>
  <si>
    <t>6.12 - 15.41</t>
  </si>
  <si>
    <t>-84.90%</t>
  </si>
  <si>
    <t>Westamerica Bancorporation</t>
  </si>
  <si>
    <t>33.88%</t>
  </si>
  <si>
    <t>12.80%</t>
  </si>
  <si>
    <t>78.75%</t>
  </si>
  <si>
    <t>59.37%</t>
  </si>
  <si>
    <t>43.69%</t>
  </si>
  <si>
    <t>42.00 - 59.97</t>
  </si>
  <si>
    <t>1950.97%</t>
  </si>
  <si>
    <t>Pennant Group Inc</t>
  </si>
  <si>
    <t>30.08%</t>
  </si>
  <si>
    <t>89.45%</t>
  </si>
  <si>
    <t>21.18 - 36.20</t>
  </si>
  <si>
    <t>-64.12%</t>
  </si>
  <si>
    <t>305.84%</t>
  </si>
  <si>
    <t>-32.32%</t>
  </si>
  <si>
    <t>Arena Group Holdings Inc</t>
  </si>
  <si>
    <t>-22.89%</t>
  </si>
  <si>
    <t>65.59%</t>
  </si>
  <si>
    <t>-36.77%</t>
  </si>
  <si>
    <t>1028.57%</t>
  </si>
  <si>
    <t>0.56 - 10.05</t>
  </si>
  <si>
    <t>-96.35%</t>
  </si>
  <si>
    <t>23009.09%</t>
  </si>
  <si>
    <t>263.14%</t>
  </si>
  <si>
    <t>683.60%</t>
  </si>
  <si>
    <t>Conifer Holdings Inc</t>
  </si>
  <si>
    <t>-37.38%</t>
  </si>
  <si>
    <t>-13.88%</t>
  </si>
  <si>
    <t>-44.34%</t>
  </si>
  <si>
    <t>195.56%</t>
  </si>
  <si>
    <t>0.42 - 2.21</t>
  </si>
  <si>
    <t>-88.77%</t>
  </si>
  <si>
    <t>ClearOne Inc</t>
  </si>
  <si>
    <t>4/11/2024</t>
  </si>
  <si>
    <t>-119.87%</t>
  </si>
  <si>
    <t>-120.46%</t>
  </si>
  <si>
    <t>-32.25%</t>
  </si>
  <si>
    <t>-43.11%</t>
  </si>
  <si>
    <t>-75.62%</t>
  </si>
  <si>
    <t>3.83 - 21.00</t>
  </si>
  <si>
    <t>-96.36%</t>
  </si>
  <si>
    <t>885.44%</t>
  </si>
  <si>
    <t>-48.71%</t>
  </si>
  <si>
    <t>-42.15%</t>
  </si>
  <si>
    <t>Ardent Health Inc</t>
  </si>
  <si>
    <t>129.99%</t>
  </si>
  <si>
    <t>97.58%</t>
  </si>
  <si>
    <t>-36.91%</t>
  </si>
  <si>
    <t>10.10 - 20.72</t>
  </si>
  <si>
    <t>-32.45%</t>
  </si>
  <si>
    <t>HireQuest Inc</t>
  </si>
  <si>
    <t>90.98%</t>
  </si>
  <si>
    <t>-12.00%</t>
  </si>
  <si>
    <t>91.22%</t>
  </si>
  <si>
    <t>27.35%</t>
  </si>
  <si>
    <t>-36.89%</t>
  </si>
  <si>
    <t>8.94 - 15.75</t>
  </si>
  <si>
    <t>-90.64%</t>
  </si>
  <si>
    <t>1556.67%</t>
  </si>
  <si>
    <t>-26.04%</t>
  </si>
  <si>
    <t>John Marshall Bancorp Inc</t>
  </si>
  <si>
    <t>6/27/2025</t>
  </si>
  <si>
    <t>13.81 - 26.52</t>
  </si>
  <si>
    <t>-32.10%</t>
  </si>
  <si>
    <t>126.29%</t>
  </si>
  <si>
    <t>Dolphin Entertainment Inc</t>
  </si>
  <si>
    <t>-160.00%</t>
  </si>
  <si>
    <t>-28.65%</t>
  </si>
  <si>
    <t>0.75 - 1.78</t>
  </si>
  <si>
    <t>Heico Corp</t>
  </si>
  <si>
    <t>42.23%</t>
  </si>
  <si>
    <t>174.82 - 264.71</t>
  </si>
  <si>
    <t>24875.99%</t>
  </si>
  <si>
    <t>Bel Fuse Inc</t>
  </si>
  <si>
    <t>78.66%</t>
  </si>
  <si>
    <t>145.54%</t>
  </si>
  <si>
    <t>57.99 - 152.45</t>
  </si>
  <si>
    <t>2549.30%</t>
  </si>
  <si>
    <t>84.22%</t>
  </si>
  <si>
    <t>81.47%</t>
  </si>
  <si>
    <t>Amesite Inc</t>
  </si>
  <si>
    <t>-68.50%</t>
  </si>
  <si>
    <t>-37.22%</t>
  </si>
  <si>
    <t>62.08%</t>
  </si>
  <si>
    <t>-446.63%</t>
  </si>
  <si>
    <t>-4792.27%</t>
  </si>
  <si>
    <t>-4693.33%</t>
  </si>
  <si>
    <t>-49.78%</t>
  </si>
  <si>
    <t>57.50%</t>
  </si>
  <si>
    <t>2.00 - 6.27</t>
  </si>
  <si>
    <t>-97.10%</t>
  </si>
  <si>
    <t>101.92%</t>
  </si>
  <si>
    <t>26.51%</t>
  </si>
  <si>
    <t>Stellar V Capital Corp</t>
  </si>
  <si>
    <t>58.73%</t>
  </si>
  <si>
    <t>9.95 - 10.39</t>
  </si>
  <si>
    <t>Lakeland Industries, Inc</t>
  </si>
  <si>
    <t>39.13%</t>
  </si>
  <si>
    <t>497.94%</t>
  </si>
  <si>
    <t>79.28%</t>
  </si>
  <si>
    <t>-45.34%</t>
  </si>
  <si>
    <t>12.76 - 27.28</t>
  </si>
  <si>
    <t>2810.63%</t>
  </si>
  <si>
    <t>-27.48%</t>
  </si>
  <si>
    <t>Castle Biosciences Inc</t>
  </si>
  <si>
    <t>52.25%</t>
  </si>
  <si>
    <t>44.97%</t>
  </si>
  <si>
    <t>69.73%</t>
  </si>
  <si>
    <t>-36.64%</t>
  </si>
  <si>
    <t>14.59 - 35.84</t>
  </si>
  <si>
    <t>-78.91%</t>
  </si>
  <si>
    <t>145.22%</t>
  </si>
  <si>
    <t>Kolibri Global Energy Inc</t>
  </si>
  <si>
    <t>-44.94%</t>
  </si>
  <si>
    <t>57.53%</t>
  </si>
  <si>
    <t>46.72%</t>
  </si>
  <si>
    <t>-42.21%</t>
  </si>
  <si>
    <t>96.39%</t>
  </si>
  <si>
    <t>2.91 - 9.89</t>
  </si>
  <si>
    <t>-92.06%</t>
  </si>
  <si>
    <t>2845.88%</t>
  </si>
  <si>
    <t>-29.96%</t>
  </si>
  <si>
    <t>87.99%</t>
  </si>
  <si>
    <t>FrontView REIT Inc</t>
  </si>
  <si>
    <t>-647.66%</t>
  </si>
  <si>
    <t>75.71%</t>
  </si>
  <si>
    <t>-31.66%</t>
  </si>
  <si>
    <t>-31.98%</t>
  </si>
  <si>
    <t>10.61 - 19.76</t>
  </si>
  <si>
    <t>Cato Corp</t>
  </si>
  <si>
    <t>9/16/2024</t>
  </si>
  <si>
    <t>-13.94%</t>
  </si>
  <si>
    <t>93.15%</t>
  </si>
  <si>
    <t>2.19 - 6.70</t>
  </si>
  <si>
    <t>1870.20%</t>
  </si>
  <si>
    <t>Mesa Air Group Inc</t>
  </si>
  <si>
    <t>-43.66%</t>
  </si>
  <si>
    <t>92.36%</t>
  </si>
  <si>
    <t>0.68 - 1.43</t>
  </si>
  <si>
    <t>227.50%</t>
  </si>
  <si>
    <t>Ducommun Inc</t>
  </si>
  <si>
    <t>2/16/2011</t>
  </si>
  <si>
    <t>-42.55%</t>
  </si>
  <si>
    <t>51.76 - 96.49</t>
  </si>
  <si>
    <t>15851.43%</t>
  </si>
  <si>
    <t>55.45%</t>
  </si>
  <si>
    <t>Hawthorn Bancshares Inc</t>
  </si>
  <si>
    <t>21.35 - 35.95</t>
  </si>
  <si>
    <t>827.15%</t>
  </si>
  <si>
    <t>Whitehawk Therapeutics Inc</t>
  </si>
  <si>
    <t>42.52%</t>
  </si>
  <si>
    <t>-192.12%</t>
  </si>
  <si>
    <t>89.03%</t>
  </si>
  <si>
    <t>-461.62%</t>
  </si>
  <si>
    <t>-48.24%</t>
  </si>
  <si>
    <t>1.39 - 3.81</t>
  </si>
  <si>
    <t>-98.13%</t>
  </si>
  <si>
    <t>56.20%</t>
  </si>
  <si>
    <t>Nuveen Multi-Asset Income Fund</t>
  </si>
  <si>
    <t>72.01%</t>
  </si>
  <si>
    <t>154.40%</t>
  </si>
  <si>
    <t>10.21 - 13.39</t>
  </si>
  <si>
    <t>-30.81%</t>
  </si>
  <si>
    <t>Fennec Pharmaceuticals Inc</t>
  </si>
  <si>
    <t>71.16%</t>
  </si>
  <si>
    <t>-31.88%</t>
  </si>
  <si>
    <t>-223.53%</t>
  </si>
  <si>
    <t>53.27%</t>
  </si>
  <si>
    <t>89.89%</t>
  </si>
  <si>
    <t>-29.06%</t>
  </si>
  <si>
    <t>123.48%</t>
  </si>
  <si>
    <t>3.96 - 9.42</t>
  </si>
  <si>
    <t>-92.88%</t>
  </si>
  <si>
    <t>2983.62%</t>
  </si>
  <si>
    <t>37.00%</t>
  </si>
  <si>
    <t>79.15%</t>
  </si>
  <si>
    <t>ESH Acquisition Corp</t>
  </si>
  <si>
    <t>10.57 - 12.80</t>
  </si>
  <si>
    <t>13.37%</t>
  </si>
  <si>
    <t>Selective Insurance Group Inc</t>
  </si>
  <si>
    <t>71.75 - 103.56</t>
  </si>
  <si>
    <t>-27.54%</t>
  </si>
  <si>
    <t>3788.92%</t>
  </si>
  <si>
    <t>Linkbancorp Inc</t>
  </si>
  <si>
    <t>160.62%</t>
  </si>
  <si>
    <t>79.77%</t>
  </si>
  <si>
    <t>33.63%</t>
  </si>
  <si>
    <t>6.09 - 7.98</t>
  </si>
  <si>
    <t>Kimball Electronics Inc</t>
  </si>
  <si>
    <t>77.31%</t>
  </si>
  <si>
    <t>51.36%</t>
  </si>
  <si>
    <t>138.92%</t>
  </si>
  <si>
    <t>12.41 - 33.19</t>
  </si>
  <si>
    <t>471.29%</t>
  </si>
  <si>
    <t>Onfolio Holdings Inc</t>
  </si>
  <si>
    <t>78.36%</t>
  </si>
  <si>
    <t>79.86%</t>
  </si>
  <si>
    <t>-41.28%</t>
  </si>
  <si>
    <t>88.94%</t>
  </si>
  <si>
    <t>0.61 - 1.95</t>
  </si>
  <si>
    <t>-68.72%</t>
  </si>
  <si>
    <t>194.42%</t>
  </si>
  <si>
    <t>Encore Capital Group, Inc</t>
  </si>
  <si>
    <t>106.58%</t>
  </si>
  <si>
    <t>-15.37%</t>
  </si>
  <si>
    <t>65.64%</t>
  </si>
  <si>
    <t>26.45 - 51.77</t>
  </si>
  <si>
    <t>-39.76%</t>
  </si>
  <si>
    <t>34949.12%</t>
  </si>
  <si>
    <t>Exodus Movement Inc</t>
  </si>
  <si>
    <t>71.13%</t>
  </si>
  <si>
    <t>833.33%</t>
  </si>
  <si>
    <t>57.24%</t>
  </si>
  <si>
    <t>73.05%</t>
  </si>
  <si>
    <t>14.77 - 117.40</t>
  </si>
  <si>
    <t>2841.87%</t>
  </si>
  <si>
    <t>Marine Petroleum Trust</t>
  </si>
  <si>
    <t>101.81%</t>
  </si>
  <si>
    <t>64.03%</t>
  </si>
  <si>
    <t>-39.78%</t>
  </si>
  <si>
    <t>42.51%</t>
  </si>
  <si>
    <t>3.34 - 7.90</t>
  </si>
  <si>
    <t>-89.42%</t>
  </si>
  <si>
    <t>371.29%</t>
  </si>
  <si>
    <t>Suburban Propane Partners LP</t>
  </si>
  <si>
    <t>113.65%</t>
  </si>
  <si>
    <t>-16.19%</t>
  </si>
  <si>
    <t>16.92 - 22.24</t>
  </si>
  <si>
    <t>-68.40%</t>
  </si>
  <si>
    <t>115.74%</t>
  </si>
  <si>
    <t>Cooper-Standard Holdings Inc</t>
  </si>
  <si>
    <t>38.14%</t>
  </si>
  <si>
    <t>207.91%</t>
  </si>
  <si>
    <t>253.25%</t>
  </si>
  <si>
    <t>10.38 - 40.67</t>
  </si>
  <si>
    <t>-75.03%</t>
  </si>
  <si>
    <t>939.72%</t>
  </si>
  <si>
    <t>168.30%</t>
  </si>
  <si>
    <t>Citizens Community Bancorp Inc MD</t>
  </si>
  <si>
    <t>2/7/2025</t>
  </si>
  <si>
    <t>56.02%</t>
  </si>
  <si>
    <t>12.69 - 17.04</t>
  </si>
  <si>
    <t>442.69%</t>
  </si>
  <si>
    <t>216.68 - 338.92</t>
  </si>
  <si>
    <t>203067.09%</t>
  </si>
  <si>
    <t>Green Brick Partners Inc</t>
  </si>
  <si>
    <t>48.78%</t>
  </si>
  <si>
    <t>77.70%</t>
  </si>
  <si>
    <t>-15.54%</t>
  </si>
  <si>
    <t>50.57 - 84.66</t>
  </si>
  <si>
    <t>9595.29%</t>
  </si>
  <si>
    <t>Infinity Natural Resources Inc</t>
  </si>
  <si>
    <t>22.82%</t>
  </si>
  <si>
    <t>-30.42%</t>
  </si>
  <si>
    <t>92.46%</t>
  </si>
  <si>
    <t>-14.03%</t>
  </si>
  <si>
    <t>-11.17%</t>
  </si>
  <si>
    <t>-38.48%</t>
  </si>
  <si>
    <t>12.55 - 23.00</t>
  </si>
  <si>
    <t>Regenxbio Inc</t>
  </si>
  <si>
    <t>-43.84%</t>
  </si>
  <si>
    <t>72.27%</t>
  </si>
  <si>
    <t>-105.66%</t>
  </si>
  <si>
    <t>-112.70%</t>
  </si>
  <si>
    <t>85.80%</t>
  </si>
  <si>
    <t>5.03 - 12.22</t>
  </si>
  <si>
    <t>-89.01%</t>
  </si>
  <si>
    <t>Blue Bird Corp</t>
  </si>
  <si>
    <t>-27.24%</t>
  </si>
  <si>
    <t>93.06%</t>
  </si>
  <si>
    <t>30.04 - 61.95</t>
  </si>
  <si>
    <t>712.82%</t>
  </si>
  <si>
    <t>Tile Shop Hldgs Inc</t>
  </si>
  <si>
    <t>11/18/2021</t>
  </si>
  <si>
    <t>-43.23%</t>
  </si>
  <si>
    <t>4.62 - 7.75</t>
  </si>
  <si>
    <t>-77.06%</t>
  </si>
  <si>
    <t>6984.11%</t>
  </si>
  <si>
    <t>NWPX Infrastructure Inc</t>
  </si>
  <si>
    <t>43.06%</t>
  </si>
  <si>
    <t>26.97%</t>
  </si>
  <si>
    <t>87.20%</t>
  </si>
  <si>
    <t>36.97 - 57.76</t>
  </si>
  <si>
    <t>-20.19%</t>
  </si>
  <si>
    <t>696.63%</t>
  </si>
  <si>
    <t>22.68%</t>
  </si>
  <si>
    <t>Nine Energy Service Inc</t>
  </si>
  <si>
    <t>-12.78%</t>
  </si>
  <si>
    <t>-17.25%</t>
  </si>
  <si>
    <t>28.88%</t>
  </si>
  <si>
    <t>-63.06%</t>
  </si>
  <si>
    <t>0.44 - 1.87</t>
  </si>
  <si>
    <t>81.79%</t>
  </si>
  <si>
    <t>-44.29%</t>
  </si>
  <si>
    <t>-41.95%</t>
  </si>
  <si>
    <t>Western New England Bancorp Inc</t>
  </si>
  <si>
    <t>60.50%</t>
  </si>
  <si>
    <t>25.61%</t>
  </si>
  <si>
    <t>7.63 - 12.80</t>
  </si>
  <si>
    <t>289.56%</t>
  </si>
  <si>
    <t>Tectonic Financial Inc. - FXDFR PRF PERPETUAL USD 10 - Ser B</t>
  </si>
  <si>
    <t>9.95 - 12.08</t>
  </si>
  <si>
    <t>60.74%</t>
  </si>
  <si>
    <t>High Roller Technologies Inc</t>
  </si>
  <si>
    <t>57.69%</t>
  </si>
  <si>
    <t>41.12%</t>
  </si>
  <si>
    <t>-64.30%</t>
  </si>
  <si>
    <t>1.82 - 8.46</t>
  </si>
  <si>
    <t>Brookfield Infrastructure Corp</t>
  </si>
  <si>
    <t>-309.43%</t>
  </si>
  <si>
    <t>62.53%</t>
  </si>
  <si>
    <t>-33.28%</t>
  </si>
  <si>
    <t>32.08 - 45.29</t>
  </si>
  <si>
    <t>Eagle Bancorp Montana Inc</t>
  </si>
  <si>
    <t>45.38%</t>
  </si>
  <si>
    <t>14.35 - 18.49</t>
  </si>
  <si>
    <t>725.31%</t>
  </si>
  <si>
    <t>Forian Inc</t>
  </si>
  <si>
    <t>-22.96%</t>
  </si>
  <si>
    <t>-13.23%</t>
  </si>
  <si>
    <t>1.64 - 4.03</t>
  </si>
  <si>
    <t>1600.00%</t>
  </si>
  <si>
    <t>11.06%</t>
  </si>
  <si>
    <t>Taylor Devices Inc</t>
  </si>
  <si>
    <t>64.93%</t>
  </si>
  <si>
    <t>46.40%</t>
  </si>
  <si>
    <t>29.50 - 63.50</t>
  </si>
  <si>
    <t>19344.00%</t>
  </si>
  <si>
    <t>52.33%</t>
  </si>
  <si>
    <t>-21.19%</t>
  </si>
  <si>
    <t>Alchemy Investments Acquisition Corp 1</t>
  </si>
  <si>
    <t>10.25 - 13.14</t>
  </si>
  <si>
    <t>Global Water Resources Inc</t>
  </si>
  <si>
    <t>126.45%</t>
  </si>
  <si>
    <t>-28.43%</t>
  </si>
  <si>
    <t>9.27 - 13.98</t>
  </si>
  <si>
    <t>60.59%</t>
  </si>
  <si>
    <t>Lyell Immunopharma Inc</t>
  </si>
  <si>
    <t>-37.83%</t>
  </si>
  <si>
    <t>-27036.67%</t>
  </si>
  <si>
    <t>-360958.33%</t>
  </si>
  <si>
    <t>-552328.33%</t>
  </si>
  <si>
    <t>-60.53%</t>
  </si>
  <si>
    <t>7.65 - 32.00</t>
  </si>
  <si>
    <t>-96.82%</t>
  </si>
  <si>
    <t>-56.75%</t>
  </si>
  <si>
    <t>Postal Realty Trust Inc</t>
  </si>
  <si>
    <t>450.92%</t>
  </si>
  <si>
    <t>58.52%</t>
  </si>
  <si>
    <t>68.96%</t>
  </si>
  <si>
    <t>30.75%</t>
  </si>
  <si>
    <t>12.26 - 16.50</t>
  </si>
  <si>
    <t>GBank Financial Holdings Inc</t>
  </si>
  <si>
    <t>104.14%</t>
  </si>
  <si>
    <t>19.84 - 46.00</t>
  </si>
  <si>
    <t>419.26%</t>
  </si>
  <si>
    <t>92.96%</t>
  </si>
  <si>
    <t>Acco Brands Corporation</t>
  </si>
  <si>
    <t>81.64%</t>
  </si>
  <si>
    <t>-4.84%</t>
  </si>
  <si>
    <t>-37.00%</t>
  </si>
  <si>
    <t>3.32 - 6.43</t>
  </si>
  <si>
    <t>-90.46%</t>
  </si>
  <si>
    <t>523.69%</t>
  </si>
  <si>
    <t>-25.06%</t>
  </si>
  <si>
    <t>USA Compression Partners LP</t>
  </si>
  <si>
    <t>293.13%</t>
  </si>
  <si>
    <t>31.47%</t>
  </si>
  <si>
    <t>21.24 - 30.10</t>
  </si>
  <si>
    <t>585.51%</t>
  </si>
  <si>
    <t>-10.73%</t>
  </si>
  <si>
    <t>MBIA Inc</t>
  </si>
  <si>
    <t>12/26/2023</t>
  </si>
  <si>
    <t>168.75%</t>
  </si>
  <si>
    <t>162.16%</t>
  </si>
  <si>
    <t>-36.00%</t>
  </si>
  <si>
    <t>-210.68%</t>
  </si>
  <si>
    <t>65.86%</t>
  </si>
  <si>
    <t>129.57%</t>
  </si>
  <si>
    <t>3.28 - 8.26</t>
  </si>
  <si>
    <t>695.48%</t>
  </si>
  <si>
    <t>Forrester Research Inc</t>
  </si>
  <si>
    <t>12/11/2018</t>
  </si>
  <si>
    <t>-7.71%</t>
  </si>
  <si>
    <t>-42.51%</t>
  </si>
  <si>
    <t>8.50 - 18.16</t>
  </si>
  <si>
    <t>-86.02%</t>
  </si>
  <si>
    <t>-40.78%</t>
  </si>
  <si>
    <t>New Concept Energy Inc</t>
  </si>
  <si>
    <t>62.28%</t>
  </si>
  <si>
    <t>-38.12%</t>
  </si>
  <si>
    <t>66.89%</t>
  </si>
  <si>
    <t>-166.89%</t>
  </si>
  <si>
    <t>-14.68%</t>
  </si>
  <si>
    <t>-39.61%</t>
  </si>
  <si>
    <t>60.45%</t>
  </si>
  <si>
    <t>0.67 - 1.78</t>
  </si>
  <si>
    <t>-99.54%</t>
  </si>
  <si>
    <t>Ambow Education Holding Ltd ADR</t>
  </si>
  <si>
    <t>-18.88%</t>
  </si>
  <si>
    <t>-35.55%</t>
  </si>
  <si>
    <t>244.86%</t>
  </si>
  <si>
    <t>1.07 - 5.55</t>
  </si>
  <si>
    <t>12200.00%</t>
  </si>
  <si>
    <t>46.43%</t>
  </si>
  <si>
    <t>251.43%</t>
  </si>
  <si>
    <t>Plexus Corp</t>
  </si>
  <si>
    <t>103.43 - 172.89</t>
  </si>
  <si>
    <t>27957.00%</t>
  </si>
  <si>
    <t>Medalist Diversified REIT Inc</t>
  </si>
  <si>
    <t>-46.88%</t>
  </si>
  <si>
    <t>-35.72%</t>
  </si>
  <si>
    <t>-54.16%</t>
  </si>
  <si>
    <t>699.59%</t>
  </si>
  <si>
    <t>-23.54%</t>
  </si>
  <si>
    <t>9.55 - 15.00</t>
  </si>
  <si>
    <t>-91.47%</t>
  </si>
  <si>
    <t>Astec Industries Inc</t>
  </si>
  <si>
    <t>276.30%</t>
  </si>
  <si>
    <t>-35.10%</t>
  </si>
  <si>
    <t>-28.16%</t>
  </si>
  <si>
    <t>96.91%</t>
  </si>
  <si>
    <t>29.65 - 49.06</t>
  </si>
  <si>
    <t>10312.84%</t>
  </si>
  <si>
    <t>Galectin Therapeutics Inc</t>
  </si>
  <si>
    <t>-23.89%</t>
  </si>
  <si>
    <t>115.69%</t>
  </si>
  <si>
    <t>545.97%</t>
  </si>
  <si>
    <t>0.73 - 6.55</t>
  </si>
  <si>
    <t>1463.33%</t>
  </si>
  <si>
    <t>75.66%</t>
  </si>
  <si>
    <t>Park Aerospace Corp</t>
  </si>
  <si>
    <t>171.64%</t>
  </si>
  <si>
    <t>59.63%</t>
  </si>
  <si>
    <t>11.97 - 20.72</t>
  </si>
  <si>
    <t>1359.49%</t>
  </si>
  <si>
    <t>Howard Hughes Holdings Inc</t>
  </si>
  <si>
    <t>Real Estate - Diversified</t>
  </si>
  <si>
    <t>18.33%</t>
  </si>
  <si>
    <t>-129.09%</t>
  </si>
  <si>
    <t>88.39%</t>
  </si>
  <si>
    <t>61.40 - 87.77</t>
  </si>
  <si>
    <t>168.48%</t>
  </si>
  <si>
    <t>Stewart Information Services Corp</t>
  </si>
  <si>
    <t>74.82%</t>
  </si>
  <si>
    <t>-39.72%</t>
  </si>
  <si>
    <t>96.02%</t>
  </si>
  <si>
    <t>56.39 - 78.44</t>
  </si>
  <si>
    <t>3181.33%</t>
  </si>
  <si>
    <t>Ponce Financial Group Inc</t>
  </si>
  <si>
    <t>26.18%</t>
  </si>
  <si>
    <t>47.32%</t>
  </si>
  <si>
    <t>36.64%</t>
  </si>
  <si>
    <t>10.88 - 15.21</t>
  </si>
  <si>
    <t>183.62%</t>
  </si>
  <si>
    <t>GCT Semiconductor Holding Inc</t>
  </si>
  <si>
    <t>-85.71%</t>
  </si>
  <si>
    <t>-458.16%</t>
  </si>
  <si>
    <t>-536.79%</t>
  </si>
  <si>
    <t>-55.03%</t>
  </si>
  <si>
    <t>72.37%</t>
  </si>
  <si>
    <t>0.90 - 3.45</t>
  </si>
  <si>
    <t>-97.23%</t>
  </si>
  <si>
    <t>-45.95%</t>
  </si>
  <si>
    <t>Zenas Biopharma Inc</t>
  </si>
  <si>
    <t>-20.42%</t>
  </si>
  <si>
    <t>99.31%</t>
  </si>
  <si>
    <t>-1260.67%</t>
  </si>
  <si>
    <t>-1180.04%</t>
  </si>
  <si>
    <t>-13.05%</t>
  </si>
  <si>
    <t>233.02%</t>
  </si>
  <si>
    <t>5.83 - 26.25</t>
  </si>
  <si>
    <t>141.78%</t>
  </si>
  <si>
    <t>Alto Neuroscience Inc</t>
  </si>
  <si>
    <t>-90.85%</t>
  </si>
  <si>
    <t>62.97%</t>
  </si>
  <si>
    <t>46.63%</t>
  </si>
  <si>
    <t>144.69%</t>
  </si>
  <si>
    <t>1.60 - 15.04</t>
  </si>
  <si>
    <t>-83.69%</t>
  </si>
  <si>
    <t>62.45%</t>
  </si>
  <si>
    <t>-67.07%</t>
  </si>
  <si>
    <t>Ceco Environmental Corp</t>
  </si>
  <si>
    <t>9/14/2017</t>
  </si>
  <si>
    <t>107.08%</t>
  </si>
  <si>
    <t>177.27%</t>
  </si>
  <si>
    <t>17.57 - 52.46</t>
  </si>
  <si>
    <t>7693.60%</t>
  </si>
  <si>
    <t>Tootsie Roll Industries, Inc</t>
  </si>
  <si>
    <t>28.18 - 42.10</t>
  </si>
  <si>
    <t>11386.21%</t>
  </si>
  <si>
    <t>East West Bancorp, Inc</t>
  </si>
  <si>
    <t>34.42%</t>
  </si>
  <si>
    <t>94.55%</t>
  </si>
  <si>
    <t>68.27 - 113.95</t>
  </si>
  <si>
    <t>3223.46%</t>
  </si>
  <si>
    <t>Enhabit Inc</t>
  </si>
  <si>
    <t>26.46%</t>
  </si>
  <si>
    <t>6.47 - 10.90</t>
  </si>
  <si>
    <t>-68.10%</t>
  </si>
  <si>
    <t>Lands' End, Inc</t>
  </si>
  <si>
    <t>7.65 - 19.88</t>
  </si>
  <si>
    <t>-73.60%</t>
  </si>
  <si>
    <t>Thayer Ventures Acquisition Corp II</t>
  </si>
  <si>
    <t>9.90 - 10.50</t>
  </si>
  <si>
    <t>Apogee Enterprises Inc</t>
  </si>
  <si>
    <t>7/16/2025</t>
  </si>
  <si>
    <t>204.36%</t>
  </si>
  <si>
    <t>94.44%</t>
  </si>
  <si>
    <t>24.93%</t>
  </si>
  <si>
    <t>37.53 - 87.93</t>
  </si>
  <si>
    <t>1613.45%</t>
  </si>
  <si>
    <t>Lantern Pharma Inc</t>
  </si>
  <si>
    <t>-24.45%</t>
  </si>
  <si>
    <t>70.19%</t>
  </si>
  <si>
    <t>2.55 - 6.12</t>
  </si>
  <si>
    <t>VivoSim Labs Inc</t>
  </si>
  <si>
    <t>-54.21%</t>
  </si>
  <si>
    <t>-42.01%</t>
  </si>
  <si>
    <t>-83.80%</t>
  </si>
  <si>
    <t>-8552.82%</t>
  </si>
  <si>
    <t>-1399.30%</t>
  </si>
  <si>
    <t>-36.04%</t>
  </si>
  <si>
    <t>140.43%</t>
  </si>
  <si>
    <t>1.41 - 21.96</t>
  </si>
  <si>
    <t>130.61%</t>
  </si>
  <si>
    <t>-41.08%</t>
  </si>
  <si>
    <t>Hancock Whitney Corp</t>
  </si>
  <si>
    <t>28.96%</t>
  </si>
  <si>
    <t>43.90 - 64.66</t>
  </si>
  <si>
    <t>1447.13%</t>
  </si>
  <si>
    <t>Cactus Inc</t>
  </si>
  <si>
    <t>37.08%</t>
  </si>
  <si>
    <t>107.50%</t>
  </si>
  <si>
    <t>36.46%</t>
  </si>
  <si>
    <t>-11.89%</t>
  </si>
  <si>
    <t>-13.57%</t>
  </si>
  <si>
    <t>-40.31%</t>
  </si>
  <si>
    <t>33.80 - 70.01</t>
  </si>
  <si>
    <t>412.11%</t>
  </si>
  <si>
    <t>-33.73%</t>
  </si>
  <si>
    <t>Geospace Technologies Corp</t>
  </si>
  <si>
    <t>-114.95%</t>
  </si>
  <si>
    <t>78.13%</t>
  </si>
  <si>
    <t>245.73%</t>
  </si>
  <si>
    <t>5.51 - 21.90</t>
  </si>
  <si>
    <t>-83.25%</t>
  </si>
  <si>
    <t>486.15%</t>
  </si>
  <si>
    <t>157.78%</t>
  </si>
  <si>
    <t>83.88%</t>
  </si>
  <si>
    <t>Granite Construction Inc</t>
  </si>
  <si>
    <t>21.61%</t>
  </si>
  <si>
    <t>124.69%</t>
  </si>
  <si>
    <t>37.22%</t>
  </si>
  <si>
    <t>116.57%</t>
  </si>
  <si>
    <t>57.59%</t>
  </si>
  <si>
    <t>69.08 - 112.16</t>
  </si>
  <si>
    <t>2346.18%</t>
  </si>
  <si>
    <t>Financial Institutions Inc</t>
  </si>
  <si>
    <t>81.50%</t>
  </si>
  <si>
    <t>-14.59%</t>
  </si>
  <si>
    <t>20.97 - 29.78</t>
  </si>
  <si>
    <t>732.42%</t>
  </si>
  <si>
    <t>Community West Bancshares</t>
  </si>
  <si>
    <t>48.19%</t>
  </si>
  <si>
    <t>15.57 - 22.89</t>
  </si>
  <si>
    <t>623.28%</t>
  </si>
  <si>
    <t>QuinStreet Inc</t>
  </si>
  <si>
    <t>78.27%</t>
  </si>
  <si>
    <t>88.78%</t>
  </si>
  <si>
    <t>-37.71%</t>
  </si>
  <si>
    <t>14.27 - 26.27</t>
  </si>
  <si>
    <t>526.93%</t>
  </si>
  <si>
    <t>Flushing Financial Corp</t>
  </si>
  <si>
    <t>71.76%</t>
  </si>
  <si>
    <t>10.65 - 18.59</t>
  </si>
  <si>
    <t>-56.76%</t>
  </si>
  <si>
    <t>Lantronix Inc</t>
  </si>
  <si>
    <t>-23.33%</t>
  </si>
  <si>
    <t>-41.23%</t>
  </si>
  <si>
    <t>136.86%</t>
  </si>
  <si>
    <t>1.91 - 5.06</t>
  </si>
  <si>
    <t>465.51%</t>
  </si>
  <si>
    <t>74.68%</t>
  </si>
  <si>
    <t>Emerald Holding Inc</t>
  </si>
  <si>
    <t>65.40%</t>
  </si>
  <si>
    <t>37.40%</t>
  </si>
  <si>
    <t>3.21 - 5.45</t>
  </si>
  <si>
    <t>-78.99%</t>
  </si>
  <si>
    <t>244.00%</t>
  </si>
  <si>
    <t>National Presto Industries, Inc</t>
  </si>
  <si>
    <t>3/4/2025</t>
  </si>
  <si>
    <t>58.81%</t>
  </si>
  <si>
    <t>69.80 - 117.46</t>
  </si>
  <si>
    <t>1499.99%</t>
  </si>
  <si>
    <t>Educational Development Corp</t>
  </si>
  <si>
    <t>2/18/2022</t>
  </si>
  <si>
    <t>-32.68%</t>
  </si>
  <si>
    <t>-37.82%</t>
  </si>
  <si>
    <t>-45.38%</t>
  </si>
  <si>
    <t>0.92 - 2.49</t>
  </si>
  <si>
    <t>-93.20%</t>
  </si>
  <si>
    <t>1863.68%</t>
  </si>
  <si>
    <t>Vita Coco Company Inc</t>
  </si>
  <si>
    <t>40.94%</t>
  </si>
  <si>
    <t>-52.80%</t>
  </si>
  <si>
    <t>25.79 - 42.81</t>
  </si>
  <si>
    <t>431.44%</t>
  </si>
  <si>
    <t>Kontoor Brands Inc</t>
  </si>
  <si>
    <t>97.33%</t>
  </si>
  <si>
    <t>58.82%</t>
  </si>
  <si>
    <t>50.00 - 96.80</t>
  </si>
  <si>
    <t>515.34%</t>
  </si>
  <si>
    <t>Bowman Consulting Group Ltd</t>
  </si>
  <si>
    <t>143.36%</t>
  </si>
  <si>
    <t>134.30%</t>
  </si>
  <si>
    <t>17.90 - 44.25</t>
  </si>
  <si>
    <t>289.78%</t>
  </si>
  <si>
    <t>86.65%</t>
  </si>
  <si>
    <t>Jupiter Neurosciences Inc</t>
  </si>
  <si>
    <t>25.26%</t>
  </si>
  <si>
    <t>-33.32%</t>
  </si>
  <si>
    <t>-39.05%</t>
  </si>
  <si>
    <t>41.90%</t>
  </si>
  <si>
    <t>-92.36%</t>
  </si>
  <si>
    <t>192.16%</t>
  </si>
  <si>
    <t>0.51 - 19.51</t>
  </si>
  <si>
    <t>100.59%</t>
  </si>
  <si>
    <t>Andersons Inc</t>
  </si>
  <si>
    <t>29.49%</t>
  </si>
  <si>
    <t>31.03 - 51.58</t>
  </si>
  <si>
    <t>-42.54%</t>
  </si>
  <si>
    <t>1653.31%</t>
  </si>
  <si>
    <t>-19.98%</t>
  </si>
  <si>
    <t>Esco Technologies, Inc</t>
  </si>
  <si>
    <t>97.95%</t>
  </si>
  <si>
    <t>119.57 - 220.32</t>
  </si>
  <si>
    <t>20945.91%</t>
  </si>
  <si>
    <t>66.97%</t>
  </si>
  <si>
    <t>Childrens Place Inc</t>
  </si>
  <si>
    <t>12/13/2019</t>
  </si>
  <si>
    <t>-49.85%</t>
  </si>
  <si>
    <t>-63.38%</t>
  </si>
  <si>
    <t>3.66 - 17.94</t>
  </si>
  <si>
    <t>48.31%</t>
  </si>
  <si>
    <t>-26.43%</t>
  </si>
  <si>
    <t>-62.13%</t>
  </si>
  <si>
    <t>Edgewise Therapeutics Inc</t>
  </si>
  <si>
    <t>-49.00%</t>
  </si>
  <si>
    <t>84.46%</t>
  </si>
  <si>
    <t>-59.72%</t>
  </si>
  <si>
    <t>44.86%</t>
  </si>
  <si>
    <t>10.60 - 38.12</t>
  </si>
  <si>
    <t>-62.08%</t>
  </si>
  <si>
    <t>199.90%</t>
  </si>
  <si>
    <t>-34.49%</t>
  </si>
  <si>
    <t>-40.76%</t>
  </si>
  <si>
    <t>Resolute Holdings Management Inc</t>
  </si>
  <si>
    <t>64.10%</t>
  </si>
  <si>
    <t>194.51%</t>
  </si>
  <si>
    <t>22.75 - 76.10</t>
  </si>
  <si>
    <t>96.54%</t>
  </si>
  <si>
    <t>Precipio Inc</t>
  </si>
  <si>
    <t>80.48%</t>
  </si>
  <si>
    <t>355.38%</t>
  </si>
  <si>
    <t>3.90 - 22.38</t>
  </si>
  <si>
    <t>162.33%</t>
  </si>
  <si>
    <t>165.87%</t>
  </si>
  <si>
    <t>Buckle, Inc</t>
  </si>
  <si>
    <t>78.62%</t>
  </si>
  <si>
    <t>33.12 - 61.69</t>
  </si>
  <si>
    <t>10917.01%</t>
  </si>
  <si>
    <t>Voyager Acquisition Corp</t>
  </si>
  <si>
    <t>85.95%</t>
  </si>
  <si>
    <t>9.95 - 11.20</t>
  </si>
  <si>
    <t>Seritage Growth Properties</t>
  </si>
  <si>
    <t>3/28/2019</t>
  </si>
  <si>
    <t>-46.92%</t>
  </si>
  <si>
    <t>-68.16%</t>
  </si>
  <si>
    <t>-281.77%</t>
  </si>
  <si>
    <t>-530.34%</t>
  </si>
  <si>
    <t>-15.88%</t>
  </si>
  <si>
    <t>64.61%</t>
  </si>
  <si>
    <t>2.43 - 4.76</t>
  </si>
  <si>
    <t>-93.02%</t>
  </si>
  <si>
    <t>Crawford &amp; Co</t>
  </si>
  <si>
    <t>8.63 - 12.74</t>
  </si>
  <si>
    <t>469.95%</t>
  </si>
  <si>
    <t>Flexsteel Industries, Inc</t>
  </si>
  <si>
    <t>50.88%</t>
  </si>
  <si>
    <t>45.18%</t>
  </si>
  <si>
    <t>-28.04%</t>
  </si>
  <si>
    <t>61.33%</t>
  </si>
  <si>
    <t>29.38 - 65.87</t>
  </si>
  <si>
    <t>851.81%</t>
  </si>
  <si>
    <t>Ultra Clean Hldgs Inc</t>
  </si>
  <si>
    <t>93.25%</t>
  </si>
  <si>
    <t>-36.75%</t>
  </si>
  <si>
    <t>59.11%</t>
  </si>
  <si>
    <t>16.66 - 41.90</t>
  </si>
  <si>
    <t>-59.44%</t>
  </si>
  <si>
    <t>3297.49%</t>
  </si>
  <si>
    <t>Keysight Technologies Inc</t>
  </si>
  <si>
    <t>90.73%</t>
  </si>
  <si>
    <t>121.43 - 186.20</t>
  </si>
  <si>
    <t>718.61%</t>
  </si>
  <si>
    <t>U.S. Physical Therapy, Inc</t>
  </si>
  <si>
    <t>95.62%</t>
  </si>
  <si>
    <t>62.77 - 101.19</t>
  </si>
  <si>
    <t>5833.31%</t>
  </si>
  <si>
    <t>Avidbank Holdings Inc</t>
  </si>
  <si>
    <t>19.32 - 26.59</t>
  </si>
  <si>
    <t>451.52%</t>
  </si>
  <si>
    <t>Focus Universal Inc</t>
  </si>
  <si>
    <t>-21.82%</t>
  </si>
  <si>
    <t>-1517.19%</t>
  </si>
  <si>
    <t>-756.72%</t>
  </si>
  <si>
    <t>1.80 - 10.90</t>
  </si>
  <si>
    <t>113.75%</t>
  </si>
  <si>
    <t>Chord Energy Corp</t>
  </si>
  <si>
    <t>45.60%</t>
  </si>
  <si>
    <t>19.55%</t>
  </si>
  <si>
    <t>79.83 - 139.05</t>
  </si>
  <si>
    <t>-42.93%</t>
  </si>
  <si>
    <t>621.79%</t>
  </si>
  <si>
    <t>Matinas Biopharma Holdings Inc</t>
  </si>
  <si>
    <t>107.86%</t>
  </si>
  <si>
    <t>126.49%</t>
  </si>
  <si>
    <t>-56.47%</t>
  </si>
  <si>
    <t>289.64%</t>
  </si>
  <si>
    <t>0.47 - 4.25</t>
  </si>
  <si>
    <t>-99.07%</t>
  </si>
  <si>
    <t>101.07%</t>
  </si>
  <si>
    <t>227.43%</t>
  </si>
  <si>
    <t>-48.32%</t>
  </si>
  <si>
    <t>Seres Therapeutics Inc</t>
  </si>
  <si>
    <t>6.53 - 24.67</t>
  </si>
  <si>
    <t>105.63%</t>
  </si>
  <si>
    <t>AnaptysBio Inc</t>
  </si>
  <si>
    <t>-34.42%</t>
  </si>
  <si>
    <t>304.17%</t>
  </si>
  <si>
    <t>62.73%</t>
  </si>
  <si>
    <t>102.93%</t>
  </si>
  <si>
    <t>-69.94%</t>
  </si>
  <si>
    <t>-107.66%</t>
  </si>
  <si>
    <t>12.21 - 36.54</t>
  </si>
  <si>
    <t>-83.39%</t>
  </si>
  <si>
    <t>122.60%</t>
  </si>
  <si>
    <t>-36.18%</t>
  </si>
  <si>
    <t>Commerce.com Inc</t>
  </si>
  <si>
    <t>69.67%</t>
  </si>
  <si>
    <t>4.14 - 7.99</t>
  </si>
  <si>
    <t>-15.04%</t>
  </si>
  <si>
    <t>Arq Inc</t>
  </si>
  <si>
    <t>118.41%</t>
  </si>
  <si>
    <t>3.34 - 8.11</t>
  </si>
  <si>
    <t>-74.99%</t>
  </si>
  <si>
    <t>629.50%</t>
  </si>
  <si>
    <t>DXP Enterprises, Inc</t>
  </si>
  <si>
    <t>71.64%</t>
  </si>
  <si>
    <t>147.54%</t>
  </si>
  <si>
    <t>48.45 - 129.56</t>
  </si>
  <si>
    <t>95848.00%</t>
  </si>
  <si>
    <t>129.50%</t>
  </si>
  <si>
    <t>GrowGeneration Corp</t>
  </si>
  <si>
    <t>22.71%</t>
  </si>
  <si>
    <t>-29.84%</t>
  </si>
  <si>
    <t>104.07%</t>
  </si>
  <si>
    <t>0.82 - 2.25</t>
  </si>
  <si>
    <t>-97.53%</t>
  </si>
  <si>
    <t>BioAtla Inc</t>
  </si>
  <si>
    <t>253.03%</t>
  </si>
  <si>
    <t>-579.77%</t>
  </si>
  <si>
    <t>-541.05%</t>
  </si>
  <si>
    <t>30.98%</t>
  </si>
  <si>
    <t>-26.81%</t>
  </si>
  <si>
    <t>-75.65%</t>
  </si>
  <si>
    <t>156.17%</t>
  </si>
  <si>
    <t>0.24 - 2.53</t>
  </si>
  <si>
    <t>-99.20%</t>
  </si>
  <si>
    <t>-63.62%</t>
  </si>
  <si>
    <t>Cryo-Cell International, Inc</t>
  </si>
  <si>
    <t>5/21/2025</t>
  </si>
  <si>
    <t>510.20%</t>
  </si>
  <si>
    <t>-18.63%</t>
  </si>
  <si>
    <t>-11.39%</t>
  </si>
  <si>
    <t>-48.98%</t>
  </si>
  <si>
    <t>4.09 - 9.43</t>
  </si>
  <si>
    <t>1726.89%</t>
  </si>
  <si>
    <t>Tillys Inc</t>
  </si>
  <si>
    <t>12/6/2021</t>
  </si>
  <si>
    <t>350.00%</t>
  </si>
  <si>
    <t>62.96%</t>
  </si>
  <si>
    <t>-61.70%</t>
  </si>
  <si>
    <t>246.76%</t>
  </si>
  <si>
    <t>0.57 - 5.17</t>
  </si>
  <si>
    <t>-89.22%</t>
  </si>
  <si>
    <t>-59.76%</t>
  </si>
  <si>
    <t>Emcor Group, Inc</t>
  </si>
  <si>
    <t>45.01%</t>
  </si>
  <si>
    <t>320.89 - 667.64</t>
  </si>
  <si>
    <t>27206.45%</t>
  </si>
  <si>
    <t>46.53%</t>
  </si>
  <si>
    <t>Custom Truck One Source Inc</t>
  </si>
  <si>
    <t>-163.69%</t>
  </si>
  <si>
    <t>3.03 - 6.64</t>
  </si>
  <si>
    <t>337.97%</t>
  </si>
  <si>
    <t>63.79%</t>
  </si>
  <si>
    <t>Luxfer Holdings PLC</t>
  </si>
  <si>
    <t>75.76%</t>
  </si>
  <si>
    <t>43.30%</t>
  </si>
  <si>
    <t>9.41 - 15.64</t>
  </si>
  <si>
    <t>Fulgent Genetics Inc</t>
  </si>
  <si>
    <t>-129.89%</t>
  </si>
  <si>
    <t>-34.15%</t>
  </si>
  <si>
    <t>137.88%</t>
  </si>
  <si>
    <t>37.41%</t>
  </si>
  <si>
    <t>-16.83%</t>
  </si>
  <si>
    <t>29.74%</t>
  </si>
  <si>
    <t>14.57 - 22.87</t>
  </si>
  <si>
    <t>-88.40%</t>
  </si>
  <si>
    <t>708.44%</t>
  </si>
  <si>
    <t>Glimpse Group Inc</t>
  </si>
  <si>
    <t>63.30%</t>
  </si>
  <si>
    <t>-77.14%</t>
  </si>
  <si>
    <t>217.97%</t>
  </si>
  <si>
    <t>0.50 - 7.00</t>
  </si>
  <si>
    <t>-92.38%</t>
  </si>
  <si>
    <t>119.18%</t>
  </si>
  <si>
    <t>Mistras Group Inc</t>
  </si>
  <si>
    <t>27.16%</t>
  </si>
  <si>
    <t>7.06 - 12.44</t>
  </si>
  <si>
    <t>248.38%</t>
  </si>
  <si>
    <t>Verde Clean Fuels Inc</t>
  </si>
  <si>
    <t>-189.77%</t>
  </si>
  <si>
    <t>-617.62%</t>
  </si>
  <si>
    <t>-29.74%</t>
  </si>
  <si>
    <t>2.50 - 4.54</t>
  </si>
  <si>
    <t>-84.81%</t>
  </si>
  <si>
    <t>63.59%</t>
  </si>
  <si>
    <t>CVR Partners LP</t>
  </si>
  <si>
    <t>116.11%</t>
  </si>
  <si>
    <t>62.94 - 98.99</t>
  </si>
  <si>
    <t>-70.64%</t>
  </si>
  <si>
    <t>1482.84%</t>
  </si>
  <si>
    <t>Cartesian Growth Corp III</t>
  </si>
  <si>
    <t>Zumiez Inc</t>
  </si>
  <si>
    <t>81.42%</t>
  </si>
  <si>
    <t>48.91%</t>
  </si>
  <si>
    <t>11.31 - 24.37</t>
  </si>
  <si>
    <t>-64.65%</t>
  </si>
  <si>
    <t>305.77%</t>
  </si>
  <si>
    <t>50.98%</t>
  </si>
  <si>
    <t>First National Corp. (Strasburg, VA)</t>
  </si>
  <si>
    <t>60.54%</t>
  </si>
  <si>
    <t>43.39%</t>
  </si>
  <si>
    <t>17.50 - 26.97</t>
  </si>
  <si>
    <t>-24.52%</t>
  </si>
  <si>
    <t>559.15%</t>
  </si>
  <si>
    <t>Jade Biosciences Inc</t>
  </si>
  <si>
    <t>-37.28%</t>
  </si>
  <si>
    <t>-77.98%</t>
  </si>
  <si>
    <t>65.42%</t>
  </si>
  <si>
    <t>-98.48%</t>
  </si>
  <si>
    <t>71.40%</t>
  </si>
  <si>
    <t>-17.04%</t>
  </si>
  <si>
    <t>-40.39%</t>
  </si>
  <si>
    <t>6.57 - 13.50</t>
  </si>
  <si>
    <t>-93.21%</t>
  </si>
  <si>
    <t>ITT Inc</t>
  </si>
  <si>
    <t>95.60%</t>
  </si>
  <si>
    <t>105.64 - 185.57</t>
  </si>
  <si>
    <t>30858.44%</t>
  </si>
  <si>
    <t>19.80%</t>
  </si>
  <si>
    <t>SINTX Technologies Inc</t>
  </si>
  <si>
    <t>68.26%</t>
  </si>
  <si>
    <t>33.18%</t>
  </si>
  <si>
    <t>-82.42%</t>
  </si>
  <si>
    <t>-15.19%</t>
  </si>
  <si>
    <t>-439.49%</t>
  </si>
  <si>
    <t>-674.05%</t>
  </si>
  <si>
    <t>42.12%</t>
  </si>
  <si>
    <t>-46.75%</t>
  </si>
  <si>
    <t>167.70%</t>
  </si>
  <si>
    <t>1.71 - 8.60</t>
  </si>
  <si>
    <t>56.77%</t>
  </si>
  <si>
    <t>35.03%</t>
  </si>
  <si>
    <t>Dine Brands Global Inc</t>
  </si>
  <si>
    <t>-19.38%</t>
  </si>
  <si>
    <t>41.88%</t>
  </si>
  <si>
    <t>-35.14%</t>
  </si>
  <si>
    <t>18.63 - 37.44</t>
  </si>
  <si>
    <t>418.08%</t>
  </si>
  <si>
    <t>Voyager Therapeutics Inc</t>
  </si>
  <si>
    <t>-70.38%</t>
  </si>
  <si>
    <t>28.83%</t>
  </si>
  <si>
    <t>-289.80%</t>
  </si>
  <si>
    <t>-253.49%</t>
  </si>
  <si>
    <t>-50.03%</t>
  </si>
  <si>
    <t>56.33%</t>
  </si>
  <si>
    <t>2.64 - 8.27</t>
  </si>
  <si>
    <t>-31.54%</t>
  </si>
  <si>
    <t>Huntington Ingalls Industries Inc</t>
  </si>
  <si>
    <t>72.75%</t>
  </si>
  <si>
    <t>158.88 - 293.14</t>
  </si>
  <si>
    <t>1113.35%</t>
  </si>
  <si>
    <t>First Seacoast Bancorp Inc</t>
  </si>
  <si>
    <t>8.90 - 11.95</t>
  </si>
  <si>
    <t>Primerica Inc</t>
  </si>
  <si>
    <t>94.54%</t>
  </si>
  <si>
    <t>-10.27%</t>
  </si>
  <si>
    <t>230.98 - 307.91</t>
  </si>
  <si>
    <t>1384.69%</t>
  </si>
  <si>
    <t>Carter Bankshares Inc</t>
  </si>
  <si>
    <t>7/13/2016</t>
  </si>
  <si>
    <t>49.82%</t>
  </si>
  <si>
    <t>13.60 - 20.53</t>
  </si>
  <si>
    <t>290.66%</t>
  </si>
  <si>
    <t>Vistagen Therapeutics Inc</t>
  </si>
  <si>
    <t>-33.00%</t>
  </si>
  <si>
    <t>-7566.52%</t>
  </si>
  <si>
    <t>-6774.22%</t>
  </si>
  <si>
    <t>41.17%</t>
  </si>
  <si>
    <t>1.90 - 3.88</t>
  </si>
  <si>
    <t>-99.82%</t>
  </si>
  <si>
    <t>109.14%</t>
  </si>
  <si>
    <t>Biomea Fusion Inc</t>
  </si>
  <si>
    <t>-39.00%</t>
  </si>
  <si>
    <t>-149.32%</t>
  </si>
  <si>
    <t>46.94%</t>
  </si>
  <si>
    <t>-21.57%</t>
  </si>
  <si>
    <t>34.00%</t>
  </si>
  <si>
    <t>1.29 - 13.07</t>
  </si>
  <si>
    <t>-95.40%</t>
  </si>
  <si>
    <t>-74.88%</t>
  </si>
  <si>
    <t>Hoth Therapeutics Inc</t>
  </si>
  <si>
    <t>56.88%</t>
  </si>
  <si>
    <t>-54.47%</t>
  </si>
  <si>
    <t>165.91%</t>
  </si>
  <si>
    <t>0.65 - 3.80</t>
  </si>
  <si>
    <t>198.28%</t>
  </si>
  <si>
    <t>Intrepid Potash Inc</t>
  </si>
  <si>
    <t>141.29%</t>
  </si>
  <si>
    <t>57.75%</t>
  </si>
  <si>
    <t>-71.13%</t>
  </si>
  <si>
    <t>-21.84%</t>
  </si>
  <si>
    <t>20.86 - 39.01</t>
  </si>
  <si>
    <t>408.17%</t>
  </si>
  <si>
    <t>-13.50%</t>
  </si>
  <si>
    <t>Reading International Inc</t>
  </si>
  <si>
    <t>-111.64%</t>
  </si>
  <si>
    <t>-17.11%</t>
  </si>
  <si>
    <t>32.48%</t>
  </si>
  <si>
    <t>1.17 - 1.87</t>
  </si>
  <si>
    <t>Inogen Inc</t>
  </si>
  <si>
    <t>-75.31%</t>
  </si>
  <si>
    <t>43.76%</t>
  </si>
  <si>
    <t>72.98%</t>
  </si>
  <si>
    <t>49.89%</t>
  </si>
  <si>
    <t>5.70 - 12.91</t>
  </si>
  <si>
    <t>Bullfrog AI Holdings Inc</t>
  </si>
  <si>
    <t>-101.91%</t>
  </si>
  <si>
    <t>-93.81%</t>
  </si>
  <si>
    <t>-48.84%</t>
  </si>
  <si>
    <t>-21393.98%</t>
  </si>
  <si>
    <t>-21016.55%</t>
  </si>
  <si>
    <t>-70.87%</t>
  </si>
  <si>
    <t>1.09 - 4.84</t>
  </si>
  <si>
    <t>-22.10%</t>
  </si>
  <si>
    <t>-51.55%</t>
  </si>
  <si>
    <t>AlphaTime Acquisition Corp</t>
  </si>
  <si>
    <t>11.21 - 13.74</t>
  </si>
  <si>
    <t>Powell Industries, Inc</t>
  </si>
  <si>
    <t>512.52%</t>
  </si>
  <si>
    <t>70.63%</t>
  </si>
  <si>
    <t>91.29%</t>
  </si>
  <si>
    <t>28.79%</t>
  </si>
  <si>
    <t>39.17%</t>
  </si>
  <si>
    <t>146.02 - 364.98</t>
  </si>
  <si>
    <t>57518.00%</t>
  </si>
  <si>
    <t>31.96%</t>
  </si>
  <si>
    <t>Sonida Senior Living Inc</t>
  </si>
  <si>
    <t>79.49%</t>
  </si>
  <si>
    <t>39.92%</t>
  </si>
  <si>
    <t>19.34 - 28.97</t>
  </si>
  <si>
    <t>-93.53%</t>
  </si>
  <si>
    <t>351.00%</t>
  </si>
  <si>
    <t>Puma Biotechnology Inc</t>
  </si>
  <si>
    <t>106.03%</t>
  </si>
  <si>
    <t>2.32 - 6.07</t>
  </si>
  <si>
    <t>198.75%</t>
  </si>
  <si>
    <t>87.45%</t>
  </si>
  <si>
    <t>XOMA Royalty Corp</t>
  </si>
  <si>
    <t>-48.78%</t>
  </si>
  <si>
    <t>194.98%</t>
  </si>
  <si>
    <t>-9.28%</t>
  </si>
  <si>
    <t>393.33%</t>
  </si>
  <si>
    <t>-67.51%</t>
  </si>
  <si>
    <t>-47.52%</t>
  </si>
  <si>
    <t>-39.42%</t>
  </si>
  <si>
    <t>95.85%</t>
  </si>
  <si>
    <t>18.35 - 38.48</t>
  </si>
  <si>
    <t>807.63%</t>
  </si>
  <si>
    <t>33.51%</t>
  </si>
  <si>
    <t>Leidos Holdings Inc</t>
  </si>
  <si>
    <t>14.92%</t>
  </si>
  <si>
    <t>48.51%</t>
  </si>
  <si>
    <t>123.62 - 202.90</t>
  </si>
  <si>
    <t>845.43%</t>
  </si>
  <si>
    <t>Fair Isaac Corp</t>
  </si>
  <si>
    <t>3/1/2017</t>
  </si>
  <si>
    <t>89.14%</t>
  </si>
  <si>
    <t>81.74%</t>
  </si>
  <si>
    <t>45.87%</t>
  </si>
  <si>
    <t>1300.00 - 2402.51</t>
  </si>
  <si>
    <t>277414.99%</t>
  </si>
  <si>
    <t>Mammoth Energy Services Inc</t>
  </si>
  <si>
    <t>5/9/2019</t>
  </si>
  <si>
    <t>-25.45%</t>
  </si>
  <si>
    <t>-52.29%</t>
  </si>
  <si>
    <t>-50.41%</t>
  </si>
  <si>
    <t>1.68 - 4.90</t>
  </si>
  <si>
    <t>-94.26%</t>
  </si>
  <si>
    <t>333.93%</t>
  </si>
  <si>
    <t>-15.62%</t>
  </si>
  <si>
    <t>SIGA Technologies Inc</t>
  </si>
  <si>
    <t>4/29/2025</t>
  </si>
  <si>
    <t>38.99%</t>
  </si>
  <si>
    <t>271.92%</t>
  </si>
  <si>
    <t>99.79%</t>
  </si>
  <si>
    <t>4.48 - 9.62</t>
  </si>
  <si>
    <t>6014.64%</t>
  </si>
  <si>
    <t>38.62%</t>
  </si>
  <si>
    <t>77.55%</t>
  </si>
  <si>
    <t>Benitec Biopharma Inc</t>
  </si>
  <si>
    <t>62.31%</t>
  </si>
  <si>
    <t>117.61%</t>
  </si>
  <si>
    <t>8.49 - 17.15</t>
  </si>
  <si>
    <t>644.62%</t>
  </si>
  <si>
    <t>Verisign Inc</t>
  </si>
  <si>
    <t>-84.07%</t>
  </si>
  <si>
    <t>91.14%</t>
  </si>
  <si>
    <t>67.89%</t>
  </si>
  <si>
    <t>50.03%</t>
  </si>
  <si>
    <t>61.99%</t>
  </si>
  <si>
    <t>175.62 - 310.60</t>
  </si>
  <si>
    <t>8446.50%</t>
  </si>
  <si>
    <t>Falcon's Beyond Global Inc</t>
  </si>
  <si>
    <t>154.62%</t>
  </si>
  <si>
    <t>92.40%</t>
  </si>
  <si>
    <t>-214.61%</t>
  </si>
  <si>
    <t>148.56%</t>
  </si>
  <si>
    <t>207.95%</t>
  </si>
  <si>
    <t>3.62 - 16.34</t>
  </si>
  <si>
    <t>Traws Pharma Inc</t>
  </si>
  <si>
    <t>1184.51%</t>
  </si>
  <si>
    <t>-36.47%</t>
  </si>
  <si>
    <t>4694.74%</t>
  </si>
  <si>
    <t>-1539.92%</t>
  </si>
  <si>
    <t>3028.25%</t>
  </si>
  <si>
    <t>-40.82%</t>
  </si>
  <si>
    <t>-13.63%</t>
  </si>
  <si>
    <t>-90.45%</t>
  </si>
  <si>
    <t>91.44%</t>
  </si>
  <si>
    <t>0.97 - 19.44</t>
  </si>
  <si>
    <t>-75.04%</t>
  </si>
  <si>
    <t>Hagerty Inc</t>
  </si>
  <si>
    <t>-42.31%</t>
  </si>
  <si>
    <t>8.03 - 13.32</t>
  </si>
  <si>
    <t>-38.83%</t>
  </si>
  <si>
    <t>68.95%</t>
  </si>
  <si>
    <t>Home Federal Bancorp Inc (Louisiana)</t>
  </si>
  <si>
    <t>11.75 - 14.25</t>
  </si>
  <si>
    <t>-41.74%</t>
  </si>
  <si>
    <t>399.96%</t>
  </si>
  <si>
    <t>Monolithic Power System Inc</t>
  </si>
  <si>
    <t>25.59%</t>
  </si>
  <si>
    <t>34.30%</t>
  </si>
  <si>
    <t>99.92%</t>
  </si>
  <si>
    <t>73.17%</t>
  </si>
  <si>
    <t>25.45%</t>
  </si>
  <si>
    <t>100.77%</t>
  </si>
  <si>
    <t>438.86 - 954.00</t>
  </si>
  <si>
    <t>15669.96%</t>
  </si>
  <si>
    <t>46.50%</t>
  </si>
  <si>
    <t>NextPlat Corp</t>
  </si>
  <si>
    <t>58.53%</t>
  </si>
  <si>
    <t>103.77%</t>
  </si>
  <si>
    <t>-22.07%</t>
  </si>
  <si>
    <t>-17.64%</t>
  </si>
  <si>
    <t>-64.52%</t>
  </si>
  <si>
    <t>89.79%</t>
  </si>
  <si>
    <t>0.43 - 2.30</t>
  </si>
  <si>
    <t>AMREP Corp</t>
  </si>
  <si>
    <t>8/8/2007</t>
  </si>
  <si>
    <t>128.95%</t>
  </si>
  <si>
    <t>-37.11%</t>
  </si>
  <si>
    <t>17.60 - 39.67</t>
  </si>
  <si>
    <t>853.09%</t>
  </si>
  <si>
    <t>Myers Industries Inc</t>
  </si>
  <si>
    <t>280.52%</t>
  </si>
  <si>
    <t>-40.68%</t>
  </si>
  <si>
    <t>87.08%</t>
  </si>
  <si>
    <t>9.06 - 17.25</t>
  </si>
  <si>
    <t>2068.10%</t>
  </si>
  <si>
    <t>Red Rock Resorts Inc</t>
  </si>
  <si>
    <t>34.16%</t>
  </si>
  <si>
    <t>30.47%</t>
  </si>
  <si>
    <t>34.36 - 63.60</t>
  </si>
  <si>
    <t>2421.86%</t>
  </si>
  <si>
    <t>NewMarket Corp</t>
  </si>
  <si>
    <t>64.66%</t>
  </si>
  <si>
    <t>32.69%</t>
  </si>
  <si>
    <t>27.50%</t>
  </si>
  <si>
    <t>70.96%</t>
  </si>
  <si>
    <t>480.00 - 854.75</t>
  </si>
  <si>
    <t>33341.61%</t>
  </si>
  <si>
    <t>47.58%</t>
  </si>
  <si>
    <t>Piedmont Realty Trust Inc</t>
  </si>
  <si>
    <t>2/21/2025</t>
  </si>
  <si>
    <t>-309.37%</t>
  </si>
  <si>
    <t>5.46 - 11.11</t>
  </si>
  <si>
    <t>91.04%</t>
  </si>
  <si>
    <t>Enova International Inc</t>
  </si>
  <si>
    <t>79.41 - 130.34</t>
  </si>
  <si>
    <t>2526.29%</t>
  </si>
  <si>
    <t>Kore Group Holdings Inc</t>
  </si>
  <si>
    <t>-13.86%</t>
  </si>
  <si>
    <t>123.18%</t>
  </si>
  <si>
    <t>1.10 - 4.88</t>
  </si>
  <si>
    <t>309.17%</t>
  </si>
  <si>
    <t>SIFCO Industries Inc</t>
  </si>
  <si>
    <t>11/4/2014</t>
  </si>
  <si>
    <t>-24.48%</t>
  </si>
  <si>
    <t>76.22%</t>
  </si>
  <si>
    <t>209.44%</t>
  </si>
  <si>
    <t>2.33 - 7.88</t>
  </si>
  <si>
    <t>464.73%</t>
  </si>
  <si>
    <t>110.82%</t>
  </si>
  <si>
    <t>157.50%</t>
  </si>
  <si>
    <t>51.15%</t>
  </si>
  <si>
    <t>Berto Acquisition Corp</t>
  </si>
  <si>
    <t>60.47%</t>
  </si>
  <si>
    <t>10.20 - 11.32</t>
  </si>
  <si>
    <t>Vivani Medical Inc</t>
  </si>
  <si>
    <t>0.91 - 1.80</t>
  </si>
  <si>
    <t>-99.75%</t>
  </si>
  <si>
    <t>Acuity Inc</t>
  </si>
  <si>
    <t>55.96%</t>
  </si>
  <si>
    <t>216.81 - 349.00</t>
  </si>
  <si>
    <t>4650.29%</t>
  </si>
  <si>
    <t>LENZ Therapeutics Inc</t>
  </si>
  <si>
    <t>-181.63%</t>
  </si>
  <si>
    <t>-27.04%</t>
  </si>
  <si>
    <t>98.20%</t>
  </si>
  <si>
    <t>-1239.16%</t>
  </si>
  <si>
    <t>-1047.96%</t>
  </si>
  <si>
    <t>48.22%</t>
  </si>
  <si>
    <t>149.11%</t>
  </si>
  <si>
    <t>16.53 - 44.00</t>
  </si>
  <si>
    <t>-74.40%</t>
  </si>
  <si>
    <t>447.38%</t>
  </si>
  <si>
    <t>89.90%</t>
  </si>
  <si>
    <t>Envela Corp</t>
  </si>
  <si>
    <t>9/12/2016</t>
  </si>
  <si>
    <t>5.10 - 8.36</t>
  </si>
  <si>
    <t>-36.50%</t>
  </si>
  <si>
    <t>5996.00%</t>
  </si>
  <si>
    <t>Pure Cycle Corp</t>
  </si>
  <si>
    <t>-16.76%</t>
  </si>
  <si>
    <t>49.58%</t>
  </si>
  <si>
    <t>9.65 - 14.63</t>
  </si>
  <si>
    <t>2108.00%</t>
  </si>
  <si>
    <t>Entrada Therapeutics Inc</t>
  </si>
  <si>
    <t>-66.80%</t>
  </si>
  <si>
    <t>-97.94%</t>
  </si>
  <si>
    <t>-118.61%</t>
  </si>
  <si>
    <t>4.93 - 21.79</t>
  </si>
  <si>
    <t>-84.65%</t>
  </si>
  <si>
    <t>-63.28%</t>
  </si>
  <si>
    <t>Rocky Brands, Inc</t>
  </si>
  <si>
    <t>124.49%</t>
  </si>
  <si>
    <t>148.11%</t>
  </si>
  <si>
    <t>11.93 - 32.01</t>
  </si>
  <si>
    <t>1215.56%</t>
  </si>
  <si>
    <t>65.92%</t>
  </si>
  <si>
    <t>RGC Resources, Inc</t>
  </si>
  <si>
    <t>69.08%</t>
  </si>
  <si>
    <t>19.06 - 24.20</t>
  </si>
  <si>
    <t>523.46%</t>
  </si>
  <si>
    <t>A-Mark Precious Metals Inc</t>
  </si>
  <si>
    <t>-49.33%</t>
  </si>
  <si>
    <t>62.13%</t>
  </si>
  <si>
    <t>33.73%</t>
  </si>
  <si>
    <t>19.39 - 46.31</t>
  </si>
  <si>
    <t>-45.28%</t>
  </si>
  <si>
    <t>740.61%</t>
  </si>
  <si>
    <t>-39.63%</t>
  </si>
  <si>
    <t>Quanterix Corp</t>
  </si>
  <si>
    <t>-82.25%</t>
  </si>
  <si>
    <t>-62.60%</t>
  </si>
  <si>
    <t>-56.05%</t>
  </si>
  <si>
    <t>-20.45%</t>
  </si>
  <si>
    <t>4.05 - 15.67</t>
  </si>
  <si>
    <t>-94.33%</t>
  </si>
  <si>
    <t>Pursuit Attractions and Hospitality Inc</t>
  </si>
  <si>
    <t>66.15%</t>
  </si>
  <si>
    <t>-69.16%</t>
  </si>
  <si>
    <t>-22.33%</t>
  </si>
  <si>
    <t>26.66 - 47.49</t>
  </si>
  <si>
    <t>-49.29%</t>
  </si>
  <si>
    <t>1159.16%</t>
  </si>
  <si>
    <t>Packaging Corp Of America</t>
  </si>
  <si>
    <t>92.97%</t>
  </si>
  <si>
    <t>172.71 - 250.82</t>
  </si>
  <si>
    <t>2218.65%</t>
  </si>
  <si>
    <t>Sound Financial Bancorp Inc</t>
  </si>
  <si>
    <t>44.00 - 55.85</t>
  </si>
  <si>
    <t>-15.47%</t>
  </si>
  <si>
    <t>1150.78%</t>
  </si>
  <si>
    <t>Nathan's Famous, Inc</t>
  </si>
  <si>
    <t>51.85%</t>
  </si>
  <si>
    <t>75.14 - 118.50</t>
  </si>
  <si>
    <t>6859.25%</t>
  </si>
  <si>
    <t>Advanced Energy Industries Inc</t>
  </si>
  <si>
    <t>-25.84%</t>
  </si>
  <si>
    <t>106.51%</t>
  </si>
  <si>
    <t>118.91%</t>
  </si>
  <si>
    <t>75.01 - 179.28</t>
  </si>
  <si>
    <t>5611.48%</t>
  </si>
  <si>
    <t>Heartflow Inc</t>
  </si>
  <si>
    <t>26.56 - 36.68</t>
  </si>
  <si>
    <t>Metallus Inc</t>
  </si>
  <si>
    <t>-78.85%</t>
  </si>
  <si>
    <t>-18.93%</t>
  </si>
  <si>
    <t>85.29%</t>
  </si>
  <si>
    <t>10.78 - 18.17</t>
  </si>
  <si>
    <t>-66.85%</t>
  </si>
  <si>
    <t>680.05%</t>
  </si>
  <si>
    <t>Marygold Companies Inc</t>
  </si>
  <si>
    <t>-22.19%</t>
  </si>
  <si>
    <t>63.44%</t>
  </si>
  <si>
    <t>-50.06%</t>
  </si>
  <si>
    <t>0.64 - 2.10</t>
  </si>
  <si>
    <t>249.60%</t>
  </si>
  <si>
    <t>Sphere 3D Corp</t>
  </si>
  <si>
    <t>50.91%</t>
  </si>
  <si>
    <t>46.71%</t>
  </si>
  <si>
    <t>-56.72%</t>
  </si>
  <si>
    <t>-35.32%</t>
  </si>
  <si>
    <t>-51.01%</t>
  </si>
  <si>
    <t>-155.36%</t>
  </si>
  <si>
    <t>-131.43%</t>
  </si>
  <si>
    <t>47.79%</t>
  </si>
  <si>
    <t>88.37%</t>
  </si>
  <si>
    <t>0.36 - 1.90</t>
  </si>
  <si>
    <t>-23.60%</t>
  </si>
  <si>
    <t>EyePoint Pharmaceuticals Inc</t>
  </si>
  <si>
    <t>94.10%</t>
  </si>
  <si>
    <t>-364.27%</t>
  </si>
  <si>
    <t>-337.93%</t>
  </si>
  <si>
    <t>239.51%</t>
  </si>
  <si>
    <t>3.91 - 14.42</t>
  </si>
  <si>
    <t>506.16%</t>
  </si>
  <si>
    <t>37.71%</t>
  </si>
  <si>
    <t>124.62%</t>
  </si>
  <si>
    <t>NeOnc Technologies Holdings Inc</t>
  </si>
  <si>
    <t>-52.20%</t>
  </si>
  <si>
    <t>-79270.74%</t>
  </si>
  <si>
    <t>-80212.77%</t>
  </si>
  <si>
    <t>146.50%</t>
  </si>
  <si>
    <t>-60.56%</t>
  </si>
  <si>
    <t>208.12%</t>
  </si>
  <si>
    <t>3.20 - 25.00</t>
  </si>
  <si>
    <t>167.93%</t>
  </si>
  <si>
    <t>-17.83%</t>
  </si>
  <si>
    <t>Colony Bankcorp, Inc</t>
  </si>
  <si>
    <t>33.10%</t>
  </si>
  <si>
    <t>53.62%</t>
  </si>
  <si>
    <t>13.99 - 18.49</t>
  </si>
  <si>
    <t>830.79%</t>
  </si>
  <si>
    <t>Angiodynamic Inc</t>
  </si>
  <si>
    <t>74.73%</t>
  </si>
  <si>
    <t>93.18%</t>
  </si>
  <si>
    <t>81.30%</t>
  </si>
  <si>
    <t>5.83 - 13.50</t>
  </si>
  <si>
    <t>-66.97%</t>
  </si>
  <si>
    <t>100.95%</t>
  </si>
  <si>
    <t>Design Therapeutics Inc</t>
  </si>
  <si>
    <t>45.84%</t>
  </si>
  <si>
    <t>-7.10%</t>
  </si>
  <si>
    <t>64.23%</t>
  </si>
  <si>
    <t>137.50%</t>
  </si>
  <si>
    <t>2.60 - 7.77</t>
  </si>
  <si>
    <t>-87.77%</t>
  </si>
  <si>
    <t>218.30%</t>
  </si>
  <si>
    <t>72.97%</t>
  </si>
  <si>
    <t>47.37%</t>
  </si>
  <si>
    <t>Northfield Bancorp Inc</t>
  </si>
  <si>
    <t>58.28%</t>
  </si>
  <si>
    <t>9.40 - 14.39</t>
  </si>
  <si>
    <t>103.32%</t>
  </si>
  <si>
    <t>Braemar Hotels &amp; Resorts Inc</t>
  </si>
  <si>
    <t>-18.89%</t>
  </si>
  <si>
    <t>46.87%</t>
  </si>
  <si>
    <t>1.80 - 3.82</t>
  </si>
  <si>
    <t>-87.65%</t>
  </si>
  <si>
    <t>149.56%</t>
  </si>
  <si>
    <t>CNO Financial Group Inc</t>
  </si>
  <si>
    <t>33.85 - 43.20</t>
  </si>
  <si>
    <t>15146.15%</t>
  </si>
  <si>
    <t>Interface Inc</t>
  </si>
  <si>
    <t>101.95%</t>
  </si>
  <si>
    <t>65.26%</t>
  </si>
  <si>
    <t>17.24 - 30.20</t>
  </si>
  <si>
    <t>1864.87%</t>
  </si>
  <si>
    <t>39.80%</t>
  </si>
  <si>
    <t>Glacier Bancorp, Inc</t>
  </si>
  <si>
    <t>78.61%</t>
  </si>
  <si>
    <t>81.21%</t>
  </si>
  <si>
    <t>36.76 - 60.67</t>
  </si>
  <si>
    <t>21861.54%</t>
  </si>
  <si>
    <t>Dominari Holdings Inc</t>
  </si>
  <si>
    <t>455.39%</t>
  </si>
  <si>
    <t>358.04%</t>
  </si>
  <si>
    <t>452.24%</t>
  </si>
  <si>
    <t>99.07%</t>
  </si>
  <si>
    <t>-108.73%</t>
  </si>
  <si>
    <t>-36.01%</t>
  </si>
  <si>
    <t>779.06%</t>
  </si>
  <si>
    <t>0.76 - 12.57</t>
  </si>
  <si>
    <t>290.28%</t>
  </si>
  <si>
    <t>Solarius Capital Acquisition Corp</t>
  </si>
  <si>
    <t>9.94 - 10.05</t>
  </si>
  <si>
    <t>Texas Pacific Land Corporation</t>
  </si>
  <si>
    <t>71.96%</t>
  </si>
  <si>
    <t>88.79%</t>
  </si>
  <si>
    <t>75.88%</t>
  </si>
  <si>
    <t>62.16%</t>
  </si>
  <si>
    <t>845.56 - 1769.14</t>
  </si>
  <si>
    <t>94032.06%</t>
  </si>
  <si>
    <t>-28.80%</t>
  </si>
  <si>
    <t>Five Point Holdings LLC</t>
  </si>
  <si>
    <t>184.42%</t>
  </si>
  <si>
    <t>51.64%</t>
  </si>
  <si>
    <t>78.10%</t>
  </si>
  <si>
    <t>3.42 - 6.71</t>
  </si>
  <si>
    <t>-63.61%</t>
  </si>
  <si>
    <t>223.99%</t>
  </si>
  <si>
    <t>87.42%</t>
  </si>
  <si>
    <t>Riley Exploration Permian Inc</t>
  </si>
  <si>
    <t>39.52%</t>
  </si>
  <si>
    <t>142.30%</t>
  </si>
  <si>
    <t>-18.98%</t>
  </si>
  <si>
    <t>67.31%</t>
  </si>
  <si>
    <t>44.11%</t>
  </si>
  <si>
    <t>-23.76%</t>
  </si>
  <si>
    <t>21.98 - 37.55</t>
  </si>
  <si>
    <t>546.34%</t>
  </si>
  <si>
    <t>Electromed Inc</t>
  </si>
  <si>
    <t>47.61%</t>
  </si>
  <si>
    <t>49.80%</t>
  </si>
  <si>
    <t>78.08%</t>
  </si>
  <si>
    <t>-31.09%</t>
  </si>
  <si>
    <t>17.73 - 35.56</t>
  </si>
  <si>
    <t>2622.62%</t>
  </si>
  <si>
    <t>Affinity Bancshares Inc</t>
  </si>
  <si>
    <t>3/13/2025</t>
  </si>
  <si>
    <t>70.82%</t>
  </si>
  <si>
    <t>24.61%</t>
  </si>
  <si>
    <t>15.72 - 20.80</t>
  </si>
  <si>
    <t>260.49%</t>
  </si>
  <si>
    <t>LiveWire Group Inc</t>
  </si>
  <si>
    <t>-267.47%</t>
  </si>
  <si>
    <t>-350.82%</t>
  </si>
  <si>
    <t>40.33%</t>
  </si>
  <si>
    <t>-46.01%</t>
  </si>
  <si>
    <t>424.67%</t>
  </si>
  <si>
    <t>0.93 - 9.04</t>
  </si>
  <si>
    <t>-60.96%</t>
  </si>
  <si>
    <t>122.83%</t>
  </si>
  <si>
    <t>Loar Holdings Inc</t>
  </si>
  <si>
    <t>29.71%</t>
  </si>
  <si>
    <t>26.91%</t>
  </si>
  <si>
    <t>-70.79%</t>
  </si>
  <si>
    <t>87.93%</t>
  </si>
  <si>
    <t>44.94%</t>
  </si>
  <si>
    <t>-21.37%</t>
  </si>
  <si>
    <t>62.10 - 99.67</t>
  </si>
  <si>
    <t>Nutex Health Inc</t>
  </si>
  <si>
    <t>141.25%</t>
  </si>
  <si>
    <t>222.94%</t>
  </si>
  <si>
    <t>213.98%</t>
  </si>
  <si>
    <t>-46.05%</t>
  </si>
  <si>
    <t>467.73%</t>
  </si>
  <si>
    <t>17.51 - 184.27</t>
  </si>
  <si>
    <t>-99.73%</t>
  </si>
  <si>
    <t>2289.66%</t>
  </si>
  <si>
    <t>-19.11%</t>
  </si>
  <si>
    <t>78.67%</t>
  </si>
  <si>
    <t>397.05%</t>
  </si>
  <si>
    <t>Optical Cable Corp</t>
  </si>
  <si>
    <t>10/28/2015</t>
  </si>
  <si>
    <t>300.99%</t>
  </si>
  <si>
    <t>2.02 - 10.07</t>
  </si>
  <si>
    <t>-97.75%</t>
  </si>
  <si>
    <t>390.91%</t>
  </si>
  <si>
    <t>179.31%</t>
  </si>
  <si>
    <t>154.72%</t>
  </si>
  <si>
    <t>204.51%</t>
  </si>
  <si>
    <t>PodcastOne Inc</t>
  </si>
  <si>
    <t>-10.86%</t>
  </si>
  <si>
    <t>1.10 - 2.94</t>
  </si>
  <si>
    <t>-19.72%</t>
  </si>
  <si>
    <t>Bridgewater Bancshares Inc</t>
  </si>
  <si>
    <t>11.93 - 18.01</t>
  </si>
  <si>
    <t>-15.86%</t>
  </si>
  <si>
    <t>115.19%</t>
  </si>
  <si>
    <t>CSP Inc</t>
  </si>
  <si>
    <t>-13.55%</t>
  </si>
  <si>
    <t>-42.65%</t>
  </si>
  <si>
    <t>9.65 - 21.95</t>
  </si>
  <si>
    <t>-57.94%</t>
  </si>
  <si>
    <t>1673.56%</t>
  </si>
  <si>
    <t>Hennessy Capital Investment Corp VII</t>
  </si>
  <si>
    <t>9.81 - 10.38</t>
  </si>
  <si>
    <t>Columbia Financial, Inc</t>
  </si>
  <si>
    <t>12.64 - 19.28</t>
  </si>
  <si>
    <t>Jaguar Health Inc</t>
  </si>
  <si>
    <t>90.04%</t>
  </si>
  <si>
    <t>86.61%</t>
  </si>
  <si>
    <t>-43.90%</t>
  </si>
  <si>
    <t>62.48%</t>
  </si>
  <si>
    <t>-278.13%</t>
  </si>
  <si>
    <t>-344.16%</t>
  </si>
  <si>
    <t>-78.25%</t>
  </si>
  <si>
    <t>-93.99%</t>
  </si>
  <si>
    <t>1.57 - 35.25</t>
  </si>
  <si>
    <t>-60.59%</t>
  </si>
  <si>
    <t>-92.22%</t>
  </si>
  <si>
    <t>Marine Products Corp</t>
  </si>
  <si>
    <t>113.09%</t>
  </si>
  <si>
    <t>-21.97%</t>
  </si>
  <si>
    <t>7.49 - 10.32</t>
  </si>
  <si>
    <t>-59.78%</t>
  </si>
  <si>
    <t>948.44%</t>
  </si>
  <si>
    <t>Anixa Biosciences Inc</t>
  </si>
  <si>
    <t>61.95%</t>
  </si>
  <si>
    <t>2.07 - 4.20</t>
  </si>
  <si>
    <t>458.64%</t>
  </si>
  <si>
    <t>Ryder System, Inc</t>
  </si>
  <si>
    <t>49.32%</t>
  </si>
  <si>
    <t>125.54 - 191.00</t>
  </si>
  <si>
    <t>1664.51%</t>
  </si>
  <si>
    <t>30.21%</t>
  </si>
  <si>
    <t>Intergroup Corp</t>
  </si>
  <si>
    <t>86.94%</t>
  </si>
  <si>
    <t>9.57 - 20.87</t>
  </si>
  <si>
    <t>-70.96%</t>
  </si>
  <si>
    <t>631.86%</t>
  </si>
  <si>
    <t>Acadian Asset Management Inc</t>
  </si>
  <si>
    <t>-64.56%</t>
  </si>
  <si>
    <t>96.41%</t>
  </si>
  <si>
    <t>49.93%</t>
  </si>
  <si>
    <t>26.37%</t>
  </si>
  <si>
    <t>116.35%</t>
  </si>
  <si>
    <t>22.60 - 51.65</t>
  </si>
  <si>
    <t>1254.43%</t>
  </si>
  <si>
    <t>83.54%</t>
  </si>
  <si>
    <t>Chemung Financial Corp</t>
  </si>
  <si>
    <t>-39.88%</t>
  </si>
  <si>
    <t>40.71 - 55.73</t>
  </si>
  <si>
    <t>355.66%</t>
  </si>
  <si>
    <t>Drilling Tools International Corporation</t>
  </si>
  <si>
    <t>-155.71%</t>
  </si>
  <si>
    <t>-14.52%</t>
  </si>
  <si>
    <t>-40.46%</t>
  </si>
  <si>
    <t>62.59%</t>
  </si>
  <si>
    <t>1.43 - 3.90</t>
  </si>
  <si>
    <t>-79.31%</t>
  </si>
  <si>
    <t>Nexalin Technology Inc</t>
  </si>
  <si>
    <t>163.00%</t>
  </si>
  <si>
    <t>-831.59%</t>
  </si>
  <si>
    <t>-5157.51%</t>
  </si>
  <si>
    <t>-5063.04%</t>
  </si>
  <si>
    <t>-46.60%</t>
  </si>
  <si>
    <t>38.03%</t>
  </si>
  <si>
    <t>0.59 - 4.49</t>
  </si>
  <si>
    <t>283.31%</t>
  </si>
  <si>
    <t>MeiraGTx Holdings plc</t>
  </si>
  <si>
    <t>-5.10%</t>
  </si>
  <si>
    <t>366.84%</t>
  </si>
  <si>
    <t>1208.87%</t>
  </si>
  <si>
    <t>-416.49%</t>
  </si>
  <si>
    <t>-415.39%</t>
  </si>
  <si>
    <t>3.97 - 8.98</t>
  </si>
  <si>
    <t>131.38%</t>
  </si>
  <si>
    <t>DT Cloud Star Acquisition Corp</t>
  </si>
  <si>
    <t>81.93%</t>
  </si>
  <si>
    <t>9.99 - 11.00</t>
  </si>
  <si>
    <t>Natural Resource Partners LP</t>
  </si>
  <si>
    <t>-20.92%</t>
  </si>
  <si>
    <t>64.45%</t>
  </si>
  <si>
    <t>86.83 - 111.71</t>
  </si>
  <si>
    <t>2193.08%</t>
  </si>
  <si>
    <t>CB Financial Services Inc</t>
  </si>
  <si>
    <t>76.19%</t>
  </si>
  <si>
    <t>44.00%</t>
  </si>
  <si>
    <t>28.59%</t>
  </si>
  <si>
    <t>26.01 - 34.00</t>
  </si>
  <si>
    <t>597.38%</t>
  </si>
  <si>
    <t>Valmont Industries, Inc</t>
  </si>
  <si>
    <t>93.04%</t>
  </si>
  <si>
    <t>250.07 - 388.55</t>
  </si>
  <si>
    <t>24260.64%</t>
  </si>
  <si>
    <t>Cardio Diagnostics Holdings Inc</t>
  </si>
  <si>
    <t>-50.16%</t>
  </si>
  <si>
    <t>238.32%</t>
  </si>
  <si>
    <t>-1854.95%</t>
  </si>
  <si>
    <t>-31960.98%</t>
  </si>
  <si>
    <t>-32040.48%</t>
  </si>
  <si>
    <t>-61.58%</t>
  </si>
  <si>
    <t>-13.32%</t>
  </si>
  <si>
    <t>3.22 - 53.10</t>
  </si>
  <si>
    <t>-98.67%</t>
  </si>
  <si>
    <t>-66.92%</t>
  </si>
  <si>
    <t>Bridgford Foods Corp</t>
  </si>
  <si>
    <t>11/23/2012</t>
  </si>
  <si>
    <t>7.35 - 10.83</t>
  </si>
  <si>
    <t>-78.88%</t>
  </si>
  <si>
    <t>2561.70%</t>
  </si>
  <si>
    <t>-19.67%</t>
  </si>
  <si>
    <t>Belpointe PREP LLC</t>
  </si>
  <si>
    <t>-161.19%</t>
  </si>
  <si>
    <t>235.00%</t>
  </si>
  <si>
    <t>38.96%</t>
  </si>
  <si>
    <t>126.86%</t>
  </si>
  <si>
    <t>421.35%</t>
  </si>
  <si>
    <t>-214.15%</t>
  </si>
  <si>
    <t>-307.29%</t>
  </si>
  <si>
    <t>-551.36%</t>
  </si>
  <si>
    <t>56.77 - 82.89</t>
  </si>
  <si>
    <t>-43.87%</t>
  </si>
  <si>
    <t>50.85%</t>
  </si>
  <si>
    <t>L.B. Foster Co</t>
  </si>
  <si>
    <t>9/7/2016</t>
  </si>
  <si>
    <t>125.90%</t>
  </si>
  <si>
    <t>-9.35%</t>
  </si>
  <si>
    <t>57.28%</t>
  </si>
  <si>
    <t>17.16 - 29.77</t>
  </si>
  <si>
    <t>-54.98%</t>
  </si>
  <si>
    <t>1339.47%</t>
  </si>
  <si>
    <t>Red Robin Gourmet Burgers Inc</t>
  </si>
  <si>
    <t>533.33%</t>
  </si>
  <si>
    <t>-13.70%</t>
  </si>
  <si>
    <t>172.20%</t>
  </si>
  <si>
    <t>2.50 - 7.89</t>
  </si>
  <si>
    <t>-92.84%</t>
  </si>
  <si>
    <t>Sandridge Energy Inc</t>
  </si>
  <si>
    <t>-13.96%</t>
  </si>
  <si>
    <t>8.81 - 13.19</t>
  </si>
  <si>
    <t>-49.74%</t>
  </si>
  <si>
    <t>2002.23%</t>
  </si>
  <si>
    <t>Vendome Acquisition Corp I</t>
  </si>
  <si>
    <t>9.89 - 9.95</t>
  </si>
  <si>
    <t>Evercore Inc</t>
  </si>
  <si>
    <t>98.85%</t>
  </si>
  <si>
    <t>29.72%</t>
  </si>
  <si>
    <t>129.18%</t>
  </si>
  <si>
    <t>148.63 - 364.42</t>
  </si>
  <si>
    <t>5306.83%</t>
  </si>
  <si>
    <t>Theravance Biopharma Inc</t>
  </si>
  <si>
    <t>92.68%</t>
  </si>
  <si>
    <t>7.88 - 14.55</t>
  </si>
  <si>
    <t>129.84%</t>
  </si>
  <si>
    <t>74.81%</t>
  </si>
  <si>
    <t>Viridian Therapeutics Inc</t>
  </si>
  <si>
    <t>-53.29%</t>
  </si>
  <si>
    <t>-255.08%</t>
  </si>
  <si>
    <t>-121831.15%</t>
  </si>
  <si>
    <t>-107863.61%</t>
  </si>
  <si>
    <t>19.21%</t>
  </si>
  <si>
    <t>-28.05%</t>
  </si>
  <si>
    <t>97.69%</t>
  </si>
  <si>
    <t>9.90 - 27.20</t>
  </si>
  <si>
    <t>319.54%</t>
  </si>
  <si>
    <t>Utah Medical Products, Inc</t>
  </si>
  <si>
    <t>51.94%</t>
  </si>
  <si>
    <t>32.51%</t>
  </si>
  <si>
    <t>51.26 - 68.99</t>
  </si>
  <si>
    <t>-52.25%</t>
  </si>
  <si>
    <t>10483.39%</t>
  </si>
  <si>
    <t>Xilio Therapeutics Inc</t>
  </si>
  <si>
    <t>536.44%</t>
  </si>
  <si>
    <t>242.98%</t>
  </si>
  <si>
    <t>-103.05%</t>
  </si>
  <si>
    <t>-377.63%</t>
  </si>
  <si>
    <t>-374.79%</t>
  </si>
  <si>
    <t>0.62 - 1.70</t>
  </si>
  <si>
    <t>-97.30%</t>
  </si>
  <si>
    <t>54.16%</t>
  </si>
  <si>
    <t>Target Hospitality Corp</t>
  </si>
  <si>
    <t>40.86%</t>
  </si>
  <si>
    <t>-19.55%</t>
  </si>
  <si>
    <t>123.25%</t>
  </si>
  <si>
    <t>4.00 - 11.10</t>
  </si>
  <si>
    <t>989.02%</t>
  </si>
  <si>
    <t>Daktronics Inc</t>
  </si>
  <si>
    <t>3/6/2020</t>
  </si>
  <si>
    <t>57.67%</t>
  </si>
  <si>
    <t>-15.08%</t>
  </si>
  <si>
    <t>80.66%</t>
  </si>
  <si>
    <t>26.80%</t>
  </si>
  <si>
    <t>103.96%</t>
  </si>
  <si>
    <t>10.24 - 24.38</t>
  </si>
  <si>
    <t>-39.47%</t>
  </si>
  <si>
    <t>5867.70%</t>
  </si>
  <si>
    <t>Construction Partners Inc</t>
  </si>
  <si>
    <t>50.50%</t>
  </si>
  <si>
    <t>84.84%</t>
  </si>
  <si>
    <t>36.78%</t>
  </si>
  <si>
    <t>96.79%</t>
  </si>
  <si>
    <t>64.79 - 138.90</t>
  </si>
  <si>
    <t>1555.91%</t>
  </si>
  <si>
    <t>77.26%</t>
  </si>
  <si>
    <t>79.03%</t>
  </si>
  <si>
    <t>Ascent Industries Co</t>
  </si>
  <si>
    <t>11/29/2018</t>
  </si>
  <si>
    <t>-34.68%</t>
  </si>
  <si>
    <t>-62.84%</t>
  </si>
  <si>
    <t>-6.68%</t>
  </si>
  <si>
    <t>9.00 - 13.70</t>
  </si>
  <si>
    <t>-73.06%</t>
  </si>
  <si>
    <t>785.06%</t>
  </si>
  <si>
    <t>Kulicke &amp; Soffa Industries, Inc</t>
  </si>
  <si>
    <t>-9.54%</t>
  </si>
  <si>
    <t>-22.51%</t>
  </si>
  <si>
    <t>94.16%</t>
  </si>
  <si>
    <t>42.43%</t>
  </si>
  <si>
    <t>26.62 - 52.08</t>
  </si>
  <si>
    <t>4224.27%</t>
  </si>
  <si>
    <t>Donegal Group Inc</t>
  </si>
  <si>
    <t>14.12 - 21.12</t>
  </si>
  <si>
    <t>289.49%</t>
  </si>
  <si>
    <t>Context Therapeutics Inc</t>
  </si>
  <si>
    <t>-46.34%</t>
  </si>
  <si>
    <t>43.75%</t>
  </si>
  <si>
    <t>87.80%</t>
  </si>
  <si>
    <t>0.49 - 2.59</t>
  </si>
  <si>
    <t>-91.53%</t>
  </si>
  <si>
    <t>-53.05%</t>
  </si>
  <si>
    <t>Piper Sandler Co's</t>
  </si>
  <si>
    <t>85.04%</t>
  </si>
  <si>
    <t>73.33%</t>
  </si>
  <si>
    <t>202.91 - 374.77</t>
  </si>
  <si>
    <t>2298.02%</t>
  </si>
  <si>
    <t>Pathfinder Bancorp, Inc</t>
  </si>
  <si>
    <t>13.71 - 19.86</t>
  </si>
  <si>
    <t>-29.92%</t>
  </si>
  <si>
    <t>434.39%</t>
  </si>
  <si>
    <t>NeuroPace Inc</t>
  </si>
  <si>
    <t>75.74%</t>
  </si>
  <si>
    <t>84.95%</t>
  </si>
  <si>
    <t>5.45 - 18.98</t>
  </si>
  <si>
    <t>-63.18%</t>
  </si>
  <si>
    <t>726.23%</t>
  </si>
  <si>
    <t>42.17%</t>
  </si>
  <si>
    <t>Granite Point Mortgage Trust Inc</t>
  </si>
  <si>
    <t>-62.50%</t>
  </si>
  <si>
    <t>-24.42%</t>
  </si>
  <si>
    <t>-63.60%</t>
  </si>
  <si>
    <t>1.61 - 3.66</t>
  </si>
  <si>
    <t>-84.35%</t>
  </si>
  <si>
    <t>InnovAge Holding Corp</t>
  </si>
  <si>
    <t>30.07%</t>
  </si>
  <si>
    <t>2.60 - 6.69</t>
  </si>
  <si>
    <t>56.95%</t>
  </si>
  <si>
    <t>CapsoVision Inc</t>
  </si>
  <si>
    <t>-1736.36%</t>
  </si>
  <si>
    <t>-23.08%</t>
  </si>
  <si>
    <t>3.43 - 5.72</t>
  </si>
  <si>
    <t>Everus Construction Group</t>
  </si>
  <si>
    <t>74.58%</t>
  </si>
  <si>
    <t>155.19%</t>
  </si>
  <si>
    <t>31.38 - 90.00</t>
  </si>
  <si>
    <t>129.00%</t>
  </si>
  <si>
    <t>Accuray Inc</t>
  </si>
  <si>
    <t>61.25%</t>
  </si>
  <si>
    <t>-42.71%</t>
  </si>
  <si>
    <t>48.23%</t>
  </si>
  <si>
    <t>1.14 - 2.95</t>
  </si>
  <si>
    <t>-94.56%</t>
  </si>
  <si>
    <t>New Jersey Resources Corporation</t>
  </si>
  <si>
    <t>210.50%</t>
  </si>
  <si>
    <t>76.80%</t>
  </si>
  <si>
    <t>43.80 - 51.94</t>
  </si>
  <si>
    <t>2434.40%</t>
  </si>
  <si>
    <t>iHeartMedia Inc</t>
  </si>
  <si>
    <t>-99.38%</t>
  </si>
  <si>
    <t>73.60%</t>
  </si>
  <si>
    <t>47.76%</t>
  </si>
  <si>
    <t>-17.27%</t>
  </si>
  <si>
    <t>78.90%</t>
  </si>
  <si>
    <t>190.00%</t>
  </si>
  <si>
    <t>0.95 - 3.33</t>
  </si>
  <si>
    <t>-90.24%</t>
  </si>
  <si>
    <t>238.95%</t>
  </si>
  <si>
    <t>UNIFI, Inc</t>
  </si>
  <si>
    <t>-12.01%</t>
  </si>
  <si>
    <t>-38.28%</t>
  </si>
  <si>
    <t>4.25 - 7.55</t>
  </si>
  <si>
    <t>-32.66%</t>
  </si>
  <si>
    <t>Southern First Bancshares Inc</t>
  </si>
  <si>
    <t>24.75%</t>
  </si>
  <si>
    <t>75.67%</t>
  </si>
  <si>
    <t>29.14 - 46.40</t>
  </si>
  <si>
    <t>-31.19%</t>
  </si>
  <si>
    <t>1315.89%</t>
  </si>
  <si>
    <t>Oppenheimer Holdings Inc</t>
  </si>
  <si>
    <t>95.46%</t>
  </si>
  <si>
    <t>62.32%</t>
  </si>
  <si>
    <t>47.39 - 79.99</t>
  </si>
  <si>
    <t>7113.55%</t>
  </si>
  <si>
    <t>Liquidity Services Inc</t>
  </si>
  <si>
    <t>-24.27%</t>
  </si>
  <si>
    <t>82.84%</t>
  </si>
  <si>
    <t>-30.69%</t>
  </si>
  <si>
    <t>21.23 - 39.72</t>
  </si>
  <si>
    <t>-58.65%</t>
  </si>
  <si>
    <t>814.62%</t>
  </si>
  <si>
    <t>Artius II Acquisition Inc</t>
  </si>
  <si>
    <t>9.85 - 10.20</t>
  </si>
  <si>
    <t>OptimizeRx Corp</t>
  </si>
  <si>
    <t>55.19%</t>
  </si>
  <si>
    <t>1337.13%</t>
  </si>
  <si>
    <t>72.20%</t>
  </si>
  <si>
    <t>-9.42%</t>
  </si>
  <si>
    <t>77.96%</t>
  </si>
  <si>
    <t>394.31%</t>
  </si>
  <si>
    <t>3.78 - 19.47</t>
  </si>
  <si>
    <t>3014.17%</t>
  </si>
  <si>
    <t>113.79%</t>
  </si>
  <si>
    <t>147.81%</t>
  </si>
  <si>
    <t>FTC Solar Inc</t>
  </si>
  <si>
    <t>83.08%</t>
  </si>
  <si>
    <t>-44.06%</t>
  </si>
  <si>
    <t>74.92%</t>
  </si>
  <si>
    <t>-47.78%</t>
  </si>
  <si>
    <t>-78.68%</t>
  </si>
  <si>
    <t>68.79%</t>
  </si>
  <si>
    <t>240.70%</t>
  </si>
  <si>
    <t>2.13 - 8.12</t>
  </si>
  <si>
    <t>-95.31%</t>
  </si>
  <si>
    <t>312.80%</t>
  </si>
  <si>
    <t>63.81%</t>
  </si>
  <si>
    <t>185.71%</t>
  </si>
  <si>
    <t>33.65%</t>
  </si>
  <si>
    <t>Adicet Bio Inc</t>
  </si>
  <si>
    <t>43.09%</t>
  </si>
  <si>
    <t>-46.27%</t>
  </si>
  <si>
    <t>85.06%</t>
  </si>
  <si>
    <t>0.45 - 1.54</t>
  </si>
  <si>
    <t>Ambarella Inc</t>
  </si>
  <si>
    <t>-57.77%</t>
  </si>
  <si>
    <t>57.91%</t>
  </si>
  <si>
    <t>49.88%</t>
  </si>
  <si>
    <t>176.75%</t>
  </si>
  <si>
    <t>85.02%</t>
  </si>
  <si>
    <t>-28.01%</t>
  </si>
  <si>
    <t>-25.46%</t>
  </si>
  <si>
    <t>112.81%</t>
  </si>
  <si>
    <t>38.86 - 93.44</t>
  </si>
  <si>
    <t>1390.09%</t>
  </si>
  <si>
    <t>56.96%</t>
  </si>
  <si>
    <t>Retractable Technologies Inc</t>
  </si>
  <si>
    <t>-58.08%</t>
  </si>
  <si>
    <t>-23.50%</t>
  </si>
  <si>
    <t>46.93%</t>
  </si>
  <si>
    <t>0.56 - 0.89</t>
  </si>
  <si>
    <t>93.02%</t>
  </si>
  <si>
    <t>Maximus Inc</t>
  </si>
  <si>
    <t>63.77 - 93.94</t>
  </si>
  <si>
    <t>1967.88%</t>
  </si>
  <si>
    <t>Labcorp Holdings Inc</t>
  </si>
  <si>
    <t>32.58%</t>
  </si>
  <si>
    <t>-28.70%</t>
  </si>
  <si>
    <t>209.38 - 283.47</t>
  </si>
  <si>
    <t>11460.58%</t>
  </si>
  <si>
    <t>Harte-Hanks, Inc</t>
  </si>
  <si>
    <t>2/26/2016</t>
  </si>
  <si>
    <t>-14.22%</t>
  </si>
  <si>
    <t>-15.60%</t>
  </si>
  <si>
    <t>3.06 - 7.57</t>
  </si>
  <si>
    <t>244.55%</t>
  </si>
  <si>
    <t>Zura Bio Ltd</t>
  </si>
  <si>
    <t>64.30%</t>
  </si>
  <si>
    <t>-57.67%</t>
  </si>
  <si>
    <t>0.97 - 5.07</t>
  </si>
  <si>
    <t>-94.28%</t>
  </si>
  <si>
    <t>-46.35%</t>
  </si>
  <si>
    <t>i3 Verticals Inc</t>
  </si>
  <si>
    <t>-161.16%</t>
  </si>
  <si>
    <t>-68.47%</t>
  </si>
  <si>
    <t>113.13%</t>
  </si>
  <si>
    <t>59.97%</t>
  </si>
  <si>
    <t>50.43%</t>
  </si>
  <si>
    <t>20.51 - 33.44</t>
  </si>
  <si>
    <t>145.20%</t>
  </si>
  <si>
    <t>United States Lime &amp; Minerals Inc</t>
  </si>
  <si>
    <t>42.64%</t>
  </si>
  <si>
    <t>47.20%</t>
  </si>
  <si>
    <t>57.77%</t>
  </si>
  <si>
    <t>80.47 - 159.53</t>
  </si>
  <si>
    <t>24246.28%</t>
  </si>
  <si>
    <t>28.70%</t>
  </si>
  <si>
    <t>34.72%</t>
  </si>
  <si>
    <t>American Vanguard Corp</t>
  </si>
  <si>
    <t>6/26/2024</t>
  </si>
  <si>
    <t>72.73%</t>
  </si>
  <si>
    <t>69.81%</t>
  </si>
  <si>
    <t>3.28 - 6.68</t>
  </si>
  <si>
    <t>-84.95%</t>
  </si>
  <si>
    <t>2898.56%</t>
  </si>
  <si>
    <t>HeartSciences Inc</t>
  </si>
  <si>
    <t>-73.91%</t>
  </si>
  <si>
    <t>-66.40%</t>
  </si>
  <si>
    <t>-32.86%</t>
  </si>
  <si>
    <t>-41.63%</t>
  </si>
  <si>
    <t>-1963.25%</t>
  </si>
  <si>
    <t>-130416.37%</t>
  </si>
  <si>
    <t>-140296.54%</t>
  </si>
  <si>
    <t>-42.81%</t>
  </si>
  <si>
    <t>2.52 - 6.47</t>
  </si>
  <si>
    <t>56.78%</t>
  </si>
  <si>
    <t>-12.94%</t>
  </si>
  <si>
    <t>Douglas Elliman Inc</t>
  </si>
  <si>
    <t>3/22/2023</t>
  </si>
  <si>
    <t>-9.72%</t>
  </si>
  <si>
    <t>120.37%</t>
  </si>
  <si>
    <t>1.35 - 3.20</t>
  </si>
  <si>
    <t>-75.33%</t>
  </si>
  <si>
    <t>197.50%</t>
  </si>
  <si>
    <t>CVD Equipment Corp</t>
  </si>
  <si>
    <t>-19.45%</t>
  </si>
  <si>
    <t>26.28%</t>
  </si>
  <si>
    <t>2.46 - 4.80</t>
  </si>
  <si>
    <t>-83.35%</t>
  </si>
  <si>
    <t>2532.00%</t>
  </si>
  <si>
    <t>Vulcan Materials Co</t>
  </si>
  <si>
    <t>-26.12%</t>
  </si>
  <si>
    <t>215.08 - 302.21</t>
  </si>
  <si>
    <t>6063.24%</t>
  </si>
  <si>
    <t>BridgeBio Oncology Therapeutics Inc</t>
  </si>
  <si>
    <t>-16.88%</t>
  </si>
  <si>
    <t>8.50 - 12.50</t>
  </si>
  <si>
    <t>International Money Express Inc</t>
  </si>
  <si>
    <t>95.25%</t>
  </si>
  <si>
    <t>65.66%</t>
  </si>
  <si>
    <t>-36.46%</t>
  </si>
  <si>
    <t>8.58 - 22.37</t>
  </si>
  <si>
    <t>-49.67%</t>
  </si>
  <si>
    <t>120.02%</t>
  </si>
  <si>
    <t>-24.68%</t>
  </si>
  <si>
    <t>HubSpot Inc</t>
  </si>
  <si>
    <t>84.55%</t>
  </si>
  <si>
    <t>-15.18%</t>
  </si>
  <si>
    <t>418.34 - 881.13</t>
  </si>
  <si>
    <t>1891.90%</t>
  </si>
  <si>
    <t>-13.43%</t>
  </si>
  <si>
    <t>Cns Pharmaceuticals Inc</t>
  </si>
  <si>
    <t>90.20%</t>
  </si>
  <si>
    <t>70.59%</t>
  </si>
  <si>
    <t>75.43%</t>
  </si>
  <si>
    <t>-96.21%</t>
  </si>
  <si>
    <t>4.93 - 221.94</t>
  </si>
  <si>
    <t>-46.84%</t>
  </si>
  <si>
    <t>Perceptive Capital Solutions Corp</t>
  </si>
  <si>
    <t>10.02 - 10.74</t>
  </si>
  <si>
    <t>Oyster Enterprises II Acquisition Corp</t>
  </si>
  <si>
    <t>9.90 - 10.23</t>
  </si>
  <si>
    <t>Backblaze Inc</t>
  </si>
  <si>
    <t>-15.99%</t>
  </si>
  <si>
    <t>-102.29%</t>
  </si>
  <si>
    <t>119.16%</t>
  </si>
  <si>
    <t>57.58%</t>
  </si>
  <si>
    <t>-29.40%</t>
  </si>
  <si>
    <t>54.21%</t>
  </si>
  <si>
    <t>-11.63%</t>
  </si>
  <si>
    <t>142.89%</t>
  </si>
  <si>
    <t>3.94 - 10.83</t>
  </si>
  <si>
    <t>-73.78%</t>
  </si>
  <si>
    <t>173.43%</t>
  </si>
  <si>
    <t>56.89%</t>
  </si>
  <si>
    <t>Alliance Entertainment Holding Corporation</t>
  </si>
  <si>
    <t>206.32%</t>
  </si>
  <si>
    <t>2.21 - 11.57</t>
  </si>
  <si>
    <t>-44.69%</t>
  </si>
  <si>
    <t>940.74%</t>
  </si>
  <si>
    <t>68.41%</t>
  </si>
  <si>
    <t>Nabors Energy Transition Corp. II</t>
  </si>
  <si>
    <t>142.22%</t>
  </si>
  <si>
    <t>10.64 - 11.47</t>
  </si>
  <si>
    <t>Cincinnati Financial Corp</t>
  </si>
  <si>
    <t>70.20%</t>
  </si>
  <si>
    <t>123.01 - 161.74</t>
  </si>
  <si>
    <t>6518.03%</t>
  </si>
  <si>
    <t>Scholastic Corp</t>
  </si>
  <si>
    <t>51.63%</t>
  </si>
  <si>
    <t>29.22%</t>
  </si>
  <si>
    <t>72.04%</t>
  </si>
  <si>
    <t>15.77 - 34.18</t>
  </si>
  <si>
    <t>45.47%</t>
  </si>
  <si>
    <t>FGI Industries Ltd</t>
  </si>
  <si>
    <t>-2340.00%</t>
  </si>
  <si>
    <t>102.15%</t>
  </si>
  <si>
    <t>188.59%</t>
  </si>
  <si>
    <t>2.28 - 12.62</t>
  </si>
  <si>
    <t>130.90%</t>
  </si>
  <si>
    <t>Shuttle Pharmaceuticals Holdings Inc</t>
  </si>
  <si>
    <t>-16.94%</t>
  </si>
  <si>
    <t>3.00 - 56.25</t>
  </si>
  <si>
    <t>-58.27%</t>
  </si>
  <si>
    <t>-87.88%</t>
  </si>
  <si>
    <t>Oaktree Acquisition Corp. III Life Sciences</t>
  </si>
  <si>
    <t>72.39%</t>
  </si>
  <si>
    <t>9.95 - 10.85</t>
  </si>
  <si>
    <t>Donaldson Co. Inc</t>
  </si>
  <si>
    <t>57.45 - 83.31</t>
  </si>
  <si>
    <t>24017.21%</t>
  </si>
  <si>
    <t>Greenidge Generation Holdings Inc</t>
  </si>
  <si>
    <t>-33.68%</t>
  </si>
  <si>
    <t>-22.09%</t>
  </si>
  <si>
    <t>-56.37%</t>
  </si>
  <si>
    <t>188.79%</t>
  </si>
  <si>
    <t>0.58 - 3.84</t>
  </si>
  <si>
    <t>Manhattan Bridge Capital Inc</t>
  </si>
  <si>
    <t>59.04%</t>
  </si>
  <si>
    <t>-9.59%</t>
  </si>
  <si>
    <t>4.74 - 6.05</t>
  </si>
  <si>
    <t>951.92%</t>
  </si>
  <si>
    <t>International Seaways Inc</t>
  </si>
  <si>
    <t>188.62%</t>
  </si>
  <si>
    <t>-22.01%</t>
  </si>
  <si>
    <t>76.28%</t>
  </si>
  <si>
    <t>26.83 - 51.54</t>
  </si>
  <si>
    <t>660.33%</t>
  </si>
  <si>
    <t>Stem Inc</t>
  </si>
  <si>
    <t>-76.70%</t>
  </si>
  <si>
    <t>-651.98%</t>
  </si>
  <si>
    <t>-65.73%</t>
  </si>
  <si>
    <t>-14.04%</t>
  </si>
  <si>
    <t>112.64%</t>
  </si>
  <si>
    <t>218.20%</t>
  </si>
  <si>
    <t>5.81 - 33.60</t>
  </si>
  <si>
    <t>187.71%</t>
  </si>
  <si>
    <t>188.25%</t>
  </si>
  <si>
    <t>Medpace Holdings Inc</t>
  </si>
  <si>
    <t>250.05 - 506.55</t>
  </si>
  <si>
    <t>2155.19%</t>
  </si>
  <si>
    <t>57.95%</t>
  </si>
  <si>
    <t>55.00%</t>
  </si>
  <si>
    <t>CFSB Bancorp Inc</t>
  </si>
  <si>
    <t>121.22%</t>
  </si>
  <si>
    <t>6.41 - 14.24</t>
  </si>
  <si>
    <t>142.39%</t>
  </si>
  <si>
    <t>111.01%</t>
  </si>
  <si>
    <t>Orion Energy Systems Inc</t>
  </si>
  <si>
    <t>5.50 - 10.35</t>
  </si>
  <si>
    <t>-96.17%</t>
  </si>
  <si>
    <t>TaskUs Inc</t>
  </si>
  <si>
    <t>68.49%</t>
  </si>
  <si>
    <t>10.57 - 19.60</t>
  </si>
  <si>
    <t>124.15%</t>
  </si>
  <si>
    <t>41.45%</t>
  </si>
  <si>
    <t>Waldencast plc</t>
  </si>
  <si>
    <t>45.86%</t>
  </si>
  <si>
    <t>-689.39%</t>
  </si>
  <si>
    <t>-14.26%</t>
  </si>
  <si>
    <t>-52.15%</t>
  </si>
  <si>
    <t>1.48 - 4.18</t>
  </si>
  <si>
    <t>-83.47%</t>
  </si>
  <si>
    <t>Keros Therapeutics Inc</t>
  </si>
  <si>
    <t>-25.74%</t>
  </si>
  <si>
    <t>-48.13%</t>
  </si>
  <si>
    <t>85820.30%</t>
  </si>
  <si>
    <t>-43.89%</t>
  </si>
  <si>
    <t>-18.71%</t>
  </si>
  <si>
    <t>49002.70%</t>
  </si>
  <si>
    <t>9.12 - 72.37</t>
  </si>
  <si>
    <t>-82.15%</t>
  </si>
  <si>
    <t>-71.48%</t>
  </si>
  <si>
    <t>Digi International, Inc</t>
  </si>
  <si>
    <t>100.96%</t>
  </si>
  <si>
    <t>63.87%</t>
  </si>
  <si>
    <t>22.39 - 38.64</t>
  </si>
  <si>
    <t>-16.00%</t>
  </si>
  <si>
    <t>2193.12%</t>
  </si>
  <si>
    <t>Globe Life Inc</t>
  </si>
  <si>
    <t>100.27 - 147.83</t>
  </si>
  <si>
    <t>13396.22%</t>
  </si>
  <si>
    <t>Ameris Bancorp</t>
  </si>
  <si>
    <t>48.27 - 76.58</t>
  </si>
  <si>
    <t>2120.75%</t>
  </si>
  <si>
    <t>27.71%</t>
  </si>
  <si>
    <t>Mega Fortune Co Ltd</t>
  </si>
  <si>
    <t>189.61%</t>
  </si>
  <si>
    <t>1.50 - 4.61</t>
  </si>
  <si>
    <t>American Coastal Insurance Corp</t>
  </si>
  <si>
    <t>1/2/2025</t>
  </si>
  <si>
    <t>-22.39%</t>
  </si>
  <si>
    <t>8.49 - 14.52</t>
  </si>
  <si>
    <t>-58.37%</t>
  </si>
  <si>
    <t>3951.57%</t>
  </si>
  <si>
    <t>REX American Resources Corp</t>
  </si>
  <si>
    <t>33.42%</t>
  </si>
  <si>
    <t>83.51%</t>
  </si>
  <si>
    <t>16.73 - 32.47</t>
  </si>
  <si>
    <t>17346.05%</t>
  </si>
  <si>
    <t>FreightCar America Inc</t>
  </si>
  <si>
    <t>8/15/2017</t>
  </si>
  <si>
    <t>117.98%</t>
  </si>
  <si>
    <t>4.31 - 16.10</t>
  </si>
  <si>
    <t>1187.00%</t>
  </si>
  <si>
    <t>AECOM</t>
  </si>
  <si>
    <t>90.83%</t>
  </si>
  <si>
    <t>85.00 - 133.81</t>
  </si>
  <si>
    <t>793.24%</t>
  </si>
  <si>
    <t>Sinclair Inc</t>
  </si>
  <si>
    <t>-16.98%</t>
  </si>
  <si>
    <t>11.89 - 18.45</t>
  </si>
  <si>
    <t>-78.04%</t>
  </si>
  <si>
    <t>1884.59%</t>
  </si>
  <si>
    <t>Core Laboratories Inc</t>
  </si>
  <si>
    <t>111.75%</t>
  </si>
  <si>
    <t>-8.71%</t>
  </si>
  <si>
    <t>-42.37%</t>
  </si>
  <si>
    <t>9.72 - 21.83</t>
  </si>
  <si>
    <t>442.83%</t>
  </si>
  <si>
    <t>Winmark Corporation</t>
  </si>
  <si>
    <t>31.21%</t>
  </si>
  <si>
    <t>83.82%</t>
  </si>
  <si>
    <t>96.24%</t>
  </si>
  <si>
    <t>49.48%</t>
  </si>
  <si>
    <t>295.79 - 518.48</t>
  </si>
  <si>
    <t>24703.24%</t>
  </si>
  <si>
    <t>53.00%</t>
  </si>
  <si>
    <t>Forward Industries, Inc</t>
  </si>
  <si>
    <t>-30.05%</t>
  </si>
  <si>
    <t>-68.37%</t>
  </si>
  <si>
    <t>-27.07%</t>
  </si>
  <si>
    <t>20.50%</t>
  </si>
  <si>
    <t>64.02%</t>
  </si>
  <si>
    <t>232.84%</t>
  </si>
  <si>
    <t>234.49%</t>
  </si>
  <si>
    <t>797.94%</t>
  </si>
  <si>
    <t>3.30 - 46.00</t>
  </si>
  <si>
    <t>-90.07%</t>
  </si>
  <si>
    <t>856.13%</t>
  </si>
  <si>
    <t>389.11%</t>
  </si>
  <si>
    <t>582.95%</t>
  </si>
  <si>
    <t>798.18%</t>
  </si>
  <si>
    <t>Service Corp. International</t>
  </si>
  <si>
    <t>71.75 - 89.37</t>
  </si>
  <si>
    <t>5108.64%</t>
  </si>
  <si>
    <t>LTC Properties, Inc</t>
  </si>
  <si>
    <t>111.63%</t>
  </si>
  <si>
    <t>76.18%</t>
  </si>
  <si>
    <t>67.07%</t>
  </si>
  <si>
    <t>31.70 - 39.89</t>
  </si>
  <si>
    <t>1142.04%</t>
  </si>
  <si>
    <t>Oramed Pharmaceuticals, Inc</t>
  </si>
  <si>
    <t>196.74%</t>
  </si>
  <si>
    <t>-683.65%</t>
  </si>
  <si>
    <t>-1208.10%</t>
  </si>
  <si>
    <t>1.82 - 3.09</t>
  </si>
  <si>
    <t>-92.44%</t>
  </si>
  <si>
    <t>2540.00%</t>
  </si>
  <si>
    <t>Lulus Fashion Lounge Holdings Inc</t>
  </si>
  <si>
    <t>-156.79%</t>
  </si>
  <si>
    <t>-38.20%</t>
  </si>
  <si>
    <t>-23.20%</t>
  </si>
  <si>
    <t>-82.48%</t>
  </si>
  <si>
    <t>2.98 - 28.05</t>
  </si>
  <si>
    <t>-98.46%</t>
  </si>
  <si>
    <t>-78.72%</t>
  </si>
  <si>
    <t>Soulpower Acquisition Corp</t>
  </si>
  <si>
    <t>9.69 - 11.00</t>
  </si>
  <si>
    <t>TOMI Environmental Solutions Inc</t>
  </si>
  <si>
    <t>-65.78%</t>
  </si>
  <si>
    <t>-75.41%</t>
  </si>
  <si>
    <t>-14.88%</t>
  </si>
  <si>
    <t>-31.90%</t>
  </si>
  <si>
    <t>0.63 - 1.50</t>
  </si>
  <si>
    <t>-98.58%</t>
  </si>
  <si>
    <t>1176.88%</t>
  </si>
  <si>
    <t>Quicklogic Corp</t>
  </si>
  <si>
    <t>33.37%</t>
  </si>
  <si>
    <t>-28.57%</t>
  </si>
  <si>
    <t>-34.55%</t>
  </si>
  <si>
    <t>4.26 - 13.36</t>
  </si>
  <si>
    <t>-99.02%</t>
  </si>
  <si>
    <t>189.53%</t>
  </si>
  <si>
    <t>Adagio Medical Holdings Inc</t>
  </si>
  <si>
    <t>-143.50%</t>
  </si>
  <si>
    <t>-816.44%</t>
  </si>
  <si>
    <t>-777.17%</t>
  </si>
  <si>
    <t>-9813.04%</t>
  </si>
  <si>
    <t>-22875.16%</t>
  </si>
  <si>
    <t>-14.54%</t>
  </si>
  <si>
    <t>59.32%</t>
  </si>
  <si>
    <t>200.80%</t>
  </si>
  <si>
    <t>0.62 - 4.20</t>
  </si>
  <si>
    <t>97.89%</t>
  </si>
  <si>
    <t>-45.27%</t>
  </si>
  <si>
    <t>Dogwood Therapeutics Inc</t>
  </si>
  <si>
    <t>-151.90%</t>
  </si>
  <si>
    <t>-82.45%</t>
  </si>
  <si>
    <t>217.28%</t>
  </si>
  <si>
    <t>1.62 - 29.28</t>
  </si>
  <si>
    <t>-98.77%</t>
  </si>
  <si>
    <t>-14.05%</t>
  </si>
  <si>
    <t>MV Oil Trust</t>
  </si>
  <si>
    <t>4.63 - 10.31</t>
  </si>
  <si>
    <t>-86.98%</t>
  </si>
  <si>
    <t>246.03%</t>
  </si>
  <si>
    <t>-17326.02%</t>
  </si>
  <si>
    <t>-25.07%</t>
  </si>
  <si>
    <t>90.03%</t>
  </si>
  <si>
    <t>4.25 - 10.79</t>
  </si>
  <si>
    <t>-89.31%</t>
  </si>
  <si>
    <t>8X8 Inc</t>
  </si>
  <si>
    <t>67.53%</t>
  </si>
  <si>
    <t>-37.07%</t>
  </si>
  <si>
    <t>1.52 - 3.52</t>
  </si>
  <si>
    <t>-94.35%</t>
  </si>
  <si>
    <t>1202.94%</t>
  </si>
  <si>
    <t>Investar Holding Corp</t>
  </si>
  <si>
    <t>38.94%</t>
  </si>
  <si>
    <t>15.39 - 24.81</t>
  </si>
  <si>
    <t>175.03%</t>
  </si>
  <si>
    <t>28.86%</t>
  </si>
  <si>
    <t>Contineum Therapeutics Inc</t>
  </si>
  <si>
    <t>44.02%</t>
  </si>
  <si>
    <t>205.00%</t>
  </si>
  <si>
    <t>245.97%</t>
  </si>
  <si>
    <t>3.35 - 20.24</t>
  </si>
  <si>
    <t>182.00%</t>
  </si>
  <si>
    <t>CoastalSouth Bancshares Inc</t>
  </si>
  <si>
    <t>19.24 - 24.25</t>
  </si>
  <si>
    <t>155.99%</t>
  </si>
  <si>
    <t>Phibro Animal Health Corp</t>
  </si>
  <si>
    <t>38.63%</t>
  </si>
  <si>
    <t>51.96%</t>
  </si>
  <si>
    <t>16.16 - 41.57</t>
  </si>
  <si>
    <t>-29.31%</t>
  </si>
  <si>
    <t>310.74%</t>
  </si>
  <si>
    <t>78.09%</t>
  </si>
  <si>
    <t>75.18%</t>
  </si>
  <si>
    <t>Vishay Precision Group Inc</t>
  </si>
  <si>
    <t>70.33%</t>
  </si>
  <si>
    <t>18.57 - 33.81</t>
  </si>
  <si>
    <t>226.08%</t>
  </si>
  <si>
    <t>34.25%</t>
  </si>
  <si>
    <t>Duos Technologies Group Inc</t>
  </si>
  <si>
    <t>172.93%</t>
  </si>
  <si>
    <t>279.75%</t>
  </si>
  <si>
    <t>-39.53%</t>
  </si>
  <si>
    <t>-66.52%</t>
  </si>
  <si>
    <t>-67.62%</t>
  </si>
  <si>
    <t>32.12%</t>
  </si>
  <si>
    <t>-17.69%</t>
  </si>
  <si>
    <t>200.39%</t>
  </si>
  <si>
    <t>2.54 - 9.27</t>
  </si>
  <si>
    <t>323.70%</t>
  </si>
  <si>
    <t>194.59%</t>
  </si>
  <si>
    <t>A10 Networks Inc</t>
  </si>
  <si>
    <t>100.91%</t>
  </si>
  <si>
    <t>79.72%</t>
  </si>
  <si>
    <t>13.79 - 21.90</t>
  </si>
  <si>
    <t>432.07%</t>
  </si>
  <si>
    <t>Netsol Technologies, Inc</t>
  </si>
  <si>
    <t>-39.49%</t>
  </si>
  <si>
    <t>124.30%</t>
  </si>
  <si>
    <t>2.14 - 5.32</t>
  </si>
  <si>
    <t>179.67%</t>
  </si>
  <si>
    <t>63.27%</t>
  </si>
  <si>
    <t>Globalstar Inc</t>
  </si>
  <si>
    <t>160.20%</t>
  </si>
  <si>
    <t>15.00 - 41.10</t>
  </si>
  <si>
    <t>-87.10%</t>
  </si>
  <si>
    <t>1420.89%</t>
  </si>
  <si>
    <t>45.37%</t>
  </si>
  <si>
    <t>51.95%</t>
  </si>
  <si>
    <t>93.33%</t>
  </si>
  <si>
    <t>Avalon Holdings Corp</t>
  </si>
  <si>
    <t>-34.73%</t>
  </si>
  <si>
    <t>2.10 - 3.99</t>
  </si>
  <si>
    <t>183.09%</t>
  </si>
  <si>
    <t>Synlogic Inc</t>
  </si>
  <si>
    <t>40.39%</t>
  </si>
  <si>
    <t>-83.42%</t>
  </si>
  <si>
    <t>85.97%</t>
  </si>
  <si>
    <t>0.90 - 1.96</t>
  </si>
  <si>
    <t>Ohio Valley Banc Corp</t>
  </si>
  <si>
    <t>21.86 - 40.99</t>
  </si>
  <si>
    <t>414.51%</t>
  </si>
  <si>
    <t>54.00%</t>
  </si>
  <si>
    <t>Bancorp Inc</t>
  </si>
  <si>
    <t>-12.65%</t>
  </si>
  <si>
    <t>109.40%</t>
  </si>
  <si>
    <t>37.54%</t>
  </si>
  <si>
    <t>31.97%</t>
  </si>
  <si>
    <t>40.51 - 80.76</t>
  </si>
  <si>
    <t>3576.74%</t>
  </si>
  <si>
    <t>American Woodmark Corp</t>
  </si>
  <si>
    <t>6/9/2011</t>
  </si>
  <si>
    <t>-12.21%</t>
  </si>
  <si>
    <t>-23.88%</t>
  </si>
  <si>
    <t>96.08%</t>
  </si>
  <si>
    <t>50.00 - 104.28</t>
  </si>
  <si>
    <t>6577.73%</t>
  </si>
  <si>
    <t>-25.59%</t>
  </si>
  <si>
    <t>EPR Properties</t>
  </si>
  <si>
    <t>211.93%</t>
  </si>
  <si>
    <t>41.75 - 61.24</t>
  </si>
  <si>
    <t>-30.28%</t>
  </si>
  <si>
    <t>490.31%</t>
  </si>
  <si>
    <t>Ranpak Holdings Corp</t>
  </si>
  <si>
    <t>-17.34%</t>
  </si>
  <si>
    <t>82.17%</t>
  </si>
  <si>
    <t>-9.06%</t>
  </si>
  <si>
    <t>-17.76%</t>
  </si>
  <si>
    <t>57.96%</t>
  </si>
  <si>
    <t>2.91 - 8.70</t>
  </si>
  <si>
    <t>-87.92%</t>
  </si>
  <si>
    <t>Monarch Casino &amp; Resort, Inc</t>
  </si>
  <si>
    <t>44.47%</t>
  </si>
  <si>
    <t>69.99 - 113.88</t>
  </si>
  <si>
    <t>11067.49%</t>
  </si>
  <si>
    <t>ABVC BioPharma Inc</t>
  </si>
  <si>
    <t>9/16/2013</t>
  </si>
  <si>
    <t>186.84%</t>
  </si>
  <si>
    <t>-836.36%</t>
  </si>
  <si>
    <t>-781.19%</t>
  </si>
  <si>
    <t>-42.88%</t>
  </si>
  <si>
    <t>682.50%</t>
  </si>
  <si>
    <t>0.40 - 5.48</t>
  </si>
  <si>
    <t>291.74%</t>
  </si>
  <si>
    <t>366.33%</t>
  </si>
  <si>
    <t>Motorcar Parts of America Inc</t>
  </si>
  <si>
    <t>-20.74%</t>
  </si>
  <si>
    <t>213.47%</t>
  </si>
  <si>
    <t>5.16 - 17.72</t>
  </si>
  <si>
    <t>-60.58%</t>
  </si>
  <si>
    <t>3881.54%</t>
  </si>
  <si>
    <t>60.15%</t>
  </si>
  <si>
    <t>61.43%</t>
  </si>
  <si>
    <t>155.13%</t>
  </si>
  <si>
    <t>Tactile Systems Technology Inc</t>
  </si>
  <si>
    <t>60.51%</t>
  </si>
  <si>
    <t>8.61 - 21.10</t>
  </si>
  <si>
    <t>120.06%</t>
  </si>
  <si>
    <t>SEACOR Marine Holdings Inc</t>
  </si>
  <si>
    <t>-25.40%</t>
  </si>
  <si>
    <t>3.63 - 10.30</t>
  </si>
  <si>
    <t>-77.20%</t>
  </si>
  <si>
    <t>374.66%</t>
  </si>
  <si>
    <t>31.50%</t>
  </si>
  <si>
    <t>-28.85%</t>
  </si>
  <si>
    <t>StepStone Group Inc</t>
  </si>
  <si>
    <t>90.82%</t>
  </si>
  <si>
    <t>96.64%</t>
  </si>
  <si>
    <t>-17.03%</t>
  </si>
  <si>
    <t>39.79 - 69.88</t>
  </si>
  <si>
    <t>236.50%</t>
  </si>
  <si>
    <t>NorthWestern Energy Group Inc</t>
  </si>
  <si>
    <t>50.43 - 59.89</t>
  </si>
  <si>
    <t>249.67%</t>
  </si>
  <si>
    <t>Mechanics Bancorp</t>
  </si>
  <si>
    <t>9/9/2024</t>
  </si>
  <si>
    <t>-726.70%</t>
  </si>
  <si>
    <t>8.41 - 15.98</t>
  </si>
  <si>
    <t>233.57%</t>
  </si>
  <si>
    <t>AEON Biopharma Inc</t>
  </si>
  <si>
    <t>-87.46%</t>
  </si>
  <si>
    <t>0.38 - 115.57</t>
  </si>
  <si>
    <t>Quartzsea Acquisition Corp</t>
  </si>
  <si>
    <t>35.24%</t>
  </si>
  <si>
    <t>9.96 - 10.15</t>
  </si>
  <si>
    <t>FinWise Bancorp</t>
  </si>
  <si>
    <t>-34.16%</t>
  </si>
  <si>
    <t>35.50%</t>
  </si>
  <si>
    <t>13.48 - 22.49</t>
  </si>
  <si>
    <t>44.53%</t>
  </si>
  <si>
    <t>Aimei Health Technology Co Ltd</t>
  </si>
  <si>
    <t>10.24 - 11.38</t>
  </si>
  <si>
    <t>Addus HomeCare Corporation</t>
  </si>
  <si>
    <t>-14.98%</t>
  </si>
  <si>
    <t>88.96 - 136.72</t>
  </si>
  <si>
    <t>4051.43%</t>
  </si>
  <si>
    <t>Netgear Inc</t>
  </si>
  <si>
    <t>-36.06%</t>
  </si>
  <si>
    <t>140.00%</t>
  </si>
  <si>
    <t>18.75 - 31.55</t>
  </si>
  <si>
    <t>463.35%</t>
  </si>
  <si>
    <t>38.10%</t>
  </si>
  <si>
    <t>McKinley Acquisition Corp</t>
  </si>
  <si>
    <t>9.97 - 10.01</t>
  </si>
  <si>
    <t>Mountain Lake Acquisition Corp</t>
  </si>
  <si>
    <t>9.94 - 10.32</t>
  </si>
  <si>
    <t>Biofrontera Inc</t>
  </si>
  <si>
    <t>58.21%</t>
  </si>
  <si>
    <t>29.20%</t>
  </si>
  <si>
    <t>-41.59%</t>
  </si>
  <si>
    <t>-42.34%</t>
  </si>
  <si>
    <t>21.00%</t>
  </si>
  <si>
    <t>0.54 - 2.22</t>
  </si>
  <si>
    <t>-23.82%</t>
  </si>
  <si>
    <t>Landmark Bancorp Inc</t>
  </si>
  <si>
    <t>19.00 - 31.04</t>
  </si>
  <si>
    <t>847.56%</t>
  </si>
  <si>
    <t>43.01%</t>
  </si>
  <si>
    <t>Red River Bancshares Inc</t>
  </si>
  <si>
    <t>46.33 - 68.20</t>
  </si>
  <si>
    <t>122.84%</t>
  </si>
  <si>
    <t>Siddhi Acquisition Corp</t>
  </si>
  <si>
    <t>75.13%</t>
  </si>
  <si>
    <t>10.00 - 10.18</t>
  </si>
  <si>
    <t>Snap-on, Inc</t>
  </si>
  <si>
    <t>19.11%</t>
  </si>
  <si>
    <t>284.38 - 373.89</t>
  </si>
  <si>
    <t>3663.67%</t>
  </si>
  <si>
    <t>Graham Corp</t>
  </si>
  <si>
    <t>11/8/2021</t>
  </si>
  <si>
    <t>113.84%</t>
  </si>
  <si>
    <t>24.78 - 58.00</t>
  </si>
  <si>
    <t>8984.00%</t>
  </si>
  <si>
    <t>75.93%</t>
  </si>
  <si>
    <t>Climb Global Solutions Inc</t>
  </si>
  <si>
    <t>56.45%</t>
  </si>
  <si>
    <t>72.99%</t>
  </si>
  <si>
    <t>54.44%</t>
  </si>
  <si>
    <t>62.90%</t>
  </si>
  <si>
    <t>38.36%</t>
  </si>
  <si>
    <t>88.90 - 144.99</t>
  </si>
  <si>
    <t>8025.60%</t>
  </si>
  <si>
    <t>30.54%</t>
  </si>
  <si>
    <t>Nu Skin Enterprises, Inc</t>
  </si>
  <si>
    <t>-30.50%</t>
  </si>
  <si>
    <t>51.47%</t>
  </si>
  <si>
    <t>-15.39%</t>
  </si>
  <si>
    <t>54.62%</t>
  </si>
  <si>
    <t>132.52%</t>
  </si>
  <si>
    <t>5.32 - 14.62</t>
  </si>
  <si>
    <t>-91.20%</t>
  </si>
  <si>
    <t>191.06%</t>
  </si>
  <si>
    <t>52.90%</t>
  </si>
  <si>
    <t>Armata Pharmaceuticals Inc</t>
  </si>
  <si>
    <t>-514.41%</t>
  </si>
  <si>
    <t>-374.30%</t>
  </si>
  <si>
    <t>233.58%</t>
  </si>
  <si>
    <t>0.90 - 3.14</t>
  </si>
  <si>
    <t>260.47%</t>
  </si>
  <si>
    <t>81.56%</t>
  </si>
  <si>
    <t>Great Elm Capital Corp</t>
  </si>
  <si>
    <t>419.14%</t>
  </si>
  <si>
    <t>8.87 - 11.45</t>
  </si>
  <si>
    <t>Genco Shipping &amp; Trading Limited</t>
  </si>
  <si>
    <t>69.92%</t>
  </si>
  <si>
    <t>89.70%</t>
  </si>
  <si>
    <t>57.70%</t>
  </si>
  <si>
    <t>11.20 - 19.60</t>
  </si>
  <si>
    <t>423.06%</t>
  </si>
  <si>
    <t>AudioEye Inc</t>
  </si>
  <si>
    <t>38.73%</t>
  </si>
  <si>
    <t>-60.34%</t>
  </si>
  <si>
    <t>8.91 - 34.85</t>
  </si>
  <si>
    <t>1947.41%</t>
  </si>
  <si>
    <t>Owlet Inc</t>
  </si>
  <si>
    <t>53.98%</t>
  </si>
  <si>
    <t>25.91%</t>
  </si>
  <si>
    <t>-919.35%</t>
  </si>
  <si>
    <t>52.56%</t>
  </si>
  <si>
    <t>-8.79%</t>
  </si>
  <si>
    <t>-57.69%</t>
  </si>
  <si>
    <t>201.82%</t>
  </si>
  <si>
    <t>2.75 - 10.30</t>
  </si>
  <si>
    <t>229.27%</t>
  </si>
  <si>
    <t>90.80%</t>
  </si>
  <si>
    <t>Silvaco Group Inc</t>
  </si>
  <si>
    <t>-216.72%</t>
  </si>
  <si>
    <t>-108.33%</t>
  </si>
  <si>
    <t>78.04%</t>
  </si>
  <si>
    <t>-18.40%</t>
  </si>
  <si>
    <t>-64.88%</t>
  </si>
  <si>
    <t>56.34%</t>
  </si>
  <si>
    <t>3.55 - 15.81</t>
  </si>
  <si>
    <t>-63.37%</t>
  </si>
  <si>
    <t>NeuroOne Medical Technologies Corp</t>
  </si>
  <si>
    <t>145.48%</t>
  </si>
  <si>
    <t>142.23%</t>
  </si>
  <si>
    <t>-58.91%</t>
  </si>
  <si>
    <t>129.89%</t>
  </si>
  <si>
    <t>0.40 - 1.39</t>
  </si>
  <si>
    <t>InfuSystem Holdings Inc</t>
  </si>
  <si>
    <t>62.27%</t>
  </si>
  <si>
    <t>233.33%</t>
  </si>
  <si>
    <t>52.91%</t>
  </si>
  <si>
    <t>43.10%</t>
  </si>
  <si>
    <t>121.69%</t>
  </si>
  <si>
    <t>4.61 - 11.04</t>
  </si>
  <si>
    <t>-56.06%</t>
  </si>
  <si>
    <t>1262.67%</t>
  </si>
  <si>
    <t>66.99%</t>
  </si>
  <si>
    <t>Widepoint Corp</t>
  </si>
  <si>
    <t>139.05%</t>
  </si>
  <si>
    <t>2.19 - 6.25</t>
  </si>
  <si>
    <t>924.51%</t>
  </si>
  <si>
    <t>51.89%</t>
  </si>
  <si>
    <t>57.85%</t>
  </si>
  <si>
    <t>657497.50 - 812855.00</t>
  </si>
  <si>
    <t>61616.24%</t>
  </si>
  <si>
    <t>Summit State Bank</t>
  </si>
  <si>
    <t>10/3/2024</t>
  </si>
  <si>
    <t>-41.67%</t>
  </si>
  <si>
    <t>5.68 - 12.60</t>
  </si>
  <si>
    <t>-39.65%</t>
  </si>
  <si>
    <t>302.82%</t>
  </si>
  <si>
    <t>Woodward Inc</t>
  </si>
  <si>
    <t>69.09%</t>
  </si>
  <si>
    <t>146.82 - 267.45</t>
  </si>
  <si>
    <t>9667.48%</t>
  </si>
  <si>
    <t>Standard Motor Products, Inc</t>
  </si>
  <si>
    <t>35.85%</t>
  </si>
  <si>
    <t>21.38 - 41.54</t>
  </si>
  <si>
    <t>2852.46%</t>
  </si>
  <si>
    <t>55.69%</t>
  </si>
  <si>
    <t>Excelerate Energy Inc</t>
  </si>
  <si>
    <t>103.88%</t>
  </si>
  <si>
    <t>20.99 - 32.99</t>
  </si>
  <si>
    <t>87.86%</t>
  </si>
  <si>
    <t>Trio-Tech International</t>
  </si>
  <si>
    <t>2/21/2008</t>
  </si>
  <si>
    <t>4.62 - 7.88</t>
  </si>
  <si>
    <t>-86.59%</t>
  </si>
  <si>
    <t>852.23%</t>
  </si>
  <si>
    <t>Xperi Inc</t>
  </si>
  <si>
    <t>57.94%</t>
  </si>
  <si>
    <t>89.11%</t>
  </si>
  <si>
    <t>-11.82%</t>
  </si>
  <si>
    <t>-17.45%</t>
  </si>
  <si>
    <t>5.68 - 11.07</t>
  </si>
  <si>
    <t>-75.15%</t>
  </si>
  <si>
    <t>-21.31%</t>
  </si>
  <si>
    <t>Tyra Biosciences Inc</t>
  </si>
  <si>
    <t>-33.55%</t>
  </si>
  <si>
    <t>-73.69%</t>
  </si>
  <si>
    <t>-14.39%</t>
  </si>
  <si>
    <t>75.58%</t>
  </si>
  <si>
    <t>-56.64%</t>
  </si>
  <si>
    <t>6.42 - 29.60</t>
  </si>
  <si>
    <t>160.34%</t>
  </si>
  <si>
    <t>41.04%</t>
  </si>
  <si>
    <t>32.87%</t>
  </si>
  <si>
    <t>Range Capital Acquisition Corp</t>
  </si>
  <si>
    <t>77.20%</t>
  </si>
  <si>
    <t>9.91 - 10.64</t>
  </si>
  <si>
    <t>Star Group L.P</t>
  </si>
  <si>
    <t>74.35%</t>
  </si>
  <si>
    <t>29.78%</t>
  </si>
  <si>
    <t>10.84 - 13.75</t>
  </si>
  <si>
    <t>-54.28%</t>
  </si>
  <si>
    <t>1067.33%</t>
  </si>
  <si>
    <t>CrossAmerica Partners LP</t>
  </si>
  <si>
    <t>402.99%</t>
  </si>
  <si>
    <t>220.00%</t>
  </si>
  <si>
    <t>19.50 - 25.73</t>
  </si>
  <si>
    <t>214.10%</t>
  </si>
  <si>
    <t>West Pharmaceutical Services, Inc</t>
  </si>
  <si>
    <t>98.23%</t>
  </si>
  <si>
    <t>187.43 - 352.33</t>
  </si>
  <si>
    <t>12704.41%</t>
  </si>
  <si>
    <t>-16.02%</t>
  </si>
  <si>
    <t>Arcellx Inc</t>
  </si>
  <si>
    <t>-31.14%</t>
  </si>
  <si>
    <t>-72.41%</t>
  </si>
  <si>
    <t>93.66%</t>
  </si>
  <si>
    <t>88.91%</t>
  </si>
  <si>
    <t>-376.26%</t>
  </si>
  <si>
    <t>-329.93%</t>
  </si>
  <si>
    <t>47.86 - 107.37</t>
  </si>
  <si>
    <t>1187.93%</t>
  </si>
  <si>
    <t>Hanover Insurance Group Inc</t>
  </si>
  <si>
    <t>142.48 - 182.64</t>
  </si>
  <si>
    <t>2599.45%</t>
  </si>
  <si>
    <t>Hooker Furnishings Corporation</t>
  </si>
  <si>
    <t>-12.52%</t>
  </si>
  <si>
    <t>-13.60%</t>
  </si>
  <si>
    <t>-158.33%</t>
  </si>
  <si>
    <t>-44.38%</t>
  </si>
  <si>
    <t>7.34 - 19.79</t>
  </si>
  <si>
    <t>-79.13%</t>
  </si>
  <si>
    <t>184.13%</t>
  </si>
  <si>
    <t>-36.36%</t>
  </si>
  <si>
    <t>Keen Vision Acquisition Corp</t>
  </si>
  <si>
    <t>63.49%</t>
  </si>
  <si>
    <t>10.74 - 11.69</t>
  </si>
  <si>
    <t>Pantages Capital Acquisition Corp</t>
  </si>
  <si>
    <t>9.89 - 10.29</t>
  </si>
  <si>
    <t>Plutus Financial Group Ltd</t>
  </si>
  <si>
    <t>66.18%</t>
  </si>
  <si>
    <t>2.04 - 4.22</t>
  </si>
  <si>
    <t>Insight Molecular Diagnostics Inc</t>
  </si>
  <si>
    <t>316.13%</t>
  </si>
  <si>
    <t>398.08%</t>
  </si>
  <si>
    <t>53.43%</t>
  </si>
  <si>
    <t>-581.54%</t>
  </si>
  <si>
    <t>-1489.71%</t>
  </si>
  <si>
    <t>1.92 - 4.75</t>
  </si>
  <si>
    <t>Fifth District Bancorp Inc</t>
  </si>
  <si>
    <t>10.27 - 15.64</t>
  </si>
  <si>
    <t>Rapport Therapeutics Inc</t>
  </si>
  <si>
    <t>-171.13%</t>
  </si>
  <si>
    <t>47.31%</t>
  </si>
  <si>
    <t>-39.56%</t>
  </si>
  <si>
    <t>87.57%</t>
  </si>
  <si>
    <t>297.32%</t>
  </si>
  <si>
    <t>6.43 - 42.27</t>
  </si>
  <si>
    <t>163.38%</t>
  </si>
  <si>
    <t>Gulfport Energy Corp</t>
  </si>
  <si>
    <t>116.78%</t>
  </si>
  <si>
    <t>136.45 - 210.32</t>
  </si>
  <si>
    <t>203.87%</t>
  </si>
  <si>
    <t>Ranger Energy Services Inc</t>
  </si>
  <si>
    <t>31.03%</t>
  </si>
  <si>
    <t>10.56 - 18.45</t>
  </si>
  <si>
    <t>538.76%</t>
  </si>
  <si>
    <t>Houlihan Lokey Inc</t>
  </si>
  <si>
    <t>17.93%</t>
  </si>
  <si>
    <t>78.81%</t>
  </si>
  <si>
    <t>16.44%</t>
  </si>
  <si>
    <t>137.99 - 211.78</t>
  </si>
  <si>
    <t>1033.04%</t>
  </si>
  <si>
    <t>Titan Acquisition Corp</t>
  </si>
  <si>
    <t>65.82%</t>
  </si>
  <si>
    <t>10.00 - 10.38</t>
  </si>
  <si>
    <t>Beasley Broadcast Group Inc</t>
  </si>
  <si>
    <t>3/30/2020</t>
  </si>
  <si>
    <t>-57.12%</t>
  </si>
  <si>
    <t>-60.89%</t>
  </si>
  <si>
    <t>3.67 - 14.95</t>
  </si>
  <si>
    <t>-47.51%</t>
  </si>
  <si>
    <t>Strategic Education Inc</t>
  </si>
  <si>
    <t>72.25 - 104.51</t>
  </si>
  <si>
    <t>-67.97%</t>
  </si>
  <si>
    <t>1144.28%</t>
  </si>
  <si>
    <t>Local Bounti Corp</t>
  </si>
  <si>
    <t>53.74%</t>
  </si>
  <si>
    <t>39.74%</t>
  </si>
  <si>
    <t>291.00%</t>
  </si>
  <si>
    <t>28.17%</t>
  </si>
  <si>
    <t>-149.91%</t>
  </si>
  <si>
    <t>-295.87%</t>
  </si>
  <si>
    <t>156.36%</t>
  </si>
  <si>
    <t>1.18 - 5.75</t>
  </si>
  <si>
    <t>-98.19%</t>
  </si>
  <si>
    <t>158.46%</t>
  </si>
  <si>
    <t>UL Solutions Inc</t>
  </si>
  <si>
    <t>48.32%</t>
  </si>
  <si>
    <t>48.54 - 74.15</t>
  </si>
  <si>
    <t>108.28%</t>
  </si>
  <si>
    <t>39.99%</t>
  </si>
  <si>
    <t>Seer Inc</t>
  </si>
  <si>
    <t>-39.46%</t>
  </si>
  <si>
    <t>-548.90%</t>
  </si>
  <si>
    <t>-507.74%</t>
  </si>
  <si>
    <t>36.42%</t>
  </si>
  <si>
    <t>1.62 - 2.62</t>
  </si>
  <si>
    <t>AA Mission Acquisition Corp</t>
  </si>
  <si>
    <t>10.00 - 10.79</t>
  </si>
  <si>
    <t>Rimini Street Inc</t>
  </si>
  <si>
    <t>-27.32%</t>
  </si>
  <si>
    <t>-102.77%</t>
  </si>
  <si>
    <t>38.02%</t>
  </si>
  <si>
    <t>61.48%</t>
  </si>
  <si>
    <t>1.53 - 5.38</t>
  </si>
  <si>
    <t>-59.11%</t>
  </si>
  <si>
    <t>163.18%</t>
  </si>
  <si>
    <t>United Security Bancshares (CA)</t>
  </si>
  <si>
    <t>32.60%</t>
  </si>
  <si>
    <t>7.32 - 10.49</t>
  </si>
  <si>
    <t>586.72%</t>
  </si>
  <si>
    <t>Clean Energy Technologies Inc</t>
  </si>
  <si>
    <t>-80.89%</t>
  </si>
  <si>
    <t>-123.88%</t>
  </si>
  <si>
    <t>-205.60%</t>
  </si>
  <si>
    <t>36.52%</t>
  </si>
  <si>
    <t>0.20 - 1.27</t>
  </si>
  <si>
    <t>616.75%</t>
  </si>
  <si>
    <t>-71.04%</t>
  </si>
  <si>
    <t>Finward Bancorp</t>
  </si>
  <si>
    <t>-54.29%</t>
  </si>
  <si>
    <t>-27.12%</t>
  </si>
  <si>
    <t>21.93%</t>
  </si>
  <si>
    <t>26.12 - 33.50</t>
  </si>
  <si>
    <t>185.50%</t>
  </si>
  <si>
    <t>Universal Display Corp</t>
  </si>
  <si>
    <t>84.48%</t>
  </si>
  <si>
    <t>74.44%</t>
  </si>
  <si>
    <t>36.90%</t>
  </si>
  <si>
    <t>-31.77%</t>
  </si>
  <si>
    <t>103.70 - 214.57</t>
  </si>
  <si>
    <t>5239.47%</t>
  </si>
  <si>
    <t>-31.70%</t>
  </si>
  <si>
    <t>Neuphoria Therapeutics Inc</t>
  </si>
  <si>
    <t>-270.84%</t>
  </si>
  <si>
    <t>101.78%</t>
  </si>
  <si>
    <t>503.58%</t>
  </si>
  <si>
    <t>2.12 - 15.14</t>
  </si>
  <si>
    <t>-95.14%</t>
  </si>
  <si>
    <t>Tarsus Pharmaceuticals Inc</t>
  </si>
  <si>
    <t>-65.92%</t>
  </si>
  <si>
    <t>-66.60%</t>
  </si>
  <si>
    <t>254.45%</t>
  </si>
  <si>
    <t>47.49%</t>
  </si>
  <si>
    <t>151.54%</t>
  </si>
  <si>
    <t>93.36%</t>
  </si>
  <si>
    <t>-33.18%</t>
  </si>
  <si>
    <t>78.25%</t>
  </si>
  <si>
    <t>31.36 - 59.76</t>
  </si>
  <si>
    <t>417.59%</t>
  </si>
  <si>
    <t>ACRES Commercial Realty Corp</t>
  </si>
  <si>
    <t>12/30/2019</t>
  </si>
  <si>
    <t>-17.91%</t>
  </si>
  <si>
    <t>96.34%</t>
  </si>
  <si>
    <t>14.87 - 23.81</t>
  </si>
  <si>
    <t>-90.65%</t>
  </si>
  <si>
    <t>642.81%</t>
  </si>
  <si>
    <t>Auburn National Bancorp Inc</t>
  </si>
  <si>
    <t>58.98%</t>
  </si>
  <si>
    <t>45.53%</t>
  </si>
  <si>
    <t>19.00 - 29.00</t>
  </si>
  <si>
    <t>-57.82%</t>
  </si>
  <si>
    <t>336.58%</t>
  </si>
  <si>
    <t>30.61%</t>
  </si>
  <si>
    <t>Optex Systems Holdings Inc</t>
  </si>
  <si>
    <t>4/11/2018</t>
  </si>
  <si>
    <t>46.13%</t>
  </si>
  <si>
    <t>-15.87%</t>
  </si>
  <si>
    <t>35.16%</t>
  </si>
  <si>
    <t>28.02%</t>
  </si>
  <si>
    <t>139.55%</t>
  </si>
  <si>
    <t>5.36 - 14.60</t>
  </si>
  <si>
    <t>-97.43%</t>
  </si>
  <si>
    <t>2094.87%</t>
  </si>
  <si>
    <t>65.68%</t>
  </si>
  <si>
    <t>Barnes &amp; Noble Education Inc</t>
  </si>
  <si>
    <t>35.53%</t>
  </si>
  <si>
    <t>-20.85%</t>
  </si>
  <si>
    <t>7.90 - 14.40</t>
  </si>
  <si>
    <t>Pulse Biosciences Inc</t>
  </si>
  <si>
    <t>-29.73%</t>
  </si>
  <si>
    <t>13.77 - 25.00</t>
  </si>
  <si>
    <t>-61.66%</t>
  </si>
  <si>
    <t>1388.81%</t>
  </si>
  <si>
    <t>BioAge Labs Inc</t>
  </si>
  <si>
    <t>-24.56%</t>
  </si>
  <si>
    <t>95.34%</t>
  </si>
  <si>
    <t>-2364.20%</t>
  </si>
  <si>
    <t>-2045.74%</t>
  </si>
  <si>
    <t>16.62%</t>
  </si>
  <si>
    <t>-80.35%</t>
  </si>
  <si>
    <t>2.88 - 26.62</t>
  </si>
  <si>
    <t>24.52%</t>
  </si>
  <si>
    <t>Avista Corp</t>
  </si>
  <si>
    <t>-44.43%</t>
  </si>
  <si>
    <t>87.39%</t>
  </si>
  <si>
    <t>34.80 - 43.09</t>
  </si>
  <si>
    <t>366.44%</t>
  </si>
  <si>
    <t>Charlton Aria Acquisition Corp</t>
  </si>
  <si>
    <t>-33.52%</t>
  </si>
  <si>
    <t>72.85%</t>
  </si>
  <si>
    <t>9.88 - 11.30</t>
  </si>
  <si>
    <t>Ensign Group Inc</t>
  </si>
  <si>
    <t>93.55%</t>
  </si>
  <si>
    <t>118.73 - 174.98</t>
  </si>
  <si>
    <t>8849.98%</t>
  </si>
  <si>
    <t>SR Bancorp Inc</t>
  </si>
  <si>
    <t>48.60%</t>
  </si>
  <si>
    <t>62.87%</t>
  </si>
  <si>
    <t>10.54 - 15.45</t>
  </si>
  <si>
    <t>39.83%</t>
  </si>
  <si>
    <t>Battalion Oil Corp</t>
  </si>
  <si>
    <t>-30.78%</t>
  </si>
  <si>
    <t>44.20%</t>
  </si>
  <si>
    <t>-13.26%</t>
  </si>
  <si>
    <t>1.01 - 6.89</t>
  </si>
  <si>
    <t>-94.73%</t>
  </si>
  <si>
    <t>-12.77%</t>
  </si>
  <si>
    <t>-81.64%</t>
  </si>
  <si>
    <t>Cantor Equity Partners IV Inc</t>
  </si>
  <si>
    <t>10.09 - 10.65</t>
  </si>
  <si>
    <t>Pelthos Therapeutics Inc</t>
  </si>
  <si>
    <t>-122.15%</t>
  </si>
  <si>
    <t>90.41%</t>
  </si>
  <si>
    <t>94.48%</t>
  </si>
  <si>
    <t>-40.89%</t>
  </si>
  <si>
    <t>613.11%</t>
  </si>
  <si>
    <t>4.50 - 54.29</t>
  </si>
  <si>
    <t>137.70%</t>
  </si>
  <si>
    <t>116.82%</t>
  </si>
  <si>
    <t>313.00%</t>
  </si>
  <si>
    <t>Cenntro Inc</t>
  </si>
  <si>
    <t>-149.38%</t>
  </si>
  <si>
    <t>42.34%</t>
  </si>
  <si>
    <t>53.95%</t>
  </si>
  <si>
    <t>-98.43%</t>
  </si>
  <si>
    <t>-149.27%</t>
  </si>
  <si>
    <t>-29.82%</t>
  </si>
  <si>
    <t>0.47 - 1.47</t>
  </si>
  <si>
    <t>-49.08%</t>
  </si>
  <si>
    <t>Frontdoor Inc</t>
  </si>
  <si>
    <t>-26.34%</t>
  </si>
  <si>
    <t>35.61 - 68.86</t>
  </si>
  <si>
    <t>248.47%</t>
  </si>
  <si>
    <t>Universal Insurance Holdings Inc</t>
  </si>
  <si>
    <t>16.41 - 28.49</t>
  </si>
  <si>
    <t>-46.03%</t>
  </si>
  <si>
    <t>Sensei Biotherapeutics Inc</t>
  </si>
  <si>
    <t>-45.69%</t>
  </si>
  <si>
    <t>89.00%</t>
  </si>
  <si>
    <t>5.00 - 17.40</t>
  </si>
  <si>
    <t>-98.22%</t>
  </si>
  <si>
    <t>FibroGen Inc</t>
  </si>
  <si>
    <t>-35.07%</t>
  </si>
  <si>
    <t>-97.34%</t>
  </si>
  <si>
    <t>81.55%</t>
  </si>
  <si>
    <t>-44.39%</t>
  </si>
  <si>
    <t>171.11%</t>
  </si>
  <si>
    <t>4.50 - 21.94</t>
  </si>
  <si>
    <t>133.72%</t>
  </si>
  <si>
    <t>Maui Land &amp; Pineapple Co., Inc</t>
  </si>
  <si>
    <t>-28.75%</t>
  </si>
  <si>
    <t>176.06%</t>
  </si>
  <si>
    <t>-38.94%</t>
  </si>
  <si>
    <t>14.05 - 25.78</t>
  </si>
  <si>
    <t>-59.15%</t>
  </si>
  <si>
    <t>953.55%</t>
  </si>
  <si>
    <t>SiTime Corp</t>
  </si>
  <si>
    <t>65.12%</t>
  </si>
  <si>
    <t>58.42%</t>
  </si>
  <si>
    <t>65.90%</t>
  </si>
  <si>
    <t>51.52%</t>
  </si>
  <si>
    <t>-36.32%</t>
  </si>
  <si>
    <t>-32.15%</t>
  </si>
  <si>
    <t>174.64%</t>
  </si>
  <si>
    <t>105.40 - 319.00</t>
  </si>
  <si>
    <t>-15.30%</t>
  </si>
  <si>
    <t>1777.25%</t>
  </si>
  <si>
    <t>73.70%</t>
  </si>
  <si>
    <t>Citizens, Inc</t>
  </si>
  <si>
    <t>70.93%</t>
  </si>
  <si>
    <t>95.69%</t>
  </si>
  <si>
    <t>2.90 - 5.99</t>
  </si>
  <si>
    <t>-52.43%</t>
  </si>
  <si>
    <t>4493.71%</t>
  </si>
  <si>
    <t>62.14%</t>
  </si>
  <si>
    <t>Kentucky First Federal Bancorp</t>
  </si>
  <si>
    <t>10/30/2023</t>
  </si>
  <si>
    <t>1.96 - 3.97</t>
  </si>
  <si>
    <t>Netscout Systems Inc</t>
  </si>
  <si>
    <t>90.09%</t>
  </si>
  <si>
    <t>18.12 - 27.89</t>
  </si>
  <si>
    <t>-46.79%</t>
  </si>
  <si>
    <t>932.66%</t>
  </si>
  <si>
    <t>American Realty Investors Inc</t>
  </si>
  <si>
    <t>9.43 - 18.14</t>
  </si>
  <si>
    <t>-47.20%</t>
  </si>
  <si>
    <t>1350.43%</t>
  </si>
  <si>
    <t>Marathon Bancorp Inc</t>
  </si>
  <si>
    <t>62.91%</t>
  </si>
  <si>
    <t>6.42 - 12.00</t>
  </si>
  <si>
    <t>58.77%</t>
  </si>
  <si>
    <t>Health In Tech Inc</t>
  </si>
  <si>
    <t>186.36%</t>
  </si>
  <si>
    <t>207.80%</t>
  </si>
  <si>
    <t>555.27%</t>
  </si>
  <si>
    <t>0.51 - 7.59</t>
  </si>
  <si>
    <t>305.59%</t>
  </si>
  <si>
    <t>389.28%</t>
  </si>
  <si>
    <t>Acorn Energy Inc</t>
  </si>
  <si>
    <t>2/15/2013</t>
  </si>
  <si>
    <t>54.95%</t>
  </si>
  <si>
    <t>73.53%</t>
  </si>
  <si>
    <t>96.88%</t>
  </si>
  <si>
    <t>225.37%</t>
  </si>
  <si>
    <t>9.50 - 33.00</t>
  </si>
  <si>
    <t>2620.95%</t>
  </si>
  <si>
    <t>209.10%</t>
  </si>
  <si>
    <t>DSS Inc</t>
  </si>
  <si>
    <t>25.50%</t>
  </si>
  <si>
    <t>-204.55%</t>
  </si>
  <si>
    <t>-212.07%</t>
  </si>
  <si>
    <t>75.62%</t>
  </si>
  <si>
    <t>0.72 - 1.89</t>
  </si>
  <si>
    <t>59.65%</t>
  </si>
  <si>
    <t>Praxis Precision Medicines Inc</t>
  </si>
  <si>
    <t>44.28%</t>
  </si>
  <si>
    <t>338.45%</t>
  </si>
  <si>
    <t>114.63%</t>
  </si>
  <si>
    <t>97.01%</t>
  </si>
  <si>
    <t>-3497.57%</t>
  </si>
  <si>
    <t>-3232.61%</t>
  </si>
  <si>
    <t>85.92%</t>
  </si>
  <si>
    <t>26.70 - 91.83</t>
  </si>
  <si>
    <t>-94.57%</t>
  </si>
  <si>
    <t>318.90%</t>
  </si>
  <si>
    <t>Kochav Defense Acquisition Corp</t>
  </si>
  <si>
    <t>9.93 - 10.10</t>
  </si>
  <si>
    <t>Enact Holdings Inc</t>
  </si>
  <si>
    <t>55.35%</t>
  </si>
  <si>
    <t>30.79 - 39.47</t>
  </si>
  <si>
    <t>128.74%</t>
  </si>
  <si>
    <t>Four Leaf Acquisition Corp</t>
  </si>
  <si>
    <t>63.61%</t>
  </si>
  <si>
    <t>10.98 - 12.79</t>
  </si>
  <si>
    <t>RF Industries Ltd</t>
  </si>
  <si>
    <t>157.73%</t>
  </si>
  <si>
    <t>3.39 - 9.56</t>
  </si>
  <si>
    <t>-41.12%</t>
  </si>
  <si>
    <t>5845.72%</t>
  </si>
  <si>
    <t>145.43%</t>
  </si>
  <si>
    <t>Stereotaxis Inc</t>
  </si>
  <si>
    <t>95.42%</t>
  </si>
  <si>
    <t>50.17%</t>
  </si>
  <si>
    <t>-75.07%</t>
  </si>
  <si>
    <t>-77.46%</t>
  </si>
  <si>
    <t>1.54 - 3.07</t>
  </si>
  <si>
    <t>521.28%</t>
  </si>
  <si>
    <t>Strategy Inc. - VR PRF PERPETUAL USD 100 - Ser A</t>
  </si>
  <si>
    <t>88.00 - 98.49</t>
  </si>
  <si>
    <t>Crane NXT Co</t>
  </si>
  <si>
    <t>-28.07%</t>
  </si>
  <si>
    <t>-24.16%</t>
  </si>
  <si>
    <t>-14.65%</t>
  </si>
  <si>
    <t>41.54 - 67.00</t>
  </si>
  <si>
    <t>8312.80%</t>
  </si>
  <si>
    <t>Atara Biotherapeutics Inc</t>
  </si>
  <si>
    <t>202.41%</t>
  </si>
  <si>
    <t>85.07%</t>
  </si>
  <si>
    <t>387.01%</t>
  </si>
  <si>
    <t>56.74%</t>
  </si>
  <si>
    <t>5.01 - 18.70</t>
  </si>
  <si>
    <t>-99.18%</t>
  </si>
  <si>
    <t>169.28%</t>
  </si>
  <si>
    <t>67.96%</t>
  </si>
  <si>
    <t>77.09%</t>
  </si>
  <si>
    <t>MercadoLibre Inc</t>
  </si>
  <si>
    <t>12/28/2017</t>
  </si>
  <si>
    <t>182.46%</t>
  </si>
  <si>
    <t>38.27%</t>
  </si>
  <si>
    <t>81.32%</t>
  </si>
  <si>
    <t>51.25%</t>
  </si>
  <si>
    <t>1646.00 - 2645.22</t>
  </si>
  <si>
    <t>31374.34%</t>
  </si>
  <si>
    <t>Bandwidth Inc</t>
  </si>
  <si>
    <t>39.64%</t>
  </si>
  <si>
    <t>11.33 - 23.00</t>
  </si>
  <si>
    <t>World Acceptance Corp</t>
  </si>
  <si>
    <t>-88.43%</t>
  </si>
  <si>
    <t>98.27%</t>
  </si>
  <si>
    <t>104.99 - 181.34</t>
  </si>
  <si>
    <t>8160.15%</t>
  </si>
  <si>
    <t>54.70%</t>
  </si>
  <si>
    <t>Lionheart Holdings</t>
  </si>
  <si>
    <t>10.00 - 10.61</t>
  </si>
  <si>
    <t>Cadrenal Therapeutics Inc</t>
  </si>
  <si>
    <t>61.56%</t>
  </si>
  <si>
    <t>8.74 - 22.90</t>
  </si>
  <si>
    <t>161.48%</t>
  </si>
  <si>
    <t>-24.53%</t>
  </si>
  <si>
    <t>Eagle Bancorp Inc (MD)</t>
  </si>
  <si>
    <t>-41.11%</t>
  </si>
  <si>
    <t>-625.71%</t>
  </si>
  <si>
    <t>76.71%</t>
  </si>
  <si>
    <t>15.47 - 30.94</t>
  </si>
  <si>
    <t>-70.14%</t>
  </si>
  <si>
    <t>854.59%</t>
  </si>
  <si>
    <t>Hallador Energy Co</t>
  </si>
  <si>
    <t>1/30/2020</t>
  </si>
  <si>
    <t>-261.18%</t>
  </si>
  <si>
    <t>226.67%</t>
  </si>
  <si>
    <t>61.35%</t>
  </si>
  <si>
    <t>31.86%</t>
  </si>
  <si>
    <t>8.13 - 22.01</t>
  </si>
  <si>
    <t>3180.71%</t>
  </si>
  <si>
    <t>47.21%</t>
  </si>
  <si>
    <t>155.24%</t>
  </si>
  <si>
    <t>Hanover Bancorp Inc</t>
  </si>
  <si>
    <t>30.45%</t>
  </si>
  <si>
    <t>-38.89%</t>
  </si>
  <si>
    <t>17.47 - 27.14</t>
  </si>
  <si>
    <t>69.93%</t>
  </si>
  <si>
    <t>Dawson Geophysical Company</t>
  </si>
  <si>
    <t>4/19/2024</t>
  </si>
  <si>
    <t>86.22%</t>
  </si>
  <si>
    <t>1.08 - 5.54</t>
  </si>
  <si>
    <t>-93.56%</t>
  </si>
  <si>
    <t>1639.89%</t>
  </si>
  <si>
    <t>Cellectar Biosciences Inc</t>
  </si>
  <si>
    <t>39.78%</t>
  </si>
  <si>
    <t>-91.49%</t>
  </si>
  <si>
    <t>4.11 - 67.50</t>
  </si>
  <si>
    <t>-90.43%</t>
  </si>
  <si>
    <t>Cummins Inc</t>
  </si>
  <si>
    <t>85.39%</t>
  </si>
  <si>
    <t>60.79%</t>
  </si>
  <si>
    <t>260.02 - 432.50</t>
  </si>
  <si>
    <t>10645.98%</t>
  </si>
  <si>
    <t>BOK Financial Corp</t>
  </si>
  <si>
    <t>-9.66%</t>
  </si>
  <si>
    <t>85.07 - 121.58</t>
  </si>
  <si>
    <t>4938.67%</t>
  </si>
  <si>
    <t>Energy Focus Inc</t>
  </si>
  <si>
    <t>56.68%</t>
  </si>
  <si>
    <t>-21.02%</t>
  </si>
  <si>
    <t>-26.40%</t>
  </si>
  <si>
    <t>-26.20%</t>
  </si>
  <si>
    <t>63.74%</t>
  </si>
  <si>
    <t>160.74%</t>
  </si>
  <si>
    <t>1.14 - 3.56</t>
  </si>
  <si>
    <t>55.21%</t>
  </si>
  <si>
    <t>138.40%</t>
  </si>
  <si>
    <t>ChampionsGate Acquisition Corp</t>
  </si>
  <si>
    <t>9.81 - 10.24</t>
  </si>
  <si>
    <t>Assembly Biosciences Inc</t>
  </si>
  <si>
    <t>42.93%</t>
  </si>
  <si>
    <t>99.61%</t>
  </si>
  <si>
    <t>-130.91%</t>
  </si>
  <si>
    <t>226.71%</t>
  </si>
  <si>
    <t>7.75 - 27.17</t>
  </si>
  <si>
    <t>-97.99%</t>
  </si>
  <si>
    <t>229.17%</t>
  </si>
  <si>
    <t>67.13%</t>
  </si>
  <si>
    <t>Encompass Health Corp</t>
  </si>
  <si>
    <t>95.23%</t>
  </si>
  <si>
    <t>87.85 - 127.86</t>
  </si>
  <si>
    <t>317925.41%</t>
  </si>
  <si>
    <t>Ormat Technologies Inc</t>
  </si>
  <si>
    <t>28.94%</t>
  </si>
  <si>
    <t>53.05%</t>
  </si>
  <si>
    <t>61.58 - 95.36</t>
  </si>
  <si>
    <t>579.03%</t>
  </si>
  <si>
    <t>Armada Acquisition Corp. II</t>
  </si>
  <si>
    <t>10.00 - 10.50</t>
  </si>
  <si>
    <t>Royalty Management Holding Corp</t>
  </si>
  <si>
    <t>191.89%</t>
  </si>
  <si>
    <t>422.05%</t>
  </si>
  <si>
    <t>71.27%</t>
  </si>
  <si>
    <t>84.99%</t>
  </si>
  <si>
    <t>156.81%</t>
  </si>
  <si>
    <t>0.85 - 2.34</t>
  </si>
  <si>
    <t>-90.50%</t>
  </si>
  <si>
    <t>211.89%</t>
  </si>
  <si>
    <t>74.63%</t>
  </si>
  <si>
    <t>134.72%</t>
  </si>
  <si>
    <t>Friedman Industries, Inc</t>
  </si>
  <si>
    <t>10/24/2025</t>
  </si>
  <si>
    <t>80.10%</t>
  </si>
  <si>
    <t>12.24 - 22.98</t>
  </si>
  <si>
    <t>1808.82%</t>
  </si>
  <si>
    <t>37.10%</t>
  </si>
  <si>
    <t>40.41%</t>
  </si>
  <si>
    <t>142.32%</t>
  </si>
  <si>
    <t>68.00 - 96.40</t>
  </si>
  <si>
    <t>484.69%</t>
  </si>
  <si>
    <t>Healthstream Inc</t>
  </si>
  <si>
    <t>52.44%</t>
  </si>
  <si>
    <t>25.36 - 34.24</t>
  </si>
  <si>
    <t>-23.97%</t>
  </si>
  <si>
    <t>4099.82%</t>
  </si>
  <si>
    <t>Healthcare Services Group, Inc</t>
  </si>
  <si>
    <t>11/17/2022</t>
  </si>
  <si>
    <t>103.62%</t>
  </si>
  <si>
    <t>9.12 - 16.59</t>
  </si>
  <si>
    <t>5706.27%</t>
  </si>
  <si>
    <t>52.93%</t>
  </si>
  <si>
    <t>47.44%</t>
  </si>
  <si>
    <t>CAMP4 Therapeutics Corp</t>
  </si>
  <si>
    <t>51.88%</t>
  </si>
  <si>
    <t>105.09%</t>
  </si>
  <si>
    <t>-1785.10%</t>
  </si>
  <si>
    <t>-1722.08%</t>
  </si>
  <si>
    <t>22.19%</t>
  </si>
  <si>
    <t>115.91%</t>
  </si>
  <si>
    <t>118.39%</t>
  </si>
  <si>
    <t>1.30 - 12.30</t>
  </si>
  <si>
    <t>Alliance Resource Partners, LP</t>
  </si>
  <si>
    <t>100.97%</t>
  </si>
  <si>
    <t>22.20 - 30.56</t>
  </si>
  <si>
    <t>-54.17%</t>
  </si>
  <si>
    <t>838.21%</t>
  </si>
  <si>
    <t>Red Violet Inc</t>
  </si>
  <si>
    <t>1/31/2025</t>
  </si>
  <si>
    <t>116.44%</t>
  </si>
  <si>
    <t>70.80%</t>
  </si>
  <si>
    <t>104.61%</t>
  </si>
  <si>
    <t>25.16 - 54.19</t>
  </si>
  <si>
    <t>1093.31%</t>
  </si>
  <si>
    <t>74.66%</t>
  </si>
  <si>
    <t>Gesher Acquisition Corp. II</t>
  </si>
  <si>
    <t>9.95 - 10.21</t>
  </si>
  <si>
    <t>Black Hills Corporation</t>
  </si>
  <si>
    <t>66.55%</t>
  </si>
  <si>
    <t>85.10%</t>
  </si>
  <si>
    <t>54.92 - 65.59</t>
  </si>
  <si>
    <t>1341.43%</t>
  </si>
  <si>
    <t>Affiliated Managers Group Inc</t>
  </si>
  <si>
    <t>117.52%</t>
  </si>
  <si>
    <t>95.63%</t>
  </si>
  <si>
    <t>94.26%</t>
  </si>
  <si>
    <t>71.06%</t>
  </si>
  <si>
    <t>139.22 - 250.15</t>
  </si>
  <si>
    <t>2570.78%</t>
  </si>
  <si>
    <t>Ulta Beauty Inc</t>
  </si>
  <si>
    <t>97.37%</t>
  </si>
  <si>
    <t>309.01 - 540.18</t>
  </si>
  <si>
    <t>13282.39%</t>
  </si>
  <si>
    <t>Blue Ridge Bankshares Inc (VA)</t>
  </si>
  <si>
    <t>4/17/2023</t>
  </si>
  <si>
    <t>60.32%</t>
  </si>
  <si>
    <t>2.66 - 4.41</t>
  </si>
  <si>
    <t>-77.81%</t>
  </si>
  <si>
    <t>108.12%</t>
  </si>
  <si>
    <t>28.84%</t>
  </si>
  <si>
    <t>Quipt Home Medical Corp</t>
  </si>
  <si>
    <t>59.10%</t>
  </si>
  <si>
    <t>53.61%</t>
  </si>
  <si>
    <t>98.89%</t>
  </si>
  <si>
    <t>1.35 - 3.27</t>
  </si>
  <si>
    <t>-91.81%</t>
  </si>
  <si>
    <t>168.50%</t>
  </si>
  <si>
    <t>Diversified Healthcare Trust</t>
  </si>
  <si>
    <t>-45.61%</t>
  </si>
  <si>
    <t>135.91%</t>
  </si>
  <si>
    <t>-18.83%</t>
  </si>
  <si>
    <t>37.89%</t>
  </si>
  <si>
    <t>119.25%</t>
  </si>
  <si>
    <t>2.00 - 4.65</t>
  </si>
  <si>
    <t>-84.70%</t>
  </si>
  <si>
    <t>618.85%</t>
  </si>
  <si>
    <t>Casey's General Stores, Inc</t>
  </si>
  <si>
    <t>363.00 - 571.57</t>
  </si>
  <si>
    <t>62525.71%</t>
  </si>
  <si>
    <t>47.36%</t>
  </si>
  <si>
    <t>Catalyst Bancorp Inc</t>
  </si>
  <si>
    <t>107.33%</t>
  </si>
  <si>
    <t>10.67 - 14.23</t>
  </si>
  <si>
    <t>NMP Acquisition Corp</t>
  </si>
  <si>
    <t>9.96 - 10.12</t>
  </si>
  <si>
    <t>RiverNorth Flexible Municipal Income Fund II Inc</t>
  </si>
  <si>
    <t>11.76 - 14.64</t>
  </si>
  <si>
    <t>-40.43%</t>
  </si>
  <si>
    <t>MYR Group Inc</t>
  </si>
  <si>
    <t>98.86%</t>
  </si>
  <si>
    <t>97.72 - 220.01</t>
  </si>
  <si>
    <t>3786.60%</t>
  </si>
  <si>
    <t>Orion Group Holdings Inc</t>
  </si>
  <si>
    <t>23.69%</t>
  </si>
  <si>
    <t>59.62%</t>
  </si>
  <si>
    <t>4.64 - 9.95</t>
  </si>
  <si>
    <t>-66.29%</t>
  </si>
  <si>
    <t>450.33%</t>
  </si>
  <si>
    <t>Ligand Pharmaceuticals, Inc</t>
  </si>
  <si>
    <t>7/2/2010</t>
  </si>
  <si>
    <t>40.54%</t>
  </si>
  <si>
    <t>98.84%</t>
  </si>
  <si>
    <t>75.44%</t>
  </si>
  <si>
    <t>79.56%</t>
  </si>
  <si>
    <t>93.58 - 172.45</t>
  </si>
  <si>
    <t>3845.53%</t>
  </si>
  <si>
    <t>53.18%</t>
  </si>
  <si>
    <t>68.81%</t>
  </si>
  <si>
    <t>Oak Valley Bancorp</t>
  </si>
  <si>
    <t>22.70 - 32.24</t>
  </si>
  <si>
    <t>1573.36%</t>
  </si>
  <si>
    <t>NGL Energy Partners LP</t>
  </si>
  <si>
    <t>11/5/2020</t>
  </si>
  <si>
    <t>-33.19%</t>
  </si>
  <si>
    <t>-14.48%</t>
  </si>
  <si>
    <t>-55.15%</t>
  </si>
  <si>
    <t>138.61%</t>
  </si>
  <si>
    <t>2.64 - 7.15</t>
  </si>
  <si>
    <t>-86.38%</t>
  </si>
  <si>
    <t>529.92%</t>
  </si>
  <si>
    <t>Esquire Financial Holdings Inc</t>
  </si>
  <si>
    <t>71.05%</t>
  </si>
  <si>
    <t>60.42 - 107.25</t>
  </si>
  <si>
    <t>854.29%</t>
  </si>
  <si>
    <t>Splash Beverage Group Inc</t>
  </si>
  <si>
    <t>-80.75%</t>
  </si>
  <si>
    <t>-28.39%</t>
  </si>
  <si>
    <t>189.63%</t>
  </si>
  <si>
    <t>-145.82%</t>
  </si>
  <si>
    <t>-404.59%</t>
  </si>
  <si>
    <t>-1291.24%</t>
  </si>
  <si>
    <t>-51.41%</t>
  </si>
  <si>
    <t>131.79%</t>
  </si>
  <si>
    <t>0.96 - 13.59</t>
  </si>
  <si>
    <t>-40.05%</t>
  </si>
  <si>
    <t>-78.89%</t>
  </si>
  <si>
    <t>Avalo Therapeutics Inc</t>
  </si>
  <si>
    <t>79.39%</t>
  </si>
  <si>
    <t>-36.93%</t>
  </si>
  <si>
    <t>173.47%</t>
  </si>
  <si>
    <t>-13641.04%</t>
  </si>
  <si>
    <t>-14465.08%</t>
  </si>
  <si>
    <t>63.63%</t>
  </si>
  <si>
    <t>140.54%</t>
  </si>
  <si>
    <t>241.30%</t>
  </si>
  <si>
    <t>3.39 - 16.00</t>
  </si>
  <si>
    <t>142.05%</t>
  </si>
  <si>
    <t>Tutor Perini Corp</t>
  </si>
  <si>
    <t>11/2/2010</t>
  </si>
  <si>
    <t>76.41%</t>
  </si>
  <si>
    <t>47.83%</t>
  </si>
  <si>
    <t>250.88%</t>
  </si>
  <si>
    <t>18.33 - 68.09</t>
  </si>
  <si>
    <t>2460.05%</t>
  </si>
  <si>
    <t>166.06%</t>
  </si>
  <si>
    <t>151.80%</t>
  </si>
  <si>
    <t>Hyperfine Inc</t>
  </si>
  <si>
    <t>105.01%</t>
  </si>
  <si>
    <t>157.32%</t>
  </si>
  <si>
    <t>-387.38%</t>
  </si>
  <si>
    <t>-364.54%</t>
  </si>
  <si>
    <t>173.14%</t>
  </si>
  <si>
    <t>0.53 - 1.90</t>
  </si>
  <si>
    <t>-91.24%</t>
  </si>
  <si>
    <t>Radnet Inc</t>
  </si>
  <si>
    <t>-56.77%</t>
  </si>
  <si>
    <t>97.83%</t>
  </si>
  <si>
    <t>92.66%</t>
  </si>
  <si>
    <t>45.00 - 93.65</t>
  </si>
  <si>
    <t>49966.66%</t>
  </si>
  <si>
    <t>Northrop Grumman Corp</t>
  </si>
  <si>
    <t>85.11%</t>
  </si>
  <si>
    <t>426.24 - 600.99</t>
  </si>
  <si>
    <t>9400.92%</t>
  </si>
  <si>
    <t>QVC Group Inc</t>
  </si>
  <si>
    <t>-28.69%</t>
  </si>
  <si>
    <t>20.41%</t>
  </si>
  <si>
    <t>-19.09%</t>
  </si>
  <si>
    <t>377.12%</t>
  </si>
  <si>
    <t>-63.03%</t>
  </si>
  <si>
    <t>470.86%</t>
  </si>
  <si>
    <t>2.27 - 34.97</t>
  </si>
  <si>
    <t>380.67%</t>
  </si>
  <si>
    <t>Scynexis Inc</t>
  </si>
  <si>
    <t>52.66%</t>
  </si>
  <si>
    <t>-34.22%</t>
  </si>
  <si>
    <t>85.33%</t>
  </si>
  <si>
    <t>-1121.67%</t>
  </si>
  <si>
    <t>-599.05%</t>
  </si>
  <si>
    <t>-16.79%</t>
  </si>
  <si>
    <t>65.15%</t>
  </si>
  <si>
    <t>0.66 - 1.62</t>
  </si>
  <si>
    <t>-28.76%</t>
  </si>
  <si>
    <t>FormFactor Inc</t>
  </si>
  <si>
    <t>-31.02%</t>
  </si>
  <si>
    <t>55.16%</t>
  </si>
  <si>
    <t>22.58 - 50.79</t>
  </si>
  <si>
    <t>846.88%</t>
  </si>
  <si>
    <t>Materion Corp</t>
  </si>
  <si>
    <t>190.12%</t>
  </si>
  <si>
    <t>-35.82%</t>
  </si>
  <si>
    <t>94.75%</t>
  </si>
  <si>
    <t>71.30%</t>
  </si>
  <si>
    <t>69.10 - 123.21</t>
  </si>
  <si>
    <t>-18.41%</t>
  </si>
  <si>
    <t>2794.12%</t>
  </si>
  <si>
    <t>Horizon Space Acquisition I Corp</t>
  </si>
  <si>
    <t>-18.19%</t>
  </si>
  <si>
    <t>11.20 - 15.12</t>
  </si>
  <si>
    <t>Dorchester Minerals LP</t>
  </si>
  <si>
    <t>163.47%</t>
  </si>
  <si>
    <t>-9.29%</t>
  </si>
  <si>
    <t>-24.94%</t>
  </si>
  <si>
    <t>24.01 - 34.88</t>
  </si>
  <si>
    <t>1218.09%</t>
  </si>
  <si>
    <t>Palvella Therapeutics Inc</t>
  </si>
  <si>
    <t>-97.15%</t>
  </si>
  <si>
    <t>41.35%</t>
  </si>
  <si>
    <t>-1338.54%</t>
  </si>
  <si>
    <t>-1179.96%</t>
  </si>
  <si>
    <t>109.07%</t>
  </si>
  <si>
    <t>427.66%</t>
  </si>
  <si>
    <t>11.17 - 63.12</t>
  </si>
  <si>
    <t>166.94%</t>
  </si>
  <si>
    <t>112.32%</t>
  </si>
  <si>
    <t>245.28%</t>
  </si>
  <si>
    <t>Guild Holdings Co</t>
  </si>
  <si>
    <t>-30.53%</t>
  </si>
  <si>
    <t>75.85%</t>
  </si>
  <si>
    <t>10.65 - 23.28</t>
  </si>
  <si>
    <t>215.72%</t>
  </si>
  <si>
    <t>Twin Disc Incorporated</t>
  </si>
  <si>
    <t>44.84%</t>
  </si>
  <si>
    <t>70.86%</t>
  </si>
  <si>
    <t>122.73%</t>
  </si>
  <si>
    <t>6.16 - 14.93</t>
  </si>
  <si>
    <t>-71.05%</t>
  </si>
  <si>
    <t>454.34%</t>
  </si>
  <si>
    <t>68.55%</t>
  </si>
  <si>
    <t>IES Holdings Inc</t>
  </si>
  <si>
    <t>44.73%</t>
  </si>
  <si>
    <t>49.02%</t>
  </si>
  <si>
    <t>164.12%</t>
  </si>
  <si>
    <t>146.51 - 391.97</t>
  </si>
  <si>
    <t>22013.14%</t>
  </si>
  <si>
    <t>126.78%</t>
  </si>
  <si>
    <t>105.12%</t>
  </si>
  <si>
    <t>Disc Medicine Inc</t>
  </si>
  <si>
    <t>54.09%</t>
  </si>
  <si>
    <t>73.21%</t>
  </si>
  <si>
    <t>30.82 - 68.73</t>
  </si>
  <si>
    <t>-67.01%</t>
  </si>
  <si>
    <t>442.84%</t>
  </si>
  <si>
    <t>33.47%</t>
  </si>
  <si>
    <t>Paranovus Entertainment Technology Ltd</t>
  </si>
  <si>
    <t>84.59%</t>
  </si>
  <si>
    <t>-518.55%</t>
  </si>
  <si>
    <t>-3213.56%</t>
  </si>
  <si>
    <t>-10519.73%</t>
  </si>
  <si>
    <t>201.00%</t>
  </si>
  <si>
    <t>0.32 - 1.50</t>
  </si>
  <si>
    <t>-99.21%</t>
  </si>
  <si>
    <t>Tvardi Therapeutics Inc</t>
  </si>
  <si>
    <t>-46.39%</t>
  </si>
  <si>
    <t>109.18%</t>
  </si>
  <si>
    <t>-358.01%</t>
  </si>
  <si>
    <t>-317.54%</t>
  </si>
  <si>
    <t>23.34%</t>
  </si>
  <si>
    <t>343.82%</t>
  </si>
  <si>
    <t>8.13 - 40.77</t>
  </si>
  <si>
    <t>-96.62%</t>
  </si>
  <si>
    <t>123.43%</t>
  </si>
  <si>
    <t>258.13%</t>
  </si>
  <si>
    <t>National Health Investors, Inc</t>
  </si>
  <si>
    <t>115.16%</t>
  </si>
  <si>
    <t>65.13 - 85.21</t>
  </si>
  <si>
    <t>1653.88%</t>
  </si>
  <si>
    <t>ATIF Holdings Ltd</t>
  </si>
  <si>
    <t>76.66%</t>
  </si>
  <si>
    <t>-182.56%</t>
  </si>
  <si>
    <t>-723.67%</t>
  </si>
  <si>
    <t>19.86%</t>
  </si>
  <si>
    <t>-33.03%</t>
  </si>
  <si>
    <t>-78.49%</t>
  </si>
  <si>
    <t>4.83 - 45.00</t>
  </si>
  <si>
    <t>-48.29%</t>
  </si>
  <si>
    <t>Blackrock Inc</t>
  </si>
  <si>
    <t>773.74 - 1171.89</t>
  </si>
  <si>
    <t>9129.11%</t>
  </si>
  <si>
    <t>Power Solutions International Inc</t>
  </si>
  <si>
    <t>51.02%</t>
  </si>
  <si>
    <t>157.47%</t>
  </si>
  <si>
    <t>109.87%</t>
  </si>
  <si>
    <t>602.39%</t>
  </si>
  <si>
    <t>15.30 - 121.78</t>
  </si>
  <si>
    <t>8497.20%</t>
  </si>
  <si>
    <t>267.40%</t>
  </si>
  <si>
    <t>439.09%</t>
  </si>
  <si>
    <t>Varex Imaging Corp</t>
  </si>
  <si>
    <t>415.76%</t>
  </si>
  <si>
    <t>78.57%</t>
  </si>
  <si>
    <t>6.76 - 16.93</t>
  </si>
  <si>
    <t>-72.42%</t>
  </si>
  <si>
    <t>Genelux Corp</t>
  </si>
  <si>
    <t>38.45%</t>
  </si>
  <si>
    <t>-28.72%</t>
  </si>
  <si>
    <t>111.07%</t>
  </si>
  <si>
    <t>1.99 - 5.89</t>
  </si>
  <si>
    <t>-89.76%</t>
  </si>
  <si>
    <t>162.19%</t>
  </si>
  <si>
    <t>flyExclusive Inc</t>
  </si>
  <si>
    <t>37.55%</t>
  </si>
  <si>
    <t>147.88%</t>
  </si>
  <si>
    <t>177.65%</t>
  </si>
  <si>
    <t>1.79 - 6.90</t>
  </si>
  <si>
    <t>-79.47%</t>
  </si>
  <si>
    <t>125.91%</t>
  </si>
  <si>
    <t>54.83%</t>
  </si>
  <si>
    <t>83.39%</t>
  </si>
  <si>
    <t>CPS Technologies Corporation</t>
  </si>
  <si>
    <t>60.60%</t>
  </si>
  <si>
    <t>56.06%</t>
  </si>
  <si>
    <t>177.17%</t>
  </si>
  <si>
    <t>1.38 - 4.33</t>
  </si>
  <si>
    <t>-87.25%</t>
  </si>
  <si>
    <t>139.06%</t>
  </si>
  <si>
    <t>165.62%</t>
  </si>
  <si>
    <t>Assurant Inc</t>
  </si>
  <si>
    <t>174.97 - 230.55</t>
  </si>
  <si>
    <t>1632.89%</t>
  </si>
  <si>
    <t>Biglari Holdings Inc</t>
  </si>
  <si>
    <t>59.51%</t>
  </si>
  <si>
    <t>96.32%</t>
  </si>
  <si>
    <t>164.62 - 328.65</t>
  </si>
  <si>
    <t>20139.13%</t>
  </si>
  <si>
    <t>44.23%</t>
  </si>
  <si>
    <t>Jackson Acquisition Company II</t>
  </si>
  <si>
    <t>9.94 - 10.41</t>
  </si>
  <si>
    <t>Workiva Inc</t>
  </si>
  <si>
    <t>256.47%</t>
  </si>
  <si>
    <t>82.92%</t>
  </si>
  <si>
    <t>-28.12%</t>
  </si>
  <si>
    <t>60.50 - 116.83</t>
  </si>
  <si>
    <t>-51.52%</t>
  </si>
  <si>
    <t>669.40%</t>
  </si>
  <si>
    <t>Cboe Global Markets Inc</t>
  </si>
  <si>
    <t>CBOE</t>
  </si>
  <si>
    <t>46.01%</t>
  </si>
  <si>
    <t>187.30 - 255.27</t>
  </si>
  <si>
    <t>1199.45%</t>
  </si>
  <si>
    <t>ACI Worldwide Inc</t>
  </si>
  <si>
    <t>99.26%</t>
  </si>
  <si>
    <t>40.45 - 59.71</t>
  </si>
  <si>
    <t>3545.07%</t>
  </si>
  <si>
    <t>Huron Consulting Group Inc</t>
  </si>
  <si>
    <t>41.09%</t>
  </si>
  <si>
    <t>102.94 - 155.00</t>
  </si>
  <si>
    <t>1185.35%</t>
  </si>
  <si>
    <t>Lee Enterprises, Inc</t>
  </si>
  <si>
    <t>8/28/2008</t>
  </si>
  <si>
    <t>55.61%</t>
  </si>
  <si>
    <t>48.81%</t>
  </si>
  <si>
    <t>-71.27%</t>
  </si>
  <si>
    <t>3.79 - 19.63</t>
  </si>
  <si>
    <t>135.00%</t>
  </si>
  <si>
    <t>-45.19%</t>
  </si>
  <si>
    <t>-34.04%</t>
  </si>
  <si>
    <t>VOC Energy Trust</t>
  </si>
  <si>
    <t>88.66%</t>
  </si>
  <si>
    <t>-48.77%</t>
  </si>
  <si>
    <t>2.44 - 5.69</t>
  </si>
  <si>
    <t>-88.27%</t>
  </si>
  <si>
    <t>131.35%</t>
  </si>
  <si>
    <t>First United Corp</t>
  </si>
  <si>
    <t>26.71%</t>
  </si>
  <si>
    <t>46.34%</t>
  </si>
  <si>
    <t>24.66 - 42.50</t>
  </si>
  <si>
    <t>1271.38%</t>
  </si>
  <si>
    <t>RiverNorth Managed Duration Municipal Income Fund II Inc</t>
  </si>
  <si>
    <t>13.79 - 16.56</t>
  </si>
  <si>
    <t>UY Scuti Acquisition Corp</t>
  </si>
  <si>
    <t>9.89 - 10.45</t>
  </si>
  <si>
    <t>Provident Financial Holdings, Inc</t>
  </si>
  <si>
    <t>60.53%</t>
  </si>
  <si>
    <t>48.15%</t>
  </si>
  <si>
    <t>12.98 - 16.70</t>
  </si>
  <si>
    <t>552.06%</t>
  </si>
  <si>
    <t>Granite Ridge Resources Inc</t>
  </si>
  <si>
    <t>308.99%</t>
  </si>
  <si>
    <t>-44.12%</t>
  </si>
  <si>
    <t>-17.09%</t>
  </si>
  <si>
    <t>4.52 - 7.00</t>
  </si>
  <si>
    <t>-58.54%</t>
  </si>
  <si>
    <t>Highview Merger Corp</t>
  </si>
  <si>
    <t>10.01 - 10.48</t>
  </si>
  <si>
    <t>Intest Corp</t>
  </si>
  <si>
    <t>12/6/2012</t>
  </si>
  <si>
    <t>-29.66%</t>
  </si>
  <si>
    <t>190.09%</t>
  </si>
  <si>
    <t>58.86%</t>
  </si>
  <si>
    <t>5.24 - 9.77</t>
  </si>
  <si>
    <t>-70.18%</t>
  </si>
  <si>
    <t>8279.61%</t>
  </si>
  <si>
    <t>GrafTech International Ltd</t>
  </si>
  <si>
    <t>5/30/2023</t>
  </si>
  <si>
    <t>-26.30%</t>
  </si>
  <si>
    <t>-27.45%</t>
  </si>
  <si>
    <t>73.92%</t>
  </si>
  <si>
    <t>141.91%</t>
  </si>
  <si>
    <t>5.50 - 25.30</t>
  </si>
  <si>
    <t>-94.27%</t>
  </si>
  <si>
    <t>155.87%</t>
  </si>
  <si>
    <t>Pricesmart Inc</t>
  </si>
  <si>
    <t>87.90%</t>
  </si>
  <si>
    <t>81.25 - 120.99</t>
  </si>
  <si>
    <t>2339.52%</t>
  </si>
  <si>
    <t>Trailblazer Merger Corp I</t>
  </si>
  <si>
    <t>11.00 - 12.89</t>
  </si>
  <si>
    <t>DiaMedica Therapeutics Inc</t>
  </si>
  <si>
    <t>89.04%</t>
  </si>
  <si>
    <t>116.30%</t>
  </si>
  <si>
    <t>3.19 - 7.49</t>
  </si>
  <si>
    <t>747.67%</t>
  </si>
  <si>
    <t>79.69%</t>
  </si>
  <si>
    <t>71.22%</t>
  </si>
  <si>
    <t>Dune Acquisition Corp II</t>
  </si>
  <si>
    <t>10.00 - 10.16</t>
  </si>
  <si>
    <t>Comfort Systems USA, Inc</t>
  </si>
  <si>
    <t>97.24%</t>
  </si>
  <si>
    <t>58.66%</t>
  </si>
  <si>
    <t>54.48%</t>
  </si>
  <si>
    <t>187.23%</t>
  </si>
  <si>
    <t>276.44 - 825.00</t>
  </si>
  <si>
    <t>48021.52%</t>
  </si>
  <si>
    <t>138.96%</t>
  </si>
  <si>
    <t>Atmos Energy Corp</t>
  </si>
  <si>
    <t>42.32%</t>
  </si>
  <si>
    <t>136.05 - 168.86</t>
  </si>
  <si>
    <t>3204.43%</t>
  </si>
  <si>
    <t>Spire Global Inc</t>
  </si>
  <si>
    <t>-31.44%</t>
  </si>
  <si>
    <t>-68.11%</t>
  </si>
  <si>
    <t>6.85 - 21.43</t>
  </si>
  <si>
    <t>-92.85%</t>
  </si>
  <si>
    <t>298.21%</t>
  </si>
  <si>
    <t>Centurion Acquisition Corp</t>
  </si>
  <si>
    <t>10.00 - 10.64</t>
  </si>
  <si>
    <t>Alpha Metallurgical Resources Inc</t>
  </si>
  <si>
    <t>90.99%</t>
  </si>
  <si>
    <t>43.87%</t>
  </si>
  <si>
    <t>66.88%</t>
  </si>
  <si>
    <t>97.41 - 255.04</t>
  </si>
  <si>
    <t>8610.94%</t>
  </si>
  <si>
    <t>Lakeside Holding Ltd</t>
  </si>
  <si>
    <t>-766.03%</t>
  </si>
  <si>
    <t>0.78 - 3.98</t>
  </si>
  <si>
    <t>-75.43%</t>
  </si>
  <si>
    <t>Meridian Corp</t>
  </si>
  <si>
    <t>34.39%</t>
  </si>
  <si>
    <t>55.07%</t>
  </si>
  <si>
    <t>43.73%</t>
  </si>
  <si>
    <t>11.16 - 17.33</t>
  </si>
  <si>
    <t>220.96%</t>
  </si>
  <si>
    <t>Sterling Infrastructure Inc</t>
  </si>
  <si>
    <t>102.47%</t>
  </si>
  <si>
    <t>73.69%</t>
  </si>
  <si>
    <t>49.49%</t>
  </si>
  <si>
    <t>256.89%</t>
  </si>
  <si>
    <t>96.34 - 376.75</t>
  </si>
  <si>
    <t>78488.57%</t>
  </si>
  <si>
    <t>193.87%</t>
  </si>
  <si>
    <t>Denny's Corp</t>
  </si>
  <si>
    <t>-29.91%</t>
  </si>
  <si>
    <t>2.85 - 7.73</t>
  </si>
  <si>
    <t>-77.66%</t>
  </si>
  <si>
    <t>2219.09%</t>
  </si>
  <si>
    <t>OneSpan Inc</t>
  </si>
  <si>
    <t>12.51 - 20.36</t>
  </si>
  <si>
    <t>7243.18%</t>
  </si>
  <si>
    <t>Ensysce Biosciences Inc</t>
  </si>
  <si>
    <t>415.58%</t>
  </si>
  <si>
    <t>654.38%</t>
  </si>
  <si>
    <t>53.90%</t>
  </si>
  <si>
    <t>-89.70%</t>
  </si>
  <si>
    <t>-39.16%</t>
  </si>
  <si>
    <t>-84.59%</t>
  </si>
  <si>
    <t>39.53%</t>
  </si>
  <si>
    <t>1.62 - 14.67</t>
  </si>
  <si>
    <t>-27.55%</t>
  </si>
  <si>
    <t>-49.60%</t>
  </si>
  <si>
    <t>Barfresh Food Group Inc</t>
  </si>
  <si>
    <t>108.84%</t>
  </si>
  <si>
    <t>1.81 - 6.08</t>
  </si>
  <si>
    <t>-75.36%</t>
  </si>
  <si>
    <t>481.54%</t>
  </si>
  <si>
    <t>CompoSecure Inc</t>
  </si>
  <si>
    <t>5/17/2024</t>
  </si>
  <si>
    <t>-34.58%</t>
  </si>
  <si>
    <t>51.04%</t>
  </si>
  <si>
    <t>-35.49%</t>
  </si>
  <si>
    <t>47.57%</t>
  </si>
  <si>
    <t>9.24 - 20.86</t>
  </si>
  <si>
    <t>498.05%</t>
  </si>
  <si>
    <t>Monro Inc</t>
  </si>
  <si>
    <t>112.48%</t>
  </si>
  <si>
    <t>-38.71%</t>
  </si>
  <si>
    <t>12.19 - 30.18</t>
  </si>
  <si>
    <t>1009.76%</t>
  </si>
  <si>
    <t>-35.15%</t>
  </si>
  <si>
    <t>Krystal Biotech Inc</t>
  </si>
  <si>
    <t>116.09%</t>
  </si>
  <si>
    <t>93.77%</t>
  </si>
  <si>
    <t>91.63%</t>
  </si>
  <si>
    <t>42.26%</t>
  </si>
  <si>
    <t>122.80 - 207.84</t>
  </si>
  <si>
    <t>-25.89%</t>
  </si>
  <si>
    <t>1924.35%</t>
  </si>
  <si>
    <t>Launch One Acquisition Corp</t>
  </si>
  <si>
    <t>9.96 - 10.70</t>
  </si>
  <si>
    <t>Mercury Systems Inc</t>
  </si>
  <si>
    <t>113.06%</t>
  </si>
  <si>
    <t>108.81%</t>
  </si>
  <si>
    <t>129.75%</t>
  </si>
  <si>
    <t>32.32 - 78.75</t>
  </si>
  <si>
    <t>3259.95%</t>
  </si>
  <si>
    <t>AMC Networks Inc</t>
  </si>
  <si>
    <t>76.01%</t>
  </si>
  <si>
    <t>5.41 - 10.60</t>
  </si>
  <si>
    <t>Argan, Inc</t>
  </si>
  <si>
    <t>36.75%</t>
  </si>
  <si>
    <t>29.61%</t>
  </si>
  <si>
    <t>52.52%</t>
  </si>
  <si>
    <t>-23.74%</t>
  </si>
  <si>
    <t>88.12%</t>
  </si>
  <si>
    <t>33.16%</t>
  </si>
  <si>
    <t>166.43%</t>
  </si>
  <si>
    <t>98.41 - 270.11</t>
  </si>
  <si>
    <t>31084.22%</t>
  </si>
  <si>
    <t>127.54%</t>
  </si>
  <si>
    <t>175.18%</t>
  </si>
  <si>
    <t>FB Bancorp Inc</t>
  </si>
  <si>
    <t>9.81 - 12.74</t>
  </si>
  <si>
    <t>CuriosityStream Inc</t>
  </si>
  <si>
    <t>-33.12%</t>
  </si>
  <si>
    <t>258.05%</t>
  </si>
  <si>
    <t>1.44 - 7.01</t>
  </si>
  <si>
    <t>1069.65%</t>
  </si>
  <si>
    <t>186.05%</t>
  </si>
  <si>
    <t>D. Boral ARC Acquisition I Corp</t>
  </si>
  <si>
    <t>9.88 - 9.95</t>
  </si>
  <si>
    <t>Gaia Inc</t>
  </si>
  <si>
    <t>12/13/2010</t>
  </si>
  <si>
    <t>46.33%</t>
  </si>
  <si>
    <t>77.46%</t>
  </si>
  <si>
    <t>109.58%</t>
  </si>
  <si>
    <t>2.93 - 6.53</t>
  </si>
  <si>
    <t>PACS Group Inc</t>
  </si>
  <si>
    <t>63.32%</t>
  </si>
  <si>
    <t>28.92%</t>
  </si>
  <si>
    <t>-69.74%</t>
  </si>
  <si>
    <t>7.50 - 43.92</t>
  </si>
  <si>
    <t>-67.14%</t>
  </si>
  <si>
    <t>Daxor Corp</t>
  </si>
  <si>
    <t>1/5/2018</t>
  </si>
  <si>
    <t>144.72%</t>
  </si>
  <si>
    <t>85.67%</t>
  </si>
  <si>
    <t>173.24%</t>
  </si>
  <si>
    <t>6.55 - 12.22</t>
  </si>
  <si>
    <t>-62.33%</t>
  </si>
  <si>
    <t>555.92%</t>
  </si>
  <si>
    <t>PennyMac Financial Services Inc</t>
  </si>
  <si>
    <t>52.81%</t>
  </si>
  <si>
    <t>90.92%</t>
  </si>
  <si>
    <t>85.74 - 130.02</t>
  </si>
  <si>
    <t>1091.42%</t>
  </si>
  <si>
    <t>Cambium Networks Corp</t>
  </si>
  <si>
    <t>-117.95%</t>
  </si>
  <si>
    <t>-34.89%</t>
  </si>
  <si>
    <t>-56.98%</t>
  </si>
  <si>
    <t>32.83%</t>
  </si>
  <si>
    <t>-36.28%</t>
  </si>
  <si>
    <t>-54.35%</t>
  </si>
  <si>
    <t>310.33%</t>
  </si>
  <si>
    <t>0.23 - 2.08</t>
  </si>
  <si>
    <t>-98.57%</t>
  </si>
  <si>
    <t>149.21%</t>
  </si>
  <si>
    <t>GSI Technology Inc</t>
  </si>
  <si>
    <t>-64.26%</t>
  </si>
  <si>
    <t>-62.96%</t>
  </si>
  <si>
    <t>136.73%</t>
  </si>
  <si>
    <t>1.62 - 5.89</t>
  </si>
  <si>
    <t>-62.40%</t>
  </si>
  <si>
    <t>164.48%</t>
  </si>
  <si>
    <t>MVB Financial Corp</t>
  </si>
  <si>
    <t>-20.97%</t>
  </si>
  <si>
    <t>-42.40%</t>
  </si>
  <si>
    <t>15.59 - 25.12</t>
  </si>
  <si>
    <t>-46.14%</t>
  </si>
  <si>
    <t>339.70%</t>
  </si>
  <si>
    <t>Haymaker Acquisition Corp. 4</t>
  </si>
  <si>
    <t>78.80%</t>
  </si>
  <si>
    <t>10.65 - 11.39</t>
  </si>
  <si>
    <t>Delek Logistics Partners LP</t>
  </si>
  <si>
    <t>144.36%</t>
  </si>
  <si>
    <t>33.22%</t>
  </si>
  <si>
    <t>34.59 - 48.00</t>
  </si>
  <si>
    <t>736.30%</t>
  </si>
  <si>
    <t>Aura Minerals Inc</t>
  </si>
  <si>
    <t>-135.56%</t>
  </si>
  <si>
    <t>67.90%</t>
  </si>
  <si>
    <t>208.26%</t>
  </si>
  <si>
    <t>11.01 - 35.82</t>
  </si>
  <si>
    <t>9882.30%</t>
  </si>
  <si>
    <t>119.96%</t>
  </si>
  <si>
    <t>339.64%</t>
  </si>
  <si>
    <t>Stratasys Ltd</t>
  </si>
  <si>
    <t>-20.24%</t>
  </si>
  <si>
    <t>-53.39%</t>
  </si>
  <si>
    <t>42.65%</t>
  </si>
  <si>
    <t>-17.42%</t>
  </si>
  <si>
    <t>6.92 - 12.88</t>
  </si>
  <si>
    <t>-91.69%</t>
  </si>
  <si>
    <t>1735.20%</t>
  </si>
  <si>
    <t>Isabella Bank Corp</t>
  </si>
  <si>
    <t>20.10 - 44.99</t>
  </si>
  <si>
    <t>150.93%</t>
  </si>
  <si>
    <t>Ames National Corp</t>
  </si>
  <si>
    <t>15.69 - 20.89</t>
  </si>
  <si>
    <t>-51.47%</t>
  </si>
  <si>
    <t>78.79%</t>
  </si>
  <si>
    <t>Zymeworks BC Inc</t>
  </si>
  <si>
    <t>95.94%</t>
  </si>
  <si>
    <t>153.21%</t>
  </si>
  <si>
    <t>89.52%</t>
  </si>
  <si>
    <t>-67.32%</t>
  </si>
  <si>
    <t>9.03 - 17.70</t>
  </si>
  <si>
    <t>-72.35%</t>
  </si>
  <si>
    <t>297.11%</t>
  </si>
  <si>
    <t>Quantumsphere Acquisition Corp</t>
  </si>
  <si>
    <t>San Juan Basin Royalty Trust</t>
  </si>
  <si>
    <t>3/27/2024</t>
  </si>
  <si>
    <t>-47.65%</t>
  </si>
  <si>
    <t>-99.84%</t>
  </si>
  <si>
    <t>32.22%</t>
  </si>
  <si>
    <t>-495.03%</t>
  </si>
  <si>
    <t>-381.81%</t>
  </si>
  <si>
    <t>3.66 - 7.22</t>
  </si>
  <si>
    <t>-88.28%</t>
  </si>
  <si>
    <t>333.81%</t>
  </si>
  <si>
    <t>VAALCO Energy, Inc</t>
  </si>
  <si>
    <t>-32.95%</t>
  </si>
  <si>
    <t>3.00 - 6.45</t>
  </si>
  <si>
    <t>-72.09%</t>
  </si>
  <si>
    <t>3360.72%</t>
  </si>
  <si>
    <t>Regis Corp</t>
  </si>
  <si>
    <t>11/1/2013</t>
  </si>
  <si>
    <t>-20.69%</t>
  </si>
  <si>
    <t>54.40%</t>
  </si>
  <si>
    <t>87.33%</t>
  </si>
  <si>
    <t>15.00 - 30.29</t>
  </si>
  <si>
    <t>626.45%</t>
  </si>
  <si>
    <t>24.06%</t>
  </si>
  <si>
    <t>Pyxis Oncology Inc</t>
  </si>
  <si>
    <t>-3032.73%</t>
  </si>
  <si>
    <t>-3414.40%</t>
  </si>
  <si>
    <t>57.09%</t>
  </si>
  <si>
    <t>-61.61%</t>
  </si>
  <si>
    <t>148.36%</t>
  </si>
  <si>
    <t>0.83 - 5.39</t>
  </si>
  <si>
    <t>-89.11%</t>
  </si>
  <si>
    <t>89.84%</t>
  </si>
  <si>
    <t>-42.52%</t>
  </si>
  <si>
    <t>Jena Acquisition Corporation II</t>
  </si>
  <si>
    <t>10.02 - 10.50</t>
  </si>
  <si>
    <t>Sphere Entertainment Co</t>
  </si>
  <si>
    <t>337.01%</t>
  </si>
  <si>
    <t>98.58%</t>
  </si>
  <si>
    <t>44.90%</t>
  </si>
  <si>
    <t>23.89 - 62.85</t>
  </si>
  <si>
    <t>223.81%</t>
  </si>
  <si>
    <t>72.51%</t>
  </si>
  <si>
    <t>39.71%</t>
  </si>
  <si>
    <t>Moog, Inc</t>
  </si>
  <si>
    <t>90.85%</t>
  </si>
  <si>
    <t>25.63%</t>
  </si>
  <si>
    <t>43.35%</t>
  </si>
  <si>
    <t>143.67 - 227.92</t>
  </si>
  <si>
    <t>17835.79%</t>
  </si>
  <si>
    <t>Bankwell Financial Group Inc</t>
  </si>
  <si>
    <t>64.98%</t>
  </si>
  <si>
    <t>-28.44%</t>
  </si>
  <si>
    <t>26.39 - 46.85</t>
  </si>
  <si>
    <t>331.62%</t>
  </si>
  <si>
    <t>Kingstone Cos. Inc</t>
  </si>
  <si>
    <t>54.08%</t>
  </si>
  <si>
    <t>78.58%</t>
  </si>
  <si>
    <t>8.45 - 22.40</t>
  </si>
  <si>
    <t>37625.00%</t>
  </si>
  <si>
    <t>-14.21%</t>
  </si>
  <si>
    <t>63.67%</t>
  </si>
  <si>
    <t>Key Tronic Corp</t>
  </si>
  <si>
    <t>-16.49%</t>
  </si>
  <si>
    <t>41.21%</t>
  </si>
  <si>
    <t>2.21 - 6.14</t>
  </si>
  <si>
    <t>-85.51%</t>
  </si>
  <si>
    <t>1675.00%</t>
  </si>
  <si>
    <t>Comtech Telecommunications Corp</t>
  </si>
  <si>
    <t>1/17/2023</t>
  </si>
  <si>
    <t>37.20%</t>
  </si>
  <si>
    <t>-59.21%</t>
  </si>
  <si>
    <t>115.55%</t>
  </si>
  <si>
    <t>1.19 - 5.16</t>
  </si>
  <si>
    <t>-95.58%</t>
  </si>
  <si>
    <t>453.15%</t>
  </si>
  <si>
    <t>-42.49%</t>
  </si>
  <si>
    <t>EVI Industries Inc</t>
  </si>
  <si>
    <t>56.91%</t>
  </si>
  <si>
    <t>118.20%</t>
  </si>
  <si>
    <t>14.85 - 34.48</t>
  </si>
  <si>
    <t>-30.40%</t>
  </si>
  <si>
    <t>20069.88%</t>
  </si>
  <si>
    <t>74.67%</t>
  </si>
  <si>
    <t>Guaranty Bancshares, Inc. (TX)</t>
  </si>
  <si>
    <t>30.63 - 51.32</t>
  </si>
  <si>
    <t>679.85%</t>
  </si>
  <si>
    <t>Quest Diagnostics, Inc</t>
  </si>
  <si>
    <t>31.84%</t>
  </si>
  <si>
    <t>146.17 - 187.96</t>
  </si>
  <si>
    <t>5557.36%</t>
  </si>
  <si>
    <t>IF Bancorp Inc</t>
  </si>
  <si>
    <t>19.30 - 26.00</t>
  </si>
  <si>
    <t>142.80%</t>
  </si>
  <si>
    <t>Tavia Acquisition Corp</t>
  </si>
  <si>
    <t>9.89 - 10.72</t>
  </si>
  <si>
    <t>Coastal Financial Corp</t>
  </si>
  <si>
    <t>85.90%</t>
  </si>
  <si>
    <t>65.46%</t>
  </si>
  <si>
    <t>128.39%</t>
  </si>
  <si>
    <t>51.45 - 118.00</t>
  </si>
  <si>
    <t>1297.21%</t>
  </si>
  <si>
    <t>127.02%</t>
  </si>
  <si>
    <t>Plymouth Industrial Reit Inc</t>
  </si>
  <si>
    <t>67.67%</t>
  </si>
  <si>
    <t>55.17%</t>
  </si>
  <si>
    <t>12.70 - 22.65</t>
  </si>
  <si>
    <t>197.07%</t>
  </si>
  <si>
    <t>Cavco Industries Inc</t>
  </si>
  <si>
    <t>393.53 - 577.53</t>
  </si>
  <si>
    <t>8799.54%</t>
  </si>
  <si>
    <t>LSI Industries Inc</t>
  </si>
  <si>
    <t>79.61%</t>
  </si>
  <si>
    <t>72.45%</t>
  </si>
  <si>
    <t>13.77 - 25.50</t>
  </si>
  <si>
    <t>2155.53%</t>
  </si>
  <si>
    <t>Dycom Industries, Inc</t>
  </si>
  <si>
    <t>113.55%</t>
  </si>
  <si>
    <t>131.37 - 285.64</t>
  </si>
  <si>
    <t>31461.31%</t>
  </si>
  <si>
    <t>Brink's Co</t>
  </si>
  <si>
    <t>11/3/2025</t>
  </si>
  <si>
    <t>80.10 - 117.99</t>
  </si>
  <si>
    <t>3991.13%</t>
  </si>
  <si>
    <t>Enviri Corp</t>
  </si>
  <si>
    <t>1/13/2016</t>
  </si>
  <si>
    <t>-239.00%</t>
  </si>
  <si>
    <t>-78.43%</t>
  </si>
  <si>
    <t>101.46%</t>
  </si>
  <si>
    <t>157.84%</t>
  </si>
  <si>
    <t>4.72 - 12.84</t>
  </si>
  <si>
    <t>-81.70%</t>
  </si>
  <si>
    <t>284.32%</t>
  </si>
  <si>
    <t>38.30%</t>
  </si>
  <si>
    <t>Olema Pharmaceuticals Inc</t>
  </si>
  <si>
    <t>-83.00%</t>
  </si>
  <si>
    <t>-35.60%</t>
  </si>
  <si>
    <t>85.69%</t>
  </si>
  <si>
    <t>196.68%</t>
  </si>
  <si>
    <t>2.86 - 13.51</t>
  </si>
  <si>
    <t>324.25%</t>
  </si>
  <si>
    <t>102.02%</t>
  </si>
  <si>
    <t>Jackson Financial Inc</t>
  </si>
  <si>
    <t>-29.28%</t>
  </si>
  <si>
    <t>-137.77%</t>
  </si>
  <si>
    <t>91.47%</t>
  </si>
  <si>
    <t>58.15%</t>
  </si>
  <si>
    <t>64.70 - 115.22</t>
  </si>
  <si>
    <t>359.05%</t>
  </si>
  <si>
    <t>Firstsun Capital Bancorp</t>
  </si>
  <si>
    <t>31.70 - 45.32</t>
  </si>
  <si>
    <t>72.63%</t>
  </si>
  <si>
    <t>Life360 Inc</t>
  </si>
  <si>
    <t>77.11%</t>
  </si>
  <si>
    <t>77.33%</t>
  </si>
  <si>
    <t>29.62 - 107.34</t>
  </si>
  <si>
    <t>296.67%</t>
  </si>
  <si>
    <t>66.04%</t>
  </si>
  <si>
    <t>164.78%</t>
  </si>
  <si>
    <t>160.24%</t>
  </si>
  <si>
    <t>Indigo Acquisition Corp</t>
  </si>
  <si>
    <t>9.92 - 9.99</t>
  </si>
  <si>
    <t>Equus Total Return Inc</t>
  </si>
  <si>
    <t>11/13/2008</t>
  </si>
  <si>
    <t>79.65%</t>
  </si>
  <si>
    <t>231.04%</t>
  </si>
  <si>
    <t>0.74 - 2.49</t>
  </si>
  <si>
    <t>-85.91%</t>
  </si>
  <si>
    <t>RiverNorth Flexible Municipal Income Fund Inc</t>
  </si>
  <si>
    <t>13.14 - 16.45</t>
  </si>
  <si>
    <t>-37.42%</t>
  </si>
  <si>
    <t>Algorhythm Holdings Inc</t>
  </si>
  <si>
    <t>-40.11%</t>
  </si>
  <si>
    <t>-105.18%</t>
  </si>
  <si>
    <t>-48.44%</t>
  </si>
  <si>
    <t>47.92%</t>
  </si>
  <si>
    <t>1.71 - 156.20</t>
  </si>
  <si>
    <t>-97.74%</t>
  </si>
  <si>
    <t>Barnwell Industries Inc</t>
  </si>
  <si>
    <t>8/23/2023</t>
  </si>
  <si>
    <t>-34.85%</t>
  </si>
  <si>
    <t>-42.25%</t>
  </si>
  <si>
    <t>-33.57%</t>
  </si>
  <si>
    <t>-41.04%</t>
  </si>
  <si>
    <t>1.08 - 2.40</t>
  </si>
  <si>
    <t>Xometry Inc</t>
  </si>
  <si>
    <t>100.89%</t>
  </si>
  <si>
    <t>97.25%</t>
  </si>
  <si>
    <t>-10.20%</t>
  </si>
  <si>
    <t>235.88%</t>
  </si>
  <si>
    <t>16.26 - 58.03</t>
  </si>
  <si>
    <t>392.90%</t>
  </si>
  <si>
    <t>105.31%</t>
  </si>
  <si>
    <t>191.43%</t>
  </si>
  <si>
    <t>Guess Inc</t>
  </si>
  <si>
    <t>156.05%</t>
  </si>
  <si>
    <t>-10.34%</t>
  </si>
  <si>
    <t>54.14%</t>
  </si>
  <si>
    <t>35.48%</t>
  </si>
  <si>
    <t>96.83%</t>
  </si>
  <si>
    <t>8.48 - 20.33</t>
  </si>
  <si>
    <t>-65.28%</t>
  </si>
  <si>
    <t>1103.49%</t>
  </si>
  <si>
    <t>Spring Valley Acquisition Corp II</t>
  </si>
  <si>
    <t>11.20 - 13.39</t>
  </si>
  <si>
    <t>Phoenix Asia Holdings Ltd</t>
  </si>
  <si>
    <t>-46.36%</t>
  </si>
  <si>
    <t>309.08%</t>
  </si>
  <si>
    <t>2.31 - 17.60</t>
  </si>
  <si>
    <t>Kalaris Therapeutics Inc</t>
  </si>
  <si>
    <t>-30.30%</t>
  </si>
  <si>
    <t>136.45%</t>
  </si>
  <si>
    <t>-79.05%</t>
  </si>
  <si>
    <t>2.14 - 24.15</t>
  </si>
  <si>
    <t>-99.55%</t>
  </si>
  <si>
    <t>93.13%</t>
  </si>
  <si>
    <t>-71.19%</t>
  </si>
  <si>
    <t>CSLM Digital Asset Acquisition Corp III Ltd</t>
  </si>
  <si>
    <t>10.00 - 10.19</t>
  </si>
  <si>
    <t>Smart Sand Inc</t>
  </si>
  <si>
    <t>1.69 - 2.66</t>
  </si>
  <si>
    <t>-89.33%</t>
  </si>
  <si>
    <t>326.44%</t>
  </si>
  <si>
    <t>Popular Inc</t>
  </si>
  <si>
    <t>78.23 - 129.32</t>
  </si>
  <si>
    <t>-56.10%</t>
  </si>
  <si>
    <t>3032.63%</t>
  </si>
  <si>
    <t>Agriculture &amp; Natural Solutions Acquisition Corp</t>
  </si>
  <si>
    <t>88.24%</t>
  </si>
  <si>
    <t>10.35 - 10.98</t>
  </si>
  <si>
    <t>Arcus Biosciences Inc</t>
  </si>
  <si>
    <t>76.65%</t>
  </si>
  <si>
    <t>310.26%</t>
  </si>
  <si>
    <t>96.18%</t>
  </si>
  <si>
    <t>-129.01%</t>
  </si>
  <si>
    <t>-113.74%</t>
  </si>
  <si>
    <t>-35.09%</t>
  </si>
  <si>
    <t>6.50 - 18.98</t>
  </si>
  <si>
    <t>95.56%</t>
  </si>
  <si>
    <t>54.97%</t>
  </si>
  <si>
    <t>-21.03%</t>
  </si>
  <si>
    <t>Plum Acquisition Corp. IV</t>
  </si>
  <si>
    <t>74.62%</t>
  </si>
  <si>
    <t>9.94 - 10.34</t>
  </si>
  <si>
    <t>Curtiss-Wright Corp</t>
  </si>
  <si>
    <t>97.70%</t>
  </si>
  <si>
    <t>266.88 - 528.44</t>
  </si>
  <si>
    <t>25481.82%</t>
  </si>
  <si>
    <t>62.17%</t>
  </si>
  <si>
    <t>Wrap Technologies Inc</t>
  </si>
  <si>
    <t>-35.66%</t>
  </si>
  <si>
    <t>-464.82%</t>
  </si>
  <si>
    <t>-311.31%</t>
  </si>
  <si>
    <t>1.20 - 2.66</t>
  </si>
  <si>
    <t>47.47%</t>
  </si>
  <si>
    <t>Idacorp, Inc</t>
  </si>
  <si>
    <t>99.35%</t>
  </si>
  <si>
    <t>99.81 - 129.48</t>
  </si>
  <si>
    <t>736.65%</t>
  </si>
  <si>
    <t>U.S. Gold Corp</t>
  </si>
  <si>
    <t>2/27/2008</t>
  </si>
  <si>
    <t>-313.33%</t>
  </si>
  <si>
    <t>196.14%</t>
  </si>
  <si>
    <t>5.44 - 16.71</t>
  </si>
  <si>
    <t>518.19%</t>
  </si>
  <si>
    <t>173.98%</t>
  </si>
  <si>
    <t>M-tron Industries Inc</t>
  </si>
  <si>
    <t>-27.21%</t>
  </si>
  <si>
    <t>34.50 - 71.10</t>
  </si>
  <si>
    <t>547.68%</t>
  </si>
  <si>
    <t>Investors Title Co</t>
  </si>
  <si>
    <t>37.64%</t>
  </si>
  <si>
    <t>190.20 - 276.65</t>
  </si>
  <si>
    <t>18960.31%</t>
  </si>
  <si>
    <t>Kala Bio Inc</t>
  </si>
  <si>
    <t>250.93%</t>
  </si>
  <si>
    <t>542.98%</t>
  </si>
  <si>
    <t>2.92 - 20.60</t>
  </si>
  <si>
    <t>-98.60%</t>
  </si>
  <si>
    <t>306.39%</t>
  </si>
  <si>
    <t>240.13%</t>
  </si>
  <si>
    <t>Star Equity Holdings Inc</t>
  </si>
  <si>
    <t>8/15/2018</t>
  </si>
  <si>
    <t>-31.16%</t>
  </si>
  <si>
    <t>38.74%</t>
  </si>
  <si>
    <t>8.26 - 16.65</t>
  </si>
  <si>
    <t>-95.95%</t>
  </si>
  <si>
    <t>-30.33%</t>
  </si>
  <si>
    <t>Energy Recovery Inc</t>
  </si>
  <si>
    <t>30.55%</t>
  </si>
  <si>
    <t>647.95%</t>
  </si>
  <si>
    <t>87.35%</t>
  </si>
  <si>
    <t>66.76%</t>
  </si>
  <si>
    <t>10.86 - 20.27</t>
  </si>
  <si>
    <t>689.74%</t>
  </si>
  <si>
    <t>-12.15%</t>
  </si>
  <si>
    <t>Privia Health Group Inc</t>
  </si>
  <si>
    <t>59.03%</t>
  </si>
  <si>
    <t>43.59%</t>
  </si>
  <si>
    <t>16.47 - 26.09</t>
  </si>
  <si>
    <t>-53.42%</t>
  </si>
  <si>
    <t>Lifeward Ltd</t>
  </si>
  <si>
    <t>39.41%</t>
  </si>
  <si>
    <t>33.55%</t>
  </si>
  <si>
    <t>-70.57%</t>
  </si>
  <si>
    <t>-121.80%</t>
  </si>
  <si>
    <t>-81.14%</t>
  </si>
  <si>
    <t>0.50 - 4.00</t>
  </si>
  <si>
    <t>-59.86%</t>
  </si>
  <si>
    <t>-75.81%</t>
  </si>
  <si>
    <t>eGain Corp</t>
  </si>
  <si>
    <t>46.62%</t>
  </si>
  <si>
    <t>4.34 - 9.64</t>
  </si>
  <si>
    <t>-98.82%</t>
  </si>
  <si>
    <t>5714.00%</t>
  </si>
  <si>
    <t>DMC Global Inc</t>
  </si>
  <si>
    <t>-214.82%</t>
  </si>
  <si>
    <t>35.20%</t>
  </si>
  <si>
    <t>118.18%</t>
  </si>
  <si>
    <t>-27.49%</t>
  </si>
  <si>
    <t>-40.45%</t>
  </si>
  <si>
    <t>5.78 - 13.77</t>
  </si>
  <si>
    <t>2523.97%</t>
  </si>
  <si>
    <t>Central Plains Bancshares Inc</t>
  </si>
  <si>
    <t>12.00 - 16.70</t>
  </si>
  <si>
    <t>P3 Health Partners Inc</t>
  </si>
  <si>
    <t>92.48%</t>
  </si>
  <si>
    <t>-62.58%</t>
  </si>
  <si>
    <t>5.80 - 26.00</t>
  </si>
  <si>
    <t>-98.84%</t>
  </si>
  <si>
    <t>Forum Energy Technologies Inc</t>
  </si>
  <si>
    <t>-183.33%</t>
  </si>
  <si>
    <t>61.81%</t>
  </si>
  <si>
    <t>118.23%</t>
  </si>
  <si>
    <t>12.78 - 28.25</t>
  </si>
  <si>
    <t>-96.23%</t>
  </si>
  <si>
    <t>829.05%</t>
  </si>
  <si>
    <t>Consensus Cloud Solutions Inc</t>
  </si>
  <si>
    <t>98.71%</t>
  </si>
  <si>
    <t>79.63%</t>
  </si>
  <si>
    <t>63.06%</t>
  </si>
  <si>
    <t>17.84 - 32.10</t>
  </si>
  <si>
    <t>150.34%</t>
  </si>
  <si>
    <t>Madison Square Garden Entertainment Corp</t>
  </si>
  <si>
    <t>28.29 - 46.74</t>
  </si>
  <si>
    <t>Protalix BioTherapeutics Inc</t>
  </si>
  <si>
    <t>62.79%</t>
  </si>
  <si>
    <t>103.54%</t>
  </si>
  <si>
    <t>0.99 - 3.10</t>
  </si>
  <si>
    <t>187.86%</t>
  </si>
  <si>
    <t>30.84%</t>
  </si>
  <si>
    <t>Sono-Tek Corp</t>
  </si>
  <si>
    <t>-20.81%</t>
  </si>
  <si>
    <t>3.23 - 6.05</t>
  </si>
  <si>
    <t>-56.11%</t>
  </si>
  <si>
    <t>5106.25%</t>
  </si>
  <si>
    <t>Bright Minds Biosciences Inc</t>
  </si>
  <si>
    <t>-59.48%</t>
  </si>
  <si>
    <t>59.58%</t>
  </si>
  <si>
    <t>115.36%</t>
  </si>
  <si>
    <t>5538.30%</t>
  </si>
  <si>
    <t>0.94 - 79.02</t>
  </si>
  <si>
    <t>5598.92%</t>
  </si>
  <si>
    <t>127.76%</t>
  </si>
  <si>
    <t>4316.67%</t>
  </si>
  <si>
    <t>Estrella Immunopharma Inc</t>
  </si>
  <si>
    <t>0.63 - 1.78</t>
  </si>
  <si>
    <t>-96.42%</t>
  </si>
  <si>
    <t>Mckesson Corporation</t>
  </si>
  <si>
    <t>52.67%</t>
  </si>
  <si>
    <t>472.50 - 770.00</t>
  </si>
  <si>
    <t>4899.24%</t>
  </si>
  <si>
    <t>Webtoon Entertainment Inc</t>
  </si>
  <si>
    <t>119.60%</t>
  </si>
  <si>
    <t>188.41%</t>
  </si>
  <si>
    <t>6.75 - 22.47</t>
  </si>
  <si>
    <t>124.80%</t>
  </si>
  <si>
    <t>129.30%</t>
  </si>
  <si>
    <t>KLX Energy Services Holdings Inc</t>
  </si>
  <si>
    <t>30.49%</t>
  </si>
  <si>
    <t>-30.08%</t>
  </si>
  <si>
    <t>-71.28%</t>
  </si>
  <si>
    <t>1.46 - 7.40</t>
  </si>
  <si>
    <t>-64.82%</t>
  </si>
  <si>
    <t>OPAL Fuels Inc</t>
  </si>
  <si>
    <t>186.23%</t>
  </si>
  <si>
    <t>26.78%</t>
  </si>
  <si>
    <t>101.67%</t>
  </si>
  <si>
    <t>1.26 - 4.11</t>
  </si>
  <si>
    <t>Innovex International Inc</t>
  </si>
  <si>
    <t>125.44%</t>
  </si>
  <si>
    <t>82.86%</t>
  </si>
  <si>
    <t>86.33%</t>
  </si>
  <si>
    <t>60.61%</t>
  </si>
  <si>
    <t>11.93 - 19.42</t>
  </si>
  <si>
    <t>216.61%</t>
  </si>
  <si>
    <t>HCI Group Inc</t>
  </si>
  <si>
    <t>246.58%</t>
  </si>
  <si>
    <t>103.00%</t>
  </si>
  <si>
    <t>91.06 - 186.81</t>
  </si>
  <si>
    <t>4595.69%</t>
  </si>
  <si>
    <t>72.10%</t>
  </si>
  <si>
    <t>Teledyne Technologies Inc</t>
  </si>
  <si>
    <t>419.00 - 573.29</t>
  </si>
  <si>
    <t>7234.93%</t>
  </si>
  <si>
    <t>First Capital Inc</t>
  </si>
  <si>
    <t>28.50 - 53.85</t>
  </si>
  <si>
    <t>-43.92%</t>
  </si>
  <si>
    <t>492.96%</t>
  </si>
  <si>
    <t>ON24 Inc</t>
  </si>
  <si>
    <t>5/19/2023</t>
  </si>
  <si>
    <t>163.16%</t>
  </si>
  <si>
    <t>74.55%</t>
  </si>
  <si>
    <t>-29.62%</t>
  </si>
  <si>
    <t>4.35 - 7.03</t>
  </si>
  <si>
    <t>Proassurance Corporation</t>
  </si>
  <si>
    <t>3/28/2023</t>
  </si>
  <si>
    <t>123.13%</t>
  </si>
  <si>
    <t>148.21%</t>
  </si>
  <si>
    <t>13.00 - 24.14</t>
  </si>
  <si>
    <t>-58.63%</t>
  </si>
  <si>
    <t>1271.98%</t>
  </si>
  <si>
    <t>67.32%</t>
  </si>
  <si>
    <t>Nuveen Dynamic Municipal Opportunities Fund</t>
  </si>
  <si>
    <t>9.30 - 11.39</t>
  </si>
  <si>
    <t>American Integrity Insurance Group Inc</t>
  </si>
  <si>
    <t>38.11%</t>
  </si>
  <si>
    <t>15.77 - 22.88</t>
  </si>
  <si>
    <t>Nextcure Inc</t>
  </si>
  <si>
    <t>68.03%</t>
  </si>
  <si>
    <t>-144.64%</t>
  </si>
  <si>
    <t>117.63%</t>
  </si>
  <si>
    <t>2.69 - 19.20</t>
  </si>
  <si>
    <t>-64.93%</t>
  </si>
  <si>
    <t>Adverum Biotechnologies Inc</t>
  </si>
  <si>
    <t>-72.22%</t>
  </si>
  <si>
    <t>-191.80%</t>
  </si>
  <si>
    <t>-17441.50%</t>
  </si>
  <si>
    <t>-16427.50%</t>
  </si>
  <si>
    <t>88.64%</t>
  </si>
  <si>
    <t>133.15%</t>
  </si>
  <si>
    <t>1.78 - 8.56</t>
  </si>
  <si>
    <t>-99.34%</t>
  </si>
  <si>
    <t>78.88%</t>
  </si>
  <si>
    <t>-40.20%</t>
  </si>
  <si>
    <t>Black Hawk Acquisition Corp</t>
  </si>
  <si>
    <t>116.97%</t>
  </si>
  <si>
    <t>10.23 - 11.49</t>
  </si>
  <si>
    <t>Blue Acquisition Corp</t>
  </si>
  <si>
    <t>9.95 - 10.04</t>
  </si>
  <si>
    <t>Monogram Technologies Inc</t>
  </si>
  <si>
    <t>-52.47%</t>
  </si>
  <si>
    <t>69.39%</t>
  </si>
  <si>
    <t>207.81%</t>
  </si>
  <si>
    <t>1.92 - 6.02</t>
  </si>
  <si>
    <t>-87.95%</t>
  </si>
  <si>
    <t>285.95%</t>
  </si>
  <si>
    <t>97.49%</t>
  </si>
  <si>
    <t>138.10%</t>
  </si>
  <si>
    <t>Cadre Holdings Inc</t>
  </si>
  <si>
    <t>63.55%</t>
  </si>
  <si>
    <t>27.07 - 40.28</t>
  </si>
  <si>
    <t>153.32%</t>
  </si>
  <si>
    <t>Dianthus Therapeutics Inc</t>
  </si>
  <si>
    <t>86.26%</t>
  </si>
  <si>
    <t>-2676.56%</t>
  </si>
  <si>
    <t>-2364.11%</t>
  </si>
  <si>
    <t>65.07%</t>
  </si>
  <si>
    <t>101.63%</t>
  </si>
  <si>
    <t>172.76%</t>
  </si>
  <si>
    <t>13.36 - 39.87</t>
  </si>
  <si>
    <t>-89.15%</t>
  </si>
  <si>
    <t>609.79%</t>
  </si>
  <si>
    <t>106.78%</t>
  </si>
  <si>
    <t>83.47%</t>
  </si>
  <si>
    <t>30.90%</t>
  </si>
  <si>
    <t>BKV Corp</t>
  </si>
  <si>
    <t>49.69%</t>
  </si>
  <si>
    <t>137.66%</t>
  </si>
  <si>
    <t>15.00 - 26.78</t>
  </si>
  <si>
    <t>9.90 - 9.95</t>
  </si>
  <si>
    <t>Knowles Corp</t>
  </si>
  <si>
    <t>102.20%</t>
  </si>
  <si>
    <t>12.19 - 23.37</t>
  </si>
  <si>
    <t>137.29%</t>
  </si>
  <si>
    <t>44.10%</t>
  </si>
  <si>
    <t>Ceva Inc</t>
  </si>
  <si>
    <t>85.91%</t>
  </si>
  <si>
    <t>-32.85%</t>
  </si>
  <si>
    <t>18.31 - 38.94</t>
  </si>
  <si>
    <t>-68.85%</t>
  </si>
  <si>
    <t>801.72%</t>
  </si>
  <si>
    <t>Cirrus Logic, Inc</t>
  </si>
  <si>
    <t>97.62%</t>
  </si>
  <si>
    <t>75.83 - 129.07</t>
  </si>
  <si>
    <t>8444.41%</t>
  </si>
  <si>
    <t>BK Technologies Corp</t>
  </si>
  <si>
    <t>10/24/2022</t>
  </si>
  <si>
    <t>113.11%</t>
  </si>
  <si>
    <t>114.85%</t>
  </si>
  <si>
    <t>298.92%</t>
  </si>
  <si>
    <t>19.48 - 80.91</t>
  </si>
  <si>
    <t>-88.64%</t>
  </si>
  <si>
    <t>11488.98%</t>
  </si>
  <si>
    <t>45.14%</t>
  </si>
  <si>
    <t>142.84%</t>
  </si>
  <si>
    <t>230.96%</t>
  </si>
  <si>
    <t>Gorman-Rupp Co</t>
  </si>
  <si>
    <t>47.39%</t>
  </si>
  <si>
    <t>62.11%</t>
  </si>
  <si>
    <t>47.82%</t>
  </si>
  <si>
    <t>30.87 - 46.93</t>
  </si>
  <si>
    <t>2100.51%</t>
  </si>
  <si>
    <t>Dyadic International Inc., DE</t>
  </si>
  <si>
    <t>129.20%</t>
  </si>
  <si>
    <t>150.49%</t>
  </si>
  <si>
    <t>59.86%</t>
  </si>
  <si>
    <t>-131.23%</t>
  </si>
  <si>
    <t>-134.84%</t>
  </si>
  <si>
    <t>-47.95%</t>
  </si>
  <si>
    <t>0.71 - 2.20</t>
  </si>
  <si>
    <t>-89.57%</t>
  </si>
  <si>
    <t>2190.00%</t>
  </si>
  <si>
    <t>Airsculpt Technologies Inc</t>
  </si>
  <si>
    <t>8/25/2022</t>
  </si>
  <si>
    <t>-172.08%</t>
  </si>
  <si>
    <t>198.51%</t>
  </si>
  <si>
    <t>54.35%</t>
  </si>
  <si>
    <t>-20.11%</t>
  </si>
  <si>
    <t>380.39%</t>
  </si>
  <si>
    <t>1.53 - 9.20</t>
  </si>
  <si>
    <t>-58.51%</t>
  </si>
  <si>
    <t>195.18%</t>
  </si>
  <si>
    <t>25.64%</t>
  </si>
  <si>
    <t>10.02 - 10.15</t>
  </si>
  <si>
    <t>U.S. Global Investors, Inc</t>
  </si>
  <si>
    <t>10/14/2025</t>
  </si>
  <si>
    <t>95.74%</t>
  </si>
  <si>
    <t>67.97%</t>
  </si>
  <si>
    <t>27.84%</t>
  </si>
  <si>
    <t>-31.41%</t>
  </si>
  <si>
    <t>2.02 - 2.72</t>
  </si>
  <si>
    <t>-92.59%</t>
  </si>
  <si>
    <t>534.24%</t>
  </si>
  <si>
    <t>Core Molding Technologies</t>
  </si>
  <si>
    <t>5/21/2018</t>
  </si>
  <si>
    <t>40.08%</t>
  </si>
  <si>
    <t>-15.64%</t>
  </si>
  <si>
    <t>-10.71%</t>
  </si>
  <si>
    <t>78.41%</t>
  </si>
  <si>
    <t>12.25 - 22.29</t>
  </si>
  <si>
    <t>-27.37%</t>
  </si>
  <si>
    <t>4271.00%</t>
  </si>
  <si>
    <t>45.41%</t>
  </si>
  <si>
    <t>Scilex Holding Company</t>
  </si>
  <si>
    <t>-39.55%</t>
  </si>
  <si>
    <t>61.26%</t>
  </si>
  <si>
    <t>-224.04%</t>
  </si>
  <si>
    <t>-278.03%</t>
  </si>
  <si>
    <t>136.20%</t>
  </si>
  <si>
    <t>303.84%</t>
  </si>
  <si>
    <t>-28.63%</t>
  </si>
  <si>
    <t>691.07%</t>
  </si>
  <si>
    <t>3.60 - 39.90</t>
  </si>
  <si>
    <t>-95.19%</t>
  </si>
  <si>
    <t>227.70%</t>
  </si>
  <si>
    <t>Research Solutions Inc</t>
  </si>
  <si>
    <t>54.96%</t>
  </si>
  <si>
    <t>2.32 - 4.24</t>
  </si>
  <si>
    <t>1007.14%</t>
  </si>
  <si>
    <t>Aardvark Therapeutics Inc</t>
  </si>
  <si>
    <t>155.74%</t>
  </si>
  <si>
    <t>4.88 - 19.58</t>
  </si>
  <si>
    <t>Waterstone Financial Inc</t>
  </si>
  <si>
    <t>-9.44%</t>
  </si>
  <si>
    <t>11.61 - 16.86</t>
  </si>
  <si>
    <t>-28.41%</t>
  </si>
  <si>
    <t>1116.47%</t>
  </si>
  <si>
    <t>Maywood Acquisition Corp</t>
  </si>
  <si>
    <t>52.74%</t>
  </si>
  <si>
    <t>9.86 - 10.25</t>
  </si>
  <si>
    <t>Oceaneering International, Inc</t>
  </si>
  <si>
    <t>8/23/2017</t>
  </si>
  <si>
    <t>96.26%</t>
  </si>
  <si>
    <t>66.13%</t>
  </si>
  <si>
    <t>15.46 - 30.98</t>
  </si>
  <si>
    <t>-70.69%</t>
  </si>
  <si>
    <t>11641.44%</t>
  </si>
  <si>
    <t>ClearSign Technologies Corp</t>
  </si>
  <si>
    <t>80.94%</t>
  </si>
  <si>
    <t>-241.17%</t>
  </si>
  <si>
    <t>-203.65%</t>
  </si>
  <si>
    <t>-13.91%</t>
  </si>
  <si>
    <t>-52.45%</t>
  </si>
  <si>
    <t>0.46 - 1.72</t>
  </si>
  <si>
    <t>-94.10%</t>
  </si>
  <si>
    <t>133.69%</t>
  </si>
  <si>
    <t>SIM Acquisition Corp I</t>
  </si>
  <si>
    <t>9.97 - 10.64</t>
  </si>
  <si>
    <t>Enersys</t>
  </si>
  <si>
    <t>38.80%</t>
  </si>
  <si>
    <t>30.46%</t>
  </si>
  <si>
    <t>76.57 - 113.60</t>
  </si>
  <si>
    <t>1833.71%</t>
  </si>
  <si>
    <t>Permian Basin Royalty Trust</t>
  </si>
  <si>
    <t>-43.61%</t>
  </si>
  <si>
    <t>89.50%</t>
  </si>
  <si>
    <t>54.46%</t>
  </si>
  <si>
    <t>136.95%</t>
  </si>
  <si>
    <t>8.01 - 19.52</t>
  </si>
  <si>
    <t>-31.73%</t>
  </si>
  <si>
    <t>799.53%</t>
  </si>
  <si>
    <t>90.56%</t>
  </si>
  <si>
    <t>61.53%</t>
  </si>
  <si>
    <t>Adeia Inc</t>
  </si>
  <si>
    <t>57.27%</t>
  </si>
  <si>
    <t>10.59 - 17.46</t>
  </si>
  <si>
    <t>685.35%</t>
  </si>
  <si>
    <t>180 Degree Capital Corp</t>
  </si>
  <si>
    <t>237.30%</t>
  </si>
  <si>
    <t>3.12 - 5.01</t>
  </si>
  <si>
    <t>-95.37%</t>
  </si>
  <si>
    <t>121.92%</t>
  </si>
  <si>
    <t>Universal Technical Institute Inc</t>
  </si>
  <si>
    <t>3/17/2016</t>
  </si>
  <si>
    <t>70.56%</t>
  </si>
  <si>
    <t>-14.87%</t>
  </si>
  <si>
    <t>104.29%</t>
  </si>
  <si>
    <t>15.14 - 36.32</t>
  </si>
  <si>
    <t>2077.31%</t>
  </si>
  <si>
    <t>88.19%</t>
  </si>
  <si>
    <t>Core Natural Resources Inc</t>
  </si>
  <si>
    <t>-77.27%</t>
  </si>
  <si>
    <t>115.22%</t>
  </si>
  <si>
    <t>122.51%</t>
  </si>
  <si>
    <t>-269.70%</t>
  </si>
  <si>
    <t>-38.44%</t>
  </si>
  <si>
    <t>58.19 - 134.59</t>
  </si>
  <si>
    <t>2409.32%</t>
  </si>
  <si>
    <t>Genasys Inc</t>
  </si>
  <si>
    <t>37.53%</t>
  </si>
  <si>
    <t>-23.62%</t>
  </si>
  <si>
    <t>52.30%</t>
  </si>
  <si>
    <t>-82.32%</t>
  </si>
  <si>
    <t>-92.19%</t>
  </si>
  <si>
    <t>60.46%</t>
  </si>
  <si>
    <t>-39.23%</t>
  </si>
  <si>
    <t>1.46 - 4.04</t>
  </si>
  <si>
    <t>727.74%</t>
  </si>
  <si>
    <t>Cadiz Inc</t>
  </si>
  <si>
    <t>460.46%</t>
  </si>
  <si>
    <t>157.31%</t>
  </si>
  <si>
    <t>85.20%</t>
  </si>
  <si>
    <t>704.29%</t>
  </si>
  <si>
    <t>-164.09%</t>
  </si>
  <si>
    <t>-251.41%</t>
  </si>
  <si>
    <t>51.50%</t>
  </si>
  <si>
    <t>105.92%</t>
  </si>
  <si>
    <t>2.13 - 5.68</t>
  </si>
  <si>
    <t>1654.40%</t>
  </si>
  <si>
    <t>FitLife Brands Inc</t>
  </si>
  <si>
    <t>102.14%</t>
  </si>
  <si>
    <t>9.83 - 19.83</t>
  </si>
  <si>
    <t>-51.09%</t>
  </si>
  <si>
    <t>8266.32%</t>
  </si>
  <si>
    <t>53.16%</t>
  </si>
  <si>
    <t>K&amp;F Growth Acquisition Corp II</t>
  </si>
  <si>
    <t>9.90 - 10.22</t>
  </si>
  <si>
    <t>AMBAC Financial Group Inc</t>
  </si>
  <si>
    <t>-16.34%</t>
  </si>
  <si>
    <t>56.73%</t>
  </si>
  <si>
    <t>5.99 - 13.64</t>
  </si>
  <si>
    <t>-73.64%</t>
  </si>
  <si>
    <t>Sionna Therapeutics Inc</t>
  </si>
  <si>
    <t>64.84%</t>
  </si>
  <si>
    <t>71.92%</t>
  </si>
  <si>
    <t>288.15%</t>
  </si>
  <si>
    <t>7.26 - 28.03</t>
  </si>
  <si>
    <t>135.06%</t>
  </si>
  <si>
    <t>Mama's Creations Inc</t>
  </si>
  <si>
    <t>5.50 - 11.49</t>
  </si>
  <si>
    <t>3424.59%</t>
  </si>
  <si>
    <t>62.39%</t>
  </si>
  <si>
    <t>45.07%</t>
  </si>
  <si>
    <t>FB Financial Corp</t>
  </si>
  <si>
    <t>57.19%</t>
  </si>
  <si>
    <t>38.83 - 58.88</t>
  </si>
  <si>
    <t>283.38%</t>
  </si>
  <si>
    <t>MeridianLink Inc</t>
  </si>
  <si>
    <t>15.49 - 25.22</t>
  </si>
  <si>
    <t>-31.26%</t>
  </si>
  <si>
    <t>Chesapeake Utilities Corp</t>
  </si>
  <si>
    <t>87.91%</t>
  </si>
  <si>
    <t>115.12 - 136.73</t>
  </si>
  <si>
    <t>3770.10%</t>
  </si>
  <si>
    <t>GATX Corp</t>
  </si>
  <si>
    <t>127.69 - 178.26</t>
  </si>
  <si>
    <t>2642.64%</t>
  </si>
  <si>
    <t>Astronics Corp</t>
  </si>
  <si>
    <t>209.09%</t>
  </si>
  <si>
    <t>14.13 - 46.61</t>
  </si>
  <si>
    <t>79575.99%</t>
  </si>
  <si>
    <t>117.07%</t>
  </si>
  <si>
    <t>Axcelis Technologies Inc</t>
  </si>
  <si>
    <t>24.31%</t>
  </si>
  <si>
    <t>138.07%</t>
  </si>
  <si>
    <t>40.40 - 110.17</t>
  </si>
  <si>
    <t>14044.12%</t>
  </si>
  <si>
    <t>78.84%</t>
  </si>
  <si>
    <t>Loews Corp</t>
  </si>
  <si>
    <t>75.16 - 100.05</t>
  </si>
  <si>
    <t>6080.31%</t>
  </si>
  <si>
    <t>Lincoln Educational Services Corp</t>
  </si>
  <si>
    <t>12/11/2014</t>
  </si>
  <si>
    <t>144.00%</t>
  </si>
  <si>
    <t>99.87%</t>
  </si>
  <si>
    <t>11.43 - 25.76</t>
  </si>
  <si>
    <t>13338.23%</t>
  </si>
  <si>
    <t>42.78%</t>
  </si>
  <si>
    <t>HarborOne Bancorp Inc</t>
  </si>
  <si>
    <t>62.82%</t>
  </si>
  <si>
    <t>8.89 - 13.73</t>
  </si>
  <si>
    <t>110.76%</t>
  </si>
  <si>
    <t>Smith &amp; Wesson Brands Inc</t>
  </si>
  <si>
    <t>174.03%</t>
  </si>
  <si>
    <t>-58.14%</t>
  </si>
  <si>
    <t>-32.71%</t>
  </si>
  <si>
    <t>7.73 - 14.20</t>
  </si>
  <si>
    <t>-75.88%</t>
  </si>
  <si>
    <t>13169.91%</t>
  </si>
  <si>
    <t>Where Food Comes From Inc</t>
  </si>
  <si>
    <t>7/26/2021</t>
  </si>
  <si>
    <t>9.26 - 13.78</t>
  </si>
  <si>
    <t>2719.80%</t>
  </si>
  <si>
    <t>Coeptis Therapeutics Holdings Inc</t>
  </si>
  <si>
    <t>-322.46%</t>
  </si>
  <si>
    <t>-983.13%</t>
  </si>
  <si>
    <t>-4887.86%</t>
  </si>
  <si>
    <t>-4338.00%</t>
  </si>
  <si>
    <t>634.63%</t>
  </si>
  <si>
    <t>2.31 - 19.19</t>
  </si>
  <si>
    <t>-96.04%</t>
  </si>
  <si>
    <t>118.12%</t>
  </si>
  <si>
    <t>385.41%</t>
  </si>
  <si>
    <t>IBEX Ltd</t>
  </si>
  <si>
    <t>79.80%</t>
  </si>
  <si>
    <t>51.79%</t>
  </si>
  <si>
    <t>132.80%</t>
  </si>
  <si>
    <t>17.53 - 42.99</t>
  </si>
  <si>
    <t>340.24%</t>
  </si>
  <si>
    <t>43.19%</t>
  </si>
  <si>
    <t>104.15%</t>
  </si>
  <si>
    <t>Everspin Technologies Inc</t>
  </si>
  <si>
    <t>-45.50%</t>
  </si>
  <si>
    <t>24.12%</t>
  </si>
  <si>
    <t>4.34 - 8.70</t>
  </si>
  <si>
    <t>-67.74%</t>
  </si>
  <si>
    <t>368.00%</t>
  </si>
  <si>
    <t>Royal Gold, Inc</t>
  </si>
  <si>
    <t>88.54%</t>
  </si>
  <si>
    <t>50.18%</t>
  </si>
  <si>
    <t>130.67 - 196.00</t>
  </si>
  <si>
    <t>632916.14%</t>
  </si>
  <si>
    <t>Corbus Pharmaceuticals Holdings Inc</t>
  </si>
  <si>
    <t>30.83%</t>
  </si>
  <si>
    <t>-49.34%</t>
  </si>
  <si>
    <t>4.64 - 23.33</t>
  </si>
  <si>
    <t>460.19%</t>
  </si>
  <si>
    <t>NCS Multistage Holdings Inc</t>
  </si>
  <si>
    <t>92.33%</t>
  </si>
  <si>
    <t>206.51%</t>
  </si>
  <si>
    <t>16.81 - 51.49</t>
  </si>
  <si>
    <t>725.99%</t>
  </si>
  <si>
    <t>146.53%</t>
  </si>
  <si>
    <t>Oil States International, Inc</t>
  </si>
  <si>
    <t>47.00%</t>
  </si>
  <si>
    <t>3.08 - 6.39</t>
  </si>
  <si>
    <t>307.89%</t>
  </si>
  <si>
    <t>Natural Gas Services Group, Inc</t>
  </si>
  <si>
    <t>71.37%</t>
  </si>
  <si>
    <t>16.73 - 29.74</t>
  </si>
  <si>
    <t>-28.31%</t>
  </si>
  <si>
    <t>994.27%</t>
  </si>
  <si>
    <t>Exagen Inc</t>
  </si>
  <si>
    <t>-40.00%</t>
  </si>
  <si>
    <t>-23.85%</t>
  </si>
  <si>
    <t>78.46%</t>
  </si>
  <si>
    <t>360.76%</t>
  </si>
  <si>
    <t>2.38 - 10.85</t>
  </si>
  <si>
    <t>-63.27%</t>
  </si>
  <si>
    <t>743.34%</t>
  </si>
  <si>
    <t>56.66%</t>
  </si>
  <si>
    <t>158.63%</t>
  </si>
  <si>
    <t>260.72%</t>
  </si>
  <si>
    <t>Crane Harbor Acquisition Corp</t>
  </si>
  <si>
    <t>9.90 - 10.19</t>
  </si>
  <si>
    <t>Cayson Acquisition Corp</t>
  </si>
  <si>
    <t>9.95 - 10.51</t>
  </si>
  <si>
    <t>Dillard's Inc</t>
  </si>
  <si>
    <t>52.34%</t>
  </si>
  <si>
    <t>41.16%</t>
  </si>
  <si>
    <t>119.50%</t>
  </si>
  <si>
    <t>282.24 - 611.99</t>
  </si>
  <si>
    <t>31885.01%</t>
  </si>
  <si>
    <t>49.13%</t>
  </si>
  <si>
    <t>National Healthcare Corp</t>
  </si>
  <si>
    <t>29.27%</t>
  </si>
  <si>
    <t>32.32%</t>
  </si>
  <si>
    <t>89.14 - 136.86</t>
  </si>
  <si>
    <t>8766.60%</t>
  </si>
  <si>
    <t>Supernus Pharmaceuticals Inc</t>
  </si>
  <si>
    <t>93.28%</t>
  </si>
  <si>
    <t>47.52%</t>
  </si>
  <si>
    <t>62.89%</t>
  </si>
  <si>
    <t>29.16 - 47.65</t>
  </si>
  <si>
    <t>1004.65%</t>
  </si>
  <si>
    <t>United Therapeutics Corp</t>
  </si>
  <si>
    <t>97.19%</t>
  </si>
  <si>
    <t>57.55%</t>
  </si>
  <si>
    <t>60.58%</t>
  </si>
  <si>
    <t>266.98 - 442.01</t>
  </si>
  <si>
    <t>9928.54%</t>
  </si>
  <si>
    <t>Chain Bridge Bancorp Inc</t>
  </si>
  <si>
    <t>20.01 - 32.45</t>
  </si>
  <si>
    <t>Pelican Acquisition Corp</t>
  </si>
  <si>
    <t>54.47%</t>
  </si>
  <si>
    <t>8.98 - 10.06</t>
  </si>
  <si>
    <t>Kestra Medical Technologies Ltd</t>
  </si>
  <si>
    <t>179.99%</t>
  </si>
  <si>
    <t>51.55%</t>
  </si>
  <si>
    <t>-175.93%</t>
  </si>
  <si>
    <t>-193.89%</t>
  </si>
  <si>
    <t>73.30%</t>
  </si>
  <si>
    <t>13.25 - 27.71</t>
  </si>
  <si>
    <t>38.29%</t>
  </si>
  <si>
    <t>Relmada Therapeutics Inc</t>
  </si>
  <si>
    <t>204.62%</t>
  </si>
  <si>
    <t>-55.78%</t>
  </si>
  <si>
    <t>632.11%</t>
  </si>
  <si>
    <t>0.24 - 3.98</t>
  </si>
  <si>
    <t>-97.80%</t>
  </si>
  <si>
    <t>188.52%</t>
  </si>
  <si>
    <t>490.60%</t>
  </si>
  <si>
    <t>-49.13%</t>
  </si>
  <si>
    <t>Polar Power Inc</t>
  </si>
  <si>
    <t>-33.81%</t>
  </si>
  <si>
    <t>-41.89%</t>
  </si>
  <si>
    <t>104.08%</t>
  </si>
  <si>
    <t>124.08%</t>
  </si>
  <si>
    <t>1.53 - 4.69</t>
  </si>
  <si>
    <t>98.41%</t>
  </si>
  <si>
    <t>Xcel Brands Inc</t>
  </si>
  <si>
    <t>-16.27%</t>
  </si>
  <si>
    <t>-42.62%</t>
  </si>
  <si>
    <t>-55.28%</t>
  </si>
  <si>
    <t>50.67%</t>
  </si>
  <si>
    <t>-140.28%</t>
  </si>
  <si>
    <t>-399.74%</t>
  </si>
  <si>
    <t>83.77%</t>
  </si>
  <si>
    <t>-79.39%</t>
  </si>
  <si>
    <t>0.95 - 8.49</t>
  </si>
  <si>
    <t>-52.32%</t>
  </si>
  <si>
    <t>-75.18%</t>
  </si>
  <si>
    <t>Interdigital Inc</t>
  </si>
  <si>
    <t>89.66%</t>
  </si>
  <si>
    <t>101.84%</t>
  </si>
  <si>
    <t>60.40%</t>
  </si>
  <si>
    <t>50.99%</t>
  </si>
  <si>
    <t>147.94%</t>
  </si>
  <si>
    <t>137.01 - 360.30</t>
  </si>
  <si>
    <t>17477.64%</t>
  </si>
  <si>
    <t>47.10%</t>
  </si>
  <si>
    <t>144.65%</t>
  </si>
  <si>
    <t>Stratus Properties Inc</t>
  </si>
  <si>
    <t>-68.34%</t>
  </si>
  <si>
    <t>-39.35%</t>
  </si>
  <si>
    <t>15.10 - 27.82</t>
  </si>
  <si>
    <t>1080.96%</t>
  </si>
  <si>
    <t>Universal Health Services, Inc</t>
  </si>
  <si>
    <t>152.33 - 241.53</t>
  </si>
  <si>
    <t>54539.66%</t>
  </si>
  <si>
    <t>Flag Ship Acquisition Corp</t>
  </si>
  <si>
    <t>69.30%</t>
  </si>
  <si>
    <t>10.01 - 10.66</t>
  </si>
  <si>
    <t>Cg Oncology Inc</t>
  </si>
  <si>
    <t>-61.21%</t>
  </si>
  <si>
    <t>-52.09%</t>
  </si>
  <si>
    <t>117.60%</t>
  </si>
  <si>
    <t>-28546.10%</t>
  </si>
  <si>
    <t>-23245.19%</t>
  </si>
  <si>
    <t>149.86%</t>
  </si>
  <si>
    <t>14.80 - 40.47</t>
  </si>
  <si>
    <t>CS Disco Inc</t>
  </si>
  <si>
    <t>74.02%</t>
  </si>
  <si>
    <t>95.17%</t>
  </si>
  <si>
    <t>3.31 - 6.81</t>
  </si>
  <si>
    <t>-90.69%</t>
  </si>
  <si>
    <t>Alpha Teknova Inc</t>
  </si>
  <si>
    <t>-59.63%</t>
  </si>
  <si>
    <t>-44.84%</t>
  </si>
  <si>
    <t>3.94 - 10.37</t>
  </si>
  <si>
    <t>-81.48%</t>
  </si>
  <si>
    <t>395.24%</t>
  </si>
  <si>
    <t>Weatherford International plc</t>
  </si>
  <si>
    <t>94.59%</t>
  </si>
  <si>
    <t>98.87%</t>
  </si>
  <si>
    <t>-27.39%</t>
  </si>
  <si>
    <t>36.74 - 95.58</t>
  </si>
  <si>
    <t>5197.52%</t>
  </si>
  <si>
    <t>-26.53%</t>
  </si>
  <si>
    <t>Spire Inc</t>
  </si>
  <si>
    <t>90.79%</t>
  </si>
  <si>
    <t>61.56 - 79.81</t>
  </si>
  <si>
    <t>1104.38%</t>
  </si>
  <si>
    <t>Primoris Services Corp</t>
  </si>
  <si>
    <t>57.23%</t>
  </si>
  <si>
    <t>168.49%</t>
  </si>
  <si>
    <t>49.10 - 135.73</t>
  </si>
  <si>
    <t>3994.10%</t>
  </si>
  <si>
    <t>129.07%</t>
  </si>
  <si>
    <t>129.11%</t>
  </si>
  <si>
    <t>Eagle Financial Services, Inc</t>
  </si>
  <si>
    <t>28.70 - 40.03</t>
  </si>
  <si>
    <t>256.82%</t>
  </si>
  <si>
    <t>Mastec Inc</t>
  </si>
  <si>
    <t>71.55%</t>
  </si>
  <si>
    <t>106.79%</t>
  </si>
  <si>
    <t>99.70 - 208.08</t>
  </si>
  <si>
    <t>30825.50%</t>
  </si>
  <si>
    <t>73.56%</t>
  </si>
  <si>
    <t>Corvus Pharmaceuticals Inc</t>
  </si>
  <si>
    <t>72.22%</t>
  </si>
  <si>
    <t>2.54 - 10.00</t>
  </si>
  <si>
    <t>1023.56%</t>
  </si>
  <si>
    <t>75.32%</t>
  </si>
  <si>
    <t>102.37%</t>
  </si>
  <si>
    <t>Inseego Corp</t>
  </si>
  <si>
    <t>205.62%</t>
  </si>
  <si>
    <t>63.83%</t>
  </si>
  <si>
    <t>123.37%</t>
  </si>
  <si>
    <t>-32.23%</t>
  </si>
  <si>
    <t>124.44%</t>
  </si>
  <si>
    <t>6.24 - 20.67</t>
  </si>
  <si>
    <t>-99.43%</t>
  </si>
  <si>
    <t>764.51%</t>
  </si>
  <si>
    <t>Ubiquiti Inc</t>
  </si>
  <si>
    <t>43.42%</t>
  </si>
  <si>
    <t>69.29%</t>
  </si>
  <si>
    <t>198.35%</t>
  </si>
  <si>
    <t>215.62 - 657.12</t>
  </si>
  <si>
    <t>8262.53%</t>
  </si>
  <si>
    <t>192.47%</t>
  </si>
  <si>
    <t>NAPCO Security Technologies Inc</t>
  </si>
  <si>
    <t>55.63%</t>
  </si>
  <si>
    <t>126.26%</t>
  </si>
  <si>
    <t>19.00 - 45.03</t>
  </si>
  <si>
    <t>26430.97%</t>
  </si>
  <si>
    <t>84.19%</t>
  </si>
  <si>
    <t>American Financial Group Inc</t>
  </si>
  <si>
    <t>69.68%</t>
  </si>
  <si>
    <t>114.73 - 147.83</t>
  </si>
  <si>
    <t>2628.65%</t>
  </si>
  <si>
    <t>Grand Canyon Education Inc</t>
  </si>
  <si>
    <t>130.69 - 214.58</t>
  </si>
  <si>
    <t>2168.07%</t>
  </si>
  <si>
    <t>RideNow Group Inc</t>
  </si>
  <si>
    <t>44.05%</t>
  </si>
  <si>
    <t>-6290.98%</t>
  </si>
  <si>
    <t>139.58%</t>
  </si>
  <si>
    <t>-34.84%</t>
  </si>
  <si>
    <t>215.07%</t>
  </si>
  <si>
    <t>1.46 - 7.06</t>
  </si>
  <si>
    <t>-97.91%</t>
  </si>
  <si>
    <t>Rayonier Advanced Materials Inc</t>
  </si>
  <si>
    <t>6/13/2019</t>
  </si>
  <si>
    <t>-2244.62%</t>
  </si>
  <si>
    <t>70.95%</t>
  </si>
  <si>
    <t>104.01%</t>
  </si>
  <si>
    <t>3.35 - 10.28</t>
  </si>
  <si>
    <t>-84.53%</t>
  </si>
  <si>
    <t>659.40%</t>
  </si>
  <si>
    <t>79.41%</t>
  </si>
  <si>
    <t>Structure Therapeutics Inc ADR</t>
  </si>
  <si>
    <t>-51.75%</t>
  </si>
  <si>
    <t>-21.55%</t>
  </si>
  <si>
    <t>-42.48%</t>
  </si>
  <si>
    <t>94.87%</t>
  </si>
  <si>
    <t>13.22 - 44.79</t>
  </si>
  <si>
    <t>National Fuel Gas Co</t>
  </si>
  <si>
    <t>240.65%</t>
  </si>
  <si>
    <t>-40.41%</t>
  </si>
  <si>
    <t>54.80%</t>
  </si>
  <si>
    <t>43.18%</t>
  </si>
  <si>
    <t>58.82 - 94.13</t>
  </si>
  <si>
    <t>2254.41%</t>
  </si>
  <si>
    <t>Mercury General Corp</t>
  </si>
  <si>
    <t>61.83%</t>
  </si>
  <si>
    <t>44.19 - 83.12</t>
  </si>
  <si>
    <t>3000.61%</t>
  </si>
  <si>
    <t>Kyverna Therapeutics Inc</t>
  </si>
  <si>
    <t>25.06%</t>
  </si>
  <si>
    <t>89.44%</t>
  </si>
  <si>
    <t>-15.55%</t>
  </si>
  <si>
    <t>116.79%</t>
  </si>
  <si>
    <t>-15.69%</t>
  </si>
  <si>
    <t>241.01%</t>
  </si>
  <si>
    <t>1.78 - 7.20</t>
  </si>
  <si>
    <t>157.75%</t>
  </si>
  <si>
    <t>AAR Corp</t>
  </si>
  <si>
    <t>3/27/2020</t>
  </si>
  <si>
    <t>-45.56%</t>
  </si>
  <si>
    <t>79.78%</t>
  </si>
  <si>
    <t>46.51 - 86.43</t>
  </si>
  <si>
    <t>2763.47%</t>
  </si>
  <si>
    <t>DallasNews Corporation</t>
  </si>
  <si>
    <t>2/8/2024</t>
  </si>
  <si>
    <t>653.06%</t>
  </si>
  <si>
    <t>-57.30%</t>
  </si>
  <si>
    <t>-509.09%</t>
  </si>
  <si>
    <t>108.07%</t>
  </si>
  <si>
    <t>351.09%</t>
  </si>
  <si>
    <t>3.66 - 16.52</t>
  </si>
  <si>
    <t>-63.32%</t>
  </si>
  <si>
    <t>1161.91%</t>
  </si>
  <si>
    <t>298.79%</t>
  </si>
  <si>
    <t>208.60%</t>
  </si>
  <si>
    <t>296.88%</t>
  </si>
  <si>
    <t>Flux Power Holdings inc</t>
  </si>
  <si>
    <t>90.86%</t>
  </si>
  <si>
    <t>133.80%</t>
  </si>
  <si>
    <t>188.70%</t>
  </si>
  <si>
    <t>1.15 - 3.40</t>
  </si>
  <si>
    <t>127.40%</t>
  </si>
  <si>
    <t>Couchbase Inc</t>
  </si>
  <si>
    <t>65.57%</t>
  </si>
  <si>
    <t>86.87%</t>
  </si>
  <si>
    <t>27.08%</t>
  </si>
  <si>
    <t>12.78 - 25.16</t>
  </si>
  <si>
    <t>-53.10%</t>
  </si>
  <si>
    <t>140.53%</t>
  </si>
  <si>
    <t>Franklin Financial Services Corp</t>
  </si>
  <si>
    <t>73.40%</t>
  </si>
  <si>
    <t>28.01 - 49.42</t>
  </si>
  <si>
    <t>343.75%</t>
  </si>
  <si>
    <t>Galecto Inc</t>
  </si>
  <si>
    <t>-65.08%</t>
  </si>
  <si>
    <t>115.42%</t>
  </si>
  <si>
    <t>2.01 - 12.40</t>
  </si>
  <si>
    <t>-63.12%</t>
  </si>
  <si>
    <t>Ekso Bionics Holdings Inc</t>
  </si>
  <si>
    <t>-83.84%</t>
  </si>
  <si>
    <t>-75.66%</t>
  </si>
  <si>
    <t>-20.14%</t>
  </si>
  <si>
    <t>-73.55%</t>
  </si>
  <si>
    <t>2.73 - 18.15</t>
  </si>
  <si>
    <t>-73.98%</t>
  </si>
  <si>
    <t>NPK International Inc</t>
  </si>
  <si>
    <t>3/29/2011</t>
  </si>
  <si>
    <t>-23.31%</t>
  </si>
  <si>
    <t>89.97%</t>
  </si>
  <si>
    <t>138.95%</t>
  </si>
  <si>
    <t>4.76 - 11.43</t>
  </si>
  <si>
    <t>-55.40%</t>
  </si>
  <si>
    <t>12638.77%</t>
  </si>
  <si>
    <t>29.25%</t>
  </si>
  <si>
    <t>88.62%</t>
  </si>
  <si>
    <t>58.19%</t>
  </si>
  <si>
    <t>Veeco Instruments Inc</t>
  </si>
  <si>
    <t>40.76%</t>
  </si>
  <si>
    <t>27.44%</t>
  </si>
  <si>
    <t>72.00%</t>
  </si>
  <si>
    <t>16.92 - 34.34</t>
  </si>
  <si>
    <t>-76.19%</t>
  </si>
  <si>
    <t>803.83%</t>
  </si>
  <si>
    <t>Madison Square Garden Sports Corp</t>
  </si>
  <si>
    <t>10/14/2022</t>
  </si>
  <si>
    <t>-45.23%</t>
  </si>
  <si>
    <t>63.18%</t>
  </si>
  <si>
    <t>173.26 - 237.99</t>
  </si>
  <si>
    <t>135.60%</t>
  </si>
  <si>
    <t>Arcturus Therapeutics Holdings Inc</t>
  </si>
  <si>
    <t>123.72%</t>
  </si>
  <si>
    <t>46.10%</t>
  </si>
  <si>
    <t>-46.69%</t>
  </si>
  <si>
    <t>61.87%</t>
  </si>
  <si>
    <t>95.21%</t>
  </si>
  <si>
    <t>96.98%</t>
  </si>
  <si>
    <t>-43.57%</t>
  </si>
  <si>
    <t>-54.79%</t>
  </si>
  <si>
    <t>49.67%</t>
  </si>
  <si>
    <t>174.00%</t>
  </si>
  <si>
    <t>8.04 - 25.88</t>
  </si>
  <si>
    <t>-88.33%</t>
  </si>
  <si>
    <t>436.01%</t>
  </si>
  <si>
    <t>65.27%</t>
  </si>
  <si>
    <t>American Public Education Inc</t>
  </si>
  <si>
    <t>581.33%</t>
  </si>
  <si>
    <t>103.09%</t>
  </si>
  <si>
    <t>36.01%</t>
  </si>
  <si>
    <t>180.52%</t>
  </si>
  <si>
    <t>13.45 - 38.32</t>
  </si>
  <si>
    <t>-29.13%</t>
  </si>
  <si>
    <t>903.46%</t>
  </si>
  <si>
    <t>63.12%</t>
  </si>
  <si>
    <t>154.93%</t>
  </si>
  <si>
    <t>Korro Bio Inc</t>
  </si>
  <si>
    <t>-39.89%</t>
  </si>
  <si>
    <t>61.12%</t>
  </si>
  <si>
    <t>-1569.08%</t>
  </si>
  <si>
    <t>-1454.47%</t>
  </si>
  <si>
    <t>211.60%</t>
  </si>
  <si>
    <t>-59.43%</t>
  </si>
  <si>
    <t>286.39%</t>
  </si>
  <si>
    <t>10.29 - 98.00</t>
  </si>
  <si>
    <t>-97.28%</t>
  </si>
  <si>
    <t>769.07%</t>
  </si>
  <si>
    <t>230.51%</t>
  </si>
  <si>
    <t>Northwest Natural Holding Co</t>
  </si>
  <si>
    <t>107.81%</t>
  </si>
  <si>
    <t>80.33%</t>
  </si>
  <si>
    <t>37.73%</t>
  </si>
  <si>
    <t>16.05%</t>
  </si>
  <si>
    <t>38.03 - 44.38</t>
  </si>
  <si>
    <t>429.73%</t>
  </si>
  <si>
    <t>Fulcrum Therapeutics Inc</t>
  </si>
  <si>
    <t>54.59%</t>
  </si>
  <si>
    <t>273.56%</t>
  </si>
  <si>
    <t>2.32 - 8.52</t>
  </si>
  <si>
    <t>-73.87%</t>
  </si>
  <si>
    <t>284.35%</t>
  </si>
  <si>
    <t>179.86%</t>
  </si>
  <si>
    <t>169.40%</t>
  </si>
  <si>
    <t>ZimVie Inc</t>
  </si>
  <si>
    <t>-23.75%</t>
  </si>
  <si>
    <t>126.15%</t>
  </si>
  <si>
    <t>8.15 - 19.01</t>
  </si>
  <si>
    <t>-62.48%</t>
  </si>
  <si>
    <t>274.38%</t>
  </si>
  <si>
    <t>104.17%</t>
  </si>
  <si>
    <t>Black Stone Minerals L.P</t>
  </si>
  <si>
    <t>139.45%</t>
  </si>
  <si>
    <t>84.32%</t>
  </si>
  <si>
    <t>82.76%</t>
  </si>
  <si>
    <t>55.37%</t>
  </si>
  <si>
    <t>11.78 - 15.66</t>
  </si>
  <si>
    <t>234.73%</t>
  </si>
  <si>
    <t>PDF Solutions Inc</t>
  </si>
  <si>
    <t>70.38%</t>
  </si>
  <si>
    <t>60.57%</t>
  </si>
  <si>
    <t>15.91 - 33.42</t>
  </si>
  <si>
    <t>2533.51%</t>
  </si>
  <si>
    <t>Flotek Industries Inc</t>
  </si>
  <si>
    <t>220.43%</t>
  </si>
  <si>
    <t>4.55 - 16.87</t>
  </si>
  <si>
    <t>1115.00%</t>
  </si>
  <si>
    <t>177.71%</t>
  </si>
  <si>
    <t>Lakeshore Acquisition III Corp</t>
  </si>
  <si>
    <t>10.00 - 10.24</t>
  </si>
  <si>
    <t>Stoke Therapeutics Inc</t>
  </si>
  <si>
    <t>1218.82%</t>
  </si>
  <si>
    <t>186.01%</t>
  </si>
  <si>
    <t>112.46%</t>
  </si>
  <si>
    <t>101.85%</t>
  </si>
  <si>
    <t>348.60%</t>
  </si>
  <si>
    <t>5.35 - 24.60</t>
  </si>
  <si>
    <t>-66.47%</t>
  </si>
  <si>
    <t>616.42%</t>
  </si>
  <si>
    <t>106.36%</t>
  </si>
  <si>
    <t>222.15%</t>
  </si>
  <si>
    <t>Information Services Group Inc</t>
  </si>
  <si>
    <t>317.46%</t>
  </si>
  <si>
    <t>-42.61%</t>
  </si>
  <si>
    <t>96.95%</t>
  </si>
  <si>
    <t>2.95 - 5.78</t>
  </si>
  <si>
    <t>608.85%</t>
  </si>
  <si>
    <t>Kymera Therapeutics Inc</t>
  </si>
  <si>
    <t>-49.51%</t>
  </si>
  <si>
    <t>74.20%</t>
  </si>
  <si>
    <t>-55.26%</t>
  </si>
  <si>
    <t>94.97%</t>
  </si>
  <si>
    <t>-697.51%</t>
  </si>
  <si>
    <t>-616.03%</t>
  </si>
  <si>
    <t>183.67%</t>
  </si>
  <si>
    <t>19.44 - 53.84</t>
  </si>
  <si>
    <t>474.58%</t>
  </si>
  <si>
    <t>82.65%</t>
  </si>
  <si>
    <t>Paramount Gold Nevada Corp</t>
  </si>
  <si>
    <t>119.57%</t>
  </si>
  <si>
    <t>104.24%</t>
  </si>
  <si>
    <t>286.22%</t>
  </si>
  <si>
    <t>0.31 - 1.23</t>
  </si>
  <si>
    <t>-62.92%</t>
  </si>
  <si>
    <t>402.08%</t>
  </si>
  <si>
    <t>173.18%</t>
  </si>
  <si>
    <t>ODP Corporation</t>
  </si>
  <si>
    <t>2/28/2020</t>
  </si>
  <si>
    <t>99.86%</t>
  </si>
  <si>
    <t>69.20%</t>
  </si>
  <si>
    <t>136.41%</t>
  </si>
  <si>
    <t>11.85 - 32.21</t>
  </si>
  <si>
    <t>-93.98%</t>
  </si>
  <si>
    <t>374.62%</t>
  </si>
  <si>
    <t>56.44%</t>
  </si>
  <si>
    <t>93.92%</t>
  </si>
  <si>
    <t>Kodiak Sciences Inc</t>
  </si>
  <si>
    <t>251.05%</t>
  </si>
  <si>
    <t>740.89%</t>
  </si>
  <si>
    <t>1.92 - 19.39</t>
  </si>
  <si>
    <t>1078.47%</t>
  </si>
  <si>
    <t>336.35%</t>
  </si>
  <si>
    <t>427.61%</t>
  </si>
  <si>
    <t>518.58%</t>
  </si>
  <si>
    <t>KLA Corp</t>
  </si>
  <si>
    <t>31.57%</t>
  </si>
  <si>
    <t>551.33 - 1076.79</t>
  </si>
  <si>
    <t>91678.60%</t>
  </si>
  <si>
    <t>GRAIL Inc</t>
  </si>
  <si>
    <t>104.84%</t>
  </si>
  <si>
    <t>72.12%</t>
  </si>
  <si>
    <t>-62.63%</t>
  </si>
  <si>
    <t>-436.85%</t>
  </si>
  <si>
    <t>-329.86%</t>
  </si>
  <si>
    <t>61.70%</t>
  </si>
  <si>
    <t>292.78%</t>
  </si>
  <si>
    <t>12.33 - 63.99</t>
  </si>
  <si>
    <t>265.79%</t>
  </si>
  <si>
    <t>First Community Corp</t>
  </si>
  <si>
    <t>19.46 - 29.55</t>
  </si>
  <si>
    <t>518.34%</t>
  </si>
  <si>
    <t>GigCapital7 Corp</t>
  </si>
  <si>
    <t>60.14%</t>
  </si>
  <si>
    <t>9.89 - 10.43</t>
  </si>
  <si>
    <t>Inhibrx Biosciences Inc</t>
  </si>
  <si>
    <t>-69.79%</t>
  </si>
  <si>
    <t>1200.00%</t>
  </si>
  <si>
    <t>-99.00%</t>
  </si>
  <si>
    <t>-11929.64%</t>
  </si>
  <si>
    <t>-11692.43%</t>
  </si>
  <si>
    <t>60.72%</t>
  </si>
  <si>
    <t>10.81 - 31.96</t>
  </si>
  <si>
    <t>205.82%</t>
  </si>
  <si>
    <t>128.89%</t>
  </si>
  <si>
    <t>130.64%</t>
  </si>
  <si>
    <t>DT Midstream Inc</t>
  </si>
  <si>
    <t>81.72%</t>
  </si>
  <si>
    <t>76.91 - 114.50</t>
  </si>
  <si>
    <t>197.33%</t>
  </si>
  <si>
    <t>Pyrophyte Acquisition Corp. II</t>
  </si>
  <si>
    <t>10.00 - 10.14</t>
  </si>
  <si>
    <t>Transact Technologies Inc</t>
  </si>
  <si>
    <t>11/19/2019</t>
  </si>
  <si>
    <t>49.86%</t>
  </si>
  <si>
    <t>70.78%</t>
  </si>
  <si>
    <t>3.12 - 5.48</t>
  </si>
  <si>
    <t>356.00%</t>
  </si>
  <si>
    <t>Lexeo Therapeutics Inc</t>
  </si>
  <si>
    <t>69.28%</t>
  </si>
  <si>
    <t>80.83%</t>
  </si>
  <si>
    <t>-44.45%</t>
  </si>
  <si>
    <t>348.97%</t>
  </si>
  <si>
    <t>1.45 - 11.72</t>
  </si>
  <si>
    <t>-70.85%</t>
  </si>
  <si>
    <t>vTv Therapeutics Inc</t>
  </si>
  <si>
    <t>32.98%</t>
  </si>
  <si>
    <t>-36.68%</t>
  </si>
  <si>
    <t>-11.52%</t>
  </si>
  <si>
    <t>-229.41%</t>
  </si>
  <si>
    <t>-150717.65%</t>
  </si>
  <si>
    <t>-115029.41%</t>
  </si>
  <si>
    <t>80.51%</t>
  </si>
  <si>
    <t>12.62 - 26.99</t>
  </si>
  <si>
    <t>-95.93%</t>
  </si>
  <si>
    <t>208.67%</t>
  </si>
  <si>
    <t>Septerna Inc</t>
  </si>
  <si>
    <t>-160.42%</t>
  </si>
  <si>
    <t>-113.36%</t>
  </si>
  <si>
    <t>-14071.07%</t>
  </si>
  <si>
    <t>-12053.03%</t>
  </si>
  <si>
    <t>44.26%</t>
  </si>
  <si>
    <t>311.36%</t>
  </si>
  <si>
    <t>4.17 - 28.99</t>
  </si>
  <si>
    <t>172.72%</t>
  </si>
  <si>
    <t>Spark I Acquisition Corp</t>
  </si>
  <si>
    <t>83.11%</t>
  </si>
  <si>
    <t>10.46 - 12.00</t>
  </si>
  <si>
    <t>Starry Sea Acquisition Corp</t>
  </si>
  <si>
    <t>10.03 - 11.11</t>
  </si>
  <si>
    <t>Perdoceo Education Corporation</t>
  </si>
  <si>
    <t>-20.25%</t>
  </si>
  <si>
    <t>79.20%</t>
  </si>
  <si>
    <t>20.55 - 36.60</t>
  </si>
  <si>
    <t>-48.07%</t>
  </si>
  <si>
    <t>1985.68%</t>
  </si>
  <si>
    <t>67.46%</t>
  </si>
  <si>
    <t>Opus Genetics Inc</t>
  </si>
  <si>
    <t>44.13%</t>
  </si>
  <si>
    <t>165.25%</t>
  </si>
  <si>
    <t>159.17%</t>
  </si>
  <si>
    <t>-239.11%</t>
  </si>
  <si>
    <t>-377.89%</t>
  </si>
  <si>
    <t>167.69%</t>
  </si>
  <si>
    <t>0.65 - 1.76</t>
  </si>
  <si>
    <t>75.70%</t>
  </si>
  <si>
    <t>National Energy Services Reunited Corp</t>
  </si>
  <si>
    <t>67.26%</t>
  </si>
  <si>
    <t>39.25%</t>
  </si>
  <si>
    <t>105.19%</t>
  </si>
  <si>
    <t>5.20 - 10.80</t>
  </si>
  <si>
    <t>-33.10%</t>
  </si>
  <si>
    <t>337.30%</t>
  </si>
  <si>
    <t>80.85%</t>
  </si>
  <si>
    <t>Ameresco Inc</t>
  </si>
  <si>
    <t>259.52%</t>
  </si>
  <si>
    <t>123.60%</t>
  </si>
  <si>
    <t>308.64%</t>
  </si>
  <si>
    <t>8.49 - 39.68</t>
  </si>
  <si>
    <t>787.75%</t>
  </si>
  <si>
    <t>128.97%</t>
  </si>
  <si>
    <t>182.20%</t>
  </si>
  <si>
    <t>Roman DBDR Acquisition Corp. II</t>
  </si>
  <si>
    <t>71.25%</t>
  </si>
  <si>
    <t>9.87 - 10.43</t>
  </si>
  <si>
    <t>Translational Development Acquisition Corp</t>
  </si>
  <si>
    <t>67.65%</t>
  </si>
  <si>
    <t>Xencor Inc</t>
  </si>
  <si>
    <t>-26.22%</t>
  </si>
  <si>
    <t>82.41%</t>
  </si>
  <si>
    <t>-116.44%</t>
  </si>
  <si>
    <t>-59.73%</t>
  </si>
  <si>
    <t>6.92 - 27.24</t>
  </si>
  <si>
    <t>-81.20%</t>
  </si>
  <si>
    <t>Eton Pharmaceuticals Inc</t>
  </si>
  <si>
    <t>109.83%</t>
  </si>
  <si>
    <t>108.60%</t>
  </si>
  <si>
    <t>-172.48%</t>
  </si>
  <si>
    <t>61.85%</t>
  </si>
  <si>
    <t>59.41%</t>
  </si>
  <si>
    <t>273.98%</t>
  </si>
  <si>
    <t>5.40 - 21.48</t>
  </si>
  <si>
    <t>935.64%</t>
  </si>
  <si>
    <t>251.22%</t>
  </si>
  <si>
    <t>Kandal M Venture Ltd</t>
  </si>
  <si>
    <t>126.92%</t>
  </si>
  <si>
    <t>234.98%</t>
  </si>
  <si>
    <t>4.20 - 14.27</t>
  </si>
  <si>
    <t>185.96%</t>
  </si>
  <si>
    <t>Adtalem Global Education Inc</t>
  </si>
  <si>
    <t>11/30/2016</t>
  </si>
  <si>
    <t>96.73%</t>
  </si>
  <si>
    <t>110.13%</t>
  </si>
  <si>
    <t>71.09 - 148.23</t>
  </si>
  <si>
    <t>13557.60%</t>
  </si>
  <si>
    <t>92.95%</t>
  </si>
  <si>
    <t>Bayview Acquisition Corp</t>
  </si>
  <si>
    <t>10.45 - 11.99</t>
  </si>
  <si>
    <t>EZCorp, Inc</t>
  </si>
  <si>
    <t>92.73%</t>
  </si>
  <si>
    <t>106.12%</t>
  </si>
  <si>
    <t>43.86%</t>
  </si>
  <si>
    <t>10.56 - 18.55</t>
  </si>
  <si>
    <t>-51.35%</t>
  </si>
  <si>
    <t>8498.86%</t>
  </si>
  <si>
    <t>75.30%</t>
  </si>
  <si>
    <t>HCM III Acquisition Corp</t>
  </si>
  <si>
    <t>10.05 - 10.51</t>
  </si>
  <si>
    <t>Maze Therapeutics Inc</t>
  </si>
  <si>
    <t>-5033.20%</t>
  </si>
  <si>
    <t>-2951.92%</t>
  </si>
  <si>
    <t>106.95%</t>
  </si>
  <si>
    <t>295.08%</t>
  </si>
  <si>
    <t>6.71 - 27.67</t>
  </si>
  <si>
    <t>135.23%</t>
  </si>
  <si>
    <t>GSR IV Acquisition Corp</t>
  </si>
  <si>
    <t>10.01 - 10.18</t>
  </si>
  <si>
    <t>Sturm, Ruger &amp; Co., Inc</t>
  </si>
  <si>
    <t>-45.67%</t>
  </si>
  <si>
    <t>-41.00%</t>
  </si>
  <si>
    <t>-41.37%</t>
  </si>
  <si>
    <t>69.19%</t>
  </si>
  <si>
    <t>31.64 - 43.20</t>
  </si>
  <si>
    <t>2357.85%</t>
  </si>
  <si>
    <t>Y-Mabs Therapeutics Inc</t>
  </si>
  <si>
    <t>81.73%</t>
  </si>
  <si>
    <t>-31.21%</t>
  </si>
  <si>
    <t>142.54%</t>
  </si>
  <si>
    <t>3.55 - 16.11</t>
  </si>
  <si>
    <t>218.89%</t>
  </si>
  <si>
    <t>-35.12%</t>
  </si>
  <si>
    <t>Mercurity Fintech Holding Inc</t>
  </si>
  <si>
    <t>-115.58%</t>
  </si>
  <si>
    <t>1266.92%</t>
  </si>
  <si>
    <t>-255.51%</t>
  </si>
  <si>
    <t>-450.10%</t>
  </si>
  <si>
    <t>68.17%</t>
  </si>
  <si>
    <t>153.13%</t>
  </si>
  <si>
    <t>167.75%</t>
  </si>
  <si>
    <t>1022.46%</t>
  </si>
  <si>
    <t>1403.88%</t>
  </si>
  <si>
    <t>1.03 - 15.00</t>
  </si>
  <si>
    <t>-94.64%</t>
  </si>
  <si>
    <t>2804.14%</t>
  </si>
  <si>
    <t>296.16%</t>
  </si>
  <si>
    <t>159.90%</t>
  </si>
  <si>
    <t>1144.18%</t>
  </si>
  <si>
    <t>Potbelly Corp</t>
  </si>
  <si>
    <t>57.29%</t>
  </si>
  <si>
    <t>134.32%</t>
  </si>
  <si>
    <t>7.27 - 17.06</t>
  </si>
  <si>
    <t>1035.67%</t>
  </si>
  <si>
    <t>113.47%</t>
  </si>
  <si>
    <t>M3 Brigade Acquisition VI Corp</t>
  </si>
  <si>
    <t>9.99 - 10.14</t>
  </si>
  <si>
    <t>Spring Valley Acquisition Corp III</t>
  </si>
  <si>
    <t>10.00 - 10.31</t>
  </si>
  <si>
    <t>Apollomics Inc</t>
  </si>
  <si>
    <t>-31.06%</t>
  </si>
  <si>
    <t>175.36%</t>
  </si>
  <si>
    <t>155.86%</t>
  </si>
  <si>
    <t>403.77%</t>
  </si>
  <si>
    <t>3.66 - 35.98</t>
  </si>
  <si>
    <t>190.06%</t>
  </si>
  <si>
    <t>139.70%</t>
  </si>
  <si>
    <t>10.05 - 10.15</t>
  </si>
  <si>
    <t>9.92 - 9.97</t>
  </si>
  <si>
    <t>Silver Pegasus Acquisition Corp</t>
  </si>
  <si>
    <t>9.95 - 9.98</t>
  </si>
  <si>
    <t>Talon Capital Corp</t>
  </si>
  <si>
    <t>9.98 - 11.04</t>
  </si>
  <si>
    <t>Zenta Group Co. Ltd</t>
  </si>
  <si>
    <t>2.00 - 4.51</t>
  </si>
  <si>
    <t>Bollinger Innovations Inc</t>
  </si>
  <si>
    <t>79.12%</t>
  </si>
  <si>
    <t>5865.42%</t>
  </si>
  <si>
    <t>-55.82%</t>
  </si>
  <si>
    <t>626.12%</t>
  </si>
  <si>
    <t>-519.47%</t>
  </si>
  <si>
    <t>-2595.34%</t>
  </si>
  <si>
    <t>-5063.58%</t>
  </si>
  <si>
    <t>-99.64%</t>
  </si>
  <si>
    <t>4.93 - 176624992256.00</t>
  </si>
  <si>
    <t>['Performance 1Y (1Y up)', 'Performance 3M (3M up)', 'Performance 6M (6M up)', 'Relative Volume (&gt; 1.5)', 'RSI (14) High (RSI &gt; 60)']</t>
  </si>
  <si>
    <t>Oxford Square Capital Corp</t>
  </si>
  <si>
    <t>453.53%</t>
  </si>
  <si>
    <t>-30.59%</t>
  </si>
  <si>
    <t>-43.31%</t>
  </si>
  <si>
    <t>1.62 - 2.99</t>
  </si>
  <si>
    <t>-38.59%</t>
  </si>
  <si>
    <t>Kodiak AI Inc</t>
  </si>
  <si>
    <t>-31.15%</t>
  </si>
  <si>
    <t>7.60 - 11.62</t>
  </si>
  <si>
    <t>-32.05%</t>
  </si>
  <si>
    <t>Elutia Inc</t>
  </si>
  <si>
    <t>-52.94%</t>
  </si>
  <si>
    <t>-95.38%</t>
  </si>
  <si>
    <t>-90.94%</t>
  </si>
  <si>
    <t>-30.70%</t>
  </si>
  <si>
    <t>-45.41%</t>
  </si>
  <si>
    <t>-59.51%</t>
  </si>
  <si>
    <t>0.98 - 5.12</t>
  </si>
  <si>
    <t>-52.86%</t>
  </si>
  <si>
    <t>-62.78%</t>
  </si>
  <si>
    <t>-73.17%</t>
  </si>
  <si>
    <t>Vivakor Inc</t>
  </si>
  <si>
    <t>-19.61%</t>
  </si>
  <si>
    <t>98.83%</t>
  </si>
  <si>
    <t>335.36%</t>
  </si>
  <si>
    <t>79.84%</t>
  </si>
  <si>
    <t>-56.80%</t>
  </si>
  <si>
    <t>0.29 - 1.81</t>
  </si>
  <si>
    <t>-52.89%</t>
  </si>
  <si>
    <t>Worthington Enterprises Inc</t>
  </si>
  <si>
    <t>12/15/2025</t>
  </si>
  <si>
    <t>-36.38%</t>
  </si>
  <si>
    <t>-39.38%</t>
  </si>
  <si>
    <t>-17.72%</t>
  </si>
  <si>
    <t>50.22%</t>
  </si>
  <si>
    <t>-21.63%</t>
  </si>
  <si>
    <t>37.88 - 70.91</t>
  </si>
  <si>
    <t>2324.21%</t>
  </si>
  <si>
    <t>-16.73%</t>
  </si>
  <si>
    <t>MSP Recovery Inc</t>
  </si>
  <si>
    <t>-69.28%</t>
  </si>
  <si>
    <t>-3576.21%</t>
  </si>
  <si>
    <t>-3825.82%</t>
  </si>
  <si>
    <t>-4375.62%</t>
  </si>
  <si>
    <t>-32.28%</t>
  </si>
  <si>
    <t>-67.16%</t>
  </si>
  <si>
    <t>-87.83%</t>
  </si>
  <si>
    <t>-83.48%</t>
  </si>
  <si>
    <t>1.21 - 35.00</t>
  </si>
  <si>
    <t>-85.12%</t>
  </si>
  <si>
    <t>-87.32%</t>
  </si>
  <si>
    <t>Aytu BioPharma Inc</t>
  </si>
  <si>
    <t>48.61%</t>
  </si>
  <si>
    <t>-8698.80%</t>
  </si>
  <si>
    <t>-22.12%</t>
  </si>
  <si>
    <t>-24.07%</t>
  </si>
  <si>
    <t>-37.06%</t>
  </si>
  <si>
    <t>-37.72%</t>
  </si>
  <si>
    <t>86.84%</t>
  </si>
  <si>
    <t>0.95 - 2.85</t>
  </si>
  <si>
    <t>-26.95%</t>
  </si>
  <si>
    <t>Zspace Inc</t>
  </si>
  <si>
    <t>-22.73%</t>
  </si>
  <si>
    <t>-39.09%</t>
  </si>
  <si>
    <t>-33.54%</t>
  </si>
  <si>
    <t>-50.90%</t>
  </si>
  <si>
    <t>-86.24%</t>
  </si>
  <si>
    <t>-72.77%</t>
  </si>
  <si>
    <t>-96.73%</t>
  </si>
  <si>
    <t>1.07 - 32.69</t>
  </si>
  <si>
    <t>-66.35%</t>
  </si>
  <si>
    <t>-89.50%</t>
  </si>
  <si>
    <t>OFS Capital Corp</t>
  </si>
  <si>
    <t>7.81 - 9.80</t>
  </si>
  <si>
    <t>-46.70%</t>
  </si>
  <si>
    <t>132.45%</t>
  </si>
  <si>
    <t>Nauticus Robotics Inc</t>
  </si>
  <si>
    <t>-233.07%</t>
  </si>
  <si>
    <t>-1095.17%</t>
  </si>
  <si>
    <t>313.70%</t>
  </si>
  <si>
    <t>-271.80%</t>
  </si>
  <si>
    <t>-771.78%</t>
  </si>
  <si>
    <t>-3598.65%</t>
  </si>
  <si>
    <t>-51.49%</t>
  </si>
  <si>
    <t>-68.71%</t>
  </si>
  <si>
    <t>-70.62%</t>
  </si>
  <si>
    <t>-94.11%</t>
  </si>
  <si>
    <t>3.15 - 54.36</t>
  </si>
  <si>
    <t>-61.72%</t>
  </si>
  <si>
    <t>-64.09%</t>
  </si>
  <si>
    <t>Iveda Solutions Inc</t>
  </si>
  <si>
    <t>88.96%</t>
  </si>
  <si>
    <t>-47.60%</t>
  </si>
  <si>
    <t>-51.94%</t>
  </si>
  <si>
    <t>-84.60%</t>
  </si>
  <si>
    <t>1.21 - 8.05</t>
  </si>
  <si>
    <t>-99.52%</t>
  </si>
  <si>
    <t>47.90%</t>
  </si>
  <si>
    <t>Sadot Group Inc</t>
  </si>
  <si>
    <t>307.62%</t>
  </si>
  <si>
    <t>169.19%</t>
  </si>
  <si>
    <t>-34.65%</t>
  </si>
  <si>
    <t>-72.58%</t>
  </si>
  <si>
    <t>-90.23%</t>
  </si>
  <si>
    <t>5.28 - 57.00</t>
  </si>
  <si>
    <t>-59.93%</t>
  </si>
  <si>
    <t>-80.04%</t>
  </si>
  <si>
    <t>-84.51%</t>
  </si>
  <si>
    <t>BlackRock Technology and Private Equity Term Trust</t>
  </si>
  <si>
    <t>5.10 - 8.31</t>
  </si>
  <si>
    <t>-70.91%</t>
  </si>
  <si>
    <t>Tiptree Inc</t>
  </si>
  <si>
    <t>-19.16%</t>
  </si>
  <si>
    <t>18.25 - 27.41</t>
  </si>
  <si>
    <t>511.48%</t>
  </si>
  <si>
    <t>-26.65%</t>
  </si>
  <si>
    <t>Armlogi Holding Corp</t>
  </si>
  <si>
    <t>50.34%</t>
  </si>
  <si>
    <t>-30.39%</t>
  </si>
  <si>
    <t>-52.66%</t>
  </si>
  <si>
    <t>-88.73%</t>
  </si>
  <si>
    <t>0.80 - 8.74</t>
  </si>
  <si>
    <t>-42.38%</t>
  </si>
  <si>
    <t>-78.01%</t>
  </si>
  <si>
    <t>Annovis Bio Inc</t>
  </si>
  <si>
    <t>-73.95%</t>
  </si>
  <si>
    <t>-31.47%</t>
  </si>
  <si>
    <t>-80.49%</t>
  </si>
  <si>
    <t>85.22%</t>
  </si>
  <si>
    <t>1.11 - 10.54</t>
  </si>
  <si>
    <t>-98.44%</t>
  </si>
  <si>
    <t>Abacus Global Management Inc</t>
  </si>
  <si>
    <t>4.60 - 10.85</t>
  </si>
  <si>
    <t>-57.13%</t>
  </si>
  <si>
    <t>Legacy Education Inc</t>
  </si>
  <si>
    <t>-26.49%</t>
  </si>
  <si>
    <t>183.61%</t>
  </si>
  <si>
    <t>3.60 - 13.89</t>
  </si>
  <si>
    <t>Angel Studios Inc</t>
  </si>
  <si>
    <t>39.96%</t>
  </si>
  <si>
    <t>3.98 - 55.00</t>
  </si>
  <si>
    <t>-66.49%</t>
  </si>
  <si>
    <t>-64.11%</t>
  </si>
  <si>
    <t>Intelligent Bio Solutions Inc</t>
  </si>
  <si>
    <t>-368.27%</t>
  </si>
  <si>
    <t>-346.23%</t>
  </si>
  <si>
    <t>-50.88%</t>
  </si>
  <si>
    <t>1.10 - 2.75</t>
  </si>
  <si>
    <t>-28.53%</t>
  </si>
  <si>
    <t>-37.01%</t>
  </si>
  <si>
    <t>Direct Digital Holdings Inc</t>
  </si>
  <si>
    <t>-39.37%</t>
  </si>
  <si>
    <t>-74.79%</t>
  </si>
  <si>
    <t>58.27%</t>
  </si>
  <si>
    <t>-53.58%</t>
  </si>
  <si>
    <t>52.58%</t>
  </si>
  <si>
    <t>-40.90%</t>
  </si>
  <si>
    <t>-58.09%</t>
  </si>
  <si>
    <t>-57.96%</t>
  </si>
  <si>
    <t>-94.99%</t>
  </si>
  <si>
    <t>0.32 - 6.59</t>
  </si>
  <si>
    <t>-99.08%</t>
  </si>
  <si>
    <t>-75.19%</t>
  </si>
  <si>
    <t>-85.27%</t>
  </si>
  <si>
    <t>CEA Industries Inc</t>
  </si>
  <si>
    <t>-79.98%</t>
  </si>
  <si>
    <t>-45.91%</t>
  </si>
  <si>
    <t>-59.02%</t>
  </si>
  <si>
    <t>-90.71%</t>
  </si>
  <si>
    <t>37.50%</t>
  </si>
  <si>
    <t>5.60 - 82.88</t>
  </si>
  <si>
    <t>47.51%</t>
  </si>
  <si>
    <t>Espey Manufacturing &amp; Electronics Corp</t>
  </si>
  <si>
    <t>79.73%</t>
  </si>
  <si>
    <t>70.98%</t>
  </si>
  <si>
    <t>22.62 - 54.08</t>
  </si>
  <si>
    <t>973.57%</t>
  </si>
  <si>
    <t>63.99%</t>
  </si>
  <si>
    <t>HF Foods Group Inc</t>
  </si>
  <si>
    <t>-27.00%</t>
  </si>
  <si>
    <t>1.70 - 4.93</t>
  </si>
  <si>
    <t>-91.93%</t>
  </si>
  <si>
    <t>-40.27%</t>
  </si>
  <si>
    <t>SLR Investment Corp</t>
  </si>
  <si>
    <t>93.43%</t>
  </si>
  <si>
    <t>13.64 - 17.94</t>
  </si>
  <si>
    <t>-40.04%</t>
  </si>
  <si>
    <t>109.70%</t>
  </si>
  <si>
    <t>Petmed Express, Inc</t>
  </si>
  <si>
    <t>8/11/2023</t>
  </si>
  <si>
    <t>-200.00%</t>
  </si>
  <si>
    <t>-61.31%</t>
  </si>
  <si>
    <t>2.62 - 6.85</t>
  </si>
  <si>
    <t>-95.42%</t>
  </si>
  <si>
    <t>2977.70%</t>
  </si>
  <si>
    <t>Celularity Inc</t>
  </si>
  <si>
    <t>-52.64%</t>
  </si>
  <si>
    <t>-106.19%</t>
  </si>
  <si>
    <t>-165.21%</t>
  </si>
  <si>
    <t>-31.76%</t>
  </si>
  <si>
    <t>-60.92%</t>
  </si>
  <si>
    <t>103.86%</t>
  </si>
  <si>
    <t>1.00 - 5.22</t>
  </si>
  <si>
    <t>FG Nexus Inc</t>
  </si>
  <si>
    <t>63.42%</t>
  </si>
  <si>
    <t>90.44%</t>
  </si>
  <si>
    <t>-63.17%</t>
  </si>
  <si>
    <t>-68.92%</t>
  </si>
  <si>
    <t>6.10 - 41.25</t>
  </si>
  <si>
    <t>-97.62%</t>
  </si>
  <si>
    <t>-70.13%</t>
  </si>
  <si>
    <t>-76.24%</t>
  </si>
  <si>
    <t>Greenwich LifeSciences Inc</t>
  </si>
  <si>
    <t>-32.98%</t>
  </si>
  <si>
    <t>8.06 - 15.47</t>
  </si>
  <si>
    <t>207.17%</t>
  </si>
  <si>
    <t>-34.47%</t>
  </si>
  <si>
    <t>First Citizens Bancshares, Inc (NC)</t>
  </si>
  <si>
    <t>76.61%</t>
  </si>
  <si>
    <t>35.77%</t>
  </si>
  <si>
    <t>1473.62 - 2412.93</t>
  </si>
  <si>
    <t>9673.00%</t>
  </si>
  <si>
    <t>Joint Corp</t>
  </si>
  <si>
    <t>-56.15%</t>
  </si>
  <si>
    <t>76.29%</t>
  </si>
  <si>
    <t>80.14%</t>
  </si>
  <si>
    <t>9.58 - 13.47</t>
  </si>
  <si>
    <t>-91.19%</t>
  </si>
  <si>
    <t>428.92%</t>
  </si>
  <si>
    <t>-23.25%</t>
  </si>
  <si>
    <t>Group 1 Automotive, Inc</t>
  </si>
  <si>
    <t>31.55%</t>
  </si>
  <si>
    <t>97.51%</t>
  </si>
  <si>
    <t>344.38 - 490.09</t>
  </si>
  <si>
    <t>9920.28%</t>
  </si>
  <si>
    <t>Lipocine Inc</t>
  </si>
  <si>
    <t>595.42%</t>
  </si>
  <si>
    <t>98.67%</t>
  </si>
  <si>
    <t>-132.59%</t>
  </si>
  <si>
    <t>-107.11%</t>
  </si>
  <si>
    <t>-22.18%</t>
  </si>
  <si>
    <t>-24.20%</t>
  </si>
  <si>
    <t>2.65 - 6.17</t>
  </si>
  <si>
    <t>-40.02%</t>
  </si>
  <si>
    <t>First Merchants Corp</t>
  </si>
  <si>
    <t>77.01%</t>
  </si>
  <si>
    <t>33.13 - 46.13</t>
  </si>
  <si>
    <t>690.45%</t>
  </si>
  <si>
    <t>Aura Biosciences Inc</t>
  </si>
  <si>
    <t>68.21%</t>
  </si>
  <si>
    <t>4.34 - 12.38</t>
  </si>
  <si>
    <t>-77.48%</t>
  </si>
  <si>
    <t>Concentrix Corp</t>
  </si>
  <si>
    <t>70.54%</t>
  </si>
  <si>
    <t>-21.58%</t>
  </si>
  <si>
    <t>36.28 - 66.00</t>
  </si>
  <si>
    <t>-76.08%</t>
  </si>
  <si>
    <t>LiveOne Inc</t>
  </si>
  <si>
    <t>-41.93%</t>
  </si>
  <si>
    <t>-42.79%</t>
  </si>
  <si>
    <t>-41.34%</t>
  </si>
  <si>
    <t>4.30 - 16.00</t>
  </si>
  <si>
    <t>Willis Lease Finance Corp</t>
  </si>
  <si>
    <t>1662.91%</t>
  </si>
  <si>
    <t>228.02%</t>
  </si>
  <si>
    <t>68.99%</t>
  </si>
  <si>
    <t>-17.94%</t>
  </si>
  <si>
    <t>124.90 - 235.43</t>
  </si>
  <si>
    <t>4740.98%</t>
  </si>
  <si>
    <t>Cal-Maine Foods, Inc</t>
  </si>
  <si>
    <t>262.03%</t>
  </si>
  <si>
    <t>283.53%</t>
  </si>
  <si>
    <t>131.11%</t>
  </si>
  <si>
    <t>83.19%</t>
  </si>
  <si>
    <t>72.23%</t>
  </si>
  <si>
    <t>93.71%</t>
  </si>
  <si>
    <t>72.48 - 126.40</t>
  </si>
  <si>
    <t>16144.68%</t>
  </si>
  <si>
    <t>CPI Aerostructures Inc</t>
  </si>
  <si>
    <t>-28.33%</t>
  </si>
  <si>
    <t>-30.66%</t>
  </si>
  <si>
    <t>-57.09%</t>
  </si>
  <si>
    <t>2.35 - 5.85</t>
  </si>
  <si>
    <t>-90.95%</t>
  </si>
  <si>
    <t>191.87%</t>
  </si>
  <si>
    <t>RiverNorth Capital and Income Fund</t>
  </si>
  <si>
    <t>14.37 - 16.02</t>
  </si>
  <si>
    <t>-28.82%</t>
  </si>
  <si>
    <t>CarParts.com Inc</t>
  </si>
  <si>
    <t>-52.39%</t>
  </si>
  <si>
    <t>-48.39%</t>
  </si>
  <si>
    <t>38.31%</t>
  </si>
  <si>
    <t>-47.35%</t>
  </si>
  <si>
    <t>-49.57%</t>
  </si>
  <si>
    <t>0.68 - 1.42</t>
  </si>
  <si>
    <t>Dermata Therapeutics Inc</t>
  </si>
  <si>
    <t>4.59 - 23.70</t>
  </si>
  <si>
    <t>-64.79%</t>
  </si>
  <si>
    <t>Indaptus Therapeutics Inc</t>
  </si>
  <si>
    <t>-70.56%</t>
  </si>
  <si>
    <t>2.22 - 58.24</t>
  </si>
  <si>
    <t>-69.07%</t>
  </si>
  <si>
    <t>-89.46%</t>
  </si>
  <si>
    <t>Permianville Royalty Trust</t>
  </si>
  <si>
    <t>-59.09%</t>
  </si>
  <si>
    <t>-21.59%</t>
  </si>
  <si>
    <t>2314.83%</t>
  </si>
  <si>
    <t>64.94%</t>
  </si>
  <si>
    <t>1.30 - 2.04</t>
  </si>
  <si>
    <t>-87.35%</t>
  </si>
  <si>
    <t>333.62%</t>
  </si>
  <si>
    <t>Semler Scientific Inc</t>
  </si>
  <si>
    <t>-43.19%</t>
  </si>
  <si>
    <t>2390.91%</t>
  </si>
  <si>
    <t>86.20%</t>
  </si>
  <si>
    <t>-36.15%</t>
  </si>
  <si>
    <t>22.22 - 81.56</t>
  </si>
  <si>
    <t>-81.19%</t>
  </si>
  <si>
    <t>2471.85%</t>
  </si>
  <si>
    <t>GD Culture Group Limited</t>
  </si>
  <si>
    <t>15.57%</t>
  </si>
  <si>
    <t>-23.26%</t>
  </si>
  <si>
    <t>60.18%</t>
  </si>
  <si>
    <t>57.98%</t>
  </si>
  <si>
    <t>332.52%</t>
  </si>
  <si>
    <t>1.03 - 9.91</t>
  </si>
  <si>
    <t>661.31%</t>
  </si>
  <si>
    <t>Amcon Distributing Company</t>
  </si>
  <si>
    <t>-31.92%</t>
  </si>
  <si>
    <t>94.92 - 163.41</t>
  </si>
  <si>
    <t>-56.33%</t>
  </si>
  <si>
    <t>1564.33%</t>
  </si>
  <si>
    <t>Brand Engagement Network Inc</t>
  </si>
  <si>
    <t>-79.92%</t>
  </si>
  <si>
    <t>-5817.12%</t>
  </si>
  <si>
    <t>-33612.68%</t>
  </si>
  <si>
    <t>-50735.42%</t>
  </si>
  <si>
    <t>-74.66%</t>
  </si>
  <si>
    <t>0.23 - 1.18</t>
  </si>
  <si>
    <t>-98.49%</t>
  </si>
  <si>
    <t>-20.75%</t>
  </si>
  <si>
    <t>-68.25%</t>
  </si>
  <si>
    <t>BCP Investment Corp</t>
  </si>
  <si>
    <t>11.46 - 18.80</t>
  </si>
  <si>
    <t>-92.65%</t>
  </si>
  <si>
    <t>-33.97%</t>
  </si>
  <si>
    <t>Establishment Labs Holdings Inc</t>
  </si>
  <si>
    <t>-25.23%</t>
  </si>
  <si>
    <t>26.56 - 50.85</t>
  </si>
  <si>
    <t>402.91%</t>
  </si>
  <si>
    <t>Lifecore Biomedical Inc</t>
  </si>
  <si>
    <t>-26.24%</t>
  </si>
  <si>
    <t>-18.64%</t>
  </si>
  <si>
    <t>4.33 - 8.85</t>
  </si>
  <si>
    <t>376.82%</t>
  </si>
  <si>
    <t>44.29%</t>
  </si>
  <si>
    <t>Jerash holdings (US) Inc</t>
  </si>
  <si>
    <t>2.81 - 4.17</t>
  </si>
  <si>
    <t>-69.59%</t>
  </si>
  <si>
    <t>BioAffinity Technologies Inc</t>
  </si>
  <si>
    <t>66.57%</t>
  </si>
  <si>
    <t>-47.05%</t>
  </si>
  <si>
    <t>-70.00%</t>
  </si>
  <si>
    <t>-131.01%</t>
  </si>
  <si>
    <t>-152.18%</t>
  </si>
  <si>
    <t>-57.93%</t>
  </si>
  <si>
    <t>67.06%</t>
  </si>
  <si>
    <t>-91.54%</t>
  </si>
  <si>
    <t>3.40 - 67.12</t>
  </si>
  <si>
    <t>Digital Brands Group Inc</t>
  </si>
  <si>
    <t>93.73%</t>
  </si>
  <si>
    <t>74.23%</t>
  </si>
  <si>
    <t>-117.94%</t>
  </si>
  <si>
    <t>-150.70%</t>
  </si>
  <si>
    <t>-21.33%</t>
  </si>
  <si>
    <t>639.81%</t>
  </si>
  <si>
    <t>1.03 - 30.34</t>
  </si>
  <si>
    <t>-70.05%</t>
  </si>
  <si>
    <t>JFB Construction Holdings</t>
  </si>
  <si>
    <t>-26.28%</t>
  </si>
  <si>
    <t>-10.44%</t>
  </si>
  <si>
    <t>-46.02%</t>
  </si>
  <si>
    <t>3.39 - 10.80</t>
  </si>
  <si>
    <t>Enanta Pharmaceuticals Inc</t>
  </si>
  <si>
    <t>-19.91%</t>
  </si>
  <si>
    <t>86.34%</t>
  </si>
  <si>
    <t>-149.40%</t>
  </si>
  <si>
    <t>-141.98%</t>
  </si>
  <si>
    <t>-42.26%</t>
  </si>
  <si>
    <t>4.09 - 13.37</t>
  </si>
  <si>
    <t>-93.96%</t>
  </si>
  <si>
    <t>American Strategic Investment Co</t>
  </si>
  <si>
    <t>4/8/2022</t>
  </si>
  <si>
    <t>-11.84%</t>
  </si>
  <si>
    <t>-165.02%</t>
  </si>
  <si>
    <t>-37.64%</t>
  </si>
  <si>
    <t>-37.65%</t>
  </si>
  <si>
    <t>7.89 - 16.30</t>
  </si>
  <si>
    <t>-95.76%</t>
  </si>
  <si>
    <t>86.17%</t>
  </si>
  <si>
    <t>Emeren Group Ltd ADR</t>
  </si>
  <si>
    <t>-33.25%</t>
  </si>
  <si>
    <t>-56.99%</t>
  </si>
  <si>
    <t>-164.75%</t>
  </si>
  <si>
    <t>1.04 - 3.00</t>
  </si>
  <si>
    <t>-98.73%</t>
  </si>
  <si>
    <t>118.60%</t>
  </si>
  <si>
    <t>Inuvo Inc</t>
  </si>
  <si>
    <t>-54.06%</t>
  </si>
  <si>
    <t>91.05%</t>
  </si>
  <si>
    <t>1.90 - 7.90</t>
  </si>
  <si>
    <t>292.01%</t>
  </si>
  <si>
    <t>Thumzup Media Corp</t>
  </si>
  <si>
    <t>-437.23%</t>
  </si>
  <si>
    <t>-46.74%</t>
  </si>
  <si>
    <t>-28394.07%</t>
  </si>
  <si>
    <t>180.68%</t>
  </si>
  <si>
    <t>2.02 - 16.49</t>
  </si>
  <si>
    <t>Astrotech Corp</t>
  </si>
  <si>
    <t>197.30%</t>
  </si>
  <si>
    <t>-1404.58%</t>
  </si>
  <si>
    <t>-1320.31%</t>
  </si>
  <si>
    <t>4.71 - 8.52</t>
  </si>
  <si>
    <t>First US Bancshares Inc</t>
  </si>
  <si>
    <t>10.30 - 14.30</t>
  </si>
  <si>
    <t>-65.72%</t>
  </si>
  <si>
    <t>298.34%</t>
  </si>
  <si>
    <t>Banzai International Inc</t>
  </si>
  <si>
    <t>205.40%</t>
  </si>
  <si>
    <t>-547.62%</t>
  </si>
  <si>
    <t>72.95%</t>
  </si>
  <si>
    <t>-180.74%</t>
  </si>
  <si>
    <t>-380.05%</t>
  </si>
  <si>
    <t>-71.16%</t>
  </si>
  <si>
    <t>2.08 - 68.90</t>
  </si>
  <si>
    <t>-51.93%</t>
  </si>
  <si>
    <t>-77.36%</t>
  </si>
  <si>
    <t>-96.67%</t>
  </si>
  <si>
    <t>Houston American Energy Corp</t>
  </si>
  <si>
    <t>12/15/2010</t>
  </si>
  <si>
    <t>-25.04%</t>
  </si>
  <si>
    <t>-910.14%</t>
  </si>
  <si>
    <t>-2146.55%</t>
  </si>
  <si>
    <t>93.87%</t>
  </si>
  <si>
    <t>3.85 - 32.00</t>
  </si>
  <si>
    <t>InspireMD Inc</t>
  </si>
  <si>
    <t>-598.75%</t>
  </si>
  <si>
    <t>-585.64%</t>
  </si>
  <si>
    <t>1.99 - 3.80</t>
  </si>
  <si>
    <t>198.86%</t>
  </si>
  <si>
    <t>Jewett-Cameron Trading Co. Ltd</t>
  </si>
  <si>
    <t>Lumber &amp; Wood Production</t>
  </si>
  <si>
    <t>-16.12%</t>
  </si>
  <si>
    <t>-34.20%</t>
  </si>
  <si>
    <t>3.26 - 5.41</t>
  </si>
  <si>
    <t>-74.09%</t>
  </si>
  <si>
    <t>968.00%</t>
  </si>
  <si>
    <t>GSR III Acquisition Corp</t>
  </si>
  <si>
    <t>9.86 - 11.49</t>
  </si>
  <si>
    <t>Martin Midstream Partners LP</t>
  </si>
  <si>
    <t>-56.27%</t>
  </si>
  <si>
    <t>-189.34%</t>
  </si>
  <si>
    <t>50.58%</t>
  </si>
  <si>
    <t>2.56 - 4.02</t>
  </si>
  <si>
    <t>-93.58%</t>
  </si>
  <si>
    <t>246.96%</t>
  </si>
  <si>
    <t>-13.97%</t>
  </si>
  <si>
    <t>authID Inc</t>
  </si>
  <si>
    <t>40.45%</t>
  </si>
  <si>
    <t>295.86%</t>
  </si>
  <si>
    <t>415.12%</t>
  </si>
  <si>
    <t>-778.98%</t>
  </si>
  <si>
    <t>-761.97%</t>
  </si>
  <si>
    <t>-36.66%</t>
  </si>
  <si>
    <t>51.82%</t>
  </si>
  <si>
    <t>-65.15%</t>
  </si>
  <si>
    <t>2.20 - 9.58</t>
  </si>
  <si>
    <t>-97.86%</t>
  </si>
  <si>
    <t>-40.99%</t>
  </si>
  <si>
    <t>Aemetis Inc</t>
  </si>
  <si>
    <t>-21.51%</t>
  </si>
  <si>
    <t>-48.94%</t>
  </si>
  <si>
    <t>1.22 - 4.73</t>
  </si>
  <si>
    <t>551.82%</t>
  </si>
  <si>
    <t>Eledon Pharmaceuticals Inc</t>
  </si>
  <si>
    <t>43.48%</t>
  </si>
  <si>
    <t>64.16%</t>
  </si>
  <si>
    <t>-33.92%</t>
  </si>
  <si>
    <t>2.32 - 5.54</t>
  </si>
  <si>
    <t>-23.46%</t>
  </si>
  <si>
    <t>Sanuwave Health Inc</t>
  </si>
  <si>
    <t>29.10%</t>
  </si>
  <si>
    <t>57.43%</t>
  </si>
  <si>
    <t>99.65%</t>
  </si>
  <si>
    <t>111.11%</t>
  </si>
  <si>
    <t>557.54%</t>
  </si>
  <si>
    <t>5.63 - 46.58</t>
  </si>
  <si>
    <t>98596.00%</t>
  </si>
  <si>
    <t>252.49%</t>
  </si>
  <si>
    <t>Churchill Capital Corp IX</t>
  </si>
  <si>
    <t>10.01 - 11.66</t>
  </si>
  <si>
    <t>Aterian Inc</t>
  </si>
  <si>
    <t>49.72%</t>
  </si>
  <si>
    <t>-30.45%</t>
  </si>
  <si>
    <t>-70.43%</t>
  </si>
  <si>
    <t>0.90 - 3.50</t>
  </si>
  <si>
    <t>-36.11%</t>
  </si>
  <si>
    <t>-57.58%</t>
  </si>
  <si>
    <t>-66.07%</t>
  </si>
  <si>
    <t>Universal Electronics Inc</t>
  </si>
  <si>
    <t>145.57%</t>
  </si>
  <si>
    <t>-31.57%</t>
  </si>
  <si>
    <t>-28.34%</t>
  </si>
  <si>
    <t>4.25 - 12.50</t>
  </si>
  <si>
    <t>-93.93%</t>
  </si>
  <si>
    <t>160.27%</t>
  </si>
  <si>
    <t>-43.32%</t>
  </si>
  <si>
    <t>Onconetix Inc</t>
  </si>
  <si>
    <t>-84.89%</t>
  </si>
  <si>
    <t>55.20%</t>
  </si>
  <si>
    <t>-573.66%</t>
  </si>
  <si>
    <t>-3458.21%</t>
  </si>
  <si>
    <t>-31.81%</t>
  </si>
  <si>
    <t>2.45 - 552.50</t>
  </si>
  <si>
    <t>-99.05%</t>
  </si>
  <si>
    <t>Quince Therapeutics Inc</t>
  </si>
  <si>
    <t>-35.08%</t>
  </si>
  <si>
    <t>-17.01%</t>
  </si>
  <si>
    <t>136.96%</t>
  </si>
  <si>
    <t>0.69 - 2.45</t>
  </si>
  <si>
    <t>219.59%</t>
  </si>
  <si>
    <t>116.56%</t>
  </si>
  <si>
    <t>Spyre Therapeutics Inc</t>
  </si>
  <si>
    <t>99.45%</t>
  </si>
  <si>
    <t>10.91 - 40.26</t>
  </si>
  <si>
    <t>-94.77%</t>
  </si>
  <si>
    <t>526.91%</t>
  </si>
  <si>
    <t>IN8bio Inc</t>
  </si>
  <si>
    <t>44.14%</t>
  </si>
  <si>
    <t>-55.74%</t>
  </si>
  <si>
    <t>1.91 - 16.70</t>
  </si>
  <si>
    <t>-64.60%</t>
  </si>
  <si>
    <t>-76.07%</t>
  </si>
  <si>
    <t>Flanigan's Enterprises, Inc</t>
  </si>
  <si>
    <t>6/12/2025</t>
  </si>
  <si>
    <t>22.61 - 35.98</t>
  </si>
  <si>
    <t>8316.00%</t>
  </si>
  <si>
    <t>Renatus Tactical Acquisition Corp I</t>
  </si>
  <si>
    <t>-17.78%</t>
  </si>
  <si>
    <t>10.45 - 13.38</t>
  </si>
  <si>
    <t>USBC Inc</t>
  </si>
  <si>
    <t>38.97%</t>
  </si>
  <si>
    <t>-91.21%</t>
  </si>
  <si>
    <t>294.12%</t>
  </si>
  <si>
    <t>0.33 - 14.80</t>
  </si>
  <si>
    <t>-87.73%</t>
  </si>
  <si>
    <t>Fractyl Health Inc</t>
  </si>
  <si>
    <t>-54.86%</t>
  </si>
  <si>
    <t>-5776.47%</t>
  </si>
  <si>
    <t>-587305.88%</t>
  </si>
  <si>
    <t>-586864.71%</t>
  </si>
  <si>
    <t>-45.89%</t>
  </si>
  <si>
    <t>0.82 - 3.48</t>
  </si>
  <si>
    <t>-92.16%</t>
  </si>
  <si>
    <t>-54.45%</t>
  </si>
  <si>
    <t>1RT Acquisition Corp</t>
  </si>
  <si>
    <t>10.18 - 10.63</t>
  </si>
  <si>
    <t>Sprouts Farmers Market Inc</t>
  </si>
  <si>
    <t>99.03%</t>
  </si>
  <si>
    <t>107.36 - 182.00</t>
  </si>
  <si>
    <t>756.34%</t>
  </si>
  <si>
    <t>['Average Volume (Over 1M)', 'Performance 1Y (1Y up)', 'Performance 3M (3M up)', 'Performance 6M (6M up)', 'RSI (14) High (RSI &gt; 60)']</t>
  </si>
  <si>
    <t>Elite Express Holding Inc</t>
  </si>
  <si>
    <t>0.83 - 4.23</t>
  </si>
  <si>
    <t>FS KKR Capital Corp</t>
  </si>
  <si>
    <t>-36.62%</t>
  </si>
  <si>
    <t>14.90 - 23.95</t>
  </si>
  <si>
    <t>-62.54%</t>
  </si>
  <si>
    <t>109.85%</t>
  </si>
  <si>
    <t>Flowers Foods, Inc</t>
  </si>
  <si>
    <t>81.22%</t>
  </si>
  <si>
    <t>-26.85%</t>
  </si>
  <si>
    <t>12.69 - 23.44</t>
  </si>
  <si>
    <t>3496.13%</t>
  </si>
  <si>
    <t>-32.16%</t>
  </si>
  <si>
    <t>DoubleVerify Holdings Inc</t>
  </si>
  <si>
    <t>75.04%</t>
  </si>
  <si>
    <t>-26.31%</t>
  </si>
  <si>
    <t>-29.81%</t>
  </si>
  <si>
    <t>11.52 - 23.11</t>
  </si>
  <si>
    <t>Constellation Brands Inc</t>
  </si>
  <si>
    <t>-48.41%</t>
  </si>
  <si>
    <t>84.53%</t>
  </si>
  <si>
    <t>131.20 - 261.06</t>
  </si>
  <si>
    <t>-51.95%</t>
  </si>
  <si>
    <t>35122.67%</t>
  </si>
  <si>
    <t>-18.13%</t>
  </si>
  <si>
    <t>-47.68%</t>
  </si>
  <si>
    <t>S&amp;P Global Inc</t>
  </si>
  <si>
    <t>11/25/2025</t>
  </si>
  <si>
    <t>427.14 - 579.05</t>
  </si>
  <si>
    <t>11929.56%</t>
  </si>
  <si>
    <t>Keurig Dr Pepper Inc</t>
  </si>
  <si>
    <t>84.51%</t>
  </si>
  <si>
    <t>92.62%</t>
  </si>
  <si>
    <t>51.91%</t>
  </si>
  <si>
    <t>-28.88%</t>
  </si>
  <si>
    <t>25.67 - 37.82</t>
  </si>
  <si>
    <t>1241.70%</t>
  </si>
  <si>
    <t>Soligenix Inc</t>
  </si>
  <si>
    <t>42.66%</t>
  </si>
  <si>
    <t>-53.86%</t>
  </si>
  <si>
    <t>-47.79%</t>
  </si>
  <si>
    <t>-80.82%</t>
  </si>
  <si>
    <t>1.09 - 6.23</t>
  </si>
  <si>
    <t>-69.12%</t>
  </si>
  <si>
    <t>Hess Midstream LP</t>
  </si>
  <si>
    <t>105.25%</t>
  </si>
  <si>
    <t>-88.65%</t>
  </si>
  <si>
    <t>33.59 - 44.14</t>
  </si>
  <si>
    <t>515.79%</t>
  </si>
  <si>
    <t>Zeta Network Group</t>
  </si>
  <si>
    <t>50.05%</t>
  </si>
  <si>
    <t>62.76%</t>
  </si>
  <si>
    <t>66.91%</t>
  </si>
  <si>
    <t>-25.28%</t>
  </si>
  <si>
    <t>-242.90%</t>
  </si>
  <si>
    <t>-676.96%</t>
  </si>
  <si>
    <t>-1613.50%</t>
  </si>
  <si>
    <t>-80.23%</t>
  </si>
  <si>
    <t>-93.61%</t>
  </si>
  <si>
    <t>1.22 - 3525.00</t>
  </si>
  <si>
    <t>-92.93%</t>
  </si>
  <si>
    <t>-92.42%</t>
  </si>
  <si>
    <t>Tradeweb Markets Inc</t>
  </si>
  <si>
    <t>57.72%</t>
  </si>
  <si>
    <t>87.26%</t>
  </si>
  <si>
    <t>-16.69%</t>
  </si>
  <si>
    <t>-27.03%</t>
  </si>
  <si>
    <t>109.82 - 152.65</t>
  </si>
  <si>
    <t>235.21%</t>
  </si>
  <si>
    <t>Brinker International, Inc</t>
  </si>
  <si>
    <t>47.70%</t>
  </si>
  <si>
    <t>67.66%</t>
  </si>
  <si>
    <t>75.17%</t>
  </si>
  <si>
    <t>74.73 - 192.21</t>
  </si>
  <si>
    <t>17442.46%</t>
  </si>
  <si>
    <t>69.66%</t>
  </si>
  <si>
    <t>Evolus Inc</t>
  </si>
  <si>
    <t>50.12%</t>
  </si>
  <si>
    <t>-150.20%</t>
  </si>
  <si>
    <t>-42.30%</t>
  </si>
  <si>
    <t>-66.98%</t>
  </si>
  <si>
    <t>5.71 - 17.82</t>
  </si>
  <si>
    <t>106.49%</t>
  </si>
  <si>
    <t>-35.61%</t>
  </si>
  <si>
    <t>-51.92%</t>
  </si>
  <si>
    <t>WillScot Holdings Corp</t>
  </si>
  <si>
    <t>-23.69%</t>
  </si>
  <si>
    <t>-50.62%</t>
  </si>
  <si>
    <t>20.80 - 42.15</t>
  </si>
  <si>
    <t>-61.06%</t>
  </si>
  <si>
    <t>179.40%</t>
  </si>
  <si>
    <t>-49.22%</t>
  </si>
  <si>
    <t>Shift4 Payments Inc</t>
  </si>
  <si>
    <t>127.21%</t>
  </si>
  <si>
    <t>68.09 - 127.50</t>
  </si>
  <si>
    <t>169.96%</t>
  </si>
  <si>
    <t>-19.22%</t>
  </si>
  <si>
    <t>Marqeta Inc</t>
  </si>
  <si>
    <t>-11.69%</t>
  </si>
  <si>
    <t>3.37 - 7.04</t>
  </si>
  <si>
    <t>-85.99%</t>
  </si>
  <si>
    <t>Ares Capital Corp</t>
  </si>
  <si>
    <t>80.09%</t>
  </si>
  <si>
    <t>18.26 - 23.84</t>
  </si>
  <si>
    <t>570.43%</t>
  </si>
  <si>
    <t>Goodyear Tire &amp; Rubber Co</t>
  </si>
  <si>
    <t>1/31/2020</t>
  </si>
  <si>
    <t>-925.24%</t>
  </si>
  <si>
    <t>-32.22%</t>
  </si>
  <si>
    <t>7.80 - 12.03</t>
  </si>
  <si>
    <t>-89.71%</t>
  </si>
  <si>
    <t>149.09%</t>
  </si>
  <si>
    <t>Nike, Inc</t>
  </si>
  <si>
    <t>-11.91%</t>
  </si>
  <si>
    <t>52.28 - 90.62</t>
  </si>
  <si>
    <t>-61.84%</t>
  </si>
  <si>
    <t>65919.02%</t>
  </si>
  <si>
    <t>Simply Good Foods Co</t>
  </si>
  <si>
    <t>-27.01%</t>
  </si>
  <si>
    <t>-26.29%</t>
  </si>
  <si>
    <t>-38.82%</t>
  </si>
  <si>
    <t>24.63 - 40.53</t>
  </si>
  <si>
    <t>-45.83%</t>
  </si>
  <si>
    <t>147.95%</t>
  </si>
  <si>
    <t>-27.18%</t>
  </si>
  <si>
    <t>-27.90%</t>
  </si>
  <si>
    <t>Alight Inc</t>
  </si>
  <si>
    <t>-49.37%</t>
  </si>
  <si>
    <t>-43.59%</t>
  </si>
  <si>
    <t>-64.76%</t>
  </si>
  <si>
    <t>3.05 - 8.93</t>
  </si>
  <si>
    <t>-43.54%</t>
  </si>
  <si>
    <t>-56.68%</t>
  </si>
  <si>
    <t>Tron Inc</t>
  </si>
  <si>
    <t>-31.63%</t>
  </si>
  <si>
    <t>-62.23%</t>
  </si>
  <si>
    <t>713.89%</t>
  </si>
  <si>
    <t>0.26 - 12.80</t>
  </si>
  <si>
    <t>-72.37%</t>
  </si>
  <si>
    <t>348.58%</t>
  </si>
  <si>
    <t>172.03%</t>
  </si>
  <si>
    <t>Cantaloupe Inc</t>
  </si>
  <si>
    <t>591.49%</t>
  </si>
  <si>
    <t>7.01 - 11.36</t>
  </si>
  <si>
    <t>-99.33%</t>
  </si>
  <si>
    <t>2193.85%</t>
  </si>
  <si>
    <t>Blackstone Secured Lending Fund</t>
  </si>
  <si>
    <t>81.28%</t>
  </si>
  <si>
    <t>25.89 - 34.64</t>
  </si>
  <si>
    <t>Axalta Coating Systems Ltd</t>
  </si>
  <si>
    <t>101.86%</t>
  </si>
  <si>
    <t>-15.44%</t>
  </si>
  <si>
    <t>27.58 - 41.65</t>
  </si>
  <si>
    <t>112.00%</t>
  </si>
  <si>
    <t>Liveperson Inc</t>
  </si>
  <si>
    <t>-24.89%</t>
  </si>
  <si>
    <t>-25.38%</t>
  </si>
  <si>
    <t>62.18%</t>
  </si>
  <si>
    <t>-62.66%</t>
  </si>
  <si>
    <t>-34.30%</t>
  </si>
  <si>
    <t>-36.67%</t>
  </si>
  <si>
    <t>-57.43%</t>
  </si>
  <si>
    <t>-70.53%</t>
  </si>
  <si>
    <t>0.51 - 2.08</t>
  </si>
  <si>
    <t>-99.15%</t>
  </si>
  <si>
    <t>775.71%</t>
  </si>
  <si>
    <t>-34.09%</t>
  </si>
  <si>
    <t>-25.94%</t>
  </si>
  <si>
    <t>-41.06%</t>
  </si>
  <si>
    <t>707 Cayman Holdings Ltd</t>
  </si>
  <si>
    <t>44.01%</t>
  </si>
  <si>
    <t>-85.53%</t>
  </si>
  <si>
    <t>-88.37%</t>
  </si>
  <si>
    <t>-93.78%</t>
  </si>
  <si>
    <t>-94.68%</t>
  </si>
  <si>
    <t>0.26 - 7.90</t>
  </si>
  <si>
    <t>-93.33%</t>
  </si>
  <si>
    <t>DENTSPLY Sirona Inc</t>
  </si>
  <si>
    <t>-28.17%</t>
  </si>
  <si>
    <t>12.16 - 27.44</t>
  </si>
  <si>
    <t>2578.18%</t>
  </si>
  <si>
    <t>-22.94%</t>
  </si>
  <si>
    <t>-52.95%</t>
  </si>
  <si>
    <t>Albertsons Companies Inc</t>
  </si>
  <si>
    <t>17.00 - 23.20</t>
  </si>
  <si>
    <t>-38.62%</t>
  </si>
  <si>
    <t>80.62%</t>
  </si>
  <si>
    <t>Firefly Aerospace Inc</t>
  </si>
  <si>
    <t>-1232.41%</t>
  </si>
  <si>
    <t>-22.34%</t>
  </si>
  <si>
    <t>36.69 - 73.80</t>
  </si>
  <si>
    <t>Blue Owl Capital Corp</t>
  </si>
  <si>
    <t>97.03%</t>
  </si>
  <si>
    <t>12.08 - 15.65</t>
  </si>
  <si>
    <t>Whirlpool Corp</t>
  </si>
  <si>
    <t>-18.11%</t>
  </si>
  <si>
    <t>94.85%</t>
  </si>
  <si>
    <t>-12.48%</t>
  </si>
  <si>
    <t>-18.59%</t>
  </si>
  <si>
    <t>73.72 - 135.49</t>
  </si>
  <si>
    <t>-69.78%</t>
  </si>
  <si>
    <t>Iridium Communications Inc</t>
  </si>
  <si>
    <t>92.35%</t>
  </si>
  <si>
    <t>25.46%</t>
  </si>
  <si>
    <t>-24.08%</t>
  </si>
  <si>
    <t>-34.24%</t>
  </si>
  <si>
    <t>-50.54%</t>
  </si>
  <si>
    <t>17.08 - 35.85</t>
  </si>
  <si>
    <t>-74.06%</t>
  </si>
  <si>
    <t>237.71%</t>
  </si>
  <si>
    <t>-39.86%</t>
  </si>
  <si>
    <t>ARS Pharmaceuticals Inc</t>
  </si>
  <si>
    <t>22367.80%</t>
  </si>
  <si>
    <t>152.98%</t>
  </si>
  <si>
    <t>3043.40%</t>
  </si>
  <si>
    <t>-52.82%</t>
  </si>
  <si>
    <t>-49.28%</t>
  </si>
  <si>
    <t>9.34 - 18.90</t>
  </si>
  <si>
    <t>270.59%</t>
  </si>
  <si>
    <t>-48.08%</t>
  </si>
  <si>
    <t>Darden Restaurants, Inc</t>
  </si>
  <si>
    <t>63.17%</t>
  </si>
  <si>
    <t>94.68%</t>
  </si>
  <si>
    <t>155.18 - 228.27</t>
  </si>
  <si>
    <t>4577.91%</t>
  </si>
  <si>
    <t>Bristol-Myers Squibb Co</t>
  </si>
  <si>
    <t>61.74%</t>
  </si>
  <si>
    <t>42.96 - 63.33</t>
  </si>
  <si>
    <t>797.57%</t>
  </si>
  <si>
    <t>FMC Corp</t>
  </si>
  <si>
    <t>-23.95%</t>
  </si>
  <si>
    <t>32.83 - 67.75</t>
  </si>
  <si>
    <t>-76.28%</t>
  </si>
  <si>
    <t>3509.39%</t>
  </si>
  <si>
    <t>Kyndryl Holdings Inc</t>
  </si>
  <si>
    <t>79.53%</t>
  </si>
  <si>
    <t>22.26 - 44.20</t>
  </si>
  <si>
    <t>268.27%</t>
  </si>
  <si>
    <t>TREX Co., Inc</t>
  </si>
  <si>
    <t>108.21%</t>
  </si>
  <si>
    <t>-12.04%</t>
  </si>
  <si>
    <t>-17.54%</t>
  </si>
  <si>
    <t>49.01 - 80.74</t>
  </si>
  <si>
    <t>-64.13%</t>
  </si>
  <si>
    <t>7817.81%</t>
  </si>
  <si>
    <t>Dutch Bros Inc</t>
  </si>
  <si>
    <t>81.58%</t>
  </si>
  <si>
    <t>-39.18%</t>
  </si>
  <si>
    <t>73.31%</t>
  </si>
  <si>
    <t>30.49 - 86.88</t>
  </si>
  <si>
    <t>163.55%</t>
  </si>
  <si>
    <t>Carrier Global Corp</t>
  </si>
  <si>
    <t>169.37%</t>
  </si>
  <si>
    <t>-28.10%</t>
  </si>
  <si>
    <t>-29.47%</t>
  </si>
  <si>
    <t>54.22 - 83.32</t>
  </si>
  <si>
    <t>411.00%</t>
  </si>
  <si>
    <t>Tetra Tech, Inc</t>
  </si>
  <si>
    <t>97.08%</t>
  </si>
  <si>
    <t>21.56%</t>
  </si>
  <si>
    <t>27.27 - 51.20</t>
  </si>
  <si>
    <t>11387.76%</t>
  </si>
  <si>
    <t>Alaska Air Group Inc</t>
  </si>
  <si>
    <t>2/14/2020</t>
  </si>
  <si>
    <t>-34.35%</t>
  </si>
  <si>
    <t>39.79 - 78.08</t>
  </si>
  <si>
    <t>2116.65%</t>
  </si>
  <si>
    <t>Profusa Inc</t>
  </si>
  <si>
    <t>-42.36%</t>
  </si>
  <si>
    <t>-86.49%</t>
  </si>
  <si>
    <t>-97.65%</t>
  </si>
  <si>
    <t>0.26 - 12.76</t>
  </si>
  <si>
    <t>-97.69%</t>
  </si>
  <si>
    <t>-97.50%</t>
  </si>
  <si>
    <t>-97.24%</t>
  </si>
  <si>
    <t>-97.06%</t>
  </si>
  <si>
    <t>Toast Inc</t>
  </si>
  <si>
    <t>26.75 - 49.66</t>
  </si>
  <si>
    <t>-47.25%</t>
  </si>
  <si>
    <t>209.70%</t>
  </si>
  <si>
    <t>American Airlines Group Inc</t>
  </si>
  <si>
    <t>2/4/2020</t>
  </si>
  <si>
    <t>64.72%</t>
  </si>
  <si>
    <t>-40.73%</t>
  </si>
  <si>
    <t>8.50 - 19.10</t>
  </si>
  <si>
    <t>-80.84%</t>
  </si>
  <si>
    <t>Americold Realty Trust Inc</t>
  </si>
  <si>
    <t>-41.22%</t>
  </si>
  <si>
    <t>12.14 - 29.04</t>
  </si>
  <si>
    <t>-69.27%</t>
  </si>
  <si>
    <t>-43.60%</t>
  </si>
  <si>
    <t>-57.79%</t>
  </si>
  <si>
    <t>Kimberly-Clark Corp</t>
  </si>
  <si>
    <t>-8.42%</t>
  </si>
  <si>
    <t>121.02 - 150.45</t>
  </si>
  <si>
    <t>2602.50%</t>
  </si>
  <si>
    <t>Nuvve Holding Corp</t>
  </si>
  <si>
    <t>37.35%</t>
  </si>
  <si>
    <t>-559.84%</t>
  </si>
  <si>
    <t>-542.52%</t>
  </si>
  <si>
    <t>-51.83%</t>
  </si>
  <si>
    <t>-85.06%</t>
  </si>
  <si>
    <t>-76.98%</t>
  </si>
  <si>
    <t>-96.46%</t>
  </si>
  <si>
    <t>0.18 - 6.35</t>
  </si>
  <si>
    <t>-74.21%</t>
  </si>
  <si>
    <t>-96.55%</t>
  </si>
  <si>
    <t>Klotho Neurosciences Inc</t>
  </si>
  <si>
    <t>-921.21%</t>
  </si>
  <si>
    <t>-17.75%</t>
  </si>
  <si>
    <t>-42.12%</t>
  </si>
  <si>
    <t>298.68%</t>
  </si>
  <si>
    <t>0.11 - 3.91</t>
  </si>
  <si>
    <t>-37.16%</t>
  </si>
  <si>
    <t>International Flavors &amp; Fragrances Inc</t>
  </si>
  <si>
    <t>168.56%</t>
  </si>
  <si>
    <t>94.98%</t>
  </si>
  <si>
    <t>-43.25%</t>
  </si>
  <si>
    <t>60.13 - 106.77</t>
  </si>
  <si>
    <t>-61.50%</t>
  </si>
  <si>
    <t>694.67%</t>
  </si>
  <si>
    <t>Lite Strategy Inc</t>
  </si>
  <si>
    <t>11/16/2023</t>
  </si>
  <si>
    <t>-45.00%</t>
  </si>
  <si>
    <t>-72.67%</t>
  </si>
  <si>
    <t>1.46 - 9.00</t>
  </si>
  <si>
    <t>Acadia Pharmaceuticals Inc</t>
  </si>
  <si>
    <t>91.97%</t>
  </si>
  <si>
    <t>-20.90%</t>
  </si>
  <si>
    <t>13.40 - 26.65</t>
  </si>
  <si>
    <t>-64.10%</t>
  </si>
  <si>
    <t>3143.08%</t>
  </si>
  <si>
    <t>ACV Auctions Inc</t>
  </si>
  <si>
    <t>132.97%</t>
  </si>
  <si>
    <t>104.23%</t>
  </si>
  <si>
    <t>-57.81%</t>
  </si>
  <si>
    <t>9.85 - 23.46</t>
  </si>
  <si>
    <t>62.21%</t>
  </si>
  <si>
    <t>-52.70%</t>
  </si>
  <si>
    <t>Nasdaq Inc</t>
  </si>
  <si>
    <t>48.74%</t>
  </si>
  <si>
    <t>27.06%</t>
  </si>
  <si>
    <t>64.84 - 97.63</t>
  </si>
  <si>
    <t>4971.46%</t>
  </si>
  <si>
    <t>Cheesecake Factory Inc</t>
  </si>
  <si>
    <t>112.23%</t>
  </si>
  <si>
    <t>-21.98%</t>
  </si>
  <si>
    <t>38.40 - 69.70</t>
  </si>
  <si>
    <t>1939.28%</t>
  </si>
  <si>
    <t>Femasys Inc</t>
  </si>
  <si>
    <t>38.78%</t>
  </si>
  <si>
    <t>84.78%</t>
  </si>
  <si>
    <t>-1015.00%</t>
  </si>
  <si>
    <t>-1113.68%</t>
  </si>
  <si>
    <t>-42.19%</t>
  </si>
  <si>
    <t>-66.43%</t>
  </si>
  <si>
    <t>-80.88%</t>
  </si>
  <si>
    <t>0.31 - 1.80</t>
  </si>
  <si>
    <t>-64.89%</t>
  </si>
  <si>
    <t>-69.00%</t>
  </si>
  <si>
    <t>Chime Financial Inc</t>
  </si>
  <si>
    <t>76.78%</t>
  </si>
  <si>
    <t>86.72%</t>
  </si>
  <si>
    <t>-51.58%</t>
  </si>
  <si>
    <t>21.50 - 44.94</t>
  </si>
  <si>
    <t>Shake Shack Inc</t>
  </si>
  <si>
    <t>106.85%</t>
  </si>
  <si>
    <t>-34.34%</t>
  </si>
  <si>
    <t>-35.45%</t>
  </si>
  <si>
    <t>72.93 - 144.65</t>
  </si>
  <si>
    <t>211.22%</t>
  </si>
  <si>
    <t>Primo Brands Corp</t>
  </si>
  <si>
    <t>162.92%</t>
  </si>
  <si>
    <t>256.72%</t>
  </si>
  <si>
    <t>-45.58%</t>
  </si>
  <si>
    <t>-37.34%</t>
  </si>
  <si>
    <t>21.60 - 35.85</t>
  </si>
  <si>
    <t>-38.58%</t>
  </si>
  <si>
    <t>3829.58%</t>
  </si>
  <si>
    <t>-23.48%</t>
  </si>
  <si>
    <t>Church &amp; Dwight Co., Inc</t>
  </si>
  <si>
    <t>47.88%</t>
  </si>
  <si>
    <t>-25.98%</t>
  </si>
  <si>
    <t>85.61 - 116.46</t>
  </si>
  <si>
    <t>20588.00%</t>
  </si>
  <si>
    <t>-20.47%</t>
  </si>
  <si>
    <t>Freshpet Inc</t>
  </si>
  <si>
    <t>48.53%</t>
  </si>
  <si>
    <t>222.58%</t>
  </si>
  <si>
    <t>48.41 - 164.07</t>
  </si>
  <si>
    <t>771.06%</t>
  </si>
  <si>
    <t>-28.67%</t>
  </si>
  <si>
    <t>-43.71%</t>
  </si>
  <si>
    <t>-65.27%</t>
  </si>
  <si>
    <t>Fidelity National Information Services, Inc</t>
  </si>
  <si>
    <t>101.55%</t>
  </si>
  <si>
    <t>63.00 - 91.98</t>
  </si>
  <si>
    <t>651.43%</t>
  </si>
  <si>
    <t>RB Global Inc</t>
  </si>
  <si>
    <t>-24.43%</t>
  </si>
  <si>
    <t>94.95%</t>
  </si>
  <si>
    <t>78.08 - 119.58</t>
  </si>
  <si>
    <t>3877.31%</t>
  </si>
  <si>
    <t>Franklin Resources, Inc</t>
  </si>
  <si>
    <t>146.40%</t>
  </si>
  <si>
    <t>70.51%</t>
  </si>
  <si>
    <t>16.25 - 26.08</t>
  </si>
  <si>
    <t>-57.03%</t>
  </si>
  <si>
    <t>47529.39%</t>
  </si>
  <si>
    <t>Builders Firstsource Inc</t>
  </si>
  <si>
    <t>99.58%</t>
  </si>
  <si>
    <t>102.60 - 201.53</t>
  </si>
  <si>
    <t>-45.42%</t>
  </si>
  <si>
    <t>16895.90%</t>
  </si>
  <si>
    <t>-39.28%</t>
  </si>
  <si>
    <t>Faraday Future Intelligent Electric Inc</t>
  </si>
  <si>
    <t>-14666.29%</t>
  </si>
  <si>
    <t>-27053.09%</t>
  </si>
  <si>
    <t>-54938.44%</t>
  </si>
  <si>
    <t>-61.63%</t>
  </si>
  <si>
    <t>-68.95%</t>
  </si>
  <si>
    <t>0.83 - 4.46</t>
  </si>
  <si>
    <t>Dave &amp; Buster's Entertainment Inc</t>
  </si>
  <si>
    <t>1/9/2020</t>
  </si>
  <si>
    <t>116.84%</t>
  </si>
  <si>
    <t>-45.92%</t>
  </si>
  <si>
    <t>-56.25%</t>
  </si>
  <si>
    <t>15.08 - 43.73</t>
  </si>
  <si>
    <t>-41.49%</t>
  </si>
  <si>
    <t>Silgan Holdings Inc</t>
  </si>
  <si>
    <t>-27.44%</t>
  </si>
  <si>
    <t>41.29 - 58.14</t>
  </si>
  <si>
    <t>6328.19%</t>
  </si>
  <si>
    <t>Calidi Biotherapeutics Inc</t>
  </si>
  <si>
    <t>-61.47%</t>
  </si>
  <si>
    <t>-80.69%</t>
  </si>
  <si>
    <t>-96.78%</t>
  </si>
  <si>
    <t>1.41 - 46.68</t>
  </si>
  <si>
    <t>-81.99%</t>
  </si>
  <si>
    <t>American Homes 4 Rent</t>
  </si>
  <si>
    <t>37.51%</t>
  </si>
  <si>
    <t>96.36%</t>
  </si>
  <si>
    <t>23.64%</t>
  </si>
  <si>
    <t>31.68 - 39.49</t>
  </si>
  <si>
    <t>-25.01%</t>
  </si>
  <si>
    <t>151.11%</t>
  </si>
  <si>
    <t>Ares Management Corp</t>
  </si>
  <si>
    <t>179.61%</t>
  </si>
  <si>
    <t>45.89%</t>
  </si>
  <si>
    <t>67.38%</t>
  </si>
  <si>
    <t>78.49%</t>
  </si>
  <si>
    <t>110.63 - 200.49</t>
  </si>
  <si>
    <t>1462.16%</t>
  </si>
  <si>
    <t>INVO Fertility Inc</t>
  </si>
  <si>
    <t>25.21%</t>
  </si>
  <si>
    <t>-133.23%</t>
  </si>
  <si>
    <t>-402.70%</t>
  </si>
  <si>
    <t>-90.51%</t>
  </si>
  <si>
    <t>-80.19%</t>
  </si>
  <si>
    <t>0.73 - 51.12</t>
  </si>
  <si>
    <t>-88.24%</t>
  </si>
  <si>
    <t>-96.63%</t>
  </si>
  <si>
    <t>Apellis Pharmaceuticals Inc</t>
  </si>
  <si>
    <t>127.27%</t>
  </si>
  <si>
    <t>101.10%</t>
  </si>
  <si>
    <t>83.60%</t>
  </si>
  <si>
    <t>-23.61%</t>
  </si>
  <si>
    <t>-38.05%</t>
  </si>
  <si>
    <t>16.10 - 35.72</t>
  </si>
  <si>
    <t>-76.64%</t>
  </si>
  <si>
    <t>Azitra Inc</t>
  </si>
  <si>
    <t>0.70 - 4.33</t>
  </si>
  <si>
    <t>-59.99%</t>
  </si>
  <si>
    <t>-68.17%</t>
  </si>
  <si>
    <t>PPG Industries, Inc</t>
  </si>
  <si>
    <t>90.24 - 137.24</t>
  </si>
  <si>
    <t>-43.39%</t>
  </si>
  <si>
    <t>3252.01%</t>
  </si>
  <si>
    <t>CDT Equity Inc</t>
  </si>
  <si>
    <t>-836.46%</t>
  </si>
  <si>
    <t>-51.54%</t>
  </si>
  <si>
    <t>-97.25%</t>
  </si>
  <si>
    <t>0.57 - 274.80</t>
  </si>
  <si>
    <t>-76.33%</t>
  </si>
  <si>
    <t>-94.08%</t>
  </si>
  <si>
    <t>Bitcoin Depot Inc</t>
  </si>
  <si>
    <t>-1161.88%</t>
  </si>
  <si>
    <t>-17.77%</t>
  </si>
  <si>
    <t>-48.53%</t>
  </si>
  <si>
    <t>-49.20%</t>
  </si>
  <si>
    <t>277.58%</t>
  </si>
  <si>
    <t>0.93 - 6.88</t>
  </si>
  <si>
    <t>136.14%</t>
  </si>
  <si>
    <t>124.03%</t>
  </si>
  <si>
    <t>Dollar Tree Inc</t>
  </si>
  <si>
    <t>-29.67%</t>
  </si>
  <si>
    <t>-38.06%</t>
  </si>
  <si>
    <t>60.49 - 118.06</t>
  </si>
  <si>
    <t>8815.06%</t>
  </si>
  <si>
    <t>BJ's Wholesale Club Holdings Inc</t>
  </si>
  <si>
    <t>-33.72%</t>
  </si>
  <si>
    <t>103.58%</t>
  </si>
  <si>
    <t>81.50 - 121.10</t>
  </si>
  <si>
    <t>394.07%</t>
  </si>
  <si>
    <t>Golub Capital BDC Inc</t>
  </si>
  <si>
    <t>136.22%</t>
  </si>
  <si>
    <t>-13.56%</t>
  </si>
  <si>
    <t>12.68 - 16.00</t>
  </si>
  <si>
    <t>Clearwater Analytics Holdings Inc</t>
  </si>
  <si>
    <t>119.42%</t>
  </si>
  <si>
    <t>70.37%</t>
  </si>
  <si>
    <t>-56.71%</t>
  </si>
  <si>
    <t>70.44%</t>
  </si>
  <si>
    <t>73.74%</t>
  </si>
  <si>
    <t>17.78 - 35.71</t>
  </si>
  <si>
    <t>-33.37%</t>
  </si>
  <si>
    <t>Mattel, Inc</t>
  </si>
  <si>
    <t>8/21/2017</t>
  </si>
  <si>
    <t>101.09%</t>
  </si>
  <si>
    <t>13.94 - 22.07</t>
  </si>
  <si>
    <t>-65.46%</t>
  </si>
  <si>
    <t>1157.89%</t>
  </si>
  <si>
    <t>Graphic Packaging Holding Co</t>
  </si>
  <si>
    <t>110.38%</t>
  </si>
  <si>
    <t>19.06 - 30.70</t>
  </si>
  <si>
    <t>3291.23%</t>
  </si>
  <si>
    <t>-25.83%</t>
  </si>
  <si>
    <t>-33.82%</t>
  </si>
  <si>
    <t>Strategy Inc</t>
  </si>
  <si>
    <t>33263.78%</t>
  </si>
  <si>
    <t>1023.69%</t>
  </si>
  <si>
    <t>91.89%</t>
  </si>
  <si>
    <t>156.38 - 543.00</t>
  </si>
  <si>
    <t>71346.19%</t>
  </si>
  <si>
    <t>-21.83%</t>
  </si>
  <si>
    <t>Wendy's Co</t>
  </si>
  <si>
    <t>105.80%</t>
  </si>
  <si>
    <t>-55.75%</t>
  </si>
  <si>
    <t>9.05 - 20.60</t>
  </si>
  <si>
    <t>2078.00%</t>
  </si>
  <si>
    <t>-48.15%</t>
  </si>
  <si>
    <t>Amentum Holdings Inc</t>
  </si>
  <si>
    <t>65.58%</t>
  </si>
  <si>
    <t>-35.44%</t>
  </si>
  <si>
    <t>16.01 - 34.47</t>
  </si>
  <si>
    <t>Workhorse Group Inc</t>
  </si>
  <si>
    <t>572.98%</t>
  </si>
  <si>
    <t>-200.74%</t>
  </si>
  <si>
    <t>-530.03%</t>
  </si>
  <si>
    <t>-760.72%</t>
  </si>
  <si>
    <t>-69.18%</t>
  </si>
  <si>
    <t>-95.57%</t>
  </si>
  <si>
    <t>0.81 - 24.25</t>
  </si>
  <si>
    <t>-90.33%</t>
  </si>
  <si>
    <t>Molson Coors Beverage Company</t>
  </si>
  <si>
    <t>90.72%</t>
  </si>
  <si>
    <t>-30.51%</t>
  </si>
  <si>
    <t>43.80 - 64.66</t>
  </si>
  <si>
    <t>873.66%</t>
  </si>
  <si>
    <t>Pilgrim's Pride Corp</t>
  </si>
  <si>
    <t>230.11%</t>
  </si>
  <si>
    <t>35.79 - 52.75</t>
  </si>
  <si>
    <t>44960.47%</t>
  </si>
  <si>
    <t>Portillos Inc</t>
  </si>
  <si>
    <t>-79.11%</t>
  </si>
  <si>
    <t>-47.08%</t>
  </si>
  <si>
    <t>-60.36%</t>
  </si>
  <si>
    <t>6.00 - 15.78</t>
  </si>
  <si>
    <t>-89.16%</t>
  </si>
  <si>
    <t>-45.75%</t>
  </si>
  <si>
    <t>Danaher Corp</t>
  </si>
  <si>
    <t>171.00 - 279.90</t>
  </si>
  <si>
    <t>240185.91%</t>
  </si>
  <si>
    <t>-33.31%</t>
  </si>
  <si>
    <t>Corteva Inc</t>
  </si>
  <si>
    <t>53.40 - 77.41</t>
  </si>
  <si>
    <t>231.31%</t>
  </si>
  <si>
    <t>SharkNinja Inc</t>
  </si>
  <si>
    <t>54.28%</t>
  </si>
  <si>
    <t>47.96%</t>
  </si>
  <si>
    <t>60.50 - 128.51</t>
  </si>
  <si>
    <t>319.31%</t>
  </si>
  <si>
    <t>Honeywell International Inc</t>
  </si>
  <si>
    <t>179.36 - 242.77</t>
  </si>
  <si>
    <t>3413.99%</t>
  </si>
  <si>
    <t>Kaival Brands Innovations Group Inc</t>
  </si>
  <si>
    <t>-121.65%</t>
  </si>
  <si>
    <t>-88.85%</t>
  </si>
  <si>
    <t>-51.07%</t>
  </si>
  <si>
    <t>-80.05%</t>
  </si>
  <si>
    <t>-642.33%</t>
  </si>
  <si>
    <t>-717.11%</t>
  </si>
  <si>
    <t>-70.26%</t>
  </si>
  <si>
    <t>0.44 - 1.55</t>
  </si>
  <si>
    <t>509.79%</t>
  </si>
  <si>
    <t>-60.60%</t>
  </si>
  <si>
    <t>Remitly Global Inc</t>
  </si>
  <si>
    <t>12.43 - 27.32</t>
  </si>
  <si>
    <t>143.32%</t>
  </si>
  <si>
    <t>-23.53%</t>
  </si>
  <si>
    <t>Merck &amp; Co Inc</t>
  </si>
  <si>
    <t>75.25%</t>
  </si>
  <si>
    <t>73.31 - 114.79</t>
  </si>
  <si>
    <t>3893.87%</t>
  </si>
  <si>
    <t>-32.07%</t>
  </si>
  <si>
    <t>Dexcom Inc</t>
  </si>
  <si>
    <t>57.52 - 93.25</t>
  </si>
  <si>
    <t>20001.47%</t>
  </si>
  <si>
    <t>-20.83%</t>
  </si>
  <si>
    <t>Rithm Capital Corporation</t>
  </si>
  <si>
    <t>59.83%</t>
  </si>
  <si>
    <t>93.80%</t>
  </si>
  <si>
    <t>9.13 - 12.74</t>
  </si>
  <si>
    <t>-34.12%</t>
  </si>
  <si>
    <t>324.40%</t>
  </si>
  <si>
    <t>Fortune Brands Innovations Inc</t>
  </si>
  <si>
    <t>-41.77%</t>
  </si>
  <si>
    <t>47.21 - 90.54</t>
  </si>
  <si>
    <t>460.81%</t>
  </si>
  <si>
    <t>Celanese Corp</t>
  </si>
  <si>
    <t>108.03%</t>
  </si>
  <si>
    <t>-16.30%</t>
  </si>
  <si>
    <t>-71.84%</t>
  </si>
  <si>
    <t>36.29 - 142.54</t>
  </si>
  <si>
    <t>-77.25%</t>
  </si>
  <si>
    <t>603.06%</t>
  </si>
  <si>
    <t>-69.72%</t>
  </si>
  <si>
    <t>Baxter International Inc</t>
  </si>
  <si>
    <t>100.76%</t>
  </si>
  <si>
    <t>21.33 - 39.57</t>
  </si>
  <si>
    <t>959.62%</t>
  </si>
  <si>
    <t>Cava Group Inc</t>
  </si>
  <si>
    <t>60.81 - 172.43</t>
  </si>
  <si>
    <t>Deckers Outdoor Corp</t>
  </si>
  <si>
    <t>99.12%</t>
  </si>
  <si>
    <t>93.72 - 223.98</t>
  </si>
  <si>
    <t>151690.10%</t>
  </si>
  <si>
    <t>Upstart Holdings Inc</t>
  </si>
  <si>
    <t>-195.32%</t>
  </si>
  <si>
    <t>60.62%</t>
  </si>
  <si>
    <t>101.59%</t>
  </si>
  <si>
    <t>-40.66%</t>
  </si>
  <si>
    <t>82.23%</t>
  </si>
  <si>
    <t>31.40 - 96.43</t>
  </si>
  <si>
    <t>-85.75%</t>
  </si>
  <si>
    <t>379.63%</t>
  </si>
  <si>
    <t>52.02%</t>
  </si>
  <si>
    <t>QXO Inc</t>
  </si>
  <si>
    <t>6/5/2024</t>
  </si>
  <si>
    <t>3310.77%</t>
  </si>
  <si>
    <t>13011.42%</t>
  </si>
  <si>
    <t>168.29%</t>
  </si>
  <si>
    <t>-23.96%</t>
  </si>
  <si>
    <t>11.85 - 24.69</t>
  </si>
  <si>
    <t>2693.84%</t>
  </si>
  <si>
    <t>Copart, Inc</t>
  </si>
  <si>
    <t>84.07%</t>
  </si>
  <si>
    <t>-30.27%</t>
  </si>
  <si>
    <t>44.67 - 64.38</t>
  </si>
  <si>
    <t>41948.00%</t>
  </si>
  <si>
    <t>-19.31%</t>
  </si>
  <si>
    <t>Comcast Corp</t>
  </si>
  <si>
    <t>31.03 - 45.31</t>
  </si>
  <si>
    <t>-48.68%</t>
  </si>
  <si>
    <t>12203.13%</t>
  </si>
  <si>
    <t>Figma Inc</t>
  </si>
  <si>
    <t>91.34%</t>
  </si>
  <si>
    <t>-63.04%</t>
  </si>
  <si>
    <t>50.49 - 142.92</t>
  </si>
  <si>
    <t>Fly-E Group Inc</t>
  </si>
  <si>
    <t>-72.46%</t>
  </si>
  <si>
    <t>-90.34%</t>
  </si>
  <si>
    <t>0.51 - 8.30</t>
  </si>
  <si>
    <t>-97.90%</t>
  </si>
  <si>
    <t>-82.57%</t>
  </si>
  <si>
    <t>Intercontinental Exchange Inc</t>
  </si>
  <si>
    <t>12/16/2025</t>
  </si>
  <si>
    <t>92.94%</t>
  </si>
  <si>
    <t>142.29 - 189.35</t>
  </si>
  <si>
    <t>2595.87%</t>
  </si>
  <si>
    <t>Booz Allen Hamilton Holding Corp</t>
  </si>
  <si>
    <t>98.48%</t>
  </si>
  <si>
    <t>-48.55%</t>
  </si>
  <si>
    <t>96.96 - 190.59</t>
  </si>
  <si>
    <t>1360.65%</t>
  </si>
  <si>
    <t>Paychex Inc</t>
  </si>
  <si>
    <t>72.35%</t>
  </si>
  <si>
    <t>42.54%</t>
  </si>
  <si>
    <t>126.13 - 161.24</t>
  </si>
  <si>
    <t>95354.94%</t>
  </si>
  <si>
    <t>-15.49%</t>
  </si>
  <si>
    <t>KalVista Pharmaceuticals Inc</t>
  </si>
  <si>
    <t>-17.63%</t>
  </si>
  <si>
    <t>-14220.90%</t>
  </si>
  <si>
    <t>-14242.57%</t>
  </si>
  <si>
    <t>-29.89%</t>
  </si>
  <si>
    <t>65.96%</t>
  </si>
  <si>
    <t>7.30 - 17.28</t>
  </si>
  <si>
    <t>-90.62%</t>
  </si>
  <si>
    <t>Align Technology, Inc</t>
  </si>
  <si>
    <t>94.47%</t>
  </si>
  <si>
    <t>70.39%</t>
  </si>
  <si>
    <t>-30.19%</t>
  </si>
  <si>
    <t>-39.60%</t>
  </si>
  <si>
    <t>-51.42%</t>
  </si>
  <si>
    <t>122.00 - 259.01</t>
  </si>
  <si>
    <t>-82.94%</t>
  </si>
  <si>
    <t>9885.71%</t>
  </si>
  <si>
    <t>Valvoline Inc</t>
  </si>
  <si>
    <t>12/1/2022</t>
  </si>
  <si>
    <t>-11.00%</t>
  </si>
  <si>
    <t>108.41%</t>
  </si>
  <si>
    <t>31.01 - 43.74</t>
  </si>
  <si>
    <t>305.67%</t>
  </si>
  <si>
    <t>Western Union Company</t>
  </si>
  <si>
    <t>95.35%</t>
  </si>
  <si>
    <t>-36.21%</t>
  </si>
  <si>
    <t>7.85 - 12.40</t>
  </si>
  <si>
    <t>-25.55%</t>
  </si>
  <si>
    <t>-34.11%</t>
  </si>
  <si>
    <t>Zoetis Inc</t>
  </si>
  <si>
    <t>70.03%</t>
  </si>
  <si>
    <t>139.34 - 197.51</t>
  </si>
  <si>
    <t>-42.69%</t>
  </si>
  <si>
    <t>407.78%</t>
  </si>
  <si>
    <t>Neuronetics Inc</t>
  </si>
  <si>
    <t>54.17%</t>
  </si>
  <si>
    <t>131.66%</t>
  </si>
  <si>
    <t>-33.98%</t>
  </si>
  <si>
    <t>-24.75%</t>
  </si>
  <si>
    <t>411.31%</t>
  </si>
  <si>
    <t>0.52 - 5.92</t>
  </si>
  <si>
    <t>216.52%</t>
  </si>
  <si>
    <t>Liquidia Corp</t>
  </si>
  <si>
    <t>67.19%</t>
  </si>
  <si>
    <t>-715.38%</t>
  </si>
  <si>
    <t>-732.17%</t>
  </si>
  <si>
    <t>56.62%</t>
  </si>
  <si>
    <t>126.47%</t>
  </si>
  <si>
    <t>9.71 - 29.94</t>
  </si>
  <si>
    <t>877.33%</t>
  </si>
  <si>
    <t>117.29%</t>
  </si>
  <si>
    <t>Costar Group, Inc</t>
  </si>
  <si>
    <t>-22.90%</t>
  </si>
  <si>
    <t>-16.93%</t>
  </si>
  <si>
    <t>101.34%</t>
  </si>
  <si>
    <t>76.85%</t>
  </si>
  <si>
    <t>68.26 - 97.43</t>
  </si>
  <si>
    <t>15032.73%</t>
  </si>
  <si>
    <t>Cracker Barrel Old Country Store Inc</t>
  </si>
  <si>
    <t>-75.90%</t>
  </si>
  <si>
    <t>115.04%</t>
  </si>
  <si>
    <t>33.85 - 71.93</t>
  </si>
  <si>
    <t>-75.23%</t>
  </si>
  <si>
    <t>5440.83%</t>
  </si>
  <si>
    <t>Trade Desk Inc</t>
  </si>
  <si>
    <t>41.52%</t>
  </si>
  <si>
    <t>73.81%</t>
  </si>
  <si>
    <t>-67.37%</t>
  </si>
  <si>
    <t>42.96 - 141.53</t>
  </si>
  <si>
    <t>1998.86%</t>
  </si>
  <si>
    <t>-58.32%</t>
  </si>
  <si>
    <t>Bio Green Med Solution Inc</t>
  </si>
  <si>
    <t>730.96%</t>
  </si>
  <si>
    <t>-87.50%</t>
  </si>
  <si>
    <t>70.00%</t>
  </si>
  <si>
    <t>-103560.00%</t>
  </si>
  <si>
    <t>-64260.00%</t>
  </si>
  <si>
    <t>-89.07%</t>
  </si>
  <si>
    <t>-75.21%</t>
  </si>
  <si>
    <t>3.08 - 597.60</t>
  </si>
  <si>
    <t>-93.29%</t>
  </si>
  <si>
    <t>-98.01%</t>
  </si>
  <si>
    <t>Kellanova</t>
  </si>
  <si>
    <t>58.22%</t>
  </si>
  <si>
    <t>-42.41%</t>
  </si>
  <si>
    <t>76.48 - 83.22</t>
  </si>
  <si>
    <t>2344.85%</t>
  </si>
  <si>
    <t>Generac Holdings Inc</t>
  </si>
  <si>
    <t>6/10/2013</t>
  </si>
  <si>
    <t>95.83%</t>
  </si>
  <si>
    <t>99.50 - 203.25</t>
  </si>
  <si>
    <t>2270.90%</t>
  </si>
  <si>
    <t>Hawaiian Electric Industries, Inc</t>
  </si>
  <si>
    <t>8/17/2023</t>
  </si>
  <si>
    <t>75.14%</t>
  </si>
  <si>
    <t>-16.89%</t>
  </si>
  <si>
    <t>8.14 - 13.41</t>
  </si>
  <si>
    <t>Boston Scientific Corp</t>
  </si>
  <si>
    <t>-17.84%</t>
  </si>
  <si>
    <t>61.90%</t>
  </si>
  <si>
    <t>80.64 - 109.50</t>
  </si>
  <si>
    <t>4106.08%</t>
  </si>
  <si>
    <t>Liminatus Pharma Inc</t>
  </si>
  <si>
    <t>-22.25%</t>
  </si>
  <si>
    <t>-58.62%</t>
  </si>
  <si>
    <t>-83.26%</t>
  </si>
  <si>
    <t>-95.34%</t>
  </si>
  <si>
    <t>1.12 - 33.66</t>
  </si>
  <si>
    <t>-83.44%</t>
  </si>
  <si>
    <t>-85.79%</t>
  </si>
  <si>
    <t>-84.80%</t>
  </si>
  <si>
    <t>Blackstone Mortgage Trust Inc</t>
  </si>
  <si>
    <t>59.91%</t>
  </si>
  <si>
    <t>16.51 - 21.24</t>
  </si>
  <si>
    <t>-91.61%</t>
  </si>
  <si>
    <t>456.09%</t>
  </si>
  <si>
    <t>SLM Corp</t>
  </si>
  <si>
    <t>-35.18%</t>
  </si>
  <si>
    <t>105.89%</t>
  </si>
  <si>
    <t>21.10 - 34.97</t>
  </si>
  <si>
    <t>9696.20%</t>
  </si>
  <si>
    <t>-15.05%</t>
  </si>
  <si>
    <t>Hormel Foods Corp</t>
  </si>
  <si>
    <t>77.04%</t>
  </si>
  <si>
    <t>23.71 - 33.80</t>
  </si>
  <si>
    <t>6241.82%</t>
  </si>
  <si>
    <t>-21.32%</t>
  </si>
  <si>
    <t>Outlook Therapeutics Inc</t>
  </si>
  <si>
    <t>63.07%</t>
  </si>
  <si>
    <t>-4824.52%</t>
  </si>
  <si>
    <t>-2885.82%</t>
  </si>
  <si>
    <t>-43.17%</t>
  </si>
  <si>
    <t>-71.68%</t>
  </si>
  <si>
    <t>-86.25%</t>
  </si>
  <si>
    <t>0.79 - 6.98</t>
  </si>
  <si>
    <t>First Watch Restaurant Group Inc</t>
  </si>
  <si>
    <t>90.35%</t>
  </si>
  <si>
    <t>12.90 - 22.71</t>
  </si>
  <si>
    <t>-38.51%</t>
  </si>
  <si>
    <t>Sherwin-Williams Co</t>
  </si>
  <si>
    <t>83.40%</t>
  </si>
  <si>
    <t>48.87%</t>
  </si>
  <si>
    <t>308.84 - 400.42</t>
  </si>
  <si>
    <t>36647.32%</t>
  </si>
  <si>
    <t>Pinterest Inc</t>
  </si>
  <si>
    <t>87.01%</t>
  </si>
  <si>
    <t>49.30%</t>
  </si>
  <si>
    <t>23.68 - 40.90</t>
  </si>
  <si>
    <t>232.03%</t>
  </si>
  <si>
    <t>Sezzle Inc</t>
  </si>
  <si>
    <t>76.56%</t>
  </si>
  <si>
    <t>76.35%</t>
  </si>
  <si>
    <t>-48.12%</t>
  </si>
  <si>
    <t>249.52%</t>
  </si>
  <si>
    <t>23.82 - 186.74</t>
  </si>
  <si>
    <t>6886.00%</t>
  </si>
  <si>
    <t>121.52%</t>
  </si>
  <si>
    <t>182.25%</t>
  </si>
  <si>
    <t>Akebia Therapeutics Inc</t>
  </si>
  <si>
    <t>42.15%</t>
  </si>
  <si>
    <t>-33.15%</t>
  </si>
  <si>
    <t>117.80%</t>
  </si>
  <si>
    <t>1.24 - 4.08</t>
  </si>
  <si>
    <t>1020.62%</t>
  </si>
  <si>
    <t>100.05%</t>
  </si>
  <si>
    <t>Tractor Supply Co</t>
  </si>
  <si>
    <t>-11.26%</t>
  </si>
  <si>
    <t>46.85 - 63.99</t>
  </si>
  <si>
    <t>69487.82%</t>
  </si>
  <si>
    <t>Coca-Cola Co</t>
  </si>
  <si>
    <t>61.46%</t>
  </si>
  <si>
    <t>60.62 - 74.38</t>
  </si>
  <si>
    <t>6491.18%</t>
  </si>
  <si>
    <t>Utz Brands Inc</t>
  </si>
  <si>
    <t>11.53 - 18.28</t>
  </si>
  <si>
    <t>-59.52%</t>
  </si>
  <si>
    <t>-30.87%</t>
  </si>
  <si>
    <t>Flagstar Financial Inc</t>
  </si>
  <si>
    <t>-90.20%</t>
  </si>
  <si>
    <t>-53.89%</t>
  </si>
  <si>
    <t>-37.15%</t>
  </si>
  <si>
    <t>-32.04%</t>
  </si>
  <si>
    <t>34.87%</t>
  </si>
  <si>
    <t>8.56 - 13.35</t>
  </si>
  <si>
    <t>-89.18%</t>
  </si>
  <si>
    <t>246.34%</t>
  </si>
  <si>
    <t>Humana Inc</t>
  </si>
  <si>
    <t>206.87 - 324.38</t>
  </si>
  <si>
    <t>-55.48%</t>
  </si>
  <si>
    <t>6427.41%</t>
  </si>
  <si>
    <t>Colgate-Palmolive Co</t>
  </si>
  <si>
    <t>56.42%</t>
  </si>
  <si>
    <t>78.76 - 104.16</t>
  </si>
  <si>
    <t>-27.11%</t>
  </si>
  <si>
    <t>6131.84%</t>
  </si>
  <si>
    <t>-14.51%</t>
  </si>
  <si>
    <t>-23.24%</t>
  </si>
  <si>
    <t>Geovax Labs Inc</t>
  </si>
  <si>
    <t>78.99%</t>
  </si>
  <si>
    <t>1943.07%</t>
  </si>
  <si>
    <t>183.45%</t>
  </si>
  <si>
    <t>89.51%</t>
  </si>
  <si>
    <t>-407.34%</t>
  </si>
  <si>
    <t>-403.80%</t>
  </si>
  <si>
    <t>-48.57%</t>
  </si>
  <si>
    <t>-30.65%</t>
  </si>
  <si>
    <t>0.43 - 3.88</t>
  </si>
  <si>
    <t>-49.54%</t>
  </si>
  <si>
    <t>KULR Technology Group Inc</t>
  </si>
  <si>
    <t>-30.61%</t>
  </si>
  <si>
    <t>64.48%</t>
  </si>
  <si>
    <t>66.85%</t>
  </si>
  <si>
    <t>-179.99%</t>
  </si>
  <si>
    <t>-133.22%</t>
  </si>
  <si>
    <t>-60.67%</t>
  </si>
  <si>
    <t>-42.92%</t>
  </si>
  <si>
    <t>-90.27%</t>
  </si>
  <si>
    <t>2.16 - 43.92</t>
  </si>
  <si>
    <t>434.38%</t>
  </si>
  <si>
    <t>-31.60%</t>
  </si>
  <si>
    <t>-63.40%</t>
  </si>
  <si>
    <t>Compass Inc</t>
  </si>
  <si>
    <t>5.10 - 10.25</t>
  </si>
  <si>
    <t>Knight-Swift Transportation Holdings Inc</t>
  </si>
  <si>
    <t>-35.98%</t>
  </si>
  <si>
    <t>36.69 - 61.51</t>
  </si>
  <si>
    <t>426.48%</t>
  </si>
  <si>
    <t>LKQ Corp</t>
  </si>
  <si>
    <t>28.92 - 44.82</t>
  </si>
  <si>
    <t>1714.46%</t>
  </si>
  <si>
    <t>-25.02%</t>
  </si>
  <si>
    <t>SBA Communications Corp</t>
  </si>
  <si>
    <t>66.78%</t>
  </si>
  <si>
    <t>-22.59%</t>
  </si>
  <si>
    <t>186.81 - 252.64</t>
  </si>
  <si>
    <t>102826.32%</t>
  </si>
  <si>
    <t>-19.18%</t>
  </si>
  <si>
    <t>Ardelyx Inc</t>
  </si>
  <si>
    <t>220.89%</t>
  </si>
  <si>
    <t>129.14%</t>
  </si>
  <si>
    <t>84.21%</t>
  </si>
  <si>
    <t>76.79%</t>
  </si>
  <si>
    <t>3.21 - 7.18</t>
  </si>
  <si>
    <t>-84.01%</t>
  </si>
  <si>
    <t>1057.69%</t>
  </si>
  <si>
    <t>Invitation Homes Inc</t>
  </si>
  <si>
    <t>332.35%</t>
  </si>
  <si>
    <t>102.04%</t>
  </si>
  <si>
    <t>28.76 - 35.80</t>
  </si>
  <si>
    <t>Prospect Capital Corp</t>
  </si>
  <si>
    <t>-51.62%</t>
  </si>
  <si>
    <t>2.57 - 5.41</t>
  </si>
  <si>
    <t>-86.22%</t>
  </si>
  <si>
    <t>XTI Aerospace Inc</t>
  </si>
  <si>
    <t>92.88%</t>
  </si>
  <si>
    <t>-939.74%</t>
  </si>
  <si>
    <t>-1734.99%</t>
  </si>
  <si>
    <t>-56.91%</t>
  </si>
  <si>
    <t>-97.52%</t>
  </si>
  <si>
    <t>54.75%</t>
  </si>
  <si>
    <t>0.96 - 60.00</t>
  </si>
  <si>
    <t>Biocryst Pharmaceuticals Inc</t>
  </si>
  <si>
    <t>6.01 - 11.31</t>
  </si>
  <si>
    <t>-79.61%</t>
  </si>
  <si>
    <t>1166.00%</t>
  </si>
  <si>
    <t>Sweetgreen Inc</t>
  </si>
  <si>
    <t>-56.63%</t>
  </si>
  <si>
    <t>-58.20%</t>
  </si>
  <si>
    <t>-81.87%</t>
  </si>
  <si>
    <t>8.01 - 45.12</t>
  </si>
  <si>
    <t>-85.44%</t>
  </si>
  <si>
    <t>-39.81%</t>
  </si>
  <si>
    <t>-69.17%</t>
  </si>
  <si>
    <t>-77.59%</t>
  </si>
  <si>
    <t>GrabAGun Digital Holdings Inc</t>
  </si>
  <si>
    <t>-53.03%</t>
  </si>
  <si>
    <t>-76.52%</t>
  </si>
  <si>
    <t>4.88 - 21.40</t>
  </si>
  <si>
    <t>-52.99%</t>
  </si>
  <si>
    <t>Procter &amp; Gamble Co</t>
  </si>
  <si>
    <t>149.91 - 180.43</t>
  </si>
  <si>
    <t>5266.58%</t>
  </si>
  <si>
    <t>Owens &amp; Minor, Inc</t>
  </si>
  <si>
    <t>12/14/2021</t>
  </si>
  <si>
    <t>-74.47%</t>
  </si>
  <si>
    <t>408.72%</t>
  </si>
  <si>
    <t>106.68%</t>
  </si>
  <si>
    <t>-44.76%</t>
  </si>
  <si>
    <t>4.56 - 16.38</t>
  </si>
  <si>
    <t>-90.56%</t>
  </si>
  <si>
    <t>369.80%</t>
  </si>
  <si>
    <t>-47.69%</t>
  </si>
  <si>
    <t>Kroger Co</t>
  </si>
  <si>
    <t>11/14/2025</t>
  </si>
  <si>
    <t>54.88 - 74.90</t>
  </si>
  <si>
    <t>21940.36%</t>
  </si>
  <si>
    <t>Energizer Holdings Inc</t>
  </si>
  <si>
    <t>228.96%</t>
  </si>
  <si>
    <t>-37.10%</t>
  </si>
  <si>
    <t>80.86%</t>
  </si>
  <si>
    <t>-34.63%</t>
  </si>
  <si>
    <t>19.70 - 39.51</t>
  </si>
  <si>
    <t>-60.61%</t>
  </si>
  <si>
    <t>International Paper Co</t>
  </si>
  <si>
    <t>117.64%</t>
  </si>
  <si>
    <t>52.51%</t>
  </si>
  <si>
    <t>98.57%</t>
  </si>
  <si>
    <t>-25.22%</t>
  </si>
  <si>
    <t>43.27 - 60.36</t>
  </si>
  <si>
    <t>-29.34%</t>
  </si>
  <si>
    <t>1120.82%</t>
  </si>
  <si>
    <t>Prairie Operating Co</t>
  </si>
  <si>
    <t>6459.14%</t>
  </si>
  <si>
    <t>177.93%</t>
  </si>
  <si>
    <t>-84.54%</t>
  </si>
  <si>
    <t>-79.16%</t>
  </si>
  <si>
    <t>-30.49%</t>
  </si>
  <si>
    <t>-61.67%</t>
  </si>
  <si>
    <t>-56.44%</t>
  </si>
  <si>
    <t>-82.86%</t>
  </si>
  <si>
    <t>1.81 - 11.00</t>
  </si>
  <si>
    <t>3198.75%</t>
  </si>
  <si>
    <t>-41.46%</t>
  </si>
  <si>
    <t>-79.03%</t>
  </si>
  <si>
    <t>Light &amp; Wonder Inc</t>
  </si>
  <si>
    <t>69.56 - 113.94</t>
  </si>
  <si>
    <t>9509.14%</t>
  </si>
  <si>
    <t>Verisk Analytics Inc</t>
  </si>
  <si>
    <t>92.82%</t>
  </si>
  <si>
    <t>239.83 - 322.92</t>
  </si>
  <si>
    <t>851.19%</t>
  </si>
  <si>
    <t>Wellgistics Health Inc</t>
  </si>
  <si>
    <t>-3533.18%</t>
  </si>
  <si>
    <t>82384.51%</t>
  </si>
  <si>
    <t>17391.84%</t>
  </si>
  <si>
    <t>-115.25%</t>
  </si>
  <si>
    <t>-123.31%</t>
  </si>
  <si>
    <t>-61.40%</t>
  </si>
  <si>
    <t>-88.11%</t>
  </si>
  <si>
    <t>0.62 - 7.04</t>
  </si>
  <si>
    <t>-78.36%</t>
  </si>
  <si>
    <t>CleanCore Solutions Inc</t>
  </si>
  <si>
    <t>-126.24%</t>
  </si>
  <si>
    <t>-45.29%</t>
  </si>
  <si>
    <t>-295.49%</t>
  </si>
  <si>
    <t>-325.27%</t>
  </si>
  <si>
    <t>153.17%</t>
  </si>
  <si>
    <t>0.81 - 7.82</t>
  </si>
  <si>
    <t>97.18%</t>
  </si>
  <si>
    <t>UGI Corp</t>
  </si>
  <si>
    <t>120.04%</t>
  </si>
  <si>
    <t>89.72%</t>
  </si>
  <si>
    <t>92.15%</t>
  </si>
  <si>
    <t>23.14 - 37.42</t>
  </si>
  <si>
    <t>-44.51%</t>
  </si>
  <si>
    <t>1695.17%</t>
  </si>
  <si>
    <t>Newell Brands Inc</t>
  </si>
  <si>
    <t>34.58%</t>
  </si>
  <si>
    <t>-21.45%</t>
  </si>
  <si>
    <t>4.22 - 11.78</t>
  </si>
  <si>
    <t>215.77%</t>
  </si>
  <si>
    <t>-19.66%</t>
  </si>
  <si>
    <t>Stryker Corp</t>
  </si>
  <si>
    <t>41.74%</t>
  </si>
  <si>
    <t>62.19%</t>
  </si>
  <si>
    <t>329.16 - 406.19</t>
  </si>
  <si>
    <t>142235.37%</t>
  </si>
  <si>
    <t>10x Genomics Inc</t>
  </si>
  <si>
    <t>-42.17%</t>
  </si>
  <si>
    <t>-36.10%</t>
  </si>
  <si>
    <t>175.72%</t>
  </si>
  <si>
    <t>98.49%</t>
  </si>
  <si>
    <t>71.72%</t>
  </si>
  <si>
    <t>-21.10%</t>
  </si>
  <si>
    <t>73.86%</t>
  </si>
  <si>
    <t>6.78 - 23.07</t>
  </si>
  <si>
    <t>-94.36%</t>
  </si>
  <si>
    <t>ThredUp Inc</t>
  </si>
  <si>
    <t>-25.24%</t>
  </si>
  <si>
    <t>1725.05%</t>
  </si>
  <si>
    <t>0.50 - 12.28</t>
  </si>
  <si>
    <t>23.22%</t>
  </si>
  <si>
    <t>240.00%</t>
  </si>
  <si>
    <t>941.88%</t>
  </si>
  <si>
    <t>JELD-WEN Holding Inc</t>
  </si>
  <si>
    <t>3.27 - 16.43</t>
  </si>
  <si>
    <t>-67.61%</t>
  </si>
  <si>
    <t>Westlake Corporation</t>
  </si>
  <si>
    <t>-216.28%</t>
  </si>
  <si>
    <t>-49.10%</t>
  </si>
  <si>
    <t>68.55 - 151.56</t>
  </si>
  <si>
    <t>-52.57%</t>
  </si>
  <si>
    <t>1476.98%</t>
  </si>
  <si>
    <t>-25.05%</t>
  </si>
  <si>
    <t>-47.85%</t>
  </si>
  <si>
    <t>Dover Corp</t>
  </si>
  <si>
    <t>87.58%</t>
  </si>
  <si>
    <t>143.04 - 222.31</t>
  </si>
  <si>
    <t>7180.31%</t>
  </si>
  <si>
    <t>Strive Inc</t>
  </si>
  <si>
    <t>111.73%</t>
  </si>
  <si>
    <t>64.31%</t>
  </si>
  <si>
    <t>65.48%</t>
  </si>
  <si>
    <t>-1005.67%</t>
  </si>
  <si>
    <t>-1008.13%</t>
  </si>
  <si>
    <t>-51.21%</t>
  </si>
  <si>
    <t>-79.76%</t>
  </si>
  <si>
    <t>-81.00%</t>
  </si>
  <si>
    <t>661.19%</t>
  </si>
  <si>
    <t>0.34 - 13.42</t>
  </si>
  <si>
    <t>-92.69%</t>
  </si>
  <si>
    <t>330.09%</t>
  </si>
  <si>
    <t>Chipotle Mexican Grill</t>
  </si>
  <si>
    <t>-41.03%</t>
  </si>
  <si>
    <t>38.30 - 66.74</t>
  </si>
  <si>
    <t>-43.18%</t>
  </si>
  <si>
    <t>5238.44%</t>
  </si>
  <si>
    <t>-22.71%</t>
  </si>
  <si>
    <t>Tonix Pharmaceuticals Holding Corp</t>
  </si>
  <si>
    <t>73.03%</t>
  </si>
  <si>
    <t>-21.09%</t>
  </si>
  <si>
    <t>199.08%</t>
  </si>
  <si>
    <t>-838.00%</t>
  </si>
  <si>
    <t>-828.22%</t>
  </si>
  <si>
    <t>-64.99%</t>
  </si>
  <si>
    <t>262.39%</t>
  </si>
  <si>
    <t>6.76 - 130.00</t>
  </si>
  <si>
    <t>88.44%</t>
  </si>
  <si>
    <t>McGraw Hill Inc</t>
  </si>
  <si>
    <t>12.55 - 17.25</t>
  </si>
  <si>
    <t>Eastman Chemical Co</t>
  </si>
  <si>
    <t>-24.10%</t>
  </si>
  <si>
    <t>56.78 - 114.50</t>
  </si>
  <si>
    <t>-52.33%</t>
  </si>
  <si>
    <t>600.34%</t>
  </si>
  <si>
    <t>-43.76%</t>
  </si>
  <si>
    <t>Cognition Therapeutics Inc</t>
  </si>
  <si>
    <t>69.27%</t>
  </si>
  <si>
    <t>-66.84%</t>
  </si>
  <si>
    <t>128.62%</t>
  </si>
  <si>
    <t>471.30%</t>
  </si>
  <si>
    <t>0.22 - 3.83</t>
  </si>
  <si>
    <t>-90.80%</t>
  </si>
  <si>
    <t>323.33%</t>
  </si>
  <si>
    <t>181.78%</t>
  </si>
  <si>
    <t>160.14%</t>
  </si>
  <si>
    <t>Sidus Space Inc</t>
  </si>
  <si>
    <t>68.83%</t>
  </si>
  <si>
    <t>-80.29%</t>
  </si>
  <si>
    <t>-363.77%</t>
  </si>
  <si>
    <t>-515.38%</t>
  </si>
  <si>
    <t>-54.61%</t>
  </si>
  <si>
    <t>-87.01%</t>
  </si>
  <si>
    <t>0.93 - 7.65</t>
  </si>
  <si>
    <t>AMGEN Inc</t>
  </si>
  <si>
    <t>253.30 - 335.88</t>
  </si>
  <si>
    <t>346332.11%</t>
  </si>
  <si>
    <t>Cognizant Technology Solutions Corp</t>
  </si>
  <si>
    <t>65.17 - 90.82</t>
  </si>
  <si>
    <t>45623.43%</t>
  </si>
  <si>
    <t>Integra Lifesciences Holdings Corp</t>
  </si>
  <si>
    <t>11.06 - 27.13</t>
  </si>
  <si>
    <t>-82.99%</t>
  </si>
  <si>
    <t>871.10%</t>
  </si>
  <si>
    <t>-40.18%</t>
  </si>
  <si>
    <t>Cocrystal Pharma Inc</t>
  </si>
  <si>
    <t>-120.49%</t>
  </si>
  <si>
    <t>-18.81%</t>
  </si>
  <si>
    <t>-53.18%</t>
  </si>
  <si>
    <t>1.12 - 3.26</t>
  </si>
  <si>
    <t>Gen Digital Inc</t>
  </si>
  <si>
    <t>87.41%</t>
  </si>
  <si>
    <t>22.74 - 32.22</t>
  </si>
  <si>
    <t>8803.59%</t>
  </si>
  <si>
    <t>Tronox Holdings plc</t>
  </si>
  <si>
    <t>-476.13%</t>
  </si>
  <si>
    <t>74.41%</t>
  </si>
  <si>
    <t>-39.79%</t>
  </si>
  <si>
    <t>-73.89%</t>
  </si>
  <si>
    <t>2.95 - 15.07</t>
  </si>
  <si>
    <t>-30.23%</t>
  </si>
  <si>
    <t>-45.87%</t>
  </si>
  <si>
    <t>-71.32%</t>
  </si>
  <si>
    <t>Catheter Precision Inc</t>
  </si>
  <si>
    <t>167.27%</t>
  </si>
  <si>
    <t>127.96%</t>
  </si>
  <si>
    <t>-259.33%</t>
  </si>
  <si>
    <t>-2034.00%</t>
  </si>
  <si>
    <t>-4010.00%</t>
  </si>
  <si>
    <t>-93.19%</t>
  </si>
  <si>
    <t>2.20 - 33.06</t>
  </si>
  <si>
    <t>-77.77%</t>
  </si>
  <si>
    <t>FTAI Infrastructure Inc</t>
  </si>
  <si>
    <t>40.23%</t>
  </si>
  <si>
    <t>-58.13%</t>
  </si>
  <si>
    <t>3.10 - 9.96</t>
  </si>
  <si>
    <t>-53.15%</t>
  </si>
  <si>
    <t>Q2 Holdings Inc</t>
  </si>
  <si>
    <t>51.62%</t>
  </si>
  <si>
    <t>-34.53%</t>
  </si>
  <si>
    <t>63.61 - 112.82</t>
  </si>
  <si>
    <t>-50.28%</t>
  </si>
  <si>
    <t>667.80%</t>
  </si>
  <si>
    <t>Option Care Health Inc</t>
  </si>
  <si>
    <t>101.11%</t>
  </si>
  <si>
    <t>21.39 - 35.53</t>
  </si>
  <si>
    <t>-70.80%</t>
  </si>
  <si>
    <t>972.40%</t>
  </si>
  <si>
    <t>Fiserv, Inc</t>
  </si>
  <si>
    <t>61.14%</t>
  </si>
  <si>
    <t>-45.49%</t>
  </si>
  <si>
    <t>128.08 - 238.59</t>
  </si>
  <si>
    <t>52574.30%</t>
  </si>
  <si>
    <t>HP Inc</t>
  </si>
  <si>
    <t>81.66%</t>
  </si>
  <si>
    <t>21.21 - 39.79</t>
  </si>
  <si>
    <t>-36.33%</t>
  </si>
  <si>
    <t>2258.14%</t>
  </si>
  <si>
    <t>Hinge Health Inc</t>
  </si>
  <si>
    <t>306.29%</t>
  </si>
  <si>
    <t>77.65%</t>
  </si>
  <si>
    <t>-113.80%</t>
  </si>
  <si>
    <t>33.42 - 62.18</t>
  </si>
  <si>
    <t>Illumina Inc</t>
  </si>
  <si>
    <t>102.26%</t>
  </si>
  <si>
    <t>-41.44%</t>
  </si>
  <si>
    <t>68.70 - 156.66</t>
  </si>
  <si>
    <t>-83.01%</t>
  </si>
  <si>
    <t>10940.80%</t>
  </si>
  <si>
    <t>United Parcel Service, Inc</t>
  </si>
  <si>
    <t>59.81%</t>
  </si>
  <si>
    <t>82.00 - 145.01</t>
  </si>
  <si>
    <t>-64.51%</t>
  </si>
  <si>
    <t>118.35%</t>
  </si>
  <si>
    <t>Actelis Networks Inc</t>
  </si>
  <si>
    <t>-72.57%</t>
  </si>
  <si>
    <t>-31.25%</t>
  </si>
  <si>
    <t>-105.17%</t>
  </si>
  <si>
    <t>-115.31%</t>
  </si>
  <si>
    <t>-41.24%</t>
  </si>
  <si>
    <t>-78.21%</t>
  </si>
  <si>
    <t>0.34 - 1.78</t>
  </si>
  <si>
    <t>-35.26%</t>
  </si>
  <si>
    <t>-59.18%</t>
  </si>
  <si>
    <t>-74.98%</t>
  </si>
  <si>
    <t>Sable Offshore Corp</t>
  </si>
  <si>
    <t>-130.98%</t>
  </si>
  <si>
    <t>16.26 - 35.00</t>
  </si>
  <si>
    <t>112.59%</t>
  </si>
  <si>
    <t>-22.14%</t>
  </si>
  <si>
    <t>Cytek BioSciences Inc</t>
  </si>
  <si>
    <t>62.62%</t>
  </si>
  <si>
    <t>2.37 - 7.63</t>
  </si>
  <si>
    <t>-88.08%</t>
  </si>
  <si>
    <t>C4 Therapeutics Inc</t>
  </si>
  <si>
    <t>65.80%</t>
  </si>
  <si>
    <t>-361.03%</t>
  </si>
  <si>
    <t>-325.88%</t>
  </si>
  <si>
    <t>-21.34%</t>
  </si>
  <si>
    <t>-69.54%</t>
  </si>
  <si>
    <t>1.09 - 7.14</t>
  </si>
  <si>
    <t>-95.75%</t>
  </si>
  <si>
    <t>105.20%</t>
  </si>
  <si>
    <t>LM Funding America Inc</t>
  </si>
  <si>
    <t>-50.52%</t>
  </si>
  <si>
    <t>-55.91%</t>
  </si>
  <si>
    <t>-95.12%</t>
  </si>
  <si>
    <t>-196.61%</t>
  </si>
  <si>
    <t>-40.91%</t>
  </si>
  <si>
    <t>-78.79%</t>
  </si>
  <si>
    <t>1.02 - 5.14</t>
  </si>
  <si>
    <t>-52.81%</t>
  </si>
  <si>
    <t>-57.92%</t>
  </si>
  <si>
    <t>Inspire Medical Systems Inc</t>
  </si>
  <si>
    <t>122.88%</t>
  </si>
  <si>
    <t>106.55%</t>
  </si>
  <si>
    <t>84.47%</t>
  </si>
  <si>
    <t>-41.61%</t>
  </si>
  <si>
    <t>-63.79%</t>
  </si>
  <si>
    <t>73.92 - 216.01</t>
  </si>
  <si>
    <t>-76.30%</t>
  </si>
  <si>
    <t>247.61%</t>
  </si>
  <si>
    <t>Texas Roadhouse Inc</t>
  </si>
  <si>
    <t>95.82%</t>
  </si>
  <si>
    <t>-21.20%</t>
  </si>
  <si>
    <t>148.73 - 206.04</t>
  </si>
  <si>
    <t>3893.10%</t>
  </si>
  <si>
    <t>GameSquare Holdings Inc</t>
  </si>
  <si>
    <t>48.38%</t>
  </si>
  <si>
    <t>65.88%</t>
  </si>
  <si>
    <t>86.89%</t>
  </si>
  <si>
    <t>-44.55%</t>
  </si>
  <si>
    <t>-46.12%</t>
  </si>
  <si>
    <t>-76.78%</t>
  </si>
  <si>
    <t>0.50 - 2.87</t>
  </si>
  <si>
    <t>The Real Brokerage Inc</t>
  </si>
  <si>
    <t>140.40%</t>
  </si>
  <si>
    <t>-31.39%</t>
  </si>
  <si>
    <t>3.80 - 6.61</t>
  </si>
  <si>
    <t>-32.81%</t>
  </si>
  <si>
    <t>1544.31%</t>
  </si>
  <si>
    <t>Target Corp</t>
  </si>
  <si>
    <t>86.30 - 161.50</t>
  </si>
  <si>
    <t>-67.24%</t>
  </si>
  <si>
    <t>4818.05%</t>
  </si>
  <si>
    <t>-43.58%</t>
  </si>
  <si>
    <t>CCC Intelligent Solutions Holdings Inc</t>
  </si>
  <si>
    <t>8.14 - 12.88</t>
  </si>
  <si>
    <t>Maplebear Inc</t>
  </si>
  <si>
    <t>35.14 - 53.50</t>
  </si>
  <si>
    <t>Legend Biotech Corp ADR</t>
  </si>
  <si>
    <t>-199.56%</t>
  </si>
  <si>
    <t>27.34 - 51.77</t>
  </si>
  <si>
    <t>Cigna Group</t>
  </si>
  <si>
    <t>168.67%</t>
  </si>
  <si>
    <t>256.89 - 358.88</t>
  </si>
  <si>
    <t>9411.17%</t>
  </si>
  <si>
    <t>Grocery Outlet Holding Corp</t>
  </si>
  <si>
    <t>119.99%</t>
  </si>
  <si>
    <t>-27.68%</t>
  </si>
  <si>
    <t>10.26 - 21.67</t>
  </si>
  <si>
    <t>-67.93%</t>
  </si>
  <si>
    <t>Origin Materials Inc</t>
  </si>
  <si>
    <t>-37.39%</t>
  </si>
  <si>
    <t>-224.45%</t>
  </si>
  <si>
    <t>-312.11%</t>
  </si>
  <si>
    <t>-70.32%</t>
  </si>
  <si>
    <t>0.40 - 1.69</t>
  </si>
  <si>
    <t>-69.41%</t>
  </si>
  <si>
    <t>Core &amp; Main Inc</t>
  </si>
  <si>
    <t>-60.90%</t>
  </si>
  <si>
    <t>110.57%</t>
  </si>
  <si>
    <t>41.60 - 67.18</t>
  </si>
  <si>
    <t>175.20%</t>
  </si>
  <si>
    <t>Pinnacle West Capital Corp</t>
  </si>
  <si>
    <t>81.47 - 96.50</t>
  </si>
  <si>
    <t>1623.80%</t>
  </si>
  <si>
    <t>Smithfield Foods, Inc</t>
  </si>
  <si>
    <t>18.43 - 26.07</t>
  </si>
  <si>
    <t>Dollar General Corp</t>
  </si>
  <si>
    <t>53.76%</t>
  </si>
  <si>
    <t>66.43 - 117.95</t>
  </si>
  <si>
    <t>-61.04%</t>
  </si>
  <si>
    <t>379.55%</t>
  </si>
  <si>
    <t>Hilton Grand Vacations Inc</t>
  </si>
  <si>
    <t>-36.02%</t>
  </si>
  <si>
    <t>-33.14%</t>
  </si>
  <si>
    <t>56.35%</t>
  </si>
  <si>
    <t>41.26%</t>
  </si>
  <si>
    <t>30.59 - 52.08</t>
  </si>
  <si>
    <t>421.88%</t>
  </si>
  <si>
    <t>Kairos Pharma Ltd</t>
  </si>
  <si>
    <t>-66.62%</t>
  </si>
  <si>
    <t>171.25%</t>
  </si>
  <si>
    <t>0.40 - 3.25</t>
  </si>
  <si>
    <t>-72.87%</t>
  </si>
  <si>
    <t>Mastercard Incorporated</t>
  </si>
  <si>
    <t>96.65%</t>
  </si>
  <si>
    <t>58.78%</t>
  </si>
  <si>
    <t>44.92%</t>
  </si>
  <si>
    <t>465.59 - 601.77</t>
  </si>
  <si>
    <t>13968.66%</t>
  </si>
  <si>
    <t>DraftKings Inc</t>
  </si>
  <si>
    <t>71.28%</t>
  </si>
  <si>
    <t>29.64 - 53.61</t>
  </si>
  <si>
    <t>340.42%</t>
  </si>
  <si>
    <t>Block Inc</t>
  </si>
  <si>
    <t>139.66%</t>
  </si>
  <si>
    <t>44.27 - 99.26</t>
  </si>
  <si>
    <t>793.33%</t>
  </si>
  <si>
    <t>Leggett &amp; Platt, Inc</t>
  </si>
  <si>
    <t>-28.37%</t>
  </si>
  <si>
    <t>84.31%</t>
  </si>
  <si>
    <t>-17.12%</t>
  </si>
  <si>
    <t>-38.29%</t>
  </si>
  <si>
    <t>6.47 - 14.23</t>
  </si>
  <si>
    <t>580.13%</t>
  </si>
  <si>
    <t>-35.97%</t>
  </si>
  <si>
    <t>Independence Realty Trust Inc</t>
  </si>
  <si>
    <t>367.39%</t>
  </si>
  <si>
    <t>100.56%</t>
  </si>
  <si>
    <t>16.43 - 22.10</t>
  </si>
  <si>
    <t>203.29%</t>
  </si>
  <si>
    <t>Meritage Homes Corp</t>
  </si>
  <si>
    <t>177.78%</t>
  </si>
  <si>
    <t>101.75%</t>
  </si>
  <si>
    <t>-30.91%</t>
  </si>
  <si>
    <t>59.27 - 103.76</t>
  </si>
  <si>
    <t>25391.56%</t>
  </si>
  <si>
    <t>Lineage Inc</t>
  </si>
  <si>
    <t>-54.46%</t>
  </si>
  <si>
    <t>-52.60%</t>
  </si>
  <si>
    <t>36.66 - 80.69</t>
  </si>
  <si>
    <t>-36.13%</t>
  </si>
  <si>
    <t>Apple Hospitality REIT Inc</t>
  </si>
  <si>
    <t>188.45%</t>
  </si>
  <si>
    <t>108.19%</t>
  </si>
  <si>
    <t>120.11%</t>
  </si>
  <si>
    <t>86.77%</t>
  </si>
  <si>
    <t>10.44 - 16.45</t>
  </si>
  <si>
    <t>171.48%</t>
  </si>
  <si>
    <t>Sabre Corp</t>
  </si>
  <si>
    <t>-166.67%</t>
  </si>
  <si>
    <t>-46.13%</t>
  </si>
  <si>
    <t>1.69 - 4.63</t>
  </si>
  <si>
    <t>-44.18%</t>
  </si>
  <si>
    <t>KBR Inc</t>
  </si>
  <si>
    <t>144.27%</t>
  </si>
  <si>
    <t>100.32%</t>
  </si>
  <si>
    <t>43.89 - 72.60</t>
  </si>
  <si>
    <t>379.81%</t>
  </si>
  <si>
    <t>Viatris Inc</t>
  </si>
  <si>
    <t>83.01%</t>
  </si>
  <si>
    <t>6.85 - 13.55</t>
  </si>
  <si>
    <t>-87.58%</t>
  </si>
  <si>
    <t>2889.92%</t>
  </si>
  <si>
    <t>Hilton Worldwide Holdings Inc</t>
  </si>
  <si>
    <t>61.06%</t>
  </si>
  <si>
    <t>196.04 - 279.80</t>
  </si>
  <si>
    <t>689.13%</t>
  </si>
  <si>
    <t>Floor &amp; Decor Holdings Inc</t>
  </si>
  <si>
    <t>107.62%</t>
  </si>
  <si>
    <t>-16.52%</t>
  </si>
  <si>
    <t>66.01 - 124.68</t>
  </si>
  <si>
    <t>231.14%</t>
  </si>
  <si>
    <t>Mister Car Wash Inc</t>
  </si>
  <si>
    <t>133.07%</t>
  </si>
  <si>
    <t>62.88%</t>
  </si>
  <si>
    <t>5.26 - 8.60</t>
  </si>
  <si>
    <t>-78.22%</t>
  </si>
  <si>
    <t>-34.79%</t>
  </si>
  <si>
    <t>Flutter Entertainment Plc</t>
  </si>
  <si>
    <t>99.52%</t>
  </si>
  <si>
    <t>196.88 - 313.68</t>
  </si>
  <si>
    <t>2760.43%</t>
  </si>
  <si>
    <t>Iovance Biotherapeutics Inc</t>
  </si>
  <si>
    <t>636.99%</t>
  </si>
  <si>
    <t>-170.02%</t>
  </si>
  <si>
    <t>-161.44%</t>
  </si>
  <si>
    <t>-45.11%</t>
  </si>
  <si>
    <t>-53.46%</t>
  </si>
  <si>
    <t>-83.89%</t>
  </si>
  <si>
    <t>1.64 - 12.51</t>
  </si>
  <si>
    <t>-44.49%</t>
  </si>
  <si>
    <t>Pfizer Inc</t>
  </si>
  <si>
    <t>66.75%</t>
  </si>
  <si>
    <t>20.92 - 30.43</t>
  </si>
  <si>
    <t>1940.79%</t>
  </si>
  <si>
    <t>Adma Biologics Inc</t>
  </si>
  <si>
    <t>30.82%</t>
  </si>
  <si>
    <t>74.01%</t>
  </si>
  <si>
    <t>13.50 - 25.67</t>
  </si>
  <si>
    <t>1432.18%</t>
  </si>
  <si>
    <t>Sensata Technologies Holding Plc</t>
  </si>
  <si>
    <t>-28.11%</t>
  </si>
  <si>
    <t>72.92%</t>
  </si>
  <si>
    <t>17.32 - 37.40</t>
  </si>
  <si>
    <t>Aspire Biopharma Holdings Inc</t>
  </si>
  <si>
    <t>-88.26%</t>
  </si>
  <si>
    <t>0.22 - 15.80</t>
  </si>
  <si>
    <t>-42.73%</t>
  </si>
  <si>
    <t>-96.64%</t>
  </si>
  <si>
    <t>Movano Inc</t>
  </si>
  <si>
    <t>-414.04%</t>
  </si>
  <si>
    <t>-4376.38%</t>
  </si>
  <si>
    <t>-4302.13%</t>
  </si>
  <si>
    <t>-75.86%</t>
  </si>
  <si>
    <t>-58.66%</t>
  </si>
  <si>
    <t>-92.23%</t>
  </si>
  <si>
    <t>0.51 - 6.97</t>
  </si>
  <si>
    <t>-21.71%</t>
  </si>
  <si>
    <t>-73.01%</t>
  </si>
  <si>
    <t>-89.80%</t>
  </si>
  <si>
    <t>RXO Inc</t>
  </si>
  <si>
    <t>49.81%</t>
  </si>
  <si>
    <t>12.19 - 31.98</t>
  </si>
  <si>
    <t>-54.84%</t>
  </si>
  <si>
    <t>-45.31%</t>
  </si>
  <si>
    <t>SELLAS Life Sciences Group Inc</t>
  </si>
  <si>
    <t>3/24/2011</t>
  </si>
  <si>
    <t>-21.14%</t>
  </si>
  <si>
    <t>-30.15%</t>
  </si>
  <si>
    <t>0.77 - 2.27</t>
  </si>
  <si>
    <t>217.89%</t>
  </si>
  <si>
    <t>Bellring Brands Inc</t>
  </si>
  <si>
    <t>-54.90%</t>
  </si>
  <si>
    <t>34.02 - 80.67</t>
  </si>
  <si>
    <t>Sui Group Holdings Ltd</t>
  </si>
  <si>
    <t>-39.95%</t>
  </si>
  <si>
    <t>92.24%</t>
  </si>
  <si>
    <t>-55.20%</t>
  </si>
  <si>
    <t>125.58%</t>
  </si>
  <si>
    <t>243.36%</t>
  </si>
  <si>
    <t>1.13 - 8.66</t>
  </si>
  <si>
    <t>-74.37%</t>
  </si>
  <si>
    <t>886.58%</t>
  </si>
  <si>
    <t>112.02%</t>
  </si>
  <si>
    <t>Avantor Inc</t>
  </si>
  <si>
    <t>103.52%</t>
  </si>
  <si>
    <t>10.82 - 26.59</t>
  </si>
  <si>
    <t>-73.35%</t>
  </si>
  <si>
    <t>Amazon.com Inc</t>
  </si>
  <si>
    <t>161.38 - 242.52</t>
  </si>
  <si>
    <t>333964.77%</t>
  </si>
  <si>
    <t>Hasbro, Inc</t>
  </si>
  <si>
    <t>67.18%</t>
  </si>
  <si>
    <t>49.00 - 82.19</t>
  </si>
  <si>
    <t>-41.27%</t>
  </si>
  <si>
    <t>5887.41%</t>
  </si>
  <si>
    <t>KKR &amp; Co. Inc</t>
  </si>
  <si>
    <t>-24.62%</t>
  </si>
  <si>
    <t>86.15 - 170.40</t>
  </si>
  <si>
    <t>1590.00%</t>
  </si>
  <si>
    <t>Cardiff Oncology Inc</t>
  </si>
  <si>
    <t>-25.77%</t>
  </si>
  <si>
    <t>-9950.92%</t>
  </si>
  <si>
    <t>-9348.53%</t>
  </si>
  <si>
    <t>-55.98%</t>
  </si>
  <si>
    <t>-64.45%</t>
  </si>
  <si>
    <t>1.90 - 5.64</t>
  </si>
  <si>
    <t>186.02%</t>
  </si>
  <si>
    <t>Hillman Solutions Corp</t>
  </si>
  <si>
    <t>6.55 - 12.08</t>
  </si>
  <si>
    <t>-32.62%</t>
  </si>
  <si>
    <t>UDR Inc</t>
  </si>
  <si>
    <t>662.25%</t>
  </si>
  <si>
    <t>101.51%</t>
  </si>
  <si>
    <t>-10.38%</t>
  </si>
  <si>
    <t>36.61 - 46.62</t>
  </si>
  <si>
    <t>-38.91%</t>
  </si>
  <si>
    <t>813.30%</t>
  </si>
  <si>
    <t>Beauty Health Company</t>
  </si>
  <si>
    <t>-48.09%</t>
  </si>
  <si>
    <t>402.46%</t>
  </si>
  <si>
    <t>61.50%</t>
  </si>
  <si>
    <t>148.08%</t>
  </si>
  <si>
    <t>0.78 - 2.69</t>
  </si>
  <si>
    <t>-93.59%</t>
  </si>
  <si>
    <t>Sharps Technology Inc</t>
  </si>
  <si>
    <t>-758.23%</t>
  </si>
  <si>
    <t>-4094.66%</t>
  </si>
  <si>
    <t>-324.78%</t>
  </si>
  <si>
    <t>-94.44%</t>
  </si>
  <si>
    <t>-63.69%</t>
  </si>
  <si>
    <t>-99.47%</t>
  </si>
  <si>
    <t>97.02%</t>
  </si>
  <si>
    <t>3.36 - 1248.27</t>
  </si>
  <si>
    <t>-85.55%</t>
  </si>
  <si>
    <t>Brown-Forman Corp</t>
  </si>
  <si>
    <t>12/8/2010</t>
  </si>
  <si>
    <t>42.19%</t>
  </si>
  <si>
    <t>58.93%</t>
  </si>
  <si>
    <t>25.53 - 49.89</t>
  </si>
  <si>
    <t>-67.27%</t>
  </si>
  <si>
    <t>5479.30%</t>
  </si>
  <si>
    <t>-42.59%</t>
  </si>
  <si>
    <t>Deere &amp; Co</t>
  </si>
  <si>
    <t>39.89%</t>
  </si>
  <si>
    <t>387.03 - 533.78</t>
  </si>
  <si>
    <t>12896.91%</t>
  </si>
  <si>
    <t>AIRO Group Holdings Inc</t>
  </si>
  <si>
    <t>-263.02%</t>
  </si>
  <si>
    <t>-157.74%</t>
  </si>
  <si>
    <t>78.68%</t>
  </si>
  <si>
    <t>214.47%</t>
  </si>
  <si>
    <t>12.90 - 39.07</t>
  </si>
  <si>
    <t>Wyndham Hotels &amp; Resorts Inc</t>
  </si>
  <si>
    <t>102.24%</t>
  </si>
  <si>
    <t>76.65 - 113.07</t>
  </si>
  <si>
    <t>462.52%</t>
  </si>
  <si>
    <t>AEye Inc</t>
  </si>
  <si>
    <t>-505.63%</t>
  </si>
  <si>
    <t>-59.35%</t>
  </si>
  <si>
    <t>-136.86%</t>
  </si>
  <si>
    <t>-13913.98%</t>
  </si>
  <si>
    <t>-14635.59%</t>
  </si>
  <si>
    <t>-63.51%</t>
  </si>
  <si>
    <t>130.39%</t>
  </si>
  <si>
    <t>379.79%</t>
  </si>
  <si>
    <t>0.49 - 6.44</t>
  </si>
  <si>
    <t>162.45%</t>
  </si>
  <si>
    <t>254.08%</t>
  </si>
  <si>
    <t>MFA Financial Inc</t>
  </si>
  <si>
    <t>-32.27%</t>
  </si>
  <si>
    <t>94.63%</t>
  </si>
  <si>
    <t>89.13%</t>
  </si>
  <si>
    <t>7.85 - 13.06</t>
  </si>
  <si>
    <t>648.05%</t>
  </si>
  <si>
    <t>Element Solutions Inc</t>
  </si>
  <si>
    <t>16.77 - 29.78</t>
  </si>
  <si>
    <t>370.48%</t>
  </si>
  <si>
    <t>Bath &amp; Body Works Inc</t>
  </si>
  <si>
    <t>100.87%</t>
  </si>
  <si>
    <t>44.57%</t>
  </si>
  <si>
    <t>-22.99%</t>
  </si>
  <si>
    <t>24.93 - 41.87</t>
  </si>
  <si>
    <t>-68.38%</t>
  </si>
  <si>
    <t>3977.12%</t>
  </si>
  <si>
    <t>Envista Holdings Corp</t>
  </si>
  <si>
    <t>117.94%</t>
  </si>
  <si>
    <t>14.22 - 23.00</t>
  </si>
  <si>
    <t>-61.52%</t>
  </si>
  <si>
    <t>Agilon Health Inc</t>
  </si>
  <si>
    <t>50.14%</t>
  </si>
  <si>
    <t>-128.94%</t>
  </si>
  <si>
    <t>69.43%</t>
  </si>
  <si>
    <t>-52.40%</t>
  </si>
  <si>
    <t>-82.07%</t>
  </si>
  <si>
    <t>0.71 - 6.08</t>
  </si>
  <si>
    <t>-97.57%</t>
  </si>
  <si>
    <t>-76.36%</t>
  </si>
  <si>
    <t>-71.76%</t>
  </si>
  <si>
    <t>Heron Therapeutics Inc</t>
  </si>
  <si>
    <t>65.87%</t>
  </si>
  <si>
    <t>233.60%</t>
  </si>
  <si>
    <t>74.61%</t>
  </si>
  <si>
    <t>-54.10%</t>
  </si>
  <si>
    <t>1.04 - 2.68</t>
  </si>
  <si>
    <t>146.00%</t>
  </si>
  <si>
    <t>-37.24%</t>
  </si>
  <si>
    <t>Godaddy Inc</t>
  </si>
  <si>
    <t>21.77%</t>
  </si>
  <si>
    <t>132.51 - 216.00</t>
  </si>
  <si>
    <t>570.60%</t>
  </si>
  <si>
    <t>Starbucks Corp</t>
  </si>
  <si>
    <t>-16.03%</t>
  </si>
  <si>
    <t>75.50 - 117.46</t>
  </si>
  <si>
    <t>-34.26%</t>
  </si>
  <si>
    <t>25824.68%</t>
  </si>
  <si>
    <t>Hudson Pacific Properties Inc</t>
  </si>
  <si>
    <t>6/17/2024</t>
  </si>
  <si>
    <t>-105.00%</t>
  </si>
  <si>
    <t>111.40%</t>
  </si>
  <si>
    <t>47.19%</t>
  </si>
  <si>
    <t>1.78 - 5.02</t>
  </si>
  <si>
    <t>-92.77%</t>
  </si>
  <si>
    <t>-46.31%</t>
  </si>
  <si>
    <t>Conagra Brands Inc</t>
  </si>
  <si>
    <t>18.07 - 32.90</t>
  </si>
  <si>
    <t>-56.32%</t>
  </si>
  <si>
    <t>966.08%</t>
  </si>
  <si>
    <t>Zillow Group Inc</t>
  </si>
  <si>
    <t>57.00 - 93.88</t>
  </si>
  <si>
    <t>413.35%</t>
  </si>
  <si>
    <t>Coty Inc</t>
  </si>
  <si>
    <t>-467.65%</t>
  </si>
  <si>
    <t>-58.95%</t>
  </si>
  <si>
    <t>3.67 - 9.70</t>
  </si>
  <si>
    <t>-57.14%</t>
  </si>
  <si>
    <t>Biomarin Pharmaceutical Inc</t>
  </si>
  <si>
    <t>78.76%</t>
  </si>
  <si>
    <t>52.47 - 73.51</t>
  </si>
  <si>
    <t>-64.95%</t>
  </si>
  <si>
    <t>1389.85%</t>
  </si>
  <si>
    <t>Honest Company Inc</t>
  </si>
  <si>
    <t>61.05%</t>
  </si>
  <si>
    <t>-26.00%</t>
  </si>
  <si>
    <t>3.32 - 8.97</t>
  </si>
  <si>
    <t>-84.23%</t>
  </si>
  <si>
    <t>255.19%</t>
  </si>
  <si>
    <t>Kimco Realty Corporation</t>
  </si>
  <si>
    <t>175.60%</t>
  </si>
  <si>
    <t>95.92%</t>
  </si>
  <si>
    <t>17.93 - 25.75</t>
  </si>
  <si>
    <t>-58.87%</t>
  </si>
  <si>
    <t>415.39%</t>
  </si>
  <si>
    <t>Ncino Inc</t>
  </si>
  <si>
    <t>-34.03%</t>
  </si>
  <si>
    <t>111.78%</t>
  </si>
  <si>
    <t>18.75 - 43.20</t>
  </si>
  <si>
    <t>-72.95%</t>
  </si>
  <si>
    <t>Lantheus Holdings Inc</t>
  </si>
  <si>
    <t>-32.17%</t>
  </si>
  <si>
    <t>47.25 - 118.21</t>
  </si>
  <si>
    <t>2789.69%</t>
  </si>
  <si>
    <t>-47.59%</t>
  </si>
  <si>
    <t>-54.49%</t>
  </si>
  <si>
    <t>Ball Corp</t>
  </si>
  <si>
    <t>43.51 - 68.12</t>
  </si>
  <si>
    <t>-51.98%</t>
  </si>
  <si>
    <t>7052.28%</t>
  </si>
  <si>
    <t>Six Flags Entertainment Corp</t>
  </si>
  <si>
    <t>-216.64%</t>
  </si>
  <si>
    <t>101.05%</t>
  </si>
  <si>
    <t>-56.65%</t>
  </si>
  <si>
    <t>20.79 - 49.77</t>
  </si>
  <si>
    <t>650.36%</t>
  </si>
  <si>
    <t>-47.02%</t>
  </si>
  <si>
    <t>Upexi Inc</t>
  </si>
  <si>
    <t>-11.83%</t>
  </si>
  <si>
    <t>-70.31%</t>
  </si>
  <si>
    <t>-81.43%</t>
  </si>
  <si>
    <t>-86.55%</t>
  </si>
  <si>
    <t>1.90 - 22.57</t>
  </si>
  <si>
    <t>98.46%</t>
  </si>
  <si>
    <t>118.64%</t>
  </si>
  <si>
    <t>Weyerhaeuser Co</t>
  </si>
  <si>
    <t>147.28%</t>
  </si>
  <si>
    <t>-29.02%</t>
  </si>
  <si>
    <t>23.98 - 34.03</t>
  </si>
  <si>
    <t>-41.88%</t>
  </si>
  <si>
    <t>293.95%</t>
  </si>
  <si>
    <t>McCormick &amp; Co., Inc</t>
  </si>
  <si>
    <t>63.66 - 86.24</t>
  </si>
  <si>
    <t>7946.66%</t>
  </si>
  <si>
    <t>-21.85%</t>
  </si>
  <si>
    <t>Allegro Microsystems Inc</t>
  </si>
  <si>
    <t>16.38 - 38.45</t>
  </si>
  <si>
    <t>-44.11%</t>
  </si>
  <si>
    <t>Globus Medical Inc</t>
  </si>
  <si>
    <t>-19.65%</t>
  </si>
  <si>
    <t>51.79 - 94.93</t>
  </si>
  <si>
    <t>442.30%</t>
  </si>
  <si>
    <t>-21.62%</t>
  </si>
  <si>
    <t>Walt Disney Co</t>
  </si>
  <si>
    <t>6/24/2025</t>
  </si>
  <si>
    <t>-15.68%</t>
  </si>
  <si>
    <t>73.83%</t>
  </si>
  <si>
    <t>41.30%</t>
  </si>
  <si>
    <t>80.10 - 124.69</t>
  </si>
  <si>
    <t>-44.25%</t>
  </si>
  <si>
    <t>12067.60%</t>
  </si>
  <si>
    <t>BIT Mining Ltd ADR</t>
  </si>
  <si>
    <t>-70.84%</t>
  </si>
  <si>
    <t>-87.98%</t>
  </si>
  <si>
    <t>105.72%</t>
  </si>
  <si>
    <t>1.22 - 8.07</t>
  </si>
  <si>
    <t>Hayward Holdings Inc</t>
  </si>
  <si>
    <t>200.16%</t>
  </si>
  <si>
    <t>48.35%</t>
  </si>
  <si>
    <t>11.10 - 16.87</t>
  </si>
  <si>
    <t>TransUnion</t>
  </si>
  <si>
    <t>66.38 - 113.17</t>
  </si>
  <si>
    <t>315.86%</t>
  </si>
  <si>
    <t>US Foods Holding Corp</t>
  </si>
  <si>
    <t>104.04%</t>
  </si>
  <si>
    <t>57.36 - 85.11</t>
  </si>
  <si>
    <t>818.66%</t>
  </si>
  <si>
    <t>Catalyst Pharmaceuticals Inc</t>
  </si>
  <si>
    <t>19.05 - 26.58</t>
  </si>
  <si>
    <t>5105.41%</t>
  </si>
  <si>
    <t>Paramount Group Inc</t>
  </si>
  <si>
    <t>6/28/2024</t>
  </si>
  <si>
    <t>-31.65%</t>
  </si>
  <si>
    <t>72.60%</t>
  </si>
  <si>
    <t>74.19%</t>
  </si>
  <si>
    <t>3.75 - 7.85</t>
  </si>
  <si>
    <t>53.34%</t>
  </si>
  <si>
    <t>Robert Half Inc</t>
  </si>
  <si>
    <t>86.81%</t>
  </si>
  <si>
    <t>-23.04%</t>
  </si>
  <si>
    <t>104.21%</t>
  </si>
  <si>
    <t>-56.87%</t>
  </si>
  <si>
    <t>33.18 - 78.41</t>
  </si>
  <si>
    <t>-73.11%</t>
  </si>
  <si>
    <t>8457.89%</t>
  </si>
  <si>
    <t>-50.26%</t>
  </si>
  <si>
    <t>Affirm Holdings Inc</t>
  </si>
  <si>
    <t>147.30%</t>
  </si>
  <si>
    <t>61.94%</t>
  </si>
  <si>
    <t>71.70%</t>
  </si>
  <si>
    <t>144.62%</t>
  </si>
  <si>
    <t>30.90 - 100.00</t>
  </si>
  <si>
    <t>-57.21%</t>
  </si>
  <si>
    <t>776.91%</t>
  </si>
  <si>
    <t>Olaplex Holdings Inc</t>
  </si>
  <si>
    <t>-52.26%</t>
  </si>
  <si>
    <t>58.63%</t>
  </si>
  <si>
    <t>-45.51%</t>
  </si>
  <si>
    <t>1.01 - 2.46</t>
  </si>
  <si>
    <t>-95.59%</t>
  </si>
  <si>
    <t>Allied Gaming &amp; Entertainment Inc</t>
  </si>
  <si>
    <t>-203.02%</t>
  </si>
  <si>
    <t>-253.21%</t>
  </si>
  <si>
    <t>-30.20%</t>
  </si>
  <si>
    <t>-33.43%</t>
  </si>
  <si>
    <t>-58.77%</t>
  </si>
  <si>
    <t>-75.20%</t>
  </si>
  <si>
    <t>0.70 - 3.79</t>
  </si>
  <si>
    <t>-92.24%</t>
  </si>
  <si>
    <t>135.03%</t>
  </si>
  <si>
    <t>-70.16%</t>
  </si>
  <si>
    <t>-15.31%</t>
  </si>
  <si>
    <t>Replimune Group Inc</t>
  </si>
  <si>
    <t>-14.85%</t>
  </si>
  <si>
    <t>-23.73%</t>
  </si>
  <si>
    <t>-68.62%</t>
  </si>
  <si>
    <t>55.04%</t>
  </si>
  <si>
    <t>2.68 - 17.00</t>
  </si>
  <si>
    <t>-60.24%</t>
  </si>
  <si>
    <t>-62.47%</t>
  </si>
  <si>
    <t>Masco Corp</t>
  </si>
  <si>
    <t>97.42%</t>
  </si>
  <si>
    <t>56.55 - 86.70</t>
  </si>
  <si>
    <t>2088.54%</t>
  </si>
  <si>
    <t>VYNE Therapeutics Inc</t>
  </si>
  <si>
    <t>-8949.58%</t>
  </si>
  <si>
    <t>-8097.69%</t>
  </si>
  <si>
    <t>-33.95%</t>
  </si>
  <si>
    <t>-79.35%</t>
  </si>
  <si>
    <t>-79.71%</t>
  </si>
  <si>
    <t>0.28 - 4.30</t>
  </si>
  <si>
    <t>-77.21%</t>
  </si>
  <si>
    <t>-82.41%</t>
  </si>
  <si>
    <t>Redwood Trust Inc</t>
  </si>
  <si>
    <t>207.82%</t>
  </si>
  <si>
    <t>-48.59%</t>
  </si>
  <si>
    <t>-26.10%</t>
  </si>
  <si>
    <t>31.71%</t>
  </si>
  <si>
    <t>-557.56%</t>
  </si>
  <si>
    <t>80.63%</t>
  </si>
  <si>
    <t>4.68 - 7.79</t>
  </si>
  <si>
    <t>-90.26%</t>
  </si>
  <si>
    <t>185.72%</t>
  </si>
  <si>
    <t>United Airlines Holdings Inc</t>
  </si>
  <si>
    <t>1/7/2008</t>
  </si>
  <si>
    <t>89.88%</t>
  </si>
  <si>
    <t>52.00 - 116.00</t>
  </si>
  <si>
    <t>3426.25%</t>
  </si>
  <si>
    <t>84.10%</t>
  </si>
  <si>
    <t>Herbalife Ltd</t>
  </si>
  <si>
    <t>2/28/2014</t>
  </si>
  <si>
    <t>75.10%</t>
  </si>
  <si>
    <t>5.04 - 10.83</t>
  </si>
  <si>
    <t>191.25%</t>
  </si>
  <si>
    <t>UroGen Pharma Ltd</t>
  </si>
  <si>
    <t>449.77%</t>
  </si>
  <si>
    <t>92.32%</t>
  </si>
  <si>
    <t>-131.12%</t>
  </si>
  <si>
    <t>-164.44%</t>
  </si>
  <si>
    <t>403.97%</t>
  </si>
  <si>
    <t>3.42 - 21.71</t>
  </si>
  <si>
    <t>-75.22%</t>
  </si>
  <si>
    <t>50.53%</t>
  </si>
  <si>
    <t>American Water Works Co. Inc</t>
  </si>
  <si>
    <t>118.74 - 155.50</t>
  </si>
  <si>
    <t>738.93%</t>
  </si>
  <si>
    <t>Vital Farms Inc</t>
  </si>
  <si>
    <t>37.29%</t>
  </si>
  <si>
    <t>53.03%</t>
  </si>
  <si>
    <t>27.91 - 53.12</t>
  </si>
  <si>
    <t>441.32%</t>
  </si>
  <si>
    <t>J.B. Hunt Transport Services, Inc</t>
  </si>
  <si>
    <t>-33.42%</t>
  </si>
  <si>
    <t>122.79 - 200.40</t>
  </si>
  <si>
    <t>9603.28%</t>
  </si>
  <si>
    <t>Henry Schein Inc</t>
  </si>
  <si>
    <t>60.56 - 82.49</t>
  </si>
  <si>
    <t>3135.66%</t>
  </si>
  <si>
    <t>Payoneer Global Inc</t>
  </si>
  <si>
    <t>-43.93%</t>
  </si>
  <si>
    <t>5.71 - 11.29</t>
  </si>
  <si>
    <t>-56.34%</t>
  </si>
  <si>
    <t>EpicQuest Education Group International Limited</t>
  </si>
  <si>
    <t>-65.75%</t>
  </si>
  <si>
    <t>-55.77%</t>
  </si>
  <si>
    <t>-43.44%</t>
  </si>
  <si>
    <t>-75.87%</t>
  </si>
  <si>
    <t>0.40 - 1.74</t>
  </si>
  <si>
    <t>Zimmer Biomet Holdings Inc</t>
  </si>
  <si>
    <t>89.22 - 114.72</t>
  </si>
  <si>
    <t>-43.98%</t>
  </si>
  <si>
    <t>309.07%</t>
  </si>
  <si>
    <t>Simmons First National Corp</t>
  </si>
  <si>
    <t>69.38%</t>
  </si>
  <si>
    <t>64.97%</t>
  </si>
  <si>
    <t>17.20 - 25.95</t>
  </si>
  <si>
    <t>-41.45%</t>
  </si>
  <si>
    <t>1804.12%</t>
  </si>
  <si>
    <t>CBRE Group Inc</t>
  </si>
  <si>
    <t>108.45 - 167.56</t>
  </si>
  <si>
    <t>6574.79%</t>
  </si>
  <si>
    <t>T-Mobile US Inc</t>
  </si>
  <si>
    <t>11/26/2025</t>
  </si>
  <si>
    <t>335.38%</t>
  </si>
  <si>
    <t>37.19%</t>
  </si>
  <si>
    <t>201.82 - 276.49</t>
  </si>
  <si>
    <t>3189.59%</t>
  </si>
  <si>
    <t>Blue Owl Capital Inc</t>
  </si>
  <si>
    <t>346.59%</t>
  </si>
  <si>
    <t>74.10%</t>
  </si>
  <si>
    <t>89.28%</t>
  </si>
  <si>
    <t>-33.77%</t>
  </si>
  <si>
    <t>14.55 - 26.73</t>
  </si>
  <si>
    <t>119.74%</t>
  </si>
  <si>
    <t>IQVIA Holdings Inc</t>
  </si>
  <si>
    <t>134.65 - 237.34</t>
  </si>
  <si>
    <t>344.74%</t>
  </si>
  <si>
    <t>Eve Holding Inc</t>
  </si>
  <si>
    <t>-79.36%</t>
  </si>
  <si>
    <t>-49.58%</t>
  </si>
  <si>
    <t>2.61 - 7.70</t>
  </si>
  <si>
    <t>-74.04%</t>
  </si>
  <si>
    <t>-41.98%</t>
  </si>
  <si>
    <t>Freshworks Inc</t>
  </si>
  <si>
    <t>68.75%</t>
  </si>
  <si>
    <t>32.10%</t>
  </si>
  <si>
    <t>56.79%</t>
  </si>
  <si>
    <t>55.42%</t>
  </si>
  <si>
    <t>84.33%</t>
  </si>
  <si>
    <t>-37.08%</t>
  </si>
  <si>
    <t>10.81 - 19.77</t>
  </si>
  <si>
    <t>Procept BioRobotics Corp</t>
  </si>
  <si>
    <t>86.74%</t>
  </si>
  <si>
    <t>105.21%</t>
  </si>
  <si>
    <t>-37.53%</t>
  </si>
  <si>
    <t>-40.62%</t>
  </si>
  <si>
    <t>-64.44%</t>
  </si>
  <si>
    <t>35.53 - 103.81</t>
  </si>
  <si>
    <t>140.03%</t>
  </si>
  <si>
    <t>-53.45%</t>
  </si>
  <si>
    <t>AvePoint Inc</t>
  </si>
  <si>
    <t>97.88%</t>
  </si>
  <si>
    <t>11.43 - 20.25</t>
  </si>
  <si>
    <t>347.65%</t>
  </si>
  <si>
    <t>Sirius XM Holdings Inc</t>
  </si>
  <si>
    <t>294.38%</t>
  </si>
  <si>
    <t>-23.17%</t>
  </si>
  <si>
    <t>18.69 - 29.18</t>
  </si>
  <si>
    <t>4456.86%</t>
  </si>
  <si>
    <t>Aethlon Medical Inc</t>
  </si>
  <si>
    <t>-34.97%</t>
  </si>
  <si>
    <t>-72.70%</t>
  </si>
  <si>
    <t>24.65%</t>
  </si>
  <si>
    <t>0.60 - 8.44</t>
  </si>
  <si>
    <t>-40.17%</t>
  </si>
  <si>
    <t>-76.69%</t>
  </si>
  <si>
    <t>-78.39%</t>
  </si>
  <si>
    <t>Atlassian Corporation</t>
  </si>
  <si>
    <t>57.04%</t>
  </si>
  <si>
    <t>-25.57%</t>
  </si>
  <si>
    <t>155.37 - 326.00</t>
  </si>
  <si>
    <t>871.69%</t>
  </si>
  <si>
    <t>-26.15%</t>
  </si>
  <si>
    <t>Lamb Weston Holdings Inc</t>
  </si>
  <si>
    <t>47.87 - 83.98</t>
  </si>
  <si>
    <t>-54.67%</t>
  </si>
  <si>
    <t>SolarMax Technology Inc</t>
  </si>
  <si>
    <t>-59.00%</t>
  </si>
  <si>
    <t>-62.04%</t>
  </si>
  <si>
    <t>0.60 - 2.70</t>
  </si>
  <si>
    <t>-93.55%</t>
  </si>
  <si>
    <t>Royalty Pharma plc</t>
  </si>
  <si>
    <t>80.65%</t>
  </si>
  <si>
    <t>79.81%</t>
  </si>
  <si>
    <t>45.24%</t>
  </si>
  <si>
    <t>24.05 - 38.00</t>
  </si>
  <si>
    <t>CorMedix Inc</t>
  </si>
  <si>
    <t>14970.29%</t>
  </si>
  <si>
    <t>510.62%</t>
  </si>
  <si>
    <t>173.65%</t>
  </si>
  <si>
    <t>4829.40%</t>
  </si>
  <si>
    <t>44.08%</t>
  </si>
  <si>
    <t>5.60 - 17.43</t>
  </si>
  <si>
    <t>-78.19%</t>
  </si>
  <si>
    <t>1412.00%</t>
  </si>
  <si>
    <t>69.00%</t>
  </si>
  <si>
    <t>51.00%</t>
  </si>
  <si>
    <t>BioXcel Therapeutics Inc</t>
  </si>
  <si>
    <t>-63.88%</t>
  </si>
  <si>
    <t>-89.13%</t>
  </si>
  <si>
    <t>-179.72%</t>
  </si>
  <si>
    <t>-5655.41%</t>
  </si>
  <si>
    <t>-5869.82%</t>
  </si>
  <si>
    <t>111.27%</t>
  </si>
  <si>
    <t>-79.32%</t>
  </si>
  <si>
    <t>134.74%</t>
  </si>
  <si>
    <t>1.17 - 13.28</t>
  </si>
  <si>
    <t>-69.66%</t>
  </si>
  <si>
    <t>Rockwell Medical Inc</t>
  </si>
  <si>
    <t>81.27%</t>
  </si>
  <si>
    <t>66.71%</t>
  </si>
  <si>
    <t>-76.02%</t>
  </si>
  <si>
    <t>0.78 - 5.15</t>
  </si>
  <si>
    <t>55.91%</t>
  </si>
  <si>
    <t>Aptevo Therapeutics Inc</t>
  </si>
  <si>
    <t>80.96%</t>
  </si>
  <si>
    <t>83.99%</t>
  </si>
  <si>
    <t>-27.84%</t>
  </si>
  <si>
    <t>-95.55%</t>
  </si>
  <si>
    <t>-54.55%</t>
  </si>
  <si>
    <t>1.32 - 381.10</t>
  </si>
  <si>
    <t>-94.00%</t>
  </si>
  <si>
    <t>Becton Dickinson &amp; Co</t>
  </si>
  <si>
    <t>163.33 - 251.99</t>
  </si>
  <si>
    <t>9670.68%</t>
  </si>
  <si>
    <t>Autonomix Medical Inc</t>
  </si>
  <si>
    <t>-47.88%</t>
  </si>
  <si>
    <t>-60.98%</t>
  </si>
  <si>
    <t>-95.21%</t>
  </si>
  <si>
    <t>0.96 - 21.49</t>
  </si>
  <si>
    <t>-99.32%</t>
  </si>
  <si>
    <t>-48.75%</t>
  </si>
  <si>
    <t>-91.56%</t>
  </si>
  <si>
    <t>BGC Group Inc</t>
  </si>
  <si>
    <t>64.32%</t>
  </si>
  <si>
    <t>7.24 - 11.79</t>
  </si>
  <si>
    <t>987.99%</t>
  </si>
  <si>
    <t>Dynex Capital, Inc</t>
  </si>
  <si>
    <t>107.35%</t>
  </si>
  <si>
    <t>104.58%</t>
  </si>
  <si>
    <t>10.79 - 14.52</t>
  </si>
  <si>
    <t>-93.36%</t>
  </si>
  <si>
    <t>1099.55%</t>
  </si>
  <si>
    <t>Intensity Therapeutics Inc</t>
  </si>
  <si>
    <t>-24.73%</t>
  </si>
  <si>
    <t>-79.20%</t>
  </si>
  <si>
    <t>0.19 - 4.00</t>
  </si>
  <si>
    <t>-87.33%</t>
  </si>
  <si>
    <t>-93.73%</t>
  </si>
  <si>
    <t>Vishay Intertechnology, Inc</t>
  </si>
  <si>
    <t>-371.32%</t>
  </si>
  <si>
    <t>10.35 - 20.15</t>
  </si>
  <si>
    <t>1907.16%</t>
  </si>
  <si>
    <t>Anavex Life Sciences Corporation</t>
  </si>
  <si>
    <t>-38.45%</t>
  </si>
  <si>
    <t>-40.37%</t>
  </si>
  <si>
    <t>5.03 - 14.44</t>
  </si>
  <si>
    <t>-72.66%</t>
  </si>
  <si>
    <t>1335.15%</t>
  </si>
  <si>
    <t>Weave Communications Inc</t>
  </si>
  <si>
    <t>1328.57%</t>
  </si>
  <si>
    <t>6.75 - 17.63</t>
  </si>
  <si>
    <t>147.59%</t>
  </si>
  <si>
    <t>-37.13%</t>
  </si>
  <si>
    <t>-40.06%</t>
  </si>
  <si>
    <t>Bumble Inc</t>
  </si>
  <si>
    <t>-792.29%</t>
  </si>
  <si>
    <t>-63.46%</t>
  </si>
  <si>
    <t>-81.93%</t>
  </si>
  <si>
    <t>3.55 - 9.22</t>
  </si>
  <si>
    <t>Ellington Financial Inc</t>
  </si>
  <si>
    <t>80.68%</t>
  </si>
  <si>
    <t>11.12 - 14.40</t>
  </si>
  <si>
    <t>-48.81%</t>
  </si>
  <si>
    <t>321.58%</t>
  </si>
  <si>
    <t>Essential Properties Realty Trust Inc</t>
  </si>
  <si>
    <t>101.12%</t>
  </si>
  <si>
    <t>67.68%</t>
  </si>
  <si>
    <t>27.44 - 34.88</t>
  </si>
  <si>
    <t>387.42%</t>
  </si>
  <si>
    <t>Invesco Mortgage Capital Inc</t>
  </si>
  <si>
    <t>-51.53%</t>
  </si>
  <si>
    <t>107.63%</t>
  </si>
  <si>
    <t>107.76%</t>
  </si>
  <si>
    <t>5.86 - 9.42</t>
  </si>
  <si>
    <t>PTC Inc</t>
  </si>
  <si>
    <t>100.84%</t>
  </si>
  <si>
    <t>133.38 - 219.69</t>
  </si>
  <si>
    <t>12877.28%</t>
  </si>
  <si>
    <t>Match Group Inc</t>
  </si>
  <si>
    <t>26.39 - 39.20</t>
  </si>
  <si>
    <t>348.26%</t>
  </si>
  <si>
    <t>ServiceTitan Inc</t>
  </si>
  <si>
    <t>55.80%</t>
  </si>
  <si>
    <t>79.81 - 131.33</t>
  </si>
  <si>
    <t>Marker Therapeutics Inc</t>
  </si>
  <si>
    <t>-272.41%</t>
  </si>
  <si>
    <t>-271.11%</t>
  </si>
  <si>
    <t>-21.69%</t>
  </si>
  <si>
    <t>-45.25%</t>
  </si>
  <si>
    <t>-77.95%</t>
  </si>
  <si>
    <t>-84.92%</t>
  </si>
  <si>
    <t>0.81 - 5.95</t>
  </si>
  <si>
    <t>-38.53%</t>
  </si>
  <si>
    <t>-66.26%</t>
  </si>
  <si>
    <t>STAG Industrial Inc</t>
  </si>
  <si>
    <t>93.53%</t>
  </si>
  <si>
    <t>28.61 - 39.64</t>
  </si>
  <si>
    <t>-27.72%</t>
  </si>
  <si>
    <t>265.31%</t>
  </si>
  <si>
    <t>Flowserve Corp</t>
  </si>
  <si>
    <t>39.32%</t>
  </si>
  <si>
    <t>102.43%</t>
  </si>
  <si>
    <t>37.34 - 65.08</t>
  </si>
  <si>
    <t>3762.44%</t>
  </si>
  <si>
    <t>PepsiCo Inc</t>
  </si>
  <si>
    <t>127.60 - 177.50</t>
  </si>
  <si>
    <t>-28.77%</t>
  </si>
  <si>
    <t>8111.08%</t>
  </si>
  <si>
    <t>Adial Pharmaceuticals Inc</t>
  </si>
  <si>
    <t>-54.38%</t>
  </si>
  <si>
    <t>0.22 - 1.30</t>
  </si>
  <si>
    <t>-67.15%</t>
  </si>
  <si>
    <t>Figs Inc</t>
  </si>
  <si>
    <t>38.13%</t>
  </si>
  <si>
    <t>112.77%</t>
  </si>
  <si>
    <t>-13.18%</t>
  </si>
  <si>
    <t>83.62%</t>
  </si>
  <si>
    <t>3.57 - 7.54</t>
  </si>
  <si>
    <t>Dow Inc</t>
  </si>
  <si>
    <t>178.83%</t>
  </si>
  <si>
    <t>-142.07%</t>
  </si>
  <si>
    <t>-59.05%</t>
  </si>
  <si>
    <t>20.40 - 55.67</t>
  </si>
  <si>
    <t>-68.28%</t>
  </si>
  <si>
    <t>-57.35%</t>
  </si>
  <si>
    <t>Intuitive Surgical Inc</t>
  </si>
  <si>
    <t>86.10%</t>
  </si>
  <si>
    <t>66.61%</t>
  </si>
  <si>
    <t>425.00 - 616.00</t>
  </si>
  <si>
    <t>66218.13%</t>
  </si>
  <si>
    <t>Veralto Corp</t>
  </si>
  <si>
    <t>322.22%</t>
  </si>
  <si>
    <t>95.13%</t>
  </si>
  <si>
    <t>83.86 - 115.00</t>
  </si>
  <si>
    <t>Thermo Fisher Scientific Inc</t>
  </si>
  <si>
    <t>90.63%</t>
  </si>
  <si>
    <t>385.46 - 623.77</t>
  </si>
  <si>
    <t>29734.92%</t>
  </si>
  <si>
    <t>Longevity Health Holdings Inc</t>
  </si>
  <si>
    <t>-270.08%</t>
  </si>
  <si>
    <t>3987.80%</t>
  </si>
  <si>
    <t>-60.57%</t>
  </si>
  <si>
    <t>-71.95%</t>
  </si>
  <si>
    <t>2.15 - 38.10</t>
  </si>
  <si>
    <t>DeFi Development Corp</t>
  </si>
  <si>
    <t>97.12%</t>
  </si>
  <si>
    <t>350.37%</t>
  </si>
  <si>
    <t>-170.47%</t>
  </si>
  <si>
    <t>389.04%</t>
  </si>
  <si>
    <t>-72.72%</t>
  </si>
  <si>
    <t>2917.24%</t>
  </si>
  <si>
    <t>0.49 - 53.88</t>
  </si>
  <si>
    <t>2956.68%</t>
  </si>
  <si>
    <t>2141.83%</t>
  </si>
  <si>
    <t>2008.61%</t>
  </si>
  <si>
    <t>SharpLink Gaming Inc</t>
  </si>
  <si>
    <t>-677.53%</t>
  </si>
  <si>
    <t>-3375.81%</t>
  </si>
  <si>
    <t>-60.99%</t>
  </si>
  <si>
    <t>-87.28%</t>
  </si>
  <si>
    <t>599.62%</t>
  </si>
  <si>
    <t>2.26 - 124.12</t>
  </si>
  <si>
    <t>339.90%</t>
  </si>
  <si>
    <t>62.24%</t>
  </si>
  <si>
    <t>SelectQuote Inc</t>
  </si>
  <si>
    <t>89.19%</t>
  </si>
  <si>
    <t>-34.44%</t>
  </si>
  <si>
    <t>-29.08%</t>
  </si>
  <si>
    <t>1.62 - 6.86</t>
  </si>
  <si>
    <t>-94.05%</t>
  </si>
  <si>
    <t>285.18%</t>
  </si>
  <si>
    <t>Synovus Financial Corp</t>
  </si>
  <si>
    <t>35.94 - 61.06</t>
  </si>
  <si>
    <t>-53.26%</t>
  </si>
  <si>
    <t>1993.83%</t>
  </si>
  <si>
    <t>PureCycle Technologies Inc</t>
  </si>
  <si>
    <t>-514.21%</t>
  </si>
  <si>
    <t>-270.88%</t>
  </si>
  <si>
    <t>-2497.21%</t>
  </si>
  <si>
    <t>-4637.68%</t>
  </si>
  <si>
    <t>-9018.82%</t>
  </si>
  <si>
    <t>138.06%</t>
  </si>
  <si>
    <t>5.40 - 17.37</t>
  </si>
  <si>
    <t>438.99%</t>
  </si>
  <si>
    <t>Delta Air Lines, Inc</t>
  </si>
  <si>
    <t>130.29%</t>
  </si>
  <si>
    <t>34.74 - 69.98</t>
  </si>
  <si>
    <t>1526.64%</t>
  </si>
  <si>
    <t>Bentley Systems Inc</t>
  </si>
  <si>
    <t>78.85%</t>
  </si>
  <si>
    <t>43.03%</t>
  </si>
  <si>
    <t>36.51 - 59.25</t>
  </si>
  <si>
    <t>Royal Caribbean Group</t>
  </si>
  <si>
    <t>120.76%</t>
  </si>
  <si>
    <t>84.26%</t>
  </si>
  <si>
    <t>164.01 - 366.50</t>
  </si>
  <si>
    <t>5902.78%</t>
  </si>
  <si>
    <t>80.45%</t>
  </si>
  <si>
    <t>T. Rowe Price Group Inc</t>
  </si>
  <si>
    <t>54.18%</t>
  </si>
  <si>
    <t>80.49%</t>
  </si>
  <si>
    <t>77.85 - 125.81</t>
  </si>
  <si>
    <t>19872.85%</t>
  </si>
  <si>
    <t>Magnite Inc</t>
  </si>
  <si>
    <t>577.08%</t>
  </si>
  <si>
    <t>103.90%</t>
  </si>
  <si>
    <t>61.03%</t>
  </si>
  <si>
    <t>172.75%</t>
  </si>
  <si>
    <t>8.22 - 26.65</t>
  </si>
  <si>
    <t>1414.86%</t>
  </si>
  <si>
    <t>70.24%</t>
  </si>
  <si>
    <t>SCWorx Corp</t>
  </si>
  <si>
    <t>-105.79%</t>
  </si>
  <si>
    <t>0.26 - 3.31</t>
  </si>
  <si>
    <t>-75.80%</t>
  </si>
  <si>
    <t>Tenable Holdings Inc</t>
  </si>
  <si>
    <t>78.00%</t>
  </si>
  <si>
    <t>28.51 - 45.44</t>
  </si>
  <si>
    <t>CDW Corp</t>
  </si>
  <si>
    <t>137.31 - 229.02</t>
  </si>
  <si>
    <t>819.13%</t>
  </si>
  <si>
    <t>Longeveron Inc</t>
  </si>
  <si>
    <t>-941.05%</t>
  </si>
  <si>
    <t>-901.50%</t>
  </si>
  <si>
    <t>-56.12%</t>
  </si>
  <si>
    <t>-68.21%</t>
  </si>
  <si>
    <t>0.63 - 2.48</t>
  </si>
  <si>
    <t>PayPal Holdings Inc</t>
  </si>
  <si>
    <t>-28.71%</t>
  </si>
  <si>
    <t>55.85 - 93.66</t>
  </si>
  <si>
    <t>-78.47%</t>
  </si>
  <si>
    <t>Moderna Inc</t>
  </si>
  <si>
    <t>-42.94%</t>
  </si>
  <si>
    <t>-38.95%</t>
  </si>
  <si>
    <t>-43.99%</t>
  </si>
  <si>
    <t>121.86%</t>
  </si>
  <si>
    <t>-106.34%</t>
  </si>
  <si>
    <t>-64.49%</t>
  </si>
  <si>
    <t>23.15 - 67.96</t>
  </si>
  <si>
    <t>-95.15%</t>
  </si>
  <si>
    <t>109.15%</t>
  </si>
  <si>
    <t>-62.25%</t>
  </si>
  <si>
    <t>Abercrombie &amp; Fitch Co</t>
  </si>
  <si>
    <t>77.99%</t>
  </si>
  <si>
    <t>102.40%</t>
  </si>
  <si>
    <t>-47.82%</t>
  </si>
  <si>
    <t>65.40 - 167.71</t>
  </si>
  <si>
    <t>-55.57%</t>
  </si>
  <si>
    <t>1300.24%</t>
  </si>
  <si>
    <t>-38.41%</t>
  </si>
  <si>
    <t>Progress Software Corp</t>
  </si>
  <si>
    <t>8/30/2024</t>
  </si>
  <si>
    <t>115.39%</t>
  </si>
  <si>
    <t>40.29 - 70.56</t>
  </si>
  <si>
    <t>1456.54%</t>
  </si>
  <si>
    <t>AT&amp;T, Inc</t>
  </si>
  <si>
    <t>21.05 - 29.79</t>
  </si>
  <si>
    <t>727.76%</t>
  </si>
  <si>
    <t>Arhaus Inc</t>
  </si>
  <si>
    <t>3/20/2024</t>
  </si>
  <si>
    <t>60.97%</t>
  </si>
  <si>
    <t>6.61 - 13.02</t>
  </si>
  <si>
    <t>-46.29%</t>
  </si>
  <si>
    <t>160.30%</t>
  </si>
  <si>
    <t>Auddia Inc</t>
  </si>
  <si>
    <t>49.99%</t>
  </si>
  <si>
    <t>-66.25%</t>
  </si>
  <si>
    <t>1.85 - 14.60</t>
  </si>
  <si>
    <t>-64.68%</t>
  </si>
  <si>
    <t>-48.83%</t>
  </si>
  <si>
    <t>-82.78%</t>
  </si>
  <si>
    <t>Wheels Up Experience Inc</t>
  </si>
  <si>
    <t>62.56%</t>
  </si>
  <si>
    <t>-31.37%</t>
  </si>
  <si>
    <t>-47.44%</t>
  </si>
  <si>
    <t>150.20%</t>
  </si>
  <si>
    <t>0.74 - 3.50</t>
  </si>
  <si>
    <t>I-Mab ADR</t>
  </si>
  <si>
    <t>110.30%</t>
  </si>
  <si>
    <t>483.19%</t>
  </si>
  <si>
    <t>0.60 - 5.90</t>
  </si>
  <si>
    <t>312.46%</t>
  </si>
  <si>
    <t>212.61%</t>
  </si>
  <si>
    <t>TPG Inc</t>
  </si>
  <si>
    <t>96.59%</t>
  </si>
  <si>
    <t>37.52 - 72.98</t>
  </si>
  <si>
    <t>156.08%</t>
  </si>
  <si>
    <t>Five9 Inc</t>
  </si>
  <si>
    <t>116.99%</t>
  </si>
  <si>
    <t>-49.90%</t>
  </si>
  <si>
    <t>21.04 - 49.90</t>
  </si>
  <si>
    <t>-88.19%</t>
  </si>
  <si>
    <t>618.39%</t>
  </si>
  <si>
    <t>DIH Holding US Inc</t>
  </si>
  <si>
    <t>49.52%</t>
  </si>
  <si>
    <t>-58.40%</t>
  </si>
  <si>
    <t>0.12 - 2.93</t>
  </si>
  <si>
    <t>-90.55%</t>
  </si>
  <si>
    <t>Urban Edge Properties</t>
  </si>
  <si>
    <t>113.90%</t>
  </si>
  <si>
    <t>411.11%</t>
  </si>
  <si>
    <t>15.66 - 23.83</t>
  </si>
  <si>
    <t>197.89%</t>
  </si>
  <si>
    <t>Douglas Emmett Inc</t>
  </si>
  <si>
    <t>574.45%</t>
  </si>
  <si>
    <t>104.36%</t>
  </si>
  <si>
    <t>12.39 - 20.50</t>
  </si>
  <si>
    <t>179.06%</t>
  </si>
  <si>
    <t>Aldeyra Therapeutics Inc</t>
  </si>
  <si>
    <t>-30.21%</t>
  </si>
  <si>
    <t>1.14 - 7.20</t>
  </si>
  <si>
    <t>-69.91%</t>
  </si>
  <si>
    <t>ARMOUR Residential REIT Inc</t>
  </si>
  <si>
    <t>157.34%</t>
  </si>
  <si>
    <t>265.98%</t>
  </si>
  <si>
    <t>437.35%</t>
  </si>
  <si>
    <t>40.92%</t>
  </si>
  <si>
    <t>13.18 - 20.59</t>
  </si>
  <si>
    <t>Sonoma Pharmaceuticals Inc</t>
  </si>
  <si>
    <t>128.56%</t>
  </si>
  <si>
    <t>1.75 - 6.92</t>
  </si>
  <si>
    <t>Hain Celestial Group Inc</t>
  </si>
  <si>
    <t>-52.71%</t>
  </si>
  <si>
    <t>-158.14%</t>
  </si>
  <si>
    <t>116.33%</t>
  </si>
  <si>
    <t>81.84%</t>
  </si>
  <si>
    <t>1.30 - 9.43</t>
  </si>
  <si>
    <t>-97.79%</t>
  </si>
  <si>
    <t>-62.49%</t>
  </si>
  <si>
    <t>-79.63%</t>
  </si>
  <si>
    <t>Pagaya Technologies Ltd</t>
  </si>
  <si>
    <t>49.83%</t>
  </si>
  <si>
    <t>31.10%</t>
  </si>
  <si>
    <t>317.55%</t>
  </si>
  <si>
    <t>8.20 - 44.99</t>
  </si>
  <si>
    <t>-91.73%</t>
  </si>
  <si>
    <t>400.49%</t>
  </si>
  <si>
    <t>196.19%</t>
  </si>
  <si>
    <t>186.04%</t>
  </si>
  <si>
    <t>Aurora Innovation Inc</t>
  </si>
  <si>
    <t>-5300.00%</t>
  </si>
  <si>
    <t>-83600.00%</t>
  </si>
  <si>
    <t>-81000.00%</t>
  </si>
  <si>
    <t>4.75 - 10.77</t>
  </si>
  <si>
    <t>-68.73%</t>
  </si>
  <si>
    <t>405.15%</t>
  </si>
  <si>
    <t>-25.51%</t>
  </si>
  <si>
    <t>Healthcare Triangle Inc</t>
  </si>
  <si>
    <t>-45.90%</t>
  </si>
  <si>
    <t>-40.25%</t>
  </si>
  <si>
    <t>-47.75%</t>
  </si>
  <si>
    <t>-40.51%</t>
  </si>
  <si>
    <t>-88.60%</t>
  </si>
  <si>
    <t>80.29%</t>
  </si>
  <si>
    <t>1.37 - 473.10</t>
  </si>
  <si>
    <t>-57.07%</t>
  </si>
  <si>
    <t>ProFrac Holding Corp</t>
  </si>
  <si>
    <t>-108.50%</t>
  </si>
  <si>
    <t>-13.07%</t>
  </si>
  <si>
    <t>3.43 - 10.70</t>
  </si>
  <si>
    <t>-52.58%</t>
  </si>
  <si>
    <t>-53.22%</t>
  </si>
  <si>
    <t>Progyny Inc</t>
  </si>
  <si>
    <t>-18.67%</t>
  </si>
  <si>
    <t>13.39 - 26.76</t>
  </si>
  <si>
    <t>-68.60%</t>
  </si>
  <si>
    <t>Tri Pointe Homes Inc</t>
  </si>
  <si>
    <t>27.90 - 46.91</t>
  </si>
  <si>
    <t>468.42%</t>
  </si>
  <si>
    <t>Ultragenyx Pharmaceutical Inc</t>
  </si>
  <si>
    <t>-87.34%</t>
  </si>
  <si>
    <t>-51.36%</t>
  </si>
  <si>
    <t>25.81 - 57.99</t>
  </si>
  <si>
    <t>-84.30%</t>
  </si>
  <si>
    <t>Aureus Greenway Holdings Inc</t>
  </si>
  <si>
    <t>-75.28%</t>
  </si>
  <si>
    <t>-58.06%</t>
  </si>
  <si>
    <t>309.02%</t>
  </si>
  <si>
    <t>375.10%</t>
  </si>
  <si>
    <t>0.52 - 7.22</t>
  </si>
  <si>
    <t>319.80%</t>
  </si>
  <si>
    <t>Vertex Pharmaceuticals, Inc</t>
  </si>
  <si>
    <t>86.08%</t>
  </si>
  <si>
    <t>362.50 - 519.88</t>
  </si>
  <si>
    <t>11731.69%</t>
  </si>
  <si>
    <t>Sun Country Airlines Holdings Inc</t>
  </si>
  <si>
    <t>-11.14%</t>
  </si>
  <si>
    <t>8.10 - 18.59</t>
  </si>
  <si>
    <t>-72.85%</t>
  </si>
  <si>
    <t>Airbnb Inc</t>
  </si>
  <si>
    <t>99.88 - 163.93</t>
  </si>
  <si>
    <t>49.20%</t>
  </si>
  <si>
    <t>Genprex Inc</t>
  </si>
  <si>
    <t>-53.27%</t>
  </si>
  <si>
    <t>-95.24%</t>
  </si>
  <si>
    <t>0.14 - 3.97</t>
  </si>
  <si>
    <t>-52.31%</t>
  </si>
  <si>
    <t>Lennar Corp</t>
  </si>
  <si>
    <t>88.50%</t>
  </si>
  <si>
    <t>98.42 - 182.24</t>
  </si>
  <si>
    <t>24381.08%</t>
  </si>
  <si>
    <t>NCR Voyix Corp</t>
  </si>
  <si>
    <t>-43.28%</t>
  </si>
  <si>
    <t>7.55 - 15.34</t>
  </si>
  <si>
    <t>407.37%</t>
  </si>
  <si>
    <t>Centuri Holdings Inc</t>
  </si>
  <si>
    <t>-15.67%</t>
  </si>
  <si>
    <t>-86.54%</t>
  </si>
  <si>
    <t>44.18%</t>
  </si>
  <si>
    <t>14.45 - 24.60</t>
  </si>
  <si>
    <t>Sprinklr Inc</t>
  </si>
  <si>
    <t>6.75 - 9.69</t>
  </si>
  <si>
    <t>Arlo Technologies Inc</t>
  </si>
  <si>
    <t>-43.45%</t>
  </si>
  <si>
    <t>93.84%</t>
  </si>
  <si>
    <t>114.73%</t>
  </si>
  <si>
    <t>7.84 - 19.25</t>
  </si>
  <si>
    <t>1302.92%</t>
  </si>
  <si>
    <t>ETHZilla Corp</t>
  </si>
  <si>
    <t>-86.39%</t>
  </si>
  <si>
    <t>164.21%</t>
  </si>
  <si>
    <t>261.33%</t>
  </si>
  <si>
    <t>0.66 - 17.75</t>
  </si>
  <si>
    <t>130.76%</t>
  </si>
  <si>
    <t>Lilly(Eli) &amp; Co</t>
  </si>
  <si>
    <t>623.78 - 937.00</t>
  </si>
  <si>
    <t>21658.72%</t>
  </si>
  <si>
    <t>Solventum Corp</t>
  </si>
  <si>
    <t>57.81%</t>
  </si>
  <si>
    <t>60.70 - 85.92</t>
  </si>
  <si>
    <t>Stanley Black &amp; Decker Inc</t>
  </si>
  <si>
    <t>172.28%</t>
  </si>
  <si>
    <t>-42.89%</t>
  </si>
  <si>
    <t>134.63%</t>
  </si>
  <si>
    <t>94.53%</t>
  </si>
  <si>
    <t>53.91 - 110.88</t>
  </si>
  <si>
    <t>-67.58%</t>
  </si>
  <si>
    <t>1022.38%</t>
  </si>
  <si>
    <t>-32.03%</t>
  </si>
  <si>
    <t>Sky Quarry Inc</t>
  </si>
  <si>
    <t>-132.99%</t>
  </si>
  <si>
    <t>-43.05%</t>
  </si>
  <si>
    <t>-92.09%</t>
  </si>
  <si>
    <t>0.39 - 5.49</t>
  </si>
  <si>
    <t>Equity Lifestyle Properties Inc</t>
  </si>
  <si>
    <t>98.03%</t>
  </si>
  <si>
    <t>58.15 - 73.64</t>
  </si>
  <si>
    <t>2121.77%</t>
  </si>
  <si>
    <t>Edwards Lifesciences Corp</t>
  </si>
  <si>
    <t>86.95%</t>
  </si>
  <si>
    <t>64.00 - 83.00</t>
  </si>
  <si>
    <t>7500.01%</t>
  </si>
  <si>
    <t>Vertex Inc</t>
  </si>
  <si>
    <t>-223.80%</t>
  </si>
  <si>
    <t>-33.09%</t>
  </si>
  <si>
    <t>-59.49%</t>
  </si>
  <si>
    <t>23.13 - 60.71</t>
  </si>
  <si>
    <t>160.50%</t>
  </si>
  <si>
    <t>-31.42%</t>
  </si>
  <si>
    <t>Voyager Technologies Inc</t>
  </si>
  <si>
    <t>-38.90%</t>
  </si>
  <si>
    <t>-61.28%</t>
  </si>
  <si>
    <t>26.10 - 73.95</t>
  </si>
  <si>
    <t>OSR Holdings Inc</t>
  </si>
  <si>
    <t>-1003.77%</t>
  </si>
  <si>
    <t>-265.93%</t>
  </si>
  <si>
    <t>-233.20%</t>
  </si>
  <si>
    <t>-566.50%</t>
  </si>
  <si>
    <t>-701.95%</t>
  </si>
  <si>
    <t>-83.21%</t>
  </si>
  <si>
    <t>31.94%</t>
  </si>
  <si>
    <t>0.45 - 13.40</t>
  </si>
  <si>
    <t>-55.73%</t>
  </si>
  <si>
    <t>-80.01%</t>
  </si>
  <si>
    <t>Agree Realty Corp</t>
  </si>
  <si>
    <t>168.60%</t>
  </si>
  <si>
    <t>67.58 - 79.65</t>
  </si>
  <si>
    <t>751.05%</t>
  </si>
  <si>
    <t>Xerox Holdings Corp</t>
  </si>
  <si>
    <t>-1031.59%</t>
  </si>
  <si>
    <t>98.59%</t>
  </si>
  <si>
    <t>-45.63%</t>
  </si>
  <si>
    <t>3.44 - 11.29</t>
  </si>
  <si>
    <t>-97.81%</t>
  </si>
  <si>
    <t>Twilio Inc</t>
  </si>
  <si>
    <t>48.98%</t>
  </si>
  <si>
    <t>62.95 - 151.95</t>
  </si>
  <si>
    <t>-77.72%</t>
  </si>
  <si>
    <t>346.80%</t>
  </si>
  <si>
    <t>-17.00%</t>
  </si>
  <si>
    <t>Home Bancshares Inc</t>
  </si>
  <si>
    <t>24.22 - 32.90</t>
  </si>
  <si>
    <t>785.59%</t>
  </si>
  <si>
    <t>NextNav Inc</t>
  </si>
  <si>
    <t>77.66%</t>
  </si>
  <si>
    <t>-255.56%</t>
  </si>
  <si>
    <t>-141.04%</t>
  </si>
  <si>
    <t>-1004.33%</t>
  </si>
  <si>
    <t>-2678.59%</t>
  </si>
  <si>
    <t>121.35%</t>
  </si>
  <si>
    <t>7.12 - 18.54</t>
  </si>
  <si>
    <t>891.19%</t>
  </si>
  <si>
    <t>Tyson Foods, Inc</t>
  </si>
  <si>
    <t>12/1/2025</t>
  </si>
  <si>
    <t>85.45%</t>
  </si>
  <si>
    <t>71.04%</t>
  </si>
  <si>
    <t>51.85 - 65.95</t>
  </si>
  <si>
    <t>9892.70%</t>
  </si>
  <si>
    <t>Old Dominion Freight Line, Inc</t>
  </si>
  <si>
    <t>75.99%</t>
  </si>
  <si>
    <t>-39.01%</t>
  </si>
  <si>
    <t>138.65 - 233.26</t>
  </si>
  <si>
    <t>43112.97%</t>
  </si>
  <si>
    <t>Coinbase Global Inc</t>
  </si>
  <si>
    <t>57.56%</t>
  </si>
  <si>
    <t>109.61%</t>
  </si>
  <si>
    <t>311.43%</t>
  </si>
  <si>
    <t>87.19%</t>
  </si>
  <si>
    <t>115.57%</t>
  </si>
  <si>
    <t>142.58 - 444.64</t>
  </si>
  <si>
    <t>874.18%</t>
  </si>
  <si>
    <t>American Tower Corp</t>
  </si>
  <si>
    <t>-53.41%</t>
  </si>
  <si>
    <t>94.80%</t>
  </si>
  <si>
    <t>172.51 - 234.47</t>
  </si>
  <si>
    <t>-35.88%</t>
  </si>
  <si>
    <t>32550.21%</t>
  </si>
  <si>
    <t>Classover Holdings Inc</t>
  </si>
  <si>
    <t>-102.57%</t>
  </si>
  <si>
    <t>-171.59%</t>
  </si>
  <si>
    <t>-80.34%</t>
  </si>
  <si>
    <t>-68.18%</t>
  </si>
  <si>
    <t>-90.38%</t>
  </si>
  <si>
    <t>0.96 - 12.00</t>
  </si>
  <si>
    <t>-60.71%</t>
  </si>
  <si>
    <t>YETI Holdings Inc</t>
  </si>
  <si>
    <t>26.61 - 45.25</t>
  </si>
  <si>
    <t>-68.81%</t>
  </si>
  <si>
    <t>173.71%</t>
  </si>
  <si>
    <t>Gilead Sciences, Inc</t>
  </si>
  <si>
    <t>805.23%</t>
  </si>
  <si>
    <t>-57.36%</t>
  </si>
  <si>
    <t>88.02%</t>
  </si>
  <si>
    <t>35.88%</t>
  </si>
  <si>
    <t>81.83 - 121.83</t>
  </si>
  <si>
    <t>53606.87%</t>
  </si>
  <si>
    <t>Pliant Therapeutics Inc</t>
  </si>
  <si>
    <t>-78.30%</t>
  </si>
  <si>
    <t>82.30%</t>
  </si>
  <si>
    <t>-62.02%</t>
  </si>
  <si>
    <t>-90.96%</t>
  </si>
  <si>
    <t>1.10 - 16.10</t>
  </si>
  <si>
    <t>-96.69%</t>
  </si>
  <si>
    <t>-87.16%</t>
  </si>
  <si>
    <t>Uniti Group Inc</t>
  </si>
  <si>
    <t>6/14/2024</t>
  </si>
  <si>
    <t>77.97%</t>
  </si>
  <si>
    <t>-119.76%</t>
  </si>
  <si>
    <t>-35.65%</t>
  </si>
  <si>
    <t>5.68 - 10.47</t>
  </si>
  <si>
    <t>-89.10%</t>
  </si>
  <si>
    <t>Lucid Diagnostics Inc</t>
  </si>
  <si>
    <t>-54.43%</t>
  </si>
  <si>
    <t>-1099.54%</t>
  </si>
  <si>
    <t>-1555.46%</t>
  </si>
  <si>
    <t>-32.56%</t>
  </si>
  <si>
    <t>-42.32%</t>
  </si>
  <si>
    <t>0.75 - 1.80</t>
  </si>
  <si>
    <t>-92.32%</t>
  </si>
  <si>
    <t>Visa Inc</t>
  </si>
  <si>
    <t>20.45%</t>
  </si>
  <si>
    <t>270.00 - 375.51</t>
  </si>
  <si>
    <t>3123.93%</t>
  </si>
  <si>
    <t>National Storage Affiliates Trust</t>
  </si>
  <si>
    <t>189.94%</t>
  </si>
  <si>
    <t>-37.32%</t>
  </si>
  <si>
    <t>28.02 - 48.36</t>
  </si>
  <si>
    <t>-55.35%</t>
  </si>
  <si>
    <t>171.96%</t>
  </si>
  <si>
    <t>Carisma Therapeutics Inc</t>
  </si>
  <si>
    <t>3/8/2023</t>
  </si>
  <si>
    <t>-240.97%</t>
  </si>
  <si>
    <t>42.71%</t>
  </si>
  <si>
    <t>-48.01%</t>
  </si>
  <si>
    <t>-155.56%</t>
  </si>
  <si>
    <t>69.35%</t>
  </si>
  <si>
    <t>-428.26%</t>
  </si>
  <si>
    <t>-458.60%</t>
  </si>
  <si>
    <t>-25.15%</t>
  </si>
  <si>
    <t>0.14 - 1.27</t>
  </si>
  <si>
    <t>-72.51%</t>
  </si>
  <si>
    <t>Meta Platforms Inc</t>
  </si>
  <si>
    <t>29.99%</t>
  </si>
  <si>
    <t>81.95%</t>
  </si>
  <si>
    <t>479.80 - 796.25</t>
  </si>
  <si>
    <t>4128.52%</t>
  </si>
  <si>
    <t>Tandem Diabetes Care Inc</t>
  </si>
  <si>
    <t>121.02%</t>
  </si>
  <si>
    <t>-73.74%</t>
  </si>
  <si>
    <t>9.98 - 45.28</t>
  </si>
  <si>
    <t>455.61%</t>
  </si>
  <si>
    <t>Ecovyst Inc</t>
  </si>
  <si>
    <t>8/11/2021</t>
  </si>
  <si>
    <t>5.24 - 9.69</t>
  </si>
  <si>
    <t>-42.90%</t>
  </si>
  <si>
    <t>Revvity Inc</t>
  </si>
  <si>
    <t>-33.21%</t>
  </si>
  <si>
    <t>-19.64%</t>
  </si>
  <si>
    <t>-35.21%</t>
  </si>
  <si>
    <t>81.36 - 129.50</t>
  </si>
  <si>
    <t>-58.70%</t>
  </si>
  <si>
    <t>1860.40%</t>
  </si>
  <si>
    <t>Kraft Heinz Co</t>
  </si>
  <si>
    <t>70.85%</t>
  </si>
  <si>
    <t>25.44 - 36.31</t>
  </si>
  <si>
    <t>Kennametal Inc</t>
  </si>
  <si>
    <t>102.90%</t>
  </si>
  <si>
    <t>17.30 - 32.18</t>
  </si>
  <si>
    <t>-60.30%</t>
  </si>
  <si>
    <t>376.63%</t>
  </si>
  <si>
    <t>GE HealthCare Technologies Inc</t>
  </si>
  <si>
    <t>-23.40%</t>
  </si>
  <si>
    <t>57.65 - 94.80</t>
  </si>
  <si>
    <t>Safehold Inc</t>
  </si>
  <si>
    <t>-46.16%</t>
  </si>
  <si>
    <t>64.34%</t>
  </si>
  <si>
    <t>77.91%</t>
  </si>
  <si>
    <t>-42.27%</t>
  </si>
  <si>
    <t>13.43 - 26.79</t>
  </si>
  <si>
    <t>-92.80%</t>
  </si>
  <si>
    <t>770.05%</t>
  </si>
  <si>
    <t>['Performance 1Y (1Y up)', 'Performance 3M (3M up)', 'Performance 6M (6M up)', 'Price Above 50 SMA (Price &gt; 50 SMA)', 'RSI (14) High (RSI &gt; 60)']</t>
  </si>
  <si>
    <t>Trump Media &amp; Technology Group Corp</t>
  </si>
  <si>
    <t>-255.95%</t>
  </si>
  <si>
    <t>131.17%</t>
  </si>
  <si>
    <t>-107.39%</t>
  </si>
  <si>
    <t>-4092.44%</t>
  </si>
  <si>
    <t>-2922.74%</t>
  </si>
  <si>
    <t>-69.26%</t>
  </si>
  <si>
    <t>13.20 - 54.68</t>
  </si>
  <si>
    <t>-90.40%</t>
  </si>
  <si>
    <t>Irobot Corp</t>
  </si>
  <si>
    <t>-25.36%</t>
  </si>
  <si>
    <t>75.89%</t>
  </si>
  <si>
    <t>-38.08%</t>
  </si>
  <si>
    <t>1.76 - 13.06</t>
  </si>
  <si>
    <t>-98.27%</t>
  </si>
  <si>
    <t>-55.44%</t>
  </si>
  <si>
    <t>LQR House Inc</t>
  </si>
  <si>
    <t>-767.37%</t>
  </si>
  <si>
    <t>-949.98%</t>
  </si>
  <si>
    <t>-91.00%</t>
  </si>
  <si>
    <t>-99.17%</t>
  </si>
  <si>
    <t>0.68 - 98.00</t>
  </si>
  <si>
    <t>-37.44%</t>
  </si>
  <si>
    <t>Perella Weinberg Partners</t>
  </si>
  <si>
    <t>-76.54%</t>
  </si>
  <si>
    <t>97.68%</t>
  </si>
  <si>
    <t>14.12 - 27.03</t>
  </si>
  <si>
    <t>323.50%</t>
  </si>
  <si>
    <t>Dynamix Corp</t>
  </si>
  <si>
    <t>-30.64%</t>
  </si>
  <si>
    <t>9.78 - 15.24</t>
  </si>
  <si>
    <t>Pacific Biosciences of California Inc</t>
  </si>
  <si>
    <t>-215.73%</t>
  </si>
  <si>
    <t>-364.72%</t>
  </si>
  <si>
    <t>-336.40%</t>
  </si>
  <si>
    <t>0.85 - 2.72</t>
  </si>
  <si>
    <t>APi Group Corporation</t>
  </si>
  <si>
    <t>20.50 - 36.55</t>
  </si>
  <si>
    <t>1092.33%</t>
  </si>
  <si>
    <t>MARA Holdings Inc</t>
  </si>
  <si>
    <t>253.73%</t>
  </si>
  <si>
    <t>2576.45%</t>
  </si>
  <si>
    <t>-75.51%</t>
  </si>
  <si>
    <t>61.62%</t>
  </si>
  <si>
    <t>9.81 - 30.28</t>
  </si>
  <si>
    <t>4401.70%</t>
  </si>
  <si>
    <t>Telephone And Data Systems, Inc</t>
  </si>
  <si>
    <t>-58.11%</t>
  </si>
  <si>
    <t>-250.60%</t>
  </si>
  <si>
    <t>22.51 - 42.74</t>
  </si>
  <si>
    <t>-44.37%</t>
  </si>
  <si>
    <t>2171.41%</t>
  </si>
  <si>
    <t>Nucor Corp</t>
  </si>
  <si>
    <t>97.59 - 170.52</t>
  </si>
  <si>
    <t>13795.21%</t>
  </si>
  <si>
    <t>Automatic Data Processing Inc</t>
  </si>
  <si>
    <t>82.79%</t>
  </si>
  <si>
    <t>272.18 - 329.93</t>
  </si>
  <si>
    <t>19938.88%</t>
  </si>
  <si>
    <t>Kite Realty Group Trust</t>
  </si>
  <si>
    <t>5567.57%</t>
  </si>
  <si>
    <t>177.13%</t>
  </si>
  <si>
    <t>731.95%</t>
  </si>
  <si>
    <t>18.51 - 28.24</t>
  </si>
  <si>
    <t>-74.63%</t>
  </si>
  <si>
    <t>221.96%</t>
  </si>
  <si>
    <t>GoodRx Holdings Inc</t>
  </si>
  <si>
    <t>3.31 - 7.20</t>
  </si>
  <si>
    <t>-93.79%</t>
  </si>
  <si>
    <t>-41.05%</t>
  </si>
  <si>
    <t>Geo Group, Inc</t>
  </si>
  <si>
    <t>1/22/2021</t>
  </si>
  <si>
    <t>90.24%</t>
  </si>
  <si>
    <t>12.54 - 36.46</t>
  </si>
  <si>
    <t>2450.15%</t>
  </si>
  <si>
    <t>Pitney Bowes, Inc</t>
  </si>
  <si>
    <t>356.51%</t>
  </si>
  <si>
    <t>-41.76%</t>
  </si>
  <si>
    <t>75.47%</t>
  </si>
  <si>
    <t>6.66 - 13.11</t>
  </si>
  <si>
    <t>580.54%</t>
  </si>
  <si>
    <t>H&amp;R Block Inc</t>
  </si>
  <si>
    <t>47.00 - 64.62</t>
  </si>
  <si>
    <t>4214.81%</t>
  </si>
  <si>
    <t>Texas Instruments Inc</t>
  </si>
  <si>
    <t>101.23%</t>
  </si>
  <si>
    <t>-14.33%</t>
  </si>
  <si>
    <t>58.03%</t>
  </si>
  <si>
    <t>-17.26%</t>
  </si>
  <si>
    <t>139.95 - 221.69</t>
  </si>
  <si>
    <t>12943.91%</t>
  </si>
  <si>
    <t>Enphase Energy Inc</t>
  </si>
  <si>
    <t>-69.34%</t>
  </si>
  <si>
    <t>29.89 - 116.91</t>
  </si>
  <si>
    <t>5413.00%</t>
  </si>
  <si>
    <t>-40.97%</t>
  </si>
  <si>
    <t>-69.29%</t>
  </si>
  <si>
    <t>Beneficient</t>
  </si>
  <si>
    <t>-41.35%</t>
  </si>
  <si>
    <t>-247.37%</t>
  </si>
  <si>
    <t>-89.89%</t>
  </si>
  <si>
    <t>-5978.15%</t>
  </si>
  <si>
    <t>-1362.12%</t>
  </si>
  <si>
    <t>59.00%</t>
  </si>
  <si>
    <t>0.22 - 2.36</t>
  </si>
  <si>
    <t>-26.11%</t>
  </si>
  <si>
    <t>-58.45%</t>
  </si>
  <si>
    <t>4.72 - 11.89</t>
  </si>
  <si>
    <t>-90.97%</t>
  </si>
  <si>
    <t>220.37%</t>
  </si>
  <si>
    <t>-38.17%</t>
  </si>
  <si>
    <t>BridgeBio Pharma Inc</t>
  </si>
  <si>
    <t>84.06%</t>
  </si>
  <si>
    <t>4999.86%</t>
  </si>
  <si>
    <t>89.30%</t>
  </si>
  <si>
    <t>94.79%</t>
  </si>
  <si>
    <t>-273.84%</t>
  </si>
  <si>
    <t>-329.25%</t>
  </si>
  <si>
    <t>126.61%</t>
  </si>
  <si>
    <t>21.72 - 54.60</t>
  </si>
  <si>
    <t>888.35%</t>
  </si>
  <si>
    <t>97.99%</t>
  </si>
  <si>
    <t>Circle Internet Group Inc</t>
  </si>
  <si>
    <t>-305.43%</t>
  </si>
  <si>
    <t>-22.32%</t>
  </si>
  <si>
    <t>-52.78%</t>
  </si>
  <si>
    <t>-58.47%</t>
  </si>
  <si>
    <t>64.00 - 298.99</t>
  </si>
  <si>
    <t>-31.18%</t>
  </si>
  <si>
    <t>IAC Inc</t>
  </si>
  <si>
    <t>-38.19%</t>
  </si>
  <si>
    <t>871.77%</t>
  </si>
  <si>
    <t>32.04 - 45.64</t>
  </si>
  <si>
    <t>35191.84%</t>
  </si>
  <si>
    <t>Ouster Inc</t>
  </si>
  <si>
    <t>49.01%</t>
  </si>
  <si>
    <t>367.85%</t>
  </si>
  <si>
    <t>5.94 - 36.25</t>
  </si>
  <si>
    <t>-84.33%</t>
  </si>
  <si>
    <t>765.73%</t>
  </si>
  <si>
    <t>178.46%</t>
  </si>
  <si>
    <t>346.78%</t>
  </si>
  <si>
    <t>Annaly Capital Management Inc</t>
  </si>
  <si>
    <t>160.39%</t>
  </si>
  <si>
    <t>103.75%</t>
  </si>
  <si>
    <t>99.60%</t>
  </si>
  <si>
    <t>16.59 - 22.45</t>
  </si>
  <si>
    <t>-75.60%</t>
  </si>
  <si>
    <t>Groupon Inc</t>
  </si>
  <si>
    <t>6965.67%</t>
  </si>
  <si>
    <t>203.10%</t>
  </si>
  <si>
    <t>7.75 - 43.08</t>
  </si>
  <si>
    <t>712.80%</t>
  </si>
  <si>
    <t>123.50%</t>
  </si>
  <si>
    <t>Outfront Media Inc</t>
  </si>
  <si>
    <t>-25.20%</t>
  </si>
  <si>
    <t>208.79%</t>
  </si>
  <si>
    <t>-45.36%</t>
  </si>
  <si>
    <t>99.70%</t>
  </si>
  <si>
    <t>12.95 - 19.98</t>
  </si>
  <si>
    <t>161.19%</t>
  </si>
  <si>
    <t>C3.ai Inc</t>
  </si>
  <si>
    <t>-79.09%</t>
  </si>
  <si>
    <t>-101.22%</t>
  </si>
  <si>
    <t>-43.06%</t>
  </si>
  <si>
    <t>14.70 - 45.08</t>
  </si>
  <si>
    <t>-90.68%</t>
  </si>
  <si>
    <t>68.76%</t>
  </si>
  <si>
    <t>Darling Ingredients Inc</t>
  </si>
  <si>
    <t>-67.06%</t>
  </si>
  <si>
    <t>107.60%</t>
  </si>
  <si>
    <t>26.00 - 43.49</t>
  </si>
  <si>
    <t>12350.00%</t>
  </si>
  <si>
    <t>StandardAero Inc</t>
  </si>
  <si>
    <t>59.89%</t>
  </si>
  <si>
    <t>21.31 - 34.38</t>
  </si>
  <si>
    <t>Taylor Morrison Home Corp</t>
  </si>
  <si>
    <t>51.90 - 75.49</t>
  </si>
  <si>
    <t>930.13%</t>
  </si>
  <si>
    <t>Satellogic Inc</t>
  </si>
  <si>
    <t>105.75%</t>
  </si>
  <si>
    <t>-509.14%</t>
  </si>
  <si>
    <t>-903.43%</t>
  </si>
  <si>
    <t>-37.69%</t>
  </si>
  <si>
    <t>267.83%</t>
  </si>
  <si>
    <t>0.93 - 5.49</t>
  </si>
  <si>
    <t>-72.26%</t>
  </si>
  <si>
    <t>395.70%</t>
  </si>
  <si>
    <t>-18.55%</t>
  </si>
  <si>
    <t>242.08%</t>
  </si>
  <si>
    <t>Synopsys, Inc</t>
  </si>
  <si>
    <t>365.74 - 651.73</t>
  </si>
  <si>
    <t>8629.35%</t>
  </si>
  <si>
    <t>Fate Therapeutics Inc</t>
  </si>
  <si>
    <t>-89.27%</t>
  </si>
  <si>
    <t>-2097.24%</t>
  </si>
  <si>
    <t>-2025.05%</t>
  </si>
  <si>
    <t>-20.68%</t>
  </si>
  <si>
    <t>-28.90%</t>
  </si>
  <si>
    <t>-74.72%</t>
  </si>
  <si>
    <t>0.66 - 3.80</t>
  </si>
  <si>
    <t>-72.19%</t>
  </si>
  <si>
    <t>Emerson Electric Co</t>
  </si>
  <si>
    <t>90.06 - 150.27</t>
  </si>
  <si>
    <t>2612.17%</t>
  </si>
  <si>
    <t>Two Harbors Investment Corp</t>
  </si>
  <si>
    <t>-23.07%</t>
  </si>
  <si>
    <t>71.47%</t>
  </si>
  <si>
    <t>-51.90%</t>
  </si>
  <si>
    <t>9.49 - 14.28</t>
  </si>
  <si>
    <t>PG&amp;E Corp</t>
  </si>
  <si>
    <t>500.00%</t>
  </si>
  <si>
    <t>95.96%</t>
  </si>
  <si>
    <t>12.97 - 21.72</t>
  </si>
  <si>
    <t>311.13%</t>
  </si>
  <si>
    <t>SAB Biotherapeutics Inc</t>
  </si>
  <si>
    <t>-72.10%</t>
  </si>
  <si>
    <t>-2823.22%</t>
  </si>
  <si>
    <t>-36463.03%</t>
  </si>
  <si>
    <t>-32306.71%</t>
  </si>
  <si>
    <t>-68.48%</t>
  </si>
  <si>
    <t>108.00%</t>
  </si>
  <si>
    <t>1.00 - 6.60</t>
  </si>
  <si>
    <t>-98.39%</t>
  </si>
  <si>
    <t>SRX Health Solutions Inc</t>
  </si>
  <si>
    <t>-57.44%</t>
  </si>
  <si>
    <t>-84.63%</t>
  </si>
  <si>
    <t>0.26 - 2.16</t>
  </si>
  <si>
    <t>-76.41%</t>
  </si>
  <si>
    <t>Bruker Corp</t>
  </si>
  <si>
    <t>28.53 - 72.94</t>
  </si>
  <si>
    <t>-67.03%</t>
  </si>
  <si>
    <t>1107.47%</t>
  </si>
  <si>
    <t>Day One Biopharmaceuticals Inc</t>
  </si>
  <si>
    <t>74.86%</t>
  </si>
  <si>
    <t>2190.50%</t>
  </si>
  <si>
    <t>313.92%</t>
  </si>
  <si>
    <t>-59.55%</t>
  </si>
  <si>
    <t>-50.63%</t>
  </si>
  <si>
    <t>5.64 - 16.76</t>
  </si>
  <si>
    <t>-76.32%</t>
  </si>
  <si>
    <t>-52.61%</t>
  </si>
  <si>
    <t>Pinnacle Financial Partners Inc</t>
  </si>
  <si>
    <t>81.57 - 131.91</t>
  </si>
  <si>
    <t>4647.50%</t>
  </si>
  <si>
    <t>VICI Properties Inc</t>
  </si>
  <si>
    <t>92.51%</t>
  </si>
  <si>
    <t>27.98 - 34.03</t>
  </si>
  <si>
    <t>229.73%</t>
  </si>
  <si>
    <t>Viking Therapeutics Inc</t>
  </si>
  <si>
    <t>68.10%</t>
  </si>
  <si>
    <t>-69.25%</t>
  </si>
  <si>
    <t>18.92 - 81.73</t>
  </si>
  <si>
    <t>2756.25%</t>
  </si>
  <si>
    <t>-59.41%</t>
  </si>
  <si>
    <t>Denali Therapeutics Inc</t>
  </si>
  <si>
    <t>94.45%</t>
  </si>
  <si>
    <t>10.57 - 33.33</t>
  </si>
  <si>
    <t>-55.32%</t>
  </si>
  <si>
    <t>Global Payments, Inc</t>
  </si>
  <si>
    <t>34.17%</t>
  </si>
  <si>
    <t>-29.83%</t>
  </si>
  <si>
    <t>65.93 - 120.00</t>
  </si>
  <si>
    <t>-61.87%</t>
  </si>
  <si>
    <t>2145.47%</t>
  </si>
  <si>
    <t>Inspired Entertainment Inc</t>
  </si>
  <si>
    <t>-24.98%</t>
  </si>
  <si>
    <t>-290.14%</t>
  </si>
  <si>
    <t>6.51 - 11.61</t>
  </si>
  <si>
    <t>-45.32%</t>
  </si>
  <si>
    <t>380.75%</t>
  </si>
  <si>
    <t>Prudential Financial Inc</t>
  </si>
  <si>
    <t>90.38 - 130.55</t>
  </si>
  <si>
    <t>873.85%</t>
  </si>
  <si>
    <t>Alpha Modus Holdings Inc</t>
  </si>
  <si>
    <t>0.86 - 13.49</t>
  </si>
  <si>
    <t>Gates Industrial Corporation plc</t>
  </si>
  <si>
    <t>105.04%</t>
  </si>
  <si>
    <t>40.81%</t>
  </si>
  <si>
    <t>67.33%</t>
  </si>
  <si>
    <t>14.70 - 26.42</t>
  </si>
  <si>
    <t>353.69%</t>
  </si>
  <si>
    <t>Extra Space Storage Inc</t>
  </si>
  <si>
    <t>160.69%</t>
  </si>
  <si>
    <t>121.03 - 181.48</t>
  </si>
  <si>
    <t>2736.27%</t>
  </si>
  <si>
    <t>ScanTech AI Systems Inc</t>
  </si>
  <si>
    <t>-75.68%</t>
  </si>
  <si>
    <t>-72.36%</t>
  </si>
  <si>
    <t>-96.51%</t>
  </si>
  <si>
    <t>0.35 - 12.19</t>
  </si>
  <si>
    <t>-35.50%</t>
  </si>
  <si>
    <t>-81.73%</t>
  </si>
  <si>
    <t>Carlyle Group Inc</t>
  </si>
  <si>
    <t>57.26%</t>
  </si>
  <si>
    <t>33.02 - 69.85</t>
  </si>
  <si>
    <t>477.40%</t>
  </si>
  <si>
    <t>Microchip Technology, Inc</t>
  </si>
  <si>
    <t>-35.70%</t>
  </si>
  <si>
    <t>101.30%</t>
  </si>
  <si>
    <t>34.12 - 81.64</t>
  </si>
  <si>
    <t>20576.54%</t>
  </si>
  <si>
    <t>Twist Bioscience Corp</t>
  </si>
  <si>
    <t>163.60%</t>
  </si>
  <si>
    <t>113.35%</t>
  </si>
  <si>
    <t>-39.30%</t>
  </si>
  <si>
    <t>-29.00%</t>
  </si>
  <si>
    <t>24.07 - 55.33</t>
  </si>
  <si>
    <t>-87.66%</t>
  </si>
  <si>
    <t>130.58%</t>
  </si>
  <si>
    <t>-43.12%</t>
  </si>
  <si>
    <t>NanoVibronix Inc</t>
  </si>
  <si>
    <t>32.06%</t>
  </si>
  <si>
    <t>-349.21%</t>
  </si>
  <si>
    <t>-231.89%</t>
  </si>
  <si>
    <t>-80.87%</t>
  </si>
  <si>
    <t>-96.38%</t>
  </si>
  <si>
    <t>4.71 - 162.50</t>
  </si>
  <si>
    <t>-91.38%</t>
  </si>
  <si>
    <t>Geron Corp</t>
  </si>
  <si>
    <t>11877.28%</t>
  </si>
  <si>
    <t>280.92%</t>
  </si>
  <si>
    <t>178.45%</t>
  </si>
  <si>
    <t>5459.64%</t>
  </si>
  <si>
    <t>-53.52%</t>
  </si>
  <si>
    <t>-72.27%</t>
  </si>
  <si>
    <t>1.09 - 4.65</t>
  </si>
  <si>
    <t>-71.97%</t>
  </si>
  <si>
    <t>Mueller Water Products Inc</t>
  </si>
  <si>
    <t>99.64%</t>
  </si>
  <si>
    <t>21.12 - 28.58</t>
  </si>
  <si>
    <t>1596.08%</t>
  </si>
  <si>
    <t>American Bitcoin Corp</t>
  </si>
  <si>
    <t>162.50%</t>
  </si>
  <si>
    <t>-63.01%</t>
  </si>
  <si>
    <t>-174.54%</t>
  </si>
  <si>
    <t>-163.19%</t>
  </si>
  <si>
    <t>-55.30%</t>
  </si>
  <si>
    <t>-55.70%</t>
  </si>
  <si>
    <t>934.26%</t>
  </si>
  <si>
    <t>0.63 - 14.65</t>
  </si>
  <si>
    <t>597.85%</t>
  </si>
  <si>
    <t>129.82%</t>
  </si>
  <si>
    <t>ImmunityBio Inc</t>
  </si>
  <si>
    <t>43.55%</t>
  </si>
  <si>
    <t>4227.22%</t>
  </si>
  <si>
    <t>150.86%</t>
  </si>
  <si>
    <t>221.39%</t>
  </si>
  <si>
    <t>2423.88%</t>
  </si>
  <si>
    <t>-504.18%</t>
  </si>
  <si>
    <t>-648.57%</t>
  </si>
  <si>
    <t>1.83 - 7.48</t>
  </si>
  <si>
    <t>-94.55%</t>
  </si>
  <si>
    <t>165.98%</t>
  </si>
  <si>
    <t>Cisco Systems, Inc</t>
  </si>
  <si>
    <t>78.24%</t>
  </si>
  <si>
    <t>52.11 - 72.55</t>
  </si>
  <si>
    <t>97450.96%</t>
  </si>
  <si>
    <t>Rani Therapeutics Holdings Inc</t>
  </si>
  <si>
    <t>-35.62%</t>
  </si>
  <si>
    <t>-3796.75%</t>
  </si>
  <si>
    <t>-2473.83%</t>
  </si>
  <si>
    <t>-87.19%</t>
  </si>
  <si>
    <t>0.39 - 3.75</t>
  </si>
  <si>
    <t>-64.16%</t>
  </si>
  <si>
    <t>-78.17%</t>
  </si>
  <si>
    <t>Salesforce Inc</t>
  </si>
  <si>
    <t>62.50%</t>
  </si>
  <si>
    <t>112.11%</t>
  </si>
  <si>
    <t>82.43%</t>
  </si>
  <si>
    <t>-34.41%</t>
  </si>
  <si>
    <t>226.48 - 369.00</t>
  </si>
  <si>
    <t>10657.33%</t>
  </si>
  <si>
    <t>Mira Pharmaceuticals Inc</t>
  </si>
  <si>
    <t>-224.25%</t>
  </si>
  <si>
    <t>0.73 - 2.56</t>
  </si>
  <si>
    <t>-83.53%</t>
  </si>
  <si>
    <t>157.63%</t>
  </si>
  <si>
    <t>Bio-Techne Corp</t>
  </si>
  <si>
    <t>46.01 - 80.80</t>
  </si>
  <si>
    <t>-62.06%</t>
  </si>
  <si>
    <t>65932.00%</t>
  </si>
  <si>
    <t>Krispy Kreme Inc</t>
  </si>
  <si>
    <t>4/23/2025</t>
  </si>
  <si>
    <t>782.12%</t>
  </si>
  <si>
    <t>-346.43%</t>
  </si>
  <si>
    <t>-44.33%</t>
  </si>
  <si>
    <t>-74.84%</t>
  </si>
  <si>
    <t>2.50 - 12.68</t>
  </si>
  <si>
    <t>-85.29%</t>
  </si>
  <si>
    <t>-71.94%</t>
  </si>
  <si>
    <t>Akamai Technologies Inc</t>
  </si>
  <si>
    <t>54.94%</t>
  </si>
  <si>
    <t>-29.39%</t>
  </si>
  <si>
    <t>67.51 - 106.80</t>
  </si>
  <si>
    <t>13366.96%</t>
  </si>
  <si>
    <t>-25.95%</t>
  </si>
  <si>
    <t>Okta Inc</t>
  </si>
  <si>
    <t>89.58%</t>
  </si>
  <si>
    <t>76.91%</t>
  </si>
  <si>
    <t>-29.45%</t>
  </si>
  <si>
    <t>70.92 - 127.57</t>
  </si>
  <si>
    <t>-69.39%</t>
  </si>
  <si>
    <t>318.23%</t>
  </si>
  <si>
    <t>Summit Therapeutics Inc</t>
  </si>
  <si>
    <t>-737.00%</t>
  </si>
  <si>
    <t>-44.78%</t>
  </si>
  <si>
    <t>15.55 - 36.91</t>
  </si>
  <si>
    <t>2987.88%</t>
  </si>
  <si>
    <t>Estee Lauder Cos., Inc</t>
  </si>
  <si>
    <t>244.24%</t>
  </si>
  <si>
    <t>73.91%</t>
  </si>
  <si>
    <t>48.37 - 103.44</t>
  </si>
  <si>
    <t>-77.04%</t>
  </si>
  <si>
    <t>982.27%</t>
  </si>
  <si>
    <t>Gaming and Leisure Properties Inc</t>
  </si>
  <si>
    <t>106.04%</t>
  </si>
  <si>
    <t>44.48 - 52.25</t>
  </si>
  <si>
    <t>278.57%</t>
  </si>
  <si>
    <t>Equitable Holdings Inc</t>
  </si>
  <si>
    <t>100.04%</t>
  </si>
  <si>
    <t>40.81 - 56.61</t>
  </si>
  <si>
    <t>430.23%</t>
  </si>
  <si>
    <t>Surf Air Mobility Inc</t>
  </si>
  <si>
    <t>-53.48%</t>
  </si>
  <si>
    <t>-33.63%</t>
  </si>
  <si>
    <t>267.41%</t>
  </si>
  <si>
    <t>1.12 - 9.91</t>
  </si>
  <si>
    <t>357.22%</t>
  </si>
  <si>
    <t>248.73%</t>
  </si>
  <si>
    <t>Crown Castle Inc</t>
  </si>
  <si>
    <t>40.37%</t>
  </si>
  <si>
    <t>95.43%</t>
  </si>
  <si>
    <t>50.63%</t>
  </si>
  <si>
    <t>-65.58%</t>
  </si>
  <si>
    <t>-20.31%</t>
  </si>
  <si>
    <t>84.20 - 119.56</t>
  </si>
  <si>
    <t>-54.02%</t>
  </si>
  <si>
    <t>9549.41%</t>
  </si>
  <si>
    <t>Equity Residential Properties Trust</t>
  </si>
  <si>
    <t>29.97%</t>
  </si>
  <si>
    <t>-17.86%</t>
  </si>
  <si>
    <t>59.41 - 78.32</t>
  </si>
  <si>
    <t>520.52%</t>
  </si>
  <si>
    <t>Camping World Holdings Inc</t>
  </si>
  <si>
    <t>-25.10%</t>
  </si>
  <si>
    <t>11.17 - 25.97</t>
  </si>
  <si>
    <t>404.21%</t>
  </si>
  <si>
    <t>TripAdvisor Inc</t>
  </si>
  <si>
    <t>65.78%</t>
  </si>
  <si>
    <t>10.43 - 20.16</t>
  </si>
  <si>
    <t>-82.62%</t>
  </si>
  <si>
    <t>LifeMD Inc</t>
  </si>
  <si>
    <t>-622.89%</t>
  </si>
  <si>
    <t>82.71%</t>
  </si>
  <si>
    <t>-59.97%</t>
  </si>
  <si>
    <t>3.99 - 15.84</t>
  </si>
  <si>
    <t>-80.80%</t>
  </si>
  <si>
    <t>4126.67%</t>
  </si>
  <si>
    <t>Advanced Micro Devices Inc</t>
  </si>
  <si>
    <t>106.43%</t>
  </si>
  <si>
    <t>76.48 - 186.65</t>
  </si>
  <si>
    <t>-30.54%</t>
  </si>
  <si>
    <t>9706.21%</t>
  </si>
  <si>
    <t>Newegg Commerce Inc</t>
  </si>
  <si>
    <t>403.07%</t>
  </si>
  <si>
    <t>105.29%</t>
  </si>
  <si>
    <t>1201.17%</t>
  </si>
  <si>
    <t>3.32 - 137.84</t>
  </si>
  <si>
    <t>-98.00%</t>
  </si>
  <si>
    <t>257.62%</t>
  </si>
  <si>
    <t>712.64%</t>
  </si>
  <si>
    <t>183.76%</t>
  </si>
  <si>
    <t>McDonald's Corp</t>
  </si>
  <si>
    <t>276.53 - 326.32</t>
  </si>
  <si>
    <t>13304.20%</t>
  </si>
  <si>
    <t>BRC Inc</t>
  </si>
  <si>
    <t>-133.33%</t>
  </si>
  <si>
    <t>37.23%</t>
  </si>
  <si>
    <t>1.19 - 3.61</t>
  </si>
  <si>
    <t>AdaptHealth Corp</t>
  </si>
  <si>
    <t>78.20%</t>
  </si>
  <si>
    <t>-23.39%</t>
  </si>
  <si>
    <t>7.11 - 11.63</t>
  </si>
  <si>
    <t>-78.57%</t>
  </si>
  <si>
    <t>Netstreit Corp</t>
  </si>
  <si>
    <t>100.71%</t>
  </si>
  <si>
    <t>13.42 - 19.18</t>
  </si>
  <si>
    <t>SEMrush Holdings Inc</t>
  </si>
  <si>
    <t>7.01 - 18.74</t>
  </si>
  <si>
    <t>-24.26%</t>
  </si>
  <si>
    <t>Carnival Corp</t>
  </si>
  <si>
    <t>2/20/2020</t>
  </si>
  <si>
    <t>135.82%</t>
  </si>
  <si>
    <t>15.07 - 32.80</t>
  </si>
  <si>
    <t>-58.17%</t>
  </si>
  <si>
    <t>1462.68%</t>
  </si>
  <si>
    <t>Aeva Technologies Inc</t>
  </si>
  <si>
    <t>-678.17%</t>
  </si>
  <si>
    <t>173.91%</t>
  </si>
  <si>
    <t>-994.26%</t>
  </si>
  <si>
    <t>-2178.31%</t>
  </si>
  <si>
    <t>-60.54%</t>
  </si>
  <si>
    <t>507.54%</t>
  </si>
  <si>
    <t>2.52 - 38.80</t>
  </si>
  <si>
    <t>-85.98%</t>
  </si>
  <si>
    <t>595.69%</t>
  </si>
  <si>
    <t>139.97%</t>
  </si>
  <si>
    <t>359.76%</t>
  </si>
  <si>
    <t>Indie Semiconductor Inc</t>
  </si>
  <si>
    <t>88.47%</t>
  </si>
  <si>
    <t>41.08%</t>
  </si>
  <si>
    <t>-71.59%</t>
  </si>
  <si>
    <t>-29.53%</t>
  </si>
  <si>
    <t>156.54%</t>
  </si>
  <si>
    <t>1.53 - 5.57</t>
  </si>
  <si>
    <t>-75.96%</t>
  </si>
  <si>
    <t>73.67%</t>
  </si>
  <si>
    <t>Transmedics Group Inc</t>
  </si>
  <si>
    <t>55.29%</t>
  </si>
  <si>
    <t>79.64%</t>
  </si>
  <si>
    <t>104.44%</t>
  </si>
  <si>
    <t>109.11%</t>
  </si>
  <si>
    <t>55.00 - 160.80</t>
  </si>
  <si>
    <t>1035.69%</t>
  </si>
  <si>
    <t>61.23%</t>
  </si>
  <si>
    <t>Marsh &amp; McLennan Cos., Inc</t>
  </si>
  <si>
    <t>-19.43%</t>
  </si>
  <si>
    <t>195.01 - 248.00</t>
  </si>
  <si>
    <t>6606.74%</t>
  </si>
  <si>
    <t>MGM Resorts International</t>
  </si>
  <si>
    <t>12/8/2022</t>
  </si>
  <si>
    <t>25.30 - 42.53</t>
  </si>
  <si>
    <t>1849.72%</t>
  </si>
  <si>
    <t>Aramark</t>
  </si>
  <si>
    <t>29.92 - 44.49</t>
  </si>
  <si>
    <t>448.35%</t>
  </si>
  <si>
    <t>Digi Power X Inc</t>
  </si>
  <si>
    <t>-63.74%</t>
  </si>
  <si>
    <t>-44.47%</t>
  </si>
  <si>
    <t>0.85 - 4.25</t>
  </si>
  <si>
    <t>-98.63%</t>
  </si>
  <si>
    <t>3833.33%</t>
  </si>
  <si>
    <t>105.22%</t>
  </si>
  <si>
    <t>Ascent Solar Technologies Inc</t>
  </si>
  <si>
    <t>-38.86%</t>
  </si>
  <si>
    <t>-1635.99%</t>
  </si>
  <si>
    <t>-18333.60%</t>
  </si>
  <si>
    <t>-16821.93%</t>
  </si>
  <si>
    <t>1.10 - 4.41</t>
  </si>
  <si>
    <t>RLJ Lodging Trust</t>
  </si>
  <si>
    <t>132.08%</t>
  </si>
  <si>
    <t>182.68%</t>
  </si>
  <si>
    <t>-31.24%</t>
  </si>
  <si>
    <t>6.16 - 10.83</t>
  </si>
  <si>
    <t>-78.38%</t>
  </si>
  <si>
    <t>Tenon Medical Inc</t>
  </si>
  <si>
    <t>-25.43%</t>
  </si>
  <si>
    <t>64.59%</t>
  </si>
  <si>
    <t>173.72%</t>
  </si>
  <si>
    <t>127.61%</t>
  </si>
  <si>
    <t>-438.48%</t>
  </si>
  <si>
    <t>-429.45%</t>
  </si>
  <si>
    <t>-79.83%</t>
  </si>
  <si>
    <t>0.85 - 5.85</t>
  </si>
  <si>
    <t>-57.86%</t>
  </si>
  <si>
    <t>-70.65%</t>
  </si>
  <si>
    <t>Select Medical Holdings Corporation</t>
  </si>
  <si>
    <t>82.04%</t>
  </si>
  <si>
    <t>11.65 - 22.07</t>
  </si>
  <si>
    <t>389.90%</t>
  </si>
  <si>
    <t>-34.43%</t>
  </si>
  <si>
    <t>Dynavax Technologies Corp</t>
  </si>
  <si>
    <t>52.08%</t>
  </si>
  <si>
    <t>51.08%</t>
  </si>
  <si>
    <t>-76.26%</t>
  </si>
  <si>
    <t>96.75%</t>
  </si>
  <si>
    <t>82.83%</t>
  </si>
  <si>
    <t>9.20 - 14.63</t>
  </si>
  <si>
    <t>550.33%</t>
  </si>
  <si>
    <t>Solid Power Inc</t>
  </si>
  <si>
    <t>-27.17%</t>
  </si>
  <si>
    <t>75.91%</t>
  </si>
  <si>
    <t>-452.27%</t>
  </si>
  <si>
    <t>-412.62%</t>
  </si>
  <si>
    <t>453.90%</t>
  </si>
  <si>
    <t>-74.64%</t>
  </si>
  <si>
    <t>239.32%</t>
  </si>
  <si>
    <t>XBP Global Holdings Inc</t>
  </si>
  <si>
    <t>-96.89%</t>
  </si>
  <si>
    <t>-70.24%</t>
  </si>
  <si>
    <t>0.41 - 2.56</t>
  </si>
  <si>
    <t>-44.80%</t>
  </si>
  <si>
    <t>DXC Technology Co</t>
  </si>
  <si>
    <t>3/24/2020</t>
  </si>
  <si>
    <t>-44.88%</t>
  </si>
  <si>
    <t>12.24 - 24.83</t>
  </si>
  <si>
    <t>1948.69%</t>
  </si>
  <si>
    <t>-32.35%</t>
  </si>
  <si>
    <t>AMC Entertainment Holdings Inc</t>
  </si>
  <si>
    <t>64.39%</t>
  </si>
  <si>
    <t>2.45 - 5.56</t>
  </si>
  <si>
    <t>Ferguson Enterprises Inc</t>
  </si>
  <si>
    <t>95.11%</t>
  </si>
  <si>
    <t>146.00 - 243.40</t>
  </si>
  <si>
    <t>2719.92%</t>
  </si>
  <si>
    <t>Federal Signal Corp</t>
  </si>
  <si>
    <t>101.49%</t>
  </si>
  <si>
    <t>84.17%</t>
  </si>
  <si>
    <t>66.47 - 130.30</t>
  </si>
  <si>
    <t>4704.16%</t>
  </si>
  <si>
    <t>MindWalk Holdings Corp</t>
  </si>
  <si>
    <t>-129.10%</t>
  </si>
  <si>
    <t>0.27 - 3.25</t>
  </si>
  <si>
    <t>-95.79%</t>
  </si>
  <si>
    <t>9130.77%</t>
  </si>
  <si>
    <t>308.81%</t>
  </si>
  <si>
    <t>178.21%</t>
  </si>
  <si>
    <t>Identiv Inc</t>
  </si>
  <si>
    <t>51.37%</t>
  </si>
  <si>
    <t>-113.91%</t>
  </si>
  <si>
    <t>-125.40%</t>
  </si>
  <si>
    <t>2.86 - 4.29</t>
  </si>
  <si>
    <t>160.05%</t>
  </si>
  <si>
    <t>['50 SMA above 200 SMA (Golden cross)', 'Performance 1Y (1Y up)', 'Performance 3M (3M up)', 'Performance 6M (6M up)', 'RSI (14) High (RSI &gt; 60)']</t>
  </si>
  <si>
    <t>Q/C Technologies Inc</t>
  </si>
  <si>
    <t>-87.87%</t>
  </si>
  <si>
    <t>-72.23%</t>
  </si>
  <si>
    <t>49.07%</t>
  </si>
  <si>
    <t>3.24 - 195.00</t>
  </si>
  <si>
    <t>Edison International</t>
  </si>
  <si>
    <t>91.15%</t>
  </si>
  <si>
    <t>47.73 - 88.64</t>
  </si>
  <si>
    <t>-38.88%</t>
  </si>
  <si>
    <t>768.16%</t>
  </si>
  <si>
    <t>-36.86%</t>
  </si>
  <si>
    <t>American International Group Inc</t>
  </si>
  <si>
    <t>69.24 - 88.07</t>
  </si>
  <si>
    <t>-95.48%</t>
  </si>
  <si>
    <t>1322.37%</t>
  </si>
  <si>
    <t>3M Co</t>
  </si>
  <si>
    <t>-39.83%</t>
  </si>
  <si>
    <t>121.98 - 164.15</t>
  </si>
  <si>
    <t>2099.13%</t>
  </si>
  <si>
    <t>Sabra Healthcare REIT Inc</t>
  </si>
  <si>
    <t>223.55%</t>
  </si>
  <si>
    <t>15.60 - 19.99</t>
  </si>
  <si>
    <t>10570.49%</t>
  </si>
  <si>
    <t>Campbells Co</t>
  </si>
  <si>
    <t>76.74%</t>
  </si>
  <si>
    <t>63.39%</t>
  </si>
  <si>
    <t>29.39 - 49.74</t>
  </si>
  <si>
    <t>-52.16%</t>
  </si>
  <si>
    <t>912.55%</t>
  </si>
  <si>
    <t>Cyngn Inc</t>
  </si>
  <si>
    <t>445.29%</t>
  </si>
  <si>
    <t>289.22%</t>
  </si>
  <si>
    <t>-248.78%</t>
  </si>
  <si>
    <t>-5005.64%</t>
  </si>
  <si>
    <t>-7020.69%</t>
  </si>
  <si>
    <t>-85.34%</t>
  </si>
  <si>
    <t>-99.57%</t>
  </si>
  <si>
    <t>55.25%</t>
  </si>
  <si>
    <t>3.62 - 1312.50</t>
  </si>
  <si>
    <t>ManpowerGroup</t>
  </si>
  <si>
    <t>102.53%</t>
  </si>
  <si>
    <t>-24.22%</t>
  </si>
  <si>
    <t>-48.82%</t>
  </si>
  <si>
    <t>36.96 - 75.17</t>
  </si>
  <si>
    <t>-71.91%</t>
  </si>
  <si>
    <t>321.59%</t>
  </si>
  <si>
    <t>-35.17%</t>
  </si>
  <si>
    <t>-47.92%</t>
  </si>
  <si>
    <t>Future FinTech Group Inc</t>
  </si>
  <si>
    <t>-42.46%</t>
  </si>
  <si>
    <t>-88.18%</t>
  </si>
  <si>
    <t>-209.06%</t>
  </si>
  <si>
    <t>-46.65%</t>
  </si>
  <si>
    <t>104.95%</t>
  </si>
  <si>
    <t>1.01 - 5.70</t>
  </si>
  <si>
    <t>-40.86%</t>
  </si>
  <si>
    <t>Ralliant Corp</t>
  </si>
  <si>
    <t>40.70 - 55.08</t>
  </si>
  <si>
    <t>Sow Good Inc</t>
  </si>
  <si>
    <t>612.52%</t>
  </si>
  <si>
    <t>-88.14%</t>
  </si>
  <si>
    <t>-149.49%</t>
  </si>
  <si>
    <t>-154.30%</t>
  </si>
  <si>
    <t>-93.76%</t>
  </si>
  <si>
    <t>0.51 - 12.13</t>
  </si>
  <si>
    <t>-93.09%</t>
  </si>
  <si>
    <t>Vestis Corp</t>
  </si>
  <si>
    <t>-34.27%</t>
  </si>
  <si>
    <t>-120.12%</t>
  </si>
  <si>
    <t>392.64%</t>
  </si>
  <si>
    <t>107.16%</t>
  </si>
  <si>
    <t>-52.10%</t>
  </si>
  <si>
    <t>3.98 - 17.83</t>
  </si>
  <si>
    <t>-80.67%</t>
  </si>
  <si>
    <t>Microbot Medical Inc</t>
  </si>
  <si>
    <t>-30.52%</t>
  </si>
  <si>
    <t>278.21%</t>
  </si>
  <si>
    <t>0.86 - 4.67</t>
  </si>
  <si>
    <t>295.70%</t>
  </si>
  <si>
    <t>112.07%</t>
  </si>
  <si>
    <t>279.14%</t>
  </si>
  <si>
    <t>Netflix Inc</t>
  </si>
  <si>
    <t>83.67%</t>
  </si>
  <si>
    <t>29.12%</t>
  </si>
  <si>
    <t>677.88 - 1341.15</t>
  </si>
  <si>
    <t>347755.88%</t>
  </si>
  <si>
    <t>Trimble Inc</t>
  </si>
  <si>
    <t>-24.65%</t>
  </si>
  <si>
    <t>52.91 - 87.50</t>
  </si>
  <si>
    <t>8268.17%</t>
  </si>
  <si>
    <t>37.04%</t>
  </si>
  <si>
    <t>Brookfield Asset Management Ltd</t>
  </si>
  <si>
    <t>531.03%</t>
  </si>
  <si>
    <t>2170.83%</t>
  </si>
  <si>
    <t>41.78 - 64.10</t>
  </si>
  <si>
    <t>Avidity Biosciences Inc</t>
  </si>
  <si>
    <t>-4863.30%</t>
  </si>
  <si>
    <t>-4247.77%</t>
  </si>
  <si>
    <t>93.82%</t>
  </si>
  <si>
    <t>21.51 - 56.00</t>
  </si>
  <si>
    <t>764.04%</t>
  </si>
  <si>
    <t>43.61%</t>
  </si>
  <si>
    <t>HCW Biologics Inc</t>
  </si>
  <si>
    <t>-98.94%</t>
  </si>
  <si>
    <t>-477.22%</t>
  </si>
  <si>
    <t>34.34%</t>
  </si>
  <si>
    <t>-162.73%</t>
  </si>
  <si>
    <t>-1534.31%</t>
  </si>
  <si>
    <t>-2588.00%</t>
  </si>
  <si>
    <t>-56.28%</t>
  </si>
  <si>
    <t>-95.97%</t>
  </si>
  <si>
    <t>2.77 - 100.80</t>
  </si>
  <si>
    <t>-98.69%</t>
  </si>
  <si>
    <t>-81.55%</t>
  </si>
  <si>
    <t>Bed Bath &amp; Beyond Inc</t>
  </si>
  <si>
    <t>3/12/2020</t>
  </si>
  <si>
    <t>3.54 - 11.67</t>
  </si>
  <si>
    <t>-92.86%</t>
  </si>
  <si>
    <t>262.45%</t>
  </si>
  <si>
    <t>37.48%</t>
  </si>
  <si>
    <t>64.04%</t>
  </si>
  <si>
    <t>INmune Bio Inc</t>
  </si>
  <si>
    <t>-41.18%</t>
  </si>
  <si>
    <t>-57.39%</t>
  </si>
  <si>
    <t>-173.44%</t>
  </si>
  <si>
    <t>-79430.00%</t>
  </si>
  <si>
    <t>-111016.00%</t>
  </si>
  <si>
    <t>-64.54%</t>
  </si>
  <si>
    <t>-82.47%</t>
  </si>
  <si>
    <t>1.71 - 11.64</t>
  </si>
  <si>
    <t>-93.28%</t>
  </si>
  <si>
    <t>-61.73%</t>
  </si>
  <si>
    <t>-72.47%</t>
  </si>
  <si>
    <t>Cooper Companies, Inc</t>
  </si>
  <si>
    <t>7/26/2023</t>
  </si>
  <si>
    <t>-49.03%</t>
  </si>
  <si>
    <t>102.31%</t>
  </si>
  <si>
    <t>62.03%</t>
  </si>
  <si>
    <t>61.78 - 111.44</t>
  </si>
  <si>
    <t>71768.80%</t>
  </si>
  <si>
    <t>Corebridge Financial Inc</t>
  </si>
  <si>
    <t>116.91%</t>
  </si>
  <si>
    <t>70.02%</t>
  </si>
  <si>
    <t>39.24%</t>
  </si>
  <si>
    <t>23.69 - 36.57</t>
  </si>
  <si>
    <t>159.38%</t>
  </si>
  <si>
    <t>Cintas Corporation</t>
  </si>
  <si>
    <t>65.13%</t>
  </si>
  <si>
    <t>180.78 - 229.24</t>
  </si>
  <si>
    <t>78197.75%</t>
  </si>
  <si>
    <t>ON Semiconductor Corp</t>
  </si>
  <si>
    <t>107.20%</t>
  </si>
  <si>
    <t>-34.93%</t>
  </si>
  <si>
    <t>59.44%</t>
  </si>
  <si>
    <t>31.04 - 76.06</t>
  </si>
  <si>
    <t>-55.55%</t>
  </si>
  <si>
    <t>5460.67%</t>
  </si>
  <si>
    <t>Ginkgo Bioworks Holdings Inc</t>
  </si>
  <si>
    <t>-133.26%</t>
  </si>
  <si>
    <t>-136.56%</t>
  </si>
  <si>
    <t>-34.18%</t>
  </si>
  <si>
    <t>121.80%</t>
  </si>
  <si>
    <t>5.00 - 16.85</t>
  </si>
  <si>
    <t>68.29%</t>
  </si>
  <si>
    <t>Leslies Inc</t>
  </si>
  <si>
    <t>73.63%</t>
  </si>
  <si>
    <t>-67.13%</t>
  </si>
  <si>
    <t>-53.32%</t>
  </si>
  <si>
    <t>0.27 - 3.63</t>
  </si>
  <si>
    <t>-29.64%</t>
  </si>
  <si>
    <t>-63.58%</t>
  </si>
  <si>
    <t>-89.08%</t>
  </si>
  <si>
    <t>Republic Services, Inc</t>
  </si>
  <si>
    <t>197.60 - 258.75</t>
  </si>
  <si>
    <t>3767.80%</t>
  </si>
  <si>
    <t>Cadence Design Systems, Inc</t>
  </si>
  <si>
    <t>57.01%</t>
  </si>
  <si>
    <t>221.56 - 376.45</t>
  </si>
  <si>
    <t>43772.73%</t>
  </si>
  <si>
    <t>Biohaven Ltd</t>
  </si>
  <si>
    <t>82.81%</t>
  </si>
  <si>
    <t>-40.22%</t>
  </si>
  <si>
    <t>12.79 - 55.70</t>
  </si>
  <si>
    <t>155.51%</t>
  </si>
  <si>
    <t>-50.14%</t>
  </si>
  <si>
    <t>-68.57%</t>
  </si>
  <si>
    <t>Box Inc</t>
  </si>
  <si>
    <t>107.98%</t>
  </si>
  <si>
    <t>28.00 - 38.80</t>
  </si>
  <si>
    <t>272.51%</t>
  </si>
  <si>
    <t>ADTRAN Holdings Inc</t>
  </si>
  <si>
    <t>8/18/2023</t>
  </si>
  <si>
    <t>-219.38%</t>
  </si>
  <si>
    <t>-39.20%</t>
  </si>
  <si>
    <t>5.67 - 12.44</t>
  </si>
  <si>
    <t>-80.57%</t>
  </si>
  <si>
    <t>Waste Management, Inc</t>
  </si>
  <si>
    <t>83.05%</t>
  </si>
  <si>
    <t>199.69 - 242.58</t>
  </si>
  <si>
    <t>15856.36%</t>
  </si>
  <si>
    <t>GE Vernova Inc</t>
  </si>
  <si>
    <t>146.09%</t>
  </si>
  <si>
    <t>247.07 - 677.29</t>
  </si>
  <si>
    <t>428.70%</t>
  </si>
  <si>
    <t>100.66%</t>
  </si>
  <si>
    <t>Philip Morris International Inc</t>
  </si>
  <si>
    <t>117.24%</t>
  </si>
  <si>
    <t>81.75%</t>
  </si>
  <si>
    <t>40.80%</t>
  </si>
  <si>
    <t>116.12 - 186.69</t>
  </si>
  <si>
    <t>410.28%</t>
  </si>
  <si>
    <t>Empery Digital Inc</t>
  </si>
  <si>
    <t>107.97%</t>
  </si>
  <si>
    <t>-335.13%</t>
  </si>
  <si>
    <t>-674.48%</t>
  </si>
  <si>
    <t>-720.10%</t>
  </si>
  <si>
    <t>-82.82%</t>
  </si>
  <si>
    <t>-90.63%</t>
  </si>
  <si>
    <t>72.16%</t>
  </si>
  <si>
    <t>4.40 - 80.80</t>
  </si>
  <si>
    <t>-90.61%</t>
  </si>
  <si>
    <t>VerifyMe Inc</t>
  </si>
  <si>
    <t>53.86%</t>
  </si>
  <si>
    <t>203.37%</t>
  </si>
  <si>
    <t>150.64%</t>
  </si>
  <si>
    <t>78.40%</t>
  </si>
  <si>
    <t>-82.44%</t>
  </si>
  <si>
    <t>0.55 - 5.00</t>
  </si>
  <si>
    <t>Niagen Bioscience Inc</t>
  </si>
  <si>
    <t>344.44%</t>
  </si>
  <si>
    <t>202.73%</t>
  </si>
  <si>
    <t>3.18 - 14.69</t>
  </si>
  <si>
    <t>-59.31%</t>
  </si>
  <si>
    <t>2817.18%</t>
  </si>
  <si>
    <t>-32.30%</t>
  </si>
  <si>
    <t>Matthews International Corp</t>
  </si>
  <si>
    <t>-19.08%</t>
  </si>
  <si>
    <t>18.50 - 32.24</t>
  </si>
  <si>
    <t>-68.68%</t>
  </si>
  <si>
    <t>680.16%</t>
  </si>
  <si>
    <t>Navitas Semiconductor Corp</t>
  </si>
  <si>
    <t>-164.64%</t>
  </si>
  <si>
    <t>-182.63%</t>
  </si>
  <si>
    <t>312.50%</t>
  </si>
  <si>
    <t>1.52 - 9.48</t>
  </si>
  <si>
    <t>207.35%</t>
  </si>
  <si>
    <t>179.91%</t>
  </si>
  <si>
    <t>OneStream Inc</t>
  </si>
  <si>
    <t>-109.45%</t>
  </si>
  <si>
    <t>264.96%</t>
  </si>
  <si>
    <t>63.60%</t>
  </si>
  <si>
    <t>-68.69%</t>
  </si>
  <si>
    <t>-45.07%</t>
  </si>
  <si>
    <t>-44.04%</t>
  </si>
  <si>
    <t>16.69 - 35.39</t>
  </si>
  <si>
    <t>-41.68%</t>
  </si>
  <si>
    <t>Humacyte Inc</t>
  </si>
  <si>
    <t>-837.90%</t>
  </si>
  <si>
    <t>-13598.04%</t>
  </si>
  <si>
    <t>-7461.49%</t>
  </si>
  <si>
    <t>1.15 - 6.77</t>
  </si>
  <si>
    <t>-90.67%</t>
  </si>
  <si>
    <t>-73.41%</t>
  </si>
  <si>
    <t>Fortive Corp</t>
  </si>
  <si>
    <t>59.78%</t>
  </si>
  <si>
    <t>45.49 - 62.77</t>
  </si>
  <si>
    <t>Capstone Holding Corp</t>
  </si>
  <si>
    <t>-77.69%</t>
  </si>
  <si>
    <t>0.96 - 16.18</t>
  </si>
  <si>
    <t>-95.16%</t>
  </si>
  <si>
    <t>TXNM Energy Inc</t>
  </si>
  <si>
    <t>42.09 - 57.42</t>
  </si>
  <si>
    <t>1015.02%</t>
  </si>
  <si>
    <t>31.23%</t>
  </si>
  <si>
    <t>Senseonics Holdings Inc</t>
  </si>
  <si>
    <t>-254.96%</t>
  </si>
  <si>
    <t>-267.86%</t>
  </si>
  <si>
    <t>-67.39%</t>
  </si>
  <si>
    <t>0.25 - 1.40</t>
  </si>
  <si>
    <t>-35.38%</t>
  </si>
  <si>
    <t>Super Micro Computer Inc</t>
  </si>
  <si>
    <t>59.92%</t>
  </si>
  <si>
    <t>61.71%</t>
  </si>
  <si>
    <t>52.03%</t>
  </si>
  <si>
    <t>158.78%</t>
  </si>
  <si>
    <t>17.25 - 66.44</t>
  </si>
  <si>
    <t>12197.52%</t>
  </si>
  <si>
    <t>Dynatrace Inc</t>
  </si>
  <si>
    <t>80.90%</t>
  </si>
  <si>
    <t>39.30 - 63.00</t>
  </si>
  <si>
    <t>185.40%</t>
  </si>
  <si>
    <t>Evoke Pharma Inc</t>
  </si>
  <si>
    <t>-106.67%</t>
  </si>
  <si>
    <t>96.63%</t>
  </si>
  <si>
    <t>-58.93%</t>
  </si>
  <si>
    <t>1.94 - 12.32</t>
  </si>
  <si>
    <t>Bit Digital Inc</t>
  </si>
  <si>
    <t>422.58%</t>
  </si>
  <si>
    <t>-49.83%</t>
  </si>
  <si>
    <t>70.41%</t>
  </si>
  <si>
    <t>1.69 - 5.74</t>
  </si>
  <si>
    <t>-91.27%</t>
  </si>
  <si>
    <t>928.57%</t>
  </si>
  <si>
    <t>Schrodinger Inc</t>
  </si>
  <si>
    <t>-76.22%</t>
  </si>
  <si>
    <t>16.60 - 28.47</t>
  </si>
  <si>
    <t>Bolt Projects Holdings Inc</t>
  </si>
  <si>
    <t>-1333.27%</t>
  </si>
  <si>
    <t>-375.64%</t>
  </si>
  <si>
    <t>94.14%</t>
  </si>
  <si>
    <t>128.53%</t>
  </si>
  <si>
    <t>1.75 - 25.00</t>
  </si>
  <si>
    <t>-76.75%</t>
  </si>
  <si>
    <t>Treasure Global Inc</t>
  </si>
  <si>
    <t>-79.65%</t>
  </si>
  <si>
    <t>201.19%</t>
  </si>
  <si>
    <t>-58.24%</t>
  </si>
  <si>
    <t>-220.08%</t>
  </si>
  <si>
    <t>-39.33%</t>
  </si>
  <si>
    <t>0.70 - 76.50</t>
  </si>
  <si>
    <t>New Fortress Energy Inc</t>
  </si>
  <si>
    <t>65.73%</t>
  </si>
  <si>
    <t>-235.44%</t>
  </si>
  <si>
    <t>-56.51%</t>
  </si>
  <si>
    <t>-87.06%</t>
  </si>
  <si>
    <t>1.26 - 16.66</t>
  </si>
  <si>
    <t>-78.44%</t>
  </si>
  <si>
    <t>Dare Bioscience Inc</t>
  </si>
  <si>
    <t>-327.61%</t>
  </si>
  <si>
    <t>97.56%</t>
  </si>
  <si>
    <t>-1229.30%</t>
  </si>
  <si>
    <t>-191.61%</t>
  </si>
  <si>
    <t>1.83 - 9.19</t>
  </si>
  <si>
    <t>Bunge Global SA</t>
  </si>
  <si>
    <t>11/17/2025</t>
  </si>
  <si>
    <t>-19.25%</t>
  </si>
  <si>
    <t>67.40 - 99.39</t>
  </si>
  <si>
    <t>-40.55%</t>
  </si>
  <si>
    <t>433.29%</t>
  </si>
  <si>
    <t>Academy Sports and Outdoors Inc</t>
  </si>
  <si>
    <t>112.47%</t>
  </si>
  <si>
    <t>33.34 - 61.25</t>
  </si>
  <si>
    <t>303.57%</t>
  </si>
  <si>
    <t>-20.54%</t>
  </si>
  <si>
    <t>Frequency Electronics, Inc</t>
  </si>
  <si>
    <t>8/8/2024</t>
  </si>
  <si>
    <t>-80.56%</t>
  </si>
  <si>
    <t>150.13%</t>
  </si>
  <si>
    <t>11.71 - 34.84</t>
  </si>
  <si>
    <t>1875.38%</t>
  </si>
  <si>
    <t>145.31%</t>
  </si>
  <si>
    <t>Processa Pharmaceuticals Inc</t>
  </si>
  <si>
    <t>-51.71%</t>
  </si>
  <si>
    <t>-86.77%</t>
  </si>
  <si>
    <t>0.15 - 1.50</t>
  </si>
  <si>
    <t>-85.17%</t>
  </si>
  <si>
    <t>Rocket Lab Corp</t>
  </si>
  <si>
    <t>54.36%</t>
  </si>
  <si>
    <t>91.37%</t>
  </si>
  <si>
    <t>87.68%</t>
  </si>
  <si>
    <t>-36.41%</t>
  </si>
  <si>
    <t>438.12%</t>
  </si>
  <si>
    <t>8.63 - 55.17</t>
  </si>
  <si>
    <t>1238.33%</t>
  </si>
  <si>
    <t>152.12%</t>
  </si>
  <si>
    <t>511.86%</t>
  </si>
  <si>
    <t>Fluor Corporation</t>
  </si>
  <si>
    <t>29.20 - 60.10</t>
  </si>
  <si>
    <t>-58.15%</t>
  </si>
  <si>
    <t>1388.56%</t>
  </si>
  <si>
    <t>Abpro Holdings Inc</t>
  </si>
  <si>
    <t>-62.87%</t>
  </si>
  <si>
    <t>-53.25%</t>
  </si>
  <si>
    <t>0.15 - 13.00</t>
  </si>
  <si>
    <t>-98.06%</t>
  </si>
  <si>
    <t>Apollo Global Management Inc</t>
  </si>
  <si>
    <t>94.49%</t>
  </si>
  <si>
    <t>-27.19%</t>
  </si>
  <si>
    <t>102.58 - 189.49</t>
  </si>
  <si>
    <t>2008.56%</t>
  </si>
  <si>
    <t>Luminar Technologies Inc</t>
  </si>
  <si>
    <t>-388.84%</t>
  </si>
  <si>
    <t>-176.57%</t>
  </si>
  <si>
    <t>-50.87%</t>
  </si>
  <si>
    <t>-45.97%</t>
  </si>
  <si>
    <t>1.58 - 18.60</t>
  </si>
  <si>
    <t>-66.09%</t>
  </si>
  <si>
    <t>Evolent Health Inc</t>
  </si>
  <si>
    <t>-234.77%</t>
  </si>
  <si>
    <t>7.06 - 29.58</t>
  </si>
  <si>
    <t>-77.44%</t>
  </si>
  <si>
    <t>-69.64%</t>
  </si>
  <si>
    <t>Public Service Enterprise Group Inc</t>
  </si>
  <si>
    <t>76.40%</t>
  </si>
  <si>
    <t>74.67 - 95.22</t>
  </si>
  <si>
    <t>1122.66%</t>
  </si>
  <si>
    <t>American Electric Power Company Inc</t>
  </si>
  <si>
    <t>82.08%</t>
  </si>
  <si>
    <t>89.91 - 115.36</t>
  </si>
  <si>
    <t>621.30%</t>
  </si>
  <si>
    <t>Rubrik Inc</t>
  </si>
  <si>
    <t>-72.98%</t>
  </si>
  <si>
    <t>-39.58%</t>
  </si>
  <si>
    <t>169.56%</t>
  </si>
  <si>
    <t>30.35 - 103.00</t>
  </si>
  <si>
    <t>188.67%</t>
  </si>
  <si>
    <t>143.85%</t>
  </si>
  <si>
    <t>Surgery Partners Inc</t>
  </si>
  <si>
    <t>73.79%</t>
  </si>
  <si>
    <t>18.87 - 33.37</t>
  </si>
  <si>
    <t>-68.44%</t>
  </si>
  <si>
    <t>449.00%</t>
  </si>
  <si>
    <t>Brown &amp; Brown, Inc</t>
  </si>
  <si>
    <t>89.99 - 125.68</t>
  </si>
  <si>
    <t>84185.00%</t>
  </si>
  <si>
    <t>Nicolet Bankshares Inc</t>
  </si>
  <si>
    <t>45.33%</t>
  </si>
  <si>
    <t>90.07 - 141.92</t>
  </si>
  <si>
    <t>744.94%</t>
  </si>
  <si>
    <t>Crown Holdings, Inc</t>
  </si>
  <si>
    <t>75.98 - 109.48</t>
  </si>
  <si>
    <t>-26.19%</t>
  </si>
  <si>
    <t>11497.59%</t>
  </si>
  <si>
    <t>Standard BioTools Inc</t>
  </si>
  <si>
    <t>-41.51%</t>
  </si>
  <si>
    <t>47.78%</t>
  </si>
  <si>
    <t>-70.04%</t>
  </si>
  <si>
    <t>-78.12%</t>
  </si>
  <si>
    <t>-43.53%</t>
  </si>
  <si>
    <t>0.92 - 2.32</t>
  </si>
  <si>
    <t>-97.35%</t>
  </si>
  <si>
    <t>Orchid Island Capital Inc</t>
  </si>
  <si>
    <t>250.26%</t>
  </si>
  <si>
    <t>67.17%</t>
  </si>
  <si>
    <t>-582.71%</t>
  </si>
  <si>
    <t>89.62%</t>
  </si>
  <si>
    <t>5.68 - 9.01</t>
  </si>
  <si>
    <t>-89.29%</t>
  </si>
  <si>
    <t>Reliance Global Group Inc</t>
  </si>
  <si>
    <t>74.33%</t>
  </si>
  <si>
    <t>-47.53%</t>
  </si>
  <si>
    <t>-38.40%</t>
  </si>
  <si>
    <t>-54.72%</t>
  </si>
  <si>
    <t>32.30%</t>
  </si>
  <si>
    <t>-82.72%</t>
  </si>
  <si>
    <t>0.67 - 5.11</t>
  </si>
  <si>
    <t>-58.74%</t>
  </si>
  <si>
    <t>-61.77%</t>
  </si>
  <si>
    <t>BTCS Inc</t>
  </si>
  <si>
    <t>373.29%</t>
  </si>
  <si>
    <t>393.98%</t>
  </si>
  <si>
    <t>-125.25%</t>
  </si>
  <si>
    <t>-268.37%</t>
  </si>
  <si>
    <t>46.80%</t>
  </si>
  <si>
    <t>305.91%</t>
  </si>
  <si>
    <t>1.10 - 8.49</t>
  </si>
  <si>
    <t>1577.40%</t>
  </si>
  <si>
    <t>165.77%</t>
  </si>
  <si>
    <t>281.62%</t>
  </si>
  <si>
    <t>Marriott International, Inc</t>
  </si>
  <si>
    <t>205.40 - 307.52</t>
  </si>
  <si>
    <t>2825.34%</t>
  </si>
  <si>
    <t>Jabil Inc</t>
  </si>
  <si>
    <t>98.06%</t>
  </si>
  <si>
    <t>108.66 - 237.14</t>
  </si>
  <si>
    <t>49090.86%</t>
  </si>
  <si>
    <t>90.69%</t>
  </si>
  <si>
    <t>CubeSmart</t>
  </si>
  <si>
    <t>119.04%</t>
  </si>
  <si>
    <t>98.94%</t>
  </si>
  <si>
    <t>34.24 - 53.92</t>
  </si>
  <si>
    <t>-29.36%</t>
  </si>
  <si>
    <t>2925.46%</t>
  </si>
  <si>
    <t>NuScale Power Corporation</t>
  </si>
  <si>
    <t>305.08%</t>
  </si>
  <si>
    <t>134.79%</t>
  </si>
  <si>
    <t>732.89%</t>
  </si>
  <si>
    <t>-233.90%</t>
  </si>
  <si>
    <t>-221.07%</t>
  </si>
  <si>
    <t>254.06%</t>
  </si>
  <si>
    <t>10.71 - 53.50</t>
  </si>
  <si>
    <t>1995.03%</t>
  </si>
  <si>
    <t>135.53%</t>
  </si>
  <si>
    <t>217.32%</t>
  </si>
  <si>
    <t>General Mills, Inc</t>
  </si>
  <si>
    <t>86.50%</t>
  </si>
  <si>
    <t>48.29 - 74.98</t>
  </si>
  <si>
    <t>2606.24%</t>
  </si>
  <si>
    <t>Microsoft Corporation</t>
  </si>
  <si>
    <t>73.20%</t>
  </si>
  <si>
    <t>68.82%</t>
  </si>
  <si>
    <t>36.15%</t>
  </si>
  <si>
    <t>344.79 - 555.45</t>
  </si>
  <si>
    <t>637034.38%</t>
  </si>
  <si>
    <t>Planet Fitness Inc</t>
  </si>
  <si>
    <t>11/18/2016</t>
  </si>
  <si>
    <t>114.97%</t>
  </si>
  <si>
    <t>77.77 - 114.47</t>
  </si>
  <si>
    <t>783.71%</t>
  </si>
  <si>
    <t>O-I Glass Inc</t>
  </si>
  <si>
    <t>2/27/2020</t>
  </si>
  <si>
    <t>9.23 - 16.04</t>
  </si>
  <si>
    <t>-78.53%</t>
  </si>
  <si>
    <t>420.40%</t>
  </si>
  <si>
    <t>Progressive Corp</t>
  </si>
  <si>
    <t>326.09%</t>
  </si>
  <si>
    <t>228.54 - 292.99</t>
  </si>
  <si>
    <t>140505.96%</t>
  </si>
  <si>
    <t>Grindr Inc</t>
  </si>
  <si>
    <t>11.51 - 25.13</t>
  </si>
  <si>
    <t>-77.58%</t>
  </si>
  <si>
    <t>257.10%</t>
  </si>
  <si>
    <t>Udemy Inc</t>
  </si>
  <si>
    <t>5.68 - 10.61</t>
  </si>
  <si>
    <t>SB Financial Group Inc</t>
  </si>
  <si>
    <t>17.10 - 24.48</t>
  </si>
  <si>
    <t>836.21%</t>
  </si>
  <si>
    <t>Telomir Pharmaceuticals Inc</t>
  </si>
  <si>
    <t>-391.99%</t>
  </si>
  <si>
    <t>-50.67%</t>
  </si>
  <si>
    <t>-53.98%</t>
  </si>
  <si>
    <t>1.12 - 7.08</t>
  </si>
  <si>
    <t>-93.11%</t>
  </si>
  <si>
    <t>Life Time Group Holdings Inc</t>
  </si>
  <si>
    <t>61.42%</t>
  </si>
  <si>
    <t>21.49 - 34.99</t>
  </si>
  <si>
    <t>221.60%</t>
  </si>
  <si>
    <t>Exelixis Inc</t>
  </si>
  <si>
    <t>54.60%</t>
  </si>
  <si>
    <t>25.17 - 49.62</t>
  </si>
  <si>
    <t>2988.89%</t>
  </si>
  <si>
    <t>Beyond Air Inc</t>
  </si>
  <si>
    <t>74.09%</t>
  </si>
  <si>
    <t>168.20%</t>
  </si>
  <si>
    <t>157.69%</t>
  </si>
  <si>
    <t>-806.65%</t>
  </si>
  <si>
    <t>-880.72%</t>
  </si>
  <si>
    <t>-49.61%</t>
  </si>
  <si>
    <t>-82.19%</t>
  </si>
  <si>
    <t>2.02 - 13.52</t>
  </si>
  <si>
    <t>-57.16%</t>
  </si>
  <si>
    <t>Soleno Therapeutics Inc</t>
  </si>
  <si>
    <t>96.49%</t>
  </si>
  <si>
    <t>-570.55%</t>
  </si>
  <si>
    <t>-554.49%</t>
  </si>
  <si>
    <t>41.50 - 90.32</t>
  </si>
  <si>
    <t>-91.52%</t>
  </si>
  <si>
    <t>7311.76%</t>
  </si>
  <si>
    <t>Verint Systems, Inc</t>
  </si>
  <si>
    <t>14.15 - 34.80</t>
  </si>
  <si>
    <t>-64.05%</t>
  </si>
  <si>
    <t>1183.89%</t>
  </si>
  <si>
    <t>Rocket Pharmaceuticals Inc</t>
  </si>
  <si>
    <t>85.23%</t>
  </si>
  <si>
    <t>45.66%</t>
  </si>
  <si>
    <t>2.19 - 18.92</t>
  </si>
  <si>
    <t>EOG Resources, Inc</t>
  </si>
  <si>
    <t>102.52 - 138.18</t>
  </si>
  <si>
    <t>6368.99%</t>
  </si>
  <si>
    <t>Confluent Inc</t>
  </si>
  <si>
    <t>-23.27%</t>
  </si>
  <si>
    <t>45.10%</t>
  </si>
  <si>
    <t>74.21%</t>
  </si>
  <si>
    <t>-48.38%</t>
  </si>
  <si>
    <t>15.64 - 37.90</t>
  </si>
  <si>
    <t>-79.40%</t>
  </si>
  <si>
    <t>Altice USA Inc</t>
  </si>
  <si>
    <t>6/7/2018</t>
  </si>
  <si>
    <t>-1113.87%</t>
  </si>
  <si>
    <t>61.89%</t>
  </si>
  <si>
    <t>-17.68%</t>
  </si>
  <si>
    <t>1.95 - 3.20</t>
  </si>
  <si>
    <t>-93.60%</t>
  </si>
  <si>
    <t>Bloomin Brands Inc</t>
  </si>
  <si>
    <t>108.40%</t>
  </si>
  <si>
    <t>6.09 - 17.57</t>
  </si>
  <si>
    <t>-56.92%</t>
  </si>
  <si>
    <t>Regency Centers Corporation</t>
  </si>
  <si>
    <t>128.50%</t>
  </si>
  <si>
    <t>103.44%</t>
  </si>
  <si>
    <t>63.44 - 78.18</t>
  </si>
  <si>
    <t>372.26%</t>
  </si>
  <si>
    <t>Capricor Therapeutics Inc</t>
  </si>
  <si>
    <t>-50.68%</t>
  </si>
  <si>
    <t>349.69%</t>
  </si>
  <si>
    <t>85.83%</t>
  </si>
  <si>
    <t>-548.16%</t>
  </si>
  <si>
    <t>-522.51%</t>
  </si>
  <si>
    <t>5.68 - 23.40</t>
  </si>
  <si>
    <t>-40.81%</t>
  </si>
  <si>
    <t>-44.14%</t>
  </si>
  <si>
    <t>-27.47%</t>
  </si>
  <si>
    <t>Southland Holdings Inc</t>
  </si>
  <si>
    <t>-725.22%</t>
  </si>
  <si>
    <t>-23.35%</t>
  </si>
  <si>
    <t>134.42%</t>
  </si>
  <si>
    <t>1.85 - 4.90</t>
  </si>
  <si>
    <t>-61.05%</t>
  </si>
  <si>
    <t>Arteris Inc</t>
  </si>
  <si>
    <t>5.46 - 14.29</t>
  </si>
  <si>
    <t>-65.47%</t>
  </si>
  <si>
    <t>191.13%</t>
  </si>
  <si>
    <t>Dell Technologies Inc</t>
  </si>
  <si>
    <t>10/21/2025</t>
  </si>
  <si>
    <t>66.25 - 147.66</t>
  </si>
  <si>
    <t>1000.83%</t>
  </si>
  <si>
    <t>Stagwell Inc</t>
  </si>
  <si>
    <t>4.03 - 8.18</t>
  </si>
  <si>
    <t>-81.13%</t>
  </si>
  <si>
    <t>710.75%</t>
  </si>
  <si>
    <t>Amplitude Inc</t>
  </si>
  <si>
    <t>74.14%</t>
  </si>
  <si>
    <t>7.55 - 14.88</t>
  </si>
  <si>
    <t>-86.83%</t>
  </si>
  <si>
    <t>Mustang Bio Inc</t>
  </si>
  <si>
    <t>-150.00%</t>
  </si>
  <si>
    <t>-32.50%</t>
  </si>
  <si>
    <t>-92.71%</t>
  </si>
  <si>
    <t>0.89 - 21.95</t>
  </si>
  <si>
    <t>Mondelez International Inc</t>
  </si>
  <si>
    <t>53.95 - 75.11</t>
  </si>
  <si>
    <t>354.39%</t>
  </si>
  <si>
    <t>Q32 Bio Inc</t>
  </si>
  <si>
    <t>1.35 - 53.17</t>
  </si>
  <si>
    <t>-95.84%</t>
  </si>
  <si>
    <t>NVIDIA Corp</t>
  </si>
  <si>
    <t>96.93%</t>
  </si>
  <si>
    <t>91.83%</t>
  </si>
  <si>
    <t>103.60%</t>
  </si>
  <si>
    <t>86.62 - 184.55</t>
  </si>
  <si>
    <t>528979.97%</t>
  </si>
  <si>
    <t>Asana Inc</t>
  </si>
  <si>
    <t>-27.50%</t>
  </si>
  <si>
    <t>11.08 - 27.77</t>
  </si>
  <si>
    <t>Neumora Therapeutics Inc</t>
  </si>
  <si>
    <t>174.96%</t>
  </si>
  <si>
    <t>0.61 - 17.19</t>
  </si>
  <si>
    <t>-92.00%</t>
  </si>
  <si>
    <t>121.96%</t>
  </si>
  <si>
    <t>52.73%</t>
  </si>
  <si>
    <t>-86.43%</t>
  </si>
  <si>
    <t>Expensify Inc</t>
  </si>
  <si>
    <t>-522.03%</t>
  </si>
  <si>
    <t>1.60 - 4.13</t>
  </si>
  <si>
    <t>Absci Corp</t>
  </si>
  <si>
    <t>-53.31%</t>
  </si>
  <si>
    <t>-205.97%</t>
  </si>
  <si>
    <t>-2846.57%</t>
  </si>
  <si>
    <t>-2737.94%</t>
  </si>
  <si>
    <t>-58.30%</t>
  </si>
  <si>
    <t>2.01 - 6.33</t>
  </si>
  <si>
    <t>137.59%</t>
  </si>
  <si>
    <t>Momentus Inc</t>
  </si>
  <si>
    <t>-84.20%</t>
  </si>
  <si>
    <t>-92.60%</t>
  </si>
  <si>
    <t>-2930.50%</t>
  </si>
  <si>
    <t>-3562.32%</t>
  </si>
  <si>
    <t>-54.77%</t>
  </si>
  <si>
    <t>-48.16%</t>
  </si>
  <si>
    <t>-91.48%</t>
  </si>
  <si>
    <t>1.03 - 14.84</t>
  </si>
  <si>
    <t>-81.76%</t>
  </si>
  <si>
    <t>ProKidney Corp</t>
  </si>
  <si>
    <t>-927.51%</t>
  </si>
  <si>
    <t>-33456.74%</t>
  </si>
  <si>
    <t>-13752.18%</t>
  </si>
  <si>
    <t>-63.83%</t>
  </si>
  <si>
    <t>460.33%</t>
  </si>
  <si>
    <t>0.46 - 7.13</t>
  </si>
  <si>
    <t>285.70%</t>
  </si>
  <si>
    <t>173.57%</t>
  </si>
  <si>
    <t>Grid Dynamics Holdings Inc</t>
  </si>
  <si>
    <t>-68.32%</t>
  </si>
  <si>
    <t>7.37 - 25.50</t>
  </si>
  <si>
    <t>Caribou Biosciences Inc</t>
  </si>
  <si>
    <t>-14.13%</t>
  </si>
  <si>
    <t>-72.45%</t>
  </si>
  <si>
    <t>48.55%</t>
  </si>
  <si>
    <t>-1704.35%</t>
  </si>
  <si>
    <t>-1800.93%</t>
  </si>
  <si>
    <t>-36.79%</t>
  </si>
  <si>
    <t>187.27%</t>
  </si>
  <si>
    <t>0.66 - 3.00</t>
  </si>
  <si>
    <t>-94.19%</t>
  </si>
  <si>
    <t>Aspen Aerogels Inc</t>
  </si>
  <si>
    <t>4.16 - 30.24</t>
  </si>
  <si>
    <t>334.69%</t>
  </si>
  <si>
    <t>-74.54%</t>
  </si>
  <si>
    <t>Byrna Technologies Inc</t>
  </si>
  <si>
    <t>147.45%</t>
  </si>
  <si>
    <t>13.10 - 34.78</t>
  </si>
  <si>
    <t>-47.47%</t>
  </si>
  <si>
    <t>5083.14%</t>
  </si>
  <si>
    <t>-33.44%</t>
  </si>
  <si>
    <t>J.M. Smucker Co</t>
  </si>
  <si>
    <t>88.26%</t>
  </si>
  <si>
    <t>93.30 - 125.42</t>
  </si>
  <si>
    <t>-32.97%</t>
  </si>
  <si>
    <t>2586.90%</t>
  </si>
  <si>
    <t>Clorox Co</t>
  </si>
  <si>
    <t>116.53 - 171.37</t>
  </si>
  <si>
    <t>4286.31%</t>
  </si>
  <si>
    <t>Castellum Inc</t>
  </si>
  <si>
    <t>108.51%</t>
  </si>
  <si>
    <t>-59.89%</t>
  </si>
  <si>
    <t>773.08%</t>
  </si>
  <si>
    <t>0.13 - 2.83</t>
  </si>
  <si>
    <t>2602.38%</t>
  </si>
  <si>
    <t>535.14%</t>
  </si>
  <si>
    <t>Ecolab, Inc</t>
  </si>
  <si>
    <t>221.62 - 286.04</t>
  </si>
  <si>
    <t>20102.79%</t>
  </si>
  <si>
    <t>TSS Inc</t>
  </si>
  <si>
    <t>108.83%</t>
  </si>
  <si>
    <t>328.80%</t>
  </si>
  <si>
    <t>75.49%</t>
  </si>
  <si>
    <t>261.63%</t>
  </si>
  <si>
    <t>-46.71%</t>
  </si>
  <si>
    <t>237.70%</t>
  </si>
  <si>
    <t>5.04 - 31.94</t>
  </si>
  <si>
    <t>85000.00%</t>
  </si>
  <si>
    <t>-43.74%</t>
  </si>
  <si>
    <t>156.33%</t>
  </si>
  <si>
    <t>Ocean Power Technologies</t>
  </si>
  <si>
    <t>-423.11%</t>
  </si>
  <si>
    <t>-425.83%</t>
  </si>
  <si>
    <t>-40.67%</t>
  </si>
  <si>
    <t>281.70%</t>
  </si>
  <si>
    <t>0.14 - 1.75</t>
  </si>
  <si>
    <t>345.00%</t>
  </si>
  <si>
    <t>200.68%</t>
  </si>
  <si>
    <t>CMS Energy Corporation</t>
  </si>
  <si>
    <t>63.97 - 76.45</t>
  </si>
  <si>
    <t>1998.97%</t>
  </si>
  <si>
    <t>Jack In The Box, Inc</t>
  </si>
  <si>
    <t>-12.51%</t>
  </si>
  <si>
    <t>127.57%</t>
  </si>
  <si>
    <t>16.53 - 54.42</t>
  </si>
  <si>
    <t>-84.48%</t>
  </si>
  <si>
    <t>1089.23%</t>
  </si>
  <si>
    <t>Akero Therapeutics Inc</t>
  </si>
  <si>
    <t>107.10%</t>
  </si>
  <si>
    <t>118.87%</t>
  </si>
  <si>
    <t>21.34 - 58.40</t>
  </si>
  <si>
    <t>521.10%</t>
  </si>
  <si>
    <t>66.51%</t>
  </si>
  <si>
    <t>Archer Aviation Inc</t>
  </si>
  <si>
    <t>235.57%</t>
  </si>
  <si>
    <t>2.82 - 13.92</t>
  </si>
  <si>
    <t>-49.11%</t>
  </si>
  <si>
    <t>484.26%</t>
  </si>
  <si>
    <t>Essential Utilities Inc</t>
  </si>
  <si>
    <t>33.18 - 41.65</t>
  </si>
  <si>
    <t>2347.81%</t>
  </si>
  <si>
    <t>Exelon Corp</t>
  </si>
  <si>
    <t>35.94 - 48.11</t>
  </si>
  <si>
    <t>1272.50%</t>
  </si>
  <si>
    <t>Urban Outfitters, Inc</t>
  </si>
  <si>
    <t>109.72%</t>
  </si>
  <si>
    <t>34.76 - 80.71</t>
  </si>
  <si>
    <t>8959.42%</t>
  </si>
  <si>
    <t>40.68%</t>
  </si>
  <si>
    <t>Charles Schwab Corp</t>
  </si>
  <si>
    <t>83.85%</t>
  </si>
  <si>
    <t>62.41 - 99.59</t>
  </si>
  <si>
    <t>78808.34%</t>
  </si>
  <si>
    <t>PMV Pharmaceuticals Inc</t>
  </si>
  <si>
    <t>0.81 - 1.84</t>
  </si>
  <si>
    <t>-97.77%</t>
  </si>
  <si>
    <t>Virgin Galactic Holdings Inc</t>
  </si>
  <si>
    <t>-5323.03%</t>
  </si>
  <si>
    <t>-18967.67%</t>
  </si>
  <si>
    <t>-17828.03%</t>
  </si>
  <si>
    <t>-26.67%</t>
  </si>
  <si>
    <t>2.18 - 8.19</t>
  </si>
  <si>
    <t>AgEagle Aerial Systems Inc</t>
  </si>
  <si>
    <t>114.25%</t>
  </si>
  <si>
    <t>57.42%</t>
  </si>
  <si>
    <t>-268.71%</t>
  </si>
  <si>
    <t>-44.24%</t>
  </si>
  <si>
    <t>177.64%</t>
  </si>
  <si>
    <t>0.72 - 13.68</t>
  </si>
  <si>
    <t>86.12%</t>
  </si>
  <si>
    <t>Sana Biotechnology Inc</t>
  </si>
  <si>
    <t>-94.32%</t>
  </si>
  <si>
    <t>-53.90%</t>
  </si>
  <si>
    <t>167.06%</t>
  </si>
  <si>
    <t>1.26 - 7.30</t>
  </si>
  <si>
    <t>-92.46%</t>
  </si>
  <si>
    <t>82.38%</t>
  </si>
  <si>
    <t>Cogent Communications Holdings Inc</t>
  </si>
  <si>
    <t>29.61 - 86.76</t>
  </si>
  <si>
    <t>-63.82%</t>
  </si>
  <si>
    <t>1074.12%</t>
  </si>
  <si>
    <t>Intuit Inc</t>
  </si>
  <si>
    <t>532.65 - 813.70</t>
  </si>
  <si>
    <t>34490.50%</t>
  </si>
  <si>
    <t>Carpenter Technology Corp</t>
  </si>
  <si>
    <t>217.98%</t>
  </si>
  <si>
    <t>78.64%</t>
  </si>
  <si>
    <t>138.61 - 290.84</t>
  </si>
  <si>
    <t>5151.73%</t>
  </si>
  <si>
    <t>54.84%</t>
  </si>
  <si>
    <t>Avis Budget Group Inc</t>
  </si>
  <si>
    <t>12/14/2023</t>
  </si>
  <si>
    <t>54.03 - 212.81</t>
  </si>
  <si>
    <t>-68.91%</t>
  </si>
  <si>
    <t>49748.86%</t>
  </si>
  <si>
    <t>84.75%</t>
  </si>
  <si>
    <t>Oneok Inc</t>
  </si>
  <si>
    <t>-14.76%</t>
  </si>
  <si>
    <t>70.63 - 118.07</t>
  </si>
  <si>
    <t>6985.43%</t>
  </si>
  <si>
    <t>Duolingo Inc</t>
  </si>
  <si>
    <t>55.10%</t>
  </si>
  <si>
    <t>83.43%</t>
  </si>
  <si>
    <t>71.38%</t>
  </si>
  <si>
    <t>256.63 - 544.93</t>
  </si>
  <si>
    <t>422.57%</t>
  </si>
  <si>
    <t>Ryan Specialty Holdings Inc</t>
  </si>
  <si>
    <t>80.71%</t>
  </si>
  <si>
    <t>50.08 - 77.16</t>
  </si>
  <si>
    <t>120.08%</t>
  </si>
  <si>
    <t>-16.99%</t>
  </si>
  <si>
    <t>Plains GP Holdings LP</t>
  </si>
  <si>
    <t>242.92%</t>
  </si>
  <si>
    <t>16.60 - 22.31</t>
  </si>
  <si>
    <t>-77.92%</t>
  </si>
  <si>
    <t>522.69%</t>
  </si>
  <si>
    <t>Enovix Corporation</t>
  </si>
  <si>
    <t>-81.71%</t>
  </si>
  <si>
    <t>-625.62%</t>
  </si>
  <si>
    <t>-481.35%</t>
  </si>
  <si>
    <t>5.27 - 16.49</t>
  </si>
  <si>
    <t>Charter Communications Inc</t>
  </si>
  <si>
    <t>251.80 - 437.06</t>
  </si>
  <si>
    <t>-66.71%</t>
  </si>
  <si>
    <t>753.89%</t>
  </si>
  <si>
    <t>-28.06%</t>
  </si>
  <si>
    <t>Fortinet Inc</t>
  </si>
  <si>
    <t>70.17%</t>
  </si>
  <si>
    <t>81.29%</t>
  </si>
  <si>
    <t>70.12 - 114.82</t>
  </si>
  <si>
    <t>5622.15%</t>
  </si>
  <si>
    <t>CSX Corp</t>
  </si>
  <si>
    <t>26.22 - 37.25</t>
  </si>
  <si>
    <t>6541.54%</t>
  </si>
  <si>
    <t>Solid Biosciences Inc</t>
  </si>
  <si>
    <t>83.79%</t>
  </si>
  <si>
    <t>143.57%</t>
  </si>
  <si>
    <t>2.41 - 7.72</t>
  </si>
  <si>
    <t>224.31%</t>
  </si>
  <si>
    <t>Xenetic Biosciences Inc</t>
  </si>
  <si>
    <t>-18.79%</t>
  </si>
  <si>
    <t>-104.69%</t>
  </si>
  <si>
    <t>-126.03%</t>
  </si>
  <si>
    <t>2.20 - 5.27</t>
  </si>
  <si>
    <t>Liberty Broadband Corp</t>
  </si>
  <si>
    <t>76.59%</t>
  </si>
  <si>
    <t>57.75 - 97.36</t>
  </si>
  <si>
    <t>Gartner, Inc</t>
  </si>
  <si>
    <t>98.24%</t>
  </si>
  <si>
    <t>-54.78%</t>
  </si>
  <si>
    <t>223.65 - 584.01</t>
  </si>
  <si>
    <t>8956.97%</t>
  </si>
  <si>
    <t>Beyond Meat Inc</t>
  </si>
  <si>
    <t>-52.51%</t>
  </si>
  <si>
    <t>-62.76%</t>
  </si>
  <si>
    <t>2.22 - 7.60</t>
  </si>
  <si>
    <t>Consolidated Edison, Inc</t>
  </si>
  <si>
    <t>63.35%</t>
  </si>
  <si>
    <t>62.85%</t>
  </si>
  <si>
    <t>87.28 - 114.87</t>
  </si>
  <si>
    <t>779.29%</t>
  </si>
  <si>
    <t>ENDRA Life Sciences Inc</t>
  </si>
  <si>
    <t>76.64%</t>
  </si>
  <si>
    <t>-37.17%</t>
  </si>
  <si>
    <t>2.90 - 22.68</t>
  </si>
  <si>
    <t>35.47%</t>
  </si>
  <si>
    <t>-36.29%</t>
  </si>
  <si>
    <t>Joby Aviation Inc</t>
  </si>
  <si>
    <t>-119.60%</t>
  </si>
  <si>
    <t>-37973.47%</t>
  </si>
  <si>
    <t>-650732.65%</t>
  </si>
  <si>
    <t>-813505.10%</t>
  </si>
  <si>
    <t>229.93%</t>
  </si>
  <si>
    <t>4.78 - 20.95</t>
  </si>
  <si>
    <t>400.66%</t>
  </si>
  <si>
    <t>145.27%</t>
  </si>
  <si>
    <t>CME Group Inc</t>
  </si>
  <si>
    <t>107.52%</t>
  </si>
  <si>
    <t>90.84%</t>
  </si>
  <si>
    <t>208.75 - 290.79</t>
  </si>
  <si>
    <t>4614.86%</t>
  </si>
  <si>
    <t>Kosmos Energy Ltd</t>
  </si>
  <si>
    <t>3/4/2020</t>
  </si>
  <si>
    <t>-160.27%</t>
  </si>
  <si>
    <t>-60.62%</t>
  </si>
  <si>
    <t>1.38 - 4.68</t>
  </si>
  <si>
    <t>268.28%</t>
  </si>
  <si>
    <t>-20.13%</t>
  </si>
  <si>
    <t>-56.17%</t>
  </si>
  <si>
    <t>Bone Biologics Corp</t>
  </si>
  <si>
    <t>-41.10%</t>
  </si>
  <si>
    <t>-84.91%</t>
  </si>
  <si>
    <t>1.95 - 16.12</t>
  </si>
  <si>
    <t>-46.89%</t>
  </si>
  <si>
    <t>-51.84%</t>
  </si>
  <si>
    <t>-81.32%</t>
  </si>
  <si>
    <t>Atlas Energy Solutions Inc</t>
  </si>
  <si>
    <t>134.47%</t>
  </si>
  <si>
    <t>82.96%</t>
  </si>
  <si>
    <t>-136.40%</t>
  </si>
  <si>
    <t>10.40 - 26.86</t>
  </si>
  <si>
    <t>-48.42%</t>
  </si>
  <si>
    <t>WK Kellogg Co</t>
  </si>
  <si>
    <t>55.41%</t>
  </si>
  <si>
    <t>14.80 - 23.56</t>
  </si>
  <si>
    <t>138.22%</t>
  </si>
  <si>
    <t>47.53%</t>
  </si>
  <si>
    <t>Black Rock Coffee Bar Inc</t>
  </si>
  <si>
    <t>23.70 - 30.40</t>
  </si>
  <si>
    <t>Drugs Made In America Acquisition II Corp</t>
  </si>
  <si>
    <t>9.95 - 9.99</t>
  </si>
  <si>
    <t>Emmis Acquisition Corp</t>
  </si>
  <si>
    <t>9.98 - 10.01</t>
  </si>
  <si>
    <t>Gemini Space Station Inc</t>
  </si>
  <si>
    <t>-265.80%</t>
  </si>
  <si>
    <t>-317.81%</t>
  </si>
  <si>
    <t>-47.31%</t>
  </si>
  <si>
    <t>22.61 - 45.89</t>
  </si>
  <si>
    <t>Netskope Inc</t>
  </si>
  <si>
    <t>21.71 - 27.99</t>
  </si>
  <si>
    <t>Pattern Group Inc</t>
  </si>
  <si>
    <t>12.00 - 16.00</t>
  </si>
  <si>
    <t>Stubhub Holdings Inc</t>
  </si>
  <si>
    <t>79.35%</t>
  </si>
  <si>
    <t>-39.12%</t>
  </si>
  <si>
    <t>16.53 - 27.89</t>
  </si>
  <si>
    <t>Via Transportation Inc</t>
  </si>
  <si>
    <t>43.50 - 56.31</t>
  </si>
  <si>
    <t>WhiteHorse Finance Inc</t>
  </si>
  <si>
    <t>382.35%</t>
  </si>
  <si>
    <t>-23.94%</t>
  </si>
  <si>
    <t>-40.15%</t>
  </si>
  <si>
    <t>7.15 - 11.97</t>
  </si>
  <si>
    <t>['Performance 1Y (1Y up)', 'Performance 3M (3M up)', 'Performance 6M (6M up)', 'RSI (14) High (RSI &gt; 60)']</t>
  </si>
  <si>
    <t>Par Technology Corp</t>
  </si>
  <si>
    <t>43.83%</t>
  </si>
  <si>
    <t>322.54%</t>
  </si>
  <si>
    <t>113.08%</t>
  </si>
  <si>
    <t>39.84 - 82.24</t>
  </si>
  <si>
    <t>-56.22%</t>
  </si>
  <si>
    <t>3551.40%</t>
  </si>
  <si>
    <t>-36.80%</t>
  </si>
  <si>
    <t>PennantPark Floating Rate Capital Ltd</t>
  </si>
  <si>
    <t>8.82 - 11.90</t>
  </si>
  <si>
    <t>-37.94%</t>
  </si>
  <si>
    <t>175.90%</t>
  </si>
  <si>
    <t>Horizon Technology Finance Corp</t>
  </si>
  <si>
    <t>6.16 - 10.77</t>
  </si>
  <si>
    <t>-67.31%</t>
  </si>
  <si>
    <t>-42.35%</t>
  </si>
  <si>
    <t>Harmony Biosciences Holdings Inc</t>
  </si>
  <si>
    <t>62.64%</t>
  </si>
  <si>
    <t>160.18%</t>
  </si>
  <si>
    <t>26.35 - 41.61</t>
  </si>
  <si>
    <t>Palmer Square Capital BDC Inc</t>
  </si>
  <si>
    <t>69.32%</t>
  </si>
  <si>
    <t>11.41 - 16.14</t>
  </si>
  <si>
    <t>Wingstop Inc</t>
  </si>
  <si>
    <t>113.53%</t>
  </si>
  <si>
    <t>-44.16%</t>
  </si>
  <si>
    <t>204.00 - 427.94</t>
  </si>
  <si>
    <t>-44.92%</t>
  </si>
  <si>
    <t>1485.87%</t>
  </si>
  <si>
    <t>Kayne Anderson BDC Inc</t>
  </si>
  <si>
    <t>34.54%</t>
  </si>
  <si>
    <t>13.50 - 17.77</t>
  </si>
  <si>
    <t>Factset Research Systems Inc</t>
  </si>
  <si>
    <t>282.01 - 499.87</t>
  </si>
  <si>
    <t>8341.27%</t>
  </si>
  <si>
    <t>-34.13%</t>
  </si>
  <si>
    <t>Federal Agricultural Mortgage Corp</t>
  </si>
  <si>
    <t>159.64 - 217.14</t>
  </si>
  <si>
    <t>14715.72%</t>
  </si>
  <si>
    <t>Kura Sushi USA Inc</t>
  </si>
  <si>
    <t>590.20%</t>
  </si>
  <si>
    <t>73.09%</t>
  </si>
  <si>
    <t>-43.65%</t>
  </si>
  <si>
    <t>40.03 - 110.66</t>
  </si>
  <si>
    <t>-49.23%</t>
  </si>
  <si>
    <t>1129.88%</t>
  </si>
  <si>
    <t>Sensient Technologies Corp</t>
  </si>
  <si>
    <t>100.83%</t>
  </si>
  <si>
    <t>45.59%</t>
  </si>
  <si>
    <t>66.14 - 121.54</t>
  </si>
  <si>
    <t>3345.43%</t>
  </si>
  <si>
    <t>Envoy Medical Inc</t>
  </si>
  <si>
    <t>-581.66%</t>
  </si>
  <si>
    <t>55.95%</t>
  </si>
  <si>
    <t>-262.16%</t>
  </si>
  <si>
    <t>-8862.61%</t>
  </si>
  <si>
    <t>-12704.50%</t>
  </si>
  <si>
    <t>-45.96%</t>
  </si>
  <si>
    <t>-54.56%</t>
  </si>
  <si>
    <t>0.76 - 3.60</t>
  </si>
  <si>
    <t>-42.91%</t>
  </si>
  <si>
    <t>-77.54%</t>
  </si>
  <si>
    <t>ImageneBio Inc</t>
  </si>
  <si>
    <t>-39.11%</t>
  </si>
  <si>
    <t>-66.58%</t>
  </si>
  <si>
    <t>7.75 - 23.28</t>
  </si>
  <si>
    <t>-98.28%</t>
  </si>
  <si>
    <t>-51.25%</t>
  </si>
  <si>
    <t>J&amp;J Snack Foods Corp</t>
  </si>
  <si>
    <t>95.27 - 180.80</t>
  </si>
  <si>
    <t>5165.21%</t>
  </si>
  <si>
    <t>Virtu Financial Inc</t>
  </si>
  <si>
    <t>85.78%</t>
  </si>
  <si>
    <t>29.82 - 45.77</t>
  </si>
  <si>
    <t>184.17%</t>
  </si>
  <si>
    <t>-20.99%</t>
  </si>
  <si>
    <t>Nuveen Churchill Direct Lending Corp</t>
  </si>
  <si>
    <t>83.74%</t>
  </si>
  <si>
    <t>78.44%</t>
  </si>
  <si>
    <t>14.21 - 18.01</t>
  </si>
  <si>
    <t>Revelation Biosciences Inc</t>
  </si>
  <si>
    <t>-153.99%</t>
  </si>
  <si>
    <t>1.40 - 60.48</t>
  </si>
  <si>
    <t>Schneider National Inc</t>
  </si>
  <si>
    <t>-37.26%</t>
  </si>
  <si>
    <t>20.59 - 33.90</t>
  </si>
  <si>
    <t>MGP Ingredients, Inc</t>
  </si>
  <si>
    <t>-70.63%</t>
  </si>
  <si>
    <t>24.90 - 84.76</t>
  </si>
  <si>
    <t>-80.20%</t>
  </si>
  <si>
    <t>4949.10%</t>
  </si>
  <si>
    <t>-69.50%</t>
  </si>
  <si>
    <t>Stellus Capital Investment Corp</t>
  </si>
  <si>
    <t>88.73%</t>
  </si>
  <si>
    <t>11.19 - 15.56</t>
  </si>
  <si>
    <t>234.97%</t>
  </si>
  <si>
    <t>BlackRock TCP Capital Corp</t>
  </si>
  <si>
    <t>-28.00%</t>
  </si>
  <si>
    <t>6.18 - 9.46</t>
  </si>
  <si>
    <t>8.47 - 11.62</t>
  </si>
  <si>
    <t>Americas Car Mart, Inc</t>
  </si>
  <si>
    <t>-44.89%</t>
  </si>
  <si>
    <t>-183.46%</t>
  </si>
  <si>
    <t>-27.92%</t>
  </si>
  <si>
    <t>-51.23%</t>
  </si>
  <si>
    <t>30.52 - 62.72</t>
  </si>
  <si>
    <t>-82.76%</t>
  </si>
  <si>
    <t>18254.00%</t>
  </si>
  <si>
    <t>-35.42%</t>
  </si>
  <si>
    <t>Enveric Biosciences Inc</t>
  </si>
  <si>
    <t>76.95%</t>
  </si>
  <si>
    <t>57.47%</t>
  </si>
  <si>
    <t>-58.80%</t>
  </si>
  <si>
    <t>-92.72%</t>
  </si>
  <si>
    <t>0.56 - 8.32</t>
  </si>
  <si>
    <t>-62.14%</t>
  </si>
  <si>
    <t>Milestone Scientific Inc</t>
  </si>
  <si>
    <t>72.18%</t>
  </si>
  <si>
    <t>-33.07%</t>
  </si>
  <si>
    <t>0.38 - 1.39</t>
  </si>
  <si>
    <t>355.10%</t>
  </si>
  <si>
    <t>-53.56%</t>
  </si>
  <si>
    <t>Albany International Corp</t>
  </si>
  <si>
    <t>-39.64%</t>
  </si>
  <si>
    <t>50.60 - 89.25</t>
  </si>
  <si>
    <t>1008.44%</t>
  </si>
  <si>
    <t>Westlake Chemical Partners LP</t>
  </si>
  <si>
    <t>20.63 - 25.04</t>
  </si>
  <si>
    <t>-39.29%</t>
  </si>
  <si>
    <t>Haemonetics Corp</t>
  </si>
  <si>
    <t>113.23%</t>
  </si>
  <si>
    <t>-37.30%</t>
  </si>
  <si>
    <t>47.38 - 94.99</t>
  </si>
  <si>
    <t>-66.10%</t>
  </si>
  <si>
    <t>733.32%</t>
  </si>
  <si>
    <t>Nuwellis Inc</t>
  </si>
  <si>
    <t>90.70%</t>
  </si>
  <si>
    <t>90.39%</t>
  </si>
  <si>
    <t>-118.84%</t>
  </si>
  <si>
    <t>-176.42%</t>
  </si>
  <si>
    <t>3.54 - 175.98</t>
  </si>
  <si>
    <t>National Beverage Corp</t>
  </si>
  <si>
    <t>6/24/2024</t>
  </si>
  <si>
    <t>36.27 - 50.51</t>
  </si>
  <si>
    <t>-57.05%</t>
  </si>
  <si>
    <t>24738.52%</t>
  </si>
  <si>
    <t>TriplePoint Venture Growth BDC Corp</t>
  </si>
  <si>
    <t>171.74%</t>
  </si>
  <si>
    <t>201.96%</t>
  </si>
  <si>
    <t>5.53 - 8.50</t>
  </si>
  <si>
    <t>112.86%</t>
  </si>
  <si>
    <t>Edgewell Personal Care Co</t>
  </si>
  <si>
    <t>105.50%</t>
  </si>
  <si>
    <t>-30.34%</t>
  </si>
  <si>
    <t>-27.98%</t>
  </si>
  <si>
    <t>19.13 - 38.44</t>
  </si>
  <si>
    <t>-46.30%</t>
  </si>
  <si>
    <t>Power Integrations Inc</t>
  </si>
  <si>
    <t>-29.52%</t>
  </si>
  <si>
    <t>101.35%</t>
  </si>
  <si>
    <t>-27.16%</t>
  </si>
  <si>
    <t>-43.43%</t>
  </si>
  <si>
    <t>39.15 - 69.53</t>
  </si>
  <si>
    <t>-64.46%</t>
  </si>
  <si>
    <t>1929.96%</t>
  </si>
  <si>
    <t>Cohen &amp; Steers Inc</t>
  </si>
  <si>
    <t>65.84 - 110.67</t>
  </si>
  <si>
    <t>1191.57%</t>
  </si>
  <si>
    <t>TruGolf Holdings Inc</t>
  </si>
  <si>
    <t>-493.83%</t>
  </si>
  <si>
    <t>-21.72%</t>
  </si>
  <si>
    <t>-41.40%</t>
  </si>
  <si>
    <t>2.40 - 55.00</t>
  </si>
  <si>
    <t>-59.17%</t>
  </si>
  <si>
    <t>-86.85%</t>
  </si>
  <si>
    <t>Science Applications International Corp</t>
  </si>
  <si>
    <t>85.86%</t>
  </si>
  <si>
    <t>94.68 - 156.34</t>
  </si>
  <si>
    <t>231.41%</t>
  </si>
  <si>
    <t>Morgan Stanley Direct Lending Fund</t>
  </si>
  <si>
    <t>76.25%</t>
  </si>
  <si>
    <t>16.80 - 21.75</t>
  </si>
  <si>
    <t>Air Products &amp; Chemicals Inc</t>
  </si>
  <si>
    <t>93.94%</t>
  </si>
  <si>
    <t>243.69 - 341.14</t>
  </si>
  <si>
    <t>6225.44%</t>
  </si>
  <si>
    <t>Four Corners Property Trust Inc</t>
  </si>
  <si>
    <t>130.14%</t>
  </si>
  <si>
    <t>24.34 - 30.12</t>
  </si>
  <si>
    <t>Sonder Holdings Inc</t>
  </si>
  <si>
    <t>-522.26%</t>
  </si>
  <si>
    <t>-42.66%</t>
  </si>
  <si>
    <t>-52.90%</t>
  </si>
  <si>
    <t>1.37 - 5.57</t>
  </si>
  <si>
    <t>-39.21%</t>
  </si>
  <si>
    <t>Instil Bio Inc</t>
  </si>
  <si>
    <t>-62.10%</t>
  </si>
  <si>
    <t>-52.27%</t>
  </si>
  <si>
    <t>-77.56%</t>
  </si>
  <si>
    <t>10.80 - 71.97</t>
  </si>
  <si>
    <t>-97.26%</t>
  </si>
  <si>
    <t>-16.58%</t>
  </si>
  <si>
    <t>-76.35%</t>
  </si>
  <si>
    <t>Broadridge Financial Solutions, Inc</t>
  </si>
  <si>
    <t>208.20 - 271.91</t>
  </si>
  <si>
    <t>2459.93%</t>
  </si>
  <si>
    <t>enVVeno Medical Corporation</t>
  </si>
  <si>
    <t>-64.50%</t>
  </si>
  <si>
    <t>-69.76%</t>
  </si>
  <si>
    <t>0.67 - 5.62</t>
  </si>
  <si>
    <t>-76.55%</t>
  </si>
  <si>
    <t>-66.28%</t>
  </si>
  <si>
    <t>PennantPark Investment Corporation</t>
  </si>
  <si>
    <t>117.57%</t>
  </si>
  <si>
    <t>-20.10%</t>
  </si>
  <si>
    <t>5.72 - 7.53</t>
  </si>
  <si>
    <t>279.51%</t>
  </si>
  <si>
    <t>Cbiz Inc</t>
  </si>
  <si>
    <t>46.49%</t>
  </si>
  <si>
    <t>95.55%</t>
  </si>
  <si>
    <t>-29.44%</t>
  </si>
  <si>
    <t>-33.80%</t>
  </si>
  <si>
    <t>-42.77%</t>
  </si>
  <si>
    <t>50.51 - 90.13</t>
  </si>
  <si>
    <t>6247.94%</t>
  </si>
  <si>
    <t>-31.40%</t>
  </si>
  <si>
    <t>Stak Inc</t>
  </si>
  <si>
    <t>-66.94%</t>
  </si>
  <si>
    <t>-69.03%</t>
  </si>
  <si>
    <t>0.68 - 4.53</t>
  </si>
  <si>
    <t>-79.37%</t>
  </si>
  <si>
    <t>Central Garden &amp; Pet Co</t>
  </si>
  <si>
    <t>-24.70%</t>
  </si>
  <si>
    <t>31.97 - 43.88</t>
  </si>
  <si>
    <t>3753.18%</t>
  </si>
  <si>
    <t>TPG RE Finance Trust Inc</t>
  </si>
  <si>
    <t>6.47 - 9.85</t>
  </si>
  <si>
    <t>311.88%</t>
  </si>
  <si>
    <t>Lifevantage Corporation</t>
  </si>
  <si>
    <t>-33.90%</t>
  </si>
  <si>
    <t>9.83 - 27.38</t>
  </si>
  <si>
    <t>-92.61%</t>
  </si>
  <si>
    <t>2101.00%</t>
  </si>
  <si>
    <t>Bowhead Specialty Holdings Inc</t>
  </si>
  <si>
    <t>89.99%</t>
  </si>
  <si>
    <t>26.98 - 42.29</t>
  </si>
  <si>
    <t>Rubico Inc</t>
  </si>
  <si>
    <t>-70.25%</t>
  </si>
  <si>
    <t>1.68 - 6.69</t>
  </si>
  <si>
    <t>Interparfums Inc</t>
  </si>
  <si>
    <t>58.64%</t>
  </si>
  <si>
    <t>63.03%</t>
  </si>
  <si>
    <t>97.65 - 148.15</t>
  </si>
  <si>
    <t>45807.45%</t>
  </si>
  <si>
    <t>TON Strategy Co</t>
  </si>
  <si>
    <t>4095.10%</t>
  </si>
  <si>
    <t>-56.02%</t>
  </si>
  <si>
    <t>5637.84%</t>
  </si>
  <si>
    <t>-271.44%</t>
  </si>
  <si>
    <t>-261.28%</t>
  </si>
  <si>
    <t>-77.73%</t>
  </si>
  <si>
    <t>3.81 - 29.77</t>
  </si>
  <si>
    <t>Rigel Pharmaceuticals</t>
  </si>
  <si>
    <t>105.62%</t>
  </si>
  <si>
    <t>176.01%</t>
  </si>
  <si>
    <t>-35.35%</t>
  </si>
  <si>
    <t>51.46%</t>
  </si>
  <si>
    <t>108.27%</t>
  </si>
  <si>
    <t>13.57 - 43.72</t>
  </si>
  <si>
    <t>-97.54%</t>
  </si>
  <si>
    <t>341.60%</t>
  </si>
  <si>
    <t>53.69%</t>
  </si>
  <si>
    <t>72.86%</t>
  </si>
  <si>
    <t>Scotts Miracle-Gro Company</t>
  </si>
  <si>
    <t>45.61 - 93.90</t>
  </si>
  <si>
    <t>-77.90%</t>
  </si>
  <si>
    <t>930.73%</t>
  </si>
  <si>
    <t>Aptargroup Inc</t>
  </si>
  <si>
    <t>95.18%</t>
  </si>
  <si>
    <t>130.27 - 178.03</t>
  </si>
  <si>
    <t>3187.63%</t>
  </si>
  <si>
    <t>MNTN Inc</t>
  </si>
  <si>
    <t>-1009.22%</t>
  </si>
  <si>
    <t>-45.53%</t>
  </si>
  <si>
    <t>17.22 - 32.49</t>
  </si>
  <si>
    <t>Bionano Genomics Inc</t>
  </si>
  <si>
    <t>-201.16%</t>
  </si>
  <si>
    <t>-271.02%</t>
  </si>
  <si>
    <t>-47.38%</t>
  </si>
  <si>
    <t>-67.80%</t>
  </si>
  <si>
    <t>-69.44%</t>
  </si>
  <si>
    <t>1.50 - 30.52</t>
  </si>
  <si>
    <t>-45.26%</t>
  </si>
  <si>
    <t>Salarius Pharmaceuticals Inc</t>
  </si>
  <si>
    <t>57.63%</t>
  </si>
  <si>
    <t>-75.12%</t>
  </si>
  <si>
    <t>-89.12%</t>
  </si>
  <si>
    <t>3.87 - 108.00</t>
  </si>
  <si>
    <t>-74.61%</t>
  </si>
  <si>
    <t>-72.68%</t>
  </si>
  <si>
    <t>-83.78%</t>
  </si>
  <si>
    <t>27.70 - 37.35</t>
  </si>
  <si>
    <t>1758.83%</t>
  </si>
  <si>
    <t>Insight Enterprises Inc</t>
  </si>
  <si>
    <t>106.83%</t>
  </si>
  <si>
    <t>111.21 - 225.38</t>
  </si>
  <si>
    <t>-50.65%</t>
  </si>
  <si>
    <t>6230.81%</t>
  </si>
  <si>
    <t>Driven Brands Holdings Inc</t>
  </si>
  <si>
    <t>13.47 - 19.74</t>
  </si>
  <si>
    <t>-54.71%</t>
  </si>
  <si>
    <t>Conmed Corp</t>
  </si>
  <si>
    <t>111.21%</t>
  </si>
  <si>
    <t>45.06 - 78.00</t>
  </si>
  <si>
    <t>-71.15%</t>
  </si>
  <si>
    <t>5534.53%</t>
  </si>
  <si>
    <t>Abeona Therapeutics Inc</t>
  </si>
  <si>
    <t>538.46%</t>
  </si>
  <si>
    <t>-695.25%</t>
  </si>
  <si>
    <t>-18634.00%</t>
  </si>
  <si>
    <t>14310.50%</t>
  </si>
  <si>
    <t>3.93 - 7.54</t>
  </si>
  <si>
    <t>Atlanta Braves Holdings Inc</t>
  </si>
  <si>
    <t>35.46 - 47.18</t>
  </si>
  <si>
    <t>229.72%</t>
  </si>
  <si>
    <t>Titan Machinery Inc</t>
  </si>
  <si>
    <t>12.50 - 23.41</t>
  </si>
  <si>
    <t>146.91%</t>
  </si>
  <si>
    <t>LGI Homes Inc</t>
  </si>
  <si>
    <t>92.03%</t>
  </si>
  <si>
    <t>47.17 - 120.53</t>
  </si>
  <si>
    <t>-72.75%</t>
  </si>
  <si>
    <t>326.53%</t>
  </si>
  <si>
    <t>-55.93%</t>
  </si>
  <si>
    <t>GT Biopharma Inc</t>
  </si>
  <si>
    <t>-66.22%</t>
  </si>
  <si>
    <t>-67.64%</t>
  </si>
  <si>
    <t>0.63 - 4.10</t>
  </si>
  <si>
    <t>-79.07%</t>
  </si>
  <si>
    <t>-67.78%</t>
  </si>
  <si>
    <t>-62.95%</t>
  </si>
  <si>
    <t>Innospec Inc</t>
  </si>
  <si>
    <t>5/20/2025</t>
  </si>
  <si>
    <t>109.37%</t>
  </si>
  <si>
    <t>97.40%</t>
  </si>
  <si>
    <t>-17.58%</t>
  </si>
  <si>
    <t>74.10 - 128.35</t>
  </si>
  <si>
    <t>3057.96%</t>
  </si>
  <si>
    <t>-31.33%</t>
  </si>
  <si>
    <t>Merit Medical Systems, Inc</t>
  </si>
  <si>
    <t>83.71%</t>
  </si>
  <si>
    <t>79.10 - 111.45</t>
  </si>
  <si>
    <t>9691.67%</t>
  </si>
  <si>
    <t>WD-40 Co</t>
  </si>
  <si>
    <t>53.94%</t>
  </si>
  <si>
    <t>198.62 - 292.36</t>
  </si>
  <si>
    <t>2504.05%</t>
  </si>
  <si>
    <t>Cross Timbers Royalty Trust</t>
  </si>
  <si>
    <t>7.14 - 13.31</t>
  </si>
  <si>
    <t>Novanta Inc</t>
  </si>
  <si>
    <t>99.72%</t>
  </si>
  <si>
    <t>-44.58%</t>
  </si>
  <si>
    <t>98.76 - 184.11</t>
  </si>
  <si>
    <t>7809.37%</t>
  </si>
  <si>
    <t>Lemaitre Vascular Inc</t>
  </si>
  <si>
    <t>67.27%</t>
  </si>
  <si>
    <t>71.42 - 109.58</t>
  </si>
  <si>
    <t>5422.73%</t>
  </si>
  <si>
    <t>Hydrofarm Holdings Group Inc</t>
  </si>
  <si>
    <t>1.50 - 8.55</t>
  </si>
  <si>
    <t>Caris Life Sciences Inc</t>
  </si>
  <si>
    <t>-3550.94%</t>
  </si>
  <si>
    <t>25.40 - 42.50</t>
  </si>
  <si>
    <t>Data Storage Corp</t>
  </si>
  <si>
    <t>-233.33%</t>
  </si>
  <si>
    <t>2.93 - 5.44</t>
  </si>
  <si>
    <t>-93.13%</t>
  </si>
  <si>
    <t>930.07%</t>
  </si>
  <si>
    <t>Jack Henry &amp; Associates, Inc</t>
  </si>
  <si>
    <t>148.30 - 196.00</t>
  </si>
  <si>
    <t>262535.22%</t>
  </si>
  <si>
    <t>Scienture Holdings Inc</t>
  </si>
  <si>
    <t>-50.13%</t>
  </si>
  <si>
    <t>-97.11%</t>
  </si>
  <si>
    <t>-76.00%</t>
  </si>
  <si>
    <t>-55.04%</t>
  </si>
  <si>
    <t>-286.67%</t>
  </si>
  <si>
    <t>-35.67%</t>
  </si>
  <si>
    <t>-12824.74%</t>
  </si>
  <si>
    <t>-15702.49%</t>
  </si>
  <si>
    <t>-67.11%</t>
  </si>
  <si>
    <t>0.69 - 9.55</t>
  </si>
  <si>
    <t>Stock Yards Bancorp Inc</t>
  </si>
  <si>
    <t>64.21%</t>
  </si>
  <si>
    <t>57.12 - 83.83</t>
  </si>
  <si>
    <t>4304.22%</t>
  </si>
  <si>
    <t>Limbach Holdings Inc</t>
  </si>
  <si>
    <t>63.02 - 154.05</t>
  </si>
  <si>
    <t>3834.60%</t>
  </si>
  <si>
    <t>Carlisle Companies Inc</t>
  </si>
  <si>
    <t>311.41 - 481.26</t>
  </si>
  <si>
    <t>11764.36%</t>
  </si>
  <si>
    <t>Skywest Inc</t>
  </si>
  <si>
    <t>91.24%</t>
  </si>
  <si>
    <t>74.70 - 135.57</t>
  </si>
  <si>
    <t>19015.27%</t>
  </si>
  <si>
    <t>Viant Technology Inc</t>
  </si>
  <si>
    <t>156.41%</t>
  </si>
  <si>
    <t>-43.48%</t>
  </si>
  <si>
    <t>8.57 - 26.33</t>
  </si>
  <si>
    <t>-87.59%</t>
  </si>
  <si>
    <t>172.38%</t>
  </si>
  <si>
    <t>Verrica Pharmaceuticals Inc</t>
  </si>
  <si>
    <t>58.69%</t>
  </si>
  <si>
    <t>145.35%</t>
  </si>
  <si>
    <t>102.22%</t>
  </si>
  <si>
    <t>86.46%</t>
  </si>
  <si>
    <t>-257.32%</t>
  </si>
  <si>
    <t>-330.52%</t>
  </si>
  <si>
    <t>-76.71%</t>
  </si>
  <si>
    <t>3.82 - 17.50</t>
  </si>
  <si>
    <t>-76.84%</t>
  </si>
  <si>
    <t>Simpson Manufacturing Co., Inc</t>
  </si>
  <si>
    <t>103.34%</t>
  </si>
  <si>
    <t>137.35 - 197.82</t>
  </si>
  <si>
    <t>-21.12%</t>
  </si>
  <si>
    <t>7249.76%</t>
  </si>
  <si>
    <t>Getty Realty Corp</t>
  </si>
  <si>
    <t>145.07%</t>
  </si>
  <si>
    <t>85.30%</t>
  </si>
  <si>
    <t>26.35 - 33.85</t>
  </si>
  <si>
    <t>1154.64%</t>
  </si>
  <si>
    <t>Avient Corp</t>
  </si>
  <si>
    <t>100.98%</t>
  </si>
  <si>
    <t>-40.42%</t>
  </si>
  <si>
    <t>27.86 - 54.68</t>
  </si>
  <si>
    <t>2368.18%</t>
  </si>
  <si>
    <t>-34.39%</t>
  </si>
  <si>
    <t>Vyome Holdings Inc</t>
  </si>
  <si>
    <t>90.62%</t>
  </si>
  <si>
    <t>80.05%</t>
  </si>
  <si>
    <t>-69.71%</t>
  </si>
  <si>
    <t>-95.69%</t>
  </si>
  <si>
    <t>5.06 - 720.00</t>
  </si>
  <si>
    <t>-88.22%</t>
  </si>
  <si>
    <t>-99.19%</t>
  </si>
  <si>
    <t>Marten Transport, Ltd</t>
  </si>
  <si>
    <t>70.74%</t>
  </si>
  <si>
    <t>10.61 - 18.63</t>
  </si>
  <si>
    <t>-54.05%</t>
  </si>
  <si>
    <t>7099.64%</t>
  </si>
  <si>
    <t>Willamette Valley Vineyard Inc</t>
  </si>
  <si>
    <t>3.17 - 7.18</t>
  </si>
  <si>
    <t>245.22%</t>
  </si>
  <si>
    <t>-42.56%</t>
  </si>
  <si>
    <t>Ingredion Inc</t>
  </si>
  <si>
    <t>77.89%</t>
  </si>
  <si>
    <t>-21.92%</t>
  </si>
  <si>
    <t>120.48 - 155.44</t>
  </si>
  <si>
    <t>1177.57%</t>
  </si>
  <si>
    <t>Barings BDC Inc</t>
  </si>
  <si>
    <t>7.58 - 10.68</t>
  </si>
  <si>
    <t>-64.48%</t>
  </si>
  <si>
    <t>172.58%</t>
  </si>
  <si>
    <t>Westrock Coffee Company</t>
  </si>
  <si>
    <t>4.62 - 8.29</t>
  </si>
  <si>
    <t>-30.67%</t>
  </si>
  <si>
    <t>Louisiana-Pacific Corp</t>
  </si>
  <si>
    <t>-31.75%</t>
  </si>
  <si>
    <t>78.82 - 122.87</t>
  </si>
  <si>
    <t>8041.77%</t>
  </si>
  <si>
    <t>Sleep Number Corp</t>
  </si>
  <si>
    <t>-916.79%</t>
  </si>
  <si>
    <t>-64.62%</t>
  </si>
  <si>
    <t>4.48 - 20.73</t>
  </si>
  <si>
    <t>3760.53%</t>
  </si>
  <si>
    <t>-57.80%</t>
  </si>
  <si>
    <t>Bain Capital Specialty Finance Inc</t>
  </si>
  <si>
    <t>50.21%</t>
  </si>
  <si>
    <t>13.15 - 19.10</t>
  </si>
  <si>
    <t>109.44%</t>
  </si>
  <si>
    <t>Hackett Group Inc</t>
  </si>
  <si>
    <t>19.15 - 34.02</t>
  </si>
  <si>
    <t>1242.66%</t>
  </si>
  <si>
    <t>LCI Industries</t>
  </si>
  <si>
    <t>76.77%</t>
  </si>
  <si>
    <t>113.48%</t>
  </si>
  <si>
    <t>-27.05%</t>
  </si>
  <si>
    <t>72.31 - 129.38</t>
  </si>
  <si>
    <t>61612.97%</t>
  </si>
  <si>
    <t>Roadzen Inc</t>
  </si>
  <si>
    <t>-394.99%</t>
  </si>
  <si>
    <t>-71.25%</t>
  </si>
  <si>
    <t>-45.45%</t>
  </si>
  <si>
    <t>0.68 - 2.99</t>
  </si>
  <si>
    <t>Goosehead Insurance Inc</t>
  </si>
  <si>
    <t>1/21/2025</t>
  </si>
  <si>
    <t>64.60%</t>
  </si>
  <si>
    <t>111.41%</t>
  </si>
  <si>
    <t>74.09 - 127.99</t>
  </si>
  <si>
    <t>670.02%</t>
  </si>
  <si>
    <t>CID Holdco Inc</t>
  </si>
  <si>
    <t>-206.90%</t>
  </si>
  <si>
    <t>-2082.33%</t>
  </si>
  <si>
    <t>-27415.28%</t>
  </si>
  <si>
    <t>-66.27%</t>
  </si>
  <si>
    <t>3.01 - 75.00</t>
  </si>
  <si>
    <t>-70.75%</t>
  </si>
  <si>
    <t>-69.83%</t>
  </si>
  <si>
    <t>Sixth Street Specialty Lending Inc</t>
  </si>
  <si>
    <t>103.69%</t>
  </si>
  <si>
    <t>54.88%</t>
  </si>
  <si>
    <t>18.54 - 25.11</t>
  </si>
  <si>
    <t>Titan International, Inc</t>
  </si>
  <si>
    <t>-266.67%</t>
  </si>
  <si>
    <t>5.93 - 10.94</t>
  </si>
  <si>
    <t>1489.23%</t>
  </si>
  <si>
    <t>Alamo Group Inc</t>
  </si>
  <si>
    <t>100.24%</t>
  </si>
  <si>
    <t>157.07 - 233.29</t>
  </si>
  <si>
    <t>2719.42%</t>
  </si>
  <si>
    <t>Fox Factory Holding Corp</t>
  </si>
  <si>
    <t>-65.63%</t>
  </si>
  <si>
    <t>-41.92%</t>
  </si>
  <si>
    <t>17.95 - 43.39</t>
  </si>
  <si>
    <t>-42.67%</t>
  </si>
  <si>
    <t>Velo3D Inc</t>
  </si>
  <si>
    <t>-147.12%</t>
  </si>
  <si>
    <t>-191.88%</t>
  </si>
  <si>
    <t>-37.21%</t>
  </si>
  <si>
    <t>-63.73%</t>
  </si>
  <si>
    <t>-61.90%</t>
  </si>
  <si>
    <t>-89.74%</t>
  </si>
  <si>
    <t>110.53%</t>
  </si>
  <si>
    <t>1.42 - 29.25</t>
  </si>
  <si>
    <t>-59.27%</t>
  </si>
  <si>
    <t>-69.30%</t>
  </si>
  <si>
    <t>Surmodics, Inc</t>
  </si>
  <si>
    <t>132.43%</t>
  </si>
  <si>
    <t>26.00 - 40.38</t>
  </si>
  <si>
    <t>1126.00%</t>
  </si>
  <si>
    <t>Triumph Financial Inc</t>
  </si>
  <si>
    <t>-50.05%</t>
  </si>
  <si>
    <t>42.90 - 110.58</t>
  </si>
  <si>
    <t>-62.03%</t>
  </si>
  <si>
    <t>332.95%</t>
  </si>
  <si>
    <t>Koss Corp</t>
  </si>
  <si>
    <t>3/27/2014</t>
  </si>
  <si>
    <t>-38.65%</t>
  </si>
  <si>
    <t>4.00 - 8.59</t>
  </si>
  <si>
    <t>3583.21%</t>
  </si>
  <si>
    <t>VSee Health Inc</t>
  </si>
  <si>
    <t>-569.82%</t>
  </si>
  <si>
    <t>-60.75%</t>
  </si>
  <si>
    <t>-657.31%</t>
  </si>
  <si>
    <t>0.58 - 3.54</t>
  </si>
  <si>
    <t>-98.17%</t>
  </si>
  <si>
    <t>-44.98%</t>
  </si>
  <si>
    <t>-50.39%</t>
  </si>
  <si>
    <t>-63.10%</t>
  </si>
  <si>
    <t>Beacon Financial Corp</t>
  </si>
  <si>
    <t>1/5/2011</t>
  </si>
  <si>
    <t>22.27 - 32.36</t>
  </si>
  <si>
    <t>181.81%</t>
  </si>
  <si>
    <t>Gladstone Commercial Corp</t>
  </si>
  <si>
    <t>453.51%</t>
  </si>
  <si>
    <t>42.67%</t>
  </si>
  <si>
    <t>12.37 - 17.88</t>
  </si>
  <si>
    <t>132.85%</t>
  </si>
  <si>
    <t>Lottery.com Inc</t>
  </si>
  <si>
    <t>56.90%</t>
  </si>
  <si>
    <t>-84.58%</t>
  </si>
  <si>
    <t>-742.90%</t>
  </si>
  <si>
    <t>-1461.56%</t>
  </si>
  <si>
    <t>-2447.27%</t>
  </si>
  <si>
    <t>-62.52%</t>
  </si>
  <si>
    <t>-81.44%</t>
  </si>
  <si>
    <t>122.97%</t>
  </si>
  <si>
    <t>2.20 - 26.45</t>
  </si>
  <si>
    <t>-56.16%</t>
  </si>
  <si>
    <t>-48.86%</t>
  </si>
  <si>
    <t>Paymentus Holdings Inc</t>
  </si>
  <si>
    <t>80.91%</t>
  </si>
  <si>
    <t>19.53 - 40.43</t>
  </si>
  <si>
    <t>358.79%</t>
  </si>
  <si>
    <t>Quanex Building Products Corp</t>
  </si>
  <si>
    <t>76.67%</t>
  </si>
  <si>
    <t>102.48%</t>
  </si>
  <si>
    <t>-28.59%</t>
  </si>
  <si>
    <t>13.22 - 32.23</t>
  </si>
  <si>
    <t>3734.78%</t>
  </si>
  <si>
    <t>GoHealth Inc</t>
  </si>
  <si>
    <t>-103.98%</t>
  </si>
  <si>
    <t>4.38 - 21.00</t>
  </si>
  <si>
    <t>Lennox International Inc</t>
  </si>
  <si>
    <t>77.30%</t>
  </si>
  <si>
    <t>500.10 - 689.44</t>
  </si>
  <si>
    <t>7521.81%</t>
  </si>
  <si>
    <t>Greif Inc</t>
  </si>
  <si>
    <t>48.23 - 73.16</t>
  </si>
  <si>
    <t>1179.35%</t>
  </si>
  <si>
    <t>Kewaunee Scientific Corporation</t>
  </si>
  <si>
    <t>9/9/2019</t>
  </si>
  <si>
    <t>30.33 - 71.33</t>
  </si>
  <si>
    <t>2085.50%</t>
  </si>
  <si>
    <t>Cherry Hill Mortgage Investment Corporation</t>
  </si>
  <si>
    <t>878.48%</t>
  </si>
  <si>
    <t>2.34 - 3.70</t>
  </si>
  <si>
    <t>Marzetti Co</t>
  </si>
  <si>
    <t>156.14 - 202.63</t>
  </si>
  <si>
    <t>7994.17%</t>
  </si>
  <si>
    <t>CERo Therapeutics Holdings Inc</t>
  </si>
  <si>
    <t>-35.78%</t>
  </si>
  <si>
    <t>95.00%</t>
  </si>
  <si>
    <t>-25.11%</t>
  </si>
  <si>
    <t>4.27 - 895.40</t>
  </si>
  <si>
    <t>-44.42%</t>
  </si>
  <si>
    <t>-65.31%</t>
  </si>
  <si>
    <t>Corvel Corp</t>
  </si>
  <si>
    <t>54.50%</t>
  </si>
  <si>
    <t>-24.88%</t>
  </si>
  <si>
    <t>77.66 - 128.61</t>
  </si>
  <si>
    <t>24162.93%</t>
  </si>
  <si>
    <t>-29.76%</t>
  </si>
  <si>
    <t>Morningstar Inc</t>
  </si>
  <si>
    <t>230.09 - 365.00</t>
  </si>
  <si>
    <t>1169.80%</t>
  </si>
  <si>
    <t>-22.17%</t>
  </si>
  <si>
    <t>F&amp;G Annuities &amp; Life Inc</t>
  </si>
  <si>
    <t>159.52%</t>
  </si>
  <si>
    <t>-37.14%</t>
  </si>
  <si>
    <t>30.01 - 50.75</t>
  </si>
  <si>
    <t>253.27%</t>
  </si>
  <si>
    <t>Goldman Sachs BDC Inc</t>
  </si>
  <si>
    <t>331.63%</t>
  </si>
  <si>
    <t>9.31 - 14.00</t>
  </si>
  <si>
    <t>TELA Bio Inc</t>
  </si>
  <si>
    <t>66.50%</t>
  </si>
  <si>
    <t>32.99%</t>
  </si>
  <si>
    <t>61.72%</t>
  </si>
  <si>
    <t>-54.12%</t>
  </si>
  <si>
    <t>-56.94%</t>
  </si>
  <si>
    <t>0.86 - 3.26</t>
  </si>
  <si>
    <t>-39.50%</t>
  </si>
  <si>
    <t>Organogenesis Holdings Inc</t>
  </si>
  <si>
    <t>-16.21%</t>
  </si>
  <si>
    <t>2.61 - 6.71</t>
  </si>
  <si>
    <t>121.66%</t>
  </si>
  <si>
    <t>Greenwave Technology Solutions Inc</t>
  </si>
  <si>
    <t>74.96%</t>
  </si>
  <si>
    <t>326.16%</t>
  </si>
  <si>
    <t>-301.50%</t>
  </si>
  <si>
    <t>-80.16%</t>
  </si>
  <si>
    <t>6.02 - 119.90</t>
  </si>
  <si>
    <t>-74.44%</t>
  </si>
  <si>
    <t>-84.77%</t>
  </si>
  <si>
    <t>SI-BONE Inc</t>
  </si>
  <si>
    <t>-22.91%</t>
  </si>
  <si>
    <t>11.70 - 20.05</t>
  </si>
  <si>
    <t>GCM Grosvenor Inc</t>
  </si>
  <si>
    <t>1282.80%</t>
  </si>
  <si>
    <t>102.88%</t>
  </si>
  <si>
    <t>10.91 - 14.48</t>
  </si>
  <si>
    <t>Balchem Corp</t>
  </si>
  <si>
    <t>12/26/2024</t>
  </si>
  <si>
    <t>145.70 - 185.96</t>
  </si>
  <si>
    <t>206530.37%</t>
  </si>
  <si>
    <t>Alarm.com Holdings Inc</t>
  </si>
  <si>
    <t>48.23 - 70.06</t>
  </si>
  <si>
    <t>406.77%</t>
  </si>
  <si>
    <t>Toppoint Holdings Inc</t>
  </si>
  <si>
    <t>-67.81%</t>
  </si>
  <si>
    <t>-15.51%</t>
  </si>
  <si>
    <t>-25.47%</t>
  </si>
  <si>
    <t>0.97 - 4.50</t>
  </si>
  <si>
    <t>Avery Dennison Corp</t>
  </si>
  <si>
    <t>95.40%</t>
  </si>
  <si>
    <t>157.00 - 224.38</t>
  </si>
  <si>
    <t>2690.59%</t>
  </si>
  <si>
    <t>Penske Automotive Group Inc</t>
  </si>
  <si>
    <t>134.05 - 189.51</t>
  </si>
  <si>
    <t>5867.30%</t>
  </si>
  <si>
    <t>Claritev Corp</t>
  </si>
  <si>
    <t>-163.47%</t>
  </si>
  <si>
    <t>55.28%</t>
  </si>
  <si>
    <t>959.69%</t>
  </si>
  <si>
    <t>4.80 - 74.07</t>
  </si>
  <si>
    <t>131.63%</t>
  </si>
  <si>
    <t>588.30%</t>
  </si>
  <si>
    <t>Bioventus Inc</t>
  </si>
  <si>
    <t>-113.92%</t>
  </si>
  <si>
    <t>33.67%</t>
  </si>
  <si>
    <t>5.81 - 14.38</t>
  </si>
  <si>
    <t>-68.56%</t>
  </si>
  <si>
    <t>683.72%</t>
  </si>
  <si>
    <t>Imunon Inc</t>
  </si>
  <si>
    <t>69.57%</t>
  </si>
  <si>
    <t>-52.37%</t>
  </si>
  <si>
    <t>-50.56%</t>
  </si>
  <si>
    <t>-87.53%</t>
  </si>
  <si>
    <t>4.70 - 41.22</t>
  </si>
  <si>
    <t>-65.43%</t>
  </si>
  <si>
    <t>Armada Hoffler Properties Inc</t>
  </si>
  <si>
    <t>6.10 - 11.20</t>
  </si>
  <si>
    <t>-43.04%</t>
  </si>
  <si>
    <t>Prestige Consumer Healthcare Inc</t>
  </si>
  <si>
    <t>12/27/2013</t>
  </si>
  <si>
    <t>61.93 - 90.04</t>
  </si>
  <si>
    <t>1491.45%</t>
  </si>
  <si>
    <t>Covenant Logistics Group Inc</t>
  </si>
  <si>
    <t>58.29%</t>
  </si>
  <si>
    <t>17.46 - 30.77</t>
  </si>
  <si>
    <t>3076.47%</t>
  </si>
  <si>
    <t>Lifeway Foods, Inc</t>
  </si>
  <si>
    <t>5/29/2013</t>
  </si>
  <si>
    <t>25.73%</t>
  </si>
  <si>
    <t>19.50 - 34.20</t>
  </si>
  <si>
    <t>10430.60%</t>
  </si>
  <si>
    <t>RPM International, Inc</t>
  </si>
  <si>
    <t>95.28 - 141.79</t>
  </si>
  <si>
    <t>5114.92%</t>
  </si>
  <si>
    <t>UFP Industries Inc</t>
  </si>
  <si>
    <t>91.16 - 141.33</t>
  </si>
  <si>
    <t>4625.39%</t>
  </si>
  <si>
    <t>Carlyle Secured Lending Inc</t>
  </si>
  <si>
    <t>115.34%</t>
  </si>
  <si>
    <t>12.98 - 18.59</t>
  </si>
  <si>
    <t>229.79%</t>
  </si>
  <si>
    <t>Rhinebeck Bancorp Inc</t>
  </si>
  <si>
    <t>8.81 - 13.99</t>
  </si>
  <si>
    <t>98.47%</t>
  </si>
  <si>
    <t>BJ's Restaurant Inc</t>
  </si>
  <si>
    <t>11/7/2019</t>
  </si>
  <si>
    <t>28.92 - 47.02</t>
  </si>
  <si>
    <t>-60.66%</t>
  </si>
  <si>
    <t>3912.41%</t>
  </si>
  <si>
    <t>Global Medical REIT Inc</t>
  </si>
  <si>
    <t>6829.27%</t>
  </si>
  <si>
    <t>-60.17%</t>
  </si>
  <si>
    <t>-250.15%</t>
  </si>
  <si>
    <t>30.27 - 49.90</t>
  </si>
  <si>
    <t>Tejon Ranch Co</t>
  </si>
  <si>
    <t>14.70 - 19.39</t>
  </si>
  <si>
    <t>-72.80%</t>
  </si>
  <si>
    <t>182.43%</t>
  </si>
  <si>
    <t>SiteOne Landscape Supply Inc</t>
  </si>
  <si>
    <t>101.25 - 160.74</t>
  </si>
  <si>
    <t>-50.76%</t>
  </si>
  <si>
    <t>402.27%</t>
  </si>
  <si>
    <t>Marriott Vacations Worldwide Corp</t>
  </si>
  <si>
    <t>70.71%</t>
  </si>
  <si>
    <t>95.27%</t>
  </si>
  <si>
    <t>-30.03%</t>
  </si>
  <si>
    <t>49.22 - 100.32</t>
  </si>
  <si>
    <t>345.68%</t>
  </si>
  <si>
    <t>Kirby Corp</t>
  </si>
  <si>
    <t>103.14%</t>
  </si>
  <si>
    <t>81.90 - 132.21</t>
  </si>
  <si>
    <t>9520.57%</t>
  </si>
  <si>
    <t>-32.55%</t>
  </si>
  <si>
    <t>CTO Realty Growth Inc</t>
  </si>
  <si>
    <t>-2466.67%</t>
  </si>
  <si>
    <t>62.69%</t>
  </si>
  <si>
    <t>15.95 - 20.88</t>
  </si>
  <si>
    <t>-33.17%</t>
  </si>
  <si>
    <t>756.03%</t>
  </si>
  <si>
    <t>Boise Cascade Co</t>
  </si>
  <si>
    <t>96.45%</t>
  </si>
  <si>
    <t>76.21 - 155.42</t>
  </si>
  <si>
    <t>672.32%</t>
  </si>
  <si>
    <t>Sonoco Products Co</t>
  </si>
  <si>
    <t>125.36%</t>
  </si>
  <si>
    <t>39.46 - 55.33</t>
  </si>
  <si>
    <t>-36.82%</t>
  </si>
  <si>
    <t>993.28%</t>
  </si>
  <si>
    <t>Alumis Inc</t>
  </si>
  <si>
    <t>83.31%</t>
  </si>
  <si>
    <t>-2115.62%</t>
  </si>
  <si>
    <t>-1134.47%</t>
  </si>
  <si>
    <t>-70.40%</t>
  </si>
  <si>
    <t>2.76 - 13.11</t>
  </si>
  <si>
    <t>-66.11%</t>
  </si>
  <si>
    <t>Credit Acceptance Corp</t>
  </si>
  <si>
    <t>82.27%</t>
  </si>
  <si>
    <t>98.79%</t>
  </si>
  <si>
    <t>414.15 - 560.00</t>
  </si>
  <si>
    <t>-34.57%</t>
  </si>
  <si>
    <t>19621.14%</t>
  </si>
  <si>
    <t>Atea Pharmaceuticals Inc</t>
  </si>
  <si>
    <t>2.45 - 4.02</t>
  </si>
  <si>
    <t>-96.90%</t>
  </si>
  <si>
    <t>-16.57%</t>
  </si>
  <si>
    <t>Fidus Investment Corp</t>
  </si>
  <si>
    <t>16.50 - 23.14</t>
  </si>
  <si>
    <t>439.66%</t>
  </si>
  <si>
    <t>Crown Crafts, Inc</t>
  </si>
  <si>
    <t>2.76 - 4.96</t>
  </si>
  <si>
    <t>-83.46%</t>
  </si>
  <si>
    <t>1869.41%</t>
  </si>
  <si>
    <t>-24.90%</t>
  </si>
  <si>
    <t>1-800 Flowers.com Inc</t>
  </si>
  <si>
    <t>3.86 - 9.24</t>
  </si>
  <si>
    <t>-88.15%</t>
  </si>
  <si>
    <t>Ashland Inc</t>
  </si>
  <si>
    <t>46.75%</t>
  </si>
  <si>
    <t>45.21 - 88.89</t>
  </si>
  <si>
    <t>1759.36%</t>
  </si>
  <si>
    <t>Marcus &amp; Millichap Inc</t>
  </si>
  <si>
    <t>-194.74%</t>
  </si>
  <si>
    <t>59.39%</t>
  </si>
  <si>
    <t>27.61 - 42.80</t>
  </si>
  <si>
    <t>-49.15%</t>
  </si>
  <si>
    <t>131.36%</t>
  </si>
  <si>
    <t>Ryman Hospitality Properties Inc</t>
  </si>
  <si>
    <t>76.27 - 121.77</t>
  </si>
  <si>
    <t>2274.96%</t>
  </si>
  <si>
    <t>National Research Corp</t>
  </si>
  <si>
    <t>9.76 - 22.99</t>
  </si>
  <si>
    <t>-80.46%</t>
  </si>
  <si>
    <t>-38.70%</t>
  </si>
  <si>
    <t>Bridger Aerospace Group Holdings Inc</t>
  </si>
  <si>
    <t>72.69%</t>
  </si>
  <si>
    <t>136.29%</t>
  </si>
  <si>
    <t>1.02 - 4.43</t>
  </si>
  <si>
    <t>The Baldwin Insurance Group Inc</t>
  </si>
  <si>
    <t>-37.46%</t>
  </si>
  <si>
    <t>108.52%</t>
  </si>
  <si>
    <t>-33.88%</t>
  </si>
  <si>
    <t>-48.31%</t>
  </si>
  <si>
    <t>28.27 - 55.82</t>
  </si>
  <si>
    <t>245.57%</t>
  </si>
  <si>
    <t>-32.42%</t>
  </si>
  <si>
    <t>-41.33%</t>
  </si>
  <si>
    <t>Priority Technology Holdings Inc</t>
  </si>
  <si>
    <t>-44.67%</t>
  </si>
  <si>
    <t>5.01 - 12.47</t>
  </si>
  <si>
    <t>419.77%</t>
  </si>
  <si>
    <t>Donnelley Financial Solutions Inc</t>
  </si>
  <si>
    <t>100.90%</t>
  </si>
  <si>
    <t>37.80 - 69.93</t>
  </si>
  <si>
    <t>1161.72%</t>
  </si>
  <si>
    <t>Allbirds Inc</t>
  </si>
  <si>
    <t>-22.48%</t>
  </si>
  <si>
    <t>-55.14%</t>
  </si>
  <si>
    <t>3.93 - 12.85</t>
  </si>
  <si>
    <t>biote Corp</t>
  </si>
  <si>
    <t>112.61%</t>
  </si>
  <si>
    <t>63.90%</t>
  </si>
  <si>
    <t>-37.47%</t>
  </si>
  <si>
    <t>2.76 - 6.98</t>
  </si>
  <si>
    <t>Aether Holdings Inc</t>
  </si>
  <si>
    <t>-681.52%</t>
  </si>
  <si>
    <t>-146.07%</t>
  </si>
  <si>
    <t>-143.02%</t>
  </si>
  <si>
    <t>-65.10%</t>
  </si>
  <si>
    <t>-74.86%</t>
  </si>
  <si>
    <t>4.51 - 19.69</t>
  </si>
  <si>
    <t>-65.74%</t>
  </si>
  <si>
    <t>First Financial Bankshares, Inc</t>
  </si>
  <si>
    <t>60.13%</t>
  </si>
  <si>
    <t>30.58 - 44.66</t>
  </si>
  <si>
    <t>-38.24%</t>
  </si>
  <si>
    <t>2878.78%</t>
  </si>
  <si>
    <t>Golden Entertainment Inc</t>
  </si>
  <si>
    <t>58.54%</t>
  </si>
  <si>
    <t>22.66 - 35.49</t>
  </si>
  <si>
    <t>-59.25%</t>
  </si>
  <si>
    <t>1021.93%</t>
  </si>
  <si>
    <t>BioVie Inc</t>
  </si>
  <si>
    <t>-97.60%</t>
  </si>
  <si>
    <t>1.42 - 75.00</t>
  </si>
  <si>
    <t>-82.20%</t>
  </si>
  <si>
    <t>-84.76%</t>
  </si>
  <si>
    <t>Cullinan Therapeutics Inc</t>
  </si>
  <si>
    <t>-66.68%</t>
  </si>
  <si>
    <t>5.89 - 17.98</t>
  </si>
  <si>
    <t>-66.06%</t>
  </si>
  <si>
    <t>Knife River Corp</t>
  </si>
  <si>
    <t>-32.83%</t>
  </si>
  <si>
    <t>70.80 - 108.83</t>
  </si>
  <si>
    <t>117.10%</t>
  </si>
  <si>
    <t>Western Asset Diversified Income Fund</t>
  </si>
  <si>
    <t>129.33%</t>
  </si>
  <si>
    <t>12.44 - 15.80</t>
  </si>
  <si>
    <t>PDS Biotechnology Corporation</t>
  </si>
  <si>
    <t>-30.95%</t>
  </si>
  <si>
    <t>0.85 - 4.29</t>
  </si>
  <si>
    <t>64.96%</t>
  </si>
  <si>
    <t>-67.57%</t>
  </si>
  <si>
    <t>BrightView Holdings Inc</t>
  </si>
  <si>
    <t>-20.07%</t>
  </si>
  <si>
    <t>11.81 - 18.89</t>
  </si>
  <si>
    <t>Erie Indemnity Co</t>
  </si>
  <si>
    <t>310.19 - 544.58</t>
  </si>
  <si>
    <t>1952.16%</t>
  </si>
  <si>
    <t>Destiny Tech100 Inc</t>
  </si>
  <si>
    <t>-27.31%</t>
  </si>
  <si>
    <t>-39.07%</t>
  </si>
  <si>
    <t>9.63 - 77.35</t>
  </si>
  <si>
    <t>199.02%</t>
  </si>
  <si>
    <t>-36.24%</t>
  </si>
  <si>
    <t>135.39%</t>
  </si>
  <si>
    <t>Treehouse Foods Inc</t>
  </si>
  <si>
    <t>162.13%</t>
  </si>
  <si>
    <t>107.69%</t>
  </si>
  <si>
    <t>-25.62%</t>
  </si>
  <si>
    <t>15.85 - 42.55</t>
  </si>
  <si>
    <t>Heritage Global Inc</t>
  </si>
  <si>
    <t>62.42%</t>
  </si>
  <si>
    <t>1.58 - 2.39</t>
  </si>
  <si>
    <t>Cineverse Corp</t>
  </si>
  <si>
    <t>77.07%</t>
  </si>
  <si>
    <t>-68.00%</t>
  </si>
  <si>
    <t>-27.81%</t>
  </si>
  <si>
    <t>271.71%</t>
  </si>
  <si>
    <t>0.91 - 7.39</t>
  </si>
  <si>
    <t>374.13%</t>
  </si>
  <si>
    <t>316.16%</t>
  </si>
  <si>
    <t>P10 Inc</t>
  </si>
  <si>
    <t>8.85 - 14.28</t>
  </si>
  <si>
    <t>3836.13%</t>
  </si>
  <si>
    <t>AlTi Global Inc</t>
  </si>
  <si>
    <t>-277.67%</t>
  </si>
  <si>
    <t>-796.67%</t>
  </si>
  <si>
    <t>-53.00%</t>
  </si>
  <si>
    <t>2.33 - 5.00</t>
  </si>
  <si>
    <t>-87.05%</t>
  </si>
  <si>
    <t>UFP Technologies Inc</t>
  </si>
  <si>
    <t>53.71%</t>
  </si>
  <si>
    <t>116.54%</t>
  </si>
  <si>
    <t>-46.04%</t>
  </si>
  <si>
    <t>178.26 - 354.22</t>
  </si>
  <si>
    <t>90909.52%</t>
  </si>
  <si>
    <t>-42.97%</t>
  </si>
  <si>
    <t>Glaukos Corporation</t>
  </si>
  <si>
    <t>-26.82%</t>
  </si>
  <si>
    <t>77.10 - 163.71</t>
  </si>
  <si>
    <t>461.40%</t>
  </si>
  <si>
    <t>Diebold Nixdorf Inc</t>
  </si>
  <si>
    <t>122.14%</t>
  </si>
  <si>
    <t>34.88 - 63.46</t>
  </si>
  <si>
    <t>Distribution Solutions Group Inc</t>
  </si>
  <si>
    <t>6/29/2012</t>
  </si>
  <si>
    <t>21.87 - 41.47</t>
  </si>
  <si>
    <t>896.23%</t>
  </si>
  <si>
    <t>Patrick Industries, Inc</t>
  </si>
  <si>
    <t>108.58%</t>
  </si>
  <si>
    <t>72.99 - 116.78</t>
  </si>
  <si>
    <t>157167.09%</t>
  </si>
  <si>
    <t>Safe &amp; Green Holdings Corp</t>
  </si>
  <si>
    <t>-147.49%</t>
  </si>
  <si>
    <t>-266.31%</t>
  </si>
  <si>
    <t>-541.65%</t>
  </si>
  <si>
    <t>-76.59%</t>
  </si>
  <si>
    <t>-82.13%</t>
  </si>
  <si>
    <t>-93.64%</t>
  </si>
  <si>
    <t>7.00 - 122.88</t>
  </si>
  <si>
    <t>-87.15%</t>
  </si>
  <si>
    <t>Oaktree Specialty Lending Corp</t>
  </si>
  <si>
    <t>317.81%</t>
  </si>
  <si>
    <t>12.50 - 16.59</t>
  </si>
  <si>
    <t>-67.90%</t>
  </si>
  <si>
    <t>Vicarious Surgical Inc</t>
  </si>
  <si>
    <t>-634.04%</t>
  </si>
  <si>
    <t>-61.01%</t>
  </si>
  <si>
    <t>5.00 - 19.00</t>
  </si>
  <si>
    <t>-29.57%</t>
  </si>
  <si>
    <t>FRP Holdings Inc</t>
  </si>
  <si>
    <t>24.10 - 33.00</t>
  </si>
  <si>
    <t>2456.09%</t>
  </si>
  <si>
    <t>CION Invt Corp</t>
  </si>
  <si>
    <t>78.96%</t>
  </si>
  <si>
    <t>8.51 - 12.71</t>
  </si>
  <si>
    <t>Innoviva Inc</t>
  </si>
  <si>
    <t>9/8/2015</t>
  </si>
  <si>
    <t>-49.84%</t>
  </si>
  <si>
    <t>54.31%</t>
  </si>
  <si>
    <t>16.67 - 22.00</t>
  </si>
  <si>
    <t>434.64%</t>
  </si>
  <si>
    <t>Vivid Seats Inc</t>
  </si>
  <si>
    <t>10/28/2021</t>
  </si>
  <si>
    <t>116.85%</t>
  </si>
  <si>
    <t>-3602.12%</t>
  </si>
  <si>
    <t>-70.17%</t>
  </si>
  <si>
    <t>14.54 - 100.00</t>
  </si>
  <si>
    <t>-94.74%</t>
  </si>
  <si>
    <t>-74.56%</t>
  </si>
  <si>
    <t>-80.07%</t>
  </si>
  <si>
    <t>Cass Information Systems Inc</t>
  </si>
  <si>
    <t>86.97%</t>
  </si>
  <si>
    <t>88.16%</t>
  </si>
  <si>
    <t>38.01 - 47.14</t>
  </si>
  <si>
    <t>980.70%</t>
  </si>
  <si>
    <t>Artisan Partners Asset Management Inc</t>
  </si>
  <si>
    <t>77.13%</t>
  </si>
  <si>
    <t>37.39%</t>
  </si>
  <si>
    <t>32.75 - 48.98</t>
  </si>
  <si>
    <t>160.98%</t>
  </si>
  <si>
    <t>Cantor Equity Partners Inc</t>
  </si>
  <si>
    <t>10.02 - 59.75</t>
  </si>
  <si>
    <t>New Mountain Finance Corp</t>
  </si>
  <si>
    <t>8.84 - 12.08</t>
  </si>
  <si>
    <t>Charles River Laboratories International Inc</t>
  </si>
  <si>
    <t>-70.29%</t>
  </si>
  <si>
    <t>104.09%</t>
  </si>
  <si>
    <t>91.86 - 230.02</t>
  </si>
  <si>
    <t>749.75%</t>
  </si>
  <si>
    <t>Bluemount Holdings Ltd</t>
  </si>
  <si>
    <t>-24.28%</t>
  </si>
  <si>
    <t>3.37 - 4.49</t>
  </si>
  <si>
    <t>Atlantic American Corp</t>
  </si>
  <si>
    <t>4/9/2025</t>
  </si>
  <si>
    <t>-42.60%</t>
  </si>
  <si>
    <t>49.97%</t>
  </si>
  <si>
    <t>1.25 - 3.71</t>
  </si>
  <si>
    <t>688.49%</t>
  </si>
  <si>
    <t>Amdocs Ltd</t>
  </si>
  <si>
    <t>78.61 - 95.41</t>
  </si>
  <si>
    <t>1295.64%</t>
  </si>
  <si>
    <t>CTS Corp</t>
  </si>
  <si>
    <t>34.02 - 59.68</t>
  </si>
  <si>
    <t>1760.76%</t>
  </si>
  <si>
    <t>-15.59%</t>
  </si>
  <si>
    <t>-45.05%</t>
  </si>
  <si>
    <t>26.11 - 48.59</t>
  </si>
  <si>
    <t>-67.36%</t>
  </si>
  <si>
    <t>4462.82%</t>
  </si>
  <si>
    <t>Calavo Growers, Inc</t>
  </si>
  <si>
    <t>21.46 - 30.02</t>
  </si>
  <si>
    <t>334.33%</t>
  </si>
  <si>
    <t>Torrid Holdings Inc</t>
  </si>
  <si>
    <t>1.62 - 7.18</t>
  </si>
  <si>
    <t>43.50%</t>
  </si>
  <si>
    <t>-69.75%</t>
  </si>
  <si>
    <t>Alpine Income Property Trust Inc</t>
  </si>
  <si>
    <t>810.22%</t>
  </si>
  <si>
    <t>-304.04%</t>
  </si>
  <si>
    <t>13.95 - 18.75</t>
  </si>
  <si>
    <t>82.68%</t>
  </si>
  <si>
    <t>Tevogen Bio Holdings Inc</t>
  </si>
  <si>
    <t>-388.63%</t>
  </si>
  <si>
    <t>-45.06%</t>
  </si>
  <si>
    <t>-74.75%</t>
  </si>
  <si>
    <t>205.20%</t>
  </si>
  <si>
    <t>0.26 - 3.09</t>
  </si>
  <si>
    <t>-96.30%</t>
  </si>
  <si>
    <t>-34.99%</t>
  </si>
  <si>
    <t>Clipper Realty Inc</t>
  </si>
  <si>
    <t>-46.00%</t>
  </si>
  <si>
    <t>3.39 - 7.12</t>
  </si>
  <si>
    <t>-74.23%</t>
  </si>
  <si>
    <t>-26.76%</t>
  </si>
  <si>
    <t>Mercantile Bank Corp</t>
  </si>
  <si>
    <t>63.51%</t>
  </si>
  <si>
    <t>37.76 - 52.98</t>
  </si>
  <si>
    <t>1713.45%</t>
  </si>
  <si>
    <t>Bread Financial Holdings Inc</t>
  </si>
  <si>
    <t>104.67%</t>
  </si>
  <si>
    <t>38.21 - 68.01</t>
  </si>
  <si>
    <t>-76.25%</t>
  </si>
  <si>
    <t>570.52%</t>
  </si>
  <si>
    <t>Omega Flex Inc</t>
  </si>
  <si>
    <t>28.12 - 57.81</t>
  </si>
  <si>
    <t>-83.55%</t>
  </si>
  <si>
    <t>367.17%</t>
  </si>
  <si>
    <t>Hamilton Lane Inc</t>
  </si>
  <si>
    <t>124.10 - 203.72</t>
  </si>
  <si>
    <t>706.24%</t>
  </si>
  <si>
    <t>MidCap Financial Investment Corporation</t>
  </si>
  <si>
    <t>10.18 - 14.74</t>
  </si>
  <si>
    <t>143.94%</t>
  </si>
  <si>
    <t>Epsilon Energy Ltd</t>
  </si>
  <si>
    <t>284.41%</t>
  </si>
  <si>
    <t>-43.62%</t>
  </si>
  <si>
    <t>59.07%</t>
  </si>
  <si>
    <t>159.50%</t>
  </si>
  <si>
    <t>70.72%</t>
  </si>
  <si>
    <t>4.99 - 8.50</t>
  </si>
  <si>
    <t>766.28%</t>
  </si>
  <si>
    <t>Ispire Technology Inc</t>
  </si>
  <si>
    <t>-168.64%</t>
  </si>
  <si>
    <t>-46.08%</t>
  </si>
  <si>
    <t>-65.33%</t>
  </si>
  <si>
    <t>2.09 - 7.47</t>
  </si>
  <si>
    <t>-86.91%</t>
  </si>
  <si>
    <t>-58.69%</t>
  </si>
  <si>
    <t>Finance of America Companies Inc</t>
  </si>
  <si>
    <t>276.86%</t>
  </si>
  <si>
    <t>97.57%</t>
  </si>
  <si>
    <t>-29.32%</t>
  </si>
  <si>
    <t>10.00 - 32.40</t>
  </si>
  <si>
    <t>458.13%</t>
  </si>
  <si>
    <t>126.96%</t>
  </si>
  <si>
    <t>One Liberty Properties, Inc</t>
  </si>
  <si>
    <t>128.14%</t>
  </si>
  <si>
    <t>21.60 - 30.45</t>
  </si>
  <si>
    <t>937.10%</t>
  </si>
  <si>
    <t>Phreesia Inc</t>
  </si>
  <si>
    <t>115.95%</t>
  </si>
  <si>
    <t>17.07 - 32.76</t>
  </si>
  <si>
    <t>-71.08%</t>
  </si>
  <si>
    <t>TTEC Holdings Inc</t>
  </si>
  <si>
    <t>4/2/2024</t>
  </si>
  <si>
    <t>-38.84%</t>
  </si>
  <si>
    <t>2.67 - 6.28</t>
  </si>
  <si>
    <t>-97.03%</t>
  </si>
  <si>
    <t>Agenus Inc</t>
  </si>
  <si>
    <t>-141.32%</t>
  </si>
  <si>
    <t>-89.91%</t>
  </si>
  <si>
    <t>-162.90%</t>
  </si>
  <si>
    <t>183.26%</t>
  </si>
  <si>
    <t>1.38 - 7.34</t>
  </si>
  <si>
    <t>135.48%</t>
  </si>
  <si>
    <t>Pro-Dex Inc. (co)</t>
  </si>
  <si>
    <t>-25.17%</t>
  </si>
  <si>
    <t>-52.11%</t>
  </si>
  <si>
    <t>26.28 - 70.26</t>
  </si>
  <si>
    <t>8873.33%</t>
  </si>
  <si>
    <t>Vivos Therapeutics Inc</t>
  </si>
  <si>
    <t>-98.89%</t>
  </si>
  <si>
    <t>-24.02%</t>
  </si>
  <si>
    <t>-49.04%</t>
  </si>
  <si>
    <t>1.98 - 7.95</t>
  </si>
  <si>
    <t>MillerKnoll Inc</t>
  </si>
  <si>
    <t>15.25 - 25.96</t>
  </si>
  <si>
    <t>427.97%</t>
  </si>
  <si>
    <t>Casella Waste Systems, Inc</t>
  </si>
  <si>
    <t>-19.23%</t>
  </si>
  <si>
    <t>103.66%</t>
  </si>
  <si>
    <t>85.21 - 121.24</t>
  </si>
  <si>
    <t>16632.08%</t>
  </si>
  <si>
    <t>-23.09%</t>
  </si>
  <si>
    <t>Usana Health Sciences Inc</t>
  </si>
  <si>
    <t>23.10 - 41.83</t>
  </si>
  <si>
    <t>60646.67%</t>
  </si>
  <si>
    <t>Wheeler Real Estate Investment Trust Inc</t>
  </si>
  <si>
    <t>12/27/2017</t>
  </si>
  <si>
    <t>79.94%</t>
  </si>
  <si>
    <t>-649.63%</t>
  </si>
  <si>
    <t>-44.41%</t>
  </si>
  <si>
    <t>6.15 - 26334.00</t>
  </si>
  <si>
    <t>-78.14%</t>
  </si>
  <si>
    <t>RMR Group Inc</t>
  </si>
  <si>
    <t>13.48 - 26.06</t>
  </si>
  <si>
    <t>-80.95%</t>
  </si>
  <si>
    <t>-36.59%</t>
  </si>
  <si>
    <t>Spar Group, Inc</t>
  </si>
  <si>
    <t>-57.46%</t>
  </si>
  <si>
    <t>0.91 - 2.48</t>
  </si>
  <si>
    <t>-96.28%</t>
  </si>
  <si>
    <t>382.29%</t>
  </si>
  <si>
    <t>Aditxt Inc</t>
  </si>
  <si>
    <t>-8139.16%</t>
  </si>
  <si>
    <t>-183491.67%</t>
  </si>
  <si>
    <t>-257582.51%</t>
  </si>
  <si>
    <t>0.81 - 2320.00</t>
  </si>
  <si>
    <t>-86.15%</t>
  </si>
  <si>
    <t>NSTS Bancorp Inc</t>
  </si>
  <si>
    <t>-150.64%</t>
  </si>
  <si>
    <t>9.81 - 13.32</t>
  </si>
  <si>
    <t>Kadant, Inc</t>
  </si>
  <si>
    <t>118.40%</t>
  </si>
  <si>
    <t>281.30 - 429.95</t>
  </si>
  <si>
    <t>4534.23%</t>
  </si>
  <si>
    <t>Cue Biopharma Inc</t>
  </si>
  <si>
    <t>-476.35%</t>
  </si>
  <si>
    <t>-469.35%</t>
  </si>
  <si>
    <t>0.45 - 1.99</t>
  </si>
  <si>
    <t>Corpay Inc</t>
  </si>
  <si>
    <t>269.02 - 400.81</t>
  </si>
  <si>
    <t>1117.11%</t>
  </si>
  <si>
    <t>Olympic Steel Inc</t>
  </si>
  <si>
    <t>49.63%</t>
  </si>
  <si>
    <t>26.32 - 43.60</t>
  </si>
  <si>
    <t>-59.87%</t>
  </si>
  <si>
    <t>1834.31%</t>
  </si>
  <si>
    <t>Choice Hotels International, Inc</t>
  </si>
  <si>
    <t>107.56 - 157.86</t>
  </si>
  <si>
    <t>3727.49%</t>
  </si>
  <si>
    <t>Sonic Automotive, Inc</t>
  </si>
  <si>
    <t>52.00 - 89.62</t>
  </si>
  <si>
    <t>10337.50%</t>
  </si>
  <si>
    <t>ONE Group Hospitality Inc</t>
  </si>
  <si>
    <t>41.03%</t>
  </si>
  <si>
    <t>-41.86%</t>
  </si>
  <si>
    <t>-41.38%</t>
  </si>
  <si>
    <t>-54.09%</t>
  </si>
  <si>
    <t>2.31 - 5.26</t>
  </si>
  <si>
    <t>230.82%</t>
  </si>
  <si>
    <t>-33.47%</t>
  </si>
  <si>
    <t>Zebra Technologies Corp</t>
  </si>
  <si>
    <t>205.73 - 427.76</t>
  </si>
  <si>
    <t>9142.22%</t>
  </si>
  <si>
    <t>Southside Bancshares Inc</t>
  </si>
  <si>
    <t>49.42%</t>
  </si>
  <si>
    <t>25.85 - 38.00</t>
  </si>
  <si>
    <t>965.60%</t>
  </si>
  <si>
    <t>XPEL Inc</t>
  </si>
  <si>
    <t>24.25 - 47.23</t>
  </si>
  <si>
    <t>Caleres Inc</t>
  </si>
  <si>
    <t>101.60%</t>
  </si>
  <si>
    <t>-18.68%</t>
  </si>
  <si>
    <t>12.09 - 34.38</t>
  </si>
  <si>
    <t>-69.92%</t>
  </si>
  <si>
    <t>556.37%</t>
  </si>
  <si>
    <t>-58.67%</t>
  </si>
  <si>
    <t>Chefs' Warehouse Inc</t>
  </si>
  <si>
    <t>38.36 - 68.94</t>
  </si>
  <si>
    <t>1563.10%</t>
  </si>
  <si>
    <t>TopBuild Corp</t>
  </si>
  <si>
    <t>104.69%</t>
  </si>
  <si>
    <t>266.26 - 445.74</t>
  </si>
  <si>
    <t>1614.68%</t>
  </si>
  <si>
    <t>Lazydays Holdings Inc</t>
  </si>
  <si>
    <t>-122.85%</t>
  </si>
  <si>
    <t>-44.99%</t>
  </si>
  <si>
    <t>-69.67%</t>
  </si>
  <si>
    <t>-96.16%</t>
  </si>
  <si>
    <t>2.05 - 58.80</t>
  </si>
  <si>
    <t>-85.13%</t>
  </si>
  <si>
    <t>-95.01%</t>
  </si>
  <si>
    <t>Roper Technologies Inc</t>
  </si>
  <si>
    <t>492.25 - 595.17</t>
  </si>
  <si>
    <t>34557.39%</t>
  </si>
  <si>
    <t>Vericel Corp</t>
  </si>
  <si>
    <t>68.45%</t>
  </si>
  <si>
    <t>73.47%</t>
  </si>
  <si>
    <t>29.24 - 63.00</t>
  </si>
  <si>
    <t>1661.09%</t>
  </si>
  <si>
    <t>-28.68%</t>
  </si>
  <si>
    <t>Hennessy Advisors Inc</t>
  </si>
  <si>
    <t>8.43 - 13.88</t>
  </si>
  <si>
    <t>-59.82%</t>
  </si>
  <si>
    <t>1120.77%</t>
  </si>
  <si>
    <t>BuzzFeed Inc</t>
  </si>
  <si>
    <t>-69.45%</t>
  </si>
  <si>
    <t>1.61 - 5.68</t>
  </si>
  <si>
    <t>169.75%</t>
  </si>
  <si>
    <t>-26.48%</t>
  </si>
  <si>
    <t>Oshkosh Corp</t>
  </si>
  <si>
    <t>67.74%</t>
  </si>
  <si>
    <t>76.82 - 144.30</t>
  </si>
  <si>
    <t>11354.22%</t>
  </si>
  <si>
    <t>UMH Properties Inc</t>
  </si>
  <si>
    <t>2575.76%</t>
  </si>
  <si>
    <t>82.13%</t>
  </si>
  <si>
    <t>14.60 - 20.24</t>
  </si>
  <si>
    <t>1323.22%</t>
  </si>
  <si>
    <t>-24.47%</t>
  </si>
  <si>
    <t>Noodles &amp; Company</t>
  </si>
  <si>
    <t>-34.87%</t>
  </si>
  <si>
    <t>-45.99%</t>
  </si>
  <si>
    <t>0.55 - 1.74</t>
  </si>
  <si>
    <t>Victory Capital Holdings Inc</t>
  </si>
  <si>
    <t>47.00 - 73.42</t>
  </si>
  <si>
    <t>800.28%</t>
  </si>
  <si>
    <t>CSW Industrials Inc</t>
  </si>
  <si>
    <t>-44.13%</t>
  </si>
  <si>
    <t>241.97 - 436.50</t>
  </si>
  <si>
    <t>775.97%</t>
  </si>
  <si>
    <t>Artelo Biosciences Inc</t>
  </si>
  <si>
    <t>68.35%</t>
  </si>
  <si>
    <t>-33.89%</t>
  </si>
  <si>
    <t>-66.91%</t>
  </si>
  <si>
    <t>-80.98%</t>
  </si>
  <si>
    <t>4.20 - 28.60</t>
  </si>
  <si>
    <t>Moody's Corp</t>
  </si>
  <si>
    <t>93.10%</t>
  </si>
  <si>
    <t>378.71 - 531.93</t>
  </si>
  <si>
    <t>12200.63%</t>
  </si>
  <si>
    <t>Mesabi Trust</t>
  </si>
  <si>
    <t>303.10%</t>
  </si>
  <si>
    <t>96.44%</t>
  </si>
  <si>
    <t>22.24 - 37.00</t>
  </si>
  <si>
    <t>-49.64%</t>
  </si>
  <si>
    <t>2817.90%</t>
  </si>
  <si>
    <t>Natural Alternatives International, Inc</t>
  </si>
  <si>
    <t>-56.18%</t>
  </si>
  <si>
    <t>-54.75%</t>
  </si>
  <si>
    <t>2.57 - 6.60</t>
  </si>
  <si>
    <t>176.50%</t>
  </si>
  <si>
    <t>MSC Income Fund Inc</t>
  </si>
  <si>
    <t>76.63%</t>
  </si>
  <si>
    <t>13.55 - 18.08</t>
  </si>
  <si>
    <t>Barrett Business Services Inc</t>
  </si>
  <si>
    <t>89.34%</t>
  </si>
  <si>
    <t>35.81 - 49.65</t>
  </si>
  <si>
    <t>13189.55%</t>
  </si>
  <si>
    <t>American States Water Co</t>
  </si>
  <si>
    <t>79.57%</t>
  </si>
  <si>
    <t>70.29 - 87.50</t>
  </si>
  <si>
    <t>2889.36%</t>
  </si>
  <si>
    <t>Acurx Pharmaceuticals Inc</t>
  </si>
  <si>
    <t>-59.69%</t>
  </si>
  <si>
    <t>3.80 - 44.00</t>
  </si>
  <si>
    <t>-97.72%</t>
  </si>
  <si>
    <t>-89.03%</t>
  </si>
  <si>
    <t>Ernexa Therapeutics Inc</t>
  </si>
  <si>
    <t>201.23%</t>
  </si>
  <si>
    <t>-2410.45%</t>
  </si>
  <si>
    <t>-8959.02%</t>
  </si>
  <si>
    <t>-64.41%</t>
  </si>
  <si>
    <t>-55.64%</t>
  </si>
  <si>
    <t>-94.90%</t>
  </si>
  <si>
    <t>1.09 - 22.35</t>
  </si>
  <si>
    <t>-66.42%</t>
  </si>
  <si>
    <t>-93.27%</t>
  </si>
  <si>
    <t>MarketAxess Holdings Inc</t>
  </si>
  <si>
    <t>176.57 - 296.68</t>
  </si>
  <si>
    <t>-70.59%</t>
  </si>
  <si>
    <t>4593.00%</t>
  </si>
  <si>
    <t>Nixxy Inc</t>
  </si>
  <si>
    <t>2009.96%</t>
  </si>
  <si>
    <t>10016.51%</t>
  </si>
  <si>
    <t>-103.85%</t>
  </si>
  <si>
    <t>-195.30%</t>
  </si>
  <si>
    <t>-39.71%</t>
  </si>
  <si>
    <t>-83.29%</t>
  </si>
  <si>
    <t>1.35 - 8.50</t>
  </si>
  <si>
    <t>Advantage Solutions Inc</t>
  </si>
  <si>
    <t>136.48%</t>
  </si>
  <si>
    <t>-60.88%</t>
  </si>
  <si>
    <t>1.04 - 4.04</t>
  </si>
  <si>
    <t>-57.29%</t>
  </si>
  <si>
    <t>cbdMD Inc</t>
  </si>
  <si>
    <t>-24.06%</t>
  </si>
  <si>
    <t>-950.00%</t>
  </si>
  <si>
    <t>0.59 - 6.54</t>
  </si>
  <si>
    <t>-70.74%</t>
  </si>
  <si>
    <t>-84.31%</t>
  </si>
  <si>
    <t>Veris Residential Inc</t>
  </si>
  <si>
    <t>264.34%</t>
  </si>
  <si>
    <t>13.69 - 18.85</t>
  </si>
  <si>
    <t>-73.67%</t>
  </si>
  <si>
    <t>GEN Restaurant Group Inc</t>
  </si>
  <si>
    <t>6/9/2025</t>
  </si>
  <si>
    <t>-38.03%</t>
  </si>
  <si>
    <t>2.77 - 10.26</t>
  </si>
  <si>
    <t>Urgent.ly Inc</t>
  </si>
  <si>
    <t>-37.89%</t>
  </si>
  <si>
    <t>2.99 - 17.99</t>
  </si>
  <si>
    <t>Lear Corp</t>
  </si>
  <si>
    <t>108.02%</t>
  </si>
  <si>
    <t>73.85 - 115.47</t>
  </si>
  <si>
    <t>299.27%</t>
  </si>
  <si>
    <t>Sensus Healthcare Inc</t>
  </si>
  <si>
    <t>-330.77%</t>
  </si>
  <si>
    <t>3.03 - 9.33</t>
  </si>
  <si>
    <t>-79.48%</t>
  </si>
  <si>
    <t>77.81%</t>
  </si>
  <si>
    <t>-44.60%</t>
  </si>
  <si>
    <t>OrthoPediatrics corp</t>
  </si>
  <si>
    <t>62.07%</t>
  </si>
  <si>
    <t>16.59 - 32.00</t>
  </si>
  <si>
    <t>ICU Medical, Inc</t>
  </si>
  <si>
    <t>102.01%</t>
  </si>
  <si>
    <t>107.00 - 196.26</t>
  </si>
  <si>
    <t>3874.33%</t>
  </si>
  <si>
    <t>Monroe Capital Corp</t>
  </si>
  <si>
    <t>223.27%</t>
  </si>
  <si>
    <t>5.96 - 8.85</t>
  </si>
  <si>
    <t>Marketwise Inc</t>
  </si>
  <si>
    <t>-17.17%</t>
  </si>
  <si>
    <t>91.59%</t>
  </si>
  <si>
    <t>8.65 - 21.52</t>
  </si>
  <si>
    <t>Columbia Sportswear Co</t>
  </si>
  <si>
    <t>48.10 - 92.88</t>
  </si>
  <si>
    <t>-55.37%</t>
  </si>
  <si>
    <t>1545.43%</t>
  </si>
  <si>
    <t>-33.16%</t>
  </si>
  <si>
    <t>WEX Inc</t>
  </si>
  <si>
    <t>1256.99%</t>
  </si>
  <si>
    <t>111.81%</t>
  </si>
  <si>
    <t>54.93%</t>
  </si>
  <si>
    <t>110.45 - 217.47</t>
  </si>
  <si>
    <t>1828.23%</t>
  </si>
  <si>
    <t>W.W. Grainger Inc</t>
  </si>
  <si>
    <t>893.99 - 1227.66</t>
  </si>
  <si>
    <t>16210.98%</t>
  </si>
  <si>
    <t>Ambiq Micro Inc</t>
  </si>
  <si>
    <t>30.25 - 51.76</t>
  </si>
  <si>
    <t>Werner Enterprises, Inc</t>
  </si>
  <si>
    <t>102.51%</t>
  </si>
  <si>
    <t>117.39%</t>
  </si>
  <si>
    <t>102.79%</t>
  </si>
  <si>
    <t>-37.73%</t>
  </si>
  <si>
    <t>23.02 - 42.48</t>
  </si>
  <si>
    <t>-47.42%</t>
  </si>
  <si>
    <t>2463.58%</t>
  </si>
  <si>
    <t>Hovnanian Enterprises, Inc</t>
  </si>
  <si>
    <t>-43.30%</t>
  </si>
  <si>
    <t>-39.15%</t>
  </si>
  <si>
    <t>81.15 - 212.77</t>
  </si>
  <si>
    <t>-92.94%</t>
  </si>
  <si>
    <t>2428.91%</t>
  </si>
  <si>
    <t>American Well Corporation</t>
  </si>
  <si>
    <t>36.37%</t>
  </si>
  <si>
    <t>-51.66%</t>
  </si>
  <si>
    <t>6.09 - 12.95</t>
  </si>
  <si>
    <t>Inotiv Inc</t>
  </si>
  <si>
    <t>-122.90%</t>
  </si>
  <si>
    <t>-29.61%</t>
  </si>
  <si>
    <t>-49.45%</t>
  </si>
  <si>
    <t>-78.94%</t>
  </si>
  <si>
    <t>1.15 - 6.48</t>
  </si>
  <si>
    <t>127.50%</t>
  </si>
  <si>
    <t>-41.91%</t>
  </si>
  <si>
    <t>Kinsale Capital Group Inc</t>
  </si>
  <si>
    <t>405.00 - 531.79</t>
  </si>
  <si>
    <t>2228.83%</t>
  </si>
  <si>
    <t>First Community Bankshares Inc</t>
  </si>
  <si>
    <t>36.13%</t>
  </si>
  <si>
    <t>32.81 - 46.72</t>
  </si>
  <si>
    <t>380.15%</t>
  </si>
  <si>
    <t>Motorola Solutions Inc</t>
  </si>
  <si>
    <t>50.31%</t>
  </si>
  <si>
    <t>388.90 - 507.82</t>
  </si>
  <si>
    <t>5006.56%</t>
  </si>
  <si>
    <t>Axon Enterprise Inc</t>
  </si>
  <si>
    <t>218.25%</t>
  </si>
  <si>
    <t>80.93%</t>
  </si>
  <si>
    <t>388.37 - 885.91</t>
  </si>
  <si>
    <t>256583.63%</t>
  </si>
  <si>
    <t>79.31%</t>
  </si>
  <si>
    <t>Mettler-Toledo International, Inc</t>
  </si>
  <si>
    <t>103.43%</t>
  </si>
  <si>
    <t>-20.17%</t>
  </si>
  <si>
    <t>946.69 - 1521.01</t>
  </si>
  <si>
    <t>-29.19%</t>
  </si>
  <si>
    <t>8572.68%</t>
  </si>
  <si>
    <t>Forge Global Holdings Inc</t>
  </si>
  <si>
    <t>-72.71%</t>
  </si>
  <si>
    <t>6.60 - 24.90</t>
  </si>
  <si>
    <t>Jasper Therapeutics Inc</t>
  </si>
  <si>
    <t>43.36%</t>
  </si>
  <si>
    <t>54.53%</t>
  </si>
  <si>
    <t>-61.68%</t>
  </si>
  <si>
    <t>-90.87%</t>
  </si>
  <si>
    <t>2.21 - 26.05</t>
  </si>
  <si>
    <t>-98.74%</t>
  </si>
  <si>
    <t>-89.09%</t>
  </si>
  <si>
    <t>Bright Horizons Family Solutions, Inc</t>
  </si>
  <si>
    <t>103.75 - 140.69</t>
  </si>
  <si>
    <t>294.65%</t>
  </si>
  <si>
    <t>Landstar System, Inc</t>
  </si>
  <si>
    <t>119.32 - 194.54</t>
  </si>
  <si>
    <t>-40.24%</t>
  </si>
  <si>
    <t>8810.91%</t>
  </si>
  <si>
    <t>Clearside Biomedical Inc</t>
  </si>
  <si>
    <t>-44.63%</t>
  </si>
  <si>
    <t>446.67%</t>
  </si>
  <si>
    <t>-524.63%</t>
  </si>
  <si>
    <t>-665.19%</t>
  </si>
  <si>
    <t>-65.16%</t>
  </si>
  <si>
    <t>-68.27%</t>
  </si>
  <si>
    <t>-83.88%</t>
  </si>
  <si>
    <t>3.32 - 24.75</t>
  </si>
  <si>
    <t>-65.45%</t>
  </si>
  <si>
    <t>-74.17%</t>
  </si>
  <si>
    <t>-76.77%</t>
  </si>
  <si>
    <t>WW International Inc</t>
  </si>
  <si>
    <t>31673.20%</t>
  </si>
  <si>
    <t>70.12%</t>
  </si>
  <si>
    <t>145.85%</t>
  </si>
  <si>
    <t>23.01 - 46.95</t>
  </si>
  <si>
    <t>Marchex Inc</t>
  </si>
  <si>
    <t>3/7/2018</t>
  </si>
  <si>
    <t>56.70%</t>
  </si>
  <si>
    <t>1.26 - 2.40</t>
  </si>
  <si>
    <t>Arrow Electronics Inc</t>
  </si>
  <si>
    <t>108.90%</t>
  </si>
  <si>
    <t>86.50 - 137.80</t>
  </si>
  <si>
    <t>7828.99%</t>
  </si>
  <si>
    <t>KinderCare Learning Companies Inc</t>
  </si>
  <si>
    <t>-47.93%</t>
  </si>
  <si>
    <t>-35.93%</t>
  </si>
  <si>
    <t>-76.94%</t>
  </si>
  <si>
    <t>6.63 - 29.89</t>
  </si>
  <si>
    <t>-33.39%</t>
  </si>
  <si>
    <t>-45.80%</t>
  </si>
  <si>
    <t>MainStreet Bancshares Inc</t>
  </si>
  <si>
    <t>15.00 - 22.98</t>
  </si>
  <si>
    <t>616.41%</t>
  </si>
  <si>
    <t>Enerpac Tool Group Corp</t>
  </si>
  <si>
    <t>101.32%</t>
  </si>
  <si>
    <t>36.51 - 51.91</t>
  </si>
  <si>
    <t>17837.77%</t>
  </si>
  <si>
    <t>Global Self Storage Inc</t>
  </si>
  <si>
    <t>4.78 - 5.89</t>
  </si>
  <si>
    <t>251.91%</t>
  </si>
  <si>
    <t>Gencor Industries, Inc</t>
  </si>
  <si>
    <t>10.80 - 22.82</t>
  </si>
  <si>
    <t>17275.99%</t>
  </si>
  <si>
    <t>Transcat Inc</t>
  </si>
  <si>
    <t>48.99%</t>
  </si>
  <si>
    <t>67.56 - 133.40</t>
  </si>
  <si>
    <t>14428.00%</t>
  </si>
  <si>
    <t>BioCardia Inc</t>
  </si>
  <si>
    <t>-61.48%</t>
  </si>
  <si>
    <t>-39.41%</t>
  </si>
  <si>
    <t>-19.70%</t>
  </si>
  <si>
    <t>-35.36%</t>
  </si>
  <si>
    <t>-55.63%</t>
  </si>
  <si>
    <t>1.00 - 3.20</t>
  </si>
  <si>
    <t>-47.01%</t>
  </si>
  <si>
    <t>Paylocity Holding Corp</t>
  </si>
  <si>
    <t>67.94%</t>
  </si>
  <si>
    <t>159.70 - 223.80</t>
  </si>
  <si>
    <t>981.36%</t>
  </si>
  <si>
    <t>Blackbaud Inc</t>
  </si>
  <si>
    <t>77.68%</t>
  </si>
  <si>
    <t>58.05 - 88.95</t>
  </si>
  <si>
    <t>672.49%</t>
  </si>
  <si>
    <t>-24.19%</t>
  </si>
  <si>
    <t>Shoulder Innovations Inc</t>
  </si>
  <si>
    <t>39.77%</t>
  </si>
  <si>
    <t>-26170.43%</t>
  </si>
  <si>
    <t>11.75 - 17.94</t>
  </si>
  <si>
    <t>Tyler Technologies, Inc</t>
  </si>
  <si>
    <t>513.52 - 661.31</t>
  </si>
  <si>
    <t>71197.12%</t>
  </si>
  <si>
    <t>Sunopta, Inc</t>
  </si>
  <si>
    <t>-43.91%</t>
  </si>
  <si>
    <t>3.64 - 8.11</t>
  </si>
  <si>
    <t>-65.54%</t>
  </si>
  <si>
    <t>4604.00%</t>
  </si>
  <si>
    <t>Palomar Holdings Inc</t>
  </si>
  <si>
    <t>52.60%</t>
  </si>
  <si>
    <t>85.00 - 175.85</t>
  </si>
  <si>
    <t>536.18%</t>
  </si>
  <si>
    <t>Coya Therapeutics Inc</t>
  </si>
  <si>
    <t>-89.45%</t>
  </si>
  <si>
    <t>-95.22%</t>
  </si>
  <si>
    <t>26.81%</t>
  </si>
  <si>
    <t>-5342.29%</t>
  </si>
  <si>
    <t>-4803.12%</t>
  </si>
  <si>
    <t>-48.05%</t>
  </si>
  <si>
    <t>4.65 - 10.24</t>
  </si>
  <si>
    <t>DocGo Inc</t>
  </si>
  <si>
    <t>-41.31%</t>
  </si>
  <si>
    <t>-46.66%</t>
  </si>
  <si>
    <t>1.23 - 5.68</t>
  </si>
  <si>
    <t>-49.27%</t>
  </si>
  <si>
    <t>Mayville Engineering Company Inc</t>
  </si>
  <si>
    <t>11.72 - 23.02</t>
  </si>
  <si>
    <t>247.87%</t>
  </si>
  <si>
    <t>-32.88%</t>
  </si>
  <si>
    <t>Kezar Life Sciences Inc</t>
  </si>
  <si>
    <t>-59.42%</t>
  </si>
  <si>
    <t>3.62 - 9.18</t>
  </si>
  <si>
    <t>Korn Ferry</t>
  </si>
  <si>
    <t>98.29%</t>
  </si>
  <si>
    <t>59.23 - 80.64</t>
  </si>
  <si>
    <t>1160.91%</t>
  </si>
  <si>
    <t>European Wax Center Inc</t>
  </si>
  <si>
    <t>4/21/2022</t>
  </si>
  <si>
    <t>59.87%</t>
  </si>
  <si>
    <t>-25.91%</t>
  </si>
  <si>
    <t>-57.11%</t>
  </si>
  <si>
    <t>2.72 - 8.91</t>
  </si>
  <si>
    <t>-87.78%</t>
  </si>
  <si>
    <t>Euronet Worldwide Inc</t>
  </si>
  <si>
    <t>85.24 - 114.25</t>
  </si>
  <si>
    <t>-48.26%</t>
  </si>
  <si>
    <t>4963.14%</t>
  </si>
  <si>
    <t>Quaker Houghton</t>
  </si>
  <si>
    <t>95.91 - 180.96</t>
  </si>
  <si>
    <t>-56.93%</t>
  </si>
  <si>
    <t>2696.99%</t>
  </si>
  <si>
    <t>Unicycive Therapeutics Inc</t>
  </si>
  <si>
    <t>-32.46%</t>
  </si>
  <si>
    <t>-65.09%</t>
  </si>
  <si>
    <t>3.40 - 11.00</t>
  </si>
  <si>
    <t>Insperity Inc</t>
  </si>
  <si>
    <t>98.97%</t>
  </si>
  <si>
    <t>106.24%</t>
  </si>
  <si>
    <t>-48.51%</t>
  </si>
  <si>
    <t>44.14 - 95.98</t>
  </si>
  <si>
    <t>5549.54%</t>
  </si>
  <si>
    <t>-44.73%</t>
  </si>
  <si>
    <t>Xponential Fitness Inc</t>
  </si>
  <si>
    <t>6.64 - 18.87</t>
  </si>
  <si>
    <t>-76.67%</t>
  </si>
  <si>
    <t>Citi Trends Inc</t>
  </si>
  <si>
    <t>3/2/2020</t>
  </si>
  <si>
    <t>16.18 - 39.37</t>
  </si>
  <si>
    <t>359.55%</t>
  </si>
  <si>
    <t>Northeast Bank</t>
  </si>
  <si>
    <t>45.68%</t>
  </si>
  <si>
    <t>65.19%</t>
  </si>
  <si>
    <t>73.88 - 113.01</t>
  </si>
  <si>
    <t>3235.19%</t>
  </si>
  <si>
    <t>1stdibs.com Inc</t>
  </si>
  <si>
    <t>71.88%</t>
  </si>
  <si>
    <t>-44.17%</t>
  </si>
  <si>
    <t>2.30 - 4.72</t>
  </si>
  <si>
    <t>Array Digital Infrastructure Inc</t>
  </si>
  <si>
    <t>37.96 - 56.53</t>
  </si>
  <si>
    <t>537.66%</t>
  </si>
  <si>
    <t>ECD Automotive Design Inc</t>
  </si>
  <si>
    <t>-1903.08%</t>
  </si>
  <si>
    <t>-51.28%</t>
  </si>
  <si>
    <t>-81.05%</t>
  </si>
  <si>
    <t>3.42 - 49.20</t>
  </si>
  <si>
    <t>-99.45%</t>
  </si>
  <si>
    <t>-86.21%</t>
  </si>
  <si>
    <t>-91.92%</t>
  </si>
  <si>
    <t>ARKO Corp</t>
  </si>
  <si>
    <t>66.11%</t>
  </si>
  <si>
    <t>3.51 - 7.84</t>
  </si>
  <si>
    <t>-33.29%</t>
  </si>
  <si>
    <t>Amalgamated Financial Corp</t>
  </si>
  <si>
    <t>25.03 - 38.19</t>
  </si>
  <si>
    <t>247.35%</t>
  </si>
  <si>
    <t>Integer Holdings Corp</t>
  </si>
  <si>
    <t>-31.69%</t>
  </si>
  <si>
    <t>99.73 - 146.36</t>
  </si>
  <si>
    <t>673.63%</t>
  </si>
  <si>
    <t>Origin Bancorp Inc</t>
  </si>
  <si>
    <t>-39.59%</t>
  </si>
  <si>
    <t>28.80 - 41.17</t>
  </si>
  <si>
    <t>Union Bankshares, Inc</t>
  </si>
  <si>
    <t>74.85%</t>
  </si>
  <si>
    <t>24.57 - 37.70</t>
  </si>
  <si>
    <t>174.58%</t>
  </si>
  <si>
    <t>AdvanSix Inc</t>
  </si>
  <si>
    <t>-41.42%</t>
  </si>
  <si>
    <t>17.97 - 33.00</t>
  </si>
  <si>
    <t>139.83%</t>
  </si>
  <si>
    <t>-34.32%</t>
  </si>
  <si>
    <t>Stepan Co</t>
  </si>
  <si>
    <t>68.74%</t>
  </si>
  <si>
    <t>-19.63%</t>
  </si>
  <si>
    <t>-42.98%</t>
  </si>
  <si>
    <t>44.23 - 82.08</t>
  </si>
  <si>
    <t>2482.07%</t>
  </si>
  <si>
    <t>Exicure Inc</t>
  </si>
  <si>
    <t>64.76%</t>
  </si>
  <si>
    <t>184.30%</t>
  </si>
  <si>
    <t>-58.53%</t>
  </si>
  <si>
    <t>-89.06%</t>
  </si>
  <si>
    <t>2.15 - 36.00</t>
  </si>
  <si>
    <t>173.61%</t>
  </si>
  <si>
    <t>-71.86%</t>
  </si>
  <si>
    <t>iQSTEL Inc</t>
  </si>
  <si>
    <t>63.58%</t>
  </si>
  <si>
    <t>-64.00%</t>
  </si>
  <si>
    <t>-48.85%</t>
  </si>
  <si>
    <t>-42.23%</t>
  </si>
  <si>
    <t>5.22 - 32.68</t>
  </si>
  <si>
    <t>153.96%</t>
  </si>
  <si>
    <t>-56.09%</t>
  </si>
  <si>
    <t>Kemper Corporation</t>
  </si>
  <si>
    <t>-29.09%</t>
  </si>
  <si>
    <t>45.02 - 73.01</t>
  </si>
  <si>
    <t>550.38%</t>
  </si>
  <si>
    <t>Peoples Financial Services Corp</t>
  </si>
  <si>
    <t>207.62%</t>
  </si>
  <si>
    <t>67.70%</t>
  </si>
  <si>
    <t>70.70%</t>
  </si>
  <si>
    <t>38.90 - 59.70</t>
  </si>
  <si>
    <t>210.41%</t>
  </si>
  <si>
    <t>Ategrity Specialty Insurance Company Holdings</t>
  </si>
  <si>
    <t>-17.70%</t>
  </si>
  <si>
    <t>18.50 - 25.30</t>
  </si>
  <si>
    <t>Cars.com</t>
  </si>
  <si>
    <t>95.66%</t>
  </si>
  <si>
    <t>9.56 - 20.47</t>
  </si>
  <si>
    <t>-62.83%</t>
  </si>
  <si>
    <t>276.77%</t>
  </si>
  <si>
    <t>Choiceone Financial Services, Inc</t>
  </si>
  <si>
    <t>24.89 - 38.15</t>
  </si>
  <si>
    <t>676.92%</t>
  </si>
  <si>
    <t>Smith-Midland Corp</t>
  </si>
  <si>
    <t>12/19/2019</t>
  </si>
  <si>
    <t>57.74%</t>
  </si>
  <si>
    <t>28.27%</t>
  </si>
  <si>
    <t>25.13 - 51.96</t>
  </si>
  <si>
    <t>11042.61%</t>
  </si>
  <si>
    <t>Toro Co</t>
  </si>
  <si>
    <t>62.34 - 89.50</t>
  </si>
  <si>
    <t>20148.20%</t>
  </si>
  <si>
    <t>Worthington Steel Inc</t>
  </si>
  <si>
    <t>49.77%</t>
  </si>
  <si>
    <t>21.30 - 47.19</t>
  </si>
  <si>
    <t>42.57%</t>
  </si>
  <si>
    <t>H2O America</t>
  </si>
  <si>
    <t>44.91 - 60.56</t>
  </si>
  <si>
    <t>-42.72%</t>
  </si>
  <si>
    <t>1765.03%</t>
  </si>
  <si>
    <t>Dream Finders Homes Inc</t>
  </si>
  <si>
    <t>57.10%</t>
  </si>
  <si>
    <t>19.65 - 36.76</t>
  </si>
  <si>
    <t>218.55%</t>
  </si>
  <si>
    <t>Blue Owl Technology Finance Corp</t>
  </si>
  <si>
    <t>76.14%</t>
  </si>
  <si>
    <t>81.16%</t>
  </si>
  <si>
    <t>98.11%</t>
  </si>
  <si>
    <t>14.07 - 21.55</t>
  </si>
  <si>
    <t>SUNation Energy Inc</t>
  </si>
  <si>
    <t>-42.10%</t>
  </si>
  <si>
    <t>1.34 - 2436.00</t>
  </si>
  <si>
    <t>Orchestra BioMed Holdings Inc</t>
  </si>
  <si>
    <t>-347.45%</t>
  </si>
  <si>
    <t>-273.68%</t>
  </si>
  <si>
    <t>34.92%</t>
  </si>
  <si>
    <t>-2420.75%</t>
  </si>
  <si>
    <t>-2367.49%</t>
  </si>
  <si>
    <t>2.20 - 6.50</t>
  </si>
  <si>
    <t>-89.73%</t>
  </si>
  <si>
    <t>-47.76%</t>
  </si>
  <si>
    <t>Janux Therapeutics Inc</t>
  </si>
  <si>
    <t>106.15%</t>
  </si>
  <si>
    <t>-374.26%</t>
  </si>
  <si>
    <t>-33002.05%</t>
  </si>
  <si>
    <t>-24064.01%</t>
  </si>
  <si>
    <t>21.73 - 71.71</t>
  </si>
  <si>
    <t>289.65%</t>
  </si>
  <si>
    <t>Patriot National Bancorp Inc</t>
  </si>
  <si>
    <t>12/6/2019</t>
  </si>
  <si>
    <t>-69.43%</t>
  </si>
  <si>
    <t>0.90 - 7.47</t>
  </si>
  <si>
    <t>Tectonic Therapeutic Inc</t>
  </si>
  <si>
    <t>-43.00%</t>
  </si>
  <si>
    <t>-74.49%</t>
  </si>
  <si>
    <t>13.70 - 61.07</t>
  </si>
  <si>
    <t>131.81%</t>
  </si>
  <si>
    <t>-35.73%</t>
  </si>
  <si>
    <t>Old Second Bancorporation Inc</t>
  </si>
  <si>
    <t>60.08%</t>
  </si>
  <si>
    <t>14.14 - 19.46</t>
  </si>
  <si>
    <t>-50.59%</t>
  </si>
  <si>
    <t>2428.48%</t>
  </si>
  <si>
    <t>Teleflex Incorporated</t>
  </si>
  <si>
    <t>-31.49%</t>
  </si>
  <si>
    <t>102.10%</t>
  </si>
  <si>
    <t>-52.38%</t>
  </si>
  <si>
    <t>108.90 - 249.90</t>
  </si>
  <si>
    <t>-73.52%</t>
  </si>
  <si>
    <t>3260.00%</t>
  </si>
  <si>
    <t>Arcadia Biosciences Inc</t>
  </si>
  <si>
    <t>-312.66%</t>
  </si>
  <si>
    <t>37.78%</t>
  </si>
  <si>
    <t>-171.02%</t>
  </si>
  <si>
    <t>-139.33%</t>
  </si>
  <si>
    <t>-67.56%</t>
  </si>
  <si>
    <t>2.53 - 10.31</t>
  </si>
  <si>
    <t>Pulmatrix Inc</t>
  </si>
  <si>
    <t>-96.76%</t>
  </si>
  <si>
    <t>2797.56%</t>
  </si>
  <si>
    <t>-2169.11%</t>
  </si>
  <si>
    <t>-2149.05%</t>
  </si>
  <si>
    <t>-56.49%</t>
  </si>
  <si>
    <t>130.87%</t>
  </si>
  <si>
    <t>1.96 - 10.40</t>
  </si>
  <si>
    <t>191.94%</t>
  </si>
  <si>
    <t>-37.33%</t>
  </si>
  <si>
    <t>CervoMed Inc</t>
  </si>
  <si>
    <t>-315.76%</t>
  </si>
  <si>
    <t>-290.75%</t>
  </si>
  <si>
    <t>340.28%</t>
  </si>
  <si>
    <t>1.80 - 16.94</t>
  </si>
  <si>
    <t>Agilysys, Inc</t>
  </si>
  <si>
    <t>7/16/2009</t>
  </si>
  <si>
    <t>63.71 - 142.64</t>
  </si>
  <si>
    <t>6875.45%</t>
  </si>
  <si>
    <t>36.66%</t>
  </si>
  <si>
    <t>Art's-way Manufacturing Co. Inc</t>
  </si>
  <si>
    <t>2/10/2015</t>
  </si>
  <si>
    <t>81.82%</t>
  </si>
  <si>
    <t>1.43 - 4.71</t>
  </si>
  <si>
    <t>-86.92%</t>
  </si>
  <si>
    <t>494.29%</t>
  </si>
  <si>
    <t>56.63%</t>
  </si>
  <si>
    <t>Wen Acquisition Corp</t>
  </si>
  <si>
    <t>9.67 - 10.40</t>
  </si>
  <si>
    <t>Mission Produce Inc</t>
  </si>
  <si>
    <t>9.56 - 15.25</t>
  </si>
  <si>
    <t>Sound Point Meridian Capital Inc</t>
  </si>
  <si>
    <t>326.71%</t>
  </si>
  <si>
    <t>16.26 - 22.30</t>
  </si>
  <si>
    <t>Chimera Investment Corp</t>
  </si>
  <si>
    <t>129.15%</t>
  </si>
  <si>
    <t>-46.76%</t>
  </si>
  <si>
    <t>-27.34%</t>
  </si>
  <si>
    <t>94.42%</t>
  </si>
  <si>
    <t>9.85 - 16.35</t>
  </si>
  <si>
    <t>-94.66%</t>
  </si>
  <si>
    <t>Techtarget Inc</t>
  </si>
  <si>
    <t>-9741.27%</t>
  </si>
  <si>
    <t>-82.96%</t>
  </si>
  <si>
    <t>5.39 - 33.08</t>
  </si>
  <si>
    <t>Lamar Advertising Co</t>
  </si>
  <si>
    <t>153.20%</t>
  </si>
  <si>
    <t>99.84 - 139.60</t>
  </si>
  <si>
    <t>2189.70%</t>
  </si>
  <si>
    <t>Power REIT</t>
  </si>
  <si>
    <t>1/10/2013</t>
  </si>
  <si>
    <t>-175.13%</t>
  </si>
  <si>
    <t>-52.07%</t>
  </si>
  <si>
    <t>0.68 - 2.75</t>
  </si>
  <si>
    <t>-98.85%</t>
  </si>
  <si>
    <t>134.64%</t>
  </si>
  <si>
    <t>-21.24%</t>
  </si>
  <si>
    <t>Aprea Therapeutics Inc</t>
  </si>
  <si>
    <t>59.30%</t>
  </si>
  <si>
    <t>-78.97%</t>
  </si>
  <si>
    <t>-1759.36%</t>
  </si>
  <si>
    <t>-1646.84%</t>
  </si>
  <si>
    <t>-71.26%</t>
  </si>
  <si>
    <t>1.37 - 5.01</t>
  </si>
  <si>
    <t>Jefferson Capital Inc</t>
  </si>
  <si>
    <t>15.98 - 20.30</t>
  </si>
  <si>
    <t>PC Connection, Inc</t>
  </si>
  <si>
    <t>56.72 - 77.19</t>
  </si>
  <si>
    <t>2566.32%</t>
  </si>
  <si>
    <t>Avnet Inc</t>
  </si>
  <si>
    <t>105.18%</t>
  </si>
  <si>
    <t>39.22 - 59.24</t>
  </si>
  <si>
    <t>827.30%</t>
  </si>
  <si>
    <t>MACOM Technology Solutions Holdings Inc</t>
  </si>
  <si>
    <t>84.00 - 152.50</t>
  </si>
  <si>
    <t>1141.27%</t>
  </si>
  <si>
    <t>Stoneridge Inc</t>
  </si>
  <si>
    <t>-177.78%</t>
  </si>
  <si>
    <t>3.54 - 11.82</t>
  </si>
  <si>
    <t>-79.93%</t>
  </si>
  <si>
    <t>443.74%</t>
  </si>
  <si>
    <t>50.04%</t>
  </si>
  <si>
    <t>Compass Diversified Holdings</t>
  </si>
  <si>
    <t>4/17/2025</t>
  </si>
  <si>
    <t>-50.85%</t>
  </si>
  <si>
    <t>-72.39%</t>
  </si>
  <si>
    <t>5.98 - 24.32</t>
  </si>
  <si>
    <t>Greystone Housing Impact Investors LP</t>
  </si>
  <si>
    <t>191.07%</t>
  </si>
  <si>
    <t>99.98%</t>
  </si>
  <si>
    <t>10.12 - 14.51</t>
  </si>
  <si>
    <t>EPAM Systems Inc</t>
  </si>
  <si>
    <t>138.15 - 269.00</t>
  </si>
  <si>
    <t>1046.49%</t>
  </si>
  <si>
    <t>GeneDx Holdings Corp</t>
  </si>
  <si>
    <t>140.08%</t>
  </si>
  <si>
    <t>331.78%</t>
  </si>
  <si>
    <t>108.63%</t>
  </si>
  <si>
    <t>206.70%</t>
  </si>
  <si>
    <t>36.85 - 136.00</t>
  </si>
  <si>
    <t>-87.40%</t>
  </si>
  <si>
    <t>9643.10%</t>
  </si>
  <si>
    <t>189.28%</t>
  </si>
  <si>
    <t>Spero Therapeutics Inc</t>
  </si>
  <si>
    <t>-67.67%</t>
  </si>
  <si>
    <t>107.42%</t>
  </si>
  <si>
    <t>-207.83%</t>
  </si>
  <si>
    <t>-157.24%</t>
  </si>
  <si>
    <t>272.13%</t>
  </si>
  <si>
    <t>0.51 - 3.22</t>
  </si>
  <si>
    <t>-92.05%</t>
  </si>
  <si>
    <t>118.58%</t>
  </si>
  <si>
    <t>Reliance Inc</t>
  </si>
  <si>
    <t>82.49%</t>
  </si>
  <si>
    <t>250.07 - 347.43</t>
  </si>
  <si>
    <t>12133.09%</t>
  </si>
  <si>
    <t>Amphastar Pharmaceuticals Inc</t>
  </si>
  <si>
    <t>71.56%</t>
  </si>
  <si>
    <t>-50.96%</t>
  </si>
  <si>
    <t>20.39 - 53.96</t>
  </si>
  <si>
    <t>296.70%</t>
  </si>
  <si>
    <t>Navient Corp</t>
  </si>
  <si>
    <t>54.23%</t>
  </si>
  <si>
    <t>103.13%</t>
  </si>
  <si>
    <t>10.53 - 16.15</t>
  </si>
  <si>
    <t>213.51%</t>
  </si>
  <si>
    <t>a.k.a. Brands Holding Corp</t>
  </si>
  <si>
    <t>7.00 - 27.47</t>
  </si>
  <si>
    <t>-94.69%</t>
  </si>
  <si>
    <t>169.53%</t>
  </si>
  <si>
    <t>-61.03%</t>
  </si>
  <si>
    <t>AllianceBernstein Holding Lp</t>
  </si>
  <si>
    <t>32.28 - 43.30</t>
  </si>
  <si>
    <t>-60.01%</t>
  </si>
  <si>
    <t>1477.97%</t>
  </si>
  <si>
    <t>NorthEast Community Bancorp Inc</t>
  </si>
  <si>
    <t>67.42%</t>
  </si>
  <si>
    <t>19.57 - 31.43</t>
  </si>
  <si>
    <t>546.85%</t>
  </si>
  <si>
    <t>Owens Corning</t>
  </si>
  <si>
    <t>10/20/2025</t>
  </si>
  <si>
    <t>123.40 - 214.53</t>
  </si>
  <si>
    <t>2675.59%</t>
  </si>
  <si>
    <t>Bluelinx Hldgs Inc</t>
  </si>
  <si>
    <t>-40.88%</t>
  </si>
  <si>
    <t>94.51%</t>
  </si>
  <si>
    <t>-45.39%</t>
  </si>
  <si>
    <t>63.13 - 134.79</t>
  </si>
  <si>
    <t>-47.04%</t>
  </si>
  <si>
    <t>2353.67%</t>
  </si>
  <si>
    <t>Repay Holdings Corporation</t>
  </si>
  <si>
    <t>3.59 - 9.75</t>
  </si>
  <si>
    <t>-81.84%</t>
  </si>
  <si>
    <t>Oblong Inc</t>
  </si>
  <si>
    <t>-143.27%</t>
  </si>
  <si>
    <t>-519.11%</t>
  </si>
  <si>
    <t>-53.20%</t>
  </si>
  <si>
    <t>1.91 - 5.50</t>
  </si>
  <si>
    <t>-25.61%</t>
  </si>
  <si>
    <t>Health Catalyst Inc</t>
  </si>
  <si>
    <t>78.48%</t>
  </si>
  <si>
    <t>-31.67%</t>
  </si>
  <si>
    <t>-30.74%</t>
  </si>
  <si>
    <t>2.52 - 9.24</t>
  </si>
  <si>
    <t>RCI Hospitality Holdings Inc</t>
  </si>
  <si>
    <t>25.15 - 61.66</t>
  </si>
  <si>
    <t>-69.62%</t>
  </si>
  <si>
    <t>5822.00%</t>
  </si>
  <si>
    <t>Quest Resource Holding Corp</t>
  </si>
  <si>
    <t>-189.38%</t>
  </si>
  <si>
    <t>-271.67%</t>
  </si>
  <si>
    <t>1.41 - 8.92</t>
  </si>
  <si>
    <t>-82.70%</t>
  </si>
  <si>
    <t>ArriVent BioPharma Inc</t>
  </si>
  <si>
    <t>59.72%</t>
  </si>
  <si>
    <t>15.47 - 36.37</t>
  </si>
  <si>
    <t>-26.70%</t>
  </si>
  <si>
    <t>Unifirst Corp</t>
  </si>
  <si>
    <t>81.62%</t>
  </si>
  <si>
    <t>156.34 - 243.70</t>
  </si>
  <si>
    <t>5074.99%</t>
  </si>
  <si>
    <t>Optimumbank Holdings Inc</t>
  </si>
  <si>
    <t>3.53 - 5.90</t>
  </si>
  <si>
    <t>Purple Innovation Inc</t>
  </si>
  <si>
    <t>68.18%</t>
  </si>
  <si>
    <t>0.56 - 1.29</t>
  </si>
  <si>
    <t>-97.71%</t>
  </si>
  <si>
    <t>Gladstone Investment Corporation</t>
  </si>
  <si>
    <t>93.31%</t>
  </si>
  <si>
    <t>11.01 - 14.79</t>
  </si>
  <si>
    <t>721.16%</t>
  </si>
  <si>
    <t>Herc Holdings Inc</t>
  </si>
  <si>
    <t>96.18 - 246.88</t>
  </si>
  <si>
    <t>2368.74%</t>
  </si>
  <si>
    <t>TFS Financial Corporation</t>
  </si>
  <si>
    <t>403.57%</t>
  </si>
  <si>
    <t>11.29 - 14.99</t>
  </si>
  <si>
    <t>72.42%</t>
  </si>
  <si>
    <t>Douglas Dynamics Inc</t>
  </si>
  <si>
    <t>95.49%</t>
  </si>
  <si>
    <t>21.30 - 34.25</t>
  </si>
  <si>
    <t>215.09%</t>
  </si>
  <si>
    <t>XBiotech Inc</t>
  </si>
  <si>
    <t>7/15/2021</t>
  </si>
  <si>
    <t>-29.71%</t>
  </si>
  <si>
    <t>2.50 - 8.32</t>
  </si>
  <si>
    <t>Hubbell Inc</t>
  </si>
  <si>
    <t>299.42 - 481.35</t>
  </si>
  <si>
    <t>7389.00%</t>
  </si>
  <si>
    <t>Actuate Therapeutics Inc</t>
  </si>
  <si>
    <t>5.47 - 11.99</t>
  </si>
  <si>
    <t>Wabash National Corp</t>
  </si>
  <si>
    <t>-50.49%</t>
  </si>
  <si>
    <t>6.78 - 20.63</t>
  </si>
  <si>
    <t>1943.00%</t>
  </si>
  <si>
    <t>-46.38%</t>
  </si>
  <si>
    <t>Saul Centers, Inc</t>
  </si>
  <si>
    <t>144.40%</t>
  </si>
  <si>
    <t>31.15 - 42.39</t>
  </si>
  <si>
    <t>156.91%</t>
  </si>
  <si>
    <t>Cloudastructure Inc</t>
  </si>
  <si>
    <t>267.00%</t>
  </si>
  <si>
    <t>-180.10%</t>
  </si>
  <si>
    <t>-281.75%</t>
  </si>
  <si>
    <t>-70.02%</t>
  </si>
  <si>
    <t>-36.19%</t>
  </si>
  <si>
    <t>-97.44%</t>
  </si>
  <si>
    <t>1.16 - 52.43</t>
  </si>
  <si>
    <t>-74.18%</t>
  </si>
  <si>
    <t>TAO Synergies Inc</t>
  </si>
  <si>
    <t>-17686.98%</t>
  </si>
  <si>
    <t>-184774.33%</t>
  </si>
  <si>
    <t>-735871.71%</t>
  </si>
  <si>
    <t>-54.59%</t>
  </si>
  <si>
    <t>195.65%</t>
  </si>
  <si>
    <t>1.84 - 11.98</t>
  </si>
  <si>
    <t>RLI Corp</t>
  </si>
  <si>
    <t>-27.26%</t>
  </si>
  <si>
    <t>63.92 - 89.12</t>
  </si>
  <si>
    <t>39581.93%</t>
  </si>
  <si>
    <t>BranchOut Food Inc</t>
  </si>
  <si>
    <t>-71.90%</t>
  </si>
  <si>
    <t>142.10%</t>
  </si>
  <si>
    <t>-40.08%</t>
  </si>
  <si>
    <t>-51.86%</t>
  </si>
  <si>
    <t>1.31 - 3.10</t>
  </si>
  <si>
    <t>-65.48%</t>
  </si>
  <si>
    <t>251.68%</t>
  </si>
  <si>
    <t>Cohen &amp; Company Inc</t>
  </si>
  <si>
    <t>211.65%</t>
  </si>
  <si>
    <t>6.10 - 13.25</t>
  </si>
  <si>
    <t>317.95%</t>
  </si>
  <si>
    <t>Amerant Bancorp Inc</t>
  </si>
  <si>
    <t>81.71%</t>
  </si>
  <si>
    <t>16.21 - 26.24</t>
  </si>
  <si>
    <t>121.59%</t>
  </si>
  <si>
    <t>IRIDEX Corp</t>
  </si>
  <si>
    <t>0.78 - 1.95</t>
  </si>
  <si>
    <t>-93.80%</t>
  </si>
  <si>
    <t>218.53%</t>
  </si>
  <si>
    <t>First Advantage Corp</t>
  </si>
  <si>
    <t>65.34%</t>
  </si>
  <si>
    <t>111.67%</t>
  </si>
  <si>
    <t>12.32 - 20.79</t>
  </si>
  <si>
    <t>Urban One Inc</t>
  </si>
  <si>
    <t>1.23 - 1.92</t>
  </si>
  <si>
    <t>-97.36%</t>
  </si>
  <si>
    <t>615.00%</t>
  </si>
  <si>
    <t>Chatham Lodging Trust</t>
  </si>
  <si>
    <t>90.67%</t>
  </si>
  <si>
    <t>5.83 - 10.00</t>
  </si>
  <si>
    <t>-77.88%</t>
  </si>
  <si>
    <t>102.33%</t>
  </si>
  <si>
    <t>Matrix Service Co</t>
  </si>
  <si>
    <t>-2766.67%</t>
  </si>
  <si>
    <t>86.28%</t>
  </si>
  <si>
    <t>9.33 - 16.10</t>
  </si>
  <si>
    <t>-66.73%</t>
  </si>
  <si>
    <t>836.73%</t>
  </si>
  <si>
    <t>ICF International, Inc</t>
  </si>
  <si>
    <t>75.91 - 179.67</t>
  </si>
  <si>
    <t>691.03%</t>
  </si>
  <si>
    <t>Fresh Del Monte Produce Inc</t>
  </si>
  <si>
    <t>26.50 - 40.75</t>
  </si>
  <si>
    <t>924.30%</t>
  </si>
  <si>
    <t>Sight Sciences Inc</t>
  </si>
  <si>
    <t>-63.80%</t>
  </si>
  <si>
    <t>69.46%</t>
  </si>
  <si>
    <t>2.03 - 6.82</t>
  </si>
  <si>
    <t>230.77%</t>
  </si>
  <si>
    <t>55.08 - 90.22</t>
  </si>
  <si>
    <t>-63.95%</t>
  </si>
  <si>
    <t>1057.12%</t>
  </si>
  <si>
    <t>IDT Corp</t>
  </si>
  <si>
    <t>243.59%</t>
  </si>
  <si>
    <t>37.45 - 71.12</t>
  </si>
  <si>
    <t>29737.65%</t>
  </si>
  <si>
    <t>Ampco-Pittsburgh Corp</t>
  </si>
  <si>
    <t>4/11/2017</t>
  </si>
  <si>
    <t>1.61 - 3.99</t>
  </si>
  <si>
    <t>-94.15%</t>
  </si>
  <si>
    <t>224.97%</t>
  </si>
  <si>
    <t>Silicon Laboratories Inc</t>
  </si>
  <si>
    <t>82.82 - 160.00</t>
  </si>
  <si>
    <t>1173.78%</t>
  </si>
  <si>
    <t>OneMain Holdings Inc</t>
  </si>
  <si>
    <t>91.98%</t>
  </si>
  <si>
    <t>38.00 - 63.24</t>
  </si>
  <si>
    <t>479.73%</t>
  </si>
  <si>
    <t>Playboy Inc</t>
  </si>
  <si>
    <t>-536.41%</t>
  </si>
  <si>
    <t>63.95%</t>
  </si>
  <si>
    <t>134.81%</t>
  </si>
  <si>
    <t>0.66 - 2.44</t>
  </si>
  <si>
    <t>260.51%</t>
  </si>
  <si>
    <t>115.28%</t>
  </si>
  <si>
    <t>Runway Growth Finance Corp</t>
  </si>
  <si>
    <t>92.74%</t>
  </si>
  <si>
    <t>-86.26%</t>
  </si>
  <si>
    <t>79.16%</t>
  </si>
  <si>
    <t>81.70%</t>
  </si>
  <si>
    <t>8.31 - 11.64</t>
  </si>
  <si>
    <t>American Outdoor Brands Inc</t>
  </si>
  <si>
    <t>89.12%</t>
  </si>
  <si>
    <t>8.10 - 17.91</t>
  </si>
  <si>
    <t>-76.50%</t>
  </si>
  <si>
    <t>Alpha Cognition Inc</t>
  </si>
  <si>
    <t>-101.17%</t>
  </si>
  <si>
    <t>-315.92%</t>
  </si>
  <si>
    <t>-436.39%</t>
  </si>
  <si>
    <t>111.20%</t>
  </si>
  <si>
    <t>3.75 - 12.63</t>
  </si>
  <si>
    <t>-82.40%</t>
  </si>
  <si>
    <t>Kronos Worldwide, Inc</t>
  </si>
  <si>
    <t>-158.87%</t>
  </si>
  <si>
    <t>-56.36%</t>
  </si>
  <si>
    <t>4.70 - 12.98</t>
  </si>
  <si>
    <t>-83.58%</t>
  </si>
  <si>
    <t>147.38%</t>
  </si>
  <si>
    <t>Tivic Health Systems Inc</t>
  </si>
  <si>
    <t>51.86%</t>
  </si>
  <si>
    <t>-1388.31%</t>
  </si>
  <si>
    <t>-1372.51%</t>
  </si>
  <si>
    <t>2.43 - 15.64</t>
  </si>
  <si>
    <t>-21.81%</t>
  </si>
  <si>
    <t>Ceribell Inc</t>
  </si>
  <si>
    <t>10.01 - 32.75</t>
  </si>
  <si>
    <t>Burlington Stores Inc</t>
  </si>
  <si>
    <t>212.92 - 309.00</t>
  </si>
  <si>
    <t>1115.88%</t>
  </si>
  <si>
    <t>Bio-Rad Laboratories Inc</t>
  </si>
  <si>
    <t>211.43 - 387.99</t>
  </si>
  <si>
    <t>-67.47%</t>
  </si>
  <si>
    <t>12842.63%</t>
  </si>
  <si>
    <t>ASGN Inc</t>
  </si>
  <si>
    <t>46.63 - 101.66</t>
  </si>
  <si>
    <t>3648.05%</t>
  </si>
  <si>
    <t>Kelly Services, Inc</t>
  </si>
  <si>
    <t>81.08%</t>
  </si>
  <si>
    <t>-42.14%</t>
  </si>
  <si>
    <t>10.80 - 22.44</t>
  </si>
  <si>
    <t>112.51%</t>
  </si>
  <si>
    <t>Badger Meter Inc</t>
  </si>
  <si>
    <t>98.43%</t>
  </si>
  <si>
    <t>162.17 - 256.08</t>
  </si>
  <si>
    <t>38619.49%</t>
  </si>
  <si>
    <t>Treace Medical Concepts Inc</t>
  </si>
  <si>
    <t>60.99%</t>
  </si>
  <si>
    <t>80.12%</t>
  </si>
  <si>
    <t>4.54 - 10.79</t>
  </si>
  <si>
    <t>One Stop Systems Inc</t>
  </si>
  <si>
    <t>-61.41%</t>
  </si>
  <si>
    <t>190.11%</t>
  </si>
  <si>
    <t>1.85 - 7.20</t>
  </si>
  <si>
    <t>809.66%</t>
  </si>
  <si>
    <t>118.17%</t>
  </si>
  <si>
    <t>154.36%</t>
  </si>
  <si>
    <t>Century Communities Inc</t>
  </si>
  <si>
    <t>92.65%</t>
  </si>
  <si>
    <t>50.42 - 104.63</t>
  </si>
  <si>
    <t>590.78%</t>
  </si>
  <si>
    <t>-38.73%</t>
  </si>
  <si>
    <t>Full House Resorts, Inc</t>
  </si>
  <si>
    <t>-44.93%</t>
  </si>
  <si>
    <t>2.86 - 5.59</t>
  </si>
  <si>
    <t>-73.43%</t>
  </si>
  <si>
    <t>1236.00%</t>
  </si>
  <si>
    <t>Oxford Industries, Inc</t>
  </si>
  <si>
    <t>107.85%</t>
  </si>
  <si>
    <t>-54.73%</t>
  </si>
  <si>
    <t>36.25 - 89.86</t>
  </si>
  <si>
    <t>1195.54%</t>
  </si>
  <si>
    <t>-34.95%</t>
  </si>
  <si>
    <t>Primis Financial Corp</t>
  </si>
  <si>
    <t>70.47%</t>
  </si>
  <si>
    <t>7.59 - 12.95</t>
  </si>
  <si>
    <t>-42.53%</t>
  </si>
  <si>
    <t>247.73%</t>
  </si>
  <si>
    <t>Apollo Commercial Real Estate Finance Inc</t>
  </si>
  <si>
    <t>46.98%</t>
  </si>
  <si>
    <t>66.98%</t>
  </si>
  <si>
    <t>80.08%</t>
  </si>
  <si>
    <t>58.60%</t>
  </si>
  <si>
    <t>33.44%</t>
  </si>
  <si>
    <t>7.70 - 11.11</t>
  </si>
  <si>
    <t>-44.71%</t>
  </si>
  <si>
    <t>167.24%</t>
  </si>
  <si>
    <t>SEI Investments Co</t>
  </si>
  <si>
    <t>86.13%</t>
  </si>
  <si>
    <t>64.66 - 93.96</t>
  </si>
  <si>
    <t>39581.60%</t>
  </si>
  <si>
    <t>PhenixFIN Corp</t>
  </si>
  <si>
    <t>2/14/2025</t>
  </si>
  <si>
    <t>43.26 - 57.40</t>
  </si>
  <si>
    <t>-84.38%</t>
  </si>
  <si>
    <t>625.27%</t>
  </si>
  <si>
    <t>Kaltura Inc</t>
  </si>
  <si>
    <t>343.90%</t>
  </si>
  <si>
    <t>-45.74%</t>
  </si>
  <si>
    <t>1.24 - 2.82</t>
  </si>
  <si>
    <t>Codexis Inc</t>
  </si>
  <si>
    <t>118.90%</t>
  </si>
  <si>
    <t>79.43%</t>
  </si>
  <si>
    <t>-100.14%</t>
  </si>
  <si>
    <t>-113.67%</t>
  </si>
  <si>
    <t>1.90 - 6.08</t>
  </si>
  <si>
    <t>Consumer Portfolio Service, Inc</t>
  </si>
  <si>
    <t>-24.63%</t>
  </si>
  <si>
    <t>99.77%</t>
  </si>
  <si>
    <t>6.67 - 12.73</t>
  </si>
  <si>
    <t>-57.75%</t>
  </si>
  <si>
    <t>2984.00%</t>
  </si>
  <si>
    <t>Pool Corporation</t>
  </si>
  <si>
    <t>282.22 - 395.60</t>
  </si>
  <si>
    <t>35608.16%</t>
  </si>
  <si>
    <t>PotlatchDeltic Corp</t>
  </si>
  <si>
    <t>652.88%</t>
  </si>
  <si>
    <t>91.68%</t>
  </si>
  <si>
    <t>36.82 - 48.12</t>
  </si>
  <si>
    <t>599.39%</t>
  </si>
  <si>
    <t>38.67 - 50.50</t>
  </si>
  <si>
    <t>Clean Harbors, Inc</t>
  </si>
  <si>
    <t>178.29 - 267.11</t>
  </si>
  <si>
    <t>43596.23%</t>
  </si>
  <si>
    <t>Allison Transmission Holdings Inc</t>
  </si>
  <si>
    <t>80.39 - 122.53</t>
  </si>
  <si>
    <t>442.92%</t>
  </si>
  <si>
    <t>Concentra Group Holdings Parent Inc</t>
  </si>
  <si>
    <t>18.89 - 24.32</t>
  </si>
  <si>
    <t>Lovesac Company</t>
  </si>
  <si>
    <t>-38.49%</t>
  </si>
  <si>
    <t>12.12 - 39.49</t>
  </si>
  <si>
    <t>-81.90%</t>
  </si>
  <si>
    <t>332.79%</t>
  </si>
  <si>
    <t>Magnera Corp</t>
  </si>
  <si>
    <t>Paper &amp; Paper Products</t>
  </si>
  <si>
    <t>-1817.17%</t>
  </si>
  <si>
    <t>10.33 - 26.78</t>
  </si>
  <si>
    <t>-97.37%</t>
  </si>
  <si>
    <t>Angel Oak Financial Strategies Income Term Trust</t>
  </si>
  <si>
    <t>12.21 - 13.64</t>
  </si>
  <si>
    <t>Worksport Ltd</t>
  </si>
  <si>
    <t>232.13%</t>
  </si>
  <si>
    <t>203.41%</t>
  </si>
  <si>
    <t>-127.60%</t>
  </si>
  <si>
    <t>-134.17%</t>
  </si>
  <si>
    <t>2.44 - 12.00</t>
  </si>
  <si>
    <t>154.58%</t>
  </si>
  <si>
    <t>Ashford Hospitality Trust Inc</t>
  </si>
  <si>
    <t>59.34%</t>
  </si>
  <si>
    <t>-51.04%</t>
  </si>
  <si>
    <t>5.20 - 11.99</t>
  </si>
  <si>
    <t>-19.37%</t>
  </si>
  <si>
    <t>-31.85%</t>
  </si>
  <si>
    <t>Azenta Inc</t>
  </si>
  <si>
    <t>12/2/2021</t>
  </si>
  <si>
    <t>23.91 - 55.63</t>
  </si>
  <si>
    <t>1039.68%</t>
  </si>
  <si>
    <t>Camden National Corp</t>
  </si>
  <si>
    <t>72.54%</t>
  </si>
  <si>
    <t>34.53 - 50.07</t>
  </si>
  <si>
    <t>492.49%</t>
  </si>
  <si>
    <t>Virco Manufacturing Corp</t>
  </si>
  <si>
    <t>-15.78%</t>
  </si>
  <si>
    <t>7.47 - 17.31</t>
  </si>
  <si>
    <t>-57.78%</t>
  </si>
  <si>
    <t>810.45%</t>
  </si>
  <si>
    <t>-19.15%</t>
  </si>
  <si>
    <t>NexPoint Residential Trust Inc</t>
  </si>
  <si>
    <t>4485.25%</t>
  </si>
  <si>
    <t>-33.49%</t>
  </si>
  <si>
    <t>29.98 - 47.77</t>
  </si>
  <si>
    <t>231.08%</t>
  </si>
  <si>
    <t>SPS Commerce Inc</t>
  </si>
  <si>
    <t>100.79%</t>
  </si>
  <si>
    <t>102.05 - 201.06</t>
  </si>
  <si>
    <t>-51.76%</t>
  </si>
  <si>
    <t>2397.75%</t>
  </si>
  <si>
    <t>H.B. Fuller Company</t>
  </si>
  <si>
    <t>37.93%</t>
  </si>
  <si>
    <t>47.56 - 82.39</t>
  </si>
  <si>
    <t>2857.31%</t>
  </si>
  <si>
    <t>Midland States Bancorp Inc</t>
  </si>
  <si>
    <t>94.09%</t>
  </si>
  <si>
    <t>-38.23%</t>
  </si>
  <si>
    <t>14.79 - 28.08</t>
  </si>
  <si>
    <t>StableX Technologies Inc</t>
  </si>
  <si>
    <t>-91374.60%</t>
  </si>
  <si>
    <t>-226745.89%</t>
  </si>
  <si>
    <t>-513635.37%</t>
  </si>
  <si>
    <t>-52.46%</t>
  </si>
  <si>
    <t>4.20 - 15.28</t>
  </si>
  <si>
    <t>-33.62%</t>
  </si>
  <si>
    <t>-49.01%</t>
  </si>
  <si>
    <t>Theriva Biologics Inc</t>
  </si>
  <si>
    <t>12/27/2007</t>
  </si>
  <si>
    <t>-149.03%</t>
  </si>
  <si>
    <t>-57.28%</t>
  </si>
  <si>
    <t>-85.25%</t>
  </si>
  <si>
    <t>0.37 - 2.64</t>
  </si>
  <si>
    <t>Preferred Bank (Los Angeles, CA)</t>
  </si>
  <si>
    <t>29.56%</t>
  </si>
  <si>
    <t>71.90 - 99.78</t>
  </si>
  <si>
    <t>1444.46%</t>
  </si>
  <si>
    <t>Trupanion Inc</t>
  </si>
  <si>
    <t>838.26%</t>
  </si>
  <si>
    <t>31.00 - 57.90</t>
  </si>
  <si>
    <t>735.65%</t>
  </si>
  <si>
    <t>Upbound Group Inc</t>
  </si>
  <si>
    <t>92.14%</t>
  </si>
  <si>
    <t>19.65 - 36.00</t>
  </si>
  <si>
    <t>-64.57%</t>
  </si>
  <si>
    <t>1700.37%</t>
  </si>
  <si>
    <t>Clearwater Paper Corp</t>
  </si>
  <si>
    <t>-75.71%</t>
  </si>
  <si>
    <t>-32.82%</t>
  </si>
  <si>
    <t>20.67 - 33.56</t>
  </si>
  <si>
    <t>-72.52%</t>
  </si>
  <si>
    <t>601.52%</t>
  </si>
  <si>
    <t>SS Innovations International Inc</t>
  </si>
  <si>
    <t>-22.28%</t>
  </si>
  <si>
    <t>2.48 - 22.42</t>
  </si>
  <si>
    <t>-83.05%</t>
  </si>
  <si>
    <t>-39.45%</t>
  </si>
  <si>
    <t>SuperiorGroup of Companies Inc</t>
  </si>
  <si>
    <t>77.00%</t>
  </si>
  <si>
    <t>-40.80%</t>
  </si>
  <si>
    <t>9.11 - 18.48</t>
  </si>
  <si>
    <t>799.95%</t>
  </si>
  <si>
    <t>PGIM Short Duration High Yield Opportunities Fund</t>
  </si>
  <si>
    <t>15.01 - 17.18</t>
  </si>
  <si>
    <t>PRA Group Inc</t>
  </si>
  <si>
    <t>5/7/2007</t>
  </si>
  <si>
    <t>145.45%</t>
  </si>
  <si>
    <t>97.85%</t>
  </si>
  <si>
    <t>12.91 - 25.43</t>
  </si>
  <si>
    <t>229.84%</t>
  </si>
  <si>
    <t>Airgain Inc</t>
  </si>
  <si>
    <t>-60.44%</t>
  </si>
  <si>
    <t>29.03%</t>
  </si>
  <si>
    <t>3.17 - 10.34</t>
  </si>
  <si>
    <t>-86.14%</t>
  </si>
  <si>
    <t>150.92%</t>
  </si>
  <si>
    <t>Benchmark Electronics Inc</t>
  </si>
  <si>
    <t>30.73 - 52.57</t>
  </si>
  <si>
    <t>4655.10%</t>
  </si>
  <si>
    <t>Inhibikase Therapeutics Inc</t>
  </si>
  <si>
    <t>1.13 - 4.20</t>
  </si>
  <si>
    <t>88.61%</t>
  </si>
  <si>
    <t>Applied Dna Sciences Inc</t>
  </si>
  <si>
    <t>-27.56%</t>
  </si>
  <si>
    <t>-61.83%</t>
  </si>
  <si>
    <t>-406.10%</t>
  </si>
  <si>
    <t>-2047.39%</t>
  </si>
  <si>
    <t>2.13 - 795.00</t>
  </si>
  <si>
    <t>-89.66%</t>
  </si>
  <si>
    <t>Asbury Automotive Group Inc</t>
  </si>
  <si>
    <t>7/30/2008</t>
  </si>
  <si>
    <t>105.83%</t>
  </si>
  <si>
    <t>201.68 - 312.56</t>
  </si>
  <si>
    <t>14724.06%</t>
  </si>
  <si>
    <t>Tandy Leather Factory Inc</t>
  </si>
  <si>
    <t>2/19/2025</t>
  </si>
  <si>
    <t>58.38%</t>
  </si>
  <si>
    <t>2.69 - 4.20</t>
  </si>
  <si>
    <t>-57.84%</t>
  </si>
  <si>
    <t>4122.29%</t>
  </si>
  <si>
    <t>Amerisafe Inc</t>
  </si>
  <si>
    <t>42.48 - 57.17</t>
  </si>
  <si>
    <t>895.42%</t>
  </si>
  <si>
    <t>Pasithea Therapeutics Corp</t>
  </si>
  <si>
    <t>-282.28%</t>
  </si>
  <si>
    <t>0.65 - 7.50</t>
  </si>
  <si>
    <t>-46.50%</t>
  </si>
  <si>
    <t>-82.18%</t>
  </si>
  <si>
    <t>Universal Health Realty Income Trust</t>
  </si>
  <si>
    <t>210.10%</t>
  </si>
  <si>
    <t>34.56 - 46.46</t>
  </si>
  <si>
    <t>373.70%</t>
  </si>
  <si>
    <t>Reborn Coffee Inc</t>
  </si>
  <si>
    <t>-301.67%</t>
  </si>
  <si>
    <t>-162.54%</t>
  </si>
  <si>
    <t>52.36%</t>
  </si>
  <si>
    <t>-129.82%</t>
  </si>
  <si>
    <t>-152.77%</t>
  </si>
  <si>
    <t>-70.66%</t>
  </si>
  <si>
    <t>1.03 - 8.30</t>
  </si>
  <si>
    <t>-97.56%</t>
  </si>
  <si>
    <t>164.67%</t>
  </si>
  <si>
    <t>Renasant Corp</t>
  </si>
  <si>
    <t>51.99%</t>
  </si>
  <si>
    <t>86.32%</t>
  </si>
  <si>
    <t>26.97 - 40.40</t>
  </si>
  <si>
    <t>728.73%</t>
  </si>
  <si>
    <t>Angel Oak Mortgage REIT Inc</t>
  </si>
  <si>
    <t>109.21%</t>
  </si>
  <si>
    <t>72.34%</t>
  </si>
  <si>
    <t>75.08%</t>
  </si>
  <si>
    <t>-62.05%</t>
  </si>
  <si>
    <t>106.71%</t>
  </si>
  <si>
    <t>7.36 - 10.88</t>
  </si>
  <si>
    <t>Hamilton Beach Brands Holding Co</t>
  </si>
  <si>
    <t>12.72 - 31.78</t>
  </si>
  <si>
    <t>-66.51%</t>
  </si>
  <si>
    <t>105.54%</t>
  </si>
  <si>
    <t>Belden Inc</t>
  </si>
  <si>
    <t>52.00%</t>
  </si>
  <si>
    <t>83.18 - 133.77</t>
  </si>
  <si>
    <t>2041.69%</t>
  </si>
  <si>
    <t>Angi Inc</t>
  </si>
  <si>
    <t>10.88 - 27.28</t>
  </si>
  <si>
    <t>Franklin Street Properties Corp</t>
  </si>
  <si>
    <t>-35.56%</t>
  </si>
  <si>
    <t>55.43%</t>
  </si>
  <si>
    <t>1.36 - 2.21</t>
  </si>
  <si>
    <t>-91.65%</t>
  </si>
  <si>
    <t>Manitowoc Co., Inc</t>
  </si>
  <si>
    <t>11/24/2015</t>
  </si>
  <si>
    <t>7.06 - 13.61</t>
  </si>
  <si>
    <t>1090.38%</t>
  </si>
  <si>
    <t>Logistic Properties of the Americas</t>
  </si>
  <si>
    <t>-226.68%</t>
  </si>
  <si>
    <t>80.13%</t>
  </si>
  <si>
    <t>5.71 - 15.85</t>
  </si>
  <si>
    <t>Kartoon Studios Inc</t>
  </si>
  <si>
    <t>60.24%</t>
  </si>
  <si>
    <t>0.46 - 0.93</t>
  </si>
  <si>
    <t>Perma-Pipe International Holdings Inc</t>
  </si>
  <si>
    <t>8.81 - 33.09</t>
  </si>
  <si>
    <t>1872.45%</t>
  </si>
  <si>
    <t>VolitionRX Ltd</t>
  </si>
  <si>
    <t>139.28%</t>
  </si>
  <si>
    <t>135.32%</t>
  </si>
  <si>
    <t>-1779.01%</t>
  </si>
  <si>
    <t>-1767.88%</t>
  </si>
  <si>
    <t>0.40 - 0.94</t>
  </si>
  <si>
    <t>196.00%</t>
  </si>
  <si>
    <t>Omnicell, Inc</t>
  </si>
  <si>
    <t>-28.29%</t>
  </si>
  <si>
    <t>104.27%</t>
  </si>
  <si>
    <t>43.88%</t>
  </si>
  <si>
    <t>22.66 - 55.74</t>
  </si>
  <si>
    <t>2258.53%</t>
  </si>
  <si>
    <t>Cumberland Pharmaceuticals Inc</t>
  </si>
  <si>
    <t>194.23%</t>
  </si>
  <si>
    <t>1.04 - 7.25</t>
  </si>
  <si>
    <t>150.82%</t>
  </si>
  <si>
    <t>Alexander &amp; Baldwin Inc</t>
  </si>
  <si>
    <t>107.30%</t>
  </si>
  <si>
    <t>15.70 - 19.97</t>
  </si>
  <si>
    <t>118.06%</t>
  </si>
  <si>
    <t>Team, Inc</t>
  </si>
  <si>
    <t>75.68%</t>
  </si>
  <si>
    <t>-35.64%</t>
  </si>
  <si>
    <t>11.12 - 26.77</t>
  </si>
  <si>
    <t>388.09%</t>
  </si>
  <si>
    <t>Skillsoft Corp</t>
  </si>
  <si>
    <t>143.81%</t>
  </si>
  <si>
    <t>12.22 - 34.42</t>
  </si>
  <si>
    <t>-94.93%</t>
  </si>
  <si>
    <t>156.78%</t>
  </si>
  <si>
    <t>-37.58%</t>
  </si>
  <si>
    <t>Ribbon Communications Inc</t>
  </si>
  <si>
    <t>3.01 - 5.38</t>
  </si>
  <si>
    <t>316.67%</t>
  </si>
  <si>
    <t>Penumbra Inc</t>
  </si>
  <si>
    <t>186.09 - 310.00</t>
  </si>
  <si>
    <t>614.48%</t>
  </si>
  <si>
    <t>Middleby Corp</t>
  </si>
  <si>
    <t>6/2/2004</t>
  </si>
  <si>
    <t>111.23%</t>
  </si>
  <si>
    <t>-27.79%</t>
  </si>
  <si>
    <t>118.09 - 182.73</t>
  </si>
  <si>
    <t>108819.34%</t>
  </si>
  <si>
    <t>ServisFirst Bancshares Inc</t>
  </si>
  <si>
    <t>66.48 - 101.37</t>
  </si>
  <si>
    <t>561.85%</t>
  </si>
  <si>
    <t>Capital Bancorp Inc</t>
  </si>
  <si>
    <t>24.10 - 36.40</t>
  </si>
  <si>
    <t>362.02%</t>
  </si>
  <si>
    <t>Bluerock Homes Trust Inc</t>
  </si>
  <si>
    <t>12/24/2025</t>
  </si>
  <si>
    <t>9.30 - 16.53</t>
  </si>
  <si>
    <t>PMGC Holdings Inc</t>
  </si>
  <si>
    <t>-207.86%</t>
  </si>
  <si>
    <t>-223.57%</t>
  </si>
  <si>
    <t>4.28 - 901.60</t>
  </si>
  <si>
    <t>VirTra Inc</t>
  </si>
  <si>
    <t>70.04%</t>
  </si>
  <si>
    <t>-36.81%</t>
  </si>
  <si>
    <t>3.57 - 8.53</t>
  </si>
  <si>
    <t>-91.71%</t>
  </si>
  <si>
    <t>13375.00%</t>
  </si>
  <si>
    <t>Shoe Carnival, Inc</t>
  </si>
  <si>
    <t>16.14 - 44.88</t>
  </si>
  <si>
    <t>2335.92%</t>
  </si>
  <si>
    <t>Diversified Energy Company Plc</t>
  </si>
  <si>
    <t>60.64%</t>
  </si>
  <si>
    <t>111.04%</t>
  </si>
  <si>
    <t>10.08 - 17.70</t>
  </si>
  <si>
    <t>XWELL Inc</t>
  </si>
  <si>
    <t>-46.90%</t>
  </si>
  <si>
    <t>-65.70%</t>
  </si>
  <si>
    <t>-49.16%</t>
  </si>
  <si>
    <t>0.70 - 2.00</t>
  </si>
  <si>
    <t>-40.71%</t>
  </si>
  <si>
    <t>Rapid7 Inc</t>
  </si>
  <si>
    <t>99.27%</t>
  </si>
  <si>
    <t>17.83 - 44.48</t>
  </si>
  <si>
    <t>-86.74%</t>
  </si>
  <si>
    <t>112.49%</t>
  </si>
  <si>
    <t>-33.02%</t>
  </si>
  <si>
    <t>Corsair Gaming Inc</t>
  </si>
  <si>
    <t>-59.79%</t>
  </si>
  <si>
    <t>5.64 - 13.02</t>
  </si>
  <si>
    <t>50.13%</t>
  </si>
  <si>
    <t>Boot Barn Holdings Inc</t>
  </si>
  <si>
    <t>115.70%</t>
  </si>
  <si>
    <t>86.17 - 191.31</t>
  </si>
  <si>
    <t>3144.71%</t>
  </si>
  <si>
    <t>Arrive AI Inc</t>
  </si>
  <si>
    <t>-70.61%</t>
  </si>
  <si>
    <t>3.03 - 40.00</t>
  </si>
  <si>
    <t>-64.34%</t>
  </si>
  <si>
    <t>Churchill Downs, Inc</t>
  </si>
  <si>
    <t>12/6/2024</t>
  </si>
  <si>
    <t>85.58 - 150.21</t>
  </si>
  <si>
    <t>3700.17%</t>
  </si>
  <si>
    <t>Hub Group, Inc</t>
  </si>
  <si>
    <t>98.42%</t>
  </si>
  <si>
    <t>30.75 - 53.21</t>
  </si>
  <si>
    <t>8064.71%</t>
  </si>
  <si>
    <t>PubMatic Inc</t>
  </si>
  <si>
    <t>7.01 - 17.74</t>
  </si>
  <si>
    <t>-89.19%</t>
  </si>
  <si>
    <t>AXIL Brands Inc</t>
  </si>
  <si>
    <t>124.00%</t>
  </si>
  <si>
    <t>67.77%</t>
  </si>
  <si>
    <t>-45.86%</t>
  </si>
  <si>
    <t>3.54 - 10.75</t>
  </si>
  <si>
    <t>-75.55%</t>
  </si>
  <si>
    <t>5838.78%</t>
  </si>
  <si>
    <t>Immix Biopharma Inc</t>
  </si>
  <si>
    <t>1.26 - 3.20</t>
  </si>
  <si>
    <t>195.59%</t>
  </si>
  <si>
    <t>FiscalNote Holdings Inc</t>
  </si>
  <si>
    <t>-41.79%</t>
  </si>
  <si>
    <t>-81.17%</t>
  </si>
  <si>
    <t>3.80 - 24.36</t>
  </si>
  <si>
    <t>-57.00%</t>
  </si>
  <si>
    <t>Sylvamo Corp</t>
  </si>
  <si>
    <t>-56.59%</t>
  </si>
  <si>
    <t>37.51 - 98.02</t>
  </si>
  <si>
    <t>Society Pass Inc</t>
  </si>
  <si>
    <t>139.09%</t>
  </si>
  <si>
    <t>268.83%</t>
  </si>
  <si>
    <t>-238.46%</t>
  </si>
  <si>
    <t>-90.54%</t>
  </si>
  <si>
    <t>-83.33%</t>
  </si>
  <si>
    <t>0.64 - 6.75</t>
  </si>
  <si>
    <t>Lument Finance Trust Inc</t>
  </si>
  <si>
    <t>2.05 - 2.84</t>
  </si>
  <si>
    <t>157.91%</t>
  </si>
  <si>
    <t>Senti Biosciences Inc</t>
  </si>
  <si>
    <t>-91.80%</t>
  </si>
  <si>
    <t>1.26 - 16.94</t>
  </si>
  <si>
    <t>St. Joe Co</t>
  </si>
  <si>
    <t>40.19 - 60.44</t>
  </si>
  <si>
    <t>885.76%</t>
  </si>
  <si>
    <t>Saratoga Investment Corp</t>
  </si>
  <si>
    <t>21.10 - 26.17</t>
  </si>
  <si>
    <t>-74.24%</t>
  </si>
  <si>
    <t>327.49%</t>
  </si>
  <si>
    <t>United Bancorp, Inc. (Martins Ferry, OH)</t>
  </si>
  <si>
    <t>11.88 - 15.64</t>
  </si>
  <si>
    <t>260.27%</t>
  </si>
  <si>
    <t>Cannae Holdings Inc</t>
  </si>
  <si>
    <t>-1263.64%</t>
  </si>
  <si>
    <t>92.54%</t>
  </si>
  <si>
    <t>-94.12%</t>
  </si>
  <si>
    <t>15.91 - 22.36</t>
  </si>
  <si>
    <t>124.79%</t>
  </si>
  <si>
    <t>Interactive Strength Inc</t>
  </si>
  <si>
    <t>373.32%</t>
  </si>
  <si>
    <t>155.38%</t>
  </si>
  <si>
    <t>88.74%</t>
  </si>
  <si>
    <t>-348.52%</t>
  </si>
  <si>
    <t>-311.04%</t>
  </si>
  <si>
    <t>-71.89%</t>
  </si>
  <si>
    <t>-53.76%</t>
  </si>
  <si>
    <t>-98.61%</t>
  </si>
  <si>
    <t>2.81 - 242.00</t>
  </si>
  <si>
    <t>-72.89%</t>
  </si>
  <si>
    <t>Thryv Holdings Inc</t>
  </si>
  <si>
    <t>10.02 - 20.92</t>
  </si>
  <si>
    <t>-72.11%</t>
  </si>
  <si>
    <t>Nuvectis Pharma Inc</t>
  </si>
  <si>
    <t>-510.36%</t>
  </si>
  <si>
    <t>-48.90%</t>
  </si>
  <si>
    <t>4.44 - 11.80</t>
  </si>
  <si>
    <t>95.78%</t>
  </si>
  <si>
    <t>Minerals Technologies, Inc</t>
  </si>
  <si>
    <t>49.54 - 86.49</t>
  </si>
  <si>
    <t>655.63%</t>
  </si>
  <si>
    <t>Forestar Group Inc</t>
  </si>
  <si>
    <t>18.00 - 34.82</t>
  </si>
  <si>
    <t>782.76%</t>
  </si>
  <si>
    <t>WSFS Financial Corp</t>
  </si>
  <si>
    <t>42.44 - 62.75</t>
  </si>
  <si>
    <t>16325.02%</t>
  </si>
  <si>
    <t>Arcosa Inc</t>
  </si>
  <si>
    <t>68.11 - 113.43</t>
  </si>
  <si>
    <t>339.43%</t>
  </si>
  <si>
    <t>Sachem Capital Corp</t>
  </si>
  <si>
    <t>-61.14%</t>
  </si>
  <si>
    <t>-28.86%</t>
  </si>
  <si>
    <t>98.38%</t>
  </si>
  <si>
    <t>-166.09%</t>
  </si>
  <si>
    <t>-58.33%</t>
  </si>
  <si>
    <t>0.80 - 2.64</t>
  </si>
  <si>
    <t>Traeger Inc</t>
  </si>
  <si>
    <t>-120.00%</t>
  </si>
  <si>
    <t>-38.78%</t>
  </si>
  <si>
    <t>-68.39%</t>
  </si>
  <si>
    <t>1.20 - 3.97</t>
  </si>
  <si>
    <t>-96.15%</t>
  </si>
  <si>
    <t>-65.04%</t>
  </si>
  <si>
    <t>Root Inc</t>
  </si>
  <si>
    <t>131.18%</t>
  </si>
  <si>
    <t>50.57%</t>
  </si>
  <si>
    <t>148.03%</t>
  </si>
  <si>
    <t>36.87 - 181.14</t>
  </si>
  <si>
    <t>-82.77%</t>
  </si>
  <si>
    <t>2662.84%</t>
  </si>
  <si>
    <t>-38.60%</t>
  </si>
  <si>
    <t>NN Inc</t>
  </si>
  <si>
    <t>9/6/2019</t>
  </si>
  <si>
    <t>706.06%</t>
  </si>
  <si>
    <t>-53.08%</t>
  </si>
  <si>
    <t>1.58 - 4.67</t>
  </si>
  <si>
    <t>-93.34%</t>
  </si>
  <si>
    <t>163.98%</t>
  </si>
  <si>
    <t>BioRestorative Therapies Inc</t>
  </si>
  <si>
    <t>78.69%</t>
  </si>
  <si>
    <t>247.62%</t>
  </si>
  <si>
    <t>240.40%</t>
  </si>
  <si>
    <t>-2162.91%</t>
  </si>
  <si>
    <t>-1771.91%</t>
  </si>
  <si>
    <t>-42.75%</t>
  </si>
  <si>
    <t>1.21 - 2.55</t>
  </si>
  <si>
    <t>265.00%</t>
  </si>
  <si>
    <t>TEN Holdings Inc</t>
  </si>
  <si>
    <t>-55.81%</t>
  </si>
  <si>
    <t>0.28 - 8.54</t>
  </si>
  <si>
    <t>-80.10%</t>
  </si>
  <si>
    <t>Regeneron Pharmaceuticals, Inc</t>
  </si>
  <si>
    <t>52.89%</t>
  </si>
  <si>
    <t>476.49 - 1070.00</t>
  </si>
  <si>
    <t>18298.83%</t>
  </si>
  <si>
    <t>-47.23%</t>
  </si>
  <si>
    <t>Foghorn Therapeutics Inc</t>
  </si>
  <si>
    <t>157.81%</t>
  </si>
  <si>
    <t>-380.04%</t>
  </si>
  <si>
    <t>-311.90%</t>
  </si>
  <si>
    <t>-52.34%</t>
  </si>
  <si>
    <t>2.94 - 9.99</t>
  </si>
  <si>
    <t>Creative Realities Inc</t>
  </si>
  <si>
    <t>-142.86%</t>
  </si>
  <si>
    <t>1.28 - 4.85</t>
  </si>
  <si>
    <t>White Mountains Insurance Group, Ltd</t>
  </si>
  <si>
    <t>3/17/2025</t>
  </si>
  <si>
    <t>1678.87 - 2023.00</t>
  </si>
  <si>
    <t>8545.14%</t>
  </si>
  <si>
    <t>Gyre Therapeutics Inc</t>
  </si>
  <si>
    <t>1/13/2023</t>
  </si>
  <si>
    <t>-62.24%</t>
  </si>
  <si>
    <t>6.11 - 19.00</t>
  </si>
  <si>
    <t>739.55%</t>
  </si>
  <si>
    <t>BARK Inc</t>
  </si>
  <si>
    <t>33.62%</t>
  </si>
  <si>
    <t>59.88%</t>
  </si>
  <si>
    <t>-67.98%</t>
  </si>
  <si>
    <t>0.77 - 2.56</t>
  </si>
  <si>
    <t>-49.82%</t>
  </si>
  <si>
    <t>MIND Technology Inc</t>
  </si>
  <si>
    <t>1/11/2018</t>
  </si>
  <si>
    <t>137.75%</t>
  </si>
  <si>
    <t>3.47 - 11.50</t>
  </si>
  <si>
    <t>170.49%</t>
  </si>
  <si>
    <t>Crane Co</t>
  </si>
  <si>
    <t>76.50%</t>
  </si>
  <si>
    <t>127.04 - 203.89</t>
  </si>
  <si>
    <t>Collegium Pharmaceutical Inc</t>
  </si>
  <si>
    <t>115.65%</t>
  </si>
  <si>
    <t>50.41%</t>
  </si>
  <si>
    <t>23.23 - 42.29</t>
  </si>
  <si>
    <t>374.08%</t>
  </si>
  <si>
    <t>Chicago Atlantic Real Estate Finance Inc</t>
  </si>
  <si>
    <t>93.37%</t>
  </si>
  <si>
    <t>87.05%</t>
  </si>
  <si>
    <t>71.67%</t>
  </si>
  <si>
    <t>12.76 - 16.27</t>
  </si>
  <si>
    <t>Citius Pharmaceuticals Inc</t>
  </si>
  <si>
    <t>-58.42%</t>
  </si>
  <si>
    <t>0.65 - 13.52</t>
  </si>
  <si>
    <t>Harvard Bioscience Inc</t>
  </si>
  <si>
    <t>-242.36%</t>
  </si>
  <si>
    <t>-84.46%</t>
  </si>
  <si>
    <t>0.28 - 2.82</t>
  </si>
  <si>
    <t>Alta Equipment Group Inc</t>
  </si>
  <si>
    <t>5/15/2025</t>
  </si>
  <si>
    <t>3.54 - 8.99</t>
  </si>
  <si>
    <t>NB Bancorp Inc</t>
  </si>
  <si>
    <t>51.33%</t>
  </si>
  <si>
    <t>15.09 - 21.05</t>
  </si>
  <si>
    <t>Bicara Therapeutics Inc</t>
  </si>
  <si>
    <t>-62.07%</t>
  </si>
  <si>
    <t>7.80 - 28.09</t>
  </si>
  <si>
    <t>Bassett Furniture Industries Inc</t>
  </si>
  <si>
    <t>58.08%</t>
  </si>
  <si>
    <t>13.58 - 19.75</t>
  </si>
  <si>
    <t>3332.41%</t>
  </si>
  <si>
    <t>TriNet Group Inc</t>
  </si>
  <si>
    <t>62.55 - 99.78</t>
  </si>
  <si>
    <t>498.40%</t>
  </si>
  <si>
    <t>Neurogene Inc</t>
  </si>
  <si>
    <t>95.89%</t>
  </si>
  <si>
    <t>6.88 - 74.49</t>
  </si>
  <si>
    <t>Commercial Vehicle Group Inc</t>
  </si>
  <si>
    <t>107.43%</t>
  </si>
  <si>
    <t>0.81 - 3.57</t>
  </si>
  <si>
    <t>322.50%</t>
  </si>
  <si>
    <t>Intapp Inc</t>
  </si>
  <si>
    <t>35.51 - 77.74</t>
  </si>
  <si>
    <t>214.39%</t>
  </si>
  <si>
    <t>Community Healthcare Trust Inc</t>
  </si>
  <si>
    <t>-284.62%</t>
  </si>
  <si>
    <t>81.96%</t>
  </si>
  <si>
    <t>14.20 - 20.87</t>
  </si>
  <si>
    <t>-71.47%</t>
  </si>
  <si>
    <t>Koppers Holdings Inc</t>
  </si>
  <si>
    <t>22.99 - 39.83</t>
  </si>
  <si>
    <t>-51.37%</t>
  </si>
  <si>
    <t>243.27%</t>
  </si>
  <si>
    <t>CXApp Inc</t>
  </si>
  <si>
    <t>-239.13%</t>
  </si>
  <si>
    <t>-228.76%</t>
  </si>
  <si>
    <t>0.61 - 2.54</t>
  </si>
  <si>
    <t>-96.57%</t>
  </si>
  <si>
    <t>Westwood Holdings Group Inc</t>
  </si>
  <si>
    <t>-26.93%</t>
  </si>
  <si>
    <t>230.68%</t>
  </si>
  <si>
    <t>13.49 - 18.97</t>
  </si>
  <si>
    <t>Smith Douglas Homes Corp</t>
  </si>
  <si>
    <t>16.28 - 39.46</t>
  </si>
  <si>
    <t>-49.94%</t>
  </si>
  <si>
    <t>Diodes, Inc</t>
  </si>
  <si>
    <t>32.93 - 67.40</t>
  </si>
  <si>
    <t>-54.66%</t>
  </si>
  <si>
    <t>34784.00%</t>
  </si>
  <si>
    <t>CVB Financial Corp</t>
  </si>
  <si>
    <t>16.01 - 24.58</t>
  </si>
  <si>
    <t>16288.91%</t>
  </si>
  <si>
    <t>Skyward Specialty Insurance Group Inc</t>
  </si>
  <si>
    <t>112.33%</t>
  </si>
  <si>
    <t>-27.99%</t>
  </si>
  <si>
    <t>40.29 - 65.05</t>
  </si>
  <si>
    <t>Seven Hills Realty Trust</t>
  </si>
  <si>
    <t>81.92%</t>
  </si>
  <si>
    <t>73.97%</t>
  </si>
  <si>
    <t>10.01 - 14.66</t>
  </si>
  <si>
    <t>-67.10%</t>
  </si>
  <si>
    <t>ElectroCore Inc</t>
  </si>
  <si>
    <t>85.52%</t>
  </si>
  <si>
    <t>-46.61%</t>
  </si>
  <si>
    <t>4.16 - 19.49</t>
  </si>
  <si>
    <t>65.81%</t>
  </si>
  <si>
    <t>Solitario Resources Corp</t>
  </si>
  <si>
    <t>0.54 - 0.90</t>
  </si>
  <si>
    <t>-88.45%</t>
  </si>
  <si>
    <t>433.64%</t>
  </si>
  <si>
    <t>Knightscope Inc</t>
  </si>
  <si>
    <t>-250.83%</t>
  </si>
  <si>
    <t>-282.34%</t>
  </si>
  <si>
    <t>123.27%</t>
  </si>
  <si>
    <t>2.45 - 28.57</t>
  </si>
  <si>
    <t>Latham Group Inc</t>
  </si>
  <si>
    <t>4.56 - 8.46</t>
  </si>
  <si>
    <t>-78.46%</t>
  </si>
  <si>
    <t>Air Industries Group</t>
  </si>
  <si>
    <t>11/19/2015</t>
  </si>
  <si>
    <t>2.80 - 6.41</t>
  </si>
  <si>
    <t>Mimedx Group Inc</t>
  </si>
  <si>
    <t>5.47 - 10.14</t>
  </si>
  <si>
    <t>-62.55%</t>
  </si>
  <si>
    <t>2111.12%</t>
  </si>
  <si>
    <t>AleAnna Inc</t>
  </si>
  <si>
    <t>-603.23%</t>
  </si>
  <si>
    <t>-1346.82%</t>
  </si>
  <si>
    <t>-135.61%</t>
  </si>
  <si>
    <t>-222.38%</t>
  </si>
  <si>
    <t>-45.03%</t>
  </si>
  <si>
    <t>4.02 - 18.70</t>
  </si>
  <si>
    <t>-41.62%</t>
  </si>
  <si>
    <t>Unity Bancorp, Inc</t>
  </si>
  <si>
    <t>32.23 - 54.64</t>
  </si>
  <si>
    <t>3701.86%</t>
  </si>
  <si>
    <t>Cibus Inc</t>
  </si>
  <si>
    <t>63.66%</t>
  </si>
  <si>
    <t>-1559.97%</t>
  </si>
  <si>
    <t>-5681.55%</t>
  </si>
  <si>
    <t>-78.69%</t>
  </si>
  <si>
    <t>1.20 - 6.10</t>
  </si>
  <si>
    <t>Zynex Inc</t>
  </si>
  <si>
    <t>1/5/2022</t>
  </si>
  <si>
    <t>-235.54%</t>
  </si>
  <si>
    <t>-61.82%</t>
  </si>
  <si>
    <t>-47.34%</t>
  </si>
  <si>
    <t>-84.24%</t>
  </si>
  <si>
    <t>1.23 - 9.42</t>
  </si>
  <si>
    <t>-97.18%</t>
  </si>
  <si>
    <t>2691.95%</t>
  </si>
  <si>
    <t>-81.69%</t>
  </si>
  <si>
    <t>Mid-America Apartment Communities, Inc</t>
  </si>
  <si>
    <t>132.10%</t>
  </si>
  <si>
    <t>137.32 - 173.38</t>
  </si>
  <si>
    <t>-39.69%</t>
  </si>
  <si>
    <t>573.29%</t>
  </si>
  <si>
    <t>Proficient Auto Logistics Inc</t>
  </si>
  <si>
    <t>5.88 - 16.00</t>
  </si>
  <si>
    <t>-67.04%</t>
  </si>
  <si>
    <t>-57.41%</t>
  </si>
  <si>
    <t>Southern Missouri Bancorp, Inc</t>
  </si>
  <si>
    <t>45.10 - 68.69</t>
  </si>
  <si>
    <t>2471.76%</t>
  </si>
  <si>
    <t>E.W. Scripps Co</t>
  </si>
  <si>
    <t>12/14/2020</t>
  </si>
  <si>
    <t>-172.91%</t>
  </si>
  <si>
    <t>1.36 - 4.17</t>
  </si>
  <si>
    <t>327.57%</t>
  </si>
  <si>
    <t>Medicinova Inc</t>
  </si>
  <si>
    <t>-9883.02%</t>
  </si>
  <si>
    <t>-8775.80%</t>
  </si>
  <si>
    <t>1.13 - 2.55</t>
  </si>
  <si>
    <t>-92.31%</t>
  </si>
  <si>
    <t>Sanmina Corp</t>
  </si>
  <si>
    <t>100.17%</t>
  </si>
  <si>
    <t>63.67 - 125.76</t>
  </si>
  <si>
    <t>10320.37%</t>
  </si>
  <si>
    <t>62.49%</t>
  </si>
  <si>
    <t>Lindblad Expeditions Holdings Inc</t>
  </si>
  <si>
    <t>7.45 - 15.06</t>
  </si>
  <si>
    <t>329.57%</t>
  </si>
  <si>
    <t>Main Street Capital Corporation</t>
  </si>
  <si>
    <t>46.79 - 67.46</t>
  </si>
  <si>
    <t>821.65%</t>
  </si>
  <si>
    <t>Pathward Financial Inc</t>
  </si>
  <si>
    <t>62.79 - 86.00</t>
  </si>
  <si>
    <t>3836.09%</t>
  </si>
  <si>
    <t>Limoneira Co</t>
  </si>
  <si>
    <t>74.89%</t>
  </si>
  <si>
    <t>-136.36%</t>
  </si>
  <si>
    <t>14.40 - 29.22</t>
  </si>
  <si>
    <t>-44.75%</t>
  </si>
  <si>
    <t>Miller Industries Inc</t>
  </si>
  <si>
    <t>94.32%</t>
  </si>
  <si>
    <t>-20.94%</t>
  </si>
  <si>
    <t>-49.98%</t>
  </si>
  <si>
    <t>33.81 - 78.25</t>
  </si>
  <si>
    <t>1763.81%</t>
  </si>
  <si>
    <t>Israel Acquisitions Corp</t>
  </si>
  <si>
    <t>11.14 - 14.00</t>
  </si>
  <si>
    <t>Mobix Labs Inc</t>
  </si>
  <si>
    <t>52.15%</t>
  </si>
  <si>
    <t>-334.12%</t>
  </si>
  <si>
    <t>-381.82%</t>
  </si>
  <si>
    <t>-65.55%</t>
  </si>
  <si>
    <t>0.55 - 2.47</t>
  </si>
  <si>
    <t>Northrim Bancorp, Inc</t>
  </si>
  <si>
    <t>15.92 - 25.05</t>
  </si>
  <si>
    <t>3030.60%</t>
  </si>
  <si>
    <t>El Pollo Loco Holdings Inc</t>
  </si>
  <si>
    <t>10/21/2022</t>
  </si>
  <si>
    <t>8.29 - 13.93</t>
  </si>
  <si>
    <t>Cartesian Therapeutics Inc</t>
  </si>
  <si>
    <t>162.27%</t>
  </si>
  <si>
    <t>-109.96%</t>
  </si>
  <si>
    <t>-597.83%</t>
  </si>
  <si>
    <t>8.46 - 26.50</t>
  </si>
  <si>
    <t>ABM Industries Inc</t>
  </si>
  <si>
    <t>70.32%</t>
  </si>
  <si>
    <t>40.85 - 59.15</t>
  </si>
  <si>
    <t>2326.98%</t>
  </si>
  <si>
    <t>Newsmax Inc</t>
  </si>
  <si>
    <t>-2850.00%</t>
  </si>
  <si>
    <t>-95.25%</t>
  </si>
  <si>
    <t>11.40 - 265.00</t>
  </si>
  <si>
    <t>Advanced Flower Capital Inc</t>
  </si>
  <si>
    <t>207.13%</t>
  </si>
  <si>
    <t>-47.74%</t>
  </si>
  <si>
    <t>-59.61%</t>
  </si>
  <si>
    <t>27.64%</t>
  </si>
  <si>
    <t>87.82%</t>
  </si>
  <si>
    <t>3.44 - 10.72</t>
  </si>
  <si>
    <t>-61.12%</t>
  </si>
  <si>
    <t>Allient Inc</t>
  </si>
  <si>
    <t>156.03%</t>
  </si>
  <si>
    <t>16.91 - 48.22</t>
  </si>
  <si>
    <t>8559.00%</t>
  </si>
  <si>
    <t>123.17%</t>
  </si>
  <si>
    <t>Foxx Development Holdings Inc</t>
  </si>
  <si>
    <t>2.44 - 12.80</t>
  </si>
  <si>
    <t>MGE Energy, Inc</t>
  </si>
  <si>
    <t>82.21 - 109.22</t>
  </si>
  <si>
    <t>1394.54%</t>
  </si>
  <si>
    <t>Willdan Group Inc</t>
  </si>
  <si>
    <t>63.70%</t>
  </si>
  <si>
    <t>214.11%</t>
  </si>
  <si>
    <t>30.43 - 121.00</t>
  </si>
  <si>
    <t>9090.87%</t>
  </si>
  <si>
    <t>131.55%</t>
  </si>
  <si>
    <t>137.12%</t>
  </si>
  <si>
    <t>Karat Packaging Inc</t>
  </si>
  <si>
    <t>93.99%</t>
  </si>
  <si>
    <t>23.00 - 33.89</t>
  </si>
  <si>
    <t>103.99%</t>
  </si>
  <si>
    <t>Binah Capital Group Inc</t>
  </si>
  <si>
    <t>-117.96%</t>
  </si>
  <si>
    <t>-55.39%</t>
  </si>
  <si>
    <t>-74.20%</t>
  </si>
  <si>
    <t>1.45 - 6.55</t>
  </si>
  <si>
    <t>-89.83%</t>
  </si>
  <si>
    <t>-47.19%</t>
  </si>
  <si>
    <t>Sprout Social Inc</t>
  </si>
  <si>
    <t>77.62%</t>
  </si>
  <si>
    <t>13.33 - 36.30</t>
  </si>
  <si>
    <t>-90.28%</t>
  </si>
  <si>
    <t>Investcorp Credit Management BDC Inc</t>
  </si>
  <si>
    <t>2.44 - 3.45</t>
  </si>
  <si>
    <t>-81.46%</t>
  </si>
  <si>
    <t>120.59%</t>
  </si>
  <si>
    <t>California Water Service Group</t>
  </si>
  <si>
    <t>41.60 - 54.70</t>
  </si>
  <si>
    <t>1443.88%</t>
  </si>
  <si>
    <t>Whitestone REIT</t>
  </si>
  <si>
    <t>11.77 - 15.36</t>
  </si>
  <si>
    <t>166.31%</t>
  </si>
  <si>
    <t>Motorsport Games Inc</t>
  </si>
  <si>
    <t>65.43%</t>
  </si>
  <si>
    <t>0.73 - 3.92</t>
  </si>
  <si>
    <t>154.13%</t>
  </si>
  <si>
    <t>151.82%</t>
  </si>
  <si>
    <t>Freight Technologies Inc</t>
  </si>
  <si>
    <t>-66.55%</t>
  </si>
  <si>
    <t>1.15 - 13.96</t>
  </si>
  <si>
    <t>-71.62%</t>
  </si>
  <si>
    <t>PAVmed Inc</t>
  </si>
  <si>
    <t>-73.36%</t>
  </si>
  <si>
    <t>81.61%</t>
  </si>
  <si>
    <t>-99.39%</t>
  </si>
  <si>
    <t>-469.23%</t>
  </si>
  <si>
    <t>-2639.80%</t>
  </si>
  <si>
    <t>6867.55%</t>
  </si>
  <si>
    <t>0.30 - 1.45</t>
  </si>
  <si>
    <t>Phillips Edison &amp; Company Inc</t>
  </si>
  <si>
    <t>233.61%</t>
  </si>
  <si>
    <t>32.40 - 40.12</t>
  </si>
  <si>
    <t>Actinium Pharmaceuticals Inc</t>
  </si>
  <si>
    <t>1.03 - 2.41</t>
  </si>
  <si>
    <t>-99.65%</t>
  </si>
  <si>
    <t>Kforce Inc</t>
  </si>
  <si>
    <t>93.62%</t>
  </si>
  <si>
    <t>29.33 - 62.80</t>
  </si>
  <si>
    <t>1901.83%</t>
  </si>
  <si>
    <t>Connect Biopharma Holdings Ltd</t>
  </si>
  <si>
    <t>97.46%</t>
  </si>
  <si>
    <t>-60.03%</t>
  </si>
  <si>
    <t>213.73%</t>
  </si>
  <si>
    <t>0.51 - 2.86</t>
  </si>
  <si>
    <t>-94.53%</t>
  </si>
  <si>
    <t>Lazard Inc</t>
  </si>
  <si>
    <t>92.02%</t>
  </si>
  <si>
    <t>95.37%</t>
  </si>
  <si>
    <t>31.97 - 61.14</t>
  </si>
  <si>
    <t>222.98%</t>
  </si>
  <si>
    <t>PLAYSTUDIOS Inc</t>
  </si>
  <si>
    <t>-58.12%</t>
  </si>
  <si>
    <t>0.90 - 2.29</t>
  </si>
  <si>
    <t>-92.73%</t>
  </si>
  <si>
    <t>Quetta Acquisition Corp</t>
  </si>
  <si>
    <t>10.39 - 12.09</t>
  </si>
  <si>
    <t>Culp Inc</t>
  </si>
  <si>
    <t>-79.82%</t>
  </si>
  <si>
    <t>61.64%</t>
  </si>
  <si>
    <t>3.42 - 6.85</t>
  </si>
  <si>
    <t>-88.87%</t>
  </si>
  <si>
    <t>-31.91%</t>
  </si>
  <si>
    <t>DaVita Inc</t>
  </si>
  <si>
    <t>97.34%</t>
  </si>
  <si>
    <t>126.07 - 179.60</t>
  </si>
  <si>
    <t>18894.91%</t>
  </si>
  <si>
    <t>Broadwind Inc</t>
  </si>
  <si>
    <t>1.41 - 3.03</t>
  </si>
  <si>
    <t>203.00%</t>
  </si>
  <si>
    <t>Rafael Holdings Inc</t>
  </si>
  <si>
    <t>-33.59%</t>
  </si>
  <si>
    <t>356.18%</t>
  </si>
  <si>
    <t>-2348.50%</t>
  </si>
  <si>
    <t>-3127.60%</t>
  </si>
  <si>
    <t>1.28 - 3.19</t>
  </si>
  <si>
    <t>Mach Natural Resources LP</t>
  </si>
  <si>
    <t>168.83%</t>
  </si>
  <si>
    <t>12.40 - 19.00</t>
  </si>
  <si>
    <t>Columbus Circle Capital Corp I</t>
  </si>
  <si>
    <t>10.05 - 16.25</t>
  </si>
  <si>
    <t>Forward Air Corp</t>
  </si>
  <si>
    <t>11/21/2023</t>
  </si>
  <si>
    <t>87.38%</t>
  </si>
  <si>
    <t>9.78 - 40.92</t>
  </si>
  <si>
    <t>2666.25%</t>
  </si>
  <si>
    <t>Civeo Corp</t>
  </si>
  <si>
    <t>2/24/2025</t>
  </si>
  <si>
    <t>-209.23%</t>
  </si>
  <si>
    <t>-650.75%</t>
  </si>
  <si>
    <t>18.01 - 28.23</t>
  </si>
  <si>
    <t>454.70%</t>
  </si>
  <si>
    <t>NexPoint Real Estate Finance Inc</t>
  </si>
  <si>
    <t>196.71%</t>
  </si>
  <si>
    <t>100.01%</t>
  </si>
  <si>
    <t>12.14 - 18.04</t>
  </si>
  <si>
    <t>Herzfeld Credit Income Fund Inc</t>
  </si>
  <si>
    <t>660.46%</t>
  </si>
  <si>
    <t>2.21 - 3.10</t>
  </si>
  <si>
    <t>69.89%</t>
  </si>
  <si>
    <t>Commerce Bancshares, Inc</t>
  </si>
  <si>
    <t>52.69 - 72.75</t>
  </si>
  <si>
    <t>6248.42%</t>
  </si>
  <si>
    <t>MidWestOne Financial Group Inc</t>
  </si>
  <si>
    <t>-37.62%</t>
  </si>
  <si>
    <t>24.62 - 34.56</t>
  </si>
  <si>
    <t>-27.02%</t>
  </si>
  <si>
    <t>384.92%</t>
  </si>
  <si>
    <t>Crescent Biopharma Inc</t>
  </si>
  <si>
    <t>-195.71%</t>
  </si>
  <si>
    <t>10.83 - 63.00</t>
  </si>
  <si>
    <t>-48.61%</t>
  </si>
  <si>
    <t>McGrath Rentcorp</t>
  </si>
  <si>
    <t>90.26%</t>
  </si>
  <si>
    <t>97.81 - 129.93</t>
  </si>
  <si>
    <t>17217.82%</t>
  </si>
  <si>
    <t>CPI Card Group Inc</t>
  </si>
  <si>
    <t>6/14/2017</t>
  </si>
  <si>
    <t>-32.79%</t>
  </si>
  <si>
    <t>-57.60%</t>
  </si>
  <si>
    <t>12.52 - 35.19</t>
  </si>
  <si>
    <t>4044.44%</t>
  </si>
  <si>
    <t>AZZ Inc</t>
  </si>
  <si>
    <t>38.05%</t>
  </si>
  <si>
    <t>-15.22%</t>
  </si>
  <si>
    <t>70.90 - 119.95</t>
  </si>
  <si>
    <t>22065.00%</t>
  </si>
  <si>
    <t>SenesTech Inc</t>
  </si>
  <si>
    <t>-290.54%</t>
  </si>
  <si>
    <t>-289.01%</t>
  </si>
  <si>
    <t>248.90%</t>
  </si>
  <si>
    <t>1.30 - 6.24</t>
  </si>
  <si>
    <t>115.99%</t>
  </si>
  <si>
    <t>Independent Bank Corporation (Ionia, MI)</t>
  </si>
  <si>
    <t>-22.27%</t>
  </si>
  <si>
    <t>26.75 - 40.32</t>
  </si>
  <si>
    <t>3034.00%</t>
  </si>
  <si>
    <t>NBT Bancorp. Inc</t>
  </si>
  <si>
    <t>37.31 - 52.44</t>
  </si>
  <si>
    <t>658.25%</t>
  </si>
  <si>
    <t>NanoViricides Inc</t>
  </si>
  <si>
    <t>-240.00%</t>
  </si>
  <si>
    <t>-26.80%</t>
  </si>
  <si>
    <t>0.94 - 1.92</t>
  </si>
  <si>
    <t>Bar Harbor Bankshares Inc</t>
  </si>
  <si>
    <t>26.43 - 38.47</t>
  </si>
  <si>
    <t>635.43%</t>
  </si>
  <si>
    <t>First Mid Bancshares Inc</t>
  </si>
  <si>
    <t>47.09%</t>
  </si>
  <si>
    <t>40.06%</t>
  </si>
  <si>
    <t>27.58 - 43.86</t>
  </si>
  <si>
    <t>1050.14%</t>
  </si>
  <si>
    <t>Bank of Hawaii Corp</t>
  </si>
  <si>
    <t>80.46%</t>
  </si>
  <si>
    <t>57.44 - 82.70</t>
  </si>
  <si>
    <t>2649.80%</t>
  </si>
  <si>
    <t>RBB Bancorp</t>
  </si>
  <si>
    <t>14.40 - 25.30</t>
  </si>
  <si>
    <t>120.94%</t>
  </si>
  <si>
    <t>Natural Grocers by Vitamin Cottage Inc</t>
  </si>
  <si>
    <t>24.99 - 61.22</t>
  </si>
  <si>
    <t>823.99%</t>
  </si>
  <si>
    <t>TransCode Therapeutics Inc</t>
  </si>
  <si>
    <t>63.31%</t>
  </si>
  <si>
    <t>6.15 - 739.20</t>
  </si>
  <si>
    <t>-97.39%</t>
  </si>
  <si>
    <t>German American Bancorp Inc</t>
  </si>
  <si>
    <t>32.75 - 47.08</t>
  </si>
  <si>
    <t>697.43%</t>
  </si>
  <si>
    <t>Lifetime Brands, Inc</t>
  </si>
  <si>
    <t>-270.37%</t>
  </si>
  <si>
    <t>2.89 - 7.05</t>
  </si>
  <si>
    <t>-87.41%</t>
  </si>
  <si>
    <t>290.72%</t>
  </si>
  <si>
    <t>-41.15%</t>
  </si>
  <si>
    <t>Cabot Corp</t>
  </si>
  <si>
    <t>96.53%</t>
  </si>
  <si>
    <t>70.40 - 117.46</t>
  </si>
  <si>
    <t>2643.98%</t>
  </si>
  <si>
    <t>ESAB Corp</t>
  </si>
  <si>
    <t>95.12%</t>
  </si>
  <si>
    <t>100.17 - 135.97</t>
  </si>
  <si>
    <t>244.21%</t>
  </si>
  <si>
    <t>Entravision Communications Corp</t>
  </si>
  <si>
    <t>1.58 - 2.73</t>
  </si>
  <si>
    <t>2153.49%</t>
  </si>
  <si>
    <t>OS Therapies Inc</t>
  </si>
  <si>
    <t>1.12 - 7.00</t>
  </si>
  <si>
    <t>Bank First Corp</t>
  </si>
  <si>
    <t>83.37 - 132.59</t>
  </si>
  <si>
    <t>2415.77%</t>
  </si>
  <si>
    <t>Tennant Co</t>
  </si>
  <si>
    <t>67.32 - 98.52</t>
  </si>
  <si>
    <t>1895.00%</t>
  </si>
  <si>
    <t>Valhi, Inc</t>
  </si>
  <si>
    <t>-61.99%</t>
  </si>
  <si>
    <t>14.10 - 41.75</t>
  </si>
  <si>
    <t>-93.90%</t>
  </si>
  <si>
    <t>914.04%</t>
  </si>
  <si>
    <t>-46.22%</t>
  </si>
  <si>
    <t>Camden Property Trust</t>
  </si>
  <si>
    <t>274.34%</t>
  </si>
  <si>
    <t>121.42%</t>
  </si>
  <si>
    <t>96.10%</t>
  </si>
  <si>
    <t>102.35 - 127.43</t>
  </si>
  <si>
    <t>-37.63%</t>
  </si>
  <si>
    <t>621.73%</t>
  </si>
  <si>
    <t>Envirotech Vehicles Inc</t>
  </si>
  <si>
    <t>-31.68%</t>
  </si>
  <si>
    <t>-78.34%</t>
  </si>
  <si>
    <t>-640.41%</t>
  </si>
  <si>
    <t>-1207.00%</t>
  </si>
  <si>
    <t>1.50 - 21.30</t>
  </si>
  <si>
    <t>-89.84%</t>
  </si>
  <si>
    <t>Champions Oncology Inc</t>
  </si>
  <si>
    <t>104.20%</t>
  </si>
  <si>
    <t>67.47%</t>
  </si>
  <si>
    <t>3.75 - 11.99</t>
  </si>
  <si>
    <t>52233.33%</t>
  </si>
  <si>
    <t>Techprecision Corp</t>
  </si>
  <si>
    <t>-88.75%</t>
  </si>
  <si>
    <t>147.32%</t>
  </si>
  <si>
    <t>2.05 - 6.25</t>
  </si>
  <si>
    <t>2200.36%</t>
  </si>
  <si>
    <t>Rithm Property Trust Inc</t>
  </si>
  <si>
    <t>81.40%</t>
  </si>
  <si>
    <t>60.81%</t>
  </si>
  <si>
    <t>2.29 - 3.50</t>
  </si>
  <si>
    <t>-83.17%</t>
  </si>
  <si>
    <t>Virtus Investment Partners Inc</t>
  </si>
  <si>
    <t>142.18 - 252.82</t>
  </si>
  <si>
    <t>4927.51%</t>
  </si>
  <si>
    <t>First Western Financial Inc</t>
  </si>
  <si>
    <t>17.10 - 24.88</t>
  </si>
  <si>
    <t>108.37%</t>
  </si>
  <si>
    <t>Republic Digital Acquisition Co</t>
  </si>
  <si>
    <t>10.02 - 12.64</t>
  </si>
  <si>
    <t>BayFirst Financial Corp</t>
  </si>
  <si>
    <t>5/30/2025</t>
  </si>
  <si>
    <t>-25.82%</t>
  </si>
  <si>
    <t>-43.52%</t>
  </si>
  <si>
    <t>6.40 - 19.75</t>
  </si>
  <si>
    <t>-54.41%</t>
  </si>
  <si>
    <t>FlexShopper Inc</t>
  </si>
  <si>
    <t>-70.51%</t>
  </si>
  <si>
    <t>0.45 - 2.37</t>
  </si>
  <si>
    <t>-30.10%</t>
  </si>
  <si>
    <t>Lakeland Financial Corp</t>
  </si>
  <si>
    <t>50.00 - 78.61</t>
  </si>
  <si>
    <t>2556.14%</t>
  </si>
  <si>
    <t>Cytosorbents Corp</t>
  </si>
  <si>
    <t>65.95%</t>
  </si>
  <si>
    <t>-53.87%</t>
  </si>
  <si>
    <t>-28.46%</t>
  </si>
  <si>
    <t>0.71 - 1.61</t>
  </si>
  <si>
    <t>Markel Group Inc</t>
  </si>
  <si>
    <t>80.99%</t>
  </si>
  <si>
    <t>1521.25 - 2075.92</t>
  </si>
  <si>
    <t>25060.75%</t>
  </si>
  <si>
    <t>Ultralife Corp</t>
  </si>
  <si>
    <t>4.07 - 10.09</t>
  </si>
  <si>
    <t>-72.88%</t>
  </si>
  <si>
    <t>339.61%</t>
  </si>
  <si>
    <t>Inflection Point Acquisition Corp III</t>
  </si>
  <si>
    <t>10.05 - 10.35</t>
  </si>
  <si>
    <t>Safety Insurance Group, Inc</t>
  </si>
  <si>
    <t>75.24%</t>
  </si>
  <si>
    <t>83.49%</t>
  </si>
  <si>
    <t>68.76 - 90.00</t>
  </si>
  <si>
    <t>496.08%</t>
  </si>
  <si>
    <t>Real Messenger Corp</t>
  </si>
  <si>
    <t>1.38 - 5.46</t>
  </si>
  <si>
    <t>-95.45%</t>
  </si>
  <si>
    <t>-79.10%</t>
  </si>
  <si>
    <t>ArcBest Corp</t>
  </si>
  <si>
    <t>55.19 - 123.25</t>
  </si>
  <si>
    <t>1584.39%</t>
  </si>
  <si>
    <t>Teads Holding Co</t>
  </si>
  <si>
    <t>60.21%</t>
  </si>
  <si>
    <t>-321.94%</t>
  </si>
  <si>
    <t>1.55 - 7.87</t>
  </si>
  <si>
    <t>-92.02%</t>
  </si>
  <si>
    <t>-31.89%</t>
  </si>
  <si>
    <t>-57.47%</t>
  </si>
  <si>
    <t>TMD Energy Ltd</t>
  </si>
  <si>
    <t>-26.98%</t>
  </si>
  <si>
    <t>-86.28%</t>
  </si>
  <si>
    <t>0.67 - 6.27</t>
  </si>
  <si>
    <t>Business First Bancshares Inc</t>
  </si>
  <si>
    <t>20.07 - 30.30</t>
  </si>
  <si>
    <t>FTI Consulting Inc</t>
  </si>
  <si>
    <t>151.75 - 231.65</t>
  </si>
  <si>
    <t>15212.32%</t>
  </si>
  <si>
    <t>Park National Corp</t>
  </si>
  <si>
    <t>137.97 - 207.99</t>
  </si>
  <si>
    <t>1321.27%</t>
  </si>
  <si>
    <t>Yelp Inc</t>
  </si>
  <si>
    <t>99.29%</t>
  </si>
  <si>
    <t>29.96 - 41.72</t>
  </si>
  <si>
    <t>Zeo Energy Corp</t>
  </si>
  <si>
    <t>-36.30%</t>
  </si>
  <si>
    <t>-50.55%</t>
  </si>
  <si>
    <t>-65.57%</t>
  </si>
  <si>
    <t>0.94 - 3.95</t>
  </si>
  <si>
    <t>-54.97%</t>
  </si>
  <si>
    <t>-50.36%</t>
  </si>
  <si>
    <t>Prosperity Bancshares Inc</t>
  </si>
  <si>
    <t>61.57 - 86.75</t>
  </si>
  <si>
    <t>1001.83%</t>
  </si>
  <si>
    <t>Income Opportunity Realty Investors, Inc</t>
  </si>
  <si>
    <t>16.01 - 19.69</t>
  </si>
  <si>
    <t>6443.48%</t>
  </si>
  <si>
    <t>Medifast Inc</t>
  </si>
  <si>
    <t>9/18/2023</t>
  </si>
  <si>
    <t>-76.05%</t>
  </si>
  <si>
    <t>310.95%</t>
  </si>
  <si>
    <t>11.57 - 21.98</t>
  </si>
  <si>
    <t>10822.00%</t>
  </si>
  <si>
    <t>Giftify Inc</t>
  </si>
  <si>
    <t>199.11%</t>
  </si>
  <si>
    <t>-63.13%</t>
  </si>
  <si>
    <t>0.82 - 2.78</t>
  </si>
  <si>
    <t>6733.33%</t>
  </si>
  <si>
    <t>-33.01%</t>
  </si>
  <si>
    <t>-51.19%</t>
  </si>
  <si>
    <t>-59.33%</t>
  </si>
  <si>
    <t>John Wiley &amp; Sons Inc</t>
  </si>
  <si>
    <t>91.86%</t>
  </si>
  <si>
    <t>36.10 - 53.96</t>
  </si>
  <si>
    <t>2921.24%</t>
  </si>
  <si>
    <t>Vroom Inc</t>
  </si>
  <si>
    <t>50.54%</t>
  </si>
  <si>
    <t>-139.87%</t>
  </si>
  <si>
    <t>-100.75%</t>
  </si>
  <si>
    <t>119.33%</t>
  </si>
  <si>
    <t>12.00 - 41.36</t>
  </si>
  <si>
    <t>DevvStream Corp</t>
  </si>
  <si>
    <t>-76.04%</t>
  </si>
  <si>
    <t>1.75 - 154.77</t>
  </si>
  <si>
    <t>Waters Corp</t>
  </si>
  <si>
    <t>57.51%</t>
  </si>
  <si>
    <t>275.05 - 423.56</t>
  </si>
  <si>
    <t>8683.28%</t>
  </si>
  <si>
    <t>Orange County Bancorp Inc</t>
  </si>
  <si>
    <t>20.97 - 33.06</t>
  </si>
  <si>
    <t>186.76%</t>
  </si>
  <si>
    <t>Aldel Financial II Inc</t>
  </si>
  <si>
    <t>9.90 - 10.69</t>
  </si>
  <si>
    <t>Athira Pharma Inc</t>
  </si>
  <si>
    <t>-73.94%</t>
  </si>
  <si>
    <t>-54.99%</t>
  </si>
  <si>
    <t>69.44%</t>
  </si>
  <si>
    <t>2.20 - 8.26</t>
  </si>
  <si>
    <t>-98.93%</t>
  </si>
  <si>
    <t>Resmed Inc</t>
  </si>
  <si>
    <t>199.92 - 293.81</t>
  </si>
  <si>
    <t>44259.39%</t>
  </si>
  <si>
    <t>Laird Superfood Inc</t>
  </si>
  <si>
    <t>4.45 - 10.90</t>
  </si>
  <si>
    <t>-90.52%</t>
  </si>
  <si>
    <t>786.92%</t>
  </si>
  <si>
    <t>Idex Corporation</t>
  </si>
  <si>
    <t>104.54%</t>
  </si>
  <si>
    <t>153.36 - 238.22</t>
  </si>
  <si>
    <t>8320.74%</t>
  </si>
  <si>
    <t>Masimo Corp</t>
  </si>
  <si>
    <t>131.01 - 194.88</t>
  </si>
  <si>
    <t>772.54%</t>
  </si>
  <si>
    <t>Innovative Solutions And Support Inc</t>
  </si>
  <si>
    <t>12/18/2020</t>
  </si>
  <si>
    <t>-40.95%</t>
  </si>
  <si>
    <t>5.30 - 20.00</t>
  </si>
  <si>
    <t>1044.45%</t>
  </si>
  <si>
    <t>87.76%</t>
  </si>
  <si>
    <t>Malibu Boats Inc</t>
  </si>
  <si>
    <t>108.32%</t>
  </si>
  <si>
    <t>-32.51%</t>
  </si>
  <si>
    <t>24.42 - 47.82</t>
  </si>
  <si>
    <t>-65.29%</t>
  </si>
  <si>
    <t>Socket Mobile Inc</t>
  </si>
  <si>
    <t>0.85 - 1.72</t>
  </si>
  <si>
    <t>104.00%</t>
  </si>
  <si>
    <t>Carlsmed Inc</t>
  </si>
  <si>
    <t>98.18%</t>
  </si>
  <si>
    <t>-60.78%</t>
  </si>
  <si>
    <t>-64.53%</t>
  </si>
  <si>
    <t>11.81 - 16.20</t>
  </si>
  <si>
    <t>TuHURA Biosciences Inc</t>
  </si>
  <si>
    <t>1.80 - 8.40</t>
  </si>
  <si>
    <t>Banner Corp</t>
  </si>
  <si>
    <t>91.64%</t>
  </si>
  <si>
    <t>54.01 - 78.05</t>
  </si>
  <si>
    <t>521.71%</t>
  </si>
  <si>
    <t>AIM ImmunoTech Inc</t>
  </si>
  <si>
    <t>-39.80%</t>
  </si>
  <si>
    <t>-127.27%</t>
  </si>
  <si>
    <t>-13216.53%</t>
  </si>
  <si>
    <t>-13360.33%</t>
  </si>
  <si>
    <t>-86.63%</t>
  </si>
  <si>
    <t>2.33 - 36.00</t>
  </si>
  <si>
    <t>-78.73%</t>
  </si>
  <si>
    <t>Mackenzie Realty Capital Inc</t>
  </si>
  <si>
    <t>3/31/2025</t>
  </si>
  <si>
    <t>51.48%</t>
  </si>
  <si>
    <t>377.86%</t>
  </si>
  <si>
    <t>-109.14%</t>
  </si>
  <si>
    <t>-68.76%</t>
  </si>
  <si>
    <t>3.89 - 55.00</t>
  </si>
  <si>
    <t>-65.71%</t>
  </si>
  <si>
    <t>AGCO Corp</t>
  </si>
  <si>
    <t>92.85%</t>
  </si>
  <si>
    <t>73.79 - 121.16</t>
  </si>
  <si>
    <t>7247.43%</t>
  </si>
  <si>
    <t>Icahn Enterprises L P</t>
  </si>
  <si>
    <t>-314.29%</t>
  </si>
  <si>
    <t>7.27 - 15.65</t>
  </si>
  <si>
    <t>Hurco Companies, Inc</t>
  </si>
  <si>
    <t>73.62%</t>
  </si>
  <si>
    <t>13.19 - 23.76</t>
  </si>
  <si>
    <t>-71.41%</t>
  </si>
  <si>
    <t>1229.23%</t>
  </si>
  <si>
    <t>Beazer Homes USA Inc</t>
  </si>
  <si>
    <t>-102.39%</t>
  </si>
  <si>
    <t>-36.14%</t>
  </si>
  <si>
    <t>17.37 - 38.22</t>
  </si>
  <si>
    <t>1934.17%</t>
  </si>
  <si>
    <t>Broadway Financial Corp</t>
  </si>
  <si>
    <t>4/8/2010</t>
  </si>
  <si>
    <t>5.71 - 9.46</t>
  </si>
  <si>
    <t>-93.87%</t>
  </si>
  <si>
    <t>SoundThinking Inc</t>
  </si>
  <si>
    <t>9.33 - 19.43</t>
  </si>
  <si>
    <t>-82.05%</t>
  </si>
  <si>
    <t>Greenbrier Cos., Inc</t>
  </si>
  <si>
    <t>7/17/2025</t>
  </si>
  <si>
    <t>72.44%</t>
  </si>
  <si>
    <t>88.83%</t>
  </si>
  <si>
    <t>102.56%</t>
  </si>
  <si>
    <t>-36.09%</t>
  </si>
  <si>
    <t>37.77 - 71.06</t>
  </si>
  <si>
    <t>2341.78%</t>
  </si>
  <si>
    <t>Vor Biopharma Inc</t>
  </si>
  <si>
    <t>-38.02%</t>
  </si>
  <si>
    <t>-2765.36%</t>
  </si>
  <si>
    <t>-68.09%</t>
  </si>
  <si>
    <t>-50.17%</t>
  </si>
  <si>
    <t>1150.57%</t>
  </si>
  <si>
    <t>2.62 - 65.80</t>
  </si>
  <si>
    <t>114.09%</t>
  </si>
  <si>
    <t>112.95%</t>
  </si>
  <si>
    <t>Nature's Sunshine Products, Inc</t>
  </si>
  <si>
    <t>3/26/2021</t>
  </si>
  <si>
    <t>118.75%</t>
  </si>
  <si>
    <t>80.81%</t>
  </si>
  <si>
    <t>11.01 - 18.06</t>
  </si>
  <si>
    <t>9533.39%</t>
  </si>
  <si>
    <t>Cantor Equity Partners II Inc</t>
  </si>
  <si>
    <t>-274.17%</t>
  </si>
  <si>
    <t>63.08%</t>
  </si>
  <si>
    <t>10.32 - 12.49</t>
  </si>
  <si>
    <t>Eqv Ventures Acquisition Corp. II</t>
  </si>
  <si>
    <t>9.90 - 10.00</t>
  </si>
  <si>
    <t>SKYX Platforms Corp</t>
  </si>
  <si>
    <t>-58.73%</t>
  </si>
  <si>
    <t>1160.21%</t>
  </si>
  <si>
    <t>86.64%</t>
  </si>
  <si>
    <t>0.80 - 2.13</t>
  </si>
  <si>
    <t>LPL Financial Holdings Inc</t>
  </si>
  <si>
    <t>100.13%</t>
  </si>
  <si>
    <t>222.74 - 403.58</t>
  </si>
  <si>
    <t>2112.87%</t>
  </si>
  <si>
    <t>Viemed Healthcare Inc</t>
  </si>
  <si>
    <t>5.93 - 9.81</t>
  </si>
  <si>
    <t>-44.97%</t>
  </si>
  <si>
    <t>292.81%</t>
  </si>
  <si>
    <t>Seneca Foods Corp</t>
  </si>
  <si>
    <t>60.92 - 115.40</t>
  </si>
  <si>
    <t>950.84%</t>
  </si>
  <si>
    <t>Cingulate Inc</t>
  </si>
  <si>
    <t>3.02 - 6.01</t>
  </si>
  <si>
    <t>106.66%</t>
  </si>
  <si>
    <t>BrilliA Inc</t>
  </si>
  <si>
    <t>1.78 - 4.95</t>
  </si>
  <si>
    <t>Clearway Energy Inc</t>
  </si>
  <si>
    <t>221.86%</t>
  </si>
  <si>
    <t>65.21%</t>
  </si>
  <si>
    <t>24.40 - 33.22</t>
  </si>
  <si>
    <t>172.12%</t>
  </si>
  <si>
    <t>Century Therapeutics Inc</t>
  </si>
  <si>
    <t>5489.03%</t>
  </si>
  <si>
    <t>-73.68%</t>
  </si>
  <si>
    <t>0.34 - 1.86</t>
  </si>
  <si>
    <t>-98.51%</t>
  </si>
  <si>
    <t>TherapeuticsMD Inc</t>
  </si>
  <si>
    <t>306.84%</t>
  </si>
  <si>
    <t>-103.52%</t>
  </si>
  <si>
    <t>0.70 - 2.44</t>
  </si>
  <si>
    <t>ECB Bancorp Inc</t>
  </si>
  <si>
    <t>12.56 - 17.33</t>
  </si>
  <si>
    <t>SPX Technologies Inc</t>
  </si>
  <si>
    <t>90.51%</t>
  </si>
  <si>
    <t>115.00 - 209.38</t>
  </si>
  <si>
    <t>13455.25%</t>
  </si>
  <si>
    <t>Ichor Holdings Ltd</t>
  </si>
  <si>
    <t>-79.01%</t>
  </si>
  <si>
    <t>97.39%</t>
  </si>
  <si>
    <t>-53.93%</t>
  </si>
  <si>
    <t>13.12 - 36.48</t>
  </si>
  <si>
    <t>-73.50%</t>
  </si>
  <si>
    <t>72.19%</t>
  </si>
  <si>
    <t>-39.06%</t>
  </si>
  <si>
    <t>Travel+Leisure Co</t>
  </si>
  <si>
    <t>37.77 - 64.11</t>
  </si>
  <si>
    <t>5123.16%</t>
  </si>
  <si>
    <t>Seaport Entertainment Group Inc</t>
  </si>
  <si>
    <t>-66.75%</t>
  </si>
  <si>
    <t>-102.02%</t>
  </si>
  <si>
    <t>-31.59%</t>
  </si>
  <si>
    <t>16.52 - 34.51</t>
  </si>
  <si>
    <t>OmniAb Inc</t>
  </si>
  <si>
    <t>-301.33%</t>
  </si>
  <si>
    <t>-275.83%</t>
  </si>
  <si>
    <t>-32.37%</t>
  </si>
  <si>
    <t>1.22 - 4.87</t>
  </si>
  <si>
    <t>-35.22%</t>
  </si>
  <si>
    <t>Rent the Runway Inc</t>
  </si>
  <si>
    <t>-17.38%</t>
  </si>
  <si>
    <t>-64.38%</t>
  </si>
  <si>
    <t>3.69 - 13.66</t>
  </si>
  <si>
    <t>Mobile Infrastructure Corp</t>
  </si>
  <si>
    <t>Infrastructure Operations</t>
  </si>
  <si>
    <t>2.75 - 4.86</t>
  </si>
  <si>
    <t>-83.10%</t>
  </si>
  <si>
    <t>Timken Co</t>
  </si>
  <si>
    <t>91.35%</t>
  </si>
  <si>
    <t>56.20 - 87.52</t>
  </si>
  <si>
    <t>965.71%</t>
  </si>
  <si>
    <t>Titan Pharmaceuticals, Inc. (de)</t>
  </si>
  <si>
    <t>3.03 - 5.76</t>
  </si>
  <si>
    <t>Happy City Holdings Ltd</t>
  </si>
  <si>
    <t>-56.83%</t>
  </si>
  <si>
    <t>2.26 - 7.25</t>
  </si>
  <si>
    <t>Paycom Software Inc</t>
  </si>
  <si>
    <t>88.51%</t>
  </si>
  <si>
    <t>158.03 - 267.76</t>
  </si>
  <si>
    <t>-61.13%</t>
  </si>
  <si>
    <t>1669.10%</t>
  </si>
  <si>
    <t>Veea Inc</t>
  </si>
  <si>
    <t>-252.19%</t>
  </si>
  <si>
    <t>-15926.52%</t>
  </si>
  <si>
    <t>-21802.50%</t>
  </si>
  <si>
    <t>-67.45%</t>
  </si>
  <si>
    <t>0.51 - 7.96</t>
  </si>
  <si>
    <t>-96.58%</t>
  </si>
  <si>
    <t>-67.09%</t>
  </si>
  <si>
    <t>-60.06%</t>
  </si>
  <si>
    <t>La-Z-Boy Inc</t>
  </si>
  <si>
    <t>103.26%</t>
  </si>
  <si>
    <t>31.99 - 48.31</t>
  </si>
  <si>
    <t>6402.83%</t>
  </si>
  <si>
    <t>C1 Fund Inc</t>
  </si>
  <si>
    <t>7.58 - 9.78</t>
  </si>
  <si>
    <t>MDB Capital Holdings LLC</t>
  </si>
  <si>
    <t>138.36%</t>
  </si>
  <si>
    <t>-73.54%</t>
  </si>
  <si>
    <t>-721.54%</t>
  </si>
  <si>
    <t>211.63%</t>
  </si>
  <si>
    <t>-31.08%</t>
  </si>
  <si>
    <t>3.16 - 9.42</t>
  </si>
  <si>
    <t>-52.48%</t>
  </si>
  <si>
    <t>Rand Capital Corp</t>
  </si>
  <si>
    <t>440.28%</t>
  </si>
  <si>
    <t>135.73%</t>
  </si>
  <si>
    <t>147.07%</t>
  </si>
  <si>
    <t>13.82 - 31.89</t>
  </si>
  <si>
    <t>309.60%</t>
  </si>
  <si>
    <t>Ibotta Inc</t>
  </si>
  <si>
    <t>-58.38%</t>
  </si>
  <si>
    <t>22.50 - 79.80</t>
  </si>
  <si>
    <t>-77.31%</t>
  </si>
  <si>
    <t>-39.90%</t>
  </si>
  <si>
    <t>-58.46%</t>
  </si>
  <si>
    <t>Alzamend Neuro Inc</t>
  </si>
  <si>
    <t>60.75%</t>
  </si>
  <si>
    <t>-60.48%</t>
  </si>
  <si>
    <t>-86.23%</t>
  </si>
  <si>
    <t>2.06 - 17.10</t>
  </si>
  <si>
    <t>-76.21%</t>
  </si>
  <si>
    <t>Caci International Inc</t>
  </si>
  <si>
    <t>318.60 - 588.26</t>
  </si>
  <si>
    <t>58837.52%</t>
  </si>
  <si>
    <t>PCB Bancorp</t>
  </si>
  <si>
    <t>16.00 - 22.45</t>
  </si>
  <si>
    <t>-43.13%</t>
  </si>
  <si>
    <t>942.62%</t>
  </si>
  <si>
    <t>Dominos Pizza Inc</t>
  </si>
  <si>
    <t>100.55%</t>
  </si>
  <si>
    <t>397.12 - 500.55</t>
  </si>
  <si>
    <t>17983.48%</t>
  </si>
  <si>
    <t>Sportsman's Warehouse Holdings Inc</t>
  </si>
  <si>
    <t>69.51%</t>
  </si>
  <si>
    <t>-32.69%</t>
  </si>
  <si>
    <t>216.85%</t>
  </si>
  <si>
    <t>0.92 - 4.33</t>
  </si>
  <si>
    <t>-84.21%</t>
  </si>
  <si>
    <t>162.61%</t>
  </si>
  <si>
    <t>Community Trust Bancorp, Inc</t>
  </si>
  <si>
    <t>63.84%</t>
  </si>
  <si>
    <t>44.60 - 61.67</t>
  </si>
  <si>
    <t>1016.67%</t>
  </si>
  <si>
    <t>Griffon Corp</t>
  </si>
  <si>
    <t>45.04%</t>
  </si>
  <si>
    <t>62.26 - 86.73</t>
  </si>
  <si>
    <t>13481.01%</t>
  </si>
  <si>
    <t>KKR Real Estate Finance Trust Inc</t>
  </si>
  <si>
    <t>530.79%</t>
  </si>
  <si>
    <t>-154.78%</t>
  </si>
  <si>
    <t>90.64%</t>
  </si>
  <si>
    <t>8.28 - 12.74</t>
  </si>
  <si>
    <t>Syntec Optics Holdings Inc</t>
  </si>
  <si>
    <t>0.85 - 5.10</t>
  </si>
  <si>
    <t>Edible Garden AG Inc</t>
  </si>
  <si>
    <t>-87.26%</t>
  </si>
  <si>
    <t>-212.78%</t>
  </si>
  <si>
    <t>1.68 - 13.60</t>
  </si>
  <si>
    <t>Journey Medical Corp</t>
  </si>
  <si>
    <t>3.54 - 8.90</t>
  </si>
  <si>
    <t>586.27%</t>
  </si>
  <si>
    <t>Farmer Bros. Co</t>
  </si>
  <si>
    <t>1/26/2011</t>
  </si>
  <si>
    <t>43.41%</t>
  </si>
  <si>
    <t>1.34 - 3.29</t>
  </si>
  <si>
    <t>Diamond Hill Investment Group, Inc</t>
  </si>
  <si>
    <t>68.04%</t>
  </si>
  <si>
    <t>96.89%</t>
  </si>
  <si>
    <t>122.32 - 173.25</t>
  </si>
  <si>
    <t>13573.64%</t>
  </si>
  <si>
    <t>Hyster Yale Inc</t>
  </si>
  <si>
    <t>-105.19%</t>
  </si>
  <si>
    <t>34.13 - 69.28</t>
  </si>
  <si>
    <t>73.18%</t>
  </si>
  <si>
    <t>-18.24%</t>
  </si>
  <si>
    <t>-41.47%</t>
  </si>
  <si>
    <t>Universal Logistics Holdings Inc</t>
  </si>
  <si>
    <t>20.60 - 53.29</t>
  </si>
  <si>
    <t>173.54%</t>
  </si>
  <si>
    <t>Ameriserv Financial Inc</t>
  </si>
  <si>
    <t>56.00%</t>
  </si>
  <si>
    <t>2.03 - 3.42</t>
  </si>
  <si>
    <t>-77.76%</t>
  </si>
  <si>
    <t>218.03%</t>
  </si>
  <si>
    <t>Nkarta Inc</t>
  </si>
  <si>
    <t>1.31 - 4.77</t>
  </si>
  <si>
    <t>-97.48%</t>
  </si>
  <si>
    <t>Icon Energy Corp</t>
  </si>
  <si>
    <t>164.06%</t>
  </si>
  <si>
    <t>5/16/2025</t>
  </si>
  <si>
    <t>-86.67%</t>
  </si>
  <si>
    <t>1.60 - 130.80</t>
  </si>
  <si>
    <t>Genie Energy Ltd</t>
  </si>
  <si>
    <t>64.74%</t>
  </si>
  <si>
    <t>13.05 - 28.47</t>
  </si>
  <si>
    <t>299.21%</t>
  </si>
  <si>
    <t>-45.10%</t>
  </si>
  <si>
    <t>Nurix Therapeutics Inc</t>
  </si>
  <si>
    <t>-260.75%</t>
  </si>
  <si>
    <t>-234.58%</t>
  </si>
  <si>
    <t>-70.35%</t>
  </si>
  <si>
    <t>8.18 - 29.56</t>
  </si>
  <si>
    <t>-83.27%</t>
  </si>
  <si>
    <t>107.70%</t>
  </si>
  <si>
    <t>Spruce Biosciences Inc</t>
  </si>
  <si>
    <t>-3900.38%</t>
  </si>
  <si>
    <t>-3721.17%</t>
  </si>
  <si>
    <t>-50.47%</t>
  </si>
  <si>
    <t>4.28 - 45.60</t>
  </si>
  <si>
    <t>-76.09%</t>
  </si>
  <si>
    <t>Spok Holdings Inc</t>
  </si>
  <si>
    <t>171.77%</t>
  </si>
  <si>
    <t>-62.09%</t>
  </si>
  <si>
    <t>13.55 - 19.31</t>
  </si>
  <si>
    <t>9096.79%</t>
  </si>
  <si>
    <t>Delcath Systems Inc</t>
  </si>
  <si>
    <t>491.35%</t>
  </si>
  <si>
    <t>118.74%</t>
  </si>
  <si>
    <t>211.05%</t>
  </si>
  <si>
    <t>158.30%</t>
  </si>
  <si>
    <t>8.08 - 18.23</t>
  </si>
  <si>
    <t>381.78%</t>
  </si>
  <si>
    <t>-20.12%</t>
  </si>
  <si>
    <t>Perspective Therapeutics Inc</t>
  </si>
  <si>
    <t>-55.62%</t>
  </si>
  <si>
    <t>-44.87%</t>
  </si>
  <si>
    <t>-130.20%</t>
  </si>
  <si>
    <t>-6914.98%</t>
  </si>
  <si>
    <t>-7688.50%</t>
  </si>
  <si>
    <t>1.60 - 13.56</t>
  </si>
  <si>
    <t>AlphaVest Acquisition Corp</t>
  </si>
  <si>
    <t>-70.21%</t>
  </si>
  <si>
    <t>11.00 - 42.00</t>
  </si>
  <si>
    <t>Boston Omaha Corp</t>
  </si>
  <si>
    <t>66.42%</t>
  </si>
  <si>
    <t>12.27 - 16.20</t>
  </si>
  <si>
    <t>-73.72%</t>
  </si>
  <si>
    <t>HBT Financial Inc</t>
  </si>
  <si>
    <t>19.46 - 27.02</t>
  </si>
  <si>
    <t>179.14%</t>
  </si>
  <si>
    <t>Modular Medical Inc</t>
  </si>
  <si>
    <t>-26.41%</t>
  </si>
  <si>
    <t>0.63 - 2.46</t>
  </si>
  <si>
    <t>-96.41%</t>
  </si>
  <si>
    <t>-69.96%</t>
  </si>
  <si>
    <t>Franklin Electric Co., Inc</t>
  </si>
  <si>
    <t>78.87 - 111.94</t>
  </si>
  <si>
    <t>9951.73%</t>
  </si>
  <si>
    <t>Apyx Medical Corp</t>
  </si>
  <si>
    <t>163.44%</t>
  </si>
  <si>
    <t>0.76 - 2.73</t>
  </si>
  <si>
    <t>430.67%</t>
  </si>
  <si>
    <t>BlackLine Inc</t>
  </si>
  <si>
    <t>96.74%</t>
  </si>
  <si>
    <t>75.22%</t>
  </si>
  <si>
    <t>40.82 - 66.25</t>
  </si>
  <si>
    <t>-65.85%</t>
  </si>
  <si>
    <t>AMN Healthcare Services Inc</t>
  </si>
  <si>
    <t>103.19%</t>
  </si>
  <si>
    <t>14.86 - 43.33</t>
  </si>
  <si>
    <t>-85.62%</t>
  </si>
  <si>
    <t>415.83%</t>
  </si>
  <si>
    <t>Pennymac Mortgage Investment Trust</t>
  </si>
  <si>
    <t>116.98%</t>
  </si>
  <si>
    <t>73.19%</t>
  </si>
  <si>
    <t>-111.22%</t>
  </si>
  <si>
    <t>11.70 - 14.93</t>
  </si>
  <si>
    <t>245.43%</t>
  </si>
  <si>
    <t>Grace Therapeutics Inc</t>
  </si>
  <si>
    <t>1.75 - 4.97</t>
  </si>
  <si>
    <t>Skillz Inc</t>
  </si>
  <si>
    <t>56.65%</t>
  </si>
  <si>
    <t>3.54 - 9.11</t>
  </si>
  <si>
    <t>Aviat Networks Inc</t>
  </si>
  <si>
    <t>-61.20%</t>
  </si>
  <si>
    <t>12.95 - 26.83</t>
  </si>
  <si>
    <t>685.54%</t>
  </si>
  <si>
    <t>Shenandoah Telecommunications Co</t>
  </si>
  <si>
    <t>11/5/2024</t>
  </si>
  <si>
    <t>9.77 - 16.28</t>
  </si>
  <si>
    <t>1102.12%</t>
  </si>
  <si>
    <t>5E Advanced Materials Inc</t>
  </si>
  <si>
    <t>-2437.88%</t>
  </si>
  <si>
    <t>-32.47%</t>
  </si>
  <si>
    <t>-85.35%</t>
  </si>
  <si>
    <t>2.82 - 24.84</t>
  </si>
  <si>
    <t>-61.25%</t>
  </si>
  <si>
    <t>Matson Inc</t>
  </si>
  <si>
    <t>91.75 - 169.12</t>
  </si>
  <si>
    <t>2977.12%</t>
  </si>
  <si>
    <t>CNA Financial Corp</t>
  </si>
  <si>
    <t>99.59%</t>
  </si>
  <si>
    <t>43.29 - 51.34</t>
  </si>
  <si>
    <t>1065.98%</t>
  </si>
  <si>
    <t>MetroCity Bankshares Inc</t>
  </si>
  <si>
    <t>24.24 - 36.15</t>
  </si>
  <si>
    <t>378.50%</t>
  </si>
  <si>
    <t>Lindsay Corporation</t>
  </si>
  <si>
    <t>97.35%</t>
  </si>
  <si>
    <t>101.45%</t>
  </si>
  <si>
    <t>112.14 - 150.96</t>
  </si>
  <si>
    <t>10336.85%</t>
  </si>
  <si>
    <t>Guggenheim Active Allocation Fund</t>
  </si>
  <si>
    <t>13.90 - 16.67</t>
  </si>
  <si>
    <t>Spectrum Brands Holdings Inc</t>
  </si>
  <si>
    <t>111.09%</t>
  </si>
  <si>
    <t>50.73 - 96.62</t>
  </si>
  <si>
    <t>-92.97%</t>
  </si>
  <si>
    <t>599.33%</t>
  </si>
  <si>
    <t>Creative Media &amp; Community Trust</t>
  </si>
  <si>
    <t>7/8/2024</t>
  </si>
  <si>
    <t>-49.80%</t>
  </si>
  <si>
    <t>4.03 - 187.50</t>
  </si>
  <si>
    <t>60 Degrees Pharmaceuticals Inc</t>
  </si>
  <si>
    <t>120.67%</t>
  </si>
  <si>
    <t>-52.49%</t>
  </si>
  <si>
    <t>144.93%</t>
  </si>
  <si>
    <t>-791.84%</t>
  </si>
  <si>
    <t>-852.36%</t>
  </si>
  <si>
    <t>-50.30%</t>
  </si>
  <si>
    <t>1.22 - 12.45</t>
  </si>
  <si>
    <t>BeyondSpring Inc</t>
  </si>
  <si>
    <t>-908.96%</t>
  </si>
  <si>
    <t>-829.85%</t>
  </si>
  <si>
    <t>0.98 - 3.44</t>
  </si>
  <si>
    <t>-96.39%</t>
  </si>
  <si>
    <t>222.88%</t>
  </si>
  <si>
    <t>Generation Income Properties Inc</t>
  </si>
  <si>
    <t>-42.58%</t>
  </si>
  <si>
    <t>-353.13%</t>
  </si>
  <si>
    <t>-105.61%</t>
  </si>
  <si>
    <t>-36.95%</t>
  </si>
  <si>
    <t>-56.39%</t>
  </si>
  <si>
    <t>0.78 - 2.27</t>
  </si>
  <si>
    <t>Stride Inc</t>
  </si>
  <si>
    <t>58.07%</t>
  </si>
  <si>
    <t>109.97%</t>
  </si>
  <si>
    <t>132.21%</t>
  </si>
  <si>
    <t>63.25 - 171.17</t>
  </si>
  <si>
    <t>1965.68%</t>
  </si>
  <si>
    <t>Biomerica Inc</t>
  </si>
  <si>
    <t>2.08 - 10.16</t>
  </si>
  <si>
    <t>-98.45%</t>
  </si>
  <si>
    <t>Mesa Laboratories, Inc</t>
  </si>
  <si>
    <t>-58.34%</t>
  </si>
  <si>
    <t>55.45 - 155.12</t>
  </si>
  <si>
    <t>-80.62%</t>
  </si>
  <si>
    <t>27198.04%</t>
  </si>
  <si>
    <t>SBC Medical Group Holdings Inc</t>
  </si>
  <si>
    <t>262.66%</t>
  </si>
  <si>
    <t>-85.19%</t>
  </si>
  <si>
    <t>2.62 - 10.25</t>
  </si>
  <si>
    <t>-88.42%</t>
  </si>
  <si>
    <t>Peakstone Realty Trust</t>
  </si>
  <si>
    <t>-14986.60%</t>
  </si>
  <si>
    <t>51.05%</t>
  </si>
  <si>
    <t>-145.77%</t>
  </si>
  <si>
    <t>10.14 - 14.80</t>
  </si>
  <si>
    <t>Townebank Portsmouth VA</t>
  </si>
  <si>
    <t>29.43 - 38.28</t>
  </si>
  <si>
    <t>764.45%</t>
  </si>
  <si>
    <t>United Homes Group Inc</t>
  </si>
  <si>
    <t>142.90%</t>
  </si>
  <si>
    <t>148.75%</t>
  </si>
  <si>
    <t>1.60 - 6.93</t>
  </si>
  <si>
    <t>-34.75%</t>
  </si>
  <si>
    <t>Flora Growth Corp</t>
  </si>
  <si>
    <t>87.83%</t>
  </si>
  <si>
    <t>15.15 - 82.29</t>
  </si>
  <si>
    <t>V2X Inc</t>
  </si>
  <si>
    <t>41.08 - 69.75</t>
  </si>
  <si>
    <t>333.48%</t>
  </si>
  <si>
    <t>Silvercrest Asset Management Group Inc</t>
  </si>
  <si>
    <t>77.98%</t>
  </si>
  <si>
    <t>13.54 - 19.20</t>
  </si>
  <si>
    <t>156.84%</t>
  </si>
  <si>
    <t>Amaze Holdings Inc</t>
  </si>
  <si>
    <t>1134.16%</t>
  </si>
  <si>
    <t>-698.53%</t>
  </si>
  <si>
    <t>-738.15%</t>
  </si>
  <si>
    <t>1.57 - 28.72</t>
  </si>
  <si>
    <t>-76.91%</t>
  </si>
  <si>
    <t>Innovate Corp</t>
  </si>
  <si>
    <t>8/28/2013</t>
  </si>
  <si>
    <t>-29.46%</t>
  </si>
  <si>
    <t>-65.01%</t>
  </si>
  <si>
    <t>3.25 - 13.79</t>
  </si>
  <si>
    <t>-96.37%</t>
  </si>
  <si>
    <t>CF Bankshares Inc</t>
  </si>
  <si>
    <t>19.22 - 31.17</t>
  </si>
  <si>
    <t>-95.08%</t>
  </si>
  <si>
    <t>302.81%</t>
  </si>
  <si>
    <t>Canterbury Park Holding Corp</t>
  </si>
  <si>
    <t>66.68%</t>
  </si>
  <si>
    <t>16.05 - 22.93</t>
  </si>
  <si>
    <t>1405.41%</t>
  </si>
  <si>
    <t>GCI Liberty Inc</t>
  </si>
  <si>
    <t>28.00 - 38.98</t>
  </si>
  <si>
    <t>Virginia National Bankshares Corp</t>
  </si>
  <si>
    <t>33.66 - 44.57</t>
  </si>
  <si>
    <t>281.63%</t>
  </si>
  <si>
    <t>Bridgeline Digital Inc</t>
  </si>
  <si>
    <t>-23.28%</t>
  </si>
  <si>
    <t>1.05 - 2.80</t>
  </si>
  <si>
    <t>150.80%</t>
  </si>
  <si>
    <t>Enliven Therapeutics Inc</t>
  </si>
  <si>
    <t>13.30 - 30.03</t>
  </si>
  <si>
    <t>386.70%</t>
  </si>
  <si>
    <t>City Holding Co</t>
  </si>
  <si>
    <t>102.22 - 137.28</t>
  </si>
  <si>
    <t>2447.49%</t>
  </si>
  <si>
    <t>Evertec Inc</t>
  </si>
  <si>
    <t>31.41 - 38.56</t>
  </si>
  <si>
    <t>201.46%</t>
  </si>
  <si>
    <t>Greenland Technologies Holding Corp</t>
  </si>
  <si>
    <t>1.14 - 2.92</t>
  </si>
  <si>
    <t>First Internet Bancorp</t>
  </si>
  <si>
    <t>19.54 - 43.26</t>
  </si>
  <si>
    <t>748.94%</t>
  </si>
  <si>
    <t>DLH Holdings Corp</t>
  </si>
  <si>
    <t>103.31%</t>
  </si>
  <si>
    <t>2.72 - 9.61</t>
  </si>
  <si>
    <t>1436.11%</t>
  </si>
  <si>
    <t>Global Partners LP</t>
  </si>
  <si>
    <t>118.65%</t>
  </si>
  <si>
    <t>43.20 - 60.00</t>
  </si>
  <si>
    <t>776.34%</t>
  </si>
  <si>
    <t>Coca-Cola Consolidated Inc</t>
  </si>
  <si>
    <t>120.54%</t>
  </si>
  <si>
    <t>105.21 - 146.09</t>
  </si>
  <si>
    <t>7768.55%</t>
  </si>
  <si>
    <t>MiNK Therapeutics Inc</t>
  </si>
  <si>
    <t>-81.63%</t>
  </si>
  <si>
    <t>206.13%</t>
  </si>
  <si>
    <t>4.56 - 76.00</t>
  </si>
  <si>
    <t>-93.70%</t>
  </si>
  <si>
    <t>Graco Inc</t>
  </si>
  <si>
    <t>72.06 - 92.86</t>
  </si>
  <si>
    <t>51537.01%</t>
  </si>
  <si>
    <t>Weyco Group, Inc</t>
  </si>
  <si>
    <t>45.20%</t>
  </si>
  <si>
    <t>25.51 - 38.94</t>
  </si>
  <si>
    <t>2584.63%</t>
  </si>
  <si>
    <t>Greenlane Holdings Inc</t>
  </si>
  <si>
    <t>79.71%</t>
  </si>
  <si>
    <t>-40.96%</t>
  </si>
  <si>
    <t>-137.24%</t>
  </si>
  <si>
    <t>-246.59%</t>
  </si>
  <si>
    <t>2.84 - 4102.50</t>
  </si>
  <si>
    <t>Princeton Bancorp Inc</t>
  </si>
  <si>
    <t>77.56%</t>
  </si>
  <si>
    <t>385.71%</t>
  </si>
  <si>
    <t>27.25 - 39.35</t>
  </si>
  <si>
    <t>83.94%</t>
  </si>
  <si>
    <t>Stellar Bancorp Inc</t>
  </si>
  <si>
    <t>24.12 - 32.38</t>
  </si>
  <si>
    <t>Singularity Future Technology Ltd</t>
  </si>
  <si>
    <t>-177.40%</t>
  </si>
  <si>
    <t>-171.17%</t>
  </si>
  <si>
    <t>99.85%</t>
  </si>
  <si>
    <t>0.54 - 5.49</t>
  </si>
  <si>
    <t>Nerdy Inc</t>
  </si>
  <si>
    <t>-317.67%</t>
  </si>
  <si>
    <t>-39.75%</t>
  </si>
  <si>
    <t>0.75 - 2.18</t>
  </si>
  <si>
    <t>-90.22%</t>
  </si>
  <si>
    <t>81.52%</t>
  </si>
  <si>
    <t>36.19%</t>
  </si>
  <si>
    <t>Blackboxstocks Inc</t>
  </si>
  <si>
    <t>-156.13%</t>
  </si>
  <si>
    <t>-163.68%</t>
  </si>
  <si>
    <t>1.51 - 9.50</t>
  </si>
  <si>
    <t>2479.17%</t>
  </si>
  <si>
    <t>138.08%</t>
  </si>
  <si>
    <t>Innsuites Hospitality Trust</t>
  </si>
  <si>
    <t>1.70 - 4.24</t>
  </si>
  <si>
    <t>-90.47%</t>
  </si>
  <si>
    <t>298.91%</t>
  </si>
  <si>
    <t>NL Industries, Inc</t>
  </si>
  <si>
    <t>5.12 - 9.11</t>
  </si>
  <si>
    <t>-72.30%</t>
  </si>
  <si>
    <t>371.69%</t>
  </si>
  <si>
    <t>Illinois Tool Works, Inc</t>
  </si>
  <si>
    <t>214.66 - 279.13</t>
  </si>
  <si>
    <t>19476.16%</t>
  </si>
  <si>
    <t>Minerva Neurosciences Inc</t>
  </si>
  <si>
    <t>81.65%</t>
  </si>
  <si>
    <t>1.15 - 2.83</t>
  </si>
  <si>
    <t>-98.35%</t>
  </si>
  <si>
    <t>Allurion Technologies Inc</t>
  </si>
  <si>
    <t>-618.79%</t>
  </si>
  <si>
    <t>-124.33%</t>
  </si>
  <si>
    <t>-199.78%</t>
  </si>
  <si>
    <t>-40.58%</t>
  </si>
  <si>
    <t>-89.30%</t>
  </si>
  <si>
    <t>1.98 - 20.00</t>
  </si>
  <si>
    <t>MediaCo Holding Inc</t>
  </si>
  <si>
    <t>165.75%</t>
  </si>
  <si>
    <t>-42.76%</t>
  </si>
  <si>
    <t>0.79 - 2.28</t>
  </si>
  <si>
    <t>-92.50%</t>
  </si>
  <si>
    <t>226.25%</t>
  </si>
  <si>
    <t>Cel-Sci Corp</t>
  </si>
  <si>
    <t>127.42%</t>
  </si>
  <si>
    <t>-74.31%</t>
  </si>
  <si>
    <t>1.98 - 33.90</t>
  </si>
  <si>
    <t>262.92%</t>
  </si>
  <si>
    <t>Compx International, Inc</t>
  </si>
  <si>
    <t>17.32 - 32.34</t>
  </si>
  <si>
    <t>558.47%</t>
  </si>
  <si>
    <t>Zedge Inc</t>
  </si>
  <si>
    <t>1.73 - 4.89</t>
  </si>
  <si>
    <t>-84.55%</t>
  </si>
  <si>
    <t>365.70%</t>
  </si>
  <si>
    <t>Nexgel Inc</t>
  </si>
  <si>
    <t>133.00%</t>
  </si>
  <si>
    <t>-53.73%</t>
  </si>
  <si>
    <t>2.10 - 5.10</t>
  </si>
  <si>
    <t>116.51%</t>
  </si>
  <si>
    <t>Vera Bradley Inc</t>
  </si>
  <si>
    <t>1.71 - 5.99</t>
  </si>
  <si>
    <t>Yunhong Green CTI Ltd</t>
  </si>
  <si>
    <t>7/14/2011</t>
  </si>
  <si>
    <t>0.43 - 1.27</t>
  </si>
  <si>
    <t>-96.66%</t>
  </si>
  <si>
    <t>International Bancshares Corp</t>
  </si>
  <si>
    <t>54.11 - 76.91</t>
  </si>
  <si>
    <t>1696.46%</t>
  </si>
  <si>
    <t>Vail Resorts Inc</t>
  </si>
  <si>
    <t>141.02%</t>
  </si>
  <si>
    <t>110.93%</t>
  </si>
  <si>
    <t>129.85 - 199.45</t>
  </si>
  <si>
    <t>-60.51%</t>
  </si>
  <si>
    <t>1358.10%</t>
  </si>
  <si>
    <t>Netcapital Inc</t>
  </si>
  <si>
    <t>-361.36%</t>
  </si>
  <si>
    <t>-995.78%</t>
  </si>
  <si>
    <t>-3206.86%</t>
  </si>
  <si>
    <t>1.41 - 8.75</t>
  </si>
  <si>
    <t>NextTrip Inc</t>
  </si>
  <si>
    <t>-774.37%</t>
  </si>
  <si>
    <t>-2237.37%</t>
  </si>
  <si>
    <t>-2819.97%</t>
  </si>
  <si>
    <t>158.84%</t>
  </si>
  <si>
    <t>1.38 - 8.50</t>
  </si>
  <si>
    <t>Fonar Corp</t>
  </si>
  <si>
    <t>46.35%</t>
  </si>
  <si>
    <t>12.00 - 17.98</t>
  </si>
  <si>
    <t>-93.48%</t>
  </si>
  <si>
    <t>2371.39%</t>
  </si>
  <si>
    <t>Strattec Security Corp</t>
  </si>
  <si>
    <t>92.52%</t>
  </si>
  <si>
    <t>31.57 - 83.00</t>
  </si>
  <si>
    <t>1015.92%</t>
  </si>
  <si>
    <t>Watsco Inc</t>
  </si>
  <si>
    <t>81.20%</t>
  </si>
  <si>
    <t>378.35 - 571.41</t>
  </si>
  <si>
    <t>26065.68%</t>
  </si>
  <si>
    <t>RBC Bearings Inc</t>
  </si>
  <si>
    <t>70.16%</t>
  </si>
  <si>
    <t>272.50 - 416.33</t>
  </si>
  <si>
    <t>3133.18%</t>
  </si>
  <si>
    <t>Newton Golf Co Inc</t>
  </si>
  <si>
    <t>-206.28%</t>
  </si>
  <si>
    <t>-106.30%</t>
  </si>
  <si>
    <t>304.51%</t>
  </si>
  <si>
    <t>158.26%</t>
  </si>
  <si>
    <t>154.37%</t>
  </si>
  <si>
    <t>343.28%</t>
  </si>
  <si>
    <t>-107.77%</t>
  </si>
  <si>
    <t>-186.98%</t>
  </si>
  <si>
    <t>1.35 - 119.10</t>
  </si>
  <si>
    <t>Siebert Financial Corp</t>
  </si>
  <si>
    <t>10/11/2016</t>
  </si>
  <si>
    <t>-49.39%</t>
  </si>
  <si>
    <t>2.08 - 5.77</t>
  </si>
  <si>
    <t>238.35%</t>
  </si>
  <si>
    <t>Perma-Fix Environmental Services, Inc</t>
  </si>
  <si>
    <t>6.25 - 16.25</t>
  </si>
  <si>
    <t>443.89%</t>
  </si>
  <si>
    <t>Lendway Inc</t>
  </si>
  <si>
    <t>1/9/2017</t>
  </si>
  <si>
    <t>3.02 - 6.19</t>
  </si>
  <si>
    <t>-87.79%</t>
  </si>
  <si>
    <t>460.79%</t>
  </si>
  <si>
    <t>Sky Harbour Group Corporation</t>
  </si>
  <si>
    <t>110.70%</t>
  </si>
  <si>
    <t>82.09%</t>
  </si>
  <si>
    <t>-117.51%</t>
  </si>
  <si>
    <t>-100.27%</t>
  </si>
  <si>
    <t>9.28 - 14.52</t>
  </si>
  <si>
    <t>302.40%</t>
  </si>
  <si>
    <t>Intrusion Inc</t>
  </si>
  <si>
    <t>-118.92%</t>
  </si>
  <si>
    <t>-119.32%</t>
  </si>
  <si>
    <t>391.50%</t>
  </si>
  <si>
    <t>0.35 - 7.34</t>
  </si>
  <si>
    <t>111.59%</t>
  </si>
  <si>
    <t>Anterix Inc</t>
  </si>
  <si>
    <t>336.84%</t>
  </si>
  <si>
    <t>89.75%</t>
  </si>
  <si>
    <t>-771.37%</t>
  </si>
  <si>
    <t>495.14%</t>
  </si>
  <si>
    <t>20.61 - 42.91</t>
  </si>
  <si>
    <t>NVE Corp</t>
  </si>
  <si>
    <t>82.37%</t>
  </si>
  <si>
    <t>51.50 - 88.50</t>
  </si>
  <si>
    <t>-51.56%</t>
  </si>
  <si>
    <t>9961.54%</t>
  </si>
  <si>
    <t>Quoin Pharmaceuticals Ltd ADR</t>
  </si>
  <si>
    <t>-421.27%</t>
  </si>
  <si>
    <t>-144.01%</t>
  </si>
  <si>
    <t>-86.68%</t>
  </si>
  <si>
    <t>5.01 - 54.95</t>
  </si>
  <si>
    <t>-59.04%</t>
  </si>
  <si>
    <t>Ethan Allen Interiors, Inc</t>
  </si>
  <si>
    <t>77.50%</t>
  </si>
  <si>
    <t>24.35 - 32.34</t>
  </si>
  <si>
    <t>594.70%</t>
  </si>
  <si>
    <t>South Plains Financial Inc</t>
  </si>
  <si>
    <t>30.01 - 42.38</t>
  </si>
  <si>
    <t>246.77%</t>
  </si>
  <si>
    <t>Asure Software Inc</t>
  </si>
  <si>
    <t>54.32%</t>
  </si>
  <si>
    <t>7.51 - 12.74</t>
  </si>
  <si>
    <t>Capital Southwest Corp</t>
  </si>
  <si>
    <t>157.40%</t>
  </si>
  <si>
    <t>17.41 - 25.70</t>
  </si>
  <si>
    <t>5423.93%</t>
  </si>
  <si>
    <t>Bio-Key International Inc</t>
  </si>
  <si>
    <t>-54.00%</t>
  </si>
  <si>
    <t>0.52 - 3.68</t>
  </si>
  <si>
    <t>Good Times Restaurants Inc</t>
  </si>
  <si>
    <t>1.34 - 3.00</t>
  </si>
  <si>
    <t>-96.96%</t>
  </si>
  <si>
    <t>254.49%</t>
  </si>
  <si>
    <t>Pixelworks Inc</t>
  </si>
  <si>
    <t>-44.05%</t>
  </si>
  <si>
    <t>-82.37%</t>
  </si>
  <si>
    <t>4.67 - 15.03</t>
  </si>
  <si>
    <t>Evolution Petroleum Corporation</t>
  </si>
  <si>
    <t>1445.78%</t>
  </si>
  <si>
    <t>900.00%</t>
  </si>
  <si>
    <t>4.05 - 6.14</t>
  </si>
  <si>
    <t>3037.50%</t>
  </si>
  <si>
    <t>Fatpipe Inc</t>
  </si>
  <si>
    <t>5.39 - 23.27</t>
  </si>
  <si>
    <t>Radiant Logistics, Inc</t>
  </si>
  <si>
    <t>-26.02%</t>
  </si>
  <si>
    <t>5.44 - 7.94</t>
  </si>
  <si>
    <t>10066.67%</t>
  </si>
  <si>
    <t>Alto Ingredients Inc</t>
  </si>
  <si>
    <t>-42.86%</t>
  </si>
  <si>
    <t>0.76 - 2.05</t>
  </si>
  <si>
    <t>386.36%</t>
  </si>
  <si>
    <t>Manhattan Associates, Inc</t>
  </si>
  <si>
    <t>102.21%</t>
  </si>
  <si>
    <t>140.81 - 312.60</t>
  </si>
  <si>
    <t>24066.86%</t>
  </si>
  <si>
    <t>JBT Marel Corp</t>
  </si>
  <si>
    <t>90.08 - 148.76</t>
  </si>
  <si>
    <t>2237.69%</t>
  </si>
  <si>
    <t>Immersion Corp</t>
  </si>
  <si>
    <t>76.57%</t>
  </si>
  <si>
    <t>3828.94%</t>
  </si>
  <si>
    <t>982.77%</t>
  </si>
  <si>
    <t>640.26%</t>
  </si>
  <si>
    <t>49.65%</t>
  </si>
  <si>
    <t>6.47 - 10.42</t>
  </si>
  <si>
    <t>650.23%</t>
  </si>
  <si>
    <t>23.03 - 31.37</t>
  </si>
  <si>
    <t>176.81%</t>
  </si>
  <si>
    <t>MultiSensor AI Holdings Inc</t>
  </si>
  <si>
    <t>-238.69%</t>
  </si>
  <si>
    <t>-341.73%</t>
  </si>
  <si>
    <t>-338.72%</t>
  </si>
  <si>
    <t>-79.02%</t>
  </si>
  <si>
    <t>0.52 - 3.33</t>
  </si>
  <si>
    <t>-40.79%</t>
  </si>
  <si>
    <t>Shutterstock Inc</t>
  </si>
  <si>
    <t>119.08%</t>
  </si>
  <si>
    <t>14.35 - 38.80</t>
  </si>
  <si>
    <t>-83.97%</t>
  </si>
  <si>
    <t>Onewater Marine Inc</t>
  </si>
  <si>
    <t>6/25/2021</t>
  </si>
  <si>
    <t>11.58 - 26.77</t>
  </si>
  <si>
    <t>383.71%</t>
  </si>
  <si>
    <t>Acacia Research Corp</t>
  </si>
  <si>
    <t>11/4/2015</t>
  </si>
  <si>
    <t>98.30%</t>
  </si>
  <si>
    <t>2.70 - 5.36</t>
  </si>
  <si>
    <t>-93.07%</t>
  </si>
  <si>
    <t>371.76%</t>
  </si>
  <si>
    <t>Sutro Biopharma Inc</t>
  </si>
  <si>
    <t>-38.31%</t>
  </si>
  <si>
    <t>147.98%</t>
  </si>
  <si>
    <t>59.59%</t>
  </si>
  <si>
    <t>-158.48%</t>
  </si>
  <si>
    <t>-199.76%</t>
  </si>
  <si>
    <t>0.52 - 4.60</t>
  </si>
  <si>
    <t>Definitive Healthcare Corp</t>
  </si>
  <si>
    <t>-124.43%</t>
  </si>
  <si>
    <t>2.15 - 5.68</t>
  </si>
  <si>
    <t>Zevia PBC</t>
  </si>
  <si>
    <t>-49.02%</t>
  </si>
  <si>
    <t>164.45%</t>
  </si>
  <si>
    <t>0.96 - 4.99</t>
  </si>
  <si>
    <t>-85.46%</t>
  </si>
  <si>
    <t>313.66%</t>
  </si>
  <si>
    <t>137.76%</t>
  </si>
  <si>
    <t>Acme United Corp</t>
  </si>
  <si>
    <t>132.00%</t>
  </si>
  <si>
    <t>34.35 - 45.42</t>
  </si>
  <si>
    <t>4975.69%</t>
  </si>
  <si>
    <t>Venu Holding Corp</t>
  </si>
  <si>
    <t>-109.83%</t>
  </si>
  <si>
    <t>-219.75%</t>
  </si>
  <si>
    <t>-224.13%</t>
  </si>
  <si>
    <t>80.57%</t>
  </si>
  <si>
    <t>7.05 - 18.17</t>
  </si>
  <si>
    <t>Solesence Inc</t>
  </si>
  <si>
    <t>-79.86%</t>
  </si>
  <si>
    <t>164.79%</t>
  </si>
  <si>
    <t>1.26 - 16.56</t>
  </si>
  <si>
    <t>2123.33%</t>
  </si>
  <si>
    <t>108.44%</t>
  </si>
  <si>
    <t>Kiora Pharmaceuticals Inc</t>
  </si>
  <si>
    <t>2.25 - 4.18</t>
  </si>
  <si>
    <t>First Guaranty Bancshares Inc</t>
  </si>
  <si>
    <t>-205.00%</t>
  </si>
  <si>
    <t>6.55 - 15.25</t>
  </si>
  <si>
    <t>LENSAR Inc</t>
  </si>
  <si>
    <t>-673.20%</t>
  </si>
  <si>
    <t>-84.49%</t>
  </si>
  <si>
    <t>192.14%</t>
  </si>
  <si>
    <t>4.20 - 17.31</t>
  </si>
  <si>
    <t>581.67%</t>
  </si>
  <si>
    <t>177.60%</t>
  </si>
  <si>
    <t>Sotherly Hotels Inc</t>
  </si>
  <si>
    <t>12/12/2019</t>
  </si>
  <si>
    <t>0.59 - 1.54</t>
  </si>
  <si>
    <t>-35.11%</t>
  </si>
  <si>
    <t>Cantor Equity Partners I Inc</t>
  </si>
  <si>
    <t>-306.20%</t>
  </si>
  <si>
    <t>10.04 - 16.50</t>
  </si>
  <si>
    <t>Columbus Mckinnon Corp</t>
  </si>
  <si>
    <t>93.96%</t>
  </si>
  <si>
    <t>11.78 - 41.05</t>
  </si>
  <si>
    <t>1021.92%</t>
  </si>
  <si>
    <t>-56.55%</t>
  </si>
  <si>
    <t>Emerson Radio Corp</t>
  </si>
  <si>
    <t>10/1/2014</t>
  </si>
  <si>
    <t>53.82%</t>
  </si>
  <si>
    <t>0.28 - 0.81</t>
  </si>
  <si>
    <t>-87.23%</t>
  </si>
  <si>
    <t>305.71%</t>
  </si>
  <si>
    <t>Myseum Inc</t>
  </si>
  <si>
    <t>-53.88%</t>
  </si>
  <si>
    <t>-48.34%</t>
  </si>
  <si>
    <t>-22737.14%</t>
  </si>
  <si>
    <t>1.20 - 9.34</t>
  </si>
  <si>
    <t>-98.88%</t>
  </si>
  <si>
    <t>105.94%</t>
  </si>
  <si>
    <t>-40.74%</t>
  </si>
  <si>
    <t>Applied Industrial Technologies Inc</t>
  </si>
  <si>
    <t>75.02%</t>
  </si>
  <si>
    <t>199.96 - 282.98</t>
  </si>
  <si>
    <t>10365.22%</t>
  </si>
  <si>
    <t>LSB Industries, Inc</t>
  </si>
  <si>
    <t>-70.99%</t>
  </si>
  <si>
    <t>4.88 - 9.68</t>
  </si>
  <si>
    <t>-78.92%</t>
  </si>
  <si>
    <t>2666.40%</t>
  </si>
  <si>
    <t>Atricure Inc</t>
  </si>
  <si>
    <t>25.57 - 43.11</t>
  </si>
  <si>
    <t>3419.50%</t>
  </si>
  <si>
    <t>29.00 - 39.14</t>
  </si>
  <si>
    <t>Live Oak Acquisition Corp. V</t>
  </si>
  <si>
    <t>72.41%</t>
  </si>
  <si>
    <t>9.80 - 11.67</t>
  </si>
  <si>
    <t>Atkore Inc</t>
  </si>
  <si>
    <t>99.55%</t>
  </si>
  <si>
    <t>49.92 - 105.28</t>
  </si>
  <si>
    <t>453.92%</t>
  </si>
  <si>
    <t>Fluent Inc</t>
  </si>
  <si>
    <t>-45.57%</t>
  </si>
  <si>
    <t>1.50 - 3.79</t>
  </si>
  <si>
    <t>OLB Group Inc</t>
  </si>
  <si>
    <t>-60.38%</t>
  </si>
  <si>
    <t>0.95 - 3.18</t>
  </si>
  <si>
    <t>320.00%</t>
  </si>
  <si>
    <t>-40.57%</t>
  </si>
  <si>
    <t>Pulmonx Corp</t>
  </si>
  <si>
    <t>72.96%</t>
  </si>
  <si>
    <t>-62.88%</t>
  </si>
  <si>
    <t>1.47 - 9.37</t>
  </si>
  <si>
    <t>-34.23%</t>
  </si>
  <si>
    <t>-74.82%</t>
  </si>
  <si>
    <t>-79.52%</t>
  </si>
  <si>
    <t>Apogee Therapeutics Inc</t>
  </si>
  <si>
    <t>-105.02%</t>
  </si>
  <si>
    <t>26.20 - 63.50</t>
  </si>
  <si>
    <t>-48.69%</t>
  </si>
  <si>
    <t>161.37%</t>
  </si>
  <si>
    <t>Zentalis Pharmaceuticals Inc</t>
  </si>
  <si>
    <t>96.05%</t>
  </si>
  <si>
    <t>-633.83%</t>
  </si>
  <si>
    <t>-605.93%</t>
  </si>
  <si>
    <t>-65.88%</t>
  </si>
  <si>
    <t>-98.26%</t>
  </si>
  <si>
    <t>-62.31%</t>
  </si>
  <si>
    <t>Cyclerion Therapeutics Inc</t>
  </si>
  <si>
    <t>-172.72%</t>
  </si>
  <si>
    <t>-89.51%</t>
  </si>
  <si>
    <t>1.27 - 9.47</t>
  </si>
  <si>
    <t>EverQuote Inc</t>
  </si>
  <si>
    <t>96.57%</t>
  </si>
  <si>
    <t>16.63 - 30.03</t>
  </si>
  <si>
    <t>-62.64%</t>
  </si>
  <si>
    <t>485.19%</t>
  </si>
  <si>
    <t>Apimeds Pharmaceuticals US Inc</t>
  </si>
  <si>
    <t>-54.25%</t>
  </si>
  <si>
    <t>1.37 - 4.00</t>
  </si>
  <si>
    <t>FAT Brands Inc</t>
  </si>
  <si>
    <t>11/15/2024</t>
  </si>
  <si>
    <t>-75.24%</t>
  </si>
  <si>
    <t>-166.60%</t>
  </si>
  <si>
    <t>-32.11%</t>
  </si>
  <si>
    <t>1.75 - 4.10</t>
  </si>
  <si>
    <t>386.82%</t>
  </si>
  <si>
    <t>Chicago Rivet &amp; Machine Co</t>
  </si>
  <si>
    <t>8.15 - 22.27</t>
  </si>
  <si>
    <t>84.45%</t>
  </si>
  <si>
    <t>Sanfilippo (John B.) &amp; Son, Inc</t>
  </si>
  <si>
    <t>57.92 - 96.55</t>
  </si>
  <si>
    <t>4798.78%</t>
  </si>
  <si>
    <t>ATN International Inc</t>
  </si>
  <si>
    <t>-25.49%</t>
  </si>
  <si>
    <t>-83.61%</t>
  </si>
  <si>
    <t>-53.62%</t>
  </si>
  <si>
    <t>13.76 - 33.72</t>
  </si>
  <si>
    <t>-82.38%</t>
  </si>
  <si>
    <t>551.67%</t>
  </si>
  <si>
    <t>Smith Micro Software, Inc</t>
  </si>
  <si>
    <t>-207.94%</t>
  </si>
  <si>
    <t>-114.49%</t>
  </si>
  <si>
    <t>-166.15%</t>
  </si>
  <si>
    <t>-25.08%</t>
  </si>
  <si>
    <t>0.60 - 1.95</t>
  </si>
  <si>
    <t>Employers Holdings Inc</t>
  </si>
  <si>
    <t>38.19 - 54.44</t>
  </si>
  <si>
    <t>454.57%</t>
  </si>
  <si>
    <t>Exponent Inc</t>
  </si>
  <si>
    <t>63.81 - 115.75</t>
  </si>
  <si>
    <t>14306.19%</t>
  </si>
  <si>
    <t>Unisys Corp</t>
  </si>
  <si>
    <t>-55.94%</t>
  </si>
  <si>
    <t>3.56 - 8.93</t>
  </si>
  <si>
    <t>Rein Therapeutics Inc</t>
  </si>
  <si>
    <t>31.90%</t>
  </si>
  <si>
    <t>1.04 - 4.40</t>
  </si>
  <si>
    <t>Artesian Resources Corp</t>
  </si>
  <si>
    <t>29.45 - 37.35</t>
  </si>
  <si>
    <t>405.09%</t>
  </si>
  <si>
    <t>MAIA Biotechnology Inc</t>
  </si>
  <si>
    <t>-55.36%</t>
  </si>
  <si>
    <t>1.40 - 3.48</t>
  </si>
  <si>
    <t>-44.52%</t>
  </si>
  <si>
    <t>Greene County Bancorp Inc</t>
  </si>
  <si>
    <t>20.00 - 35.34</t>
  </si>
  <si>
    <t>2468.24%</t>
  </si>
  <si>
    <t>Wesco International, Inc</t>
  </si>
  <si>
    <t>100.70%</t>
  </si>
  <si>
    <t>68.84%</t>
  </si>
  <si>
    <t>125.21 - 228.35</t>
  </si>
  <si>
    <t>7317.53%</t>
  </si>
  <si>
    <t>Vitesse Energy Inc</t>
  </si>
  <si>
    <t>324.22%</t>
  </si>
  <si>
    <t>205.18%</t>
  </si>
  <si>
    <t>29.40%</t>
  </si>
  <si>
    <t>18.90 - 28.41</t>
  </si>
  <si>
    <t>75.95%</t>
  </si>
  <si>
    <t>Sunoco LP</t>
  </si>
  <si>
    <t>47.98 - 59.88</t>
  </si>
  <si>
    <t>381.26%</t>
  </si>
  <si>
    <t>PEDEVCO Corp</t>
  </si>
  <si>
    <t>-43.46%</t>
  </si>
  <si>
    <t>0.47 - 1.04</t>
  </si>
  <si>
    <t>128.64%</t>
  </si>
  <si>
    <t>ChargePoint Holdings Inc</t>
  </si>
  <si>
    <t>-66.76%</t>
  </si>
  <si>
    <t>-64.17%</t>
  </si>
  <si>
    <t>8.55 - 30.00</t>
  </si>
  <si>
    <t>NexPoint Diversified Real Estate Trust</t>
  </si>
  <si>
    <t>-94.95%</t>
  </si>
  <si>
    <t>3.12 - 7.60</t>
  </si>
  <si>
    <t>-91.97%</t>
  </si>
  <si>
    <t>MSA Safety Inc</t>
  </si>
  <si>
    <t>137.30%</t>
  </si>
  <si>
    <t>127.86 - 182.85</t>
  </si>
  <si>
    <t>7996.36%</t>
  </si>
  <si>
    <t>NewtekOne Inc</t>
  </si>
  <si>
    <t>-37.75%</t>
  </si>
  <si>
    <t>9.12 - 15.49</t>
  </si>
  <si>
    <t>28757.23%</t>
  </si>
  <si>
    <t>Yorkville Acquisition Corp</t>
  </si>
  <si>
    <t>10.30 - 11.88</t>
  </si>
  <si>
    <t>Hercules Capital Inc</t>
  </si>
  <si>
    <t>120.03%</t>
  </si>
  <si>
    <t>15.53 - 21.80</t>
  </si>
  <si>
    <t>519.23%</t>
  </si>
  <si>
    <t>Reinsurance Group Of America, Inc</t>
  </si>
  <si>
    <t>Insurance - Reinsurance</t>
  </si>
  <si>
    <t>98.56%</t>
  </si>
  <si>
    <t>159.25 - 233.81</t>
  </si>
  <si>
    <t>1844.67%</t>
  </si>
  <si>
    <t>United-Guardian, Inc</t>
  </si>
  <si>
    <t>53.32%</t>
  </si>
  <si>
    <t>7.58 - 16.00</t>
  </si>
  <si>
    <t>-76.79%</t>
  </si>
  <si>
    <t>518.43%</t>
  </si>
  <si>
    <t>Summit Midstream Corp</t>
  </si>
  <si>
    <t>19.13 - 45.89</t>
  </si>
  <si>
    <t>196.67%</t>
  </si>
  <si>
    <t>Sila Realty Trust Inc</t>
  </si>
  <si>
    <t>106.29%</t>
  </si>
  <si>
    <t>83.24%</t>
  </si>
  <si>
    <t>22.52 - 27.50</t>
  </si>
  <si>
    <t>Massimo Group</t>
  </si>
  <si>
    <t>-40.77%</t>
  </si>
  <si>
    <t>1.84 - 4.66</t>
  </si>
  <si>
    <t>Sierra Bancorp</t>
  </si>
  <si>
    <t>22.42 - 35.13</t>
  </si>
  <si>
    <t>425.54%</t>
  </si>
  <si>
    <t>Kaiser Aluminum Corp</t>
  </si>
  <si>
    <t>107.40%</t>
  </si>
  <si>
    <t>46.81 - 97.00</t>
  </si>
  <si>
    <t>405.40%</t>
  </si>
  <si>
    <t>FibroBiologics Inc</t>
  </si>
  <si>
    <t>-91.03%</t>
  </si>
  <si>
    <t>-85.76%</t>
  </si>
  <si>
    <t>0.51 - 3.89</t>
  </si>
  <si>
    <t>Transdigm Group Incorporated</t>
  </si>
  <si>
    <t>96.94%</t>
  </si>
  <si>
    <t>1107.45 - 1519.35</t>
  </si>
  <si>
    <t>16585.39%</t>
  </si>
  <si>
    <t>Spectral AI Inc</t>
  </si>
  <si>
    <t>-132.56%</t>
  </si>
  <si>
    <t>-321.20%</t>
  </si>
  <si>
    <t>-51.97%</t>
  </si>
  <si>
    <t>119.75%</t>
  </si>
  <si>
    <t>0.95 - 3.25</t>
  </si>
  <si>
    <t>-89.24%</t>
  </si>
  <si>
    <t>123.26%</t>
  </si>
  <si>
    <t>Ellington Credit Co</t>
  </si>
  <si>
    <t>343.72%</t>
  </si>
  <si>
    <t>271.03%</t>
  </si>
  <si>
    <t>97.44%</t>
  </si>
  <si>
    <t>51.32%</t>
  </si>
  <si>
    <t>4.32 - 7.11</t>
  </si>
  <si>
    <t>110.56%</t>
  </si>
  <si>
    <t>Synergy CHC Corp</t>
  </si>
  <si>
    <t>-49.79%</t>
  </si>
  <si>
    <t>53.87%</t>
  </si>
  <si>
    <t>-74.85%</t>
  </si>
  <si>
    <t>1.30 - 10.00</t>
  </si>
  <si>
    <t>-89.43%</t>
  </si>
  <si>
    <t>745.38%</t>
  </si>
  <si>
    <t>Richardson Electronics, Ltd</t>
  </si>
  <si>
    <t>-36.69%</t>
  </si>
  <si>
    <t>7.57 - 15.51</t>
  </si>
  <si>
    <t>297.57%</t>
  </si>
  <si>
    <t>IB Acquisition Corp</t>
  </si>
  <si>
    <t>73.36%</t>
  </si>
  <si>
    <t>10.00 - 10.74</t>
  </si>
  <si>
    <t>Saia Inc</t>
  </si>
  <si>
    <t>111.02%</t>
  </si>
  <si>
    <t>229.12 - 624.55</t>
  </si>
  <si>
    <t>6861.20%</t>
  </si>
  <si>
    <t>York Water Co</t>
  </si>
  <si>
    <t>60.11%</t>
  </si>
  <si>
    <t>55.78%</t>
  </si>
  <si>
    <t>29.86 - 38.50</t>
  </si>
  <si>
    <t>-43.01%</t>
  </si>
  <si>
    <t>581.01%</t>
  </si>
  <si>
    <t>Regal Rexnord Corp</t>
  </si>
  <si>
    <t>47.59%</t>
  </si>
  <si>
    <t>90.56 - 185.28</t>
  </si>
  <si>
    <t>6663.14%</t>
  </si>
  <si>
    <t>Usio Inc</t>
  </si>
  <si>
    <t>1.24 - 2.92</t>
  </si>
  <si>
    <t>-99.78%</t>
  </si>
  <si>
    <t>4566.67%</t>
  </si>
  <si>
    <t>Snail Inc</t>
  </si>
  <si>
    <t>-4300.00%</t>
  </si>
  <si>
    <t>-31.01%</t>
  </si>
  <si>
    <t>-71.93%</t>
  </si>
  <si>
    <t>0.64 - 3.42</t>
  </si>
  <si>
    <t>Digimarc Corporation</t>
  </si>
  <si>
    <t>5/1/2014</t>
  </si>
  <si>
    <t>-115.73%</t>
  </si>
  <si>
    <t>-110.92%</t>
  </si>
  <si>
    <t>7.76 - 48.32</t>
  </si>
  <si>
    <t>-85.47%</t>
  </si>
  <si>
    <t>-64.92%</t>
  </si>
  <si>
    <t>Marcus Corp</t>
  </si>
  <si>
    <t>14.13 - 23.16</t>
  </si>
  <si>
    <t>-65.96%</t>
  </si>
  <si>
    <t>975.32%</t>
  </si>
  <si>
    <t>Aeluma Inc</t>
  </si>
  <si>
    <t>-233.78%</t>
  </si>
  <si>
    <t>407.86%</t>
  </si>
  <si>
    <t>371.51%</t>
  </si>
  <si>
    <t>-64.78%</t>
  </si>
  <si>
    <t>597.22%</t>
  </si>
  <si>
    <t>2.52 - 25.88</t>
  </si>
  <si>
    <t>887.08%</t>
  </si>
  <si>
    <t>169.89%</t>
  </si>
  <si>
    <t>555.60%</t>
  </si>
  <si>
    <t>Southwest Gas Holdings Inc</t>
  </si>
  <si>
    <t>-140.92%</t>
  </si>
  <si>
    <t>64.69 - 80.54</t>
  </si>
  <si>
    <t>768.87%</t>
  </si>
  <si>
    <t>Biodesix Inc</t>
  </si>
  <si>
    <t>69.26%</t>
  </si>
  <si>
    <t>188.84%</t>
  </si>
  <si>
    <t>78.77%</t>
  </si>
  <si>
    <t>-44.27%</t>
  </si>
  <si>
    <t>-78.51%</t>
  </si>
  <si>
    <t>125.12%</t>
  </si>
  <si>
    <t>3.44 - 36.00</t>
  </si>
  <si>
    <t>-98.79%</t>
  </si>
  <si>
    <t>54.51%</t>
  </si>
  <si>
    <t>Flowco Holdings Inc</t>
  </si>
  <si>
    <t>14.89 - 30.50</t>
  </si>
  <si>
    <t>Rockwell Automation Inc</t>
  </si>
  <si>
    <t>215.00 - 360.92</t>
  </si>
  <si>
    <t>11047.81%</t>
  </si>
  <si>
    <t>Destination XL Group Inc</t>
  </si>
  <si>
    <t>174.33%</t>
  </si>
  <si>
    <t>-57.26%</t>
  </si>
  <si>
    <t>0.90 - 3.10</t>
  </si>
  <si>
    <t>960.00%</t>
  </si>
  <si>
    <t>-54.93%</t>
  </si>
  <si>
    <t>Clearfield Inc</t>
  </si>
  <si>
    <t>60.93%</t>
  </si>
  <si>
    <t>23.78 - 46.76</t>
  </si>
  <si>
    <t>-74.90%</t>
  </si>
  <si>
    <t>18708.33%</t>
  </si>
  <si>
    <t>Middlesex Water Co</t>
  </si>
  <si>
    <t>76.84%</t>
  </si>
  <si>
    <t>48.18 - 70.73</t>
  </si>
  <si>
    <t>1442.96%</t>
  </si>
  <si>
    <t>Modiv Industrial Inc</t>
  </si>
  <si>
    <t>552.33%</t>
  </si>
  <si>
    <t>-1166.67%</t>
  </si>
  <si>
    <t>58.34%</t>
  </si>
  <si>
    <t>13.62 - 17.84</t>
  </si>
  <si>
    <t>World Kinect Corp</t>
  </si>
  <si>
    <t>112.26%</t>
  </si>
  <si>
    <t>22.70 - 31.64</t>
  </si>
  <si>
    <t>14526.52%</t>
  </si>
  <si>
    <t>Net Lease Office Properties</t>
  </si>
  <si>
    <t>-132.43%</t>
  </si>
  <si>
    <t>23.66 - 31.30</t>
  </si>
  <si>
    <t>Curis Inc</t>
  </si>
  <si>
    <t>-332.92%</t>
  </si>
  <si>
    <t>-341.25%</t>
  </si>
  <si>
    <t>65.69%</t>
  </si>
  <si>
    <t>1.02 - 5.54</t>
  </si>
  <si>
    <t>-68.53%</t>
  </si>
  <si>
    <t>Global Indemnity Group LLC</t>
  </si>
  <si>
    <t>26.94 - 37.00</t>
  </si>
  <si>
    <t>300.05%</t>
  </si>
  <si>
    <t>Stardust Power Inc</t>
  </si>
  <si>
    <t>-708.22%</t>
  </si>
  <si>
    <t>124.56%</t>
  </si>
  <si>
    <t>1.42 - 114.20</t>
  </si>
  <si>
    <t>Booking Holdings Inc</t>
  </si>
  <si>
    <t>96.92%</t>
  </si>
  <si>
    <t>4060.98 - 5839.41</t>
  </si>
  <si>
    <t>87428.09%</t>
  </si>
  <si>
    <t>Sunshine Biopharma Inc</t>
  </si>
  <si>
    <t>82.07%</t>
  </si>
  <si>
    <t>434.47%</t>
  </si>
  <si>
    <t>340.11%</t>
  </si>
  <si>
    <t>-22.55%</t>
  </si>
  <si>
    <t>1.17 - 3.90</t>
  </si>
  <si>
    <t>PharmaCyte Biotech Inc</t>
  </si>
  <si>
    <t>0.80 - 2.42</t>
  </si>
  <si>
    <t>Fold Holdings inc</t>
  </si>
  <si>
    <t>-250.43%</t>
  </si>
  <si>
    <t>244.85%</t>
  </si>
  <si>
    <t>-237.65%</t>
  </si>
  <si>
    <t>2.51 - 14.00</t>
  </si>
  <si>
    <t>-48.40%</t>
  </si>
  <si>
    <t>-67.22%</t>
  </si>
  <si>
    <t>Electro-Sensors, Inc</t>
  </si>
  <si>
    <t>5/8/2013</t>
  </si>
  <si>
    <t>3.65 - 5.50</t>
  </si>
  <si>
    <t>-54.19%</t>
  </si>
  <si>
    <t>388.37%</t>
  </si>
  <si>
    <t>Itron Inc</t>
  </si>
  <si>
    <t>90.11 - 140.04</t>
  </si>
  <si>
    <t>3789.66%</t>
  </si>
  <si>
    <t>ReposiTrak Inc</t>
  </si>
  <si>
    <t>15.12 - 25.01</t>
  </si>
  <si>
    <t>-87.62%</t>
  </si>
  <si>
    <t>3304.26%</t>
  </si>
  <si>
    <t>Iron Horse Acquisitions Corp</t>
  </si>
  <si>
    <t>118.99%</t>
  </si>
  <si>
    <t>77.19%</t>
  </si>
  <si>
    <t>5.70 - 14.71</t>
  </si>
  <si>
    <t>Open Lending Corp</t>
  </si>
  <si>
    <t>258.73%</t>
  </si>
  <si>
    <t>-51.60%</t>
  </si>
  <si>
    <t>-459.88%</t>
  </si>
  <si>
    <t>-869.57%</t>
  </si>
  <si>
    <t>-68.01%</t>
  </si>
  <si>
    <t>216.29%</t>
  </si>
  <si>
    <t>0.70 - 6.92</t>
  </si>
  <si>
    <t>-94.97%</t>
  </si>
  <si>
    <t>-63.65%</t>
  </si>
  <si>
    <t>Lyra Therapeutics Inc</t>
  </si>
  <si>
    <t>-4647.79%</t>
  </si>
  <si>
    <t>-5043.64%</t>
  </si>
  <si>
    <t>-22.72%</t>
  </si>
  <si>
    <t>3.81 - 37.50</t>
  </si>
  <si>
    <t>-51.06%</t>
  </si>
  <si>
    <t>PAMT Corp</t>
  </si>
  <si>
    <t>-109.09%</t>
  </si>
  <si>
    <t>-48.02%</t>
  </si>
  <si>
    <t>11.01 - 23.70</t>
  </si>
  <si>
    <t>31328.96%</t>
  </si>
  <si>
    <t>Serina Therapeutics Inc</t>
  </si>
  <si>
    <t>-49.63%</t>
  </si>
  <si>
    <t>2500.00%</t>
  </si>
  <si>
    <t>-55.29%</t>
  </si>
  <si>
    <t>-11951.59%</t>
  </si>
  <si>
    <t>-4983.33%</t>
  </si>
  <si>
    <t>3.81 - 8.49</t>
  </si>
  <si>
    <t>Montauk Renewables Inc</t>
  </si>
  <si>
    <t>-354.78%</t>
  </si>
  <si>
    <t>45.67%</t>
  </si>
  <si>
    <t>1.68 - 6.04</t>
  </si>
  <si>
    <t>-90.04%</t>
  </si>
  <si>
    <t>-57.23%</t>
  </si>
  <si>
    <t>Energous Corp</t>
  </si>
  <si>
    <t>41.37%</t>
  </si>
  <si>
    <t>433.51%</t>
  </si>
  <si>
    <t>2019.57%</t>
  </si>
  <si>
    <t>-624.80%</t>
  </si>
  <si>
    <t>-693.07%</t>
  </si>
  <si>
    <t>-56.54%</t>
  </si>
  <si>
    <t>117.32%</t>
  </si>
  <si>
    <t>3.67 - 81.00</t>
  </si>
  <si>
    <t>Precision Optics Corp., Inc</t>
  </si>
  <si>
    <t>-175.74%</t>
  </si>
  <si>
    <t>3.47 - 6.30</t>
  </si>
  <si>
    <t>14866.67%</t>
  </si>
  <si>
    <t>Unitil Corp</t>
  </si>
  <si>
    <t>44.61 - 61.51</t>
  </si>
  <si>
    <t>611.58%</t>
  </si>
  <si>
    <t>MaxCyte Inc</t>
  </si>
  <si>
    <t>68.37%</t>
  </si>
  <si>
    <t>-146.80%</t>
  </si>
  <si>
    <t>-125.22%</t>
  </si>
  <si>
    <t>1.26 - 5.20</t>
  </si>
  <si>
    <t>-91.23%</t>
  </si>
  <si>
    <t>Gladstone Land Corp</t>
  </si>
  <si>
    <t>8.47 - 14.05</t>
  </si>
  <si>
    <t>Versus Systems Inc</t>
  </si>
  <si>
    <t>1873.85%</t>
  </si>
  <si>
    <t>-35.19%</t>
  </si>
  <si>
    <t>7250.48%</t>
  </si>
  <si>
    <t>99.21%</t>
  </si>
  <si>
    <t>-76.03%</t>
  </si>
  <si>
    <t>-78.52%</t>
  </si>
  <si>
    <t>106.00%</t>
  </si>
  <si>
    <t>1.00 - 9.59</t>
  </si>
  <si>
    <t>ProCap Acquisition Corp</t>
  </si>
  <si>
    <t>9.64 - 11.42</t>
  </si>
  <si>
    <t>Agios Pharmaceuticals Inc</t>
  </si>
  <si>
    <t>-1129.13%</t>
  </si>
  <si>
    <t>1590.42%</t>
  </si>
  <si>
    <t>23.42 - 62.58</t>
  </si>
  <si>
    <t>-73.28%</t>
  </si>
  <si>
    <t>135.26%</t>
  </si>
  <si>
    <t>Phunware Inc</t>
  </si>
  <si>
    <t>-714.79%</t>
  </si>
  <si>
    <t>-510.83%</t>
  </si>
  <si>
    <t>-81.23%</t>
  </si>
  <si>
    <t>2.22 - 14.60</t>
  </si>
  <si>
    <t>Xos Inc</t>
  </si>
  <si>
    <t>114.55%</t>
  </si>
  <si>
    <t>2.21 - 9.15</t>
  </si>
  <si>
    <t>-40.28%</t>
  </si>
  <si>
    <t>Anika Therapeutics Inc</t>
  </si>
  <si>
    <t>7.87 - 25.65</t>
  </si>
  <si>
    <t>-88.12%</t>
  </si>
  <si>
    <t>1208.13%</t>
  </si>
  <si>
    <t>Dolby Laboratories Inc</t>
  </si>
  <si>
    <t>61.10%</t>
  </si>
  <si>
    <t>68.24 - 89.66</t>
  </si>
  <si>
    <t>461.89%</t>
  </si>
  <si>
    <t>Tecogen Inc</t>
  </si>
  <si>
    <t>54.30%</t>
  </si>
  <si>
    <t>871.42%</t>
  </si>
  <si>
    <t>0.81 - 11.55</t>
  </si>
  <si>
    <t>-75.02%</t>
  </si>
  <si>
    <t>1236.74%</t>
  </si>
  <si>
    <t>244.49%</t>
  </si>
  <si>
    <t>776.67%</t>
  </si>
  <si>
    <t>Townsquare Media Inc</t>
  </si>
  <si>
    <t>10/27/2025</t>
  </si>
  <si>
    <t>-65.38%</t>
  </si>
  <si>
    <t>-25.14%</t>
  </si>
  <si>
    <t>6.47 - 10.79</t>
  </si>
  <si>
    <t>-54.53%</t>
  </si>
  <si>
    <t>IZEA Worldwide Inc</t>
  </si>
  <si>
    <t>-74.46%</t>
  </si>
  <si>
    <t>123.21%</t>
  </si>
  <si>
    <t>1.68 - 4.39</t>
  </si>
  <si>
    <t>1239.29%</t>
  </si>
  <si>
    <t>Tredegar Corp</t>
  </si>
  <si>
    <t>6/15/2023</t>
  </si>
  <si>
    <t>6.45 - 9.43</t>
  </si>
  <si>
    <t>726.63%</t>
  </si>
  <si>
    <t>Public Storage</t>
  </si>
  <si>
    <t>112.80%</t>
  </si>
  <si>
    <t>81.86%</t>
  </si>
  <si>
    <t>33.95%</t>
  </si>
  <si>
    <t>256.60 - 369.99</t>
  </si>
  <si>
    <t>4994.33%</t>
  </si>
  <si>
    <t>Cantor Equity Partners III Inc</t>
  </si>
  <si>
    <t>-216.23%</t>
  </si>
  <si>
    <t>73.87%</t>
  </si>
  <si>
    <t>10.22 - 11.09</t>
  </si>
  <si>
    <t>Rithm Acquisition Corp</t>
  </si>
  <si>
    <t>9.87 - 10.35</t>
  </si>
  <si>
    <t>HNI Corp</t>
  </si>
  <si>
    <t>39.76 - 58.42</t>
  </si>
  <si>
    <t>2289.46%</t>
  </si>
  <si>
    <t>Lucky Strike Entertainment Corp</t>
  </si>
  <si>
    <t>-322.04%</t>
  </si>
  <si>
    <t>-566.67%</t>
  </si>
  <si>
    <t>7.66 - 13.25</t>
  </si>
  <si>
    <t>43.25%</t>
  </si>
  <si>
    <t>Sagimet Biosciences Inc</t>
  </si>
  <si>
    <t>312.72%</t>
  </si>
  <si>
    <t>1.73 - 11.41</t>
  </si>
  <si>
    <t>-65.52%</t>
  </si>
  <si>
    <t>149.65%</t>
  </si>
  <si>
    <t>J.W. Mays Inc</t>
  </si>
  <si>
    <t>32.32 - 46.00</t>
  </si>
  <si>
    <t>1082.46%</t>
  </si>
  <si>
    <t>Post Holdings Inc</t>
  </si>
  <si>
    <t>101.05 - 125.84</t>
  </si>
  <si>
    <t>613.37%</t>
  </si>
  <si>
    <t>LanzaTech Global Inc</t>
  </si>
  <si>
    <t>-304.07%</t>
  </si>
  <si>
    <t>-335.85%</t>
  </si>
  <si>
    <t>14.01 - 274.00</t>
  </si>
  <si>
    <t>Mersana Therapeutics Inc</t>
  </si>
  <si>
    <t>880.21%</t>
  </si>
  <si>
    <t>-206.99%</t>
  </si>
  <si>
    <t>-212.94%</t>
  </si>
  <si>
    <t>5.21 - 70.75</t>
  </si>
  <si>
    <t>Rocky Mountain Chocolate Factory Inc</t>
  </si>
  <si>
    <t>-149.62%</t>
  </si>
  <si>
    <t>1.12 - 3.49</t>
  </si>
  <si>
    <t>462.75%</t>
  </si>
  <si>
    <t>Tscan Therapeutics Inc</t>
  </si>
  <si>
    <t>-34.76%</t>
  </si>
  <si>
    <t>473.88%</t>
  </si>
  <si>
    <t>-2072.07%</t>
  </si>
  <si>
    <t>-1964.88%</t>
  </si>
  <si>
    <t>1.02 - 6.22</t>
  </si>
  <si>
    <t>Sobr Safe Inc</t>
  </si>
  <si>
    <t>-2691.44%</t>
  </si>
  <si>
    <t>-2666.61%</t>
  </si>
  <si>
    <t>2.41 - 193.50</t>
  </si>
  <si>
    <t>-96.65%</t>
  </si>
  <si>
    <t>CalciMedica Inc</t>
  </si>
  <si>
    <t>115.49%</t>
  </si>
  <si>
    <t>1.42 - 5.65</t>
  </si>
  <si>
    <t>206.00%</t>
  </si>
  <si>
    <t>Atomera Inc</t>
  </si>
  <si>
    <t>-2193.88%</t>
  </si>
  <si>
    <t>-41612.24%</t>
  </si>
  <si>
    <t>-39648.98%</t>
  </si>
  <si>
    <t>-31.55%</t>
  </si>
  <si>
    <t>-78.86%</t>
  </si>
  <si>
    <t>2.42 - 17.55</t>
  </si>
  <si>
    <t>-92.13%</t>
  </si>
  <si>
    <t>Sizzle Acquisition Corp II</t>
  </si>
  <si>
    <t>61.82%</t>
  </si>
  <si>
    <t>9.21 - 10.27</t>
  </si>
  <si>
    <t>Weis Markets, Inc</t>
  </si>
  <si>
    <t>62.25 - 90.23</t>
  </si>
  <si>
    <t>-25.03%</t>
  </si>
  <si>
    <t>508.50%</t>
  </si>
  <si>
    <t>Equinix Inc</t>
  </si>
  <si>
    <t>200.36%</t>
  </si>
  <si>
    <t>701.41 - 994.03</t>
  </si>
  <si>
    <t>41031.56%</t>
  </si>
  <si>
    <t>Archimedes Tech SPAC Partners II Co</t>
  </si>
  <si>
    <t>77.75%</t>
  </si>
  <si>
    <t>9.96 - 10.27</t>
  </si>
  <si>
    <t>ACCESS Newswire Inc</t>
  </si>
  <si>
    <t>64.42%</t>
  </si>
  <si>
    <t>7.79 - 13.35</t>
  </si>
  <si>
    <t>15238.03%</t>
  </si>
  <si>
    <t>Outset Medical Inc</t>
  </si>
  <si>
    <t>105.88%</t>
  </si>
  <si>
    <t>5.85 - 25.35</t>
  </si>
  <si>
    <t>Travelzoo</t>
  </si>
  <si>
    <t>145.76%</t>
  </si>
  <si>
    <t>-59.56%</t>
  </si>
  <si>
    <t>9.20 - 24.85</t>
  </si>
  <si>
    <t>-90.91%</t>
  </si>
  <si>
    <t>3920.00%</t>
  </si>
  <si>
    <t>Verra Mobility Corp</t>
  </si>
  <si>
    <t>19.51 - 28.06</t>
  </si>
  <si>
    <t>336.03%</t>
  </si>
  <si>
    <t>HighPeak Energy Inc</t>
  </si>
  <si>
    <t>69.37%</t>
  </si>
  <si>
    <t>165.44%</t>
  </si>
  <si>
    <t>6.60 - 15.72</t>
  </si>
  <si>
    <t>-41.53%</t>
  </si>
  <si>
    <t>LiveRamp Holdings Inc</t>
  </si>
  <si>
    <t>92.78%</t>
  </si>
  <si>
    <t>22.82 - 36.08</t>
  </si>
  <si>
    <t>2678.00%</t>
  </si>
  <si>
    <t>Gibraltar Industries Inc</t>
  </si>
  <si>
    <t>12/30/2008</t>
  </si>
  <si>
    <t>101.70%</t>
  </si>
  <si>
    <t>48.96 - 74.97</t>
  </si>
  <si>
    <t>1707.27%</t>
  </si>
  <si>
    <t>Genesis Energy L.P</t>
  </si>
  <si>
    <t>9.86 - 17.77</t>
  </si>
  <si>
    <t>868.26%</t>
  </si>
  <si>
    <t>CVRx Inc</t>
  </si>
  <si>
    <t>-95.61%</t>
  </si>
  <si>
    <t>4.30 - 18.55</t>
  </si>
  <si>
    <t>-77.37%</t>
  </si>
  <si>
    <t>Mannatech Inc</t>
  </si>
  <si>
    <t>6/14/2023</t>
  </si>
  <si>
    <t>-34.56%</t>
  </si>
  <si>
    <t>7.05 - 16.49</t>
  </si>
  <si>
    <t>-97.84%</t>
  </si>
  <si>
    <t>206.46%</t>
  </si>
  <si>
    <t>AstroNova Inc</t>
  </si>
  <si>
    <t>3/25/2020</t>
  </si>
  <si>
    <t>33.56%</t>
  </si>
  <si>
    <t>7.53 - 17.24</t>
  </si>
  <si>
    <t>-62.12%</t>
  </si>
  <si>
    <t>528.46%</t>
  </si>
  <si>
    <t>Phio Pharmaceuticals Corp</t>
  </si>
  <si>
    <t>-77.63%</t>
  </si>
  <si>
    <t>0.97 - 9.79</t>
  </si>
  <si>
    <t>Cullen Frost Bankers Inc</t>
  </si>
  <si>
    <t>84.50%</t>
  </si>
  <si>
    <t>100.31 - 147.64</t>
  </si>
  <si>
    <t>10618.82%</t>
  </si>
  <si>
    <t>U-Haul Holding Company</t>
  </si>
  <si>
    <t>-69.09%</t>
  </si>
  <si>
    <t>49.82 - 73.97</t>
  </si>
  <si>
    <t>Compass Minerals International Inc</t>
  </si>
  <si>
    <t>3/8/2024</t>
  </si>
  <si>
    <t>124.90%</t>
  </si>
  <si>
    <t>-550.00%</t>
  </si>
  <si>
    <t>119.43%</t>
  </si>
  <si>
    <t>8.60 - 22.69</t>
  </si>
  <si>
    <t>-80.77%</t>
  </si>
  <si>
    <t>151.13%</t>
  </si>
  <si>
    <t>71.45%</t>
  </si>
  <si>
    <t>Synchronoss Technologies Inc</t>
  </si>
  <si>
    <t>5.25 - 15.46</t>
  </si>
  <si>
    <t>-51.64%</t>
  </si>
  <si>
    <t>iPower Inc</t>
  </si>
  <si>
    <t>-76.48%</t>
  </si>
  <si>
    <t>0.41 - 2.36</t>
  </si>
  <si>
    <t>Acushnet Holdings Corp</t>
  </si>
  <si>
    <t>55.31 - 84.40</t>
  </si>
  <si>
    <t>401.98%</t>
  </si>
  <si>
    <t>Essex Property Trust, Inc</t>
  </si>
  <si>
    <t>84.91%</t>
  </si>
  <si>
    <t>132.78%</t>
  </si>
  <si>
    <t>243.85 - 316.29</t>
  </si>
  <si>
    <t>1724.62%</t>
  </si>
  <si>
    <t>Old Market Capital Corp</t>
  </si>
  <si>
    <t>520.45%</t>
  </si>
  <si>
    <t>4.21 - 7.00</t>
  </si>
  <si>
    <t>886.41%</t>
  </si>
  <si>
    <t>M3 Brigade Acquisition V Corp</t>
  </si>
  <si>
    <t>9.99 - 13.73</t>
  </si>
  <si>
    <t>First Northwest Bancorp</t>
  </si>
  <si>
    <t>5/9/2025</t>
  </si>
  <si>
    <t>342.11%</t>
  </si>
  <si>
    <t>50.11%</t>
  </si>
  <si>
    <t>6.05 - 12.10</t>
  </si>
  <si>
    <t>-68.55%</t>
  </si>
  <si>
    <t>Immucell Corp</t>
  </si>
  <si>
    <t>-194.88%</t>
  </si>
  <si>
    <t>3.38 - 7.60</t>
  </si>
  <si>
    <t>19851.61%</t>
  </si>
  <si>
    <t>Spirit Aerosystems Holdings Inc</t>
  </si>
  <si>
    <t>9/9/2022</t>
  </si>
  <si>
    <t>-182.02%</t>
  </si>
  <si>
    <t>46.96%</t>
  </si>
  <si>
    <t>27.00 - 42.33</t>
  </si>
  <si>
    <t>-62.28%</t>
  </si>
  <si>
    <t>455.74%</t>
  </si>
  <si>
    <t>Golden Matrix Group Inc</t>
  </si>
  <si>
    <t>129.85%</t>
  </si>
  <si>
    <t>112.14%</t>
  </si>
  <si>
    <t>-809.09%</t>
  </si>
  <si>
    <t>56.57%</t>
  </si>
  <si>
    <t>-62.75%</t>
  </si>
  <si>
    <t>0.91 - 3.06</t>
  </si>
  <si>
    <t>3900.00%</t>
  </si>
  <si>
    <t>PaySign Inc</t>
  </si>
  <si>
    <t>216.53%</t>
  </si>
  <si>
    <t>1.80 - 8.88</t>
  </si>
  <si>
    <t>-69.48%</t>
  </si>
  <si>
    <t>165.00%</t>
  </si>
  <si>
    <t>Ameriprise Financial Inc</t>
  </si>
  <si>
    <t>396.14 - 582.05</t>
  </si>
  <si>
    <t>4165.15%</t>
  </si>
  <si>
    <t>8.76 - 12.50</t>
  </si>
  <si>
    <t>453.71%</t>
  </si>
  <si>
    <t>Candel Therapeutics Inc</t>
  </si>
  <si>
    <t>-43.86%</t>
  </si>
  <si>
    <t>-63.19%</t>
  </si>
  <si>
    <t>3.79 - 14.60</t>
  </si>
  <si>
    <t>714.24%</t>
  </si>
  <si>
    <t>TWFG Inc</t>
  </si>
  <si>
    <t>77.29%</t>
  </si>
  <si>
    <t>23.52 - 36.85</t>
  </si>
  <si>
    <t>Anebulo Pharmaceuticals Inc</t>
  </si>
  <si>
    <t>-155.95%</t>
  </si>
  <si>
    <t>206.21%</t>
  </si>
  <si>
    <t>0.80 - 3.42</t>
  </si>
  <si>
    <t>TrueBlue Inc</t>
  </si>
  <si>
    <t>91.11%</t>
  </si>
  <si>
    <t>3.45 - 9.05</t>
  </si>
  <si>
    <t>223.38%</t>
  </si>
  <si>
    <t>10.20 - 10.70</t>
  </si>
  <si>
    <t>Veru Inc</t>
  </si>
  <si>
    <t>4/28/2014</t>
  </si>
  <si>
    <t>-547.90%</t>
  </si>
  <si>
    <t>-428.24%</t>
  </si>
  <si>
    <t>2.64 - 14.20</t>
  </si>
  <si>
    <t>-36.39%</t>
  </si>
  <si>
    <t>CKX Lands Inc</t>
  </si>
  <si>
    <t>4/4/2018</t>
  </si>
  <si>
    <t>10.04 - 14.00</t>
  </si>
  <si>
    <t>FIGX Capital Acquisition Corp</t>
  </si>
  <si>
    <t>9.95 - 10.05</t>
  </si>
  <si>
    <t>Real Asset Acquisition Corp</t>
  </si>
  <si>
    <t>9.62 - 10.29</t>
  </si>
  <si>
    <t>Mesa Royalty Trust</t>
  </si>
  <si>
    <t>-52.35%</t>
  </si>
  <si>
    <t>4.70 - 10.42</t>
  </si>
  <si>
    <t>Cheniere Energy Partners LP</t>
  </si>
  <si>
    <t>47.44 - 68.36</t>
  </si>
  <si>
    <t>1444.49%</t>
  </si>
  <si>
    <t>NewHold Investment Corp III</t>
  </si>
  <si>
    <t>PureTech Health Plc ADR</t>
  </si>
  <si>
    <t>1263.40%</t>
  </si>
  <si>
    <t>548.23%</t>
  </si>
  <si>
    <t>-1844.61%</t>
  </si>
  <si>
    <t>775.57%</t>
  </si>
  <si>
    <t>13.30 - 24.99</t>
  </si>
  <si>
    <t>Saga Communications, Inc</t>
  </si>
  <si>
    <t>181.39%</t>
  </si>
  <si>
    <t>116.26%</t>
  </si>
  <si>
    <t>10.75 - 15.10</t>
  </si>
  <si>
    <t>-73.77%</t>
  </si>
  <si>
    <t>738.60%</t>
  </si>
  <si>
    <t>NeueHealth Inc</t>
  </si>
  <si>
    <t>-1427.27%</t>
  </si>
  <si>
    <t>3.79 - 7.66</t>
  </si>
  <si>
    <t>-99.53%</t>
  </si>
  <si>
    <t>SilverBox Corp IV</t>
  </si>
  <si>
    <t>9.95 - 11.64</t>
  </si>
  <si>
    <t>Security National Financial Corp</t>
  </si>
  <si>
    <t>7.32 - 12.94</t>
  </si>
  <si>
    <t>4908.66%</t>
  </si>
  <si>
    <t>ESS Tech Inc</t>
  </si>
  <si>
    <t>577.59%</t>
  </si>
  <si>
    <t>-715.31%</t>
  </si>
  <si>
    <t>-1246.87%</t>
  </si>
  <si>
    <t>-1217.22%</t>
  </si>
  <si>
    <t>-38.92%</t>
  </si>
  <si>
    <t>112.93%</t>
  </si>
  <si>
    <t>0.76 - 10.12</t>
  </si>
  <si>
    <t>Boundless Bio Inc</t>
  </si>
  <si>
    <t>1.00 - 3.75</t>
  </si>
  <si>
    <t>-65.93%</t>
  </si>
  <si>
    <t>9/2/2022</t>
  </si>
  <si>
    <t>55.35 - 79.04</t>
  </si>
  <si>
    <t>Perimeter Acquisition Corp. I</t>
  </si>
  <si>
    <t>10.08 - 11.00</t>
  </si>
  <si>
    <t>Ark Restaurants Corp</t>
  </si>
  <si>
    <t>-58.75%</t>
  </si>
  <si>
    <t>6.38 - 17.76</t>
  </si>
  <si>
    <t>653.74%</t>
  </si>
  <si>
    <t>Accel Entertainment Inc</t>
  </si>
  <si>
    <t>9.02 - 13.27</t>
  </si>
  <si>
    <t>Kimbell Royalty Partners LP</t>
  </si>
  <si>
    <t>10.98 - 16.99</t>
  </si>
  <si>
    <t>-43.27%</t>
  </si>
  <si>
    <t>296.01%</t>
  </si>
  <si>
    <t>Stabilis Solutions Inc</t>
  </si>
  <si>
    <t>-343.90%</t>
  </si>
  <si>
    <t>3.29 - 8.28</t>
  </si>
  <si>
    <t>408.54%</t>
  </si>
  <si>
    <t>Digital Asset Acquisition Corp</t>
  </si>
  <si>
    <t>10.05 - 11.24</t>
  </si>
  <si>
    <t>LGL Group Inc</t>
  </si>
  <si>
    <t>5.43 - 9.74</t>
  </si>
  <si>
    <t>2675.29%</t>
  </si>
  <si>
    <t>New England Realty Associates LP</t>
  </si>
  <si>
    <t>68.30 - 81.53</t>
  </si>
  <si>
    <t>7740.12%</t>
  </si>
  <si>
    <t>Mastech Digital Inc</t>
  </si>
  <si>
    <t>12/5/2013</t>
  </si>
  <si>
    <t>6.20 - 16.00</t>
  </si>
  <si>
    <t>2616.53%</t>
  </si>
  <si>
    <t>Carriage Services, Inc</t>
  </si>
  <si>
    <t>30.15 - 49.41</t>
  </si>
  <si>
    <t>4116.94%</t>
  </si>
  <si>
    <t>Lisata Therapeutics Inc</t>
  </si>
  <si>
    <t>-1962.62%</t>
  </si>
  <si>
    <t>-1768.50%</t>
  </si>
  <si>
    <t>1.87 - 4.20</t>
  </si>
  <si>
    <t>TXO Partners L.P</t>
  </si>
  <si>
    <t>365.98%</t>
  </si>
  <si>
    <t>13.27 - 20.70</t>
  </si>
  <si>
    <t>Research Frontiers Inc</t>
  </si>
  <si>
    <t>-156.33%</t>
  </si>
  <si>
    <t>-143.69%</t>
  </si>
  <si>
    <t>61.29%</t>
  </si>
  <si>
    <t>0.93 - 2.33</t>
  </si>
  <si>
    <t>-96.25%</t>
  </si>
  <si>
    <t>152.10%</t>
  </si>
  <si>
    <t>-30.94%</t>
  </si>
  <si>
    <t>57.35 - 95.91</t>
  </si>
  <si>
    <t>GP-Act III Acquisition Corp</t>
  </si>
  <si>
    <t>84.38%</t>
  </si>
  <si>
    <t>10.05 - 10.64</t>
  </si>
  <si>
    <t>Slide Insurance Holdings Inc</t>
  </si>
  <si>
    <t>200.31%</t>
  </si>
  <si>
    <t>12.53 - 25.90</t>
  </si>
  <si>
    <t>PermRock Royalty Trust</t>
  </si>
  <si>
    <t>84.81%</t>
  </si>
  <si>
    <t>3.26 - 4.63</t>
  </si>
  <si>
    <t>Empire Petroleum Corporation</t>
  </si>
  <si>
    <t>3/1/2012</t>
  </si>
  <si>
    <t>-31.61%</t>
  </si>
  <si>
    <t>-43.02%</t>
  </si>
  <si>
    <t>-44.15%</t>
  </si>
  <si>
    <t>27.63%</t>
  </si>
  <si>
    <t>3.75 - 8.10</t>
  </si>
  <si>
    <t>15093.26%</t>
  </si>
  <si>
    <t>Transcontinental Realty Investors, Inc</t>
  </si>
  <si>
    <t>25.50 - 48.00</t>
  </si>
  <si>
    <t>3440.47%</t>
  </si>
  <si>
    <t>New Providence Acquisition Corp III</t>
  </si>
  <si>
    <t>10.07 - 10.55</t>
  </si>
  <si>
    <t>Bold Eagle Acquisition Corp</t>
  </si>
  <si>
    <t>9.84 - 11.20</t>
  </si>
  <si>
    <t>Gores Holdings X Inc</t>
  </si>
  <si>
    <t>10.12 - 10.53</t>
  </si>
  <si>
    <t>10.02 - 10.20</t>
  </si>
  <si>
    <t>American Exceptionalism Acquisition Corp. A</t>
  </si>
  <si>
    <t xml:space="preserve"> - </t>
  </si>
  <si>
    <t>BTC Development Corp</t>
  </si>
  <si>
    <t>Morgan Stanley - ZC SP ILN REDEEM 20/12/2010 USD</t>
  </si>
  <si>
    <t>ChowChow Cloud International Holdings Ltd</t>
  </si>
  <si>
    <t>4.00 - 21.91</t>
  </si>
  <si>
    <t>Cortigent Inc</t>
  </si>
  <si>
    <t>DeepGreenX Group Inc. ADR</t>
  </si>
  <si>
    <t>FutureCrest Acquisition Corp</t>
  </si>
  <si>
    <t>FG Holdings Ltd</t>
  </si>
  <si>
    <t>FG Merger III Corp</t>
  </si>
  <si>
    <t>Iron Horse Acquisitions Corp II</t>
  </si>
  <si>
    <t>9.92 - 10.00</t>
  </si>
  <si>
    <t>LB Pharmaceuticals Inc</t>
  </si>
  <si>
    <t>-211.45%</t>
  </si>
  <si>
    <t>14.30 - 20.25</t>
  </si>
  <si>
    <t>Megan Holdings Ltd</t>
  </si>
  <si>
    <t>Mount Logan Capital Inc</t>
  </si>
  <si>
    <t>7.60 - 8.74</t>
  </si>
  <si>
    <t>Papa Medical Inc</t>
  </si>
  <si>
    <t>Peak Resources LP</t>
  </si>
  <si>
    <t>Rainbow Capital Holdings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</si>
</sst>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240"/>
  <sheetViews>
    <sheetView tabSelected="1" workbookViewId="0">
      <selection activeCell="A6" sqref="A6"/>
    </sheetView>
  </sheetViews>
  <sheetFormatPr defaultRowHeight="15" x14ac:dyDescent="0.25"/>
  <cols>
    <col min="7" max="7" width="23.140625" bestFit="1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25">
      <c r="A2" t="str">
        <f>HYPERLINK("https://elite.finviz.com/quote.ashx?t=BDN&amp;ty=c&amp;p=d&amp;b=1", "BDN")</f>
        <v>BDN</v>
      </c>
      <c r="B2">
        <v>8</v>
      </c>
      <c r="C2">
        <v>162.22</v>
      </c>
      <c r="D2">
        <v>46.51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>
        <v>749.14</v>
      </c>
      <c r="L2">
        <v>4.3</v>
      </c>
      <c r="M2" t="s">
        <v>72</v>
      </c>
      <c r="N2">
        <v>1812781</v>
      </c>
      <c r="R2">
        <v>1.51</v>
      </c>
      <c r="S2">
        <v>0.85</v>
      </c>
      <c r="T2" t="s">
        <v>73</v>
      </c>
      <c r="U2">
        <v>0.6</v>
      </c>
      <c r="V2" t="s">
        <v>74</v>
      </c>
      <c r="W2" t="s">
        <v>75</v>
      </c>
      <c r="X2" t="s">
        <v>76</v>
      </c>
      <c r="Y2" t="s">
        <v>77</v>
      </c>
      <c r="AA2">
        <v>-1.88</v>
      </c>
      <c r="AD2" t="s">
        <v>78</v>
      </c>
      <c r="AE2" t="s">
        <v>79</v>
      </c>
      <c r="AF2" t="s">
        <v>80</v>
      </c>
      <c r="AG2" t="s">
        <v>81</v>
      </c>
      <c r="AH2" t="s">
        <v>82</v>
      </c>
      <c r="AI2" t="s">
        <v>83</v>
      </c>
      <c r="AJ2" t="s">
        <v>84</v>
      </c>
      <c r="AK2" t="s">
        <v>85</v>
      </c>
      <c r="AL2">
        <v>1.75</v>
      </c>
      <c r="AM2">
        <v>1.75</v>
      </c>
      <c r="AN2">
        <v>2.66</v>
      </c>
      <c r="AO2" t="s">
        <v>86</v>
      </c>
      <c r="AP2" t="s">
        <v>87</v>
      </c>
      <c r="AQ2" t="s">
        <v>88</v>
      </c>
      <c r="AR2" t="s">
        <v>89</v>
      </c>
      <c r="AS2" t="s">
        <v>90</v>
      </c>
      <c r="AT2" t="s">
        <v>91</v>
      </c>
      <c r="AU2" t="s">
        <v>92</v>
      </c>
      <c r="AV2" t="s">
        <v>93</v>
      </c>
      <c r="AW2" t="s">
        <v>94</v>
      </c>
      <c r="AX2" t="s">
        <v>95</v>
      </c>
      <c r="AY2" t="s">
        <v>96</v>
      </c>
      <c r="AZ2" t="s">
        <v>97</v>
      </c>
      <c r="BA2">
        <v>3</v>
      </c>
      <c r="BB2">
        <v>2413.98</v>
      </c>
      <c r="BC2">
        <v>2.65</v>
      </c>
      <c r="BD2">
        <v>4.42</v>
      </c>
      <c r="BE2">
        <v>4.46</v>
      </c>
      <c r="BF2">
        <v>4.18</v>
      </c>
      <c r="BG2" t="s">
        <v>98</v>
      </c>
      <c r="BH2" t="s">
        <v>99</v>
      </c>
      <c r="BI2" t="s">
        <v>100</v>
      </c>
      <c r="BJ2" t="s">
        <v>101</v>
      </c>
      <c r="BK2" t="s">
        <v>102</v>
      </c>
      <c r="BL2" t="s">
        <v>103</v>
      </c>
      <c r="BM2" t="s">
        <v>104</v>
      </c>
      <c r="BN2" t="s">
        <v>105</v>
      </c>
    </row>
    <row r="3" spans="1:66" x14ac:dyDescent="0.25">
      <c r="A3" t="str">
        <f>HYPERLINK("https://elite.finviz.com/quote.ashx?t=KVYO&amp;ty=c&amp;p=d&amp;b=1", "KVYO")</f>
        <v>KVYO</v>
      </c>
      <c r="B3">
        <v>8</v>
      </c>
      <c r="C3">
        <v>162.22</v>
      </c>
      <c r="D3">
        <v>46.95</v>
      </c>
      <c r="E3" t="s">
        <v>106</v>
      </c>
      <c r="F3" t="s">
        <v>107</v>
      </c>
      <c r="G3" t="s">
        <v>108</v>
      </c>
      <c r="H3" t="s">
        <v>109</v>
      </c>
      <c r="I3" t="s">
        <v>70</v>
      </c>
      <c r="J3" t="s">
        <v>71</v>
      </c>
      <c r="K3">
        <v>9661.44</v>
      </c>
      <c r="L3">
        <v>32.21</v>
      </c>
      <c r="M3" t="s">
        <v>110</v>
      </c>
      <c r="N3">
        <v>1600661</v>
      </c>
      <c r="P3">
        <v>44.28</v>
      </c>
      <c r="R3">
        <v>8.9600000000000009</v>
      </c>
      <c r="S3">
        <v>6.86</v>
      </c>
      <c r="AA3">
        <v>-0.24</v>
      </c>
      <c r="AB3" t="s">
        <v>111</v>
      </c>
      <c r="AD3" t="s">
        <v>112</v>
      </c>
      <c r="AE3" t="s">
        <v>113</v>
      </c>
      <c r="AF3" t="s">
        <v>114</v>
      </c>
      <c r="AH3" t="s">
        <v>115</v>
      </c>
      <c r="AI3" t="s">
        <v>116</v>
      </c>
      <c r="AJ3" t="s">
        <v>117</v>
      </c>
      <c r="AK3" t="s">
        <v>115</v>
      </c>
      <c r="AL3">
        <v>4.84</v>
      </c>
      <c r="AM3">
        <v>4.84</v>
      </c>
      <c r="AN3">
        <v>0.09</v>
      </c>
      <c r="AO3" t="s">
        <v>118</v>
      </c>
      <c r="AP3" t="s">
        <v>119</v>
      </c>
      <c r="AQ3" t="s">
        <v>120</v>
      </c>
      <c r="AR3" t="s">
        <v>121</v>
      </c>
      <c r="AS3" t="s">
        <v>122</v>
      </c>
      <c r="AT3" t="s">
        <v>123</v>
      </c>
      <c r="AU3" t="s">
        <v>124</v>
      </c>
      <c r="AV3" t="s">
        <v>125</v>
      </c>
      <c r="AW3" t="s">
        <v>126</v>
      </c>
      <c r="AX3" t="s">
        <v>127</v>
      </c>
      <c r="AY3" t="s">
        <v>128</v>
      </c>
      <c r="AZ3" t="s">
        <v>129</v>
      </c>
      <c r="BA3">
        <v>1.18</v>
      </c>
      <c r="BB3">
        <v>2075.84</v>
      </c>
      <c r="BC3">
        <v>2.72</v>
      </c>
      <c r="BD3">
        <v>32.5</v>
      </c>
      <c r="BE3">
        <v>32.56</v>
      </c>
      <c r="BF3">
        <v>31.78</v>
      </c>
      <c r="BG3" t="s">
        <v>130</v>
      </c>
      <c r="BH3" t="s">
        <v>128</v>
      </c>
      <c r="BI3" t="s">
        <v>131</v>
      </c>
      <c r="BJ3" t="s">
        <v>101</v>
      </c>
      <c r="BK3" t="s">
        <v>132</v>
      </c>
      <c r="BL3" t="s">
        <v>133</v>
      </c>
      <c r="BM3" t="s">
        <v>134</v>
      </c>
      <c r="BN3" t="s">
        <v>105</v>
      </c>
    </row>
    <row r="4" spans="1:66" x14ac:dyDescent="0.25">
      <c r="A4" s="2" t="str">
        <f>HYPERLINK("https://elite.finviz.com/quote.ashx?t=PSQH&amp;ty=c&amp;p=d&amp;b=1", "PSQH")</f>
        <v>PSQH</v>
      </c>
      <c r="B4">
        <v>8</v>
      </c>
      <c r="C4">
        <v>162.22</v>
      </c>
      <c r="D4">
        <v>48.24</v>
      </c>
      <c r="E4" t="s">
        <v>135</v>
      </c>
      <c r="F4" t="s">
        <v>107</v>
      </c>
      <c r="G4" t="s">
        <v>108</v>
      </c>
      <c r="H4" t="s">
        <v>136</v>
      </c>
      <c r="I4" t="s">
        <v>70</v>
      </c>
      <c r="J4" t="s">
        <v>71</v>
      </c>
      <c r="K4">
        <v>90.93</v>
      </c>
      <c r="L4">
        <v>1.98</v>
      </c>
      <c r="M4" t="s">
        <v>137</v>
      </c>
      <c r="N4">
        <v>1544945</v>
      </c>
      <c r="R4">
        <v>3.3</v>
      </c>
      <c r="S4">
        <v>4.05</v>
      </c>
      <c r="AA4">
        <v>-1.36</v>
      </c>
      <c r="AE4" t="s">
        <v>138</v>
      </c>
      <c r="AH4" t="s">
        <v>139</v>
      </c>
      <c r="AI4" t="s">
        <v>140</v>
      </c>
      <c r="AJ4" t="s">
        <v>141</v>
      </c>
      <c r="AK4" t="s">
        <v>142</v>
      </c>
      <c r="AL4">
        <v>2.97</v>
      </c>
      <c r="AM4">
        <v>2.66</v>
      </c>
      <c r="AN4">
        <v>1.48</v>
      </c>
      <c r="AO4" t="s">
        <v>143</v>
      </c>
      <c r="AP4" t="s">
        <v>144</v>
      </c>
      <c r="AQ4" t="s">
        <v>145</v>
      </c>
      <c r="AR4" t="s">
        <v>146</v>
      </c>
      <c r="AS4" t="s">
        <v>147</v>
      </c>
      <c r="AT4" t="s">
        <v>148</v>
      </c>
      <c r="AU4" t="s">
        <v>149</v>
      </c>
      <c r="AV4" t="s">
        <v>150</v>
      </c>
      <c r="AW4" t="s">
        <v>151</v>
      </c>
      <c r="AX4" t="s">
        <v>152</v>
      </c>
      <c r="AY4" t="s">
        <v>153</v>
      </c>
      <c r="AZ4" t="s">
        <v>152</v>
      </c>
      <c r="BA4">
        <v>1</v>
      </c>
      <c r="BB4">
        <v>1187.4000000000001</v>
      </c>
      <c r="BC4">
        <v>4.58</v>
      </c>
      <c r="BD4">
        <v>2.12</v>
      </c>
      <c r="BE4">
        <v>2.0099999999999998</v>
      </c>
      <c r="BF4">
        <v>1.86</v>
      </c>
      <c r="BG4" t="s">
        <v>154</v>
      </c>
      <c r="BH4" t="s">
        <v>155</v>
      </c>
      <c r="BI4" t="s">
        <v>152</v>
      </c>
      <c r="BJ4" t="s">
        <v>101</v>
      </c>
      <c r="BK4" t="s">
        <v>156</v>
      </c>
      <c r="BL4" t="s">
        <v>157</v>
      </c>
      <c r="BM4" t="s">
        <v>158</v>
      </c>
      <c r="BN4" t="s">
        <v>105</v>
      </c>
    </row>
    <row r="5" spans="1:66" x14ac:dyDescent="0.25">
      <c r="A5" t="str">
        <f>HYPERLINK("https://elite.finviz.com/quote.ashx?t=MAC&amp;ty=c&amp;p=d&amp;b=1", "MAC")</f>
        <v>MAC</v>
      </c>
      <c r="B5">
        <v>8</v>
      </c>
      <c r="C5">
        <v>162.22</v>
      </c>
      <c r="D5">
        <v>49.58</v>
      </c>
      <c r="E5" t="s">
        <v>159</v>
      </c>
      <c r="F5" t="s">
        <v>67</v>
      </c>
      <c r="G5" t="s">
        <v>68</v>
      </c>
      <c r="H5" t="s">
        <v>160</v>
      </c>
      <c r="I5" t="s">
        <v>70</v>
      </c>
      <c r="J5" t="s">
        <v>71</v>
      </c>
      <c r="K5">
        <v>4629.3999999999996</v>
      </c>
      <c r="L5">
        <v>17.559999999999999</v>
      </c>
      <c r="M5" t="s">
        <v>161</v>
      </c>
      <c r="N5">
        <v>982875</v>
      </c>
      <c r="R5">
        <v>5.01</v>
      </c>
      <c r="S5">
        <v>1.72</v>
      </c>
      <c r="T5" t="s">
        <v>162</v>
      </c>
      <c r="U5">
        <v>0.51</v>
      </c>
      <c r="V5" t="s">
        <v>163</v>
      </c>
      <c r="W5" t="s">
        <v>164</v>
      </c>
      <c r="X5" t="s">
        <v>165</v>
      </c>
      <c r="Y5" t="s">
        <v>166</v>
      </c>
      <c r="AA5">
        <v>-0.59</v>
      </c>
      <c r="AB5" t="s">
        <v>167</v>
      </c>
      <c r="AD5" t="s">
        <v>168</v>
      </c>
      <c r="AE5" t="s">
        <v>169</v>
      </c>
      <c r="AF5" t="s">
        <v>170</v>
      </c>
      <c r="AG5" t="s">
        <v>171</v>
      </c>
      <c r="AH5" t="s">
        <v>172</v>
      </c>
      <c r="AI5" t="s">
        <v>173</v>
      </c>
      <c r="AJ5" t="s">
        <v>174</v>
      </c>
      <c r="AK5" t="s">
        <v>175</v>
      </c>
      <c r="AL5">
        <v>0.53</v>
      </c>
      <c r="AM5">
        <v>0.53</v>
      </c>
      <c r="AN5">
        <v>2.4900000000000002</v>
      </c>
      <c r="AO5" t="s">
        <v>176</v>
      </c>
      <c r="AP5" t="s">
        <v>177</v>
      </c>
      <c r="AQ5" t="s">
        <v>178</v>
      </c>
      <c r="AR5" t="s">
        <v>179</v>
      </c>
      <c r="AS5" t="s">
        <v>180</v>
      </c>
      <c r="AT5" t="s">
        <v>181</v>
      </c>
      <c r="AU5" t="s">
        <v>182</v>
      </c>
      <c r="AV5" t="s">
        <v>183</v>
      </c>
      <c r="AW5" t="s">
        <v>184</v>
      </c>
      <c r="AX5" t="s">
        <v>185</v>
      </c>
      <c r="AY5" t="s">
        <v>186</v>
      </c>
      <c r="AZ5" t="s">
        <v>187</v>
      </c>
      <c r="BA5">
        <v>2.59</v>
      </c>
      <c r="BB5">
        <v>1746</v>
      </c>
      <c r="BC5">
        <v>1.98</v>
      </c>
      <c r="BD5">
        <v>16.760000000000002</v>
      </c>
      <c r="BE5">
        <v>17.78</v>
      </c>
      <c r="BF5">
        <v>17.12</v>
      </c>
      <c r="BG5" t="s">
        <v>188</v>
      </c>
      <c r="BH5" t="s">
        <v>189</v>
      </c>
      <c r="BI5" t="s">
        <v>190</v>
      </c>
      <c r="BJ5" t="s">
        <v>101</v>
      </c>
      <c r="BK5" t="s">
        <v>191</v>
      </c>
      <c r="BL5" t="s">
        <v>192</v>
      </c>
      <c r="BM5" t="s">
        <v>193</v>
      </c>
      <c r="BN5" t="s">
        <v>105</v>
      </c>
    </row>
    <row r="6" spans="1:66" x14ac:dyDescent="0.25">
      <c r="A6" t="str">
        <f>HYPERLINK("https://elite.finviz.com/quote.ashx?t=BXP&amp;ty=c&amp;p=d&amp;b=1", "BXP")</f>
        <v>BXP</v>
      </c>
      <c r="B6">
        <v>8</v>
      </c>
      <c r="C6">
        <v>162.22</v>
      </c>
      <c r="D6">
        <v>50.41</v>
      </c>
      <c r="E6" t="s">
        <v>194</v>
      </c>
      <c r="F6" t="s">
        <v>195</v>
      </c>
      <c r="G6" t="s">
        <v>68</v>
      </c>
      <c r="H6" t="s">
        <v>69</v>
      </c>
      <c r="I6" t="s">
        <v>70</v>
      </c>
      <c r="J6" t="s">
        <v>71</v>
      </c>
      <c r="K6">
        <v>12890.85</v>
      </c>
      <c r="L6">
        <v>74.05</v>
      </c>
      <c r="M6" t="s">
        <v>196</v>
      </c>
      <c r="N6">
        <v>984666</v>
      </c>
      <c r="O6">
        <v>3739.9</v>
      </c>
      <c r="P6">
        <v>38.24</v>
      </c>
      <c r="Q6">
        <v>20.27</v>
      </c>
      <c r="R6">
        <v>3.73</v>
      </c>
      <c r="S6">
        <v>2.23</v>
      </c>
      <c r="T6" t="s">
        <v>197</v>
      </c>
      <c r="U6">
        <v>3.8</v>
      </c>
      <c r="V6" t="s">
        <v>198</v>
      </c>
      <c r="W6" t="s">
        <v>164</v>
      </c>
      <c r="X6" t="s">
        <v>164</v>
      </c>
      <c r="Y6" t="s">
        <v>149</v>
      </c>
      <c r="Z6" t="s">
        <v>199</v>
      </c>
      <c r="AA6">
        <v>0.02</v>
      </c>
      <c r="AB6" t="s">
        <v>200</v>
      </c>
      <c r="AC6" t="s">
        <v>201</v>
      </c>
      <c r="AD6" t="s">
        <v>202</v>
      </c>
      <c r="AE6" t="s">
        <v>203</v>
      </c>
      <c r="AF6" t="s">
        <v>204</v>
      </c>
      <c r="AG6" t="s">
        <v>205</v>
      </c>
      <c r="AH6" t="s">
        <v>206</v>
      </c>
      <c r="AI6" t="s">
        <v>207</v>
      </c>
      <c r="AJ6" t="s">
        <v>164</v>
      </c>
      <c r="AK6" t="s">
        <v>208</v>
      </c>
      <c r="AL6">
        <v>2.92</v>
      </c>
      <c r="AM6">
        <v>2.92</v>
      </c>
      <c r="AN6">
        <v>3.15</v>
      </c>
      <c r="AO6" t="s">
        <v>209</v>
      </c>
      <c r="AP6" t="s">
        <v>210</v>
      </c>
      <c r="AQ6" t="s">
        <v>211</v>
      </c>
      <c r="AR6" t="s">
        <v>212</v>
      </c>
      <c r="AS6" t="s">
        <v>213</v>
      </c>
      <c r="AT6" t="s">
        <v>214</v>
      </c>
      <c r="AU6" t="s">
        <v>215</v>
      </c>
      <c r="AV6" t="s">
        <v>216</v>
      </c>
      <c r="AW6" t="s">
        <v>217</v>
      </c>
      <c r="AX6" t="s">
        <v>218</v>
      </c>
      <c r="AY6" t="s">
        <v>219</v>
      </c>
      <c r="AZ6" t="s">
        <v>220</v>
      </c>
      <c r="BA6">
        <v>2.41</v>
      </c>
      <c r="BB6">
        <v>1830.5</v>
      </c>
      <c r="BC6">
        <v>1.9</v>
      </c>
      <c r="BD6">
        <v>75.36</v>
      </c>
      <c r="BE6">
        <v>75.540000000000006</v>
      </c>
      <c r="BF6">
        <v>74.010000000000005</v>
      </c>
      <c r="BG6" t="s">
        <v>221</v>
      </c>
      <c r="BH6" t="s">
        <v>167</v>
      </c>
      <c r="BI6" t="s">
        <v>222</v>
      </c>
      <c r="BJ6" t="s">
        <v>101</v>
      </c>
      <c r="BK6" t="s">
        <v>223</v>
      </c>
      <c r="BL6" t="s">
        <v>224</v>
      </c>
      <c r="BM6" t="s">
        <v>225</v>
      </c>
      <c r="BN6" t="s">
        <v>105</v>
      </c>
    </row>
    <row r="7" spans="1:66" x14ac:dyDescent="0.25">
      <c r="A7" t="str">
        <f>HYPERLINK("https://elite.finviz.com/quote.ashx?t=ORCL&amp;ty=c&amp;p=d&amp;b=1", "ORCL")</f>
        <v>ORCL</v>
      </c>
      <c r="B7">
        <v>8</v>
      </c>
      <c r="C7">
        <v>162.22</v>
      </c>
      <c r="D7">
        <v>52.9</v>
      </c>
      <c r="E7" t="s">
        <v>226</v>
      </c>
      <c r="F7" t="s">
        <v>195</v>
      </c>
      <c r="G7" t="s">
        <v>108</v>
      </c>
      <c r="H7" t="s">
        <v>109</v>
      </c>
      <c r="I7" t="s">
        <v>70</v>
      </c>
      <c r="J7" t="s">
        <v>71</v>
      </c>
      <c r="K7">
        <v>813611.16</v>
      </c>
      <c r="L7">
        <v>286.31</v>
      </c>
      <c r="M7" t="s">
        <v>181</v>
      </c>
      <c r="N7">
        <v>9657119</v>
      </c>
      <c r="O7">
        <v>66.28</v>
      </c>
      <c r="P7">
        <v>35.61</v>
      </c>
      <c r="Q7">
        <v>2.9</v>
      </c>
      <c r="R7">
        <v>13.79</v>
      </c>
      <c r="S7">
        <v>33.68</v>
      </c>
      <c r="T7" t="s">
        <v>227</v>
      </c>
      <c r="U7">
        <v>1.8</v>
      </c>
      <c r="V7" t="s">
        <v>228</v>
      </c>
      <c r="W7" t="s">
        <v>229</v>
      </c>
      <c r="X7" t="s">
        <v>230</v>
      </c>
      <c r="Y7" t="s">
        <v>231</v>
      </c>
      <c r="Z7" t="s">
        <v>232</v>
      </c>
      <c r="AA7">
        <v>4.32</v>
      </c>
      <c r="AB7" t="s">
        <v>233</v>
      </c>
      <c r="AC7" t="s">
        <v>234</v>
      </c>
      <c r="AD7" t="s">
        <v>235</v>
      </c>
      <c r="AE7" t="s">
        <v>236</v>
      </c>
      <c r="AF7" t="s">
        <v>237</v>
      </c>
      <c r="AG7" t="s">
        <v>238</v>
      </c>
      <c r="AH7" t="s">
        <v>239</v>
      </c>
      <c r="AI7" t="s">
        <v>240</v>
      </c>
      <c r="AJ7" t="s">
        <v>241</v>
      </c>
      <c r="AK7" t="s">
        <v>242</v>
      </c>
      <c r="AL7">
        <v>0.62</v>
      </c>
      <c r="AM7">
        <v>0.62</v>
      </c>
      <c r="AN7">
        <v>4.62</v>
      </c>
      <c r="AO7" t="s">
        <v>243</v>
      </c>
      <c r="AP7" t="s">
        <v>244</v>
      </c>
      <c r="AQ7" t="s">
        <v>245</v>
      </c>
      <c r="AR7" t="s">
        <v>246</v>
      </c>
      <c r="AS7" t="s">
        <v>247</v>
      </c>
      <c r="AT7" t="s">
        <v>248</v>
      </c>
      <c r="AU7" t="s">
        <v>249</v>
      </c>
      <c r="AV7" t="s">
        <v>250</v>
      </c>
      <c r="AW7" t="s">
        <v>251</v>
      </c>
      <c r="AX7" t="s">
        <v>252</v>
      </c>
      <c r="AY7" t="s">
        <v>251</v>
      </c>
      <c r="AZ7" t="s">
        <v>253</v>
      </c>
      <c r="BA7">
        <v>1.8</v>
      </c>
      <c r="BB7">
        <v>19390.04</v>
      </c>
      <c r="BC7">
        <v>1.75</v>
      </c>
      <c r="BD7">
        <v>291.33</v>
      </c>
      <c r="BE7">
        <v>293.98</v>
      </c>
      <c r="BF7">
        <v>285.08</v>
      </c>
      <c r="BG7" t="s">
        <v>254</v>
      </c>
      <c r="BH7" t="s">
        <v>251</v>
      </c>
      <c r="BI7" t="s">
        <v>255</v>
      </c>
      <c r="BJ7" t="s">
        <v>101</v>
      </c>
      <c r="BK7" t="s">
        <v>256</v>
      </c>
      <c r="BL7" t="s">
        <v>257</v>
      </c>
      <c r="BM7" t="s">
        <v>258</v>
      </c>
      <c r="BN7" t="s">
        <v>105</v>
      </c>
    </row>
    <row r="8" spans="1:66" x14ac:dyDescent="0.25">
      <c r="A8" t="str">
        <f>HYPERLINK("https://elite.finviz.com/quote.ashx?t=MIR&amp;ty=c&amp;p=d&amp;b=1", "MIR")</f>
        <v>MIR</v>
      </c>
      <c r="B8">
        <v>8</v>
      </c>
      <c r="C8">
        <v>162.22</v>
      </c>
      <c r="D8">
        <v>53.19</v>
      </c>
      <c r="E8" t="s">
        <v>259</v>
      </c>
      <c r="F8" t="s">
        <v>67</v>
      </c>
      <c r="G8" t="s">
        <v>260</v>
      </c>
      <c r="H8" t="s">
        <v>261</v>
      </c>
      <c r="I8" t="s">
        <v>70</v>
      </c>
      <c r="J8" t="s">
        <v>71</v>
      </c>
      <c r="K8">
        <v>5390.59</v>
      </c>
      <c r="L8">
        <v>23.04</v>
      </c>
      <c r="M8" t="s">
        <v>262</v>
      </c>
      <c r="N8">
        <v>12058700</v>
      </c>
      <c r="O8">
        <v>566.09</v>
      </c>
      <c r="P8">
        <v>39.86</v>
      </c>
      <c r="Q8">
        <v>30.47</v>
      </c>
      <c r="R8">
        <v>6.08</v>
      </c>
      <c r="S8">
        <v>3.63</v>
      </c>
      <c r="AA8">
        <v>0.04</v>
      </c>
      <c r="AB8" t="s">
        <v>263</v>
      </c>
      <c r="AD8" t="s">
        <v>264</v>
      </c>
      <c r="AE8" t="s">
        <v>265</v>
      </c>
      <c r="AF8" t="s">
        <v>266</v>
      </c>
      <c r="AH8" t="s">
        <v>267</v>
      </c>
      <c r="AI8" t="s">
        <v>268</v>
      </c>
      <c r="AJ8" t="s">
        <v>269</v>
      </c>
      <c r="AK8" t="s">
        <v>270</v>
      </c>
      <c r="AL8">
        <v>2.54</v>
      </c>
      <c r="AM8">
        <v>2.0099999999999998</v>
      </c>
      <c r="AN8">
        <v>0.59</v>
      </c>
      <c r="AO8" t="s">
        <v>271</v>
      </c>
      <c r="AP8" t="s">
        <v>272</v>
      </c>
      <c r="AQ8" t="s">
        <v>273</v>
      </c>
      <c r="AR8" t="s">
        <v>274</v>
      </c>
      <c r="AS8" t="s">
        <v>275</v>
      </c>
      <c r="AT8" t="s">
        <v>212</v>
      </c>
      <c r="AU8" t="s">
        <v>276</v>
      </c>
      <c r="AV8" t="s">
        <v>277</v>
      </c>
      <c r="AW8" t="s">
        <v>278</v>
      </c>
      <c r="AX8" t="s">
        <v>279</v>
      </c>
      <c r="AY8" t="s">
        <v>278</v>
      </c>
      <c r="AZ8" t="s">
        <v>280</v>
      </c>
      <c r="BA8">
        <v>1.1399999999999999</v>
      </c>
      <c r="BB8">
        <v>4042.92</v>
      </c>
      <c r="BC8">
        <v>10.51</v>
      </c>
      <c r="BD8">
        <v>21.43</v>
      </c>
      <c r="BE8">
        <v>23.27</v>
      </c>
      <c r="BF8">
        <v>22.26</v>
      </c>
      <c r="BG8" t="s">
        <v>281</v>
      </c>
      <c r="BH8" t="s">
        <v>278</v>
      </c>
      <c r="BI8" t="s">
        <v>282</v>
      </c>
      <c r="BJ8" t="s">
        <v>101</v>
      </c>
      <c r="BK8" t="s">
        <v>283</v>
      </c>
      <c r="BL8" t="s">
        <v>284</v>
      </c>
      <c r="BM8" t="s">
        <v>285</v>
      </c>
      <c r="BN8" t="s">
        <v>105</v>
      </c>
    </row>
    <row r="9" spans="1:66" x14ac:dyDescent="0.25">
      <c r="A9" t="str">
        <f>HYPERLINK("https://elite.finviz.com/quote.ashx?t=XIFR&amp;ty=c&amp;p=d&amp;b=1", "XIFR")</f>
        <v>XIFR</v>
      </c>
      <c r="B9">
        <v>8</v>
      </c>
      <c r="C9">
        <v>162.22</v>
      </c>
      <c r="D9">
        <v>53.4</v>
      </c>
      <c r="E9" t="s">
        <v>286</v>
      </c>
      <c r="F9" t="s">
        <v>107</v>
      </c>
      <c r="G9" t="s">
        <v>287</v>
      </c>
      <c r="H9" t="s">
        <v>288</v>
      </c>
      <c r="I9" t="s">
        <v>70</v>
      </c>
      <c r="J9" t="s">
        <v>71</v>
      </c>
      <c r="K9">
        <v>1898.46</v>
      </c>
      <c r="L9">
        <v>10.1</v>
      </c>
      <c r="M9" t="s">
        <v>289</v>
      </c>
      <c r="N9">
        <v>944362</v>
      </c>
      <c r="P9">
        <v>5.35</v>
      </c>
      <c r="R9">
        <v>1.54</v>
      </c>
      <c r="S9">
        <v>0.3</v>
      </c>
      <c r="T9" t="s">
        <v>290</v>
      </c>
      <c r="U9">
        <v>0.92</v>
      </c>
      <c r="W9" t="s">
        <v>291</v>
      </c>
      <c r="X9" t="s">
        <v>292</v>
      </c>
      <c r="Y9" t="s">
        <v>293</v>
      </c>
      <c r="AA9">
        <v>-1.71</v>
      </c>
      <c r="AC9" t="s">
        <v>294</v>
      </c>
      <c r="AE9" t="s">
        <v>295</v>
      </c>
      <c r="AF9" t="s">
        <v>296</v>
      </c>
      <c r="AG9" t="s">
        <v>297</v>
      </c>
      <c r="AH9" t="s">
        <v>298</v>
      </c>
      <c r="AI9" t="s">
        <v>299</v>
      </c>
      <c r="AJ9" t="s">
        <v>164</v>
      </c>
      <c r="AK9" t="s">
        <v>300</v>
      </c>
      <c r="AL9">
        <v>0.77</v>
      </c>
      <c r="AM9">
        <v>0.72</v>
      </c>
      <c r="AN9">
        <v>2.08</v>
      </c>
      <c r="AO9" t="s">
        <v>301</v>
      </c>
      <c r="AP9" t="s">
        <v>302</v>
      </c>
      <c r="AQ9" t="s">
        <v>303</v>
      </c>
      <c r="AR9" t="s">
        <v>304</v>
      </c>
      <c r="AS9" t="s">
        <v>305</v>
      </c>
      <c r="AT9" t="s">
        <v>306</v>
      </c>
      <c r="AU9" t="s">
        <v>307</v>
      </c>
      <c r="AV9" t="s">
        <v>308</v>
      </c>
      <c r="AW9" t="s">
        <v>309</v>
      </c>
      <c r="AX9" t="s">
        <v>310</v>
      </c>
      <c r="AY9" t="s">
        <v>311</v>
      </c>
      <c r="AZ9" t="s">
        <v>312</v>
      </c>
      <c r="BA9">
        <v>3.33</v>
      </c>
      <c r="BB9">
        <v>1204.78</v>
      </c>
      <c r="BC9">
        <v>2.76</v>
      </c>
      <c r="BD9">
        <v>9.7100000000000009</v>
      </c>
      <c r="BE9">
        <v>10.119999999999999</v>
      </c>
      <c r="BF9">
        <v>9.68</v>
      </c>
      <c r="BG9" t="s">
        <v>313</v>
      </c>
      <c r="BH9" t="s">
        <v>314</v>
      </c>
      <c r="BI9" t="s">
        <v>312</v>
      </c>
      <c r="BJ9" t="s">
        <v>101</v>
      </c>
      <c r="BK9" t="s">
        <v>315</v>
      </c>
      <c r="BL9" t="s">
        <v>316</v>
      </c>
      <c r="BM9" t="s">
        <v>317</v>
      </c>
      <c r="BN9" t="s">
        <v>105</v>
      </c>
    </row>
    <row r="10" spans="1:66" x14ac:dyDescent="0.25">
      <c r="A10" t="str">
        <f>HYPERLINK("https://elite.finviz.com/quote.ashx?t=PCAR&amp;ty=c&amp;p=d&amp;b=1", "PCAR")</f>
        <v>PCAR</v>
      </c>
      <c r="B10">
        <v>8</v>
      </c>
      <c r="C10">
        <v>162.22</v>
      </c>
      <c r="D10">
        <v>53.58</v>
      </c>
      <c r="E10" t="s">
        <v>318</v>
      </c>
      <c r="F10" t="s">
        <v>319</v>
      </c>
      <c r="G10" t="s">
        <v>260</v>
      </c>
      <c r="H10" t="s">
        <v>320</v>
      </c>
      <c r="I10" t="s">
        <v>70</v>
      </c>
      <c r="J10" t="s">
        <v>321</v>
      </c>
      <c r="K10">
        <v>52774.41</v>
      </c>
      <c r="L10">
        <v>100.5</v>
      </c>
      <c r="M10" t="s">
        <v>322</v>
      </c>
      <c r="N10">
        <v>2823445</v>
      </c>
      <c r="O10">
        <v>17.22</v>
      </c>
      <c r="P10">
        <v>15.95</v>
      </c>
      <c r="R10">
        <v>1.7</v>
      </c>
      <c r="S10">
        <v>2.79</v>
      </c>
      <c r="T10" t="s">
        <v>323</v>
      </c>
      <c r="U10">
        <v>1.28</v>
      </c>
      <c r="V10" t="s">
        <v>324</v>
      </c>
      <c r="W10" t="s">
        <v>325</v>
      </c>
      <c r="X10" t="s">
        <v>326</v>
      </c>
      <c r="Y10" t="s">
        <v>327</v>
      </c>
      <c r="Z10" t="s">
        <v>328</v>
      </c>
      <c r="AA10">
        <v>5.83</v>
      </c>
      <c r="AB10" t="s">
        <v>329</v>
      </c>
      <c r="AC10" t="s">
        <v>330</v>
      </c>
      <c r="AD10" t="s">
        <v>331</v>
      </c>
      <c r="AE10" t="s">
        <v>332</v>
      </c>
      <c r="AF10" t="s">
        <v>333</v>
      </c>
      <c r="AG10" t="s">
        <v>334</v>
      </c>
      <c r="AH10" t="s">
        <v>335</v>
      </c>
      <c r="AI10" t="s">
        <v>336</v>
      </c>
      <c r="AJ10" t="s">
        <v>337</v>
      </c>
      <c r="AK10" t="s">
        <v>338</v>
      </c>
      <c r="AL10">
        <v>2.25</v>
      </c>
      <c r="AM10">
        <v>1.85</v>
      </c>
      <c r="AN10">
        <v>0.84</v>
      </c>
      <c r="AO10" t="s">
        <v>339</v>
      </c>
      <c r="AP10" t="s">
        <v>340</v>
      </c>
      <c r="AQ10" t="s">
        <v>341</v>
      </c>
      <c r="AR10" t="s">
        <v>342</v>
      </c>
      <c r="AS10" t="s">
        <v>180</v>
      </c>
      <c r="AT10" t="s">
        <v>343</v>
      </c>
      <c r="AU10" t="s">
        <v>192</v>
      </c>
      <c r="AV10" t="s">
        <v>344</v>
      </c>
      <c r="AW10" t="s">
        <v>345</v>
      </c>
      <c r="AX10" t="s">
        <v>346</v>
      </c>
      <c r="AY10" t="s">
        <v>303</v>
      </c>
      <c r="AZ10" t="s">
        <v>347</v>
      </c>
      <c r="BA10">
        <v>2.57</v>
      </c>
      <c r="BB10">
        <v>2870.53</v>
      </c>
      <c r="BC10">
        <v>3.47</v>
      </c>
      <c r="BD10">
        <v>95.57</v>
      </c>
      <c r="BE10">
        <v>102.28</v>
      </c>
      <c r="BF10">
        <v>99.1</v>
      </c>
      <c r="BG10" t="s">
        <v>348</v>
      </c>
      <c r="BH10" t="s">
        <v>349</v>
      </c>
      <c r="BI10" t="s">
        <v>350</v>
      </c>
      <c r="BJ10" t="s">
        <v>101</v>
      </c>
      <c r="BK10" t="s">
        <v>351</v>
      </c>
      <c r="BL10" t="s">
        <v>352</v>
      </c>
      <c r="BM10" t="s">
        <v>353</v>
      </c>
      <c r="BN10" t="s">
        <v>105</v>
      </c>
    </row>
    <row r="11" spans="1:66" x14ac:dyDescent="0.25">
      <c r="A11" s="2" t="str">
        <f>HYPERLINK("https://elite.finviz.com/quote.ashx?t=MP&amp;ty=c&amp;p=d&amp;b=1", "MP")</f>
        <v>MP</v>
      </c>
      <c r="B11">
        <v>8</v>
      </c>
      <c r="C11">
        <v>162.22</v>
      </c>
      <c r="D11">
        <v>53.97</v>
      </c>
      <c r="E11" t="s">
        <v>354</v>
      </c>
      <c r="F11" t="s">
        <v>107</v>
      </c>
      <c r="G11" t="s">
        <v>355</v>
      </c>
      <c r="H11" t="s">
        <v>356</v>
      </c>
      <c r="I11" t="s">
        <v>70</v>
      </c>
      <c r="J11" t="s">
        <v>71</v>
      </c>
      <c r="K11">
        <v>12572.19</v>
      </c>
      <c r="L11">
        <v>70.989999999999995</v>
      </c>
      <c r="M11" t="s">
        <v>357</v>
      </c>
      <c r="N11">
        <v>7100043</v>
      </c>
      <c r="P11">
        <v>82.18</v>
      </c>
      <c r="R11">
        <v>51.93</v>
      </c>
      <c r="S11">
        <v>11.48</v>
      </c>
      <c r="AA11">
        <v>-0.62</v>
      </c>
      <c r="AC11" t="s">
        <v>358</v>
      </c>
      <c r="AE11" t="s">
        <v>359</v>
      </c>
      <c r="AF11" t="s">
        <v>360</v>
      </c>
      <c r="AG11" t="s">
        <v>361</v>
      </c>
      <c r="AH11" t="s">
        <v>362</v>
      </c>
      <c r="AI11" t="s">
        <v>363</v>
      </c>
      <c r="AJ11" t="s">
        <v>364</v>
      </c>
      <c r="AK11" t="s">
        <v>365</v>
      </c>
      <c r="AL11">
        <v>3.6</v>
      </c>
      <c r="AM11">
        <v>3.12</v>
      </c>
      <c r="AN11">
        <v>0.91</v>
      </c>
      <c r="AO11" t="s">
        <v>366</v>
      </c>
      <c r="AP11" t="s">
        <v>367</v>
      </c>
      <c r="AQ11" t="s">
        <v>368</v>
      </c>
      <c r="AR11" t="s">
        <v>369</v>
      </c>
      <c r="AS11" t="s">
        <v>370</v>
      </c>
      <c r="AT11" t="s">
        <v>371</v>
      </c>
      <c r="AU11" t="s">
        <v>372</v>
      </c>
      <c r="AV11" t="s">
        <v>373</v>
      </c>
      <c r="AW11" t="s">
        <v>374</v>
      </c>
      <c r="AX11" t="s">
        <v>375</v>
      </c>
      <c r="AY11" t="s">
        <v>374</v>
      </c>
      <c r="AZ11" t="s">
        <v>376</v>
      </c>
      <c r="BA11">
        <v>1.86</v>
      </c>
      <c r="BB11">
        <v>15572.79</v>
      </c>
      <c r="BC11">
        <v>1.61</v>
      </c>
      <c r="BD11">
        <v>77.13</v>
      </c>
      <c r="BE11">
        <v>77.08</v>
      </c>
      <c r="BF11">
        <v>70.72</v>
      </c>
      <c r="BG11" t="s">
        <v>377</v>
      </c>
      <c r="BH11" t="s">
        <v>374</v>
      </c>
      <c r="BI11" t="s">
        <v>378</v>
      </c>
      <c r="BJ11" t="s">
        <v>101</v>
      </c>
      <c r="BK11" t="s">
        <v>379</v>
      </c>
      <c r="BL11" t="s">
        <v>380</v>
      </c>
      <c r="BM11" t="s">
        <v>381</v>
      </c>
      <c r="BN11" t="s">
        <v>105</v>
      </c>
    </row>
    <row r="12" spans="1:66" x14ac:dyDescent="0.25">
      <c r="A12" t="str">
        <f>HYPERLINK("https://elite.finviz.com/quote.ashx?t=ATCH&amp;ty=c&amp;p=d&amp;b=1", "ATCH")</f>
        <v>ATCH</v>
      </c>
      <c r="B12">
        <v>8</v>
      </c>
      <c r="C12">
        <v>162.22</v>
      </c>
      <c r="D12">
        <v>54.24</v>
      </c>
      <c r="E12" t="s">
        <v>382</v>
      </c>
      <c r="F12" t="s">
        <v>107</v>
      </c>
      <c r="G12" t="s">
        <v>108</v>
      </c>
      <c r="H12" t="s">
        <v>109</v>
      </c>
      <c r="I12" t="s">
        <v>70</v>
      </c>
      <c r="J12" t="s">
        <v>383</v>
      </c>
      <c r="K12">
        <v>11.31</v>
      </c>
      <c r="L12">
        <v>0.73</v>
      </c>
      <c r="M12" t="s">
        <v>384</v>
      </c>
      <c r="N12">
        <v>26798743</v>
      </c>
      <c r="R12">
        <v>2.83</v>
      </c>
      <c r="AA12">
        <v>-625.5</v>
      </c>
      <c r="AH12" t="s">
        <v>385</v>
      </c>
      <c r="AJ12" t="s">
        <v>386</v>
      </c>
      <c r="AK12" t="s">
        <v>387</v>
      </c>
      <c r="AL12">
        <v>0.71</v>
      </c>
      <c r="AM12">
        <v>0.71</v>
      </c>
      <c r="AO12" t="s">
        <v>388</v>
      </c>
      <c r="AP12" t="s">
        <v>389</v>
      </c>
      <c r="AQ12" t="s">
        <v>390</v>
      </c>
      <c r="AR12" t="s">
        <v>391</v>
      </c>
      <c r="AS12" t="s">
        <v>392</v>
      </c>
      <c r="AT12" t="s">
        <v>393</v>
      </c>
      <c r="AU12" t="s">
        <v>394</v>
      </c>
      <c r="AV12" t="s">
        <v>395</v>
      </c>
      <c r="AW12" t="s">
        <v>396</v>
      </c>
      <c r="AX12" t="s">
        <v>397</v>
      </c>
      <c r="AY12" t="s">
        <v>398</v>
      </c>
      <c r="AZ12" t="s">
        <v>397</v>
      </c>
      <c r="BA12">
        <v>1</v>
      </c>
      <c r="BB12">
        <v>45961.279999999999</v>
      </c>
      <c r="BC12">
        <v>2.0499999999999998</v>
      </c>
      <c r="BD12">
        <v>0.83</v>
      </c>
      <c r="BE12">
        <v>0.84</v>
      </c>
      <c r="BF12">
        <v>0.72</v>
      </c>
      <c r="BG12" t="s">
        <v>399</v>
      </c>
      <c r="BH12" t="s">
        <v>400</v>
      </c>
      <c r="BI12" t="s">
        <v>397</v>
      </c>
      <c r="BJ12" t="s">
        <v>101</v>
      </c>
      <c r="BK12" t="s">
        <v>401</v>
      </c>
      <c r="BL12" t="s">
        <v>402</v>
      </c>
      <c r="BM12" t="s">
        <v>403</v>
      </c>
      <c r="BN12" t="s">
        <v>105</v>
      </c>
    </row>
    <row r="13" spans="1:66" x14ac:dyDescent="0.25">
      <c r="A13" s="2" t="str">
        <f>HYPERLINK("https://elite.finviz.com/quote.ashx?t=CRWV&amp;ty=c&amp;p=d&amp;b=1", "CRWV")</f>
        <v>CRWV</v>
      </c>
      <c r="B13">
        <v>8</v>
      </c>
      <c r="C13">
        <v>162.22</v>
      </c>
      <c r="D13">
        <v>54.88</v>
      </c>
      <c r="E13" t="s">
        <v>404</v>
      </c>
      <c r="F13" t="s">
        <v>107</v>
      </c>
      <c r="G13" t="s">
        <v>108</v>
      </c>
      <c r="H13" t="s">
        <v>109</v>
      </c>
      <c r="I13" t="s">
        <v>70</v>
      </c>
      <c r="J13" t="s">
        <v>321</v>
      </c>
      <c r="K13">
        <v>59625.37</v>
      </c>
      <c r="L13">
        <v>122.04</v>
      </c>
      <c r="M13" t="s">
        <v>405</v>
      </c>
      <c r="N13">
        <v>12020624</v>
      </c>
      <c r="R13">
        <v>16.91</v>
      </c>
      <c r="S13">
        <v>21.04</v>
      </c>
      <c r="T13" t="s">
        <v>406</v>
      </c>
      <c r="AA13">
        <v>-2.4900000000000002</v>
      </c>
      <c r="AB13" t="s">
        <v>407</v>
      </c>
      <c r="AF13" t="s">
        <v>408</v>
      </c>
      <c r="AH13" t="s">
        <v>409</v>
      </c>
      <c r="AI13" t="s">
        <v>410</v>
      </c>
      <c r="AJ13" t="s">
        <v>411</v>
      </c>
      <c r="AK13" t="s">
        <v>412</v>
      </c>
      <c r="AL13">
        <v>0.52</v>
      </c>
      <c r="AM13">
        <v>0.52</v>
      </c>
      <c r="AN13">
        <v>3.81</v>
      </c>
      <c r="AO13" t="s">
        <v>413</v>
      </c>
      <c r="AP13" t="s">
        <v>414</v>
      </c>
      <c r="AQ13" t="s">
        <v>415</v>
      </c>
      <c r="AR13" t="s">
        <v>416</v>
      </c>
      <c r="AS13" t="s">
        <v>417</v>
      </c>
      <c r="AT13" t="s">
        <v>418</v>
      </c>
      <c r="AU13" t="s">
        <v>419</v>
      </c>
      <c r="AV13" t="s">
        <v>420</v>
      </c>
      <c r="AW13" t="s">
        <v>421</v>
      </c>
      <c r="AX13" t="s">
        <v>422</v>
      </c>
      <c r="AY13" t="s">
        <v>423</v>
      </c>
      <c r="AZ13" t="s">
        <v>424</v>
      </c>
      <c r="BA13">
        <v>2.21</v>
      </c>
      <c r="BB13">
        <v>22765.38</v>
      </c>
      <c r="BC13">
        <v>1.86</v>
      </c>
      <c r="BD13">
        <v>126.66</v>
      </c>
      <c r="BE13">
        <v>129.35</v>
      </c>
      <c r="BF13">
        <v>120.65</v>
      </c>
      <c r="BG13" t="s">
        <v>425</v>
      </c>
      <c r="BH13" t="s">
        <v>423</v>
      </c>
      <c r="BI13" t="s">
        <v>424</v>
      </c>
      <c r="BJ13" t="s">
        <v>101</v>
      </c>
      <c r="BK13" t="s">
        <v>426</v>
      </c>
      <c r="BN13" t="s">
        <v>105</v>
      </c>
    </row>
    <row r="14" spans="1:66" x14ac:dyDescent="0.25">
      <c r="A14" t="str">
        <f>HYPERLINK("https://elite.finviz.com/quote.ashx?t=IMUX&amp;ty=c&amp;p=d&amp;b=1", "IMUX")</f>
        <v>IMUX</v>
      </c>
      <c r="B14">
        <v>8</v>
      </c>
      <c r="C14">
        <v>162.22</v>
      </c>
      <c r="D14">
        <v>55.72</v>
      </c>
      <c r="E14" t="s">
        <v>427</v>
      </c>
      <c r="F14" t="s">
        <v>107</v>
      </c>
      <c r="G14" t="s">
        <v>428</v>
      </c>
      <c r="H14" t="s">
        <v>429</v>
      </c>
      <c r="I14" t="s">
        <v>70</v>
      </c>
      <c r="J14" t="s">
        <v>321</v>
      </c>
      <c r="K14">
        <v>88.82</v>
      </c>
      <c r="L14">
        <v>0.9</v>
      </c>
      <c r="M14" t="s">
        <v>430</v>
      </c>
      <c r="N14">
        <v>645936</v>
      </c>
      <c r="S14">
        <v>2.62</v>
      </c>
      <c r="AA14">
        <v>-0.97</v>
      </c>
      <c r="AB14" t="s">
        <v>431</v>
      </c>
      <c r="AC14" t="s">
        <v>432</v>
      </c>
      <c r="AD14" t="s">
        <v>433</v>
      </c>
      <c r="AI14" t="s">
        <v>434</v>
      </c>
      <c r="AJ14" t="s">
        <v>435</v>
      </c>
      <c r="AK14" t="s">
        <v>436</v>
      </c>
      <c r="AL14">
        <v>2.19</v>
      </c>
      <c r="AM14">
        <v>2.19</v>
      </c>
      <c r="AN14">
        <v>0.03</v>
      </c>
      <c r="AR14" t="s">
        <v>274</v>
      </c>
      <c r="AS14" t="s">
        <v>437</v>
      </c>
      <c r="AT14" t="s">
        <v>438</v>
      </c>
      <c r="AU14" t="s">
        <v>439</v>
      </c>
      <c r="AV14" t="s">
        <v>440</v>
      </c>
      <c r="AW14" t="s">
        <v>441</v>
      </c>
      <c r="AX14" t="s">
        <v>442</v>
      </c>
      <c r="AY14" t="s">
        <v>443</v>
      </c>
      <c r="AZ14" t="s">
        <v>444</v>
      </c>
      <c r="BA14">
        <v>1</v>
      </c>
      <c r="BB14">
        <v>1190.44</v>
      </c>
      <c r="BC14">
        <v>1.93</v>
      </c>
      <c r="BD14">
        <v>0.9</v>
      </c>
      <c r="BE14">
        <v>0.92</v>
      </c>
      <c r="BF14">
        <v>0.88</v>
      </c>
      <c r="BG14" t="s">
        <v>445</v>
      </c>
      <c r="BH14" t="s">
        <v>446</v>
      </c>
      <c r="BI14" t="s">
        <v>444</v>
      </c>
      <c r="BJ14" t="s">
        <v>101</v>
      </c>
      <c r="BK14" t="s">
        <v>447</v>
      </c>
      <c r="BL14" t="s">
        <v>448</v>
      </c>
      <c r="BM14" t="s">
        <v>449</v>
      </c>
      <c r="BN14" t="s">
        <v>105</v>
      </c>
    </row>
    <row r="15" spans="1:66" x14ac:dyDescent="0.25">
      <c r="A15" s="2" t="str">
        <f>HYPERLINK("https://elite.finviz.com/quote.ashx?t=TSHA&amp;ty=c&amp;p=d&amp;b=1", "TSHA")</f>
        <v>TSHA</v>
      </c>
      <c r="B15">
        <v>8</v>
      </c>
      <c r="C15">
        <v>162.22</v>
      </c>
      <c r="D15">
        <v>56.1</v>
      </c>
      <c r="E15" t="s">
        <v>450</v>
      </c>
      <c r="F15" t="s">
        <v>67</v>
      </c>
      <c r="G15" t="s">
        <v>428</v>
      </c>
      <c r="H15" t="s">
        <v>429</v>
      </c>
      <c r="I15" t="s">
        <v>70</v>
      </c>
      <c r="J15" t="s">
        <v>321</v>
      </c>
      <c r="K15">
        <v>856.57</v>
      </c>
      <c r="L15">
        <v>3.14</v>
      </c>
      <c r="M15" t="s">
        <v>451</v>
      </c>
      <c r="N15">
        <v>445404</v>
      </c>
      <c r="R15">
        <v>105.75</v>
      </c>
      <c r="S15">
        <v>3.44</v>
      </c>
      <c r="AA15">
        <v>-0.36</v>
      </c>
      <c r="AB15" t="s">
        <v>452</v>
      </c>
      <c r="AC15" t="s">
        <v>453</v>
      </c>
      <c r="AD15" t="s">
        <v>454</v>
      </c>
      <c r="AE15" t="s">
        <v>455</v>
      </c>
      <c r="AH15" t="s">
        <v>456</v>
      </c>
      <c r="AI15" t="s">
        <v>457</v>
      </c>
      <c r="AJ15" t="s">
        <v>458</v>
      </c>
      <c r="AK15" t="s">
        <v>459</v>
      </c>
      <c r="AL15">
        <v>12.48</v>
      </c>
      <c r="AM15">
        <v>12.48</v>
      </c>
      <c r="AN15">
        <v>0.24</v>
      </c>
      <c r="AO15" t="s">
        <v>460</v>
      </c>
      <c r="AP15" t="s">
        <v>461</v>
      </c>
      <c r="AQ15" t="s">
        <v>462</v>
      </c>
      <c r="AR15" t="s">
        <v>463</v>
      </c>
      <c r="AS15" t="s">
        <v>464</v>
      </c>
      <c r="AT15" t="s">
        <v>465</v>
      </c>
      <c r="AU15" t="s">
        <v>466</v>
      </c>
      <c r="AV15" t="s">
        <v>467</v>
      </c>
      <c r="AW15" t="s">
        <v>468</v>
      </c>
      <c r="AX15" t="s">
        <v>469</v>
      </c>
      <c r="AY15" t="s">
        <v>468</v>
      </c>
      <c r="AZ15" t="s">
        <v>470</v>
      </c>
      <c r="BA15">
        <v>1.08</v>
      </c>
      <c r="BB15">
        <v>3170.03</v>
      </c>
      <c r="BC15">
        <v>0.5</v>
      </c>
      <c r="BD15">
        <v>3.06</v>
      </c>
      <c r="BE15">
        <v>3.15</v>
      </c>
      <c r="BF15">
        <v>3.06</v>
      </c>
      <c r="BG15" t="s">
        <v>471</v>
      </c>
      <c r="BH15" t="s">
        <v>472</v>
      </c>
      <c r="BI15" t="s">
        <v>473</v>
      </c>
      <c r="BJ15" t="s">
        <v>101</v>
      </c>
      <c r="BK15" t="s">
        <v>474</v>
      </c>
      <c r="BL15" t="s">
        <v>475</v>
      </c>
      <c r="BM15" t="s">
        <v>476</v>
      </c>
      <c r="BN15" t="s">
        <v>105</v>
      </c>
    </row>
    <row r="16" spans="1:66" x14ac:dyDescent="0.25">
      <c r="A16" t="str">
        <f>HYPERLINK("https://elite.finviz.com/quote.ashx?t=USAR&amp;ty=c&amp;p=d&amp;b=1", "USAR")</f>
        <v>USAR</v>
      </c>
      <c r="B16">
        <v>8</v>
      </c>
      <c r="C16">
        <v>162.22</v>
      </c>
      <c r="D16">
        <v>56.16</v>
      </c>
      <c r="E16" t="s">
        <v>477</v>
      </c>
      <c r="F16" t="s">
        <v>107</v>
      </c>
      <c r="G16" t="s">
        <v>355</v>
      </c>
      <c r="H16" t="s">
        <v>356</v>
      </c>
      <c r="I16" t="s">
        <v>70</v>
      </c>
      <c r="J16" t="s">
        <v>321</v>
      </c>
      <c r="K16">
        <v>1634.83</v>
      </c>
      <c r="L16">
        <v>16.78</v>
      </c>
      <c r="M16" t="s">
        <v>478</v>
      </c>
      <c r="N16">
        <v>2933798</v>
      </c>
      <c r="Z16" t="s">
        <v>164</v>
      </c>
      <c r="AA16">
        <v>-0.83</v>
      </c>
      <c r="AD16" t="s">
        <v>479</v>
      </c>
      <c r="AI16" t="s">
        <v>480</v>
      </c>
      <c r="AJ16" t="s">
        <v>481</v>
      </c>
      <c r="AK16" t="s">
        <v>482</v>
      </c>
      <c r="AL16">
        <v>15.11</v>
      </c>
      <c r="AM16">
        <v>15.11</v>
      </c>
      <c r="AR16" t="s">
        <v>483</v>
      </c>
      <c r="AS16" t="s">
        <v>484</v>
      </c>
      <c r="AT16" t="s">
        <v>249</v>
      </c>
      <c r="AU16" t="s">
        <v>485</v>
      </c>
      <c r="AV16" t="s">
        <v>486</v>
      </c>
      <c r="AW16" t="s">
        <v>487</v>
      </c>
      <c r="AX16" t="s">
        <v>488</v>
      </c>
      <c r="AY16" t="s">
        <v>489</v>
      </c>
      <c r="AZ16" t="s">
        <v>490</v>
      </c>
      <c r="BA16">
        <v>1</v>
      </c>
      <c r="BB16">
        <v>5790.01</v>
      </c>
      <c r="BC16">
        <v>1.79</v>
      </c>
      <c r="BD16">
        <v>18.190000000000001</v>
      </c>
      <c r="BE16">
        <v>18.059999999999999</v>
      </c>
      <c r="BF16">
        <v>16.649999999999999</v>
      </c>
      <c r="BG16" t="s">
        <v>491</v>
      </c>
      <c r="BH16" t="s">
        <v>489</v>
      </c>
      <c r="BI16" t="s">
        <v>490</v>
      </c>
      <c r="BJ16" t="s">
        <v>101</v>
      </c>
      <c r="BK16" t="s">
        <v>492</v>
      </c>
      <c r="BL16" t="s">
        <v>493</v>
      </c>
      <c r="BM16" t="s">
        <v>494</v>
      </c>
      <c r="BN16" t="s">
        <v>105</v>
      </c>
    </row>
    <row r="17" spans="1:66" x14ac:dyDescent="0.25">
      <c r="A17" t="str">
        <f>HYPERLINK("https://elite.finviz.com/quote.ashx?t=QMCO&amp;ty=c&amp;p=d&amp;b=1", "QMCO")</f>
        <v>QMCO</v>
      </c>
      <c r="B17">
        <v>8</v>
      </c>
      <c r="C17">
        <v>162.22</v>
      </c>
      <c r="D17">
        <v>56.31</v>
      </c>
      <c r="E17" t="s">
        <v>495</v>
      </c>
      <c r="F17" t="s">
        <v>107</v>
      </c>
      <c r="G17" t="s">
        <v>108</v>
      </c>
      <c r="H17" t="s">
        <v>496</v>
      </c>
      <c r="I17" t="s">
        <v>70</v>
      </c>
      <c r="J17" t="s">
        <v>321</v>
      </c>
      <c r="K17">
        <v>128.4</v>
      </c>
      <c r="L17">
        <v>9.64</v>
      </c>
      <c r="M17" t="s">
        <v>497</v>
      </c>
      <c r="N17">
        <v>1167069</v>
      </c>
      <c r="R17">
        <v>0.48</v>
      </c>
      <c r="AA17">
        <v>-20.59</v>
      </c>
      <c r="AB17" t="s">
        <v>498</v>
      </c>
      <c r="AC17" t="s">
        <v>499</v>
      </c>
      <c r="AE17" t="s">
        <v>500</v>
      </c>
      <c r="AF17" t="s">
        <v>501</v>
      </c>
      <c r="AG17" t="s">
        <v>502</v>
      </c>
      <c r="AH17" t="s">
        <v>503</v>
      </c>
      <c r="AI17" t="s">
        <v>504</v>
      </c>
      <c r="AJ17" t="s">
        <v>505</v>
      </c>
      <c r="AK17" t="s">
        <v>506</v>
      </c>
      <c r="AL17">
        <v>0.53</v>
      </c>
      <c r="AM17">
        <v>0.44</v>
      </c>
      <c r="AO17" t="s">
        <v>507</v>
      </c>
      <c r="AP17" t="s">
        <v>508</v>
      </c>
      <c r="AQ17" t="s">
        <v>509</v>
      </c>
      <c r="AR17" t="s">
        <v>510</v>
      </c>
      <c r="AS17" t="s">
        <v>230</v>
      </c>
      <c r="AT17" t="s">
        <v>511</v>
      </c>
      <c r="AU17" t="s">
        <v>512</v>
      </c>
      <c r="AV17" t="s">
        <v>513</v>
      </c>
      <c r="AW17" t="s">
        <v>514</v>
      </c>
      <c r="AX17" t="s">
        <v>515</v>
      </c>
      <c r="AY17" t="s">
        <v>516</v>
      </c>
      <c r="AZ17" t="s">
        <v>517</v>
      </c>
      <c r="BA17">
        <v>3</v>
      </c>
      <c r="BB17">
        <v>1370.72</v>
      </c>
      <c r="BC17">
        <v>3</v>
      </c>
      <c r="BD17">
        <v>9.6199999999999992</v>
      </c>
      <c r="BE17">
        <v>10.19</v>
      </c>
      <c r="BF17">
        <v>9.41</v>
      </c>
      <c r="BG17" t="s">
        <v>518</v>
      </c>
      <c r="BH17" t="s">
        <v>519</v>
      </c>
      <c r="BI17" t="s">
        <v>520</v>
      </c>
      <c r="BJ17" t="s">
        <v>101</v>
      </c>
      <c r="BK17" t="s">
        <v>521</v>
      </c>
      <c r="BL17" t="s">
        <v>522</v>
      </c>
      <c r="BM17" t="s">
        <v>523</v>
      </c>
      <c r="BN17" t="s">
        <v>105</v>
      </c>
    </row>
    <row r="18" spans="1:66" x14ac:dyDescent="0.25">
      <c r="A18" t="str">
        <f>HYPERLINK("https://elite.finviz.com/quote.ashx?t=RR&amp;ty=c&amp;p=d&amp;b=1", "RR")</f>
        <v>RR</v>
      </c>
      <c r="B18">
        <v>8</v>
      </c>
      <c r="C18">
        <v>162.22</v>
      </c>
      <c r="D18">
        <v>56.74</v>
      </c>
      <c r="E18" t="s">
        <v>524</v>
      </c>
      <c r="F18" t="s">
        <v>67</v>
      </c>
      <c r="G18" t="s">
        <v>260</v>
      </c>
      <c r="H18" t="s">
        <v>261</v>
      </c>
      <c r="I18" t="s">
        <v>70</v>
      </c>
      <c r="J18" t="s">
        <v>321</v>
      </c>
      <c r="K18">
        <v>604.08000000000004</v>
      </c>
      <c r="L18">
        <v>4.03</v>
      </c>
      <c r="M18" t="s">
        <v>525</v>
      </c>
      <c r="N18">
        <v>13928536</v>
      </c>
      <c r="R18">
        <v>146.27000000000001</v>
      </c>
      <c r="S18">
        <v>5.27</v>
      </c>
      <c r="AA18">
        <v>-0.15</v>
      </c>
      <c r="AB18" t="s">
        <v>526</v>
      </c>
      <c r="AE18" t="s">
        <v>527</v>
      </c>
      <c r="AF18" t="s">
        <v>528</v>
      </c>
      <c r="AH18" t="s">
        <v>529</v>
      </c>
      <c r="AI18" t="s">
        <v>164</v>
      </c>
      <c r="AJ18" t="s">
        <v>530</v>
      </c>
      <c r="AK18" t="s">
        <v>531</v>
      </c>
      <c r="AL18">
        <v>120.23</v>
      </c>
      <c r="AM18">
        <v>118.23</v>
      </c>
      <c r="AN18">
        <v>0.01</v>
      </c>
      <c r="AO18" t="s">
        <v>532</v>
      </c>
      <c r="AP18" t="s">
        <v>533</v>
      </c>
      <c r="AQ18" t="s">
        <v>534</v>
      </c>
      <c r="AR18" t="s">
        <v>535</v>
      </c>
      <c r="AS18" t="s">
        <v>536</v>
      </c>
      <c r="AT18" t="s">
        <v>537</v>
      </c>
      <c r="AU18" t="s">
        <v>538</v>
      </c>
      <c r="AV18" t="s">
        <v>539</v>
      </c>
      <c r="AW18" t="s">
        <v>540</v>
      </c>
      <c r="AX18" t="s">
        <v>541</v>
      </c>
      <c r="AY18" t="s">
        <v>540</v>
      </c>
      <c r="AZ18" t="s">
        <v>542</v>
      </c>
      <c r="BA18">
        <v>2.33</v>
      </c>
      <c r="BB18">
        <v>23742.400000000001</v>
      </c>
      <c r="BC18">
        <v>2.0699999999999998</v>
      </c>
      <c r="BD18">
        <v>4.09</v>
      </c>
      <c r="BE18">
        <v>4.3</v>
      </c>
      <c r="BF18">
        <v>3.97</v>
      </c>
      <c r="BG18" t="s">
        <v>543</v>
      </c>
      <c r="BH18" t="s">
        <v>544</v>
      </c>
      <c r="BI18" t="s">
        <v>545</v>
      </c>
      <c r="BJ18" t="s">
        <v>101</v>
      </c>
      <c r="BK18" t="s">
        <v>546</v>
      </c>
      <c r="BL18" t="s">
        <v>547</v>
      </c>
      <c r="BM18" t="s">
        <v>548</v>
      </c>
      <c r="BN18" t="s">
        <v>105</v>
      </c>
    </row>
    <row r="19" spans="1:66" x14ac:dyDescent="0.25">
      <c r="A19" t="str">
        <f>HYPERLINK("https://elite.finviz.com/quote.ashx?t=CIFR&amp;ty=c&amp;p=d&amp;b=1", "CIFR")</f>
        <v>CIFR</v>
      </c>
      <c r="B19">
        <v>8</v>
      </c>
      <c r="C19">
        <v>162.22</v>
      </c>
      <c r="D19">
        <v>56.86</v>
      </c>
      <c r="E19" t="s">
        <v>549</v>
      </c>
      <c r="F19" t="s">
        <v>67</v>
      </c>
      <c r="G19" t="s">
        <v>550</v>
      </c>
      <c r="H19" t="s">
        <v>551</v>
      </c>
      <c r="I19" t="s">
        <v>70</v>
      </c>
      <c r="J19" t="s">
        <v>321</v>
      </c>
      <c r="K19">
        <v>4402.8</v>
      </c>
      <c r="L19">
        <v>11.19</v>
      </c>
      <c r="M19" t="s">
        <v>552</v>
      </c>
      <c r="N19">
        <v>33295565</v>
      </c>
      <c r="R19">
        <v>27.72</v>
      </c>
      <c r="S19">
        <v>5.78</v>
      </c>
      <c r="AA19">
        <v>-0.44</v>
      </c>
      <c r="AB19" t="s">
        <v>553</v>
      </c>
      <c r="AD19" t="s">
        <v>554</v>
      </c>
      <c r="AE19" t="s">
        <v>211</v>
      </c>
      <c r="AH19" t="s">
        <v>555</v>
      </c>
      <c r="AI19" t="s">
        <v>556</v>
      </c>
      <c r="AJ19" t="s">
        <v>557</v>
      </c>
      <c r="AK19" t="s">
        <v>558</v>
      </c>
      <c r="AL19">
        <v>4.18</v>
      </c>
      <c r="AM19">
        <v>4.18</v>
      </c>
      <c r="AN19">
        <v>0.25</v>
      </c>
      <c r="AO19" t="s">
        <v>559</v>
      </c>
      <c r="AP19" t="s">
        <v>560</v>
      </c>
      <c r="AQ19" t="s">
        <v>561</v>
      </c>
      <c r="AR19" t="s">
        <v>562</v>
      </c>
      <c r="AS19" t="s">
        <v>563</v>
      </c>
      <c r="AT19" t="s">
        <v>283</v>
      </c>
      <c r="AU19" t="s">
        <v>564</v>
      </c>
      <c r="AV19" t="s">
        <v>565</v>
      </c>
      <c r="AW19" t="s">
        <v>566</v>
      </c>
      <c r="AX19" t="s">
        <v>567</v>
      </c>
      <c r="AY19" t="s">
        <v>566</v>
      </c>
      <c r="AZ19" t="s">
        <v>568</v>
      </c>
      <c r="BA19">
        <v>1.29</v>
      </c>
      <c r="BB19">
        <v>39125.410000000003</v>
      </c>
      <c r="BC19">
        <v>3</v>
      </c>
      <c r="BD19">
        <v>11.66</v>
      </c>
      <c r="BE19">
        <v>11.82</v>
      </c>
      <c r="BF19">
        <v>11.05</v>
      </c>
      <c r="BG19" t="s">
        <v>569</v>
      </c>
      <c r="BH19" t="s">
        <v>566</v>
      </c>
      <c r="BI19" t="s">
        <v>570</v>
      </c>
      <c r="BJ19" t="s">
        <v>101</v>
      </c>
      <c r="BK19" t="s">
        <v>571</v>
      </c>
      <c r="BL19" t="s">
        <v>572</v>
      </c>
      <c r="BM19" t="s">
        <v>573</v>
      </c>
      <c r="BN19" t="s">
        <v>105</v>
      </c>
    </row>
    <row r="20" spans="1:66" x14ac:dyDescent="0.25">
      <c r="A20" t="str">
        <f>HYPERLINK("https://elite.finviz.com/quote.ashx?t=IMRX&amp;ty=c&amp;p=d&amp;b=1", "IMRX")</f>
        <v>IMRX</v>
      </c>
      <c r="B20">
        <v>8</v>
      </c>
      <c r="C20">
        <v>162.22</v>
      </c>
      <c r="D20">
        <v>56.99</v>
      </c>
      <c r="E20" t="s">
        <v>574</v>
      </c>
      <c r="F20" t="s">
        <v>107</v>
      </c>
      <c r="G20" t="s">
        <v>428</v>
      </c>
      <c r="H20" t="s">
        <v>429</v>
      </c>
      <c r="I20" t="s">
        <v>70</v>
      </c>
      <c r="J20" t="s">
        <v>321</v>
      </c>
      <c r="K20">
        <v>328.96</v>
      </c>
      <c r="L20">
        <v>7.91</v>
      </c>
      <c r="M20" t="s">
        <v>575</v>
      </c>
      <c r="N20">
        <v>1978551</v>
      </c>
      <c r="S20">
        <v>9.84</v>
      </c>
      <c r="AA20">
        <v>-1.9</v>
      </c>
      <c r="AB20" t="s">
        <v>576</v>
      </c>
      <c r="AC20" t="s">
        <v>577</v>
      </c>
      <c r="AD20" t="s">
        <v>578</v>
      </c>
      <c r="AE20" t="s">
        <v>579</v>
      </c>
      <c r="AI20" t="s">
        <v>580</v>
      </c>
      <c r="AJ20" t="s">
        <v>581</v>
      </c>
      <c r="AK20" t="s">
        <v>582</v>
      </c>
      <c r="AL20">
        <v>3.7</v>
      </c>
      <c r="AM20">
        <v>3.7</v>
      </c>
      <c r="AN20">
        <v>0.14000000000000001</v>
      </c>
      <c r="AR20" t="s">
        <v>583</v>
      </c>
      <c r="AS20" t="s">
        <v>584</v>
      </c>
      <c r="AT20" t="s">
        <v>585</v>
      </c>
      <c r="AU20" t="s">
        <v>586</v>
      </c>
      <c r="AV20" t="s">
        <v>587</v>
      </c>
      <c r="AW20" t="s">
        <v>588</v>
      </c>
      <c r="AX20" t="s">
        <v>589</v>
      </c>
      <c r="AY20" t="s">
        <v>588</v>
      </c>
      <c r="AZ20" t="s">
        <v>590</v>
      </c>
      <c r="BA20">
        <v>1</v>
      </c>
      <c r="BB20">
        <v>1320.55</v>
      </c>
      <c r="BC20">
        <v>5.28</v>
      </c>
      <c r="BD20">
        <v>8</v>
      </c>
      <c r="BE20">
        <v>8.17</v>
      </c>
      <c r="BF20">
        <v>7.52</v>
      </c>
      <c r="BG20" t="s">
        <v>591</v>
      </c>
      <c r="BH20" t="s">
        <v>592</v>
      </c>
      <c r="BI20" t="s">
        <v>593</v>
      </c>
      <c r="BJ20" t="s">
        <v>101</v>
      </c>
      <c r="BK20" t="s">
        <v>594</v>
      </c>
      <c r="BL20" t="s">
        <v>595</v>
      </c>
      <c r="BM20" t="s">
        <v>596</v>
      </c>
      <c r="BN20" t="s">
        <v>105</v>
      </c>
    </row>
    <row r="21" spans="1:66" x14ac:dyDescent="0.25">
      <c r="A21" s="2" t="str">
        <f>HYPERLINK("https://elite.finviz.com/quote.ashx?t=SNAP&amp;ty=c&amp;p=d&amp;b=1", "SNAP")</f>
        <v>SNAP</v>
      </c>
      <c r="B21">
        <v>8</v>
      </c>
      <c r="C21">
        <v>162.22</v>
      </c>
      <c r="D21">
        <v>56.99</v>
      </c>
      <c r="E21" t="s">
        <v>597</v>
      </c>
      <c r="F21" t="s">
        <v>107</v>
      </c>
      <c r="G21" t="s">
        <v>598</v>
      </c>
      <c r="H21" t="s">
        <v>599</v>
      </c>
      <c r="I21" t="s">
        <v>70</v>
      </c>
      <c r="J21" t="s">
        <v>71</v>
      </c>
      <c r="K21">
        <v>13865.08</v>
      </c>
      <c r="L21">
        <v>8.1999999999999993</v>
      </c>
      <c r="M21" t="s">
        <v>600</v>
      </c>
      <c r="N21">
        <v>47880904</v>
      </c>
      <c r="R21">
        <v>2.46</v>
      </c>
      <c r="S21">
        <v>6.67</v>
      </c>
      <c r="AA21">
        <v>-0.33</v>
      </c>
      <c r="AB21" t="s">
        <v>601</v>
      </c>
      <c r="AC21" t="s">
        <v>602</v>
      </c>
      <c r="AD21" t="s">
        <v>603</v>
      </c>
      <c r="AE21" t="s">
        <v>604</v>
      </c>
      <c r="AF21" t="s">
        <v>605</v>
      </c>
      <c r="AG21" t="s">
        <v>606</v>
      </c>
      <c r="AH21" t="s">
        <v>607</v>
      </c>
      <c r="AI21" t="s">
        <v>608</v>
      </c>
      <c r="AJ21" t="s">
        <v>609</v>
      </c>
      <c r="AK21" t="s">
        <v>610</v>
      </c>
      <c r="AL21">
        <v>3.88</v>
      </c>
      <c r="AM21">
        <v>3.88</v>
      </c>
      <c r="AN21">
        <v>2.0299999999999998</v>
      </c>
      <c r="AO21" t="s">
        <v>611</v>
      </c>
      <c r="AP21" t="s">
        <v>612</v>
      </c>
      <c r="AQ21" t="s">
        <v>613</v>
      </c>
      <c r="AR21" t="s">
        <v>614</v>
      </c>
      <c r="AS21" t="s">
        <v>615</v>
      </c>
      <c r="AT21" t="s">
        <v>616</v>
      </c>
      <c r="AU21" t="s">
        <v>617</v>
      </c>
      <c r="AV21" t="s">
        <v>618</v>
      </c>
      <c r="AW21" t="s">
        <v>619</v>
      </c>
      <c r="AX21" t="s">
        <v>620</v>
      </c>
      <c r="AY21" t="s">
        <v>621</v>
      </c>
      <c r="AZ21" t="s">
        <v>620</v>
      </c>
      <c r="BA21">
        <v>2.84</v>
      </c>
      <c r="BB21">
        <v>72803.73</v>
      </c>
      <c r="BC21">
        <v>2.3199999999999998</v>
      </c>
      <c r="BD21">
        <v>8.33</v>
      </c>
      <c r="BE21">
        <v>8.31</v>
      </c>
      <c r="BF21">
        <v>8.15</v>
      </c>
      <c r="BG21" t="s">
        <v>622</v>
      </c>
      <c r="BH21" t="s">
        <v>623</v>
      </c>
      <c r="BI21" t="s">
        <v>624</v>
      </c>
      <c r="BJ21" t="s">
        <v>101</v>
      </c>
      <c r="BK21" t="s">
        <v>625</v>
      </c>
      <c r="BL21" t="s">
        <v>626</v>
      </c>
      <c r="BM21" t="s">
        <v>627</v>
      </c>
      <c r="BN21" t="s">
        <v>105</v>
      </c>
    </row>
    <row r="22" spans="1:66" x14ac:dyDescent="0.25">
      <c r="A22" t="str">
        <f>HYPERLINK("https://elite.finviz.com/quote.ashx?t=BULL&amp;ty=c&amp;p=d&amp;b=1", "BULL")</f>
        <v>BULL</v>
      </c>
      <c r="B22">
        <v>8</v>
      </c>
      <c r="C22">
        <v>162.22</v>
      </c>
      <c r="D22">
        <v>57.61</v>
      </c>
      <c r="E22" t="s">
        <v>628</v>
      </c>
      <c r="F22" t="s">
        <v>107</v>
      </c>
      <c r="G22" t="s">
        <v>108</v>
      </c>
      <c r="H22" t="s">
        <v>136</v>
      </c>
      <c r="I22" t="s">
        <v>70</v>
      </c>
      <c r="J22" t="s">
        <v>321</v>
      </c>
      <c r="K22">
        <v>7242.25</v>
      </c>
      <c r="L22">
        <v>14.65</v>
      </c>
      <c r="M22" t="s">
        <v>629</v>
      </c>
      <c r="N22">
        <v>18428590</v>
      </c>
      <c r="R22">
        <v>29.1</v>
      </c>
      <c r="S22">
        <v>4.41</v>
      </c>
      <c r="AA22">
        <v>-1.1299999999999999</v>
      </c>
      <c r="AB22" t="s">
        <v>630</v>
      </c>
      <c r="AJ22" t="s">
        <v>164</v>
      </c>
      <c r="AK22" t="s">
        <v>631</v>
      </c>
      <c r="AL22">
        <v>1.42</v>
      </c>
      <c r="AM22">
        <v>1.42</v>
      </c>
      <c r="AN22">
        <v>0.15</v>
      </c>
      <c r="AO22" t="s">
        <v>632</v>
      </c>
      <c r="AP22" t="s">
        <v>633</v>
      </c>
      <c r="AQ22" t="s">
        <v>634</v>
      </c>
      <c r="AR22" t="s">
        <v>635</v>
      </c>
      <c r="AS22" t="s">
        <v>636</v>
      </c>
      <c r="AT22" t="s">
        <v>607</v>
      </c>
      <c r="AU22" t="s">
        <v>581</v>
      </c>
      <c r="AV22" t="s">
        <v>637</v>
      </c>
      <c r="AW22" t="s">
        <v>638</v>
      </c>
      <c r="AX22" t="s">
        <v>639</v>
      </c>
      <c r="AY22" t="s">
        <v>640</v>
      </c>
      <c r="AZ22" t="s">
        <v>641</v>
      </c>
      <c r="BA22">
        <v>1</v>
      </c>
      <c r="BB22">
        <v>14349.61</v>
      </c>
      <c r="BC22">
        <v>4.5199999999999996</v>
      </c>
      <c r="BD22">
        <v>14.64</v>
      </c>
      <c r="BE22">
        <v>15.4</v>
      </c>
      <c r="BF22">
        <v>14.31</v>
      </c>
      <c r="BG22" t="s">
        <v>642</v>
      </c>
      <c r="BH22" t="s">
        <v>640</v>
      </c>
      <c r="BI22" t="s">
        <v>641</v>
      </c>
      <c r="BJ22" t="s">
        <v>101</v>
      </c>
      <c r="BK22" t="s">
        <v>643</v>
      </c>
      <c r="BL22" t="s">
        <v>644</v>
      </c>
      <c r="BM22" t="s">
        <v>645</v>
      </c>
      <c r="BN22" t="s">
        <v>105</v>
      </c>
    </row>
    <row r="23" spans="1:66" x14ac:dyDescent="0.25">
      <c r="A23" t="str">
        <f>HYPERLINK("https://elite.finviz.com/quote.ashx?t=CLSK&amp;ty=c&amp;p=d&amp;b=1", "CLSK")</f>
        <v>CLSK</v>
      </c>
      <c r="B23">
        <v>8</v>
      </c>
      <c r="C23">
        <v>162.22</v>
      </c>
      <c r="D23">
        <v>58.72</v>
      </c>
      <c r="E23" t="s">
        <v>646</v>
      </c>
      <c r="F23" t="s">
        <v>67</v>
      </c>
      <c r="G23" t="s">
        <v>550</v>
      </c>
      <c r="H23" t="s">
        <v>551</v>
      </c>
      <c r="I23" t="s">
        <v>70</v>
      </c>
      <c r="J23" t="s">
        <v>321</v>
      </c>
      <c r="K23">
        <v>3530.41</v>
      </c>
      <c r="L23">
        <v>12.56</v>
      </c>
      <c r="M23" t="s">
        <v>647</v>
      </c>
      <c r="N23">
        <v>17306338</v>
      </c>
      <c r="O23">
        <v>14.31</v>
      </c>
      <c r="P23">
        <v>18.64</v>
      </c>
      <c r="R23">
        <v>5.59</v>
      </c>
      <c r="S23">
        <v>1.64</v>
      </c>
      <c r="AA23">
        <v>0.88</v>
      </c>
      <c r="AB23" t="s">
        <v>648</v>
      </c>
      <c r="AC23" t="s">
        <v>649</v>
      </c>
      <c r="AE23" t="s">
        <v>650</v>
      </c>
      <c r="AF23" t="s">
        <v>651</v>
      </c>
      <c r="AG23" t="s">
        <v>652</v>
      </c>
      <c r="AH23" t="s">
        <v>653</v>
      </c>
      <c r="AI23" t="s">
        <v>654</v>
      </c>
      <c r="AJ23" t="s">
        <v>655</v>
      </c>
      <c r="AK23" t="s">
        <v>656</v>
      </c>
      <c r="AL23">
        <v>4.37</v>
      </c>
      <c r="AM23">
        <v>4.37</v>
      </c>
      <c r="AN23">
        <v>0.38</v>
      </c>
      <c r="AO23" t="s">
        <v>657</v>
      </c>
      <c r="AP23" t="s">
        <v>658</v>
      </c>
      <c r="AQ23" t="s">
        <v>659</v>
      </c>
      <c r="AR23" t="s">
        <v>660</v>
      </c>
      <c r="AS23" t="s">
        <v>661</v>
      </c>
      <c r="AT23" t="s">
        <v>662</v>
      </c>
      <c r="AU23" t="s">
        <v>663</v>
      </c>
      <c r="AV23" t="s">
        <v>664</v>
      </c>
      <c r="AW23" t="s">
        <v>665</v>
      </c>
      <c r="AX23" t="s">
        <v>666</v>
      </c>
      <c r="AY23" t="s">
        <v>667</v>
      </c>
      <c r="AZ23" t="s">
        <v>668</v>
      </c>
      <c r="BA23">
        <v>1.38</v>
      </c>
      <c r="BB23">
        <v>24584.959999999999</v>
      </c>
      <c r="BC23">
        <v>2.48</v>
      </c>
      <c r="BD23">
        <v>13.68</v>
      </c>
      <c r="BE23">
        <v>13.23</v>
      </c>
      <c r="BF23">
        <v>12.3</v>
      </c>
      <c r="BG23" t="s">
        <v>669</v>
      </c>
      <c r="BH23" t="s">
        <v>670</v>
      </c>
      <c r="BI23" t="s">
        <v>671</v>
      </c>
      <c r="BJ23" t="s">
        <v>101</v>
      </c>
      <c r="BK23" t="s">
        <v>672</v>
      </c>
      <c r="BL23" t="s">
        <v>673</v>
      </c>
      <c r="BM23" t="s">
        <v>674</v>
      </c>
      <c r="BN23" t="s">
        <v>105</v>
      </c>
    </row>
    <row r="24" spans="1:66" x14ac:dyDescent="0.25">
      <c r="A24" t="str">
        <f>HYPERLINK("https://elite.finviz.com/quote.ashx?t=OKLO&amp;ty=c&amp;p=d&amp;b=1", "OKLO")</f>
        <v>OKLO</v>
      </c>
      <c r="B24">
        <v>8</v>
      </c>
      <c r="C24">
        <v>162.22</v>
      </c>
      <c r="D24">
        <v>59.04</v>
      </c>
      <c r="E24" t="s">
        <v>675</v>
      </c>
      <c r="F24" t="s">
        <v>67</v>
      </c>
      <c r="G24" t="s">
        <v>287</v>
      </c>
      <c r="H24" t="s">
        <v>676</v>
      </c>
      <c r="I24" t="s">
        <v>70</v>
      </c>
      <c r="J24" t="s">
        <v>71</v>
      </c>
      <c r="K24">
        <v>16460.189999999999</v>
      </c>
      <c r="L24">
        <v>111.51</v>
      </c>
      <c r="M24" t="s">
        <v>677</v>
      </c>
      <c r="N24">
        <v>12137200</v>
      </c>
      <c r="S24">
        <v>23.63</v>
      </c>
      <c r="AA24">
        <v>-0.4</v>
      </c>
      <c r="AB24" t="s">
        <v>678</v>
      </c>
      <c r="AD24" t="s">
        <v>679</v>
      </c>
      <c r="AI24" t="s">
        <v>680</v>
      </c>
      <c r="AJ24" t="s">
        <v>681</v>
      </c>
      <c r="AK24" t="s">
        <v>682</v>
      </c>
      <c r="AL24">
        <v>71.27</v>
      </c>
      <c r="AM24">
        <v>71.27</v>
      </c>
      <c r="AN24">
        <v>0</v>
      </c>
      <c r="AR24" t="s">
        <v>683</v>
      </c>
      <c r="AS24" t="s">
        <v>684</v>
      </c>
      <c r="AT24" t="s">
        <v>685</v>
      </c>
      <c r="AU24" t="s">
        <v>686</v>
      </c>
      <c r="AV24" t="s">
        <v>687</v>
      </c>
      <c r="AW24" t="s">
        <v>688</v>
      </c>
      <c r="AX24" t="s">
        <v>689</v>
      </c>
      <c r="AY24" t="s">
        <v>688</v>
      </c>
      <c r="AZ24" t="s">
        <v>690</v>
      </c>
      <c r="BA24">
        <v>2.12</v>
      </c>
      <c r="BB24">
        <v>18693.560000000001</v>
      </c>
      <c r="BC24">
        <v>2.29</v>
      </c>
      <c r="BD24">
        <v>119.13</v>
      </c>
      <c r="BE24">
        <v>119.9</v>
      </c>
      <c r="BF24">
        <v>110.44</v>
      </c>
      <c r="BG24" t="s">
        <v>691</v>
      </c>
      <c r="BH24" t="s">
        <v>688</v>
      </c>
      <c r="BI24" t="s">
        <v>692</v>
      </c>
      <c r="BJ24" t="s">
        <v>101</v>
      </c>
      <c r="BK24" t="s">
        <v>693</v>
      </c>
      <c r="BL24" t="s">
        <v>694</v>
      </c>
      <c r="BM24" t="s">
        <v>695</v>
      </c>
      <c r="BN24" t="s">
        <v>105</v>
      </c>
    </row>
    <row r="25" spans="1:66" x14ac:dyDescent="0.25">
      <c r="A25" t="str">
        <f>HYPERLINK("https://elite.finviz.com/quote.ashx?t=BBD&amp;ty=c&amp;p=d&amp;b=1", "BBD")</f>
        <v>BBD</v>
      </c>
      <c r="B25">
        <v>8</v>
      </c>
      <c r="C25">
        <v>162.22</v>
      </c>
      <c r="D25">
        <v>59.71</v>
      </c>
      <c r="E25" t="s">
        <v>696</v>
      </c>
      <c r="F25" t="s">
        <v>107</v>
      </c>
      <c r="G25" t="s">
        <v>550</v>
      </c>
      <c r="H25" t="s">
        <v>697</v>
      </c>
      <c r="I25" t="s">
        <v>70</v>
      </c>
      <c r="J25" t="s">
        <v>71</v>
      </c>
      <c r="K25">
        <v>17398.330000000002</v>
      </c>
      <c r="L25">
        <v>3.28</v>
      </c>
      <c r="M25" t="s">
        <v>698</v>
      </c>
      <c r="N25">
        <v>22058539</v>
      </c>
      <c r="O25">
        <v>9.6</v>
      </c>
      <c r="P25">
        <v>6.82</v>
      </c>
      <c r="Q25">
        <v>0.52</v>
      </c>
      <c r="R25">
        <v>0.31</v>
      </c>
      <c r="S25">
        <v>1.0900000000000001</v>
      </c>
      <c r="T25" t="s">
        <v>699</v>
      </c>
      <c r="U25">
        <v>0.11</v>
      </c>
      <c r="V25" t="s">
        <v>700</v>
      </c>
      <c r="W25" t="s">
        <v>164</v>
      </c>
      <c r="X25" t="s">
        <v>164</v>
      </c>
      <c r="Y25" t="s">
        <v>701</v>
      </c>
      <c r="Z25" t="s">
        <v>702</v>
      </c>
      <c r="AA25">
        <v>0.34</v>
      </c>
      <c r="AB25" t="s">
        <v>703</v>
      </c>
      <c r="AC25" t="s">
        <v>704</v>
      </c>
      <c r="AD25" t="s">
        <v>705</v>
      </c>
      <c r="AE25" t="s">
        <v>706</v>
      </c>
      <c r="AF25" t="s">
        <v>707</v>
      </c>
      <c r="AG25" t="s">
        <v>708</v>
      </c>
      <c r="AH25" t="s">
        <v>709</v>
      </c>
      <c r="AI25" t="s">
        <v>710</v>
      </c>
      <c r="AK25" t="s">
        <v>711</v>
      </c>
      <c r="AL25">
        <v>0.39</v>
      </c>
      <c r="AN25">
        <v>4.12</v>
      </c>
      <c r="AP25" t="s">
        <v>712</v>
      </c>
      <c r="AQ25" t="s">
        <v>713</v>
      </c>
      <c r="AR25" t="s">
        <v>714</v>
      </c>
      <c r="AS25" t="s">
        <v>633</v>
      </c>
      <c r="AT25" t="s">
        <v>715</v>
      </c>
      <c r="AU25" t="s">
        <v>716</v>
      </c>
      <c r="AV25" t="s">
        <v>717</v>
      </c>
      <c r="AW25" t="s">
        <v>82</v>
      </c>
      <c r="AX25" t="s">
        <v>718</v>
      </c>
      <c r="AY25" t="s">
        <v>82</v>
      </c>
      <c r="AZ25" t="s">
        <v>719</v>
      </c>
      <c r="BA25">
        <v>1</v>
      </c>
      <c r="BB25">
        <v>37187.440000000002</v>
      </c>
      <c r="BC25">
        <v>2.09</v>
      </c>
      <c r="BD25">
        <v>3.27</v>
      </c>
      <c r="BE25">
        <v>3.3</v>
      </c>
      <c r="BF25">
        <v>3.27</v>
      </c>
      <c r="BG25" t="s">
        <v>720</v>
      </c>
      <c r="BH25" t="s">
        <v>721</v>
      </c>
      <c r="BI25" t="s">
        <v>722</v>
      </c>
      <c r="BJ25" t="s">
        <v>101</v>
      </c>
      <c r="BK25" t="s">
        <v>723</v>
      </c>
      <c r="BL25" t="s">
        <v>724</v>
      </c>
      <c r="BM25" t="s">
        <v>725</v>
      </c>
      <c r="BN25" t="s">
        <v>105</v>
      </c>
    </row>
    <row r="26" spans="1:66" x14ac:dyDescent="0.25">
      <c r="A26" t="str">
        <f>HYPERLINK("https://elite.finviz.com/quote.ashx?t=MBX&amp;ty=c&amp;p=d&amp;b=1", "MBX")</f>
        <v>MBX</v>
      </c>
      <c r="B26">
        <v>8</v>
      </c>
      <c r="C26">
        <v>162.22</v>
      </c>
      <c r="D26">
        <v>60.73</v>
      </c>
      <c r="E26" t="s">
        <v>726</v>
      </c>
      <c r="F26" t="s">
        <v>67</v>
      </c>
      <c r="G26" t="s">
        <v>428</v>
      </c>
      <c r="H26" t="s">
        <v>429</v>
      </c>
      <c r="I26" t="s">
        <v>70</v>
      </c>
      <c r="J26" t="s">
        <v>321</v>
      </c>
      <c r="K26">
        <v>588.97</v>
      </c>
      <c r="L26">
        <v>17.52</v>
      </c>
      <c r="M26" t="s">
        <v>273</v>
      </c>
      <c r="N26">
        <v>660587</v>
      </c>
      <c r="S26">
        <v>2.69</v>
      </c>
      <c r="AA26">
        <v>-2.31</v>
      </c>
      <c r="AB26" t="s">
        <v>727</v>
      </c>
      <c r="AD26" t="s">
        <v>728</v>
      </c>
      <c r="AI26" t="s">
        <v>729</v>
      </c>
      <c r="AJ26" t="s">
        <v>629</v>
      </c>
      <c r="AK26" t="s">
        <v>730</v>
      </c>
      <c r="AL26">
        <v>19.5</v>
      </c>
      <c r="AM26">
        <v>19.5</v>
      </c>
      <c r="AN26">
        <v>0</v>
      </c>
      <c r="AR26" t="s">
        <v>731</v>
      </c>
      <c r="AS26" t="s">
        <v>293</v>
      </c>
      <c r="AT26" t="s">
        <v>732</v>
      </c>
      <c r="AU26" t="s">
        <v>733</v>
      </c>
      <c r="AV26" t="s">
        <v>734</v>
      </c>
      <c r="AW26" t="s">
        <v>735</v>
      </c>
      <c r="AX26" t="s">
        <v>736</v>
      </c>
      <c r="AY26" t="s">
        <v>737</v>
      </c>
      <c r="AZ26" t="s">
        <v>738</v>
      </c>
      <c r="BA26">
        <v>1</v>
      </c>
      <c r="BB26">
        <v>1030.94</v>
      </c>
      <c r="BC26">
        <v>2.2599999999999998</v>
      </c>
      <c r="BD26">
        <v>17.329999999999998</v>
      </c>
      <c r="BE26">
        <v>18.440000000000001</v>
      </c>
      <c r="BF26">
        <v>17.05</v>
      </c>
      <c r="BG26" t="s">
        <v>739</v>
      </c>
      <c r="BH26" t="s">
        <v>737</v>
      </c>
      <c r="BI26" t="s">
        <v>738</v>
      </c>
      <c r="BJ26" t="s">
        <v>101</v>
      </c>
      <c r="BK26" t="s">
        <v>740</v>
      </c>
      <c r="BL26" t="s">
        <v>741</v>
      </c>
      <c r="BM26" t="s">
        <v>742</v>
      </c>
      <c r="BN26" t="s">
        <v>105</v>
      </c>
    </row>
    <row r="27" spans="1:66" x14ac:dyDescent="0.25">
      <c r="A27" t="str">
        <f>HYPERLINK("https://elite.finviz.com/quote.ashx?t=KURA&amp;ty=c&amp;p=d&amp;b=1", "KURA")</f>
        <v>KURA</v>
      </c>
      <c r="B27">
        <v>8</v>
      </c>
      <c r="C27">
        <v>162.22</v>
      </c>
      <c r="D27">
        <v>60.88</v>
      </c>
      <c r="E27" t="s">
        <v>743</v>
      </c>
      <c r="F27" t="s">
        <v>67</v>
      </c>
      <c r="G27" t="s">
        <v>428</v>
      </c>
      <c r="H27" t="s">
        <v>429</v>
      </c>
      <c r="I27" t="s">
        <v>70</v>
      </c>
      <c r="J27" t="s">
        <v>321</v>
      </c>
      <c r="K27">
        <v>742.98</v>
      </c>
      <c r="L27">
        <v>8.56</v>
      </c>
      <c r="M27" t="s">
        <v>744</v>
      </c>
      <c r="N27">
        <v>647835</v>
      </c>
      <c r="R27">
        <v>8.92</v>
      </c>
      <c r="S27">
        <v>2.4300000000000002</v>
      </c>
      <c r="AA27">
        <v>-2.2599999999999998</v>
      </c>
      <c r="AB27" t="s">
        <v>745</v>
      </c>
      <c r="AC27" t="s">
        <v>746</v>
      </c>
      <c r="AD27" t="s">
        <v>747</v>
      </c>
      <c r="AI27" t="s">
        <v>748</v>
      </c>
      <c r="AJ27" t="s">
        <v>749</v>
      </c>
      <c r="AK27" t="s">
        <v>750</v>
      </c>
      <c r="AL27">
        <v>6.16</v>
      </c>
      <c r="AM27">
        <v>6.16</v>
      </c>
      <c r="AN27">
        <v>0.06</v>
      </c>
      <c r="AO27" t="s">
        <v>751</v>
      </c>
      <c r="AP27" t="s">
        <v>752</v>
      </c>
      <c r="AQ27" t="s">
        <v>753</v>
      </c>
      <c r="AR27" t="s">
        <v>754</v>
      </c>
      <c r="AS27" t="s">
        <v>755</v>
      </c>
      <c r="AT27" t="s">
        <v>756</v>
      </c>
      <c r="AU27" t="s">
        <v>757</v>
      </c>
      <c r="AV27" t="s">
        <v>758</v>
      </c>
      <c r="AW27" t="s">
        <v>759</v>
      </c>
      <c r="AX27" t="s">
        <v>760</v>
      </c>
      <c r="AY27" t="s">
        <v>761</v>
      </c>
      <c r="AZ27" t="s">
        <v>762</v>
      </c>
      <c r="BA27">
        <v>1.33</v>
      </c>
      <c r="BB27">
        <v>1625.03</v>
      </c>
      <c r="BC27">
        <v>1.4</v>
      </c>
      <c r="BD27">
        <v>8.36</v>
      </c>
      <c r="BE27">
        <v>8.8000000000000007</v>
      </c>
      <c r="BF27">
        <v>8.41</v>
      </c>
      <c r="BG27" t="s">
        <v>763</v>
      </c>
      <c r="BH27" t="s">
        <v>764</v>
      </c>
      <c r="BI27" t="s">
        <v>765</v>
      </c>
      <c r="BJ27" t="s">
        <v>101</v>
      </c>
      <c r="BK27" t="s">
        <v>766</v>
      </c>
      <c r="BL27" t="s">
        <v>767</v>
      </c>
      <c r="BM27" t="s">
        <v>768</v>
      </c>
      <c r="BN27" t="s">
        <v>105</v>
      </c>
    </row>
    <row r="28" spans="1:66" x14ac:dyDescent="0.25">
      <c r="A28" t="str">
        <f>HYPERLINK("https://elite.finviz.com/quote.ashx?t=LPTX&amp;ty=c&amp;p=d&amp;b=1", "LPTX")</f>
        <v>LPTX</v>
      </c>
      <c r="B28">
        <v>8</v>
      </c>
      <c r="C28">
        <v>162.22</v>
      </c>
      <c r="D28">
        <v>61.76</v>
      </c>
      <c r="E28" t="s">
        <v>769</v>
      </c>
      <c r="F28" t="s">
        <v>107</v>
      </c>
      <c r="G28" t="s">
        <v>428</v>
      </c>
      <c r="H28" t="s">
        <v>429</v>
      </c>
      <c r="I28" t="s">
        <v>70</v>
      </c>
      <c r="J28" t="s">
        <v>321</v>
      </c>
      <c r="K28">
        <v>14.32</v>
      </c>
      <c r="L28">
        <v>0.35</v>
      </c>
      <c r="M28" t="s">
        <v>770</v>
      </c>
      <c r="N28">
        <v>679890</v>
      </c>
      <c r="S28">
        <v>2.5099999999999998</v>
      </c>
      <c r="AA28">
        <v>-1.59</v>
      </c>
      <c r="AB28" t="s">
        <v>771</v>
      </c>
      <c r="AC28" t="s">
        <v>772</v>
      </c>
      <c r="AI28" t="s">
        <v>773</v>
      </c>
      <c r="AJ28" t="s">
        <v>164</v>
      </c>
      <c r="AK28" t="s">
        <v>774</v>
      </c>
      <c r="AL28">
        <v>1.34</v>
      </c>
      <c r="AM28">
        <v>1.34</v>
      </c>
      <c r="AN28">
        <v>0.05</v>
      </c>
      <c r="AR28" t="s">
        <v>775</v>
      </c>
      <c r="AS28" t="s">
        <v>776</v>
      </c>
      <c r="AT28" t="s">
        <v>683</v>
      </c>
      <c r="AU28" t="s">
        <v>777</v>
      </c>
      <c r="AV28" t="s">
        <v>778</v>
      </c>
      <c r="AW28" t="s">
        <v>779</v>
      </c>
      <c r="AX28" t="s">
        <v>780</v>
      </c>
      <c r="AY28" t="s">
        <v>781</v>
      </c>
      <c r="AZ28" t="s">
        <v>782</v>
      </c>
      <c r="BA28">
        <v>3</v>
      </c>
      <c r="BB28">
        <v>1154.9000000000001</v>
      </c>
      <c r="BC28">
        <v>2.09</v>
      </c>
      <c r="BD28">
        <v>0.35</v>
      </c>
      <c r="BE28">
        <v>0.36</v>
      </c>
      <c r="BF28">
        <v>0.34</v>
      </c>
      <c r="BG28" t="s">
        <v>783</v>
      </c>
      <c r="BH28" t="s">
        <v>784</v>
      </c>
      <c r="BI28" t="s">
        <v>782</v>
      </c>
      <c r="BJ28" t="s">
        <v>101</v>
      </c>
      <c r="BK28" t="s">
        <v>785</v>
      </c>
      <c r="BL28" t="s">
        <v>786</v>
      </c>
      <c r="BM28" t="s">
        <v>787</v>
      </c>
      <c r="BN28" t="s">
        <v>105</v>
      </c>
    </row>
    <row r="29" spans="1:66" x14ac:dyDescent="0.25">
      <c r="A29" t="str">
        <f>HYPERLINK("https://elite.finviz.com/quote.ashx?t=UAMY&amp;ty=c&amp;p=d&amp;b=1", "UAMY")</f>
        <v>UAMY</v>
      </c>
      <c r="B29">
        <v>8</v>
      </c>
      <c r="C29">
        <v>162.22</v>
      </c>
      <c r="D29">
        <v>62.63</v>
      </c>
      <c r="E29" t="s">
        <v>788</v>
      </c>
      <c r="F29" t="s">
        <v>67</v>
      </c>
      <c r="G29" t="s">
        <v>355</v>
      </c>
      <c r="H29" t="s">
        <v>356</v>
      </c>
      <c r="I29" t="s">
        <v>70</v>
      </c>
      <c r="J29" t="s">
        <v>383</v>
      </c>
      <c r="K29">
        <v>797.93</v>
      </c>
      <c r="L29">
        <v>6.2</v>
      </c>
      <c r="M29" t="s">
        <v>789</v>
      </c>
      <c r="N29">
        <v>5084909</v>
      </c>
      <c r="P29">
        <v>28.83</v>
      </c>
      <c r="R29">
        <v>29.75</v>
      </c>
      <c r="S29">
        <v>19.7</v>
      </c>
      <c r="AA29">
        <v>-0.01</v>
      </c>
      <c r="AB29" t="s">
        <v>790</v>
      </c>
      <c r="AC29" t="s">
        <v>791</v>
      </c>
      <c r="AE29" t="s">
        <v>792</v>
      </c>
      <c r="AF29" t="s">
        <v>793</v>
      </c>
      <c r="AG29" t="s">
        <v>794</v>
      </c>
      <c r="AH29" t="s">
        <v>795</v>
      </c>
      <c r="AI29" t="s">
        <v>579</v>
      </c>
      <c r="AJ29" t="s">
        <v>164</v>
      </c>
      <c r="AK29" t="s">
        <v>796</v>
      </c>
      <c r="AL29">
        <v>2.21</v>
      </c>
      <c r="AM29">
        <v>1.36</v>
      </c>
      <c r="AN29">
        <v>0.03</v>
      </c>
      <c r="AO29" t="s">
        <v>797</v>
      </c>
      <c r="AP29" t="s">
        <v>798</v>
      </c>
      <c r="AQ29" t="s">
        <v>799</v>
      </c>
      <c r="AR29" t="s">
        <v>800</v>
      </c>
      <c r="AS29" t="s">
        <v>801</v>
      </c>
      <c r="AT29" t="s">
        <v>802</v>
      </c>
      <c r="AU29" t="s">
        <v>803</v>
      </c>
      <c r="AV29" t="s">
        <v>804</v>
      </c>
      <c r="AW29" t="s">
        <v>805</v>
      </c>
      <c r="AX29" t="s">
        <v>806</v>
      </c>
      <c r="AY29" t="s">
        <v>805</v>
      </c>
      <c r="AZ29" t="s">
        <v>807</v>
      </c>
      <c r="BA29">
        <v>1</v>
      </c>
      <c r="BB29">
        <v>6930.9</v>
      </c>
      <c r="BC29">
        <v>2.58</v>
      </c>
      <c r="BD29">
        <v>6.31</v>
      </c>
      <c r="BE29">
        <v>6.99</v>
      </c>
      <c r="BF29">
        <v>6.13</v>
      </c>
      <c r="BG29" t="s">
        <v>808</v>
      </c>
      <c r="BH29" t="s">
        <v>805</v>
      </c>
      <c r="BJ29" t="s">
        <v>101</v>
      </c>
      <c r="BK29" t="s">
        <v>809</v>
      </c>
      <c r="BL29" t="s">
        <v>810</v>
      </c>
      <c r="BM29" t="s">
        <v>811</v>
      </c>
      <c r="BN29" t="s">
        <v>105</v>
      </c>
    </row>
    <row r="30" spans="1:66" x14ac:dyDescent="0.25">
      <c r="A30" t="str">
        <f>HYPERLINK("https://elite.finviz.com/quote.ashx?t=HYLN&amp;ty=c&amp;p=d&amp;b=1", "HYLN")</f>
        <v>HYLN</v>
      </c>
      <c r="B30">
        <v>8</v>
      </c>
      <c r="C30">
        <v>162.22</v>
      </c>
      <c r="D30">
        <v>62.73</v>
      </c>
      <c r="E30" t="s">
        <v>812</v>
      </c>
      <c r="F30" t="s">
        <v>67</v>
      </c>
      <c r="G30" t="s">
        <v>813</v>
      </c>
      <c r="H30" t="s">
        <v>814</v>
      </c>
      <c r="I30" t="s">
        <v>70</v>
      </c>
      <c r="J30" t="s">
        <v>383</v>
      </c>
      <c r="K30">
        <v>365.05</v>
      </c>
      <c r="L30">
        <v>2.08</v>
      </c>
      <c r="M30" t="s">
        <v>815</v>
      </c>
      <c r="N30">
        <v>673704</v>
      </c>
      <c r="R30">
        <v>104</v>
      </c>
      <c r="S30">
        <v>1.69</v>
      </c>
      <c r="AA30">
        <v>-0.32</v>
      </c>
      <c r="AB30" t="s">
        <v>816</v>
      </c>
      <c r="AC30" t="s">
        <v>817</v>
      </c>
      <c r="AD30" t="s">
        <v>818</v>
      </c>
      <c r="AE30" t="s">
        <v>819</v>
      </c>
      <c r="AF30" t="s">
        <v>820</v>
      </c>
      <c r="AI30" t="s">
        <v>821</v>
      </c>
      <c r="AJ30" t="s">
        <v>822</v>
      </c>
      <c r="AK30" t="s">
        <v>823</v>
      </c>
      <c r="AL30">
        <v>11.16</v>
      </c>
      <c r="AM30">
        <v>11.16</v>
      </c>
      <c r="AN30">
        <v>0.03</v>
      </c>
      <c r="AO30" t="s">
        <v>824</v>
      </c>
      <c r="AP30" t="s">
        <v>825</v>
      </c>
      <c r="AQ30" t="s">
        <v>826</v>
      </c>
      <c r="AR30" t="s">
        <v>827</v>
      </c>
      <c r="AS30" t="s">
        <v>296</v>
      </c>
      <c r="AT30" t="s">
        <v>828</v>
      </c>
      <c r="AU30" t="s">
        <v>829</v>
      </c>
      <c r="AV30" t="s">
        <v>830</v>
      </c>
      <c r="AW30" t="s">
        <v>831</v>
      </c>
      <c r="AX30" t="s">
        <v>832</v>
      </c>
      <c r="AY30" t="s">
        <v>833</v>
      </c>
      <c r="AZ30" t="s">
        <v>834</v>
      </c>
      <c r="BA30">
        <v>3</v>
      </c>
      <c r="BB30">
        <v>1058.5999999999999</v>
      </c>
      <c r="BC30">
        <v>2.2400000000000002</v>
      </c>
      <c r="BD30">
        <v>2.1800000000000002</v>
      </c>
      <c r="BE30">
        <v>2.19</v>
      </c>
      <c r="BF30">
        <v>2.06</v>
      </c>
      <c r="BG30" t="s">
        <v>835</v>
      </c>
      <c r="BH30" t="s">
        <v>836</v>
      </c>
      <c r="BI30" t="s">
        <v>837</v>
      </c>
      <c r="BJ30" t="s">
        <v>101</v>
      </c>
      <c r="BK30" t="s">
        <v>838</v>
      </c>
      <c r="BL30" t="s">
        <v>839</v>
      </c>
      <c r="BM30" t="s">
        <v>840</v>
      </c>
      <c r="BN30" t="s">
        <v>105</v>
      </c>
    </row>
    <row r="31" spans="1:66" x14ac:dyDescent="0.25">
      <c r="A31" t="str">
        <f>HYPERLINK("https://elite.finviz.com/quote.ashx?t=CABA&amp;ty=c&amp;p=d&amp;b=1", "CABA")</f>
        <v>CABA</v>
      </c>
      <c r="B31">
        <v>8</v>
      </c>
      <c r="C31">
        <v>162.22</v>
      </c>
      <c r="D31">
        <v>62.81</v>
      </c>
      <c r="E31" t="s">
        <v>841</v>
      </c>
      <c r="F31" t="s">
        <v>107</v>
      </c>
      <c r="G31" t="s">
        <v>428</v>
      </c>
      <c r="H31" t="s">
        <v>429</v>
      </c>
      <c r="I31" t="s">
        <v>70</v>
      </c>
      <c r="J31" t="s">
        <v>321</v>
      </c>
      <c r="K31">
        <v>202.42</v>
      </c>
      <c r="L31">
        <v>2.21</v>
      </c>
      <c r="M31" t="s">
        <v>842</v>
      </c>
      <c r="N31">
        <v>961810</v>
      </c>
      <c r="S31">
        <v>1.1299999999999999</v>
      </c>
      <c r="AA31">
        <v>-2.71</v>
      </c>
      <c r="AB31" t="s">
        <v>843</v>
      </c>
      <c r="AC31" t="s">
        <v>844</v>
      </c>
      <c r="AD31" t="s">
        <v>845</v>
      </c>
      <c r="AI31" t="s">
        <v>126</v>
      </c>
      <c r="AJ31" t="s">
        <v>164</v>
      </c>
      <c r="AK31" t="s">
        <v>846</v>
      </c>
      <c r="AL31">
        <v>4.78</v>
      </c>
      <c r="AM31">
        <v>4.78</v>
      </c>
      <c r="AN31">
        <v>0.14000000000000001</v>
      </c>
      <c r="AR31" t="s">
        <v>847</v>
      </c>
      <c r="AS31" t="s">
        <v>848</v>
      </c>
      <c r="AT31" t="s">
        <v>849</v>
      </c>
      <c r="AU31" t="s">
        <v>210</v>
      </c>
      <c r="AV31" t="s">
        <v>850</v>
      </c>
      <c r="AW31" t="s">
        <v>851</v>
      </c>
      <c r="AX31" t="s">
        <v>852</v>
      </c>
      <c r="AY31" t="s">
        <v>853</v>
      </c>
      <c r="AZ31" t="s">
        <v>854</v>
      </c>
      <c r="BA31">
        <v>1.4</v>
      </c>
      <c r="BB31">
        <v>1731.44</v>
      </c>
      <c r="BC31">
        <v>1.96</v>
      </c>
      <c r="BD31">
        <v>2.31</v>
      </c>
      <c r="BE31">
        <v>2.29</v>
      </c>
      <c r="BF31">
        <v>2.16</v>
      </c>
      <c r="BG31" t="s">
        <v>855</v>
      </c>
      <c r="BH31" t="s">
        <v>856</v>
      </c>
      <c r="BI31" t="s">
        <v>857</v>
      </c>
      <c r="BJ31" t="s">
        <v>101</v>
      </c>
      <c r="BK31" t="s">
        <v>858</v>
      </c>
      <c r="BL31" t="s">
        <v>859</v>
      </c>
      <c r="BM31" t="s">
        <v>860</v>
      </c>
      <c r="BN31" t="s">
        <v>105</v>
      </c>
    </row>
    <row r="32" spans="1:66" x14ac:dyDescent="0.25">
      <c r="A32" t="str">
        <f>HYPERLINK("https://elite.finviz.com/quote.ashx?t=QUBT&amp;ty=c&amp;p=d&amp;b=1", "QUBT")</f>
        <v>QUBT</v>
      </c>
      <c r="B32">
        <v>8</v>
      </c>
      <c r="C32">
        <v>162.22</v>
      </c>
      <c r="D32">
        <v>63.07</v>
      </c>
      <c r="E32" t="s">
        <v>861</v>
      </c>
      <c r="F32" t="s">
        <v>67</v>
      </c>
      <c r="G32" t="s">
        <v>108</v>
      </c>
      <c r="H32" t="s">
        <v>496</v>
      </c>
      <c r="I32" t="s">
        <v>70</v>
      </c>
      <c r="J32" t="s">
        <v>321</v>
      </c>
      <c r="K32">
        <v>3384.73</v>
      </c>
      <c r="L32">
        <v>21.17</v>
      </c>
      <c r="M32" t="s">
        <v>862</v>
      </c>
      <c r="N32">
        <v>30784359</v>
      </c>
      <c r="R32">
        <v>13018.2</v>
      </c>
      <c r="S32">
        <v>8.44</v>
      </c>
      <c r="AA32">
        <v>-0.68</v>
      </c>
      <c r="AB32" t="s">
        <v>863</v>
      </c>
      <c r="AC32" t="s">
        <v>864</v>
      </c>
      <c r="AD32" t="s">
        <v>865</v>
      </c>
      <c r="AE32" t="s">
        <v>866</v>
      </c>
      <c r="AH32" t="s">
        <v>867</v>
      </c>
      <c r="AI32" t="s">
        <v>868</v>
      </c>
      <c r="AJ32" t="s">
        <v>869</v>
      </c>
      <c r="AK32" t="s">
        <v>870</v>
      </c>
      <c r="AL32">
        <v>88.17</v>
      </c>
      <c r="AM32">
        <v>88.08</v>
      </c>
      <c r="AN32">
        <v>0.01</v>
      </c>
      <c r="AO32" t="s">
        <v>871</v>
      </c>
      <c r="AP32" t="s">
        <v>872</v>
      </c>
      <c r="AQ32" t="s">
        <v>873</v>
      </c>
      <c r="AR32" t="s">
        <v>874</v>
      </c>
      <c r="AS32" t="s">
        <v>875</v>
      </c>
      <c r="AT32" t="s">
        <v>876</v>
      </c>
      <c r="AU32" t="s">
        <v>877</v>
      </c>
      <c r="AV32" t="s">
        <v>878</v>
      </c>
      <c r="AW32" t="s">
        <v>879</v>
      </c>
      <c r="AX32" t="s">
        <v>880</v>
      </c>
      <c r="AY32" t="s">
        <v>881</v>
      </c>
      <c r="AZ32" t="s">
        <v>882</v>
      </c>
      <c r="BA32">
        <v>1.67</v>
      </c>
      <c r="BB32">
        <v>22364.48</v>
      </c>
      <c r="BC32">
        <v>4.8499999999999996</v>
      </c>
      <c r="BD32">
        <v>20.58</v>
      </c>
      <c r="BE32">
        <v>23.44</v>
      </c>
      <c r="BF32">
        <v>20.55</v>
      </c>
      <c r="BG32" t="s">
        <v>883</v>
      </c>
      <c r="BH32" t="s">
        <v>884</v>
      </c>
      <c r="BI32" t="s">
        <v>885</v>
      </c>
      <c r="BJ32" t="s">
        <v>101</v>
      </c>
      <c r="BK32" t="s">
        <v>886</v>
      </c>
      <c r="BL32" t="s">
        <v>887</v>
      </c>
      <c r="BM32" t="s">
        <v>888</v>
      </c>
      <c r="BN32" t="s">
        <v>105</v>
      </c>
    </row>
    <row r="33" spans="1:66" x14ac:dyDescent="0.25">
      <c r="A33" t="str">
        <f>HYPERLINK("https://elite.finviz.com/quote.ashx?t=F&amp;ty=c&amp;p=d&amp;b=1", "F")</f>
        <v>F</v>
      </c>
      <c r="B33">
        <v>8</v>
      </c>
      <c r="C33">
        <v>162.22</v>
      </c>
      <c r="D33">
        <v>63.48</v>
      </c>
      <c r="E33" t="s">
        <v>889</v>
      </c>
      <c r="F33" t="s">
        <v>195</v>
      </c>
      <c r="G33" t="s">
        <v>813</v>
      </c>
      <c r="H33" t="s">
        <v>890</v>
      </c>
      <c r="I33" t="s">
        <v>70</v>
      </c>
      <c r="J33" t="s">
        <v>71</v>
      </c>
      <c r="K33">
        <v>47935.03</v>
      </c>
      <c r="L33">
        <v>12.04</v>
      </c>
      <c r="M33" t="s">
        <v>891</v>
      </c>
      <c r="N33">
        <v>36616700</v>
      </c>
      <c r="O33">
        <v>15.37</v>
      </c>
      <c r="P33">
        <v>8.61</v>
      </c>
      <c r="R33">
        <v>0.26</v>
      </c>
      <c r="S33">
        <v>1.06</v>
      </c>
      <c r="T33" t="s">
        <v>892</v>
      </c>
      <c r="U33">
        <v>0.6</v>
      </c>
      <c r="V33" t="s">
        <v>893</v>
      </c>
      <c r="W33" t="s">
        <v>894</v>
      </c>
      <c r="X33" t="s">
        <v>895</v>
      </c>
      <c r="Y33" t="s">
        <v>896</v>
      </c>
      <c r="Z33" t="s">
        <v>897</v>
      </c>
      <c r="AA33">
        <v>0.78</v>
      </c>
      <c r="AB33" t="s">
        <v>898</v>
      </c>
      <c r="AC33" t="s">
        <v>899</v>
      </c>
      <c r="AD33" t="s">
        <v>900</v>
      </c>
      <c r="AE33" t="s">
        <v>901</v>
      </c>
      <c r="AF33" t="s">
        <v>902</v>
      </c>
      <c r="AG33" t="s">
        <v>903</v>
      </c>
      <c r="AH33" t="s">
        <v>197</v>
      </c>
      <c r="AI33" t="s">
        <v>904</v>
      </c>
      <c r="AJ33" t="s">
        <v>171</v>
      </c>
      <c r="AK33" t="s">
        <v>905</v>
      </c>
      <c r="AL33">
        <v>1.1000000000000001</v>
      </c>
      <c r="AM33">
        <v>0.95</v>
      </c>
      <c r="AN33">
        <v>3.56</v>
      </c>
      <c r="AO33" t="s">
        <v>906</v>
      </c>
      <c r="AP33" t="s">
        <v>907</v>
      </c>
      <c r="AQ33" t="s">
        <v>908</v>
      </c>
      <c r="AR33" t="s">
        <v>909</v>
      </c>
      <c r="AS33" t="s">
        <v>910</v>
      </c>
      <c r="AT33" t="s">
        <v>911</v>
      </c>
      <c r="AU33" t="s">
        <v>912</v>
      </c>
      <c r="AV33" t="s">
        <v>913</v>
      </c>
      <c r="AW33" t="s">
        <v>914</v>
      </c>
      <c r="AX33" t="s">
        <v>915</v>
      </c>
      <c r="AY33" t="s">
        <v>914</v>
      </c>
      <c r="AZ33" t="s">
        <v>916</v>
      </c>
      <c r="BA33">
        <v>3</v>
      </c>
      <c r="BB33">
        <v>65001.52</v>
      </c>
      <c r="BC33">
        <v>1.98</v>
      </c>
      <c r="BD33">
        <v>11.62</v>
      </c>
      <c r="BE33">
        <v>12.05</v>
      </c>
      <c r="BF33">
        <v>11.65</v>
      </c>
      <c r="BG33" t="s">
        <v>917</v>
      </c>
      <c r="BH33" t="s">
        <v>918</v>
      </c>
      <c r="BI33" t="s">
        <v>919</v>
      </c>
      <c r="BJ33" t="s">
        <v>101</v>
      </c>
      <c r="BK33" t="s">
        <v>330</v>
      </c>
      <c r="BL33" t="s">
        <v>233</v>
      </c>
      <c r="BM33" t="s">
        <v>920</v>
      </c>
      <c r="BN33" t="s">
        <v>105</v>
      </c>
    </row>
    <row r="34" spans="1:66" x14ac:dyDescent="0.25">
      <c r="A34" t="str">
        <f>HYPERLINK("https://elite.finviz.com/quote.ashx?t=SAVA&amp;ty=c&amp;p=d&amp;b=1", "SAVA")</f>
        <v>SAVA</v>
      </c>
      <c r="B34">
        <v>8</v>
      </c>
      <c r="C34">
        <v>162.22</v>
      </c>
      <c r="D34">
        <v>64.319999999999993</v>
      </c>
      <c r="E34" t="s">
        <v>921</v>
      </c>
      <c r="F34" t="s">
        <v>107</v>
      </c>
      <c r="G34" t="s">
        <v>428</v>
      </c>
      <c r="H34" t="s">
        <v>429</v>
      </c>
      <c r="I34" t="s">
        <v>70</v>
      </c>
      <c r="J34" t="s">
        <v>321</v>
      </c>
      <c r="K34">
        <v>142.75</v>
      </c>
      <c r="L34">
        <v>2.95</v>
      </c>
      <c r="M34" t="s">
        <v>922</v>
      </c>
      <c r="N34">
        <v>1401611</v>
      </c>
      <c r="S34">
        <v>1.62</v>
      </c>
      <c r="V34" t="s">
        <v>923</v>
      </c>
      <c r="AA34">
        <v>-2.56</v>
      </c>
      <c r="AB34" t="s">
        <v>924</v>
      </c>
      <c r="AC34" t="s">
        <v>925</v>
      </c>
      <c r="AJ34" t="s">
        <v>926</v>
      </c>
      <c r="AK34" t="s">
        <v>927</v>
      </c>
      <c r="AL34">
        <v>2.4300000000000002</v>
      </c>
      <c r="AM34">
        <v>2.4300000000000002</v>
      </c>
      <c r="AN34">
        <v>0</v>
      </c>
      <c r="AR34" t="s">
        <v>928</v>
      </c>
      <c r="AS34" t="s">
        <v>929</v>
      </c>
      <c r="AT34" t="s">
        <v>930</v>
      </c>
      <c r="AU34" t="s">
        <v>931</v>
      </c>
      <c r="AV34" t="s">
        <v>932</v>
      </c>
      <c r="AW34" t="s">
        <v>933</v>
      </c>
      <c r="AX34" t="s">
        <v>934</v>
      </c>
      <c r="AY34" t="s">
        <v>935</v>
      </c>
      <c r="AZ34" t="s">
        <v>936</v>
      </c>
      <c r="BA34">
        <v>3</v>
      </c>
      <c r="BB34">
        <v>1931.21</v>
      </c>
      <c r="BC34">
        <v>2.56</v>
      </c>
      <c r="BD34">
        <v>3.1</v>
      </c>
      <c r="BE34">
        <v>3.28</v>
      </c>
      <c r="BF34">
        <v>2.89</v>
      </c>
      <c r="BG34" t="s">
        <v>937</v>
      </c>
      <c r="BH34" t="s">
        <v>938</v>
      </c>
      <c r="BI34" t="s">
        <v>939</v>
      </c>
      <c r="BJ34" t="s">
        <v>101</v>
      </c>
      <c r="BK34" t="s">
        <v>940</v>
      </c>
      <c r="BL34" t="s">
        <v>941</v>
      </c>
      <c r="BM34" t="s">
        <v>942</v>
      </c>
      <c r="BN34" t="s">
        <v>105</v>
      </c>
    </row>
    <row r="35" spans="1:66" x14ac:dyDescent="0.25">
      <c r="A35" t="str">
        <f>HYPERLINK("https://elite.finviz.com/quote.ashx?t=OCGN&amp;ty=c&amp;p=d&amp;b=1", "OCGN")</f>
        <v>OCGN</v>
      </c>
      <c r="B35">
        <v>8</v>
      </c>
      <c r="C35">
        <v>162.22</v>
      </c>
      <c r="D35">
        <v>64.38</v>
      </c>
      <c r="E35" t="s">
        <v>943</v>
      </c>
      <c r="F35" t="s">
        <v>107</v>
      </c>
      <c r="G35" t="s">
        <v>428</v>
      </c>
      <c r="H35" t="s">
        <v>429</v>
      </c>
      <c r="I35" t="s">
        <v>70</v>
      </c>
      <c r="J35" t="s">
        <v>321</v>
      </c>
      <c r="K35">
        <v>455.96</v>
      </c>
      <c r="L35">
        <v>1.46</v>
      </c>
      <c r="M35" t="s">
        <v>944</v>
      </c>
      <c r="N35">
        <v>2917249</v>
      </c>
      <c r="R35">
        <v>95.99</v>
      </c>
      <c r="S35">
        <v>139.71</v>
      </c>
      <c r="AA35">
        <v>-0.2</v>
      </c>
      <c r="AB35" t="s">
        <v>945</v>
      </c>
      <c r="AC35" t="s">
        <v>946</v>
      </c>
      <c r="AE35" t="s">
        <v>947</v>
      </c>
      <c r="AH35" t="s">
        <v>948</v>
      </c>
      <c r="AI35" t="s">
        <v>902</v>
      </c>
      <c r="AJ35" t="s">
        <v>164</v>
      </c>
      <c r="AK35" t="s">
        <v>949</v>
      </c>
      <c r="AL35">
        <v>1.83</v>
      </c>
      <c r="AM35">
        <v>1.83</v>
      </c>
      <c r="AN35">
        <v>10.76</v>
      </c>
      <c r="AO35" t="s">
        <v>950</v>
      </c>
      <c r="AP35" t="s">
        <v>951</v>
      </c>
      <c r="AQ35" t="s">
        <v>952</v>
      </c>
      <c r="AR35" t="s">
        <v>953</v>
      </c>
      <c r="AS35" t="s">
        <v>954</v>
      </c>
      <c r="AT35" t="s">
        <v>955</v>
      </c>
      <c r="AU35" t="s">
        <v>956</v>
      </c>
      <c r="AV35" t="s">
        <v>957</v>
      </c>
      <c r="AW35" t="s">
        <v>421</v>
      </c>
      <c r="AX35" t="s">
        <v>958</v>
      </c>
      <c r="AY35" t="s">
        <v>421</v>
      </c>
      <c r="AZ35" t="s">
        <v>959</v>
      </c>
      <c r="BA35">
        <v>1</v>
      </c>
      <c r="BB35">
        <v>4557.68</v>
      </c>
      <c r="BC35">
        <v>2.2599999999999998</v>
      </c>
      <c r="BD35">
        <v>1.52</v>
      </c>
      <c r="BE35">
        <v>1.57</v>
      </c>
      <c r="BF35">
        <v>1.41</v>
      </c>
      <c r="BG35" t="s">
        <v>960</v>
      </c>
      <c r="BH35" t="s">
        <v>961</v>
      </c>
      <c r="BI35" t="s">
        <v>962</v>
      </c>
      <c r="BJ35" t="s">
        <v>101</v>
      </c>
      <c r="BK35" t="s">
        <v>963</v>
      </c>
      <c r="BL35" t="s">
        <v>964</v>
      </c>
      <c r="BM35" t="s">
        <v>965</v>
      </c>
      <c r="BN35" t="s">
        <v>105</v>
      </c>
    </row>
    <row r="36" spans="1:66" x14ac:dyDescent="0.25">
      <c r="A36" t="str">
        <f>HYPERLINK("https://elite.finviz.com/quote.ashx?t=VERI&amp;ty=c&amp;p=d&amp;b=1", "VERI")</f>
        <v>VERI</v>
      </c>
      <c r="B36">
        <v>8</v>
      </c>
      <c r="C36">
        <v>162.22</v>
      </c>
      <c r="D36">
        <v>64.430000000000007</v>
      </c>
      <c r="E36" t="s">
        <v>966</v>
      </c>
      <c r="F36" t="s">
        <v>107</v>
      </c>
      <c r="G36" t="s">
        <v>108</v>
      </c>
      <c r="H36" t="s">
        <v>109</v>
      </c>
      <c r="I36" t="s">
        <v>70</v>
      </c>
      <c r="J36" t="s">
        <v>321</v>
      </c>
      <c r="K36">
        <v>347.5</v>
      </c>
      <c r="L36">
        <v>5.0599999999999996</v>
      </c>
      <c r="M36" t="s">
        <v>967</v>
      </c>
      <c r="N36">
        <v>3450640</v>
      </c>
      <c r="R36">
        <v>3.82</v>
      </c>
      <c r="S36">
        <v>197.66</v>
      </c>
      <c r="AA36">
        <v>-2.4300000000000002</v>
      </c>
      <c r="AB36" t="s">
        <v>968</v>
      </c>
      <c r="AC36" t="s">
        <v>969</v>
      </c>
      <c r="AD36" t="s">
        <v>970</v>
      </c>
      <c r="AE36" t="s">
        <v>971</v>
      </c>
      <c r="AF36" t="s">
        <v>972</v>
      </c>
      <c r="AG36" t="s">
        <v>973</v>
      </c>
      <c r="AH36" t="s">
        <v>974</v>
      </c>
      <c r="AI36" t="s">
        <v>975</v>
      </c>
      <c r="AJ36" t="s">
        <v>164</v>
      </c>
      <c r="AK36" t="s">
        <v>976</v>
      </c>
      <c r="AL36">
        <v>0.89</v>
      </c>
      <c r="AM36">
        <v>0.89</v>
      </c>
      <c r="AN36">
        <v>96.43</v>
      </c>
      <c r="AO36" t="s">
        <v>977</v>
      </c>
      <c r="AP36" t="s">
        <v>978</v>
      </c>
      <c r="AQ36" t="s">
        <v>979</v>
      </c>
      <c r="AR36" t="s">
        <v>980</v>
      </c>
      <c r="AS36" t="s">
        <v>981</v>
      </c>
      <c r="AT36" t="s">
        <v>982</v>
      </c>
      <c r="AU36" t="s">
        <v>983</v>
      </c>
      <c r="AV36" t="s">
        <v>984</v>
      </c>
      <c r="AW36" t="s">
        <v>985</v>
      </c>
      <c r="AX36" t="s">
        <v>986</v>
      </c>
      <c r="AY36" t="s">
        <v>985</v>
      </c>
      <c r="AZ36" t="s">
        <v>987</v>
      </c>
      <c r="BA36">
        <v>1.5</v>
      </c>
      <c r="BB36">
        <v>4255.59</v>
      </c>
      <c r="BC36">
        <v>2.86</v>
      </c>
      <c r="BD36">
        <v>5.58</v>
      </c>
      <c r="BE36">
        <v>5.67</v>
      </c>
      <c r="BF36">
        <v>5.03</v>
      </c>
      <c r="BG36" t="s">
        <v>988</v>
      </c>
      <c r="BH36" t="s">
        <v>989</v>
      </c>
      <c r="BI36" t="s">
        <v>987</v>
      </c>
      <c r="BJ36" t="s">
        <v>101</v>
      </c>
      <c r="BK36" t="s">
        <v>990</v>
      </c>
      <c r="BL36" t="s">
        <v>991</v>
      </c>
      <c r="BM36" t="s">
        <v>992</v>
      </c>
      <c r="BN36" t="s">
        <v>105</v>
      </c>
    </row>
    <row r="37" spans="1:66" x14ac:dyDescent="0.25">
      <c r="A37" t="str">
        <f>HYPERLINK("https://elite.finviz.com/quote.ashx?t=VUZI&amp;ty=c&amp;p=d&amp;b=1", "VUZI")</f>
        <v>VUZI</v>
      </c>
      <c r="B37">
        <v>8</v>
      </c>
      <c r="C37">
        <v>162.22</v>
      </c>
      <c r="D37">
        <v>64.53</v>
      </c>
      <c r="E37" t="s">
        <v>993</v>
      </c>
      <c r="F37" t="s">
        <v>67</v>
      </c>
      <c r="G37" t="s">
        <v>108</v>
      </c>
      <c r="H37" t="s">
        <v>994</v>
      </c>
      <c r="I37" t="s">
        <v>70</v>
      </c>
      <c r="J37" t="s">
        <v>321</v>
      </c>
      <c r="K37">
        <v>236.58</v>
      </c>
      <c r="L37">
        <v>3.06</v>
      </c>
      <c r="M37" t="s">
        <v>995</v>
      </c>
      <c r="N37">
        <v>1305411</v>
      </c>
      <c r="R37">
        <v>42.78</v>
      </c>
      <c r="S37">
        <v>8.1999999999999993</v>
      </c>
      <c r="AA37">
        <v>-0.53</v>
      </c>
      <c r="AB37" t="s">
        <v>996</v>
      </c>
      <c r="AC37" t="s">
        <v>997</v>
      </c>
      <c r="AE37" t="s">
        <v>998</v>
      </c>
      <c r="AF37" t="s">
        <v>999</v>
      </c>
      <c r="AG37" t="s">
        <v>1000</v>
      </c>
      <c r="AH37" t="s">
        <v>705</v>
      </c>
      <c r="AI37" t="s">
        <v>1001</v>
      </c>
      <c r="AJ37" t="s">
        <v>164</v>
      </c>
      <c r="AK37" t="s">
        <v>717</v>
      </c>
      <c r="AL37">
        <v>7.68</v>
      </c>
      <c r="AM37">
        <v>6.52</v>
      </c>
      <c r="AN37">
        <v>0.01</v>
      </c>
      <c r="AO37" t="s">
        <v>1002</v>
      </c>
      <c r="AP37" t="s">
        <v>1003</v>
      </c>
      <c r="AQ37" t="s">
        <v>1004</v>
      </c>
      <c r="AR37" t="s">
        <v>1005</v>
      </c>
      <c r="AS37" t="s">
        <v>1006</v>
      </c>
      <c r="AT37" t="s">
        <v>1007</v>
      </c>
      <c r="AU37" t="s">
        <v>1008</v>
      </c>
      <c r="AV37" t="s">
        <v>1009</v>
      </c>
      <c r="AW37" t="s">
        <v>1010</v>
      </c>
      <c r="AX37" t="s">
        <v>1011</v>
      </c>
      <c r="AY37" t="s">
        <v>1012</v>
      </c>
      <c r="AZ37" t="s">
        <v>1013</v>
      </c>
      <c r="BA37">
        <v>1</v>
      </c>
      <c r="BB37">
        <v>1997.93</v>
      </c>
      <c r="BC37">
        <v>2.2999999999999998</v>
      </c>
      <c r="BD37">
        <v>2.92</v>
      </c>
      <c r="BE37">
        <v>3.13</v>
      </c>
      <c r="BF37">
        <v>2.96</v>
      </c>
      <c r="BG37" t="s">
        <v>1014</v>
      </c>
      <c r="BH37" t="s">
        <v>1015</v>
      </c>
      <c r="BI37" t="s">
        <v>1016</v>
      </c>
      <c r="BJ37" t="s">
        <v>101</v>
      </c>
      <c r="BK37" t="s">
        <v>716</v>
      </c>
      <c r="BL37" t="s">
        <v>1017</v>
      </c>
      <c r="BM37" t="s">
        <v>1018</v>
      </c>
      <c r="BN37" t="s">
        <v>105</v>
      </c>
    </row>
    <row r="38" spans="1:66" x14ac:dyDescent="0.25">
      <c r="A38" t="str">
        <f>HYPERLINK("https://elite.finviz.com/quote.ashx?t=CDLX&amp;ty=c&amp;p=d&amp;b=1", "CDLX")</f>
        <v>CDLX</v>
      </c>
      <c r="B38">
        <v>8</v>
      </c>
      <c r="C38">
        <v>162.22</v>
      </c>
      <c r="D38">
        <v>65.209999999999994</v>
      </c>
      <c r="E38" t="s">
        <v>1019</v>
      </c>
      <c r="F38" t="s">
        <v>107</v>
      </c>
      <c r="G38" t="s">
        <v>598</v>
      </c>
      <c r="H38" t="s">
        <v>1020</v>
      </c>
      <c r="I38" t="s">
        <v>70</v>
      </c>
      <c r="J38" t="s">
        <v>321</v>
      </c>
      <c r="K38">
        <v>136.55000000000001</v>
      </c>
      <c r="L38">
        <v>2.57</v>
      </c>
      <c r="M38" t="s">
        <v>1021</v>
      </c>
      <c r="N38">
        <v>4642952</v>
      </c>
      <c r="R38">
        <v>0.51</v>
      </c>
      <c r="S38">
        <v>2.3199999999999998</v>
      </c>
      <c r="AA38">
        <v>-3.64</v>
      </c>
      <c r="AB38" t="s">
        <v>1022</v>
      </c>
      <c r="AC38" t="s">
        <v>1023</v>
      </c>
      <c r="AE38" t="s">
        <v>1024</v>
      </c>
      <c r="AF38" t="s">
        <v>1025</v>
      </c>
      <c r="AG38" t="s">
        <v>1026</v>
      </c>
      <c r="AH38" t="s">
        <v>1027</v>
      </c>
      <c r="AI38" t="s">
        <v>1028</v>
      </c>
      <c r="AJ38" t="s">
        <v>1029</v>
      </c>
      <c r="AK38" t="s">
        <v>1030</v>
      </c>
      <c r="AL38">
        <v>1.1599999999999999</v>
      </c>
      <c r="AM38">
        <v>1.1599999999999999</v>
      </c>
      <c r="AN38">
        <v>3.75</v>
      </c>
      <c r="AO38" t="s">
        <v>1031</v>
      </c>
      <c r="AP38" t="s">
        <v>1032</v>
      </c>
      <c r="AQ38" t="s">
        <v>1033</v>
      </c>
      <c r="AR38" t="s">
        <v>1034</v>
      </c>
      <c r="AS38" t="s">
        <v>1035</v>
      </c>
      <c r="AT38" t="s">
        <v>1036</v>
      </c>
      <c r="AU38" t="s">
        <v>1037</v>
      </c>
      <c r="AV38" t="s">
        <v>1038</v>
      </c>
      <c r="AW38" t="s">
        <v>1039</v>
      </c>
      <c r="AX38" t="s">
        <v>1040</v>
      </c>
      <c r="AY38" t="s">
        <v>1041</v>
      </c>
      <c r="AZ38" t="s">
        <v>1040</v>
      </c>
      <c r="BA38">
        <v>3.2</v>
      </c>
      <c r="BB38">
        <v>5057.1400000000003</v>
      </c>
      <c r="BC38">
        <v>3.23</v>
      </c>
      <c r="BD38">
        <v>2.38</v>
      </c>
      <c r="BE38">
        <v>2.85</v>
      </c>
      <c r="BF38">
        <v>2.4700000000000002</v>
      </c>
      <c r="BG38" t="s">
        <v>1042</v>
      </c>
      <c r="BH38" t="s">
        <v>1043</v>
      </c>
      <c r="BI38" t="s">
        <v>1040</v>
      </c>
      <c r="BJ38" t="s">
        <v>101</v>
      </c>
      <c r="BK38" t="s">
        <v>1044</v>
      </c>
      <c r="BL38" t="s">
        <v>1045</v>
      </c>
      <c r="BM38" t="s">
        <v>1046</v>
      </c>
      <c r="BN38" t="s">
        <v>105</v>
      </c>
    </row>
    <row r="39" spans="1:66" x14ac:dyDescent="0.25">
      <c r="A39" t="str">
        <f>HYPERLINK("https://elite.finviz.com/quote.ashx?t=REI&amp;ty=c&amp;p=d&amp;b=1", "REI")</f>
        <v>REI</v>
      </c>
      <c r="B39">
        <v>8</v>
      </c>
      <c r="C39">
        <v>162.22</v>
      </c>
      <c r="D39">
        <v>65.47</v>
      </c>
      <c r="E39" t="s">
        <v>1047</v>
      </c>
      <c r="F39" t="s">
        <v>107</v>
      </c>
      <c r="G39" t="s">
        <v>1048</v>
      </c>
      <c r="H39" t="s">
        <v>1049</v>
      </c>
      <c r="I39" t="s">
        <v>70</v>
      </c>
      <c r="J39" t="s">
        <v>383</v>
      </c>
      <c r="K39">
        <v>235.65</v>
      </c>
      <c r="L39">
        <v>1.1399999999999999</v>
      </c>
      <c r="M39" t="s">
        <v>1050</v>
      </c>
      <c r="N39">
        <v>1608436</v>
      </c>
      <c r="O39">
        <v>3.34</v>
      </c>
      <c r="P39">
        <v>4.3899999999999997</v>
      </c>
      <c r="R39">
        <v>0.7</v>
      </c>
      <c r="S39">
        <v>0.26</v>
      </c>
      <c r="Z39" t="s">
        <v>164</v>
      </c>
      <c r="AA39">
        <v>0.34</v>
      </c>
      <c r="AB39" t="s">
        <v>1051</v>
      </c>
      <c r="AC39" t="s">
        <v>1052</v>
      </c>
      <c r="AE39" t="s">
        <v>1053</v>
      </c>
      <c r="AF39" t="s">
        <v>1054</v>
      </c>
      <c r="AG39" t="s">
        <v>1055</v>
      </c>
      <c r="AH39" t="s">
        <v>1056</v>
      </c>
      <c r="AI39" t="s">
        <v>1057</v>
      </c>
      <c r="AJ39" t="s">
        <v>1058</v>
      </c>
      <c r="AK39" t="s">
        <v>1059</v>
      </c>
      <c r="AL39">
        <v>0.63</v>
      </c>
      <c r="AM39">
        <v>0.57999999999999996</v>
      </c>
      <c r="AN39">
        <v>0.5</v>
      </c>
      <c r="AO39" t="s">
        <v>1060</v>
      </c>
      <c r="AP39" t="s">
        <v>1061</v>
      </c>
      <c r="AQ39" t="s">
        <v>1062</v>
      </c>
      <c r="AR39" t="s">
        <v>1063</v>
      </c>
      <c r="AS39" t="s">
        <v>636</v>
      </c>
      <c r="AT39" t="s">
        <v>1064</v>
      </c>
      <c r="AU39" t="s">
        <v>1065</v>
      </c>
      <c r="AV39" t="s">
        <v>1066</v>
      </c>
      <c r="AW39" t="s">
        <v>1067</v>
      </c>
      <c r="AX39" t="s">
        <v>1068</v>
      </c>
      <c r="AY39" t="s">
        <v>1069</v>
      </c>
      <c r="AZ39" t="s">
        <v>1068</v>
      </c>
      <c r="BA39">
        <v>1</v>
      </c>
      <c r="BB39">
        <v>3359.05</v>
      </c>
      <c r="BC39">
        <v>1.69</v>
      </c>
      <c r="BD39">
        <v>1.1000000000000001</v>
      </c>
      <c r="BE39">
        <v>1.1499999999999999</v>
      </c>
      <c r="BF39">
        <v>1.0900000000000001</v>
      </c>
      <c r="BG39" t="s">
        <v>1070</v>
      </c>
      <c r="BH39" t="s">
        <v>1071</v>
      </c>
      <c r="BI39" t="s">
        <v>1072</v>
      </c>
      <c r="BJ39" t="s">
        <v>101</v>
      </c>
      <c r="BK39" t="s">
        <v>1073</v>
      </c>
      <c r="BL39" t="s">
        <v>1074</v>
      </c>
      <c r="BM39" t="s">
        <v>1075</v>
      </c>
      <c r="BN39" t="s">
        <v>105</v>
      </c>
    </row>
    <row r="40" spans="1:66" x14ac:dyDescent="0.25">
      <c r="A40" t="str">
        <f>HYPERLINK("https://elite.finviz.com/quote.ashx?t=KODK&amp;ty=c&amp;p=d&amp;b=1", "KODK")</f>
        <v>KODK</v>
      </c>
      <c r="B40">
        <v>8</v>
      </c>
      <c r="C40">
        <v>162.22</v>
      </c>
      <c r="D40">
        <v>65.58</v>
      </c>
      <c r="E40" t="s">
        <v>1076</v>
      </c>
      <c r="F40" t="s">
        <v>67</v>
      </c>
      <c r="G40" t="s">
        <v>260</v>
      </c>
      <c r="H40" t="s">
        <v>1077</v>
      </c>
      <c r="I40" t="s">
        <v>70</v>
      </c>
      <c r="J40" t="s">
        <v>71</v>
      </c>
      <c r="K40">
        <v>546.44000000000005</v>
      </c>
      <c r="L40">
        <v>6.74</v>
      </c>
      <c r="M40" t="s">
        <v>1078</v>
      </c>
      <c r="N40">
        <v>1491283</v>
      </c>
      <c r="R40">
        <v>0.53</v>
      </c>
      <c r="S40">
        <v>1.03</v>
      </c>
      <c r="Z40" t="s">
        <v>164</v>
      </c>
      <c r="AA40">
        <v>-0.11</v>
      </c>
      <c r="AB40" t="s">
        <v>1079</v>
      </c>
      <c r="AE40" t="s">
        <v>1080</v>
      </c>
      <c r="AF40" t="s">
        <v>1081</v>
      </c>
      <c r="AG40" t="s">
        <v>1082</v>
      </c>
      <c r="AH40" t="s">
        <v>600</v>
      </c>
      <c r="AJ40" t="s">
        <v>1083</v>
      </c>
      <c r="AK40" t="s">
        <v>1084</v>
      </c>
      <c r="AL40">
        <v>0.79</v>
      </c>
      <c r="AM40">
        <v>0.46</v>
      </c>
      <c r="AN40">
        <v>0.71</v>
      </c>
      <c r="AO40" t="s">
        <v>1085</v>
      </c>
      <c r="AP40" t="s">
        <v>298</v>
      </c>
      <c r="AQ40" t="s">
        <v>1086</v>
      </c>
      <c r="AR40" t="s">
        <v>1087</v>
      </c>
      <c r="AS40" t="s">
        <v>1088</v>
      </c>
      <c r="AT40" t="s">
        <v>1089</v>
      </c>
      <c r="AU40" t="s">
        <v>1090</v>
      </c>
      <c r="AV40" t="s">
        <v>1091</v>
      </c>
      <c r="AW40" t="s">
        <v>1092</v>
      </c>
      <c r="AX40" t="s">
        <v>1093</v>
      </c>
      <c r="AY40" t="s">
        <v>1094</v>
      </c>
      <c r="AZ40" t="s">
        <v>1095</v>
      </c>
      <c r="BB40">
        <v>1514.27</v>
      </c>
      <c r="BC40">
        <v>3.47</v>
      </c>
      <c r="BD40">
        <v>6.18</v>
      </c>
      <c r="BE40">
        <v>6.83</v>
      </c>
      <c r="BF40">
        <v>6.25</v>
      </c>
      <c r="BG40" t="s">
        <v>1096</v>
      </c>
      <c r="BH40" t="s">
        <v>1097</v>
      </c>
      <c r="BI40" t="s">
        <v>1098</v>
      </c>
      <c r="BJ40" t="s">
        <v>101</v>
      </c>
      <c r="BK40" t="s">
        <v>1099</v>
      </c>
      <c r="BL40" t="s">
        <v>1100</v>
      </c>
      <c r="BM40" t="s">
        <v>1101</v>
      </c>
      <c r="BN40" t="s">
        <v>105</v>
      </c>
    </row>
    <row r="41" spans="1:66" x14ac:dyDescent="0.25">
      <c r="A41" t="str">
        <f>HYPERLINK("https://elite.finviz.com/quote.ashx?t=GORO&amp;ty=c&amp;p=d&amp;b=1", "GORO")</f>
        <v>GORO</v>
      </c>
      <c r="B41">
        <v>8</v>
      </c>
      <c r="C41">
        <v>162.22</v>
      </c>
      <c r="D41">
        <v>65.599999999999994</v>
      </c>
      <c r="E41" t="s">
        <v>1102</v>
      </c>
      <c r="F41" t="s">
        <v>107</v>
      </c>
      <c r="G41" t="s">
        <v>355</v>
      </c>
      <c r="H41" t="s">
        <v>1103</v>
      </c>
      <c r="I41" t="s">
        <v>70</v>
      </c>
      <c r="J41" t="s">
        <v>383</v>
      </c>
      <c r="K41">
        <v>116.39</v>
      </c>
      <c r="L41">
        <v>0.85</v>
      </c>
      <c r="M41" t="s">
        <v>1104</v>
      </c>
      <c r="N41">
        <v>1745718</v>
      </c>
      <c r="R41">
        <v>2.37</v>
      </c>
      <c r="S41">
        <v>6.08</v>
      </c>
      <c r="V41" t="s">
        <v>1105</v>
      </c>
      <c r="AA41">
        <v>-0.42</v>
      </c>
      <c r="AE41" t="s">
        <v>1106</v>
      </c>
      <c r="AF41" t="s">
        <v>1107</v>
      </c>
      <c r="AG41" t="s">
        <v>1108</v>
      </c>
      <c r="AH41" t="s">
        <v>1109</v>
      </c>
      <c r="AJ41" t="s">
        <v>164</v>
      </c>
      <c r="AK41" t="s">
        <v>1110</v>
      </c>
      <c r="AL41">
        <v>1.65</v>
      </c>
      <c r="AM41">
        <v>1.23</v>
      </c>
      <c r="AN41">
        <v>4.5999999999999996</v>
      </c>
      <c r="AO41" t="s">
        <v>1111</v>
      </c>
      <c r="AP41" t="s">
        <v>1112</v>
      </c>
      <c r="AQ41" t="s">
        <v>1113</v>
      </c>
      <c r="AR41" t="s">
        <v>1114</v>
      </c>
      <c r="AS41" t="s">
        <v>1115</v>
      </c>
      <c r="AT41" t="s">
        <v>1116</v>
      </c>
      <c r="AU41" t="s">
        <v>1117</v>
      </c>
      <c r="AV41" t="s">
        <v>1118</v>
      </c>
      <c r="AW41" t="s">
        <v>1119</v>
      </c>
      <c r="AX41" t="s">
        <v>1120</v>
      </c>
      <c r="AY41" t="s">
        <v>1119</v>
      </c>
      <c r="AZ41" t="s">
        <v>1121</v>
      </c>
      <c r="BA41">
        <v>1</v>
      </c>
      <c r="BB41">
        <v>2644.5</v>
      </c>
      <c r="BC41">
        <v>2.33</v>
      </c>
      <c r="BD41">
        <v>0.81</v>
      </c>
      <c r="BE41">
        <v>0.87</v>
      </c>
      <c r="BF41">
        <v>0.81</v>
      </c>
      <c r="BG41" t="s">
        <v>1122</v>
      </c>
      <c r="BH41" t="s">
        <v>1123</v>
      </c>
      <c r="BI41" t="s">
        <v>1121</v>
      </c>
      <c r="BJ41" t="s">
        <v>101</v>
      </c>
      <c r="BK41" t="s">
        <v>1124</v>
      </c>
      <c r="BL41" t="s">
        <v>1125</v>
      </c>
      <c r="BM41" t="s">
        <v>1126</v>
      </c>
      <c r="BN41" t="s">
        <v>105</v>
      </c>
    </row>
    <row r="42" spans="1:66" x14ac:dyDescent="0.25">
      <c r="A42" s="2" t="str">
        <f>HYPERLINK("https://elite.finviz.com/quote.ashx?t=LTBR&amp;ty=c&amp;p=d&amp;b=1", "LTBR")</f>
        <v>LTBR</v>
      </c>
      <c r="B42">
        <v>8</v>
      </c>
      <c r="C42">
        <v>162.22</v>
      </c>
      <c r="D42">
        <v>65.92</v>
      </c>
      <c r="E42" t="s">
        <v>1127</v>
      </c>
      <c r="F42" t="s">
        <v>67</v>
      </c>
      <c r="G42" t="s">
        <v>260</v>
      </c>
      <c r="H42" t="s">
        <v>1128</v>
      </c>
      <c r="I42" t="s">
        <v>70</v>
      </c>
      <c r="J42" t="s">
        <v>321</v>
      </c>
      <c r="K42">
        <v>513.66999999999996</v>
      </c>
      <c r="L42">
        <v>19.82</v>
      </c>
      <c r="M42" t="s">
        <v>1129</v>
      </c>
      <c r="N42">
        <v>1204994</v>
      </c>
      <c r="S42">
        <v>5.18</v>
      </c>
      <c r="AA42">
        <v>-0.84</v>
      </c>
      <c r="AB42" t="s">
        <v>1130</v>
      </c>
      <c r="AC42" t="s">
        <v>664</v>
      </c>
      <c r="AJ42" t="s">
        <v>402</v>
      </c>
      <c r="AK42" t="s">
        <v>1131</v>
      </c>
      <c r="AL42">
        <v>82.35</v>
      </c>
      <c r="AM42">
        <v>82.35</v>
      </c>
      <c r="AN42">
        <v>0</v>
      </c>
      <c r="AR42" t="s">
        <v>1132</v>
      </c>
      <c r="AS42" t="s">
        <v>1133</v>
      </c>
      <c r="AT42" t="s">
        <v>1134</v>
      </c>
      <c r="AU42" t="s">
        <v>1135</v>
      </c>
      <c r="AV42" t="s">
        <v>1136</v>
      </c>
      <c r="AW42" t="s">
        <v>1137</v>
      </c>
      <c r="AX42" t="s">
        <v>1138</v>
      </c>
      <c r="AY42" t="s">
        <v>1137</v>
      </c>
      <c r="AZ42" t="s">
        <v>1139</v>
      </c>
      <c r="BB42">
        <v>1681.42</v>
      </c>
      <c r="BC42">
        <v>2.52</v>
      </c>
      <c r="BD42">
        <v>19.440000000000001</v>
      </c>
      <c r="BE42">
        <v>21.27</v>
      </c>
      <c r="BF42">
        <v>19.32</v>
      </c>
      <c r="BG42" t="s">
        <v>1140</v>
      </c>
      <c r="BH42" t="s">
        <v>1141</v>
      </c>
      <c r="BI42" t="s">
        <v>1142</v>
      </c>
      <c r="BJ42" t="s">
        <v>101</v>
      </c>
      <c r="BK42" t="s">
        <v>1143</v>
      </c>
      <c r="BL42" t="s">
        <v>1144</v>
      </c>
      <c r="BM42" t="s">
        <v>1145</v>
      </c>
      <c r="BN42" t="s">
        <v>105</v>
      </c>
    </row>
    <row r="43" spans="1:66" x14ac:dyDescent="0.25">
      <c r="A43" t="str">
        <f>HYPERLINK("https://elite.finviz.com/quote.ashx?t=GEVO&amp;ty=c&amp;p=d&amp;b=1", "GEVO")</f>
        <v>GEVO</v>
      </c>
      <c r="B43">
        <v>8</v>
      </c>
      <c r="C43">
        <v>162.22</v>
      </c>
      <c r="D43">
        <v>65.97</v>
      </c>
      <c r="E43" t="s">
        <v>1146</v>
      </c>
      <c r="F43" t="s">
        <v>67</v>
      </c>
      <c r="G43" t="s">
        <v>355</v>
      </c>
      <c r="H43" t="s">
        <v>1147</v>
      </c>
      <c r="I43" t="s">
        <v>70</v>
      </c>
      <c r="J43" t="s">
        <v>321</v>
      </c>
      <c r="K43">
        <v>505.37</v>
      </c>
      <c r="L43">
        <v>2.09</v>
      </c>
      <c r="M43" t="s">
        <v>1148</v>
      </c>
      <c r="N43">
        <v>3134978</v>
      </c>
      <c r="R43">
        <v>6.3</v>
      </c>
      <c r="S43">
        <v>1.07</v>
      </c>
      <c r="AA43">
        <v>-0.25</v>
      </c>
      <c r="AB43" t="s">
        <v>1149</v>
      </c>
      <c r="AC43" t="s">
        <v>785</v>
      </c>
      <c r="AD43" t="s">
        <v>1150</v>
      </c>
      <c r="AE43" t="s">
        <v>1151</v>
      </c>
      <c r="AF43" t="s">
        <v>1152</v>
      </c>
      <c r="AG43" t="s">
        <v>1153</v>
      </c>
      <c r="AH43" t="s">
        <v>1154</v>
      </c>
      <c r="AI43" t="s">
        <v>1155</v>
      </c>
      <c r="AJ43" t="s">
        <v>1156</v>
      </c>
      <c r="AK43" t="s">
        <v>717</v>
      </c>
      <c r="AL43">
        <v>2.33</v>
      </c>
      <c r="AM43">
        <v>2.1</v>
      </c>
      <c r="AN43">
        <v>0.36</v>
      </c>
      <c r="AO43" t="s">
        <v>485</v>
      </c>
      <c r="AP43" t="s">
        <v>1157</v>
      </c>
      <c r="AQ43" t="s">
        <v>1158</v>
      </c>
      <c r="AR43" t="s">
        <v>1159</v>
      </c>
      <c r="AS43" t="s">
        <v>1160</v>
      </c>
      <c r="AT43" t="s">
        <v>1161</v>
      </c>
      <c r="AU43" t="s">
        <v>1162</v>
      </c>
      <c r="AV43" t="s">
        <v>1163</v>
      </c>
      <c r="AW43" t="s">
        <v>1164</v>
      </c>
      <c r="AX43" t="s">
        <v>1165</v>
      </c>
      <c r="AY43" t="s">
        <v>1166</v>
      </c>
      <c r="AZ43" t="s">
        <v>1167</v>
      </c>
      <c r="BA43">
        <v>2</v>
      </c>
      <c r="BB43">
        <v>6383.59</v>
      </c>
      <c r="BC43">
        <v>1.73</v>
      </c>
      <c r="BD43">
        <v>2.0099999999999998</v>
      </c>
      <c r="BE43">
        <v>2.1800000000000002</v>
      </c>
      <c r="BF43">
        <v>2.0299999999999998</v>
      </c>
      <c r="BG43" t="s">
        <v>1168</v>
      </c>
      <c r="BH43" t="s">
        <v>579</v>
      </c>
      <c r="BI43" t="s">
        <v>1169</v>
      </c>
      <c r="BJ43" t="s">
        <v>101</v>
      </c>
      <c r="BK43" t="s">
        <v>1170</v>
      </c>
      <c r="BL43" t="s">
        <v>1171</v>
      </c>
      <c r="BM43" t="s">
        <v>1172</v>
      </c>
      <c r="BN43" t="s">
        <v>105</v>
      </c>
    </row>
    <row r="44" spans="1:66" x14ac:dyDescent="0.25">
      <c r="A44" t="str">
        <f>HYPERLINK("https://elite.finviz.com/quote.ashx?t=SLNH&amp;ty=c&amp;p=d&amp;b=1", "SLNH")</f>
        <v>SLNH</v>
      </c>
      <c r="B44">
        <v>8</v>
      </c>
      <c r="C44">
        <v>162.22</v>
      </c>
      <c r="D44">
        <v>66.56</v>
      </c>
      <c r="E44" t="s">
        <v>1173</v>
      </c>
      <c r="F44" t="s">
        <v>107</v>
      </c>
      <c r="G44" t="s">
        <v>550</v>
      </c>
      <c r="H44" t="s">
        <v>551</v>
      </c>
      <c r="I44" t="s">
        <v>70</v>
      </c>
      <c r="J44" t="s">
        <v>321</v>
      </c>
      <c r="K44">
        <v>72.5</v>
      </c>
      <c r="L44">
        <v>2.4</v>
      </c>
      <c r="M44" t="s">
        <v>1174</v>
      </c>
      <c r="N44">
        <v>7965632</v>
      </c>
      <c r="R44">
        <v>2.6</v>
      </c>
      <c r="AA44">
        <v>-7.14</v>
      </c>
      <c r="AB44" t="s">
        <v>1175</v>
      </c>
      <c r="AE44" t="s">
        <v>1176</v>
      </c>
      <c r="AF44" t="s">
        <v>1177</v>
      </c>
      <c r="AG44" t="s">
        <v>1178</v>
      </c>
      <c r="AH44" t="s">
        <v>1179</v>
      </c>
      <c r="AI44" t="s">
        <v>582</v>
      </c>
      <c r="AJ44" t="s">
        <v>1180</v>
      </c>
      <c r="AK44" t="s">
        <v>1129</v>
      </c>
      <c r="AL44">
        <v>0.35</v>
      </c>
      <c r="AM44">
        <v>0.35</v>
      </c>
      <c r="AO44" t="s">
        <v>1181</v>
      </c>
      <c r="AP44" t="s">
        <v>1182</v>
      </c>
      <c r="AQ44" t="s">
        <v>1183</v>
      </c>
      <c r="AR44" t="s">
        <v>1184</v>
      </c>
      <c r="AS44" t="s">
        <v>1185</v>
      </c>
      <c r="AT44" t="s">
        <v>1186</v>
      </c>
      <c r="AU44" t="s">
        <v>1187</v>
      </c>
      <c r="AV44" t="s">
        <v>1188</v>
      </c>
      <c r="AW44" t="s">
        <v>1189</v>
      </c>
      <c r="AX44" t="s">
        <v>1190</v>
      </c>
      <c r="AY44" t="s">
        <v>1191</v>
      </c>
      <c r="AZ44" t="s">
        <v>1192</v>
      </c>
      <c r="BB44">
        <v>9371.6299999999992</v>
      </c>
      <c r="BC44">
        <v>2.99</v>
      </c>
      <c r="BD44">
        <v>2.94</v>
      </c>
      <c r="BE44">
        <v>3.05</v>
      </c>
      <c r="BF44">
        <v>2.31</v>
      </c>
      <c r="BG44" t="s">
        <v>1193</v>
      </c>
      <c r="BH44" t="s">
        <v>1194</v>
      </c>
      <c r="BI44" t="s">
        <v>1192</v>
      </c>
      <c r="BJ44" t="s">
        <v>101</v>
      </c>
      <c r="BK44" t="s">
        <v>1195</v>
      </c>
      <c r="BL44" t="s">
        <v>1196</v>
      </c>
      <c r="BM44" t="s">
        <v>1197</v>
      </c>
      <c r="BN44" t="s">
        <v>105</v>
      </c>
    </row>
    <row r="45" spans="1:66" x14ac:dyDescent="0.25">
      <c r="A45" t="str">
        <f>HYPERLINK("https://elite.finviz.com/quote.ashx?t=SRRK&amp;ty=c&amp;p=d&amp;b=1", "SRRK")</f>
        <v>SRRK</v>
      </c>
      <c r="B45">
        <v>8</v>
      </c>
      <c r="C45">
        <v>162.22</v>
      </c>
      <c r="D45">
        <v>66.63</v>
      </c>
      <c r="E45" t="s">
        <v>1198</v>
      </c>
      <c r="F45" t="s">
        <v>67</v>
      </c>
      <c r="G45" t="s">
        <v>428</v>
      </c>
      <c r="H45" t="s">
        <v>429</v>
      </c>
      <c r="I45" t="s">
        <v>70</v>
      </c>
      <c r="J45" t="s">
        <v>321</v>
      </c>
      <c r="K45">
        <v>3680.71</v>
      </c>
      <c r="L45">
        <v>38.29</v>
      </c>
      <c r="M45" t="s">
        <v>847</v>
      </c>
      <c r="N45">
        <v>1281565</v>
      </c>
      <c r="S45">
        <v>15.76</v>
      </c>
      <c r="AA45">
        <v>-3.02</v>
      </c>
      <c r="AB45" t="s">
        <v>1199</v>
      </c>
      <c r="AC45" t="s">
        <v>1200</v>
      </c>
      <c r="AD45" t="s">
        <v>830</v>
      </c>
      <c r="AI45" t="s">
        <v>1201</v>
      </c>
      <c r="AJ45" t="s">
        <v>1202</v>
      </c>
      <c r="AK45" t="s">
        <v>1203</v>
      </c>
      <c r="AL45">
        <v>6.33</v>
      </c>
      <c r="AM45">
        <v>6.33</v>
      </c>
      <c r="AN45">
        <v>0.26</v>
      </c>
      <c r="AR45" t="s">
        <v>416</v>
      </c>
      <c r="AS45" t="s">
        <v>1204</v>
      </c>
      <c r="AT45" t="s">
        <v>1205</v>
      </c>
      <c r="AU45" t="s">
        <v>1206</v>
      </c>
      <c r="AV45" t="s">
        <v>1207</v>
      </c>
      <c r="AW45" t="s">
        <v>1208</v>
      </c>
      <c r="AX45" t="s">
        <v>1209</v>
      </c>
      <c r="AY45" t="s">
        <v>1210</v>
      </c>
      <c r="AZ45" t="s">
        <v>1211</v>
      </c>
      <c r="BA45">
        <v>1.08</v>
      </c>
      <c r="BB45">
        <v>1839.66</v>
      </c>
      <c r="BC45">
        <v>2.4500000000000002</v>
      </c>
      <c r="BD45">
        <v>34.49</v>
      </c>
      <c r="BE45">
        <v>38.56</v>
      </c>
      <c r="BF45">
        <v>34.61</v>
      </c>
      <c r="BG45" t="s">
        <v>1212</v>
      </c>
      <c r="BH45" t="s">
        <v>1213</v>
      </c>
      <c r="BI45" t="s">
        <v>1214</v>
      </c>
      <c r="BJ45" t="s">
        <v>101</v>
      </c>
      <c r="BK45" t="s">
        <v>1215</v>
      </c>
      <c r="BL45" t="s">
        <v>1216</v>
      </c>
      <c r="BM45" t="s">
        <v>1217</v>
      </c>
      <c r="BN45" t="s">
        <v>105</v>
      </c>
    </row>
    <row r="46" spans="1:66" x14ac:dyDescent="0.25">
      <c r="A46" t="str">
        <f>HYPERLINK("https://elite.finviz.com/quote.ashx?t=BKKT&amp;ty=c&amp;p=d&amp;b=1", "BKKT")</f>
        <v>BKKT</v>
      </c>
      <c r="B46">
        <v>8</v>
      </c>
      <c r="C46">
        <v>162.22</v>
      </c>
      <c r="D46">
        <v>66.64</v>
      </c>
      <c r="E46" t="s">
        <v>1218</v>
      </c>
      <c r="F46" t="s">
        <v>67</v>
      </c>
      <c r="G46" t="s">
        <v>108</v>
      </c>
      <c r="H46" t="s">
        <v>109</v>
      </c>
      <c r="I46" t="s">
        <v>70</v>
      </c>
      <c r="J46" t="s">
        <v>71</v>
      </c>
      <c r="K46">
        <v>394.51</v>
      </c>
      <c r="L46">
        <v>17.07</v>
      </c>
      <c r="M46" t="s">
        <v>1219</v>
      </c>
      <c r="N46">
        <v>1051819</v>
      </c>
      <c r="P46">
        <v>31.32</v>
      </c>
      <c r="R46">
        <v>0.1</v>
      </c>
      <c r="S46">
        <v>3.37</v>
      </c>
      <c r="AA46">
        <v>-4.38</v>
      </c>
      <c r="AB46" t="s">
        <v>1220</v>
      </c>
      <c r="AC46" t="s">
        <v>1221</v>
      </c>
      <c r="AE46" t="s">
        <v>1222</v>
      </c>
      <c r="AF46" t="s">
        <v>1223</v>
      </c>
      <c r="AH46" t="s">
        <v>485</v>
      </c>
      <c r="AJ46" t="s">
        <v>715</v>
      </c>
      <c r="AK46" t="s">
        <v>1224</v>
      </c>
      <c r="AL46">
        <v>1.19</v>
      </c>
      <c r="AM46">
        <v>1.19</v>
      </c>
      <c r="AN46">
        <v>1.27</v>
      </c>
      <c r="AO46" t="s">
        <v>822</v>
      </c>
      <c r="AP46" t="s">
        <v>1225</v>
      </c>
      <c r="AQ46" t="s">
        <v>1226</v>
      </c>
      <c r="AR46" t="s">
        <v>1227</v>
      </c>
      <c r="AS46" t="s">
        <v>1228</v>
      </c>
      <c r="AT46" t="s">
        <v>1229</v>
      </c>
      <c r="AU46" t="s">
        <v>1230</v>
      </c>
      <c r="AV46" t="s">
        <v>1231</v>
      </c>
      <c r="AW46" t="s">
        <v>1232</v>
      </c>
      <c r="AX46" t="s">
        <v>1233</v>
      </c>
      <c r="AY46" t="s">
        <v>1234</v>
      </c>
      <c r="AZ46" t="s">
        <v>1235</v>
      </c>
      <c r="BA46">
        <v>1</v>
      </c>
      <c r="BB46">
        <v>1767.22</v>
      </c>
      <c r="BC46">
        <v>2.1</v>
      </c>
      <c r="BD46">
        <v>18.63</v>
      </c>
      <c r="BE46">
        <v>18.36</v>
      </c>
      <c r="BF46">
        <v>16.66</v>
      </c>
      <c r="BG46" t="s">
        <v>1236</v>
      </c>
      <c r="BH46" t="s">
        <v>1237</v>
      </c>
      <c r="BI46" t="s">
        <v>1238</v>
      </c>
      <c r="BJ46" t="s">
        <v>101</v>
      </c>
      <c r="BK46" t="s">
        <v>1239</v>
      </c>
      <c r="BL46" t="s">
        <v>1240</v>
      </c>
      <c r="BM46" t="s">
        <v>1241</v>
      </c>
      <c r="BN46" t="s">
        <v>105</v>
      </c>
    </row>
    <row r="47" spans="1:66" x14ac:dyDescent="0.25">
      <c r="A47" t="str">
        <f>HYPERLINK("https://elite.finviz.com/quote.ashx?t=GLUE&amp;ty=c&amp;p=d&amp;b=1", "GLUE")</f>
        <v>GLUE</v>
      </c>
      <c r="B47">
        <v>8</v>
      </c>
      <c r="C47">
        <v>162.22</v>
      </c>
      <c r="D47">
        <v>66.959999999999994</v>
      </c>
      <c r="E47" t="s">
        <v>1242</v>
      </c>
      <c r="F47" t="s">
        <v>67</v>
      </c>
      <c r="G47" t="s">
        <v>428</v>
      </c>
      <c r="H47" t="s">
        <v>429</v>
      </c>
      <c r="I47" t="s">
        <v>70</v>
      </c>
      <c r="J47" t="s">
        <v>321</v>
      </c>
      <c r="K47">
        <v>432.93</v>
      </c>
      <c r="L47">
        <v>7.01</v>
      </c>
      <c r="M47" t="s">
        <v>1243</v>
      </c>
      <c r="N47">
        <v>445249</v>
      </c>
      <c r="O47">
        <v>20.43</v>
      </c>
      <c r="R47">
        <v>2.4300000000000002</v>
      </c>
      <c r="S47">
        <v>1.61</v>
      </c>
      <c r="AA47">
        <v>0.34</v>
      </c>
      <c r="AB47" t="s">
        <v>1216</v>
      </c>
      <c r="AC47" t="s">
        <v>1244</v>
      </c>
      <c r="AD47" t="s">
        <v>1245</v>
      </c>
      <c r="AE47" t="s">
        <v>1246</v>
      </c>
      <c r="AH47" t="s">
        <v>1247</v>
      </c>
      <c r="AI47" t="s">
        <v>1248</v>
      </c>
      <c r="AJ47" t="s">
        <v>1249</v>
      </c>
      <c r="AK47" t="s">
        <v>1250</v>
      </c>
      <c r="AL47">
        <v>7.16</v>
      </c>
      <c r="AM47">
        <v>7.16</v>
      </c>
      <c r="AN47">
        <v>0.15</v>
      </c>
      <c r="AO47" t="s">
        <v>1251</v>
      </c>
      <c r="AP47" t="s">
        <v>1252</v>
      </c>
      <c r="AQ47" t="s">
        <v>1253</v>
      </c>
      <c r="AR47" t="s">
        <v>291</v>
      </c>
      <c r="AS47" t="s">
        <v>1254</v>
      </c>
      <c r="AT47" t="s">
        <v>1255</v>
      </c>
      <c r="AU47" t="s">
        <v>1256</v>
      </c>
      <c r="AV47" t="s">
        <v>1257</v>
      </c>
      <c r="AW47" t="s">
        <v>1258</v>
      </c>
      <c r="AX47" t="s">
        <v>1259</v>
      </c>
      <c r="AY47" t="s">
        <v>1260</v>
      </c>
      <c r="AZ47" t="s">
        <v>1261</v>
      </c>
      <c r="BA47">
        <v>1.22</v>
      </c>
      <c r="BB47">
        <v>1024.5</v>
      </c>
      <c r="BC47">
        <v>1.53</v>
      </c>
      <c r="BD47">
        <v>6.55</v>
      </c>
      <c r="BE47">
        <v>7.05</v>
      </c>
      <c r="BF47">
        <v>6.53</v>
      </c>
      <c r="BG47" t="s">
        <v>1262</v>
      </c>
      <c r="BH47" t="s">
        <v>1263</v>
      </c>
      <c r="BI47" t="s">
        <v>1264</v>
      </c>
      <c r="BJ47" t="s">
        <v>101</v>
      </c>
      <c r="BK47" t="s">
        <v>1265</v>
      </c>
      <c r="BL47" t="s">
        <v>1266</v>
      </c>
      <c r="BM47" t="s">
        <v>1267</v>
      </c>
      <c r="BN47" t="s">
        <v>105</v>
      </c>
    </row>
    <row r="48" spans="1:66" x14ac:dyDescent="0.25">
      <c r="A48" t="str">
        <f>HYPERLINK("https://elite.finviz.com/quote.ashx?t=IONQ&amp;ty=c&amp;p=d&amp;b=1", "IONQ")</f>
        <v>IONQ</v>
      </c>
      <c r="B48">
        <v>8</v>
      </c>
      <c r="C48">
        <v>162.22</v>
      </c>
      <c r="D48">
        <v>67.03</v>
      </c>
      <c r="E48" t="s">
        <v>1268</v>
      </c>
      <c r="F48" t="s">
        <v>67</v>
      </c>
      <c r="G48" t="s">
        <v>108</v>
      </c>
      <c r="H48" t="s">
        <v>496</v>
      </c>
      <c r="I48" t="s">
        <v>70</v>
      </c>
      <c r="J48" t="s">
        <v>71</v>
      </c>
      <c r="K48">
        <v>19893.46</v>
      </c>
      <c r="L48">
        <v>66.83</v>
      </c>
      <c r="M48" t="s">
        <v>1269</v>
      </c>
      <c r="N48">
        <v>15484404</v>
      </c>
      <c r="R48">
        <v>379.86</v>
      </c>
      <c r="S48">
        <v>15.51</v>
      </c>
      <c r="AA48">
        <v>-2.02</v>
      </c>
      <c r="AB48" t="s">
        <v>1270</v>
      </c>
      <c r="AC48" t="s">
        <v>1271</v>
      </c>
      <c r="AD48" t="s">
        <v>1272</v>
      </c>
      <c r="AE48" t="s">
        <v>1273</v>
      </c>
      <c r="AF48" t="s">
        <v>1274</v>
      </c>
      <c r="AH48" t="s">
        <v>1275</v>
      </c>
      <c r="AI48" t="s">
        <v>1276</v>
      </c>
      <c r="AJ48" t="s">
        <v>1277</v>
      </c>
      <c r="AK48" t="s">
        <v>1278</v>
      </c>
      <c r="AL48">
        <v>7.76</v>
      </c>
      <c r="AM48">
        <v>7.33</v>
      </c>
      <c r="AN48">
        <v>0.02</v>
      </c>
      <c r="AO48" t="s">
        <v>1279</v>
      </c>
      <c r="AP48" t="s">
        <v>1280</v>
      </c>
      <c r="AQ48" t="s">
        <v>1281</v>
      </c>
      <c r="AR48" t="s">
        <v>1282</v>
      </c>
      <c r="AS48" t="s">
        <v>1283</v>
      </c>
      <c r="AT48" t="s">
        <v>1284</v>
      </c>
      <c r="AU48" t="s">
        <v>1285</v>
      </c>
      <c r="AV48" t="s">
        <v>1286</v>
      </c>
      <c r="AW48" t="s">
        <v>1287</v>
      </c>
      <c r="AX48" t="s">
        <v>1288</v>
      </c>
      <c r="AY48" t="s">
        <v>1287</v>
      </c>
      <c r="AZ48" t="s">
        <v>1289</v>
      </c>
      <c r="BA48">
        <v>1.67</v>
      </c>
      <c r="BB48">
        <v>22648.799999999999</v>
      </c>
      <c r="BC48">
        <v>2.41</v>
      </c>
      <c r="BD48">
        <v>69.430000000000007</v>
      </c>
      <c r="BE48">
        <v>70.41</v>
      </c>
      <c r="BF48">
        <v>65.94</v>
      </c>
      <c r="BG48" t="s">
        <v>1290</v>
      </c>
      <c r="BH48" t="s">
        <v>1287</v>
      </c>
      <c r="BI48" t="s">
        <v>1291</v>
      </c>
      <c r="BJ48" t="s">
        <v>101</v>
      </c>
      <c r="BK48" t="s">
        <v>1292</v>
      </c>
      <c r="BL48" t="s">
        <v>1293</v>
      </c>
      <c r="BM48" t="s">
        <v>1294</v>
      </c>
      <c r="BN48" t="s">
        <v>105</v>
      </c>
    </row>
    <row r="49" spans="1:66" x14ac:dyDescent="0.25">
      <c r="A49" t="str">
        <f>HYPERLINK("https://elite.finviz.com/quote.ashx?t=AQST&amp;ty=c&amp;p=d&amp;b=1", "AQST")</f>
        <v>AQST</v>
      </c>
      <c r="B49">
        <v>8</v>
      </c>
      <c r="C49">
        <v>162.22</v>
      </c>
      <c r="D49">
        <v>67.31</v>
      </c>
      <c r="E49" t="s">
        <v>1295</v>
      </c>
      <c r="F49" t="s">
        <v>67</v>
      </c>
      <c r="G49" t="s">
        <v>428</v>
      </c>
      <c r="H49" t="s">
        <v>1296</v>
      </c>
      <c r="I49" t="s">
        <v>70</v>
      </c>
      <c r="J49" t="s">
        <v>321</v>
      </c>
      <c r="K49">
        <v>710.72</v>
      </c>
      <c r="L49">
        <v>5.88</v>
      </c>
      <c r="M49" t="s">
        <v>1297</v>
      </c>
      <c r="N49">
        <v>6429226</v>
      </c>
      <c r="R49">
        <v>16.11</v>
      </c>
      <c r="AA49">
        <v>-0.69</v>
      </c>
      <c r="AB49" t="s">
        <v>1298</v>
      </c>
      <c r="AC49" t="s">
        <v>1299</v>
      </c>
      <c r="AD49" t="s">
        <v>1300</v>
      </c>
      <c r="AE49" t="s">
        <v>1301</v>
      </c>
      <c r="AF49" t="s">
        <v>1302</v>
      </c>
      <c r="AG49" t="s">
        <v>1303</v>
      </c>
      <c r="AH49" t="s">
        <v>1304</v>
      </c>
      <c r="AI49" t="s">
        <v>1305</v>
      </c>
      <c r="AJ49" t="s">
        <v>1067</v>
      </c>
      <c r="AK49" t="s">
        <v>1306</v>
      </c>
      <c r="AL49">
        <v>3.53</v>
      </c>
      <c r="AM49">
        <v>3.18</v>
      </c>
      <c r="AO49" t="s">
        <v>1307</v>
      </c>
      <c r="AP49" t="s">
        <v>1308</v>
      </c>
      <c r="AQ49" t="s">
        <v>1309</v>
      </c>
      <c r="AR49" t="s">
        <v>466</v>
      </c>
      <c r="AS49" t="s">
        <v>1310</v>
      </c>
      <c r="AT49" t="s">
        <v>555</v>
      </c>
      <c r="AU49" t="s">
        <v>1311</v>
      </c>
      <c r="AV49" t="s">
        <v>1312</v>
      </c>
      <c r="AW49" t="s">
        <v>1313</v>
      </c>
      <c r="AX49" t="s">
        <v>1314</v>
      </c>
      <c r="AY49" t="s">
        <v>1313</v>
      </c>
      <c r="AZ49" t="s">
        <v>1315</v>
      </c>
      <c r="BA49">
        <v>1.1000000000000001</v>
      </c>
      <c r="BB49">
        <v>1998.92</v>
      </c>
      <c r="BC49">
        <v>11.33</v>
      </c>
      <c r="BD49">
        <v>5.26</v>
      </c>
      <c r="BE49">
        <v>6.42</v>
      </c>
      <c r="BF49">
        <v>5.82</v>
      </c>
      <c r="BG49" t="s">
        <v>1316</v>
      </c>
      <c r="BH49" t="s">
        <v>1317</v>
      </c>
      <c r="BI49" t="s">
        <v>1318</v>
      </c>
      <c r="BJ49" t="s">
        <v>101</v>
      </c>
      <c r="BK49" t="s">
        <v>1319</v>
      </c>
      <c r="BL49" t="s">
        <v>1320</v>
      </c>
      <c r="BM49" t="s">
        <v>1038</v>
      </c>
      <c r="BN49" t="s">
        <v>105</v>
      </c>
    </row>
    <row r="50" spans="1:66" x14ac:dyDescent="0.25">
      <c r="A50" t="str">
        <f>HYPERLINK("https://elite.finviz.com/quote.ashx?t=CYCU&amp;ty=c&amp;p=d&amp;b=1", "CYCU")</f>
        <v>CYCU</v>
      </c>
      <c r="B50">
        <v>8</v>
      </c>
      <c r="C50">
        <v>162.22</v>
      </c>
      <c r="D50">
        <v>67.34</v>
      </c>
      <c r="E50" t="s">
        <v>1321</v>
      </c>
      <c r="F50" t="s">
        <v>107</v>
      </c>
      <c r="G50" t="s">
        <v>108</v>
      </c>
      <c r="H50" t="s">
        <v>1322</v>
      </c>
      <c r="I50" t="s">
        <v>70</v>
      </c>
      <c r="J50" t="s">
        <v>321</v>
      </c>
      <c r="K50">
        <v>30.69</v>
      </c>
      <c r="L50">
        <v>0.43</v>
      </c>
      <c r="M50" t="s">
        <v>1323</v>
      </c>
      <c r="N50">
        <v>18823581</v>
      </c>
      <c r="R50">
        <v>1.2</v>
      </c>
      <c r="S50">
        <v>1.25</v>
      </c>
      <c r="Z50" t="s">
        <v>164</v>
      </c>
      <c r="AA50">
        <v>-0.61</v>
      </c>
      <c r="AJ50" t="s">
        <v>164</v>
      </c>
      <c r="AK50" t="s">
        <v>1324</v>
      </c>
      <c r="AL50">
        <v>0.28000000000000003</v>
      </c>
      <c r="AM50">
        <v>0.28000000000000003</v>
      </c>
      <c r="AN50">
        <v>0.56000000000000005</v>
      </c>
      <c r="AO50" t="s">
        <v>1325</v>
      </c>
      <c r="AP50" t="s">
        <v>1326</v>
      </c>
      <c r="AQ50" t="s">
        <v>1327</v>
      </c>
      <c r="AR50" t="s">
        <v>486</v>
      </c>
      <c r="AS50" t="s">
        <v>731</v>
      </c>
      <c r="AT50" t="s">
        <v>1328</v>
      </c>
      <c r="AU50" t="s">
        <v>1329</v>
      </c>
      <c r="AV50" t="s">
        <v>1330</v>
      </c>
      <c r="AW50" t="s">
        <v>104</v>
      </c>
      <c r="AX50" t="s">
        <v>1331</v>
      </c>
      <c r="AY50" t="s">
        <v>1332</v>
      </c>
      <c r="AZ50" t="s">
        <v>1331</v>
      </c>
      <c r="BB50">
        <v>18710.13</v>
      </c>
      <c r="BC50">
        <v>3.54</v>
      </c>
      <c r="BD50">
        <v>0.49</v>
      </c>
      <c r="BE50">
        <v>0.47</v>
      </c>
      <c r="BF50">
        <v>0.4</v>
      </c>
      <c r="BG50" t="s">
        <v>1333</v>
      </c>
      <c r="BH50" t="s">
        <v>1332</v>
      </c>
      <c r="BI50" t="s">
        <v>1331</v>
      </c>
      <c r="BJ50" t="s">
        <v>101</v>
      </c>
      <c r="BK50" t="s">
        <v>1334</v>
      </c>
      <c r="BL50" t="s">
        <v>1335</v>
      </c>
      <c r="BM50" t="s">
        <v>1336</v>
      </c>
      <c r="BN50" t="s">
        <v>105</v>
      </c>
    </row>
    <row r="51" spans="1:66" x14ac:dyDescent="0.25">
      <c r="A51" t="str">
        <f>HYPERLINK("https://elite.finviz.com/quote.ashx?t=VGZ&amp;ty=c&amp;p=d&amp;b=1", "VGZ")</f>
        <v>VGZ</v>
      </c>
      <c r="B51">
        <v>8</v>
      </c>
      <c r="C51">
        <v>162.22</v>
      </c>
      <c r="D51">
        <v>67.56</v>
      </c>
      <c r="E51" t="s">
        <v>1337</v>
      </c>
      <c r="F51" t="s">
        <v>107</v>
      </c>
      <c r="G51" t="s">
        <v>355</v>
      </c>
      <c r="H51" t="s">
        <v>1103</v>
      </c>
      <c r="I51" t="s">
        <v>70</v>
      </c>
      <c r="J51" t="s">
        <v>383</v>
      </c>
      <c r="K51">
        <v>255.37</v>
      </c>
      <c r="L51">
        <v>2.04</v>
      </c>
      <c r="M51" t="s">
        <v>1338</v>
      </c>
      <c r="N51">
        <v>443721</v>
      </c>
      <c r="S51">
        <v>18.37</v>
      </c>
      <c r="Z51" t="s">
        <v>164</v>
      </c>
      <c r="AA51">
        <v>-7.0000000000000007E-2</v>
      </c>
      <c r="AJ51" t="s">
        <v>1339</v>
      </c>
      <c r="AK51" t="s">
        <v>1340</v>
      </c>
      <c r="AL51">
        <v>11.03</v>
      </c>
      <c r="AM51">
        <v>11.03</v>
      </c>
      <c r="AN51">
        <v>0</v>
      </c>
      <c r="AR51" t="s">
        <v>1341</v>
      </c>
      <c r="AS51" t="s">
        <v>712</v>
      </c>
      <c r="AT51" t="s">
        <v>1342</v>
      </c>
      <c r="AU51" t="s">
        <v>1343</v>
      </c>
      <c r="AV51" t="s">
        <v>1344</v>
      </c>
      <c r="AW51" t="s">
        <v>1345</v>
      </c>
      <c r="AX51" t="s">
        <v>1346</v>
      </c>
      <c r="AY51" t="s">
        <v>1345</v>
      </c>
      <c r="AZ51" t="s">
        <v>1347</v>
      </c>
      <c r="BA51">
        <v>1</v>
      </c>
      <c r="BB51">
        <v>1103.3399999999999</v>
      </c>
      <c r="BC51">
        <v>1.42</v>
      </c>
      <c r="BD51">
        <v>2.02</v>
      </c>
      <c r="BE51">
        <v>2.0499999999999998</v>
      </c>
      <c r="BF51">
        <v>1.99</v>
      </c>
      <c r="BG51" t="s">
        <v>1348</v>
      </c>
      <c r="BH51" t="s">
        <v>1349</v>
      </c>
      <c r="BI51" t="s">
        <v>1350</v>
      </c>
      <c r="BJ51" t="s">
        <v>101</v>
      </c>
      <c r="BK51" t="s">
        <v>1351</v>
      </c>
      <c r="BL51" t="s">
        <v>1352</v>
      </c>
      <c r="BM51" t="s">
        <v>1353</v>
      </c>
      <c r="BN51" t="s">
        <v>105</v>
      </c>
    </row>
    <row r="52" spans="1:66" x14ac:dyDescent="0.25">
      <c r="A52" t="str">
        <f>HYPERLINK("https://elite.finviz.com/quote.ashx?t=LEU&amp;ty=c&amp;p=d&amp;b=1", "LEU")</f>
        <v>LEU</v>
      </c>
      <c r="B52">
        <v>8</v>
      </c>
      <c r="C52">
        <v>162.22</v>
      </c>
      <c r="D52">
        <v>67.87</v>
      </c>
      <c r="E52" t="s">
        <v>1354</v>
      </c>
      <c r="F52" t="s">
        <v>67</v>
      </c>
      <c r="G52" t="s">
        <v>1048</v>
      </c>
      <c r="H52" t="s">
        <v>1355</v>
      </c>
      <c r="I52" t="s">
        <v>70</v>
      </c>
      <c r="J52" t="s">
        <v>383</v>
      </c>
      <c r="K52">
        <v>5558.95</v>
      </c>
      <c r="L52">
        <v>305.3</v>
      </c>
      <c r="M52" t="s">
        <v>1356</v>
      </c>
      <c r="N52">
        <v>957422</v>
      </c>
      <c r="O52">
        <v>50.16</v>
      </c>
      <c r="P52">
        <v>78.989999999999995</v>
      </c>
      <c r="R52">
        <v>12.72</v>
      </c>
      <c r="S52">
        <v>15.48</v>
      </c>
      <c r="Z52" t="s">
        <v>164</v>
      </c>
      <c r="AA52">
        <v>6.09</v>
      </c>
      <c r="AB52" t="s">
        <v>1357</v>
      </c>
      <c r="AD52" t="s">
        <v>1358</v>
      </c>
      <c r="AE52" t="s">
        <v>1359</v>
      </c>
      <c r="AF52" t="s">
        <v>1360</v>
      </c>
      <c r="AG52" t="s">
        <v>1361</v>
      </c>
      <c r="AH52" t="s">
        <v>1362</v>
      </c>
      <c r="AI52" t="s">
        <v>1363</v>
      </c>
      <c r="AJ52" t="s">
        <v>1364</v>
      </c>
      <c r="AK52" t="s">
        <v>1365</v>
      </c>
      <c r="AL52">
        <v>2.4900000000000002</v>
      </c>
      <c r="AM52">
        <v>1.83</v>
      </c>
      <c r="AN52">
        <v>1.2</v>
      </c>
      <c r="AO52" t="s">
        <v>1366</v>
      </c>
      <c r="AP52" t="s">
        <v>1367</v>
      </c>
      <c r="AQ52" t="s">
        <v>1368</v>
      </c>
      <c r="AR52" t="s">
        <v>1369</v>
      </c>
      <c r="AS52" t="s">
        <v>1370</v>
      </c>
      <c r="AT52" t="s">
        <v>1371</v>
      </c>
      <c r="AU52" t="s">
        <v>220</v>
      </c>
      <c r="AV52" t="s">
        <v>1372</v>
      </c>
      <c r="AW52" t="s">
        <v>1373</v>
      </c>
      <c r="AX52" t="s">
        <v>1374</v>
      </c>
      <c r="AY52" t="s">
        <v>1373</v>
      </c>
      <c r="AZ52" t="s">
        <v>1375</v>
      </c>
      <c r="BA52">
        <v>1.75</v>
      </c>
      <c r="BB52">
        <v>1405.49</v>
      </c>
      <c r="BC52">
        <v>2.4</v>
      </c>
      <c r="BD52">
        <v>312.19</v>
      </c>
      <c r="BE52">
        <v>333</v>
      </c>
      <c r="BF52">
        <v>297</v>
      </c>
      <c r="BG52" t="s">
        <v>1376</v>
      </c>
      <c r="BH52" t="s">
        <v>1377</v>
      </c>
      <c r="BI52" t="s">
        <v>1378</v>
      </c>
      <c r="BJ52" t="s">
        <v>101</v>
      </c>
      <c r="BK52" t="s">
        <v>1379</v>
      </c>
      <c r="BL52" t="s">
        <v>1380</v>
      </c>
      <c r="BM52" t="s">
        <v>1381</v>
      </c>
      <c r="BN52" t="s">
        <v>105</v>
      </c>
    </row>
    <row r="53" spans="1:66" x14ac:dyDescent="0.25">
      <c r="A53" t="str">
        <f>HYPERLINK("https://elite.finviz.com/quote.ashx?t=PSTV&amp;ty=c&amp;p=d&amp;b=1", "PSTV")</f>
        <v>PSTV</v>
      </c>
      <c r="B53">
        <v>8</v>
      </c>
      <c r="C53">
        <v>162.22</v>
      </c>
      <c r="D53">
        <v>68.64</v>
      </c>
      <c r="E53" t="s">
        <v>1382</v>
      </c>
      <c r="F53" t="s">
        <v>107</v>
      </c>
      <c r="G53" t="s">
        <v>428</v>
      </c>
      <c r="H53" t="s">
        <v>429</v>
      </c>
      <c r="I53" t="s">
        <v>70</v>
      </c>
      <c r="J53" t="s">
        <v>321</v>
      </c>
      <c r="K53">
        <v>65.78</v>
      </c>
      <c r="L53">
        <v>0.66</v>
      </c>
      <c r="M53" t="s">
        <v>1383</v>
      </c>
      <c r="N53">
        <v>79046685</v>
      </c>
      <c r="R53">
        <v>12.36</v>
      </c>
      <c r="S53">
        <v>20.13</v>
      </c>
      <c r="AA53">
        <v>-2.23</v>
      </c>
      <c r="AB53" t="s">
        <v>1384</v>
      </c>
      <c r="AC53" t="s">
        <v>1385</v>
      </c>
      <c r="AD53" t="s">
        <v>1386</v>
      </c>
      <c r="AE53" t="s">
        <v>608</v>
      </c>
      <c r="AG53" t="s">
        <v>1387</v>
      </c>
      <c r="AH53" t="s">
        <v>1388</v>
      </c>
      <c r="AI53" t="s">
        <v>1389</v>
      </c>
      <c r="AJ53" t="s">
        <v>1390</v>
      </c>
      <c r="AK53" t="s">
        <v>1391</v>
      </c>
      <c r="AL53">
        <v>1.2</v>
      </c>
      <c r="AM53">
        <v>1.2</v>
      </c>
      <c r="AN53">
        <v>0.01</v>
      </c>
      <c r="AO53" t="s">
        <v>1392</v>
      </c>
      <c r="AP53" t="s">
        <v>1393</v>
      </c>
      <c r="AQ53" t="s">
        <v>1394</v>
      </c>
      <c r="AR53" t="s">
        <v>1395</v>
      </c>
      <c r="AS53" t="s">
        <v>1396</v>
      </c>
      <c r="AT53" t="s">
        <v>1397</v>
      </c>
      <c r="AU53" t="s">
        <v>1398</v>
      </c>
      <c r="AV53" t="s">
        <v>1399</v>
      </c>
      <c r="AW53" t="s">
        <v>1400</v>
      </c>
      <c r="AX53" t="s">
        <v>1401</v>
      </c>
      <c r="AY53" t="s">
        <v>1402</v>
      </c>
      <c r="AZ53" t="s">
        <v>1403</v>
      </c>
      <c r="BA53">
        <v>1</v>
      </c>
      <c r="BB53">
        <v>20407.7</v>
      </c>
      <c r="BC53">
        <v>13.65</v>
      </c>
      <c r="BD53">
        <v>0.56000000000000005</v>
      </c>
      <c r="BE53">
        <v>0.74</v>
      </c>
      <c r="BF53">
        <v>0.6</v>
      </c>
      <c r="BG53" t="s">
        <v>1404</v>
      </c>
      <c r="BH53" t="s">
        <v>579</v>
      </c>
      <c r="BI53" t="s">
        <v>1403</v>
      </c>
      <c r="BJ53" t="s">
        <v>101</v>
      </c>
      <c r="BK53" t="s">
        <v>1405</v>
      </c>
      <c r="BL53" t="s">
        <v>1406</v>
      </c>
      <c r="BM53" t="s">
        <v>1407</v>
      </c>
      <c r="BN53" t="s">
        <v>105</v>
      </c>
    </row>
    <row r="54" spans="1:66" x14ac:dyDescent="0.25">
      <c r="A54" t="str">
        <f>HYPERLINK("https://elite.finviz.com/quote.ashx?t=PLUG&amp;ty=c&amp;p=d&amp;b=1", "PLUG")</f>
        <v>PLUG</v>
      </c>
      <c r="B54">
        <v>8</v>
      </c>
      <c r="C54">
        <v>162.22</v>
      </c>
      <c r="D54">
        <v>69.47</v>
      </c>
      <c r="E54" t="s">
        <v>1408</v>
      </c>
      <c r="F54" t="s">
        <v>67</v>
      </c>
      <c r="G54" t="s">
        <v>260</v>
      </c>
      <c r="H54" t="s">
        <v>1128</v>
      </c>
      <c r="I54" t="s">
        <v>70</v>
      </c>
      <c r="J54" t="s">
        <v>321</v>
      </c>
      <c r="K54">
        <v>2804.25</v>
      </c>
      <c r="L54">
        <v>2.37</v>
      </c>
      <c r="M54" t="s">
        <v>1409</v>
      </c>
      <c r="N54">
        <v>40839574</v>
      </c>
      <c r="R54">
        <v>4.17</v>
      </c>
      <c r="S54">
        <v>1.62</v>
      </c>
      <c r="AA54">
        <v>-2.12</v>
      </c>
      <c r="AB54" t="s">
        <v>1410</v>
      </c>
      <c r="AC54" t="s">
        <v>1411</v>
      </c>
      <c r="AD54" t="s">
        <v>1412</v>
      </c>
      <c r="AE54" t="s">
        <v>1413</v>
      </c>
      <c r="AF54" t="s">
        <v>1021</v>
      </c>
      <c r="AG54" t="s">
        <v>1414</v>
      </c>
      <c r="AH54" t="s">
        <v>1415</v>
      </c>
      <c r="AI54" t="s">
        <v>1416</v>
      </c>
      <c r="AJ54" t="s">
        <v>1417</v>
      </c>
      <c r="AK54" t="s">
        <v>1418</v>
      </c>
      <c r="AL54">
        <v>1.59</v>
      </c>
      <c r="AM54">
        <v>0.82</v>
      </c>
      <c r="AN54">
        <v>0.59</v>
      </c>
      <c r="AO54" t="s">
        <v>1419</v>
      </c>
      <c r="AP54" t="s">
        <v>1420</v>
      </c>
      <c r="AQ54" t="s">
        <v>1421</v>
      </c>
      <c r="AR54" t="s">
        <v>1422</v>
      </c>
      <c r="AS54" t="s">
        <v>1423</v>
      </c>
      <c r="AT54" t="s">
        <v>1424</v>
      </c>
      <c r="AU54" t="s">
        <v>1425</v>
      </c>
      <c r="AV54" t="s">
        <v>1426</v>
      </c>
      <c r="AW54" t="s">
        <v>1427</v>
      </c>
      <c r="AX54" t="s">
        <v>1428</v>
      </c>
      <c r="AY54" t="s">
        <v>1429</v>
      </c>
      <c r="AZ54" t="s">
        <v>1430</v>
      </c>
      <c r="BA54">
        <v>2.84</v>
      </c>
      <c r="BB54">
        <v>76777.3</v>
      </c>
      <c r="BC54">
        <v>1.87</v>
      </c>
      <c r="BD54">
        <v>2.36</v>
      </c>
      <c r="BE54">
        <v>2.4700000000000002</v>
      </c>
      <c r="BF54">
        <v>2.3199999999999998</v>
      </c>
      <c r="BG54" t="s">
        <v>1431</v>
      </c>
      <c r="BH54" t="s">
        <v>1432</v>
      </c>
      <c r="BI54" t="s">
        <v>1433</v>
      </c>
      <c r="BJ54" t="s">
        <v>101</v>
      </c>
      <c r="BK54" t="s">
        <v>1434</v>
      </c>
      <c r="BL54" t="s">
        <v>1435</v>
      </c>
      <c r="BM54" t="s">
        <v>1436</v>
      </c>
      <c r="BN54" t="s">
        <v>105</v>
      </c>
    </row>
    <row r="55" spans="1:66" x14ac:dyDescent="0.25">
      <c r="A55" s="2" t="str">
        <f>HYPERLINK("https://elite.finviz.com/quote.ashx?t=WTI&amp;ty=c&amp;p=d&amp;b=1", "WTI")</f>
        <v>WTI</v>
      </c>
      <c r="B55">
        <v>8</v>
      </c>
      <c r="C55">
        <v>162.22</v>
      </c>
      <c r="D55">
        <v>69.680000000000007</v>
      </c>
      <c r="E55" t="s">
        <v>1437</v>
      </c>
      <c r="F55" t="s">
        <v>67</v>
      </c>
      <c r="G55" t="s">
        <v>1048</v>
      </c>
      <c r="H55" t="s">
        <v>1049</v>
      </c>
      <c r="I55" t="s">
        <v>70</v>
      </c>
      <c r="J55" t="s">
        <v>71</v>
      </c>
      <c r="K55">
        <v>298.91000000000003</v>
      </c>
      <c r="L55">
        <v>2.02</v>
      </c>
      <c r="M55" t="s">
        <v>1438</v>
      </c>
      <c r="N55">
        <v>776216</v>
      </c>
      <c r="R55">
        <v>0.61</v>
      </c>
      <c r="T55" t="s">
        <v>1439</v>
      </c>
      <c r="U55">
        <v>0.04</v>
      </c>
      <c r="V55" t="s">
        <v>1440</v>
      </c>
      <c r="W55" t="s">
        <v>1441</v>
      </c>
      <c r="AA55">
        <v>-0.76</v>
      </c>
      <c r="AB55" t="s">
        <v>1442</v>
      </c>
      <c r="AE55" t="s">
        <v>1443</v>
      </c>
      <c r="AF55" t="s">
        <v>1444</v>
      </c>
      <c r="AG55" t="s">
        <v>1445</v>
      </c>
      <c r="AH55" t="s">
        <v>1446</v>
      </c>
      <c r="AI55" t="s">
        <v>1447</v>
      </c>
      <c r="AJ55" t="s">
        <v>164</v>
      </c>
      <c r="AK55" t="s">
        <v>1448</v>
      </c>
      <c r="AL55">
        <v>1.19</v>
      </c>
      <c r="AM55">
        <v>1.19</v>
      </c>
      <c r="AO55" t="s">
        <v>1449</v>
      </c>
      <c r="AP55" t="s">
        <v>1450</v>
      </c>
      <c r="AQ55" t="s">
        <v>1451</v>
      </c>
      <c r="AR55" t="s">
        <v>1452</v>
      </c>
      <c r="AS55" t="s">
        <v>1453</v>
      </c>
      <c r="AT55" t="s">
        <v>1454</v>
      </c>
      <c r="AU55" t="s">
        <v>1455</v>
      </c>
      <c r="AV55" t="s">
        <v>1456</v>
      </c>
      <c r="AW55" t="s">
        <v>1457</v>
      </c>
      <c r="AX55" t="s">
        <v>1458</v>
      </c>
      <c r="AY55" t="s">
        <v>1459</v>
      </c>
      <c r="AZ55" t="s">
        <v>1460</v>
      </c>
      <c r="BA55">
        <v>1</v>
      </c>
      <c r="BB55">
        <v>1410.09</v>
      </c>
      <c r="BC55">
        <v>1.94</v>
      </c>
      <c r="BD55">
        <v>1.97</v>
      </c>
      <c r="BE55">
        <v>2.02</v>
      </c>
      <c r="BF55">
        <v>1.95</v>
      </c>
      <c r="BG55" t="s">
        <v>1461</v>
      </c>
      <c r="BH55" t="s">
        <v>1462</v>
      </c>
      <c r="BI55" t="s">
        <v>1463</v>
      </c>
      <c r="BJ55" t="s">
        <v>101</v>
      </c>
      <c r="BK55" t="s">
        <v>1464</v>
      </c>
      <c r="BL55" t="s">
        <v>279</v>
      </c>
      <c r="BM55" t="s">
        <v>1465</v>
      </c>
      <c r="BN55" t="s">
        <v>105</v>
      </c>
    </row>
    <row r="56" spans="1:66" x14ac:dyDescent="0.25">
      <c r="A56" t="str">
        <f>HYPERLINK("https://elite.finviz.com/quote.ashx?t=PPTA&amp;ty=c&amp;p=d&amp;b=1", "PPTA")</f>
        <v>PPTA</v>
      </c>
      <c r="B56">
        <v>8</v>
      </c>
      <c r="C56">
        <v>162.22</v>
      </c>
      <c r="D56">
        <v>69.89</v>
      </c>
      <c r="E56" t="s">
        <v>1466</v>
      </c>
      <c r="F56" t="s">
        <v>67</v>
      </c>
      <c r="G56" t="s">
        <v>355</v>
      </c>
      <c r="H56" t="s">
        <v>1467</v>
      </c>
      <c r="I56" t="s">
        <v>70</v>
      </c>
      <c r="J56" t="s">
        <v>321</v>
      </c>
      <c r="K56">
        <v>2235.3000000000002</v>
      </c>
      <c r="L56">
        <v>20.78</v>
      </c>
      <c r="M56" t="s">
        <v>1468</v>
      </c>
      <c r="N56">
        <v>5271769</v>
      </c>
      <c r="S56">
        <v>4.2300000000000004</v>
      </c>
      <c r="AA56">
        <v>-0.31</v>
      </c>
      <c r="AB56" t="s">
        <v>1469</v>
      </c>
      <c r="AC56" t="s">
        <v>1470</v>
      </c>
      <c r="AD56" t="s">
        <v>1471</v>
      </c>
      <c r="AI56" t="s">
        <v>1472</v>
      </c>
      <c r="AK56" t="s">
        <v>1473</v>
      </c>
      <c r="AL56">
        <v>71.11</v>
      </c>
      <c r="AM56">
        <v>71.11</v>
      </c>
      <c r="AN56">
        <v>0</v>
      </c>
      <c r="AR56" t="s">
        <v>1474</v>
      </c>
      <c r="AS56" t="s">
        <v>1475</v>
      </c>
      <c r="AT56" t="s">
        <v>1476</v>
      </c>
      <c r="AU56" t="s">
        <v>1477</v>
      </c>
      <c r="AV56" t="s">
        <v>1478</v>
      </c>
      <c r="AW56" t="s">
        <v>215</v>
      </c>
      <c r="AX56" t="s">
        <v>1479</v>
      </c>
      <c r="AY56" t="s">
        <v>215</v>
      </c>
      <c r="AZ56" t="s">
        <v>1480</v>
      </c>
      <c r="BA56">
        <v>1</v>
      </c>
      <c r="BB56">
        <v>2648.44</v>
      </c>
      <c r="BC56">
        <v>7.01</v>
      </c>
      <c r="BD56">
        <v>19</v>
      </c>
      <c r="BE56">
        <v>22.6</v>
      </c>
      <c r="BF56">
        <v>19.75</v>
      </c>
      <c r="BG56" t="s">
        <v>1481</v>
      </c>
      <c r="BH56" t="s">
        <v>1482</v>
      </c>
      <c r="BI56" t="s">
        <v>1483</v>
      </c>
      <c r="BJ56" t="s">
        <v>101</v>
      </c>
      <c r="BK56" t="s">
        <v>1484</v>
      </c>
      <c r="BL56" t="s">
        <v>1485</v>
      </c>
      <c r="BM56" t="s">
        <v>1486</v>
      </c>
      <c r="BN56" t="s">
        <v>105</v>
      </c>
    </row>
    <row r="57" spans="1:66" x14ac:dyDescent="0.25">
      <c r="A57" t="str">
        <f>HYPERLINK("https://elite.finviz.com/quote.ashx?t=SNDK&amp;ty=c&amp;p=d&amp;b=1", "SNDK")</f>
        <v>SNDK</v>
      </c>
      <c r="B57">
        <v>8</v>
      </c>
      <c r="C57">
        <v>162.22</v>
      </c>
      <c r="D57">
        <v>71</v>
      </c>
      <c r="E57" t="s">
        <v>1487</v>
      </c>
      <c r="F57" t="s">
        <v>107</v>
      </c>
      <c r="G57" t="s">
        <v>108</v>
      </c>
      <c r="H57" t="s">
        <v>496</v>
      </c>
      <c r="I57" t="s">
        <v>70</v>
      </c>
      <c r="J57" t="s">
        <v>321</v>
      </c>
      <c r="K57">
        <v>13905.47</v>
      </c>
      <c r="L57">
        <v>95.37</v>
      </c>
      <c r="M57" t="s">
        <v>1488</v>
      </c>
      <c r="N57">
        <v>3060030</v>
      </c>
      <c r="P57">
        <v>10.83</v>
      </c>
      <c r="S57">
        <v>1.51</v>
      </c>
      <c r="AB57" t="s">
        <v>1489</v>
      </c>
      <c r="AD57" t="s">
        <v>1490</v>
      </c>
      <c r="AF57" t="s">
        <v>1491</v>
      </c>
      <c r="AH57" t="s">
        <v>1492</v>
      </c>
      <c r="AI57" t="s">
        <v>1493</v>
      </c>
      <c r="AJ57" t="s">
        <v>164</v>
      </c>
      <c r="AK57" t="s">
        <v>1494</v>
      </c>
      <c r="AL57">
        <v>3.56</v>
      </c>
      <c r="AM57">
        <v>2.11</v>
      </c>
      <c r="AN57">
        <v>0.22</v>
      </c>
      <c r="AR57" t="s">
        <v>1495</v>
      </c>
      <c r="AS57" t="s">
        <v>1496</v>
      </c>
      <c r="AT57" t="s">
        <v>1497</v>
      </c>
      <c r="AU57" t="s">
        <v>1498</v>
      </c>
      <c r="AV57" t="s">
        <v>1499</v>
      </c>
      <c r="AW57" t="s">
        <v>1500</v>
      </c>
      <c r="AX57" t="s">
        <v>1501</v>
      </c>
      <c r="AY57" t="s">
        <v>1500</v>
      </c>
      <c r="AZ57" t="s">
        <v>1502</v>
      </c>
      <c r="BA57">
        <v>1.89</v>
      </c>
      <c r="BB57">
        <v>3739.67</v>
      </c>
      <c r="BC57">
        <v>2.88</v>
      </c>
      <c r="BD57">
        <v>94.29</v>
      </c>
      <c r="BE57">
        <v>99.59</v>
      </c>
      <c r="BF57">
        <v>94.39</v>
      </c>
      <c r="BG57" t="s">
        <v>1503</v>
      </c>
      <c r="BH57" t="s">
        <v>1500</v>
      </c>
      <c r="BI57" t="s">
        <v>1502</v>
      </c>
      <c r="BJ57" t="s">
        <v>101</v>
      </c>
      <c r="BK57" t="s">
        <v>1504</v>
      </c>
      <c r="BL57" t="s">
        <v>1505</v>
      </c>
      <c r="BN57" t="s">
        <v>105</v>
      </c>
    </row>
    <row r="58" spans="1:66" x14ac:dyDescent="0.25">
      <c r="A58" s="2" t="str">
        <f>HYPERLINK("https://elite.finviz.com/quote.ashx?t=LRMR&amp;ty=c&amp;p=d&amp;b=1", "LRMR")</f>
        <v>LRMR</v>
      </c>
      <c r="B58">
        <v>8</v>
      </c>
      <c r="C58">
        <v>162.22</v>
      </c>
      <c r="D58">
        <v>71.23</v>
      </c>
      <c r="E58" t="s">
        <v>1506</v>
      </c>
      <c r="F58" t="s">
        <v>67</v>
      </c>
      <c r="G58" t="s">
        <v>428</v>
      </c>
      <c r="H58" t="s">
        <v>429</v>
      </c>
      <c r="I58" t="s">
        <v>70</v>
      </c>
      <c r="J58" t="s">
        <v>321</v>
      </c>
      <c r="K58">
        <v>445.93</v>
      </c>
      <c r="L58">
        <v>5.21</v>
      </c>
      <c r="M58" t="s">
        <v>1507</v>
      </c>
      <c r="N58">
        <v>1219871</v>
      </c>
      <c r="S58">
        <v>2.78</v>
      </c>
      <c r="AA58">
        <v>-1.56</v>
      </c>
      <c r="AB58" t="s">
        <v>1508</v>
      </c>
      <c r="AC58" t="s">
        <v>1509</v>
      </c>
      <c r="AD58" t="s">
        <v>1510</v>
      </c>
      <c r="AI58" t="s">
        <v>1511</v>
      </c>
      <c r="AJ58" t="s">
        <v>1512</v>
      </c>
      <c r="AK58" t="s">
        <v>1513</v>
      </c>
      <c r="AL58">
        <v>5.46</v>
      </c>
      <c r="AM58">
        <v>5.46</v>
      </c>
      <c r="AN58">
        <v>0.04</v>
      </c>
      <c r="AR58" t="s">
        <v>1514</v>
      </c>
      <c r="AS58" t="s">
        <v>1515</v>
      </c>
      <c r="AT58" t="s">
        <v>1516</v>
      </c>
      <c r="AU58" t="s">
        <v>1517</v>
      </c>
      <c r="AV58" t="s">
        <v>1518</v>
      </c>
      <c r="AW58" t="s">
        <v>164</v>
      </c>
      <c r="AX58" t="s">
        <v>1519</v>
      </c>
      <c r="AY58" t="s">
        <v>1520</v>
      </c>
      <c r="AZ58" t="s">
        <v>1521</v>
      </c>
      <c r="BA58">
        <v>1.0900000000000001</v>
      </c>
      <c r="BB58">
        <v>1521.19</v>
      </c>
      <c r="BC58">
        <v>2.83</v>
      </c>
      <c r="BD58">
        <v>4.8600000000000003</v>
      </c>
      <c r="BE58">
        <v>5.28</v>
      </c>
      <c r="BF58">
        <v>4.8899999999999997</v>
      </c>
      <c r="BG58" t="s">
        <v>1522</v>
      </c>
      <c r="BH58" t="s">
        <v>1523</v>
      </c>
      <c r="BI58" t="s">
        <v>1524</v>
      </c>
      <c r="BJ58" t="s">
        <v>101</v>
      </c>
      <c r="BK58" t="s">
        <v>1525</v>
      </c>
      <c r="BL58" t="s">
        <v>1526</v>
      </c>
      <c r="BM58" t="s">
        <v>1527</v>
      </c>
      <c r="BN58" t="s">
        <v>105</v>
      </c>
    </row>
    <row r="59" spans="1:66" x14ac:dyDescent="0.25">
      <c r="A59" t="str">
        <f>HYPERLINK("https://elite.finviz.com/quote.ashx?t=NB&amp;ty=c&amp;p=d&amp;b=1", "NB")</f>
        <v>NB</v>
      </c>
      <c r="B59">
        <v>8</v>
      </c>
      <c r="C59">
        <v>162.22</v>
      </c>
      <c r="D59">
        <v>71.8</v>
      </c>
      <c r="E59" t="s">
        <v>1528</v>
      </c>
      <c r="F59" t="s">
        <v>67</v>
      </c>
      <c r="G59" t="s">
        <v>355</v>
      </c>
      <c r="H59" t="s">
        <v>356</v>
      </c>
      <c r="I59" t="s">
        <v>70</v>
      </c>
      <c r="J59" t="s">
        <v>321</v>
      </c>
      <c r="K59">
        <v>594.11</v>
      </c>
      <c r="L59">
        <v>6.77</v>
      </c>
      <c r="M59" t="s">
        <v>1529</v>
      </c>
      <c r="N59">
        <v>6538060</v>
      </c>
      <c r="S59">
        <v>13.98</v>
      </c>
      <c r="AA59">
        <v>-0.36</v>
      </c>
      <c r="AB59" t="s">
        <v>1449</v>
      </c>
      <c r="AC59" t="s">
        <v>1530</v>
      </c>
      <c r="AI59" t="s">
        <v>164</v>
      </c>
      <c r="AJ59" t="s">
        <v>164</v>
      </c>
      <c r="AK59" t="s">
        <v>1531</v>
      </c>
      <c r="AL59">
        <v>14.12</v>
      </c>
      <c r="AM59">
        <v>14.12</v>
      </c>
      <c r="AN59">
        <v>0</v>
      </c>
      <c r="AR59" t="s">
        <v>1532</v>
      </c>
      <c r="AS59" t="s">
        <v>1533</v>
      </c>
      <c r="AT59" t="s">
        <v>1534</v>
      </c>
      <c r="AU59" t="s">
        <v>1535</v>
      </c>
      <c r="AV59" t="s">
        <v>1536</v>
      </c>
      <c r="AW59" t="s">
        <v>1537</v>
      </c>
      <c r="AX59" t="s">
        <v>1538</v>
      </c>
      <c r="AY59" t="s">
        <v>1537</v>
      </c>
      <c r="AZ59" t="s">
        <v>1539</v>
      </c>
      <c r="BA59">
        <v>1</v>
      </c>
      <c r="BB59">
        <v>4235.45</v>
      </c>
      <c r="BC59">
        <v>5.44</v>
      </c>
      <c r="BD59">
        <v>7.31</v>
      </c>
      <c r="BE59">
        <v>7.45</v>
      </c>
      <c r="BF59">
        <v>6.56</v>
      </c>
      <c r="BG59" t="s">
        <v>1540</v>
      </c>
      <c r="BH59" t="s">
        <v>1541</v>
      </c>
      <c r="BI59" t="s">
        <v>1542</v>
      </c>
      <c r="BJ59" t="s">
        <v>101</v>
      </c>
      <c r="BK59" t="s">
        <v>1543</v>
      </c>
      <c r="BL59" t="s">
        <v>1544</v>
      </c>
      <c r="BM59" t="s">
        <v>1545</v>
      </c>
      <c r="BN59" t="s">
        <v>105</v>
      </c>
    </row>
    <row r="60" spans="1:66" x14ac:dyDescent="0.25">
      <c r="A60" t="str">
        <f>HYPERLINK("https://elite.finviz.com/quote.ashx?t=IAS&amp;ty=c&amp;p=d&amp;b=1", "IAS")</f>
        <v>IAS</v>
      </c>
      <c r="B60">
        <v>8</v>
      </c>
      <c r="C60">
        <v>162.22</v>
      </c>
      <c r="D60">
        <v>72.3</v>
      </c>
      <c r="E60" t="s">
        <v>1546</v>
      </c>
      <c r="F60" t="s">
        <v>67</v>
      </c>
      <c r="G60" t="s">
        <v>598</v>
      </c>
      <c r="H60" t="s">
        <v>1020</v>
      </c>
      <c r="I60" t="s">
        <v>70</v>
      </c>
      <c r="J60" t="s">
        <v>321</v>
      </c>
      <c r="K60">
        <v>1688.47</v>
      </c>
      <c r="L60">
        <v>10.16</v>
      </c>
      <c r="M60" t="s">
        <v>1547</v>
      </c>
      <c r="N60">
        <v>1896942</v>
      </c>
      <c r="O60">
        <v>30.32</v>
      </c>
      <c r="P60">
        <v>25.91</v>
      </c>
      <c r="Q60">
        <v>0.92</v>
      </c>
      <c r="R60">
        <v>2.96</v>
      </c>
      <c r="S60">
        <v>1.56</v>
      </c>
      <c r="Z60" t="s">
        <v>164</v>
      </c>
      <c r="AA60">
        <v>0.34</v>
      </c>
      <c r="AD60" t="s">
        <v>1548</v>
      </c>
      <c r="AE60" t="s">
        <v>1549</v>
      </c>
      <c r="AF60" t="s">
        <v>1550</v>
      </c>
      <c r="AG60" t="s">
        <v>1551</v>
      </c>
      <c r="AH60" t="s">
        <v>1552</v>
      </c>
      <c r="AI60" t="s">
        <v>1553</v>
      </c>
      <c r="AJ60" t="s">
        <v>1554</v>
      </c>
      <c r="AK60" t="s">
        <v>1555</v>
      </c>
      <c r="AL60">
        <v>3.64</v>
      </c>
      <c r="AM60">
        <v>3.64</v>
      </c>
      <c r="AN60">
        <v>0.03</v>
      </c>
      <c r="AO60" t="s">
        <v>1556</v>
      </c>
      <c r="AP60" t="s">
        <v>1557</v>
      </c>
      <c r="AQ60" t="s">
        <v>1558</v>
      </c>
      <c r="AR60" t="s">
        <v>1559</v>
      </c>
      <c r="AS60" t="s">
        <v>1560</v>
      </c>
      <c r="AT60" t="s">
        <v>1561</v>
      </c>
      <c r="AU60" t="s">
        <v>1562</v>
      </c>
      <c r="AV60" t="s">
        <v>1563</v>
      </c>
      <c r="AW60" t="s">
        <v>1564</v>
      </c>
      <c r="AX60" t="s">
        <v>1565</v>
      </c>
      <c r="AY60" t="s">
        <v>1010</v>
      </c>
      <c r="AZ60" t="s">
        <v>1566</v>
      </c>
      <c r="BA60">
        <v>2.86</v>
      </c>
      <c r="BB60">
        <v>1997.23</v>
      </c>
      <c r="BC60">
        <v>3.35</v>
      </c>
      <c r="BD60">
        <v>10.17</v>
      </c>
      <c r="BE60">
        <v>10.18</v>
      </c>
      <c r="BF60">
        <v>10.16</v>
      </c>
      <c r="BG60" t="s">
        <v>1567</v>
      </c>
      <c r="BH60" t="s">
        <v>1568</v>
      </c>
      <c r="BI60" t="s">
        <v>1566</v>
      </c>
      <c r="BJ60" t="s">
        <v>101</v>
      </c>
      <c r="BK60" t="s">
        <v>1569</v>
      </c>
      <c r="BL60" t="s">
        <v>1570</v>
      </c>
      <c r="BM60" t="s">
        <v>1571</v>
      </c>
      <c r="BN60" t="s">
        <v>105</v>
      </c>
    </row>
    <row r="61" spans="1:66" x14ac:dyDescent="0.25">
      <c r="A61" t="str">
        <f>HYPERLINK("https://elite.finviz.com/quote.ashx?t=ABAT&amp;ty=c&amp;p=d&amp;b=1", "ABAT")</f>
        <v>ABAT</v>
      </c>
      <c r="B61">
        <v>8</v>
      </c>
      <c r="C61">
        <v>162.22</v>
      </c>
      <c r="D61">
        <v>73.349999999999994</v>
      </c>
      <c r="E61" t="s">
        <v>1572</v>
      </c>
      <c r="F61" t="s">
        <v>67</v>
      </c>
      <c r="G61" t="s">
        <v>260</v>
      </c>
      <c r="H61" t="s">
        <v>1573</v>
      </c>
      <c r="I61" t="s">
        <v>70</v>
      </c>
      <c r="J61" t="s">
        <v>321</v>
      </c>
      <c r="K61">
        <v>508.54</v>
      </c>
      <c r="L61">
        <v>4.3099999999999996</v>
      </c>
      <c r="M61" t="s">
        <v>1574</v>
      </c>
      <c r="N61">
        <v>3768696</v>
      </c>
      <c r="R61">
        <v>118.54</v>
      </c>
      <c r="S61">
        <v>5.94</v>
      </c>
      <c r="AA61">
        <v>-0.59</v>
      </c>
      <c r="AB61" t="s">
        <v>1575</v>
      </c>
      <c r="AC61" t="s">
        <v>1576</v>
      </c>
      <c r="AE61" t="s">
        <v>1577</v>
      </c>
      <c r="AH61" t="s">
        <v>1578</v>
      </c>
      <c r="AI61" t="s">
        <v>1579</v>
      </c>
      <c r="AJ61" t="s">
        <v>1580</v>
      </c>
      <c r="AK61" t="s">
        <v>1581</v>
      </c>
      <c r="AL61">
        <v>2.16</v>
      </c>
      <c r="AM61">
        <v>2.13</v>
      </c>
      <c r="AN61">
        <v>0.11</v>
      </c>
      <c r="AO61" t="s">
        <v>1582</v>
      </c>
      <c r="AP61" t="s">
        <v>1583</v>
      </c>
      <c r="AQ61" t="s">
        <v>1584</v>
      </c>
      <c r="AR61" t="s">
        <v>980</v>
      </c>
      <c r="AS61" t="s">
        <v>1585</v>
      </c>
      <c r="AT61" t="s">
        <v>1586</v>
      </c>
      <c r="AU61" t="s">
        <v>1587</v>
      </c>
      <c r="AV61" t="s">
        <v>1588</v>
      </c>
      <c r="AW61" t="s">
        <v>1589</v>
      </c>
      <c r="AX61" t="s">
        <v>1590</v>
      </c>
      <c r="AY61" t="s">
        <v>1589</v>
      </c>
      <c r="AZ61" t="s">
        <v>1591</v>
      </c>
      <c r="BA61">
        <v>1</v>
      </c>
      <c r="BB61">
        <v>6512.51</v>
      </c>
      <c r="BC61">
        <v>2.04</v>
      </c>
      <c r="BD61">
        <v>4.34</v>
      </c>
      <c r="BE61">
        <v>4.63</v>
      </c>
      <c r="BF61">
        <v>4.2</v>
      </c>
      <c r="BG61" t="s">
        <v>1592</v>
      </c>
      <c r="BH61" t="s">
        <v>1593</v>
      </c>
      <c r="BI61" t="s">
        <v>1594</v>
      </c>
      <c r="BJ61" t="s">
        <v>101</v>
      </c>
      <c r="BK61" t="s">
        <v>1595</v>
      </c>
      <c r="BL61" t="s">
        <v>1596</v>
      </c>
      <c r="BM61" t="s">
        <v>1597</v>
      </c>
      <c r="BN61" t="s">
        <v>105</v>
      </c>
    </row>
    <row r="62" spans="1:66" x14ac:dyDescent="0.25">
      <c r="A62" t="str">
        <f>HYPERLINK("https://elite.finviz.com/quote.ashx?t=QBTS&amp;ty=c&amp;p=d&amp;b=1", "QBTS")</f>
        <v>QBTS</v>
      </c>
      <c r="B62">
        <v>8</v>
      </c>
      <c r="C62">
        <v>162.22</v>
      </c>
      <c r="D62">
        <v>74.150000000000006</v>
      </c>
      <c r="E62" t="s">
        <v>1598</v>
      </c>
      <c r="F62" t="s">
        <v>67</v>
      </c>
      <c r="G62" t="s">
        <v>108</v>
      </c>
      <c r="H62" t="s">
        <v>496</v>
      </c>
      <c r="I62" t="s">
        <v>70</v>
      </c>
      <c r="J62" t="s">
        <v>71</v>
      </c>
      <c r="K62">
        <v>9212.26</v>
      </c>
      <c r="L62">
        <v>26.93</v>
      </c>
      <c r="M62" t="s">
        <v>1599</v>
      </c>
      <c r="N62">
        <v>30276457</v>
      </c>
      <c r="R62">
        <v>413.66</v>
      </c>
      <c r="S62">
        <v>13.18</v>
      </c>
      <c r="AA62">
        <v>-1.05</v>
      </c>
      <c r="AB62" t="s">
        <v>1600</v>
      </c>
      <c r="AC62" t="s">
        <v>1202</v>
      </c>
      <c r="AD62" t="s">
        <v>1601</v>
      </c>
      <c r="AE62" t="s">
        <v>1602</v>
      </c>
      <c r="AF62" t="s">
        <v>1603</v>
      </c>
      <c r="AH62" t="s">
        <v>1604</v>
      </c>
      <c r="AI62" t="s">
        <v>1605</v>
      </c>
      <c r="AJ62" t="s">
        <v>831</v>
      </c>
      <c r="AK62" t="s">
        <v>1084</v>
      </c>
      <c r="AL62">
        <v>42.99</v>
      </c>
      <c r="AM62">
        <v>42.86</v>
      </c>
      <c r="AN62">
        <v>0.06</v>
      </c>
      <c r="AO62" t="s">
        <v>1606</v>
      </c>
      <c r="AP62" t="s">
        <v>1607</v>
      </c>
      <c r="AQ62" t="s">
        <v>1608</v>
      </c>
      <c r="AR62" t="s">
        <v>1609</v>
      </c>
      <c r="AS62" t="s">
        <v>712</v>
      </c>
      <c r="AT62" t="s">
        <v>1610</v>
      </c>
      <c r="AU62" t="s">
        <v>1611</v>
      </c>
      <c r="AV62" t="s">
        <v>1612</v>
      </c>
      <c r="AW62" t="s">
        <v>1613</v>
      </c>
      <c r="AX62" t="s">
        <v>1614</v>
      </c>
      <c r="AY62" t="s">
        <v>1613</v>
      </c>
      <c r="AZ62" t="s">
        <v>1615</v>
      </c>
      <c r="BA62">
        <v>1</v>
      </c>
      <c r="BB62">
        <v>45253.02</v>
      </c>
      <c r="BC62">
        <v>2.36</v>
      </c>
      <c r="BD62">
        <v>26.34</v>
      </c>
      <c r="BE62">
        <v>27.64</v>
      </c>
      <c r="BF62">
        <v>26.22</v>
      </c>
      <c r="BG62" t="s">
        <v>1616</v>
      </c>
      <c r="BH62" t="s">
        <v>1613</v>
      </c>
      <c r="BI62" t="s">
        <v>1617</v>
      </c>
      <c r="BJ62" t="s">
        <v>101</v>
      </c>
      <c r="BK62" t="s">
        <v>1618</v>
      </c>
      <c r="BL62" t="s">
        <v>1619</v>
      </c>
      <c r="BM62" t="s">
        <v>1620</v>
      </c>
      <c r="BN62" t="s">
        <v>105</v>
      </c>
    </row>
    <row r="63" spans="1:66" x14ac:dyDescent="0.25">
      <c r="A63" s="2" t="str">
        <f>HYPERLINK("https://elite.finviz.com/quote.ashx?t=PEPG&amp;ty=c&amp;p=d&amp;b=1", "PEPG")</f>
        <v>PEPG</v>
      </c>
      <c r="B63">
        <v>8</v>
      </c>
      <c r="C63">
        <v>162.22</v>
      </c>
      <c r="D63">
        <v>74.900000000000006</v>
      </c>
      <c r="E63" t="s">
        <v>1621</v>
      </c>
      <c r="F63" t="s">
        <v>107</v>
      </c>
      <c r="G63" t="s">
        <v>428</v>
      </c>
      <c r="H63" t="s">
        <v>429</v>
      </c>
      <c r="I63" t="s">
        <v>70</v>
      </c>
      <c r="J63" t="s">
        <v>321</v>
      </c>
      <c r="K63">
        <v>159.4</v>
      </c>
      <c r="L63">
        <v>4.8600000000000003</v>
      </c>
      <c r="M63" t="s">
        <v>1622</v>
      </c>
      <c r="N63">
        <v>3142681</v>
      </c>
      <c r="S63">
        <v>2.2400000000000002</v>
      </c>
      <c r="AA63">
        <v>-2.97</v>
      </c>
      <c r="AB63" t="s">
        <v>1623</v>
      </c>
      <c r="AC63" t="s">
        <v>1624</v>
      </c>
      <c r="AD63" t="s">
        <v>1625</v>
      </c>
      <c r="AI63" t="s">
        <v>1626</v>
      </c>
      <c r="AJ63" t="s">
        <v>343</v>
      </c>
      <c r="AK63" t="s">
        <v>1627</v>
      </c>
      <c r="AL63">
        <v>4.74</v>
      </c>
      <c r="AM63">
        <v>4.74</v>
      </c>
      <c r="AN63">
        <v>0.25</v>
      </c>
      <c r="AR63" t="s">
        <v>1628</v>
      </c>
      <c r="AS63" t="s">
        <v>1629</v>
      </c>
      <c r="AT63" t="s">
        <v>1630</v>
      </c>
      <c r="AU63" t="s">
        <v>1631</v>
      </c>
      <c r="AV63" t="s">
        <v>1632</v>
      </c>
      <c r="AW63" t="s">
        <v>1633</v>
      </c>
      <c r="AX63" t="s">
        <v>1634</v>
      </c>
      <c r="AY63" t="s">
        <v>1635</v>
      </c>
      <c r="AZ63" t="s">
        <v>1636</v>
      </c>
      <c r="BA63">
        <v>1.5</v>
      </c>
      <c r="BB63">
        <v>2907.68</v>
      </c>
      <c r="BC63">
        <v>3.81</v>
      </c>
      <c r="BD63">
        <v>5.88</v>
      </c>
      <c r="BE63">
        <v>5.35</v>
      </c>
      <c r="BF63">
        <v>4.57</v>
      </c>
      <c r="BG63" t="s">
        <v>1637</v>
      </c>
      <c r="BH63" t="s">
        <v>1638</v>
      </c>
      <c r="BI63" t="s">
        <v>1636</v>
      </c>
      <c r="BJ63" t="s">
        <v>101</v>
      </c>
      <c r="BK63" t="s">
        <v>1639</v>
      </c>
      <c r="BL63" t="s">
        <v>1640</v>
      </c>
      <c r="BM63" t="s">
        <v>1641</v>
      </c>
      <c r="BN63" t="s">
        <v>105</v>
      </c>
    </row>
    <row r="64" spans="1:66" x14ac:dyDescent="0.25">
      <c r="A64" t="str">
        <f>HYPERLINK("https://elite.finviz.com/quote.ashx?t=CTMX&amp;ty=c&amp;p=d&amp;b=1", "CTMX")</f>
        <v>CTMX</v>
      </c>
      <c r="B64">
        <v>8</v>
      </c>
      <c r="C64">
        <v>162.22</v>
      </c>
      <c r="D64">
        <v>74.959999999999994</v>
      </c>
      <c r="E64" t="s">
        <v>1642</v>
      </c>
      <c r="F64" t="s">
        <v>107</v>
      </c>
      <c r="G64" t="s">
        <v>428</v>
      </c>
      <c r="H64" t="s">
        <v>429</v>
      </c>
      <c r="I64" t="s">
        <v>70</v>
      </c>
      <c r="J64" t="s">
        <v>321</v>
      </c>
      <c r="K64">
        <v>473.96</v>
      </c>
      <c r="L64">
        <v>2.87</v>
      </c>
      <c r="M64" t="s">
        <v>1417</v>
      </c>
      <c r="N64">
        <v>3324000</v>
      </c>
      <c r="O64">
        <v>5.03</v>
      </c>
      <c r="R64">
        <v>3.36</v>
      </c>
      <c r="S64">
        <v>3.95</v>
      </c>
      <c r="Z64" t="s">
        <v>164</v>
      </c>
      <c r="AA64">
        <v>0.56999999999999995</v>
      </c>
      <c r="AE64" t="s">
        <v>1643</v>
      </c>
      <c r="AF64" t="s">
        <v>1644</v>
      </c>
      <c r="AG64" t="s">
        <v>1645</v>
      </c>
      <c r="AH64" t="s">
        <v>1646</v>
      </c>
      <c r="AI64" t="s">
        <v>1647</v>
      </c>
      <c r="AJ64" t="s">
        <v>1648</v>
      </c>
      <c r="AK64" t="s">
        <v>1649</v>
      </c>
      <c r="AL64">
        <v>4.2</v>
      </c>
      <c r="AM64">
        <v>4.2</v>
      </c>
      <c r="AN64">
        <v>0.06</v>
      </c>
      <c r="AO64" t="s">
        <v>1650</v>
      </c>
      <c r="AP64" t="s">
        <v>1651</v>
      </c>
      <c r="AQ64" t="s">
        <v>363</v>
      </c>
      <c r="AR64" t="s">
        <v>1652</v>
      </c>
      <c r="AS64" t="s">
        <v>1653</v>
      </c>
      <c r="AT64" t="s">
        <v>1654</v>
      </c>
      <c r="AU64" t="s">
        <v>1655</v>
      </c>
      <c r="AV64" t="s">
        <v>1656</v>
      </c>
      <c r="AW64" t="s">
        <v>1657</v>
      </c>
      <c r="AX64" t="s">
        <v>1658</v>
      </c>
      <c r="AY64" t="s">
        <v>1659</v>
      </c>
      <c r="AZ64" t="s">
        <v>1660</v>
      </c>
      <c r="BA64">
        <v>1.38</v>
      </c>
      <c r="BB64">
        <v>2914.41</v>
      </c>
      <c r="BC64">
        <v>4.0199999999999996</v>
      </c>
      <c r="BD64">
        <v>2.84</v>
      </c>
      <c r="BE64">
        <v>3.26</v>
      </c>
      <c r="BF64">
        <v>2.71</v>
      </c>
      <c r="BG64" t="s">
        <v>1661</v>
      </c>
      <c r="BH64" t="s">
        <v>1662</v>
      </c>
      <c r="BI64" t="s">
        <v>1660</v>
      </c>
      <c r="BJ64" t="s">
        <v>101</v>
      </c>
      <c r="BK64" t="s">
        <v>1663</v>
      </c>
      <c r="BL64" t="s">
        <v>1664</v>
      </c>
      <c r="BM64" t="s">
        <v>1665</v>
      </c>
      <c r="BN64" t="s">
        <v>105</v>
      </c>
    </row>
    <row r="65" spans="1:66" x14ac:dyDescent="0.25">
      <c r="A65" t="str">
        <f>HYPERLINK("https://elite.finviz.com/quote.ashx?t=APLT&amp;ty=c&amp;p=d&amp;b=1", "APLT")</f>
        <v>APLT</v>
      </c>
      <c r="B65">
        <v>8</v>
      </c>
      <c r="C65">
        <v>162.22</v>
      </c>
      <c r="D65">
        <v>75.06</v>
      </c>
      <c r="E65" t="s">
        <v>1666</v>
      </c>
      <c r="F65" t="s">
        <v>107</v>
      </c>
      <c r="G65" t="s">
        <v>428</v>
      </c>
      <c r="H65" t="s">
        <v>429</v>
      </c>
      <c r="I65" t="s">
        <v>70</v>
      </c>
      <c r="J65" t="s">
        <v>321</v>
      </c>
      <c r="K65">
        <v>96.84</v>
      </c>
      <c r="L65">
        <v>0.67</v>
      </c>
      <c r="M65" t="s">
        <v>1667</v>
      </c>
      <c r="N65">
        <v>11407732</v>
      </c>
      <c r="R65">
        <v>806.99</v>
      </c>
      <c r="S65">
        <v>5.47</v>
      </c>
      <c r="AA65">
        <v>-0.44</v>
      </c>
      <c r="AB65" t="s">
        <v>1668</v>
      </c>
      <c r="AC65" t="s">
        <v>1669</v>
      </c>
      <c r="AD65" t="s">
        <v>1670</v>
      </c>
      <c r="AH65" t="s">
        <v>579</v>
      </c>
      <c r="AI65" t="s">
        <v>290</v>
      </c>
      <c r="AJ65" t="s">
        <v>164</v>
      </c>
      <c r="AK65" t="s">
        <v>1671</v>
      </c>
      <c r="AL65">
        <v>1.94</v>
      </c>
      <c r="AM65">
        <v>1.94</v>
      </c>
      <c r="AN65">
        <v>0.15</v>
      </c>
      <c r="AO65" t="s">
        <v>1672</v>
      </c>
      <c r="AP65" t="s">
        <v>1673</v>
      </c>
      <c r="AQ65" t="s">
        <v>1674</v>
      </c>
      <c r="AR65" t="s">
        <v>1675</v>
      </c>
      <c r="AS65" t="s">
        <v>1676</v>
      </c>
      <c r="AT65" t="s">
        <v>1677</v>
      </c>
      <c r="AU65" t="s">
        <v>1678</v>
      </c>
      <c r="AV65" t="s">
        <v>1679</v>
      </c>
      <c r="AW65" t="s">
        <v>1680</v>
      </c>
      <c r="AX65" t="s">
        <v>1681</v>
      </c>
      <c r="AY65" t="s">
        <v>1682</v>
      </c>
      <c r="AZ65" t="s">
        <v>1683</v>
      </c>
      <c r="BA65">
        <v>2.25</v>
      </c>
      <c r="BB65">
        <v>1452.12</v>
      </c>
      <c r="BC65">
        <v>27.68</v>
      </c>
      <c r="BD65">
        <v>0.56000000000000005</v>
      </c>
      <c r="BE65">
        <v>0.77</v>
      </c>
      <c r="BF65">
        <v>0.56999999999999995</v>
      </c>
      <c r="BG65" t="s">
        <v>1684</v>
      </c>
      <c r="BH65" t="s">
        <v>1685</v>
      </c>
      <c r="BI65" t="s">
        <v>1683</v>
      </c>
      <c r="BJ65" t="s">
        <v>101</v>
      </c>
      <c r="BK65" t="s">
        <v>1686</v>
      </c>
      <c r="BL65" t="s">
        <v>1687</v>
      </c>
      <c r="BM65" t="s">
        <v>1688</v>
      </c>
      <c r="BN65" t="s">
        <v>105</v>
      </c>
    </row>
    <row r="66" spans="1:66" x14ac:dyDescent="0.25">
      <c r="A66" t="str">
        <f>HYPERLINK("https://elite.finviz.com/quote.ashx?t=UUUU&amp;ty=c&amp;p=d&amp;b=1", "UUUU")</f>
        <v>UUUU</v>
      </c>
      <c r="B66">
        <v>8</v>
      </c>
      <c r="C66">
        <v>162.22</v>
      </c>
      <c r="D66">
        <v>75.099999999999994</v>
      </c>
      <c r="E66" t="s">
        <v>1689</v>
      </c>
      <c r="F66" t="s">
        <v>67</v>
      </c>
      <c r="G66" t="s">
        <v>1048</v>
      </c>
      <c r="H66" t="s">
        <v>1355</v>
      </c>
      <c r="I66" t="s">
        <v>70</v>
      </c>
      <c r="J66" t="s">
        <v>383</v>
      </c>
      <c r="K66">
        <v>3888.03</v>
      </c>
      <c r="L66">
        <v>16.850000000000001</v>
      </c>
      <c r="M66" t="s">
        <v>1690</v>
      </c>
      <c r="N66">
        <v>12562301</v>
      </c>
      <c r="P66">
        <v>152.4</v>
      </c>
      <c r="R66">
        <v>59.74</v>
      </c>
      <c r="S66">
        <v>6.04</v>
      </c>
      <c r="AA66">
        <v>-0.49</v>
      </c>
      <c r="AC66" t="s">
        <v>1691</v>
      </c>
      <c r="AE66" t="s">
        <v>1692</v>
      </c>
      <c r="AF66" t="s">
        <v>1693</v>
      </c>
      <c r="AG66" t="s">
        <v>1694</v>
      </c>
      <c r="AH66" t="s">
        <v>1695</v>
      </c>
      <c r="AI66" t="s">
        <v>164</v>
      </c>
      <c r="AJ66" t="s">
        <v>1696</v>
      </c>
      <c r="AK66" t="s">
        <v>1697</v>
      </c>
      <c r="AL66">
        <v>8.1</v>
      </c>
      <c r="AM66">
        <v>5.95</v>
      </c>
      <c r="AN66">
        <v>0</v>
      </c>
      <c r="AO66" t="s">
        <v>357</v>
      </c>
      <c r="AP66" t="s">
        <v>1698</v>
      </c>
      <c r="AQ66" t="s">
        <v>1699</v>
      </c>
      <c r="AR66" t="s">
        <v>483</v>
      </c>
      <c r="AS66" t="s">
        <v>1700</v>
      </c>
      <c r="AT66" t="s">
        <v>1701</v>
      </c>
      <c r="AU66" t="s">
        <v>1702</v>
      </c>
      <c r="AV66" t="s">
        <v>1703</v>
      </c>
      <c r="AW66" t="s">
        <v>1704</v>
      </c>
      <c r="AX66" t="s">
        <v>1705</v>
      </c>
      <c r="AY66" t="s">
        <v>1704</v>
      </c>
      <c r="AZ66" t="s">
        <v>1706</v>
      </c>
      <c r="BA66">
        <v>1.29</v>
      </c>
      <c r="BB66">
        <v>14564.07</v>
      </c>
      <c r="BC66">
        <v>3.04</v>
      </c>
      <c r="BD66">
        <v>17.260000000000002</v>
      </c>
      <c r="BE66">
        <v>18.77</v>
      </c>
      <c r="BF66">
        <v>16.7</v>
      </c>
      <c r="BG66" t="s">
        <v>1707</v>
      </c>
      <c r="BH66" t="s">
        <v>1708</v>
      </c>
      <c r="BI66" t="s">
        <v>1709</v>
      </c>
      <c r="BJ66" t="s">
        <v>101</v>
      </c>
      <c r="BK66" t="s">
        <v>1710</v>
      </c>
      <c r="BL66" t="s">
        <v>1711</v>
      </c>
      <c r="BM66" t="s">
        <v>1712</v>
      </c>
      <c r="BN66" t="s">
        <v>105</v>
      </c>
    </row>
    <row r="67" spans="1:66" x14ac:dyDescent="0.25">
      <c r="A67" t="str">
        <f>HYPERLINK("https://elite.finviz.com/quote.ashx?t=FLNC&amp;ty=c&amp;p=d&amp;b=1", "FLNC")</f>
        <v>FLNC</v>
      </c>
      <c r="B67">
        <v>8</v>
      </c>
      <c r="C67">
        <v>162.22</v>
      </c>
      <c r="D67">
        <v>75.58</v>
      </c>
      <c r="E67" t="s">
        <v>1713</v>
      </c>
      <c r="F67" t="s">
        <v>67</v>
      </c>
      <c r="G67" t="s">
        <v>287</v>
      </c>
      <c r="H67" t="s">
        <v>288</v>
      </c>
      <c r="I67" t="s">
        <v>70</v>
      </c>
      <c r="J67" t="s">
        <v>321</v>
      </c>
      <c r="K67">
        <v>2128.94</v>
      </c>
      <c r="L67">
        <v>11.66</v>
      </c>
      <c r="M67" t="s">
        <v>1714</v>
      </c>
      <c r="N67">
        <v>2593338</v>
      </c>
      <c r="R67">
        <v>0.87</v>
      </c>
      <c r="S67">
        <v>3.75</v>
      </c>
      <c r="Z67" t="s">
        <v>164</v>
      </c>
      <c r="AA67">
        <v>-0.27</v>
      </c>
      <c r="AD67" t="s">
        <v>1715</v>
      </c>
      <c r="AE67" t="s">
        <v>1716</v>
      </c>
      <c r="AF67" t="s">
        <v>1717</v>
      </c>
      <c r="AG67" t="s">
        <v>1718</v>
      </c>
      <c r="AH67" t="s">
        <v>1719</v>
      </c>
      <c r="AI67" t="s">
        <v>1720</v>
      </c>
      <c r="AJ67" t="s">
        <v>629</v>
      </c>
      <c r="AK67" t="s">
        <v>1721</v>
      </c>
      <c r="AL67">
        <v>1.64</v>
      </c>
      <c r="AM67">
        <v>0.87</v>
      </c>
      <c r="AN67">
        <v>1.01</v>
      </c>
      <c r="AO67" t="s">
        <v>563</v>
      </c>
      <c r="AP67" t="s">
        <v>1722</v>
      </c>
      <c r="AQ67" t="s">
        <v>240</v>
      </c>
      <c r="AR67" t="s">
        <v>1723</v>
      </c>
      <c r="AS67" t="s">
        <v>1341</v>
      </c>
      <c r="AT67" t="s">
        <v>1724</v>
      </c>
      <c r="AU67" t="s">
        <v>1725</v>
      </c>
      <c r="AV67" t="s">
        <v>1726</v>
      </c>
      <c r="AW67" t="s">
        <v>1727</v>
      </c>
      <c r="AX67" t="s">
        <v>632</v>
      </c>
      <c r="AY67" t="s">
        <v>1728</v>
      </c>
      <c r="AZ67" t="s">
        <v>1729</v>
      </c>
      <c r="BA67">
        <v>2.9</v>
      </c>
      <c r="BB67">
        <v>5314.4</v>
      </c>
      <c r="BC67">
        <v>1.72</v>
      </c>
      <c r="BD67">
        <v>11.73</v>
      </c>
      <c r="BE67">
        <v>11.8</v>
      </c>
      <c r="BF67">
        <v>11.26</v>
      </c>
      <c r="BG67" t="s">
        <v>1730</v>
      </c>
      <c r="BH67" t="s">
        <v>1731</v>
      </c>
      <c r="BI67" t="s">
        <v>1729</v>
      </c>
      <c r="BJ67" t="s">
        <v>101</v>
      </c>
      <c r="BK67" t="s">
        <v>1732</v>
      </c>
      <c r="BL67" t="s">
        <v>1733</v>
      </c>
      <c r="BM67" t="s">
        <v>1734</v>
      </c>
      <c r="BN67" t="s">
        <v>105</v>
      </c>
    </row>
    <row r="68" spans="1:66" x14ac:dyDescent="0.25">
      <c r="A68" t="str">
        <f>HYPERLINK("https://elite.finviz.com/quote.ashx?t=OVID&amp;ty=c&amp;p=d&amp;b=1", "OVID")</f>
        <v>OVID</v>
      </c>
      <c r="B68">
        <v>8</v>
      </c>
      <c r="C68">
        <v>162.22</v>
      </c>
      <c r="D68">
        <v>75.64</v>
      </c>
      <c r="E68" t="s">
        <v>1735</v>
      </c>
      <c r="F68" t="s">
        <v>107</v>
      </c>
      <c r="G68" t="s">
        <v>428</v>
      </c>
      <c r="H68" t="s">
        <v>429</v>
      </c>
      <c r="I68" t="s">
        <v>70</v>
      </c>
      <c r="J68" t="s">
        <v>321</v>
      </c>
      <c r="K68">
        <v>108.79</v>
      </c>
      <c r="L68">
        <v>1.53</v>
      </c>
      <c r="M68" t="s">
        <v>1736</v>
      </c>
      <c r="N68">
        <v>2444230</v>
      </c>
      <c r="R68">
        <v>16.36</v>
      </c>
      <c r="S68">
        <v>1.95</v>
      </c>
      <c r="AA68">
        <v>-0.54</v>
      </c>
      <c r="AC68" t="s">
        <v>1737</v>
      </c>
      <c r="AE68" t="s">
        <v>1738</v>
      </c>
      <c r="AF68" t="s">
        <v>1739</v>
      </c>
      <c r="AH68" t="s">
        <v>1740</v>
      </c>
      <c r="AI68" t="s">
        <v>1741</v>
      </c>
      <c r="AJ68" t="s">
        <v>164</v>
      </c>
      <c r="AK68" t="s">
        <v>1742</v>
      </c>
      <c r="AL68">
        <v>4.72</v>
      </c>
      <c r="AM68">
        <v>4.72</v>
      </c>
      <c r="AN68">
        <v>0.25</v>
      </c>
      <c r="AO68" t="s">
        <v>1743</v>
      </c>
      <c r="AP68" t="s">
        <v>1744</v>
      </c>
      <c r="AQ68" t="s">
        <v>1745</v>
      </c>
      <c r="AR68" t="s">
        <v>605</v>
      </c>
      <c r="AS68" t="s">
        <v>1533</v>
      </c>
      <c r="AT68" t="s">
        <v>1746</v>
      </c>
      <c r="AU68" t="s">
        <v>1747</v>
      </c>
      <c r="AV68" t="s">
        <v>1748</v>
      </c>
      <c r="AW68" t="s">
        <v>1749</v>
      </c>
      <c r="AX68" t="s">
        <v>1750</v>
      </c>
      <c r="AY68" t="s">
        <v>1751</v>
      </c>
      <c r="AZ68" t="s">
        <v>1752</v>
      </c>
      <c r="BA68">
        <v>1</v>
      </c>
      <c r="BB68">
        <v>2006.26</v>
      </c>
      <c r="BC68">
        <v>4.29</v>
      </c>
      <c r="BD68">
        <v>1.41</v>
      </c>
      <c r="BE68">
        <v>1.61</v>
      </c>
      <c r="BF68">
        <v>1.42</v>
      </c>
      <c r="BG68" t="s">
        <v>1753</v>
      </c>
      <c r="BH68" t="s">
        <v>1754</v>
      </c>
      <c r="BI68" t="s">
        <v>1752</v>
      </c>
      <c r="BJ68" t="s">
        <v>101</v>
      </c>
      <c r="BK68" t="s">
        <v>1755</v>
      </c>
      <c r="BL68" t="s">
        <v>1756</v>
      </c>
      <c r="BM68" t="s">
        <v>1757</v>
      </c>
      <c r="BN68" t="s">
        <v>105</v>
      </c>
    </row>
    <row r="69" spans="1:66" x14ac:dyDescent="0.25">
      <c r="A69" t="str">
        <f>HYPERLINK("https://elite.finviz.com/quote.ashx?t=IBM&amp;ty=c&amp;p=d&amp;b=1", "IBM")</f>
        <v>IBM</v>
      </c>
      <c r="B69">
        <v>8</v>
      </c>
      <c r="C69">
        <v>162.22</v>
      </c>
      <c r="D69">
        <v>75.819999999999993</v>
      </c>
      <c r="E69" t="s">
        <v>1758</v>
      </c>
      <c r="F69" t="s">
        <v>1759</v>
      </c>
      <c r="G69" t="s">
        <v>108</v>
      </c>
      <c r="H69" t="s">
        <v>1322</v>
      </c>
      <c r="I69" t="s">
        <v>70</v>
      </c>
      <c r="J69" t="s">
        <v>71</v>
      </c>
      <c r="K69">
        <v>266372.56</v>
      </c>
      <c r="L69">
        <v>285.95</v>
      </c>
      <c r="M69" t="s">
        <v>1760</v>
      </c>
      <c r="N69">
        <v>2810552</v>
      </c>
      <c r="O69">
        <v>46.38</v>
      </c>
      <c r="P69">
        <v>23.83</v>
      </c>
      <c r="Q69">
        <v>6.49</v>
      </c>
      <c r="R69">
        <v>4.16</v>
      </c>
      <c r="S69">
        <v>9.68</v>
      </c>
      <c r="T69" t="s">
        <v>1761</v>
      </c>
      <c r="U69">
        <v>6.7</v>
      </c>
      <c r="V69" t="s">
        <v>1762</v>
      </c>
      <c r="W69" t="s">
        <v>1763</v>
      </c>
      <c r="X69" t="s">
        <v>306</v>
      </c>
      <c r="Y69" t="s">
        <v>1764</v>
      </c>
      <c r="Z69" t="s">
        <v>1186</v>
      </c>
      <c r="AA69">
        <v>6.17</v>
      </c>
      <c r="AB69" t="s">
        <v>1765</v>
      </c>
      <c r="AC69" t="s">
        <v>1766</v>
      </c>
      <c r="AD69" t="s">
        <v>1767</v>
      </c>
      <c r="AE69" t="s">
        <v>1768</v>
      </c>
      <c r="AF69" t="s">
        <v>1769</v>
      </c>
      <c r="AG69" t="s">
        <v>1770</v>
      </c>
      <c r="AH69" t="s">
        <v>1771</v>
      </c>
      <c r="AI69" t="s">
        <v>1772</v>
      </c>
      <c r="AJ69" t="s">
        <v>164</v>
      </c>
      <c r="AK69" t="s">
        <v>1773</v>
      </c>
      <c r="AL69">
        <v>0.88</v>
      </c>
      <c r="AM69">
        <v>0.84</v>
      </c>
      <c r="AN69">
        <v>2.46</v>
      </c>
      <c r="AO69" t="s">
        <v>1774</v>
      </c>
      <c r="AP69" t="s">
        <v>1227</v>
      </c>
      <c r="AQ69" t="s">
        <v>1775</v>
      </c>
      <c r="AR69" t="s">
        <v>1776</v>
      </c>
      <c r="AS69" t="s">
        <v>206</v>
      </c>
      <c r="AT69" t="s">
        <v>185</v>
      </c>
      <c r="AU69" t="s">
        <v>239</v>
      </c>
      <c r="AV69" t="s">
        <v>1777</v>
      </c>
      <c r="AW69" t="s">
        <v>1574</v>
      </c>
      <c r="AX69" t="s">
        <v>1778</v>
      </c>
      <c r="AY69" t="s">
        <v>1779</v>
      </c>
      <c r="AZ69" t="s">
        <v>1780</v>
      </c>
      <c r="BA69">
        <v>2.52</v>
      </c>
      <c r="BB69">
        <v>4905.68</v>
      </c>
      <c r="BC69">
        <v>2.02</v>
      </c>
      <c r="BD69">
        <v>281.44</v>
      </c>
      <c r="BE69">
        <v>287.24</v>
      </c>
      <c r="BF69">
        <v>280.12</v>
      </c>
      <c r="BG69" t="s">
        <v>1781</v>
      </c>
      <c r="BH69" t="s">
        <v>1779</v>
      </c>
      <c r="BI69" t="s">
        <v>1782</v>
      </c>
      <c r="BJ69" t="s">
        <v>101</v>
      </c>
      <c r="BK69" t="s">
        <v>1783</v>
      </c>
      <c r="BL69" t="s">
        <v>1784</v>
      </c>
      <c r="BM69" t="s">
        <v>1785</v>
      </c>
      <c r="BN69" t="s">
        <v>105</v>
      </c>
    </row>
    <row r="70" spans="1:66" x14ac:dyDescent="0.25">
      <c r="A70" t="str">
        <f>HYPERLINK("https://elite.finviz.com/quote.ashx?t=SES&amp;ty=c&amp;p=d&amp;b=1", "SES")</f>
        <v>SES</v>
      </c>
      <c r="B70">
        <v>8</v>
      </c>
      <c r="C70">
        <v>162.22</v>
      </c>
      <c r="D70">
        <v>76</v>
      </c>
      <c r="E70" t="s">
        <v>1786</v>
      </c>
      <c r="F70" t="s">
        <v>107</v>
      </c>
      <c r="G70" t="s">
        <v>813</v>
      </c>
      <c r="H70" t="s">
        <v>814</v>
      </c>
      <c r="I70" t="s">
        <v>70</v>
      </c>
      <c r="J70" t="s">
        <v>71</v>
      </c>
      <c r="K70">
        <v>667.44</v>
      </c>
      <c r="L70">
        <v>1.83</v>
      </c>
      <c r="M70" t="s">
        <v>1787</v>
      </c>
      <c r="N70">
        <v>6889508</v>
      </c>
      <c r="R70">
        <v>58.75</v>
      </c>
      <c r="S70">
        <v>2.68</v>
      </c>
      <c r="AA70">
        <v>-0.31</v>
      </c>
      <c r="AB70" t="s">
        <v>1788</v>
      </c>
      <c r="AC70" t="s">
        <v>1789</v>
      </c>
      <c r="AI70" t="s">
        <v>1790</v>
      </c>
      <c r="AJ70" t="s">
        <v>164</v>
      </c>
      <c r="AK70" t="s">
        <v>1791</v>
      </c>
      <c r="AL70">
        <v>12.46</v>
      </c>
      <c r="AM70">
        <v>12.45</v>
      </c>
      <c r="AN70">
        <v>0.04</v>
      </c>
      <c r="AO70" t="s">
        <v>1156</v>
      </c>
      <c r="AP70" t="s">
        <v>1792</v>
      </c>
      <c r="AQ70" t="s">
        <v>1793</v>
      </c>
      <c r="AR70" t="s">
        <v>1794</v>
      </c>
      <c r="AS70" t="s">
        <v>776</v>
      </c>
      <c r="AT70" t="s">
        <v>1795</v>
      </c>
      <c r="AU70" t="s">
        <v>1796</v>
      </c>
      <c r="AV70" t="s">
        <v>1797</v>
      </c>
      <c r="AW70" t="s">
        <v>1798</v>
      </c>
      <c r="AX70" t="s">
        <v>1799</v>
      </c>
      <c r="AY70" t="s">
        <v>1800</v>
      </c>
      <c r="AZ70" t="s">
        <v>1801</v>
      </c>
      <c r="BA70">
        <v>2.33</v>
      </c>
      <c r="BB70">
        <v>8521.2099999999991</v>
      </c>
      <c r="BC70">
        <v>2.85</v>
      </c>
      <c r="BD70">
        <v>1.85</v>
      </c>
      <c r="BE70">
        <v>2.0099999999999998</v>
      </c>
      <c r="BF70">
        <v>1.81</v>
      </c>
      <c r="BG70" t="s">
        <v>1802</v>
      </c>
      <c r="BH70" t="s">
        <v>1803</v>
      </c>
      <c r="BI70" t="s">
        <v>1801</v>
      </c>
      <c r="BJ70" t="s">
        <v>101</v>
      </c>
      <c r="BK70" t="s">
        <v>1804</v>
      </c>
      <c r="BL70" t="s">
        <v>1805</v>
      </c>
      <c r="BM70" t="s">
        <v>1806</v>
      </c>
      <c r="BN70" t="s">
        <v>105</v>
      </c>
    </row>
    <row r="71" spans="1:66" x14ac:dyDescent="0.25">
      <c r="A71" t="str">
        <f>HYPERLINK("https://elite.finviz.com/quote.ashx?t=SKYT&amp;ty=c&amp;p=d&amp;b=1", "SKYT")</f>
        <v>SKYT</v>
      </c>
      <c r="B71">
        <v>8</v>
      </c>
      <c r="C71">
        <v>162.22</v>
      </c>
      <c r="D71">
        <v>76.64</v>
      </c>
      <c r="E71" t="s">
        <v>1807</v>
      </c>
      <c r="F71" t="s">
        <v>67</v>
      </c>
      <c r="G71" t="s">
        <v>108</v>
      </c>
      <c r="H71" t="s">
        <v>1808</v>
      </c>
      <c r="I71" t="s">
        <v>70</v>
      </c>
      <c r="J71" t="s">
        <v>321</v>
      </c>
      <c r="K71">
        <v>814.17</v>
      </c>
      <c r="L71">
        <v>16.899999999999999</v>
      </c>
      <c r="M71" t="s">
        <v>1809</v>
      </c>
      <c r="N71">
        <v>1744015</v>
      </c>
      <c r="R71">
        <v>2.81</v>
      </c>
      <c r="S71">
        <v>18</v>
      </c>
      <c r="AA71">
        <v>-0.34</v>
      </c>
      <c r="AB71" t="s">
        <v>1810</v>
      </c>
      <c r="AC71" t="s">
        <v>1811</v>
      </c>
      <c r="AE71" t="s">
        <v>1812</v>
      </c>
      <c r="AF71" t="s">
        <v>1813</v>
      </c>
      <c r="AG71" t="s">
        <v>1814</v>
      </c>
      <c r="AH71" t="s">
        <v>1815</v>
      </c>
      <c r="AI71" t="s">
        <v>1816</v>
      </c>
      <c r="AJ71" t="s">
        <v>1817</v>
      </c>
      <c r="AK71" t="s">
        <v>1818</v>
      </c>
      <c r="AL71">
        <v>1.04</v>
      </c>
      <c r="AM71">
        <v>0.95</v>
      </c>
      <c r="AN71">
        <v>1.65</v>
      </c>
      <c r="AO71" t="s">
        <v>1819</v>
      </c>
      <c r="AP71" t="s">
        <v>1820</v>
      </c>
      <c r="AQ71" t="s">
        <v>1821</v>
      </c>
      <c r="AR71" t="s">
        <v>1822</v>
      </c>
      <c r="AS71" t="s">
        <v>1114</v>
      </c>
      <c r="AT71" t="s">
        <v>1823</v>
      </c>
      <c r="AU71" t="s">
        <v>1824</v>
      </c>
      <c r="AV71" t="s">
        <v>1825</v>
      </c>
      <c r="AW71" t="s">
        <v>1826</v>
      </c>
      <c r="AX71" t="s">
        <v>1827</v>
      </c>
      <c r="AY71" t="s">
        <v>1828</v>
      </c>
      <c r="AZ71" t="s">
        <v>1829</v>
      </c>
      <c r="BA71">
        <v>1.4</v>
      </c>
      <c r="BB71">
        <v>1208.51</v>
      </c>
      <c r="BC71">
        <v>5.08</v>
      </c>
      <c r="BD71">
        <v>15.4</v>
      </c>
      <c r="BE71">
        <v>17.600000000000001</v>
      </c>
      <c r="BF71">
        <v>16.07</v>
      </c>
      <c r="BG71" t="s">
        <v>1830</v>
      </c>
      <c r="BH71" t="s">
        <v>1831</v>
      </c>
      <c r="BI71" t="s">
        <v>1832</v>
      </c>
      <c r="BJ71" t="s">
        <v>101</v>
      </c>
      <c r="BK71" t="s">
        <v>1833</v>
      </c>
      <c r="BL71" t="s">
        <v>1834</v>
      </c>
      <c r="BM71" t="s">
        <v>1835</v>
      </c>
      <c r="BN71" t="s">
        <v>105</v>
      </c>
    </row>
    <row r="72" spans="1:66" x14ac:dyDescent="0.25">
      <c r="A72" t="str">
        <f>HYPERLINK("https://elite.finviz.com/quote.ashx?t=NRGV&amp;ty=c&amp;p=d&amp;b=1", "NRGV")</f>
        <v>NRGV</v>
      </c>
      <c r="B72">
        <v>8</v>
      </c>
      <c r="C72">
        <v>162.22</v>
      </c>
      <c r="D72">
        <v>78.02</v>
      </c>
      <c r="E72" t="s">
        <v>1836</v>
      </c>
      <c r="F72" t="s">
        <v>107</v>
      </c>
      <c r="G72" t="s">
        <v>287</v>
      </c>
      <c r="H72" t="s">
        <v>288</v>
      </c>
      <c r="I72" t="s">
        <v>70</v>
      </c>
      <c r="J72" t="s">
        <v>71</v>
      </c>
      <c r="K72">
        <v>521.98</v>
      </c>
      <c r="L72">
        <v>3.22</v>
      </c>
      <c r="M72" t="s">
        <v>1837</v>
      </c>
      <c r="N72">
        <v>1199200</v>
      </c>
      <c r="R72">
        <v>10.09</v>
      </c>
      <c r="S72">
        <v>5.74</v>
      </c>
      <c r="AA72">
        <v>-0.96</v>
      </c>
      <c r="AB72" t="s">
        <v>1838</v>
      </c>
      <c r="AE72" t="s">
        <v>1839</v>
      </c>
      <c r="AH72" t="s">
        <v>1840</v>
      </c>
      <c r="AI72" t="s">
        <v>1841</v>
      </c>
      <c r="AJ72" t="s">
        <v>1842</v>
      </c>
      <c r="AK72" t="s">
        <v>1843</v>
      </c>
      <c r="AL72">
        <v>0.66</v>
      </c>
      <c r="AM72">
        <v>0.66</v>
      </c>
      <c r="AN72">
        <v>0.39</v>
      </c>
      <c r="AO72" t="s">
        <v>1844</v>
      </c>
      <c r="AP72" t="s">
        <v>1845</v>
      </c>
      <c r="AQ72" t="s">
        <v>1846</v>
      </c>
      <c r="AR72" t="s">
        <v>1847</v>
      </c>
      <c r="AS72" t="s">
        <v>330</v>
      </c>
      <c r="AT72" t="s">
        <v>1848</v>
      </c>
      <c r="AU72" t="s">
        <v>1849</v>
      </c>
      <c r="AV72" t="s">
        <v>1850</v>
      </c>
      <c r="AW72" t="s">
        <v>1851</v>
      </c>
      <c r="AX72" t="s">
        <v>1852</v>
      </c>
      <c r="AY72" t="s">
        <v>1851</v>
      </c>
      <c r="AZ72" t="s">
        <v>1853</v>
      </c>
      <c r="BA72">
        <v>3</v>
      </c>
      <c r="BB72">
        <v>2598.48</v>
      </c>
      <c r="BC72">
        <v>1.63</v>
      </c>
      <c r="BD72">
        <v>3.19</v>
      </c>
      <c r="BE72">
        <v>3.25</v>
      </c>
      <c r="BF72">
        <v>3.04</v>
      </c>
      <c r="BG72" t="s">
        <v>1854</v>
      </c>
      <c r="BH72" t="s">
        <v>1855</v>
      </c>
      <c r="BI72" t="s">
        <v>1853</v>
      </c>
      <c r="BJ72" t="s">
        <v>101</v>
      </c>
      <c r="BK72" t="s">
        <v>1856</v>
      </c>
      <c r="BL72" t="s">
        <v>1857</v>
      </c>
      <c r="BM72" t="s">
        <v>1858</v>
      </c>
      <c r="BN72" t="s">
        <v>105</v>
      </c>
    </row>
    <row r="73" spans="1:66" x14ac:dyDescent="0.25">
      <c r="A73" t="str">
        <f>HYPERLINK("https://elite.finviz.com/quote.ashx?t=CRNX&amp;ty=c&amp;p=d&amp;b=1", "CRNX")</f>
        <v>CRNX</v>
      </c>
      <c r="B73">
        <v>8</v>
      </c>
      <c r="C73">
        <v>162.22</v>
      </c>
      <c r="D73">
        <v>78.17</v>
      </c>
      <c r="E73" t="s">
        <v>1859</v>
      </c>
      <c r="F73" t="s">
        <v>67</v>
      </c>
      <c r="G73" t="s">
        <v>428</v>
      </c>
      <c r="H73" t="s">
        <v>429</v>
      </c>
      <c r="I73" t="s">
        <v>70</v>
      </c>
      <c r="J73" t="s">
        <v>321</v>
      </c>
      <c r="K73">
        <v>4232.2700000000004</v>
      </c>
      <c r="L73">
        <v>44.94</v>
      </c>
      <c r="M73" t="s">
        <v>1860</v>
      </c>
      <c r="N73">
        <v>5707340</v>
      </c>
      <c r="R73">
        <v>3044.8</v>
      </c>
      <c r="S73">
        <v>3.61</v>
      </c>
      <c r="AA73">
        <v>-4.1100000000000003</v>
      </c>
      <c r="AB73" t="s">
        <v>1861</v>
      </c>
      <c r="AC73" t="s">
        <v>1862</v>
      </c>
      <c r="AD73" t="s">
        <v>1863</v>
      </c>
      <c r="AE73" t="s">
        <v>579</v>
      </c>
      <c r="AF73" t="s">
        <v>1864</v>
      </c>
      <c r="AI73" t="s">
        <v>1865</v>
      </c>
      <c r="AJ73" t="s">
        <v>1866</v>
      </c>
      <c r="AK73" t="s">
        <v>1867</v>
      </c>
      <c r="AL73">
        <v>17.8</v>
      </c>
      <c r="AM73">
        <v>17.8</v>
      </c>
      <c r="AN73">
        <v>0.04</v>
      </c>
      <c r="AO73" t="s">
        <v>1868</v>
      </c>
      <c r="AP73" t="s">
        <v>1869</v>
      </c>
      <c r="AQ73" t="s">
        <v>1870</v>
      </c>
      <c r="AR73" t="s">
        <v>1871</v>
      </c>
      <c r="AS73" t="s">
        <v>1872</v>
      </c>
      <c r="AT73" t="s">
        <v>1873</v>
      </c>
      <c r="AU73" t="s">
        <v>1874</v>
      </c>
      <c r="AV73" t="s">
        <v>1875</v>
      </c>
      <c r="AW73" t="s">
        <v>1876</v>
      </c>
      <c r="AX73" t="s">
        <v>1877</v>
      </c>
      <c r="AY73" t="s">
        <v>1878</v>
      </c>
      <c r="AZ73" t="s">
        <v>1879</v>
      </c>
      <c r="BA73">
        <v>1.29</v>
      </c>
      <c r="BB73">
        <v>1065.46</v>
      </c>
      <c r="BC73">
        <v>18.87</v>
      </c>
      <c r="BD73">
        <v>35.89</v>
      </c>
      <c r="BE73">
        <v>46.49</v>
      </c>
      <c r="BF73">
        <v>39.99</v>
      </c>
      <c r="BG73" t="s">
        <v>1880</v>
      </c>
      <c r="BH73" t="s">
        <v>1878</v>
      </c>
      <c r="BI73" t="s">
        <v>1881</v>
      </c>
      <c r="BJ73" t="s">
        <v>101</v>
      </c>
      <c r="BK73" t="s">
        <v>1882</v>
      </c>
      <c r="BL73" t="s">
        <v>1883</v>
      </c>
      <c r="BM73" t="s">
        <v>1884</v>
      </c>
      <c r="BN73" t="s">
        <v>105</v>
      </c>
    </row>
    <row r="74" spans="1:66" x14ac:dyDescent="0.25">
      <c r="A74" t="str">
        <f>HYPERLINK("https://elite.finviz.com/quote.ashx?t=WWR&amp;ty=c&amp;p=d&amp;b=1", "WWR")</f>
        <v>WWR</v>
      </c>
      <c r="B74">
        <v>8</v>
      </c>
      <c r="C74">
        <v>162.22</v>
      </c>
      <c r="D74">
        <v>78.599999999999994</v>
      </c>
      <c r="E74" t="s">
        <v>1885</v>
      </c>
      <c r="F74" t="s">
        <v>107</v>
      </c>
      <c r="G74" t="s">
        <v>355</v>
      </c>
      <c r="H74" t="s">
        <v>356</v>
      </c>
      <c r="I74" t="s">
        <v>70</v>
      </c>
      <c r="J74" t="s">
        <v>383</v>
      </c>
      <c r="K74">
        <v>92.34</v>
      </c>
      <c r="L74">
        <v>1.07</v>
      </c>
      <c r="M74" t="s">
        <v>1886</v>
      </c>
      <c r="N74">
        <v>4338942</v>
      </c>
      <c r="P74">
        <v>35.700000000000003</v>
      </c>
      <c r="S74">
        <v>0.62</v>
      </c>
      <c r="AA74">
        <v>-0.19</v>
      </c>
      <c r="AB74" t="s">
        <v>1887</v>
      </c>
      <c r="AC74" t="s">
        <v>1888</v>
      </c>
      <c r="AJ74" t="s">
        <v>164</v>
      </c>
      <c r="AK74" t="s">
        <v>1114</v>
      </c>
      <c r="AL74">
        <v>0.51</v>
      </c>
      <c r="AM74">
        <v>0.5</v>
      </c>
      <c r="AN74">
        <v>0.04</v>
      </c>
      <c r="AR74" t="s">
        <v>583</v>
      </c>
      <c r="AS74" t="s">
        <v>1889</v>
      </c>
      <c r="AT74" t="s">
        <v>207</v>
      </c>
      <c r="AU74" t="s">
        <v>1890</v>
      </c>
      <c r="AV74" t="s">
        <v>1891</v>
      </c>
      <c r="AW74" t="s">
        <v>1892</v>
      </c>
      <c r="AX74" t="s">
        <v>1893</v>
      </c>
      <c r="AY74" t="s">
        <v>1894</v>
      </c>
      <c r="AZ74" t="s">
        <v>1895</v>
      </c>
      <c r="BA74">
        <v>1</v>
      </c>
      <c r="BB74">
        <v>2294.81</v>
      </c>
      <c r="BC74">
        <v>6.66</v>
      </c>
      <c r="BD74">
        <v>1.01</v>
      </c>
      <c r="BE74">
        <v>1.1499999999999999</v>
      </c>
      <c r="BF74">
        <v>1.02</v>
      </c>
      <c r="BG74" t="s">
        <v>1896</v>
      </c>
      <c r="BH74" t="s">
        <v>579</v>
      </c>
      <c r="BI74" t="s">
        <v>1897</v>
      </c>
      <c r="BJ74" t="s">
        <v>101</v>
      </c>
      <c r="BK74" t="s">
        <v>1898</v>
      </c>
      <c r="BL74" t="s">
        <v>1899</v>
      </c>
      <c r="BM74" t="s">
        <v>1900</v>
      </c>
      <c r="BN74" t="s">
        <v>105</v>
      </c>
    </row>
    <row r="75" spans="1:66" x14ac:dyDescent="0.25">
      <c r="A75" t="str">
        <f>HYPERLINK("https://elite.finviz.com/quote.ashx?t=INTC&amp;ty=c&amp;p=d&amp;b=1", "INTC")</f>
        <v>INTC</v>
      </c>
      <c r="B75">
        <v>8</v>
      </c>
      <c r="C75">
        <v>162.22</v>
      </c>
      <c r="D75">
        <v>79.94</v>
      </c>
      <c r="E75" t="s">
        <v>1901</v>
      </c>
      <c r="F75" t="s">
        <v>319</v>
      </c>
      <c r="G75" t="s">
        <v>108</v>
      </c>
      <c r="H75" t="s">
        <v>1808</v>
      </c>
      <c r="I75" t="s">
        <v>70</v>
      </c>
      <c r="J75" t="s">
        <v>321</v>
      </c>
      <c r="K75">
        <v>163622.60999999999</v>
      </c>
      <c r="L75">
        <v>35.03</v>
      </c>
      <c r="M75" t="s">
        <v>1902</v>
      </c>
      <c r="N75">
        <v>114893474</v>
      </c>
      <c r="P75">
        <v>50.71</v>
      </c>
      <c r="R75">
        <v>3.08</v>
      </c>
      <c r="S75">
        <v>1.57</v>
      </c>
      <c r="T75" t="s">
        <v>211</v>
      </c>
      <c r="V75" t="s">
        <v>1903</v>
      </c>
      <c r="AA75">
        <v>-4.76</v>
      </c>
      <c r="AE75" t="s">
        <v>1904</v>
      </c>
      <c r="AF75" t="s">
        <v>1905</v>
      </c>
      <c r="AG75" t="s">
        <v>1200</v>
      </c>
      <c r="AH75" t="s">
        <v>1083</v>
      </c>
      <c r="AI75" t="s">
        <v>1906</v>
      </c>
      <c r="AJ75" t="s">
        <v>164</v>
      </c>
      <c r="AK75" t="s">
        <v>1907</v>
      </c>
      <c r="AL75">
        <v>1.24</v>
      </c>
      <c r="AM75">
        <v>0.92</v>
      </c>
      <c r="AN75">
        <v>0.52</v>
      </c>
      <c r="AO75" t="s">
        <v>1908</v>
      </c>
      <c r="AP75" t="s">
        <v>1571</v>
      </c>
      <c r="AQ75" t="s">
        <v>1909</v>
      </c>
      <c r="AR75" t="s">
        <v>1474</v>
      </c>
      <c r="AS75" t="s">
        <v>323</v>
      </c>
      <c r="AT75" t="s">
        <v>1910</v>
      </c>
      <c r="AU75" t="s">
        <v>1911</v>
      </c>
      <c r="AV75" t="s">
        <v>1912</v>
      </c>
      <c r="AW75" t="s">
        <v>679</v>
      </c>
      <c r="AX75" t="s">
        <v>1913</v>
      </c>
      <c r="AY75" t="s">
        <v>679</v>
      </c>
      <c r="AZ75" t="s">
        <v>1120</v>
      </c>
      <c r="BA75">
        <v>3.09</v>
      </c>
      <c r="BB75">
        <v>110566.53</v>
      </c>
      <c r="BC75">
        <v>3.66</v>
      </c>
      <c r="BD75">
        <v>33.99</v>
      </c>
      <c r="BE75">
        <v>35.590000000000003</v>
      </c>
      <c r="BF75">
        <v>34.5</v>
      </c>
      <c r="BG75" t="s">
        <v>1914</v>
      </c>
      <c r="BH75" t="s">
        <v>1915</v>
      </c>
      <c r="BI75" t="s">
        <v>1916</v>
      </c>
      <c r="BJ75" t="s">
        <v>101</v>
      </c>
      <c r="BK75" t="s">
        <v>1917</v>
      </c>
      <c r="BL75" t="s">
        <v>1918</v>
      </c>
      <c r="BM75" t="s">
        <v>1919</v>
      </c>
      <c r="BN75" t="s">
        <v>105</v>
      </c>
    </row>
    <row r="76" spans="1:66" x14ac:dyDescent="0.25">
      <c r="A76" t="str">
        <f>HYPERLINK("https://elite.finviz.com/quote.ashx?t=CIEN&amp;ty=c&amp;p=d&amp;b=1", "CIEN")</f>
        <v>CIEN</v>
      </c>
      <c r="B76">
        <v>8</v>
      </c>
      <c r="C76">
        <v>162.22</v>
      </c>
      <c r="D76">
        <v>80.27</v>
      </c>
      <c r="E76" t="s">
        <v>1920</v>
      </c>
      <c r="F76" t="s">
        <v>107</v>
      </c>
      <c r="G76" t="s">
        <v>108</v>
      </c>
      <c r="H76" t="s">
        <v>1921</v>
      </c>
      <c r="I76" t="s">
        <v>70</v>
      </c>
      <c r="J76" t="s">
        <v>71</v>
      </c>
      <c r="K76">
        <v>19840.93</v>
      </c>
      <c r="L76">
        <v>140.66</v>
      </c>
      <c r="M76" t="s">
        <v>387</v>
      </c>
      <c r="N76">
        <v>1272518</v>
      </c>
      <c r="O76">
        <v>145.28</v>
      </c>
      <c r="P76">
        <v>32.159999999999997</v>
      </c>
      <c r="Q76">
        <v>3.32</v>
      </c>
      <c r="R76">
        <v>4.37</v>
      </c>
      <c r="S76">
        <v>7.13</v>
      </c>
      <c r="Z76" t="s">
        <v>164</v>
      </c>
      <c r="AA76">
        <v>0.97</v>
      </c>
      <c r="AB76" t="s">
        <v>1922</v>
      </c>
      <c r="AC76" t="s">
        <v>1923</v>
      </c>
      <c r="AD76" t="s">
        <v>1924</v>
      </c>
      <c r="AE76" t="s">
        <v>1925</v>
      </c>
      <c r="AF76" t="s">
        <v>1926</v>
      </c>
      <c r="AG76" t="s">
        <v>352</v>
      </c>
      <c r="AH76" t="s">
        <v>1927</v>
      </c>
      <c r="AI76" t="s">
        <v>1928</v>
      </c>
      <c r="AJ76" t="s">
        <v>1929</v>
      </c>
      <c r="AK76" t="s">
        <v>1930</v>
      </c>
      <c r="AL76">
        <v>3.28</v>
      </c>
      <c r="AM76">
        <v>2.52</v>
      </c>
      <c r="AN76">
        <v>0.56999999999999995</v>
      </c>
      <c r="AO76" t="s">
        <v>1931</v>
      </c>
      <c r="AP76" t="s">
        <v>334</v>
      </c>
      <c r="AQ76" t="s">
        <v>1932</v>
      </c>
      <c r="AR76" t="s">
        <v>1933</v>
      </c>
      <c r="AS76" t="s">
        <v>1934</v>
      </c>
      <c r="AT76" t="s">
        <v>1935</v>
      </c>
      <c r="AU76" t="s">
        <v>1936</v>
      </c>
      <c r="AV76" t="s">
        <v>1937</v>
      </c>
      <c r="AW76" t="s">
        <v>1938</v>
      </c>
      <c r="AX76" t="s">
        <v>1939</v>
      </c>
      <c r="AY76" t="s">
        <v>1938</v>
      </c>
      <c r="AZ76" t="s">
        <v>1940</v>
      </c>
      <c r="BA76">
        <v>2.15</v>
      </c>
      <c r="BB76">
        <v>2361.88</v>
      </c>
      <c r="BC76">
        <v>1.9</v>
      </c>
      <c r="BD76">
        <v>137.16999999999999</v>
      </c>
      <c r="BE76">
        <v>140.77000000000001</v>
      </c>
      <c r="BF76">
        <v>138.12</v>
      </c>
      <c r="BG76" t="s">
        <v>1941</v>
      </c>
      <c r="BH76" t="s">
        <v>1942</v>
      </c>
      <c r="BI76" t="s">
        <v>1943</v>
      </c>
      <c r="BJ76" t="s">
        <v>101</v>
      </c>
      <c r="BK76" t="s">
        <v>1944</v>
      </c>
      <c r="BL76" t="s">
        <v>1945</v>
      </c>
      <c r="BM76" t="s">
        <v>1946</v>
      </c>
      <c r="BN76" t="s">
        <v>105</v>
      </c>
    </row>
    <row r="77" spans="1:66" x14ac:dyDescent="0.25">
      <c r="A77" t="str">
        <f>HYPERLINK("https://elite.finviz.com/quote.ashx?t=DFLI&amp;ty=c&amp;p=d&amp;b=1", "DFLI")</f>
        <v>DFLI</v>
      </c>
      <c r="B77">
        <v>8</v>
      </c>
      <c r="C77">
        <v>162.22</v>
      </c>
      <c r="D77">
        <v>80.599999999999994</v>
      </c>
      <c r="E77" t="s">
        <v>1947</v>
      </c>
      <c r="F77" t="s">
        <v>107</v>
      </c>
      <c r="G77" t="s">
        <v>260</v>
      </c>
      <c r="H77" t="s">
        <v>1128</v>
      </c>
      <c r="I77" t="s">
        <v>70</v>
      </c>
      <c r="J77" t="s">
        <v>321</v>
      </c>
      <c r="K77">
        <v>31.79</v>
      </c>
      <c r="L77">
        <v>0.51</v>
      </c>
      <c r="M77" t="s">
        <v>1948</v>
      </c>
      <c r="N77">
        <v>104141960</v>
      </c>
      <c r="R77">
        <v>0.57999999999999996</v>
      </c>
      <c r="AA77">
        <v>-3.87</v>
      </c>
      <c r="AD77" t="s">
        <v>1949</v>
      </c>
      <c r="AE77" t="s">
        <v>1950</v>
      </c>
      <c r="AF77" t="s">
        <v>1951</v>
      </c>
      <c r="AG77" t="s">
        <v>1952</v>
      </c>
      <c r="AH77" t="s">
        <v>1953</v>
      </c>
      <c r="AI77" t="s">
        <v>1954</v>
      </c>
      <c r="AJ77" t="s">
        <v>164</v>
      </c>
      <c r="AK77" t="s">
        <v>1955</v>
      </c>
      <c r="AL77">
        <v>1.37</v>
      </c>
      <c r="AM77">
        <v>0.43</v>
      </c>
      <c r="AO77" t="s">
        <v>1956</v>
      </c>
      <c r="AP77" t="s">
        <v>1957</v>
      </c>
      <c r="AQ77" t="s">
        <v>1958</v>
      </c>
      <c r="AR77" t="s">
        <v>1959</v>
      </c>
      <c r="AS77" t="s">
        <v>1960</v>
      </c>
      <c r="AT77" t="s">
        <v>1961</v>
      </c>
      <c r="AU77" t="s">
        <v>1962</v>
      </c>
      <c r="AV77" t="s">
        <v>1963</v>
      </c>
      <c r="AW77" t="s">
        <v>1964</v>
      </c>
      <c r="AX77" t="s">
        <v>1965</v>
      </c>
      <c r="AY77" t="s">
        <v>1966</v>
      </c>
      <c r="AZ77" t="s">
        <v>1967</v>
      </c>
      <c r="BA77">
        <v>1</v>
      </c>
      <c r="BB77">
        <v>24085.14</v>
      </c>
      <c r="BC77">
        <v>15.23</v>
      </c>
      <c r="BD77">
        <v>0.38</v>
      </c>
      <c r="BE77">
        <v>0.56000000000000005</v>
      </c>
      <c r="BF77">
        <v>0.38</v>
      </c>
      <c r="BG77" t="s">
        <v>1968</v>
      </c>
      <c r="BH77" t="s">
        <v>1969</v>
      </c>
      <c r="BI77" t="s">
        <v>1967</v>
      </c>
      <c r="BJ77" t="s">
        <v>101</v>
      </c>
      <c r="BK77" t="s">
        <v>1970</v>
      </c>
      <c r="BL77" t="s">
        <v>1971</v>
      </c>
      <c r="BM77" t="s">
        <v>1972</v>
      </c>
      <c r="BN77" t="s">
        <v>105</v>
      </c>
    </row>
    <row r="78" spans="1:66" x14ac:dyDescent="0.25">
      <c r="A78" s="2" t="str">
        <f>HYPERLINK("https://elite.finviz.com/quote.ashx?t=DVLT&amp;ty=c&amp;p=d&amp;b=1", "DVLT")</f>
        <v>DVLT</v>
      </c>
      <c r="B78">
        <v>8</v>
      </c>
      <c r="C78">
        <v>162.22</v>
      </c>
      <c r="D78">
        <v>80.8</v>
      </c>
      <c r="E78" t="s">
        <v>1973</v>
      </c>
      <c r="F78" t="s">
        <v>107</v>
      </c>
      <c r="G78" t="s">
        <v>108</v>
      </c>
      <c r="H78" t="s">
        <v>109</v>
      </c>
      <c r="I78" t="s">
        <v>70</v>
      </c>
      <c r="J78" t="s">
        <v>321</v>
      </c>
      <c r="K78">
        <v>223.39</v>
      </c>
      <c r="L78">
        <v>1.3</v>
      </c>
      <c r="M78" t="s">
        <v>1974</v>
      </c>
      <c r="N78">
        <v>182944774</v>
      </c>
      <c r="R78">
        <v>50.31</v>
      </c>
      <c r="S78">
        <v>1.52</v>
      </c>
      <c r="AA78">
        <v>-2.39</v>
      </c>
      <c r="AB78" t="s">
        <v>1975</v>
      </c>
      <c r="AC78" t="s">
        <v>1976</v>
      </c>
      <c r="AE78" t="s">
        <v>1977</v>
      </c>
      <c r="AF78" t="s">
        <v>1978</v>
      </c>
      <c r="AG78" t="s">
        <v>1491</v>
      </c>
      <c r="AH78" t="s">
        <v>1979</v>
      </c>
      <c r="AI78" t="s">
        <v>1980</v>
      </c>
      <c r="AJ78" t="s">
        <v>1554</v>
      </c>
      <c r="AK78" t="s">
        <v>1981</v>
      </c>
      <c r="AL78">
        <v>0.47</v>
      </c>
      <c r="AM78">
        <v>0.3</v>
      </c>
      <c r="AN78">
        <v>0.53</v>
      </c>
      <c r="AO78" t="s">
        <v>1982</v>
      </c>
      <c r="AP78" t="s">
        <v>1983</v>
      </c>
      <c r="AQ78" t="s">
        <v>1984</v>
      </c>
      <c r="AR78" t="s">
        <v>1985</v>
      </c>
      <c r="AS78" t="s">
        <v>1986</v>
      </c>
      <c r="AT78" t="s">
        <v>1987</v>
      </c>
      <c r="AU78" t="s">
        <v>1988</v>
      </c>
      <c r="AV78" t="s">
        <v>1989</v>
      </c>
      <c r="AW78" t="s">
        <v>1990</v>
      </c>
      <c r="AX78" t="s">
        <v>1991</v>
      </c>
      <c r="AY78" t="s">
        <v>1728</v>
      </c>
      <c r="AZ78" t="s">
        <v>1991</v>
      </c>
      <c r="BA78">
        <v>1</v>
      </c>
      <c r="BB78">
        <v>26789.05</v>
      </c>
      <c r="BC78">
        <v>24.06</v>
      </c>
      <c r="BD78">
        <v>0.83</v>
      </c>
      <c r="BE78">
        <v>1.34</v>
      </c>
      <c r="BF78">
        <v>1.1399999999999999</v>
      </c>
      <c r="BG78" t="s">
        <v>1992</v>
      </c>
      <c r="BH78" t="s">
        <v>579</v>
      </c>
      <c r="BI78" t="s">
        <v>1991</v>
      </c>
      <c r="BJ78" t="s">
        <v>101</v>
      </c>
      <c r="BK78" t="s">
        <v>1993</v>
      </c>
      <c r="BL78" t="s">
        <v>1994</v>
      </c>
      <c r="BM78" t="s">
        <v>1995</v>
      </c>
      <c r="BN78" t="s">
        <v>105</v>
      </c>
    </row>
    <row r="79" spans="1:66" x14ac:dyDescent="0.25">
      <c r="A79" t="str">
        <f>HYPERLINK("https://elite.finviz.com/quote.ashx?t=NUTR&amp;ty=c&amp;p=d&amp;b=1", "NUTR")</f>
        <v>NUTR</v>
      </c>
      <c r="B79">
        <v>8</v>
      </c>
      <c r="C79">
        <v>162.22</v>
      </c>
      <c r="D79">
        <v>84.82</v>
      </c>
      <c r="E79" t="s">
        <v>1996</v>
      </c>
      <c r="F79" t="s">
        <v>107</v>
      </c>
      <c r="G79" t="s">
        <v>813</v>
      </c>
      <c r="H79" t="s">
        <v>1997</v>
      </c>
      <c r="I79" t="s">
        <v>70</v>
      </c>
      <c r="J79" t="s">
        <v>321</v>
      </c>
      <c r="L79">
        <v>6.88</v>
      </c>
      <c r="M79" t="s">
        <v>1998</v>
      </c>
      <c r="N79">
        <v>1371243</v>
      </c>
      <c r="AR79" t="s">
        <v>1999</v>
      </c>
      <c r="AS79" t="s">
        <v>2000</v>
      </c>
      <c r="AT79" t="s">
        <v>2001</v>
      </c>
      <c r="AU79" t="s">
        <v>2002</v>
      </c>
      <c r="AV79" t="s">
        <v>2002</v>
      </c>
      <c r="AW79" t="s">
        <v>2003</v>
      </c>
      <c r="AX79" t="s">
        <v>2004</v>
      </c>
      <c r="AY79" t="s">
        <v>2003</v>
      </c>
      <c r="AZ79" t="s">
        <v>2004</v>
      </c>
      <c r="BB79">
        <v>1541.77</v>
      </c>
      <c r="BC79">
        <v>3.13</v>
      </c>
      <c r="BD79">
        <v>6.89</v>
      </c>
      <c r="BE79">
        <v>7</v>
      </c>
      <c r="BF79">
        <v>6.48</v>
      </c>
      <c r="BG79" t="s">
        <v>2005</v>
      </c>
      <c r="BH79" t="s">
        <v>2003</v>
      </c>
      <c r="BI79" t="s">
        <v>2004</v>
      </c>
      <c r="BJ79" t="s">
        <v>101</v>
      </c>
      <c r="BN79" t="s">
        <v>105</v>
      </c>
    </row>
    <row r="80" spans="1:66" x14ac:dyDescent="0.25">
      <c r="A80" t="str">
        <f>HYPERLINK("https://elite.finviz.com/quote.ashx?t=RGTI&amp;ty=c&amp;p=d&amp;b=1", "RGTI")</f>
        <v>RGTI</v>
      </c>
      <c r="B80">
        <v>8</v>
      </c>
      <c r="C80">
        <v>162.22</v>
      </c>
      <c r="D80">
        <v>86.47</v>
      </c>
      <c r="E80" t="s">
        <v>2006</v>
      </c>
      <c r="F80" t="s">
        <v>67</v>
      </c>
      <c r="G80" t="s">
        <v>108</v>
      </c>
      <c r="H80" t="s">
        <v>496</v>
      </c>
      <c r="I80" t="s">
        <v>70</v>
      </c>
      <c r="J80" t="s">
        <v>321</v>
      </c>
      <c r="K80">
        <v>10277.66</v>
      </c>
      <c r="L80">
        <v>31.7</v>
      </c>
      <c r="M80" t="s">
        <v>2007</v>
      </c>
      <c r="N80">
        <v>48931805</v>
      </c>
      <c r="R80">
        <v>1297.68</v>
      </c>
      <c r="S80">
        <v>18.55</v>
      </c>
      <c r="AA80">
        <v>-0.76</v>
      </c>
      <c r="AB80" t="s">
        <v>2008</v>
      </c>
      <c r="AD80" t="s">
        <v>1034</v>
      </c>
      <c r="AE80" t="s">
        <v>2009</v>
      </c>
      <c r="AF80" t="s">
        <v>2010</v>
      </c>
      <c r="AH80" t="s">
        <v>2011</v>
      </c>
      <c r="AI80" t="s">
        <v>2012</v>
      </c>
      <c r="AJ80" t="s">
        <v>2013</v>
      </c>
      <c r="AK80" t="s">
        <v>2014</v>
      </c>
      <c r="AL80">
        <v>41.57</v>
      </c>
      <c r="AM80">
        <v>41.57</v>
      </c>
      <c r="AN80">
        <v>0.01</v>
      </c>
      <c r="AO80" t="s">
        <v>2015</v>
      </c>
      <c r="AP80" t="s">
        <v>2016</v>
      </c>
      <c r="AQ80" t="s">
        <v>2017</v>
      </c>
      <c r="AR80" t="s">
        <v>2018</v>
      </c>
      <c r="AS80" t="s">
        <v>2019</v>
      </c>
      <c r="AT80" t="s">
        <v>2020</v>
      </c>
      <c r="AU80" t="s">
        <v>2021</v>
      </c>
      <c r="AV80" t="s">
        <v>2022</v>
      </c>
      <c r="AW80" t="s">
        <v>2023</v>
      </c>
      <c r="AX80" t="s">
        <v>2024</v>
      </c>
      <c r="AY80" t="s">
        <v>2023</v>
      </c>
      <c r="AZ80" t="s">
        <v>2025</v>
      </c>
      <c r="BA80">
        <v>1.1200000000000001</v>
      </c>
      <c r="BB80">
        <v>50657.75</v>
      </c>
      <c r="BC80">
        <v>3.4</v>
      </c>
      <c r="BD80">
        <v>32.1</v>
      </c>
      <c r="BE80">
        <v>33.979999999999997</v>
      </c>
      <c r="BF80">
        <v>31.26</v>
      </c>
      <c r="BG80" t="s">
        <v>2026</v>
      </c>
      <c r="BH80" t="s">
        <v>2023</v>
      </c>
      <c r="BI80" t="s">
        <v>2027</v>
      </c>
      <c r="BJ80" t="s">
        <v>101</v>
      </c>
      <c r="BK80" t="s">
        <v>2028</v>
      </c>
      <c r="BL80" t="s">
        <v>2029</v>
      </c>
      <c r="BM80" t="s">
        <v>2030</v>
      </c>
      <c r="BN80" t="s">
        <v>105</v>
      </c>
    </row>
    <row r="81" spans="1:66" x14ac:dyDescent="0.25">
      <c r="A81" t="str">
        <f>HYPERLINK("https://elite.finviz.com/quote.ashx?t=NUAI&amp;ty=c&amp;p=d&amp;b=1", "NUAI")</f>
        <v>NUAI</v>
      </c>
      <c r="B81">
        <v>8</v>
      </c>
      <c r="C81">
        <v>162.22</v>
      </c>
      <c r="D81">
        <v>91.97</v>
      </c>
      <c r="E81" t="s">
        <v>2031</v>
      </c>
      <c r="F81" t="s">
        <v>107</v>
      </c>
      <c r="G81" t="s">
        <v>108</v>
      </c>
      <c r="H81" t="s">
        <v>109</v>
      </c>
      <c r="I81" t="s">
        <v>70</v>
      </c>
      <c r="J81" t="s">
        <v>321</v>
      </c>
      <c r="K81">
        <v>62.84</v>
      </c>
      <c r="L81">
        <v>2.42</v>
      </c>
      <c r="M81" t="s">
        <v>2032</v>
      </c>
      <c r="N81">
        <v>87133568</v>
      </c>
      <c r="R81">
        <v>87.28</v>
      </c>
      <c r="AA81">
        <v>-1.36</v>
      </c>
      <c r="AB81" t="s">
        <v>2033</v>
      </c>
      <c r="AC81" t="s">
        <v>2034</v>
      </c>
      <c r="AJ81" t="s">
        <v>164</v>
      </c>
      <c r="AK81" t="s">
        <v>2035</v>
      </c>
      <c r="AL81">
        <v>0.71</v>
      </c>
      <c r="AM81">
        <v>0.71</v>
      </c>
      <c r="AO81" t="s">
        <v>2036</v>
      </c>
      <c r="AP81" t="s">
        <v>2037</v>
      </c>
      <c r="AQ81" t="s">
        <v>2038</v>
      </c>
      <c r="AR81" t="s">
        <v>2039</v>
      </c>
      <c r="AS81" t="s">
        <v>2040</v>
      </c>
      <c r="AT81" t="s">
        <v>2041</v>
      </c>
      <c r="AU81" t="s">
        <v>2042</v>
      </c>
      <c r="AV81" t="s">
        <v>532</v>
      </c>
      <c r="AW81" t="s">
        <v>2043</v>
      </c>
      <c r="AX81" t="s">
        <v>2044</v>
      </c>
      <c r="AY81" t="s">
        <v>2045</v>
      </c>
      <c r="AZ81" t="s">
        <v>2044</v>
      </c>
      <c r="BB81">
        <v>11125.12</v>
      </c>
      <c r="BC81">
        <v>27.59</v>
      </c>
      <c r="BD81">
        <v>1.38</v>
      </c>
      <c r="BE81">
        <v>2.4300000000000002</v>
      </c>
      <c r="BF81">
        <v>1.63</v>
      </c>
      <c r="BG81" t="s">
        <v>2046</v>
      </c>
      <c r="BH81" t="s">
        <v>2045</v>
      </c>
      <c r="BI81" t="s">
        <v>2044</v>
      </c>
      <c r="BJ81" t="s">
        <v>101</v>
      </c>
      <c r="BK81" t="s">
        <v>2047</v>
      </c>
      <c r="BL81" t="s">
        <v>2048</v>
      </c>
      <c r="BM81" t="s">
        <v>2049</v>
      </c>
      <c r="BN81" t="s">
        <v>105</v>
      </c>
    </row>
    <row r="82" spans="1:66" x14ac:dyDescent="0.25">
      <c r="A82" t="str">
        <f>HYPERLINK("https://elite.finviz.com/quote.ashx?t=BBNX&amp;ty=c&amp;p=d&amp;b=1", "BBNX")</f>
        <v>BBNX</v>
      </c>
      <c r="B82">
        <v>7</v>
      </c>
      <c r="C82">
        <v>149.72999999999999</v>
      </c>
      <c r="D82">
        <v>42.44</v>
      </c>
      <c r="E82" t="s">
        <v>2050</v>
      </c>
      <c r="F82" t="s">
        <v>67</v>
      </c>
      <c r="G82" t="s">
        <v>428</v>
      </c>
      <c r="H82" t="s">
        <v>2051</v>
      </c>
      <c r="I82" t="s">
        <v>70</v>
      </c>
      <c r="J82" t="s">
        <v>321</v>
      </c>
      <c r="K82">
        <v>857.23</v>
      </c>
      <c r="L82">
        <v>19.72</v>
      </c>
      <c r="M82" t="s">
        <v>2052</v>
      </c>
      <c r="N82">
        <v>491330</v>
      </c>
      <c r="R82">
        <v>10.99</v>
      </c>
      <c r="S82">
        <v>2.84</v>
      </c>
      <c r="AA82">
        <v>-1.69</v>
      </c>
      <c r="AB82" t="s">
        <v>2053</v>
      </c>
      <c r="AD82" t="s">
        <v>2054</v>
      </c>
      <c r="AE82" t="s">
        <v>2055</v>
      </c>
      <c r="AF82" t="s">
        <v>2056</v>
      </c>
      <c r="AH82" t="s">
        <v>2057</v>
      </c>
      <c r="AI82" t="s">
        <v>2058</v>
      </c>
      <c r="AJ82" t="s">
        <v>2059</v>
      </c>
      <c r="AK82" t="s">
        <v>2060</v>
      </c>
      <c r="AL82">
        <v>14.68</v>
      </c>
      <c r="AM82">
        <v>13.79</v>
      </c>
      <c r="AN82">
        <v>0.02</v>
      </c>
      <c r="AO82" t="s">
        <v>2061</v>
      </c>
      <c r="AP82" t="s">
        <v>2062</v>
      </c>
      <c r="AQ82" t="s">
        <v>2063</v>
      </c>
      <c r="AR82" t="s">
        <v>2064</v>
      </c>
      <c r="AS82" t="s">
        <v>2065</v>
      </c>
      <c r="AT82" t="s">
        <v>126</v>
      </c>
      <c r="AU82" t="s">
        <v>2066</v>
      </c>
      <c r="AV82" t="s">
        <v>2067</v>
      </c>
      <c r="AW82" t="s">
        <v>2068</v>
      </c>
      <c r="AX82" t="s">
        <v>2069</v>
      </c>
      <c r="AY82" t="s">
        <v>2068</v>
      </c>
      <c r="AZ82" t="s">
        <v>2070</v>
      </c>
      <c r="BA82">
        <v>1.44</v>
      </c>
      <c r="BB82">
        <v>752.46</v>
      </c>
      <c r="BC82">
        <v>2.2999999999999998</v>
      </c>
      <c r="BD82">
        <v>22.13</v>
      </c>
      <c r="BE82">
        <v>22.09</v>
      </c>
      <c r="BF82">
        <v>19.55</v>
      </c>
      <c r="BG82" t="s">
        <v>2071</v>
      </c>
      <c r="BH82" t="s">
        <v>2068</v>
      </c>
      <c r="BI82" t="s">
        <v>2070</v>
      </c>
      <c r="BJ82" t="s">
        <v>101</v>
      </c>
      <c r="BK82" t="s">
        <v>252</v>
      </c>
      <c r="BL82" t="s">
        <v>2072</v>
      </c>
      <c r="BN82" t="s">
        <v>2073</v>
      </c>
    </row>
    <row r="83" spans="1:66" x14ac:dyDescent="0.25">
      <c r="A83" t="str">
        <f>HYPERLINK("https://elite.finviz.com/quote.ashx?t=POAI&amp;ty=c&amp;p=d&amp;b=1", "POAI")</f>
        <v>POAI</v>
      </c>
      <c r="B83">
        <v>7</v>
      </c>
      <c r="C83">
        <v>149.72999999999999</v>
      </c>
      <c r="D83">
        <v>44.74</v>
      </c>
      <c r="E83" t="s">
        <v>2074</v>
      </c>
      <c r="F83" t="s">
        <v>107</v>
      </c>
      <c r="G83" t="s">
        <v>428</v>
      </c>
      <c r="H83" t="s">
        <v>2075</v>
      </c>
      <c r="I83" t="s">
        <v>70</v>
      </c>
      <c r="J83" t="s">
        <v>321</v>
      </c>
      <c r="K83">
        <v>9.86</v>
      </c>
      <c r="L83">
        <v>0.91</v>
      </c>
      <c r="M83" t="s">
        <v>2076</v>
      </c>
      <c r="N83">
        <v>221092</v>
      </c>
      <c r="R83">
        <v>9.2100000000000009</v>
      </c>
      <c r="AA83">
        <v>-1.4</v>
      </c>
      <c r="AB83" t="s">
        <v>2077</v>
      </c>
      <c r="AC83" t="s">
        <v>2078</v>
      </c>
      <c r="AE83" t="s">
        <v>2079</v>
      </c>
      <c r="AF83" t="s">
        <v>371</v>
      </c>
      <c r="AG83" t="s">
        <v>2080</v>
      </c>
      <c r="AH83" t="s">
        <v>2081</v>
      </c>
      <c r="AJ83" t="s">
        <v>164</v>
      </c>
      <c r="AK83" t="s">
        <v>2082</v>
      </c>
      <c r="AL83">
        <v>0.32</v>
      </c>
      <c r="AM83">
        <v>0.31</v>
      </c>
      <c r="AO83" t="s">
        <v>981</v>
      </c>
      <c r="AP83" t="s">
        <v>2083</v>
      </c>
      <c r="AQ83" t="s">
        <v>2084</v>
      </c>
      <c r="AR83" t="s">
        <v>1784</v>
      </c>
      <c r="AS83" t="s">
        <v>2085</v>
      </c>
      <c r="AT83" t="s">
        <v>2086</v>
      </c>
      <c r="AU83" t="s">
        <v>2087</v>
      </c>
      <c r="AV83" t="s">
        <v>2088</v>
      </c>
      <c r="AW83" t="s">
        <v>2089</v>
      </c>
      <c r="AX83" t="s">
        <v>2090</v>
      </c>
      <c r="AY83" t="s">
        <v>2091</v>
      </c>
      <c r="AZ83" t="s">
        <v>1435</v>
      </c>
      <c r="BA83">
        <v>3</v>
      </c>
      <c r="BB83">
        <v>196.58</v>
      </c>
      <c r="BC83">
        <v>3.96</v>
      </c>
      <c r="BD83">
        <v>0.95</v>
      </c>
      <c r="BE83">
        <v>1.02</v>
      </c>
      <c r="BF83">
        <v>0.9</v>
      </c>
      <c r="BG83" t="s">
        <v>2092</v>
      </c>
      <c r="BH83" t="s">
        <v>579</v>
      </c>
      <c r="BI83" t="s">
        <v>1435</v>
      </c>
      <c r="BJ83" t="s">
        <v>101</v>
      </c>
      <c r="BK83" t="s">
        <v>2093</v>
      </c>
      <c r="BL83" t="s">
        <v>2094</v>
      </c>
      <c r="BM83" t="s">
        <v>2095</v>
      </c>
      <c r="BN83" t="s">
        <v>2073</v>
      </c>
    </row>
    <row r="84" spans="1:66" x14ac:dyDescent="0.25">
      <c r="A84" s="2" t="str">
        <f>HYPERLINK("https://elite.finviz.com/quote.ashx?t=COHU&amp;ty=c&amp;p=d&amp;b=1", "COHU")</f>
        <v>COHU</v>
      </c>
      <c r="B84">
        <v>7</v>
      </c>
      <c r="C84">
        <v>149.72999999999999</v>
      </c>
      <c r="D84">
        <v>45.14</v>
      </c>
      <c r="E84" t="s">
        <v>2096</v>
      </c>
      <c r="F84" t="s">
        <v>67</v>
      </c>
      <c r="G84" t="s">
        <v>108</v>
      </c>
      <c r="H84" t="s">
        <v>2097</v>
      </c>
      <c r="I84" t="s">
        <v>70</v>
      </c>
      <c r="J84" t="s">
        <v>321</v>
      </c>
      <c r="K84">
        <v>942.97</v>
      </c>
      <c r="L84">
        <v>20.2</v>
      </c>
      <c r="M84" t="s">
        <v>183</v>
      </c>
      <c r="N84">
        <v>140315</v>
      </c>
      <c r="P84">
        <v>33</v>
      </c>
      <c r="R84">
        <v>2.39</v>
      </c>
      <c r="S84">
        <v>1.21</v>
      </c>
      <c r="V84" t="s">
        <v>2098</v>
      </c>
      <c r="AA84">
        <v>-1.86</v>
      </c>
      <c r="AC84" t="s">
        <v>1560</v>
      </c>
      <c r="AE84" t="s">
        <v>2099</v>
      </c>
      <c r="AF84" t="s">
        <v>2100</v>
      </c>
      <c r="AG84" t="s">
        <v>2101</v>
      </c>
      <c r="AH84" t="s">
        <v>205</v>
      </c>
      <c r="AI84" t="s">
        <v>2102</v>
      </c>
      <c r="AJ84" t="s">
        <v>2103</v>
      </c>
      <c r="AK84" t="s">
        <v>2104</v>
      </c>
      <c r="AL84">
        <v>4.88</v>
      </c>
      <c r="AM84">
        <v>3.51</v>
      </c>
      <c r="AN84">
        <v>7.0000000000000007E-2</v>
      </c>
      <c r="AO84" t="s">
        <v>1936</v>
      </c>
      <c r="AP84" t="s">
        <v>2105</v>
      </c>
      <c r="AQ84" t="s">
        <v>2106</v>
      </c>
      <c r="AR84" t="s">
        <v>2107</v>
      </c>
      <c r="AS84" t="s">
        <v>2108</v>
      </c>
      <c r="AT84" t="s">
        <v>2109</v>
      </c>
      <c r="AU84" t="s">
        <v>211</v>
      </c>
      <c r="AV84" t="s">
        <v>908</v>
      </c>
      <c r="AW84" t="s">
        <v>2110</v>
      </c>
      <c r="AX84" t="s">
        <v>2111</v>
      </c>
      <c r="AY84" t="s">
        <v>2112</v>
      </c>
      <c r="AZ84" t="s">
        <v>2113</v>
      </c>
      <c r="BA84">
        <v>1.4</v>
      </c>
      <c r="BB84">
        <v>496.94</v>
      </c>
      <c r="BC84">
        <v>0.99</v>
      </c>
      <c r="BD84">
        <v>20.170000000000002</v>
      </c>
      <c r="BE84">
        <v>20.38</v>
      </c>
      <c r="BF84">
        <v>20.07</v>
      </c>
      <c r="BG84" t="s">
        <v>2114</v>
      </c>
      <c r="BH84" t="s">
        <v>2115</v>
      </c>
      <c r="BI84" t="s">
        <v>2116</v>
      </c>
      <c r="BJ84" t="s">
        <v>101</v>
      </c>
      <c r="BK84" t="s">
        <v>1302</v>
      </c>
      <c r="BL84" t="s">
        <v>2117</v>
      </c>
      <c r="BM84" t="s">
        <v>2118</v>
      </c>
      <c r="BN84" t="s">
        <v>2073</v>
      </c>
    </row>
    <row r="85" spans="1:66" x14ac:dyDescent="0.25">
      <c r="A85" t="str">
        <f>HYPERLINK("https://elite.finviz.com/quote.ashx?t=DMYY&amp;ty=c&amp;p=d&amp;b=1", "DMYY")</f>
        <v>DMYY</v>
      </c>
      <c r="B85">
        <v>7</v>
      </c>
      <c r="C85">
        <v>149.72999999999999</v>
      </c>
      <c r="D85">
        <v>48.14</v>
      </c>
      <c r="E85" t="s">
        <v>2119</v>
      </c>
      <c r="F85" t="s">
        <v>107</v>
      </c>
      <c r="G85" t="s">
        <v>550</v>
      </c>
      <c r="H85" t="s">
        <v>2120</v>
      </c>
      <c r="I85" t="s">
        <v>70</v>
      </c>
      <c r="J85" t="s">
        <v>383</v>
      </c>
      <c r="K85">
        <v>51.01</v>
      </c>
      <c r="L85">
        <v>13.02</v>
      </c>
      <c r="M85" t="s">
        <v>1358</v>
      </c>
      <c r="N85">
        <v>56338</v>
      </c>
      <c r="S85">
        <v>7</v>
      </c>
      <c r="AA85">
        <v>-2.87</v>
      </c>
      <c r="AB85" t="s">
        <v>2121</v>
      </c>
      <c r="AJ85" t="s">
        <v>164</v>
      </c>
      <c r="AK85" t="s">
        <v>2122</v>
      </c>
      <c r="AL85">
        <v>0.04</v>
      </c>
      <c r="AM85">
        <v>0.04</v>
      </c>
      <c r="AN85">
        <v>0.26</v>
      </c>
      <c r="AR85" t="s">
        <v>2123</v>
      </c>
      <c r="AS85" t="s">
        <v>2124</v>
      </c>
      <c r="AT85" t="s">
        <v>1510</v>
      </c>
      <c r="AU85" t="s">
        <v>2125</v>
      </c>
      <c r="AV85" t="s">
        <v>1767</v>
      </c>
      <c r="AW85" t="s">
        <v>2126</v>
      </c>
      <c r="AX85" t="s">
        <v>2127</v>
      </c>
      <c r="AY85" t="s">
        <v>2128</v>
      </c>
      <c r="AZ85" t="s">
        <v>2129</v>
      </c>
      <c r="BB85">
        <v>80.849999999999994</v>
      </c>
      <c r="BC85">
        <v>2.48</v>
      </c>
      <c r="BD85">
        <v>13.08</v>
      </c>
      <c r="BE85">
        <v>13.18</v>
      </c>
      <c r="BF85">
        <v>13.01</v>
      </c>
      <c r="BG85" t="s">
        <v>2130</v>
      </c>
      <c r="BH85" t="s">
        <v>2128</v>
      </c>
      <c r="BI85" t="s">
        <v>2131</v>
      </c>
      <c r="BJ85" t="s">
        <v>101</v>
      </c>
      <c r="BK85" t="s">
        <v>2132</v>
      </c>
      <c r="BL85" t="s">
        <v>2133</v>
      </c>
      <c r="BM85" t="s">
        <v>2134</v>
      </c>
      <c r="BN85" t="s">
        <v>2073</v>
      </c>
    </row>
    <row r="86" spans="1:66" x14ac:dyDescent="0.25">
      <c r="A86" t="str">
        <f>HYPERLINK("https://elite.finviz.com/quote.ashx?t=NXXT&amp;ty=c&amp;p=d&amp;b=1", "NXXT")</f>
        <v>NXXT</v>
      </c>
      <c r="B86">
        <v>7</v>
      </c>
      <c r="C86">
        <v>149.72999999999999</v>
      </c>
      <c r="D86">
        <v>48.81</v>
      </c>
      <c r="E86" t="s">
        <v>2135</v>
      </c>
      <c r="F86" t="s">
        <v>67</v>
      </c>
      <c r="G86" t="s">
        <v>287</v>
      </c>
      <c r="H86" t="s">
        <v>288</v>
      </c>
      <c r="I86" t="s">
        <v>70</v>
      </c>
      <c r="J86" t="s">
        <v>321</v>
      </c>
      <c r="K86">
        <v>218.5</v>
      </c>
      <c r="L86">
        <v>1.74</v>
      </c>
      <c r="M86" t="s">
        <v>2136</v>
      </c>
      <c r="N86">
        <v>297661</v>
      </c>
      <c r="R86">
        <v>4.3899999999999997</v>
      </c>
      <c r="AA86">
        <v>-4.2699999999999996</v>
      </c>
      <c r="AB86" t="s">
        <v>2137</v>
      </c>
      <c r="AC86" t="s">
        <v>2138</v>
      </c>
      <c r="AD86" t="s">
        <v>2139</v>
      </c>
      <c r="AE86" t="s">
        <v>2140</v>
      </c>
      <c r="AF86" t="s">
        <v>2141</v>
      </c>
      <c r="AG86" t="s">
        <v>2142</v>
      </c>
      <c r="AH86" t="s">
        <v>2143</v>
      </c>
      <c r="AJ86" t="s">
        <v>2144</v>
      </c>
      <c r="AK86" t="s">
        <v>2145</v>
      </c>
      <c r="AL86">
        <v>0.22</v>
      </c>
      <c r="AM86">
        <v>0.21</v>
      </c>
      <c r="AO86" t="s">
        <v>2146</v>
      </c>
      <c r="AP86" t="s">
        <v>2147</v>
      </c>
      <c r="AQ86" t="s">
        <v>2148</v>
      </c>
      <c r="AR86" t="s">
        <v>816</v>
      </c>
      <c r="AS86" t="s">
        <v>794</v>
      </c>
      <c r="AT86" t="s">
        <v>2149</v>
      </c>
      <c r="AU86" t="s">
        <v>2150</v>
      </c>
      <c r="AV86" t="s">
        <v>2151</v>
      </c>
      <c r="AW86" t="s">
        <v>2152</v>
      </c>
      <c r="AX86" t="s">
        <v>2153</v>
      </c>
      <c r="AY86" t="s">
        <v>2154</v>
      </c>
      <c r="AZ86" t="s">
        <v>2153</v>
      </c>
      <c r="BA86">
        <v>1</v>
      </c>
      <c r="BB86">
        <v>417.84</v>
      </c>
      <c r="BC86">
        <v>2.5099999999999998</v>
      </c>
      <c r="BD86">
        <v>1.8</v>
      </c>
      <c r="BE86">
        <v>1.85</v>
      </c>
      <c r="BF86">
        <v>1.73</v>
      </c>
      <c r="BG86" t="s">
        <v>2155</v>
      </c>
      <c r="BH86" t="s">
        <v>2156</v>
      </c>
      <c r="BI86" t="s">
        <v>2153</v>
      </c>
      <c r="BJ86" t="s">
        <v>101</v>
      </c>
      <c r="BK86" t="s">
        <v>2157</v>
      </c>
      <c r="BL86" t="s">
        <v>2158</v>
      </c>
      <c r="BM86" t="s">
        <v>2159</v>
      </c>
      <c r="BN86" t="s">
        <v>2073</v>
      </c>
    </row>
    <row r="87" spans="1:66" x14ac:dyDescent="0.25">
      <c r="A87" t="str">
        <f>HYPERLINK("https://elite.finviz.com/quote.ashx?t=LUCY&amp;ty=c&amp;p=d&amp;b=1", "LUCY")</f>
        <v>LUCY</v>
      </c>
      <c r="B87">
        <v>7</v>
      </c>
      <c r="C87">
        <v>149.72999999999999</v>
      </c>
      <c r="D87">
        <v>49.41</v>
      </c>
      <c r="E87" t="s">
        <v>2160</v>
      </c>
      <c r="F87" t="s">
        <v>107</v>
      </c>
      <c r="G87" t="s">
        <v>428</v>
      </c>
      <c r="H87" t="s">
        <v>2161</v>
      </c>
      <c r="I87" t="s">
        <v>70</v>
      </c>
      <c r="J87" t="s">
        <v>321</v>
      </c>
      <c r="K87">
        <v>9.01</v>
      </c>
      <c r="L87">
        <v>1.97</v>
      </c>
      <c r="M87" t="s">
        <v>2162</v>
      </c>
      <c r="N87">
        <v>146255</v>
      </c>
      <c r="R87">
        <v>4.55</v>
      </c>
      <c r="S87">
        <v>0.8</v>
      </c>
      <c r="AA87">
        <v>-3.24</v>
      </c>
      <c r="AB87" t="s">
        <v>2163</v>
      </c>
      <c r="AC87" t="s">
        <v>2164</v>
      </c>
      <c r="AE87" t="s">
        <v>2165</v>
      </c>
      <c r="AF87" t="s">
        <v>2166</v>
      </c>
      <c r="AG87" t="s">
        <v>2167</v>
      </c>
      <c r="AH87" t="s">
        <v>2168</v>
      </c>
      <c r="AI87" t="s">
        <v>2169</v>
      </c>
      <c r="AJ87" t="s">
        <v>164</v>
      </c>
      <c r="AK87" t="s">
        <v>2170</v>
      </c>
      <c r="AL87">
        <v>18.7</v>
      </c>
      <c r="AM87">
        <v>15.46</v>
      </c>
      <c r="AN87">
        <v>0.01</v>
      </c>
      <c r="AO87" t="s">
        <v>2171</v>
      </c>
      <c r="AP87" t="s">
        <v>2172</v>
      </c>
      <c r="AQ87" t="s">
        <v>2173</v>
      </c>
      <c r="AR87" t="s">
        <v>466</v>
      </c>
      <c r="AS87" t="s">
        <v>2174</v>
      </c>
      <c r="AT87" t="s">
        <v>2175</v>
      </c>
      <c r="AU87" t="s">
        <v>2176</v>
      </c>
      <c r="AV87" t="s">
        <v>2177</v>
      </c>
      <c r="AW87" t="s">
        <v>2178</v>
      </c>
      <c r="AX87" t="s">
        <v>663</v>
      </c>
      <c r="AY87" t="s">
        <v>2179</v>
      </c>
      <c r="AZ87" t="s">
        <v>1371</v>
      </c>
      <c r="BA87">
        <v>1</v>
      </c>
      <c r="BB87">
        <v>359.63</v>
      </c>
      <c r="BC87">
        <v>1.43</v>
      </c>
      <c r="BD87">
        <v>2.0499999999999998</v>
      </c>
      <c r="BE87">
        <v>2.09</v>
      </c>
      <c r="BF87">
        <v>1.97</v>
      </c>
      <c r="BG87" t="s">
        <v>2180</v>
      </c>
      <c r="BH87" t="s">
        <v>2181</v>
      </c>
      <c r="BI87" t="s">
        <v>1371</v>
      </c>
      <c r="BJ87" t="s">
        <v>101</v>
      </c>
      <c r="BK87" t="s">
        <v>1052</v>
      </c>
      <c r="BL87" t="s">
        <v>2182</v>
      </c>
      <c r="BM87" t="s">
        <v>2183</v>
      </c>
      <c r="BN87" t="s">
        <v>2073</v>
      </c>
    </row>
    <row r="88" spans="1:66" x14ac:dyDescent="0.25">
      <c r="A88" t="str">
        <f>HYPERLINK("https://elite.finviz.com/quote.ashx?t=SF&amp;ty=c&amp;p=d&amp;b=1", "SF")</f>
        <v>SF</v>
      </c>
      <c r="B88">
        <v>7</v>
      </c>
      <c r="C88">
        <v>149.72999999999999</v>
      </c>
      <c r="D88">
        <v>49.59</v>
      </c>
      <c r="E88" t="s">
        <v>2184</v>
      </c>
      <c r="F88" t="s">
        <v>107</v>
      </c>
      <c r="G88" t="s">
        <v>550</v>
      </c>
      <c r="H88" t="s">
        <v>551</v>
      </c>
      <c r="I88" t="s">
        <v>70</v>
      </c>
      <c r="J88" t="s">
        <v>71</v>
      </c>
      <c r="K88">
        <v>11588</v>
      </c>
      <c r="L88">
        <v>113.42</v>
      </c>
      <c r="M88" t="s">
        <v>2185</v>
      </c>
      <c r="N88">
        <v>187762</v>
      </c>
      <c r="O88">
        <v>21.93</v>
      </c>
      <c r="P88">
        <v>12.11</v>
      </c>
      <c r="Q88">
        <v>1.45</v>
      </c>
      <c r="R88">
        <v>1.92</v>
      </c>
      <c r="S88">
        <v>2.36</v>
      </c>
      <c r="T88" t="s">
        <v>2186</v>
      </c>
      <c r="U88">
        <v>1.8</v>
      </c>
      <c r="V88" t="s">
        <v>2187</v>
      </c>
      <c r="W88" t="s">
        <v>1001</v>
      </c>
      <c r="X88" t="s">
        <v>2188</v>
      </c>
      <c r="Z88" t="s">
        <v>2189</v>
      </c>
      <c r="AA88">
        <v>5.17</v>
      </c>
      <c r="AB88" t="s">
        <v>2190</v>
      </c>
      <c r="AC88" t="s">
        <v>2191</v>
      </c>
      <c r="AD88" t="s">
        <v>1629</v>
      </c>
      <c r="AE88" t="s">
        <v>2192</v>
      </c>
      <c r="AF88" t="s">
        <v>2193</v>
      </c>
      <c r="AG88" t="s">
        <v>2194</v>
      </c>
      <c r="AH88" t="s">
        <v>2195</v>
      </c>
      <c r="AI88" t="s">
        <v>2196</v>
      </c>
      <c r="AJ88" t="s">
        <v>2197</v>
      </c>
      <c r="AK88" t="s">
        <v>2198</v>
      </c>
      <c r="AL88">
        <v>1.36</v>
      </c>
      <c r="AM88">
        <v>1.36</v>
      </c>
      <c r="AN88">
        <v>0.41</v>
      </c>
      <c r="AO88" t="s">
        <v>2199</v>
      </c>
      <c r="AP88" t="s">
        <v>913</v>
      </c>
      <c r="AQ88" t="s">
        <v>2200</v>
      </c>
      <c r="AR88" t="s">
        <v>2201</v>
      </c>
      <c r="AS88" t="s">
        <v>2202</v>
      </c>
      <c r="AT88" t="s">
        <v>2203</v>
      </c>
      <c r="AU88" t="s">
        <v>1083</v>
      </c>
      <c r="AV88" t="s">
        <v>684</v>
      </c>
      <c r="AW88" t="s">
        <v>2204</v>
      </c>
      <c r="AX88" t="s">
        <v>2205</v>
      </c>
      <c r="AY88" t="s">
        <v>2206</v>
      </c>
      <c r="AZ88" t="s">
        <v>2207</v>
      </c>
      <c r="BA88">
        <v>2.14</v>
      </c>
      <c r="BB88">
        <v>743.74</v>
      </c>
      <c r="BC88">
        <v>0.89</v>
      </c>
      <c r="BD88">
        <v>111.92</v>
      </c>
      <c r="BE88">
        <v>115.15</v>
      </c>
      <c r="BF88">
        <v>112.4</v>
      </c>
      <c r="BG88" t="s">
        <v>2208</v>
      </c>
      <c r="BH88" t="s">
        <v>2206</v>
      </c>
      <c r="BI88" t="s">
        <v>2209</v>
      </c>
      <c r="BJ88" t="s">
        <v>101</v>
      </c>
      <c r="BK88" t="s">
        <v>2210</v>
      </c>
      <c r="BL88" t="s">
        <v>2211</v>
      </c>
      <c r="BM88" t="s">
        <v>1255</v>
      </c>
      <c r="BN88" t="s">
        <v>2073</v>
      </c>
    </row>
    <row r="89" spans="1:66" x14ac:dyDescent="0.25">
      <c r="A89" t="str">
        <f>HYPERLINK("https://elite.finviz.com/quote.ashx?t=NOEM&amp;ty=c&amp;p=d&amp;b=1", "NOEM")</f>
        <v>NOEM</v>
      </c>
      <c r="B89">
        <v>7</v>
      </c>
      <c r="C89">
        <v>149.72999999999999</v>
      </c>
      <c r="D89">
        <v>50.38</v>
      </c>
      <c r="E89" t="s">
        <v>2212</v>
      </c>
      <c r="F89" t="s">
        <v>107</v>
      </c>
      <c r="G89" t="s">
        <v>550</v>
      </c>
      <c r="H89" t="s">
        <v>2120</v>
      </c>
      <c r="I89" t="s">
        <v>70</v>
      </c>
      <c r="J89" t="s">
        <v>321</v>
      </c>
      <c r="K89">
        <v>97.34</v>
      </c>
      <c r="L89">
        <v>10.15</v>
      </c>
      <c r="M89" t="s">
        <v>2213</v>
      </c>
      <c r="N89">
        <v>45243</v>
      </c>
      <c r="O89">
        <v>112.53</v>
      </c>
      <c r="S89">
        <v>1.41</v>
      </c>
      <c r="AA89">
        <v>0.09</v>
      </c>
      <c r="AJ89" t="s">
        <v>164</v>
      </c>
      <c r="AK89" t="s">
        <v>2214</v>
      </c>
      <c r="AL89">
        <v>1.29</v>
      </c>
      <c r="AM89">
        <v>1.29</v>
      </c>
      <c r="AN89">
        <v>0</v>
      </c>
      <c r="AR89" t="s">
        <v>164</v>
      </c>
      <c r="AS89" t="s">
        <v>2215</v>
      </c>
      <c r="AT89" t="s">
        <v>171</v>
      </c>
      <c r="AU89" t="s">
        <v>2216</v>
      </c>
      <c r="AV89" t="s">
        <v>2217</v>
      </c>
      <c r="AW89" t="s">
        <v>2218</v>
      </c>
      <c r="AX89" t="s">
        <v>2219</v>
      </c>
      <c r="AY89" t="s">
        <v>2220</v>
      </c>
      <c r="AZ89" t="s">
        <v>2108</v>
      </c>
      <c r="BB89">
        <v>6.09</v>
      </c>
      <c r="BC89">
        <v>26.41</v>
      </c>
      <c r="BD89">
        <v>10.17</v>
      </c>
      <c r="BE89">
        <v>10.17</v>
      </c>
      <c r="BF89">
        <v>10.15</v>
      </c>
      <c r="BG89" t="s">
        <v>2221</v>
      </c>
      <c r="BH89" t="s">
        <v>2220</v>
      </c>
      <c r="BI89" t="s">
        <v>2108</v>
      </c>
      <c r="BJ89" t="s">
        <v>101</v>
      </c>
      <c r="BK89" t="s">
        <v>908</v>
      </c>
      <c r="BN89" t="s">
        <v>2073</v>
      </c>
    </row>
    <row r="90" spans="1:66" x14ac:dyDescent="0.25">
      <c r="A90" t="str">
        <f>HYPERLINK("https://elite.finviz.com/quote.ashx?t=GIFI&amp;ty=c&amp;p=d&amp;b=1", "GIFI")</f>
        <v>GIFI</v>
      </c>
      <c r="B90">
        <v>7</v>
      </c>
      <c r="C90">
        <v>149.72999999999999</v>
      </c>
      <c r="D90">
        <v>50.4</v>
      </c>
      <c r="E90" t="s">
        <v>2222</v>
      </c>
      <c r="F90" t="s">
        <v>107</v>
      </c>
      <c r="G90" t="s">
        <v>260</v>
      </c>
      <c r="H90" t="s">
        <v>2223</v>
      </c>
      <c r="I90" t="s">
        <v>70</v>
      </c>
      <c r="J90" t="s">
        <v>321</v>
      </c>
      <c r="K90">
        <v>113.84</v>
      </c>
      <c r="L90">
        <v>7.1</v>
      </c>
      <c r="M90" t="s">
        <v>1279</v>
      </c>
      <c r="N90">
        <v>5391</v>
      </c>
      <c r="O90">
        <v>12.04</v>
      </c>
      <c r="P90">
        <v>13.02</v>
      </c>
      <c r="R90">
        <v>0.74</v>
      </c>
      <c r="S90">
        <v>1.23</v>
      </c>
      <c r="V90" t="s">
        <v>2224</v>
      </c>
      <c r="Z90" t="s">
        <v>164</v>
      </c>
      <c r="AA90">
        <v>0.59</v>
      </c>
      <c r="AE90" t="s">
        <v>176</v>
      </c>
      <c r="AF90" t="s">
        <v>2225</v>
      </c>
      <c r="AG90" t="s">
        <v>2226</v>
      </c>
      <c r="AH90" t="s">
        <v>2227</v>
      </c>
      <c r="AI90" t="s">
        <v>2228</v>
      </c>
      <c r="AJ90" t="s">
        <v>164</v>
      </c>
      <c r="AK90" t="s">
        <v>2229</v>
      </c>
      <c r="AL90">
        <v>4.63</v>
      </c>
      <c r="AM90">
        <v>4.51</v>
      </c>
      <c r="AN90">
        <v>0.2</v>
      </c>
      <c r="AO90" t="s">
        <v>2230</v>
      </c>
      <c r="AP90" t="s">
        <v>2231</v>
      </c>
      <c r="AQ90" t="s">
        <v>2232</v>
      </c>
      <c r="AR90" t="s">
        <v>2233</v>
      </c>
      <c r="AS90" t="s">
        <v>2234</v>
      </c>
      <c r="AT90" t="s">
        <v>1510</v>
      </c>
      <c r="AU90" t="s">
        <v>2186</v>
      </c>
      <c r="AV90" t="s">
        <v>2235</v>
      </c>
      <c r="AW90" t="s">
        <v>2236</v>
      </c>
      <c r="AX90" t="s">
        <v>2237</v>
      </c>
      <c r="AY90" t="s">
        <v>2236</v>
      </c>
      <c r="AZ90" t="s">
        <v>2238</v>
      </c>
      <c r="BA90">
        <v>2</v>
      </c>
      <c r="BB90">
        <v>32.86</v>
      </c>
      <c r="BC90">
        <v>0.57999999999999996</v>
      </c>
      <c r="BD90">
        <v>7.02</v>
      </c>
      <c r="BE90">
        <v>7.09</v>
      </c>
      <c r="BF90">
        <v>7.01</v>
      </c>
      <c r="BG90" t="s">
        <v>2239</v>
      </c>
      <c r="BH90" t="s">
        <v>2240</v>
      </c>
      <c r="BI90" t="s">
        <v>2241</v>
      </c>
      <c r="BJ90" t="s">
        <v>101</v>
      </c>
      <c r="BK90" t="s">
        <v>247</v>
      </c>
      <c r="BL90" t="s">
        <v>2237</v>
      </c>
      <c r="BM90" t="s">
        <v>2242</v>
      </c>
      <c r="BN90" t="s">
        <v>2073</v>
      </c>
    </row>
    <row r="91" spans="1:66" x14ac:dyDescent="0.25">
      <c r="A91" t="str">
        <f>HYPERLINK("https://elite.finviz.com/quote.ashx?t=EPSM&amp;ty=c&amp;p=d&amp;b=1", "EPSM")</f>
        <v>EPSM</v>
      </c>
      <c r="B91">
        <v>7</v>
      </c>
      <c r="C91">
        <v>149.72999999999999</v>
      </c>
      <c r="D91">
        <v>50.88</v>
      </c>
      <c r="E91" t="s">
        <v>2243</v>
      </c>
      <c r="F91" t="s">
        <v>107</v>
      </c>
      <c r="G91" t="s">
        <v>2244</v>
      </c>
      <c r="H91" t="s">
        <v>2245</v>
      </c>
      <c r="I91" t="s">
        <v>70</v>
      </c>
      <c r="J91" t="s">
        <v>321</v>
      </c>
      <c r="K91">
        <v>490.96</v>
      </c>
      <c r="L91">
        <v>36.53</v>
      </c>
      <c r="M91" t="s">
        <v>1864</v>
      </c>
      <c r="N91">
        <v>405908</v>
      </c>
      <c r="AB91" t="s">
        <v>2246</v>
      </c>
      <c r="AC91" t="s">
        <v>2247</v>
      </c>
      <c r="AF91" t="s">
        <v>2248</v>
      </c>
      <c r="AG91" t="s">
        <v>2249</v>
      </c>
      <c r="AJ91" t="s">
        <v>164</v>
      </c>
      <c r="AK91" t="s">
        <v>102</v>
      </c>
      <c r="AR91" t="s">
        <v>2250</v>
      </c>
      <c r="AS91" t="s">
        <v>2251</v>
      </c>
      <c r="AT91" t="s">
        <v>2252</v>
      </c>
      <c r="AU91" t="s">
        <v>2253</v>
      </c>
      <c r="AV91" t="s">
        <v>2254</v>
      </c>
      <c r="AW91" t="s">
        <v>2255</v>
      </c>
      <c r="AX91" t="s">
        <v>2256</v>
      </c>
      <c r="AY91" t="s">
        <v>2255</v>
      </c>
      <c r="AZ91" t="s">
        <v>2257</v>
      </c>
      <c r="BB91">
        <v>393.58</v>
      </c>
      <c r="BC91">
        <v>3.66</v>
      </c>
      <c r="BD91">
        <v>36.979999999999997</v>
      </c>
      <c r="BE91">
        <v>37.200000000000003</v>
      </c>
      <c r="BF91">
        <v>36</v>
      </c>
      <c r="BG91" t="s">
        <v>2258</v>
      </c>
      <c r="BH91" t="s">
        <v>2255</v>
      </c>
      <c r="BI91" t="s">
        <v>2257</v>
      </c>
      <c r="BJ91" t="s">
        <v>101</v>
      </c>
      <c r="BK91" t="s">
        <v>2259</v>
      </c>
      <c r="BL91" t="s">
        <v>2260</v>
      </c>
      <c r="BN91" t="s">
        <v>2073</v>
      </c>
    </row>
    <row r="92" spans="1:66" x14ac:dyDescent="0.25">
      <c r="A92" t="str">
        <f>HYPERLINK("https://elite.finviz.com/quote.ashx?t=BGFV&amp;ty=c&amp;p=d&amp;b=1", "BGFV")</f>
        <v>BGFV</v>
      </c>
      <c r="B92">
        <v>7</v>
      </c>
      <c r="C92">
        <v>149.72999999999999</v>
      </c>
      <c r="D92">
        <v>51.24</v>
      </c>
      <c r="E92" t="s">
        <v>2261</v>
      </c>
      <c r="F92" t="s">
        <v>107</v>
      </c>
      <c r="G92" t="s">
        <v>813</v>
      </c>
      <c r="H92" t="s">
        <v>2262</v>
      </c>
      <c r="I92" t="s">
        <v>70</v>
      </c>
      <c r="J92" t="s">
        <v>321</v>
      </c>
      <c r="K92">
        <v>32.43</v>
      </c>
      <c r="L92">
        <v>1.41</v>
      </c>
      <c r="M92" t="s">
        <v>2263</v>
      </c>
      <c r="N92">
        <v>143816</v>
      </c>
      <c r="R92">
        <v>0.04</v>
      </c>
      <c r="S92">
        <v>0.24</v>
      </c>
      <c r="V92" t="s">
        <v>2264</v>
      </c>
      <c r="AA92">
        <v>-4.2</v>
      </c>
      <c r="AE92" t="s">
        <v>2265</v>
      </c>
      <c r="AF92" t="s">
        <v>2266</v>
      </c>
      <c r="AG92" t="s">
        <v>2267</v>
      </c>
      <c r="AH92" t="s">
        <v>2268</v>
      </c>
      <c r="AJ92" t="s">
        <v>164</v>
      </c>
      <c r="AK92" t="s">
        <v>2269</v>
      </c>
      <c r="AL92">
        <v>1.55</v>
      </c>
      <c r="AM92">
        <v>0.12</v>
      </c>
      <c r="AN92">
        <v>2.59</v>
      </c>
      <c r="AO92" t="s">
        <v>2270</v>
      </c>
      <c r="AP92" t="s">
        <v>2271</v>
      </c>
      <c r="AQ92" t="s">
        <v>2272</v>
      </c>
      <c r="AR92" t="s">
        <v>2273</v>
      </c>
      <c r="AS92" t="s">
        <v>2274</v>
      </c>
      <c r="AT92" t="s">
        <v>2275</v>
      </c>
      <c r="AU92" t="s">
        <v>770</v>
      </c>
      <c r="AV92" t="s">
        <v>2150</v>
      </c>
      <c r="AW92" t="s">
        <v>2276</v>
      </c>
      <c r="AX92" t="s">
        <v>1507</v>
      </c>
      <c r="AY92" t="s">
        <v>2277</v>
      </c>
      <c r="AZ92" t="s">
        <v>2278</v>
      </c>
      <c r="BA92">
        <v>3</v>
      </c>
      <c r="BB92">
        <v>224.69</v>
      </c>
      <c r="BC92">
        <v>2.2599999999999998</v>
      </c>
      <c r="BD92">
        <v>1.42</v>
      </c>
      <c r="BE92">
        <v>1.43</v>
      </c>
      <c r="BF92">
        <v>1.41</v>
      </c>
      <c r="BG92" t="s">
        <v>2279</v>
      </c>
      <c r="BH92" t="s">
        <v>2280</v>
      </c>
      <c r="BI92" t="s">
        <v>2281</v>
      </c>
      <c r="BJ92" t="s">
        <v>101</v>
      </c>
      <c r="BK92" t="s">
        <v>620</v>
      </c>
      <c r="BL92" t="s">
        <v>2282</v>
      </c>
      <c r="BM92" t="s">
        <v>2283</v>
      </c>
      <c r="BN92" t="s">
        <v>2073</v>
      </c>
    </row>
    <row r="93" spans="1:66" x14ac:dyDescent="0.25">
      <c r="A93" t="str">
        <f>HYPERLINK("https://elite.finviz.com/quote.ashx?t=TWNP&amp;ty=c&amp;p=d&amp;b=1", "TWNP")</f>
        <v>TWNP</v>
      </c>
      <c r="B93">
        <v>7</v>
      </c>
      <c r="C93">
        <v>149.72999999999999</v>
      </c>
      <c r="D93">
        <v>52.02</v>
      </c>
      <c r="E93" t="s">
        <v>2284</v>
      </c>
      <c r="F93" t="s">
        <v>107</v>
      </c>
      <c r="G93" t="s">
        <v>813</v>
      </c>
      <c r="H93" t="s">
        <v>2285</v>
      </c>
      <c r="I93" t="s">
        <v>70</v>
      </c>
      <c r="J93" t="s">
        <v>321</v>
      </c>
      <c r="K93">
        <v>233.32</v>
      </c>
      <c r="L93">
        <v>4.07</v>
      </c>
      <c r="M93" t="s">
        <v>1279</v>
      </c>
      <c r="N93">
        <v>10998</v>
      </c>
      <c r="R93">
        <v>0.68</v>
      </c>
      <c r="AA93">
        <v>-1.17</v>
      </c>
      <c r="AB93" t="s">
        <v>2286</v>
      </c>
      <c r="AE93" t="s">
        <v>2124</v>
      </c>
      <c r="AF93" t="s">
        <v>2287</v>
      </c>
      <c r="AH93" t="s">
        <v>2288</v>
      </c>
      <c r="AJ93" t="s">
        <v>2289</v>
      </c>
      <c r="AK93" t="s">
        <v>2290</v>
      </c>
      <c r="AL93">
        <v>0.6</v>
      </c>
      <c r="AM93">
        <v>0.6</v>
      </c>
      <c r="AO93" t="s">
        <v>2291</v>
      </c>
      <c r="AP93" t="s">
        <v>2252</v>
      </c>
      <c r="AQ93" t="s">
        <v>2292</v>
      </c>
      <c r="AR93" t="s">
        <v>1934</v>
      </c>
      <c r="AS93" t="s">
        <v>2293</v>
      </c>
      <c r="AT93" t="s">
        <v>2294</v>
      </c>
      <c r="AU93" t="s">
        <v>170</v>
      </c>
      <c r="AV93" t="s">
        <v>2295</v>
      </c>
      <c r="AW93" t="s">
        <v>2296</v>
      </c>
      <c r="AX93" t="s">
        <v>2297</v>
      </c>
      <c r="AY93" t="s">
        <v>2298</v>
      </c>
      <c r="AZ93" t="s">
        <v>2299</v>
      </c>
      <c r="BB93">
        <v>14.79</v>
      </c>
      <c r="BC93">
        <v>2.64</v>
      </c>
      <c r="BD93">
        <v>4.0199999999999996</v>
      </c>
      <c r="BE93">
        <v>4.12</v>
      </c>
      <c r="BF93">
        <v>4</v>
      </c>
      <c r="BG93" t="s">
        <v>2300</v>
      </c>
      <c r="BH93" t="s">
        <v>2298</v>
      </c>
      <c r="BI93" t="s">
        <v>2299</v>
      </c>
      <c r="BJ93" t="s">
        <v>101</v>
      </c>
      <c r="BK93" t="s">
        <v>2301</v>
      </c>
      <c r="BL93" t="s">
        <v>2302</v>
      </c>
      <c r="BN93" t="s">
        <v>2073</v>
      </c>
    </row>
    <row r="94" spans="1:66" x14ac:dyDescent="0.25">
      <c r="A94" t="str">
        <f>HYPERLINK("https://elite.finviz.com/quote.ashx?t=VHC&amp;ty=c&amp;p=d&amp;b=1", "VHC")</f>
        <v>VHC</v>
      </c>
      <c r="B94">
        <v>7</v>
      </c>
      <c r="C94">
        <v>149.72999999999999</v>
      </c>
      <c r="D94">
        <v>52.12</v>
      </c>
      <c r="E94" t="s">
        <v>2303</v>
      </c>
      <c r="F94" t="s">
        <v>107</v>
      </c>
      <c r="G94" t="s">
        <v>108</v>
      </c>
      <c r="H94" t="s">
        <v>109</v>
      </c>
      <c r="I94" t="s">
        <v>70</v>
      </c>
      <c r="J94" t="s">
        <v>321</v>
      </c>
      <c r="K94">
        <v>71.45</v>
      </c>
      <c r="L94">
        <v>16.73</v>
      </c>
      <c r="M94" t="s">
        <v>2304</v>
      </c>
      <c r="N94">
        <v>21574</v>
      </c>
      <c r="R94">
        <v>1429.1</v>
      </c>
      <c r="S94">
        <v>2.15</v>
      </c>
      <c r="V94" t="s">
        <v>2305</v>
      </c>
      <c r="AA94">
        <v>-4.54</v>
      </c>
      <c r="AB94" t="s">
        <v>2306</v>
      </c>
      <c r="AC94" t="s">
        <v>2307</v>
      </c>
      <c r="AE94" t="s">
        <v>2308</v>
      </c>
      <c r="AF94" t="s">
        <v>2309</v>
      </c>
      <c r="AG94" t="s">
        <v>2310</v>
      </c>
      <c r="AH94" t="s">
        <v>2311</v>
      </c>
      <c r="AJ94" t="s">
        <v>164</v>
      </c>
      <c r="AK94" t="s">
        <v>2312</v>
      </c>
      <c r="AL94">
        <v>16.260000000000002</v>
      </c>
      <c r="AM94">
        <v>16.260000000000002</v>
      </c>
      <c r="AN94">
        <v>0</v>
      </c>
      <c r="AO94" t="s">
        <v>2313</v>
      </c>
      <c r="AP94" t="s">
        <v>2314</v>
      </c>
      <c r="AQ94" t="s">
        <v>2315</v>
      </c>
      <c r="AR94" t="s">
        <v>2316</v>
      </c>
      <c r="AS94" t="s">
        <v>707</v>
      </c>
      <c r="AT94" t="s">
        <v>2294</v>
      </c>
      <c r="AU94" t="s">
        <v>2317</v>
      </c>
      <c r="AV94" t="s">
        <v>2318</v>
      </c>
      <c r="AW94" t="s">
        <v>2319</v>
      </c>
      <c r="AX94" t="s">
        <v>359</v>
      </c>
      <c r="AY94" t="s">
        <v>2319</v>
      </c>
      <c r="AZ94" t="s">
        <v>2320</v>
      </c>
      <c r="BA94">
        <v>1</v>
      </c>
      <c r="BB94">
        <v>17.489999999999998</v>
      </c>
      <c r="BC94">
        <v>4.3499999999999996</v>
      </c>
      <c r="BD94">
        <v>17.45</v>
      </c>
      <c r="BE94">
        <v>18.12</v>
      </c>
      <c r="BF94">
        <v>13.06</v>
      </c>
      <c r="BG94" t="s">
        <v>2321</v>
      </c>
      <c r="BH94" t="s">
        <v>989</v>
      </c>
      <c r="BI94" t="s">
        <v>2322</v>
      </c>
      <c r="BJ94" t="s">
        <v>101</v>
      </c>
      <c r="BK94" t="s">
        <v>2323</v>
      </c>
      <c r="BL94" t="s">
        <v>2324</v>
      </c>
      <c r="BM94" t="s">
        <v>2325</v>
      </c>
      <c r="BN94" t="s">
        <v>2073</v>
      </c>
    </row>
    <row r="95" spans="1:66" x14ac:dyDescent="0.25">
      <c r="A95" t="str">
        <f>HYPERLINK("https://elite.finviz.com/quote.ashx?t=MITQ&amp;ty=c&amp;p=d&amp;b=1", "MITQ")</f>
        <v>MITQ</v>
      </c>
      <c r="B95">
        <v>7</v>
      </c>
      <c r="C95">
        <v>149.72999999999999</v>
      </c>
      <c r="D95">
        <v>52.33</v>
      </c>
      <c r="E95" t="s">
        <v>2326</v>
      </c>
      <c r="F95" t="s">
        <v>107</v>
      </c>
      <c r="G95" t="s">
        <v>108</v>
      </c>
      <c r="H95" t="s">
        <v>1921</v>
      </c>
      <c r="I95" t="s">
        <v>70</v>
      </c>
      <c r="J95" t="s">
        <v>383</v>
      </c>
      <c r="K95">
        <v>11.03</v>
      </c>
      <c r="L95">
        <v>1.1100000000000001</v>
      </c>
      <c r="M95" t="s">
        <v>388</v>
      </c>
      <c r="N95">
        <v>250546</v>
      </c>
      <c r="R95">
        <v>0.59</v>
      </c>
      <c r="S95">
        <v>2.21</v>
      </c>
      <c r="AA95">
        <v>-0.12</v>
      </c>
      <c r="AB95" t="s">
        <v>2327</v>
      </c>
      <c r="AC95" t="s">
        <v>2328</v>
      </c>
      <c r="AE95" t="s">
        <v>2329</v>
      </c>
      <c r="AF95" t="s">
        <v>2330</v>
      </c>
      <c r="AG95" t="s">
        <v>2331</v>
      </c>
      <c r="AH95" t="s">
        <v>2332</v>
      </c>
      <c r="AJ95" t="s">
        <v>164</v>
      </c>
      <c r="AK95" t="s">
        <v>2333</v>
      </c>
      <c r="AL95">
        <v>1.85</v>
      </c>
      <c r="AM95">
        <v>1.26</v>
      </c>
      <c r="AN95">
        <v>0.24</v>
      </c>
      <c r="AO95" t="s">
        <v>2334</v>
      </c>
      <c r="AP95" t="s">
        <v>2335</v>
      </c>
      <c r="AQ95" t="s">
        <v>2336</v>
      </c>
      <c r="AR95" t="s">
        <v>2337</v>
      </c>
      <c r="AS95" t="s">
        <v>2338</v>
      </c>
      <c r="AT95" t="s">
        <v>2339</v>
      </c>
      <c r="AU95" t="s">
        <v>2340</v>
      </c>
      <c r="AV95" t="s">
        <v>2341</v>
      </c>
      <c r="AW95" t="s">
        <v>2342</v>
      </c>
      <c r="AX95" t="s">
        <v>2343</v>
      </c>
      <c r="AY95" t="s">
        <v>2342</v>
      </c>
      <c r="AZ95" t="s">
        <v>2070</v>
      </c>
      <c r="BB95">
        <v>260.02999999999997</v>
      </c>
      <c r="BC95">
        <v>3.42</v>
      </c>
      <c r="BD95">
        <v>1.26</v>
      </c>
      <c r="BE95">
        <v>1.23</v>
      </c>
      <c r="BF95">
        <v>1.05</v>
      </c>
      <c r="BG95" t="s">
        <v>2344</v>
      </c>
      <c r="BH95" t="s">
        <v>2345</v>
      </c>
      <c r="BI95" t="s">
        <v>2346</v>
      </c>
      <c r="BJ95" t="s">
        <v>101</v>
      </c>
      <c r="BK95" t="s">
        <v>2347</v>
      </c>
      <c r="BL95" t="s">
        <v>2348</v>
      </c>
      <c r="BM95" t="s">
        <v>2349</v>
      </c>
      <c r="BN95" t="s">
        <v>2073</v>
      </c>
    </row>
    <row r="96" spans="1:66" x14ac:dyDescent="0.25">
      <c r="A96" t="str">
        <f>HYPERLINK("https://elite.finviz.com/quote.ashx?t=ALX&amp;ty=c&amp;p=d&amp;b=1", "ALX")</f>
        <v>ALX</v>
      </c>
      <c r="B96">
        <v>7</v>
      </c>
      <c r="C96">
        <v>149.72999999999999</v>
      </c>
      <c r="D96">
        <v>52.55</v>
      </c>
      <c r="E96" t="s">
        <v>2350</v>
      </c>
      <c r="F96" t="s">
        <v>67</v>
      </c>
      <c r="G96" t="s">
        <v>68</v>
      </c>
      <c r="H96" t="s">
        <v>160</v>
      </c>
      <c r="I96" t="s">
        <v>70</v>
      </c>
      <c r="J96" t="s">
        <v>71</v>
      </c>
      <c r="K96">
        <v>1210.44</v>
      </c>
      <c r="L96">
        <v>237</v>
      </c>
      <c r="M96" t="s">
        <v>1648</v>
      </c>
      <c r="N96">
        <v>50950</v>
      </c>
      <c r="O96">
        <v>32.54</v>
      </c>
      <c r="R96">
        <v>5.55</v>
      </c>
      <c r="S96">
        <v>8.32</v>
      </c>
      <c r="T96" t="s">
        <v>2351</v>
      </c>
      <c r="U96">
        <v>18</v>
      </c>
      <c r="V96" t="s">
        <v>893</v>
      </c>
      <c r="W96" t="s">
        <v>164</v>
      </c>
      <c r="X96" t="s">
        <v>164</v>
      </c>
      <c r="Y96" t="s">
        <v>164</v>
      </c>
      <c r="Z96" t="s">
        <v>2352</v>
      </c>
      <c r="AA96">
        <v>7.28</v>
      </c>
      <c r="AB96" t="s">
        <v>2353</v>
      </c>
      <c r="AC96" t="s">
        <v>2354</v>
      </c>
      <c r="AE96" t="s">
        <v>2355</v>
      </c>
      <c r="AF96" t="s">
        <v>2356</v>
      </c>
      <c r="AG96" t="s">
        <v>164</v>
      </c>
      <c r="AH96" t="s">
        <v>2357</v>
      </c>
      <c r="AJ96" t="s">
        <v>164</v>
      </c>
      <c r="AK96" t="s">
        <v>2358</v>
      </c>
      <c r="AL96">
        <v>9.6</v>
      </c>
      <c r="AM96">
        <v>9.6</v>
      </c>
      <c r="AN96">
        <v>6.79</v>
      </c>
      <c r="AO96" t="s">
        <v>870</v>
      </c>
      <c r="AP96" t="s">
        <v>2359</v>
      </c>
      <c r="AQ96" t="s">
        <v>2360</v>
      </c>
      <c r="AR96" t="s">
        <v>2361</v>
      </c>
      <c r="AS96" t="s">
        <v>1933</v>
      </c>
      <c r="AT96" t="s">
        <v>2362</v>
      </c>
      <c r="AU96" t="s">
        <v>84</v>
      </c>
      <c r="AV96" t="s">
        <v>2363</v>
      </c>
      <c r="AW96" t="s">
        <v>2364</v>
      </c>
      <c r="AX96" t="s">
        <v>2365</v>
      </c>
      <c r="AY96" t="s">
        <v>2364</v>
      </c>
      <c r="AZ96" t="s">
        <v>2366</v>
      </c>
      <c r="BA96">
        <v>5</v>
      </c>
      <c r="BB96">
        <v>57.12</v>
      </c>
      <c r="BC96">
        <v>3.14</v>
      </c>
      <c r="BD96">
        <v>237.45</v>
      </c>
      <c r="BE96">
        <v>241.86</v>
      </c>
      <c r="BF96">
        <v>237.62</v>
      </c>
      <c r="BG96" t="s">
        <v>2367</v>
      </c>
      <c r="BH96" t="s">
        <v>2368</v>
      </c>
      <c r="BI96" t="s">
        <v>2369</v>
      </c>
      <c r="BJ96" t="s">
        <v>101</v>
      </c>
      <c r="BK96" t="s">
        <v>2370</v>
      </c>
      <c r="BL96" t="s">
        <v>2371</v>
      </c>
      <c r="BM96" t="s">
        <v>2372</v>
      </c>
      <c r="BN96" t="s">
        <v>2073</v>
      </c>
    </row>
    <row r="97" spans="1:66" x14ac:dyDescent="0.25">
      <c r="A97" t="str">
        <f>HYPERLINK("https://elite.finviz.com/quote.ashx?t=DJCO&amp;ty=c&amp;p=d&amp;b=1", "DJCO")</f>
        <v>DJCO</v>
      </c>
      <c r="B97">
        <v>7</v>
      </c>
      <c r="C97">
        <v>149.72999999999999</v>
      </c>
      <c r="D97">
        <v>52.72</v>
      </c>
      <c r="E97" t="s">
        <v>2373</v>
      </c>
      <c r="F97" t="s">
        <v>67</v>
      </c>
      <c r="G97" t="s">
        <v>108</v>
      </c>
      <c r="H97" t="s">
        <v>136</v>
      </c>
      <c r="I97" t="s">
        <v>70</v>
      </c>
      <c r="J97" t="s">
        <v>321</v>
      </c>
      <c r="K97">
        <v>633.86</v>
      </c>
      <c r="L97">
        <v>460.18</v>
      </c>
      <c r="M97" t="s">
        <v>2374</v>
      </c>
      <c r="N97">
        <v>49238</v>
      </c>
      <c r="O97">
        <v>6.55</v>
      </c>
      <c r="R97">
        <v>8.01</v>
      </c>
      <c r="S97">
        <v>1.82</v>
      </c>
      <c r="Z97" t="s">
        <v>164</v>
      </c>
      <c r="AA97">
        <v>70.22</v>
      </c>
      <c r="AB97" t="s">
        <v>2375</v>
      </c>
      <c r="AE97" t="s">
        <v>2376</v>
      </c>
      <c r="AF97" t="s">
        <v>2377</v>
      </c>
      <c r="AG97" t="s">
        <v>2378</v>
      </c>
      <c r="AH97" t="s">
        <v>2379</v>
      </c>
      <c r="AJ97" t="s">
        <v>164</v>
      </c>
      <c r="AK97" t="s">
        <v>2380</v>
      </c>
      <c r="AL97">
        <v>12.39</v>
      </c>
      <c r="AM97">
        <v>12.39</v>
      </c>
      <c r="AN97">
        <v>7.0000000000000007E-2</v>
      </c>
      <c r="AO97" t="s">
        <v>2381</v>
      </c>
      <c r="AP97" t="s">
        <v>1252</v>
      </c>
      <c r="AQ97" t="s">
        <v>2382</v>
      </c>
      <c r="AR97" t="s">
        <v>2383</v>
      </c>
      <c r="AS97" t="s">
        <v>2384</v>
      </c>
      <c r="AT97" t="s">
        <v>1445</v>
      </c>
      <c r="AU97" t="s">
        <v>2385</v>
      </c>
      <c r="AV97" t="s">
        <v>2386</v>
      </c>
      <c r="AW97" t="s">
        <v>1537</v>
      </c>
      <c r="AX97" t="s">
        <v>2387</v>
      </c>
      <c r="AY97" t="s">
        <v>2388</v>
      </c>
      <c r="AZ97" t="s">
        <v>2389</v>
      </c>
      <c r="BB97">
        <v>61.11</v>
      </c>
      <c r="BC97">
        <v>2.84</v>
      </c>
      <c r="BD97">
        <v>464.42</v>
      </c>
      <c r="BE97">
        <v>469.52</v>
      </c>
      <c r="BF97">
        <v>463.23</v>
      </c>
      <c r="BG97" t="s">
        <v>2390</v>
      </c>
      <c r="BH97" t="s">
        <v>2388</v>
      </c>
      <c r="BI97" t="s">
        <v>2391</v>
      </c>
      <c r="BJ97" t="s">
        <v>101</v>
      </c>
      <c r="BK97" t="s">
        <v>801</v>
      </c>
      <c r="BL97" t="s">
        <v>2392</v>
      </c>
      <c r="BM97" t="s">
        <v>2393</v>
      </c>
      <c r="BN97" t="s">
        <v>2073</v>
      </c>
    </row>
    <row r="98" spans="1:66" x14ac:dyDescent="0.25">
      <c r="A98" t="str">
        <f>HYPERLINK("https://elite.finviz.com/quote.ashx?t=RPID&amp;ty=c&amp;p=d&amp;b=1", "RPID")</f>
        <v>RPID</v>
      </c>
      <c r="B98">
        <v>7</v>
      </c>
      <c r="C98">
        <v>149.72999999999999</v>
      </c>
      <c r="D98">
        <v>52.77</v>
      </c>
      <c r="E98" t="s">
        <v>2394</v>
      </c>
      <c r="F98" t="s">
        <v>107</v>
      </c>
      <c r="G98" t="s">
        <v>428</v>
      </c>
      <c r="H98" t="s">
        <v>2051</v>
      </c>
      <c r="I98" t="s">
        <v>70</v>
      </c>
      <c r="J98" t="s">
        <v>321</v>
      </c>
      <c r="K98">
        <v>137.06</v>
      </c>
      <c r="L98">
        <v>3.1</v>
      </c>
      <c r="M98" t="s">
        <v>1082</v>
      </c>
      <c r="N98">
        <v>57162</v>
      </c>
      <c r="R98">
        <v>4.5199999999999996</v>
      </c>
      <c r="S98">
        <v>2.5</v>
      </c>
      <c r="AA98">
        <v>-1</v>
      </c>
      <c r="AB98" t="s">
        <v>2395</v>
      </c>
      <c r="AC98" t="s">
        <v>2396</v>
      </c>
      <c r="AE98" t="s">
        <v>2397</v>
      </c>
      <c r="AF98" t="s">
        <v>2398</v>
      </c>
      <c r="AG98" t="s">
        <v>2399</v>
      </c>
      <c r="AH98" t="s">
        <v>2400</v>
      </c>
      <c r="AI98" t="s">
        <v>2401</v>
      </c>
      <c r="AJ98" t="s">
        <v>2402</v>
      </c>
      <c r="AK98" t="s">
        <v>2403</v>
      </c>
      <c r="AL98">
        <v>3.67</v>
      </c>
      <c r="AM98">
        <v>2.41</v>
      </c>
      <c r="AN98">
        <v>0.1</v>
      </c>
      <c r="AO98" t="s">
        <v>1495</v>
      </c>
      <c r="AP98" t="s">
        <v>2404</v>
      </c>
      <c r="AQ98" t="s">
        <v>2405</v>
      </c>
      <c r="AR98" t="s">
        <v>2406</v>
      </c>
      <c r="AS98" t="s">
        <v>2407</v>
      </c>
      <c r="AT98" t="s">
        <v>2408</v>
      </c>
      <c r="AU98" t="s">
        <v>430</v>
      </c>
      <c r="AV98" t="s">
        <v>2409</v>
      </c>
      <c r="AW98" t="s">
        <v>971</v>
      </c>
      <c r="AX98" t="s">
        <v>2410</v>
      </c>
      <c r="AY98" t="s">
        <v>971</v>
      </c>
      <c r="AZ98" t="s">
        <v>2411</v>
      </c>
      <c r="BA98">
        <v>1</v>
      </c>
      <c r="BB98">
        <v>87.47</v>
      </c>
      <c r="BC98">
        <v>2.3199999999999998</v>
      </c>
      <c r="BD98">
        <v>3.21</v>
      </c>
      <c r="BE98">
        <v>3.15</v>
      </c>
      <c r="BF98">
        <v>2.96</v>
      </c>
      <c r="BG98" t="s">
        <v>2412</v>
      </c>
      <c r="BH98" t="s">
        <v>2413</v>
      </c>
      <c r="BI98" t="s">
        <v>2414</v>
      </c>
      <c r="BJ98" t="s">
        <v>101</v>
      </c>
      <c r="BK98" t="s">
        <v>1951</v>
      </c>
      <c r="BL98" t="s">
        <v>2415</v>
      </c>
      <c r="BM98" t="s">
        <v>2416</v>
      </c>
      <c r="BN98" t="s">
        <v>2073</v>
      </c>
    </row>
    <row r="99" spans="1:66" x14ac:dyDescent="0.25">
      <c r="A99" t="str">
        <f>HYPERLINK("https://elite.finviz.com/quote.ashx?t=BMRC&amp;ty=c&amp;p=d&amp;b=1", "BMRC")</f>
        <v>BMRC</v>
      </c>
      <c r="B99">
        <v>7</v>
      </c>
      <c r="C99">
        <v>149.72999999999999</v>
      </c>
      <c r="D99">
        <v>53.17</v>
      </c>
      <c r="E99" t="s">
        <v>2417</v>
      </c>
      <c r="F99" t="s">
        <v>67</v>
      </c>
      <c r="G99" t="s">
        <v>550</v>
      </c>
      <c r="H99" t="s">
        <v>697</v>
      </c>
      <c r="I99" t="s">
        <v>70</v>
      </c>
      <c r="J99" t="s">
        <v>321</v>
      </c>
      <c r="K99">
        <v>397.25</v>
      </c>
      <c r="L99">
        <v>24.64</v>
      </c>
      <c r="M99" t="s">
        <v>2418</v>
      </c>
      <c r="N99">
        <v>61250</v>
      </c>
      <c r="O99">
        <v>57.14</v>
      </c>
      <c r="P99">
        <v>12.85</v>
      </c>
      <c r="R99">
        <v>2.89</v>
      </c>
      <c r="S99">
        <v>0.91</v>
      </c>
      <c r="T99" t="s">
        <v>2419</v>
      </c>
      <c r="U99">
        <v>1</v>
      </c>
      <c r="V99" t="s">
        <v>2420</v>
      </c>
      <c r="W99" t="s">
        <v>164</v>
      </c>
      <c r="X99" t="s">
        <v>2421</v>
      </c>
      <c r="Y99" t="s">
        <v>371</v>
      </c>
      <c r="AA99">
        <v>0.43</v>
      </c>
      <c r="AE99" t="s">
        <v>2422</v>
      </c>
      <c r="AF99" t="s">
        <v>2423</v>
      </c>
      <c r="AG99" t="s">
        <v>2424</v>
      </c>
      <c r="AH99" t="s">
        <v>2425</v>
      </c>
      <c r="AI99" t="s">
        <v>2426</v>
      </c>
      <c r="AJ99" t="s">
        <v>164</v>
      </c>
      <c r="AK99" t="s">
        <v>2427</v>
      </c>
      <c r="AL99">
        <v>0.09</v>
      </c>
      <c r="AN99">
        <v>0.05</v>
      </c>
      <c r="AP99" t="s">
        <v>2428</v>
      </c>
      <c r="AQ99" t="s">
        <v>2429</v>
      </c>
      <c r="AR99" t="s">
        <v>206</v>
      </c>
      <c r="AS99" t="s">
        <v>2430</v>
      </c>
      <c r="AT99" t="s">
        <v>2294</v>
      </c>
      <c r="AU99" t="s">
        <v>911</v>
      </c>
      <c r="AV99" t="s">
        <v>2232</v>
      </c>
      <c r="AW99" t="s">
        <v>2431</v>
      </c>
      <c r="AX99" t="s">
        <v>2432</v>
      </c>
      <c r="AY99" t="s">
        <v>2433</v>
      </c>
      <c r="AZ99" t="s">
        <v>2434</v>
      </c>
      <c r="BA99">
        <v>1.67</v>
      </c>
      <c r="BB99">
        <v>100.51</v>
      </c>
      <c r="BC99">
        <v>2.17</v>
      </c>
      <c r="BD99">
        <v>24.5</v>
      </c>
      <c r="BE99">
        <v>24.78</v>
      </c>
      <c r="BF99">
        <v>24.57</v>
      </c>
      <c r="BG99" t="s">
        <v>2435</v>
      </c>
      <c r="BH99" t="s">
        <v>2436</v>
      </c>
      <c r="BI99" t="s">
        <v>2437</v>
      </c>
      <c r="BJ99" t="s">
        <v>101</v>
      </c>
      <c r="BK99" t="s">
        <v>466</v>
      </c>
      <c r="BL99" t="s">
        <v>2438</v>
      </c>
      <c r="BM99" t="s">
        <v>2439</v>
      </c>
      <c r="BN99" t="s">
        <v>2073</v>
      </c>
    </row>
    <row r="100" spans="1:66" x14ac:dyDescent="0.25">
      <c r="A100" t="str">
        <f>HYPERLINK("https://elite.finviz.com/quote.ashx?t=NEPH&amp;ty=c&amp;p=d&amp;b=1", "NEPH")</f>
        <v>NEPH</v>
      </c>
      <c r="B100">
        <v>7</v>
      </c>
      <c r="C100">
        <v>149.72999999999999</v>
      </c>
      <c r="D100">
        <v>53.31</v>
      </c>
      <c r="E100" t="s">
        <v>2440</v>
      </c>
      <c r="F100" t="s">
        <v>107</v>
      </c>
      <c r="G100" t="s">
        <v>428</v>
      </c>
      <c r="H100" t="s">
        <v>2161</v>
      </c>
      <c r="I100" t="s">
        <v>70</v>
      </c>
      <c r="J100" t="s">
        <v>321</v>
      </c>
      <c r="K100">
        <v>44.84</v>
      </c>
      <c r="L100">
        <v>4.2300000000000004</v>
      </c>
      <c r="M100" t="s">
        <v>1417</v>
      </c>
      <c r="N100">
        <v>26724</v>
      </c>
      <c r="O100">
        <v>33.869999999999997</v>
      </c>
      <c r="P100">
        <v>70.5</v>
      </c>
      <c r="R100">
        <v>2.69</v>
      </c>
      <c r="S100">
        <v>4.67</v>
      </c>
      <c r="Z100" t="s">
        <v>164</v>
      </c>
      <c r="AA100">
        <v>0.12</v>
      </c>
      <c r="AE100" t="s">
        <v>2441</v>
      </c>
      <c r="AF100" t="s">
        <v>1492</v>
      </c>
      <c r="AG100" t="s">
        <v>291</v>
      </c>
      <c r="AH100" t="s">
        <v>2442</v>
      </c>
      <c r="AI100" t="s">
        <v>2443</v>
      </c>
      <c r="AJ100" t="s">
        <v>164</v>
      </c>
      <c r="AK100" t="s">
        <v>2444</v>
      </c>
      <c r="AL100">
        <v>5.41</v>
      </c>
      <c r="AM100">
        <v>4.1399999999999997</v>
      </c>
      <c r="AN100">
        <v>0.13</v>
      </c>
      <c r="AO100" t="s">
        <v>2445</v>
      </c>
      <c r="AP100" t="s">
        <v>2446</v>
      </c>
      <c r="AQ100" t="s">
        <v>2447</v>
      </c>
      <c r="AR100" t="s">
        <v>2448</v>
      </c>
      <c r="AS100" t="s">
        <v>290</v>
      </c>
      <c r="AT100" t="s">
        <v>2449</v>
      </c>
      <c r="AU100" t="s">
        <v>2450</v>
      </c>
      <c r="AV100" t="s">
        <v>2451</v>
      </c>
      <c r="AW100" t="s">
        <v>2452</v>
      </c>
      <c r="AX100" t="s">
        <v>2453</v>
      </c>
      <c r="AY100" t="s">
        <v>2454</v>
      </c>
      <c r="AZ100" t="s">
        <v>2455</v>
      </c>
      <c r="BA100">
        <v>1</v>
      </c>
      <c r="BB100">
        <v>47.49</v>
      </c>
      <c r="BC100">
        <v>2</v>
      </c>
      <c r="BD100">
        <v>4.18</v>
      </c>
      <c r="BE100">
        <v>4.28</v>
      </c>
      <c r="BF100">
        <v>4.17</v>
      </c>
      <c r="BG100" t="s">
        <v>2456</v>
      </c>
      <c r="BH100" t="s">
        <v>2457</v>
      </c>
      <c r="BI100" t="s">
        <v>2458</v>
      </c>
      <c r="BJ100" t="s">
        <v>101</v>
      </c>
      <c r="BK100" t="s">
        <v>2459</v>
      </c>
      <c r="BL100" t="s">
        <v>2460</v>
      </c>
      <c r="BM100" t="s">
        <v>2461</v>
      </c>
      <c r="BN100" t="s">
        <v>2073</v>
      </c>
    </row>
    <row r="101" spans="1:66" x14ac:dyDescent="0.25">
      <c r="A101" t="str">
        <f>HYPERLINK("https://elite.finviz.com/quote.ashx?t=ARTV&amp;ty=c&amp;p=d&amp;b=1", "ARTV")</f>
        <v>ARTV</v>
      </c>
      <c r="B101">
        <v>7</v>
      </c>
      <c r="C101">
        <v>149.72999999999999</v>
      </c>
      <c r="D101">
        <v>53.8</v>
      </c>
      <c r="E101" t="s">
        <v>2462</v>
      </c>
      <c r="F101" t="s">
        <v>107</v>
      </c>
      <c r="G101" t="s">
        <v>428</v>
      </c>
      <c r="H101" t="s">
        <v>429</v>
      </c>
      <c r="I101" t="s">
        <v>70</v>
      </c>
      <c r="J101" t="s">
        <v>321</v>
      </c>
      <c r="K101">
        <v>71.8</v>
      </c>
      <c r="L101">
        <v>2.94</v>
      </c>
      <c r="M101" t="s">
        <v>1690</v>
      </c>
      <c r="N101">
        <v>119292</v>
      </c>
      <c r="S101">
        <v>0.48</v>
      </c>
      <c r="AA101">
        <v>-3.09</v>
      </c>
      <c r="AB101" t="s">
        <v>2463</v>
      </c>
      <c r="AC101" t="s">
        <v>2464</v>
      </c>
      <c r="AD101" t="s">
        <v>2465</v>
      </c>
      <c r="AF101" t="s">
        <v>2466</v>
      </c>
      <c r="AI101" t="s">
        <v>2467</v>
      </c>
      <c r="AJ101" t="s">
        <v>2468</v>
      </c>
      <c r="AK101" t="s">
        <v>2469</v>
      </c>
      <c r="AL101">
        <v>13.84</v>
      </c>
      <c r="AM101">
        <v>13.84</v>
      </c>
      <c r="AN101">
        <v>0.09</v>
      </c>
      <c r="AR101" t="s">
        <v>2470</v>
      </c>
      <c r="AS101" t="s">
        <v>2471</v>
      </c>
      <c r="AT101" t="s">
        <v>2472</v>
      </c>
      <c r="AU101" t="s">
        <v>2473</v>
      </c>
      <c r="AV101" t="s">
        <v>2474</v>
      </c>
      <c r="AW101" t="s">
        <v>2475</v>
      </c>
      <c r="AX101" t="s">
        <v>2476</v>
      </c>
      <c r="AY101" t="s">
        <v>2477</v>
      </c>
      <c r="AZ101" t="s">
        <v>2478</v>
      </c>
      <c r="BA101">
        <v>1</v>
      </c>
      <c r="BB101">
        <v>185.68</v>
      </c>
      <c r="BC101">
        <v>2.2599999999999998</v>
      </c>
      <c r="BD101">
        <v>3.01</v>
      </c>
      <c r="BE101">
        <v>3.01</v>
      </c>
      <c r="BF101">
        <v>2.9</v>
      </c>
      <c r="BG101" t="s">
        <v>2479</v>
      </c>
      <c r="BH101" t="s">
        <v>2477</v>
      </c>
      <c r="BI101" t="s">
        <v>2478</v>
      </c>
      <c r="BJ101" t="s">
        <v>101</v>
      </c>
      <c r="BK101" t="s">
        <v>2478</v>
      </c>
      <c r="BL101" t="s">
        <v>2480</v>
      </c>
      <c r="BM101" t="s">
        <v>2481</v>
      </c>
      <c r="BN101" t="s">
        <v>2073</v>
      </c>
    </row>
    <row r="102" spans="1:66" x14ac:dyDescent="0.25">
      <c r="A102" t="str">
        <f>HYPERLINK("https://elite.finviz.com/quote.ashx?t=FC&amp;ty=c&amp;p=d&amp;b=1", "FC")</f>
        <v>FC</v>
      </c>
      <c r="B102">
        <v>7</v>
      </c>
      <c r="C102">
        <v>149.72999999999999</v>
      </c>
      <c r="D102">
        <v>53.89</v>
      </c>
      <c r="E102" t="s">
        <v>2482</v>
      </c>
      <c r="F102" t="s">
        <v>67</v>
      </c>
      <c r="G102" t="s">
        <v>2244</v>
      </c>
      <c r="H102" t="s">
        <v>2483</v>
      </c>
      <c r="I102" t="s">
        <v>70</v>
      </c>
      <c r="J102" t="s">
        <v>71</v>
      </c>
      <c r="K102">
        <v>251.45</v>
      </c>
      <c r="L102">
        <v>19.89</v>
      </c>
      <c r="M102" t="s">
        <v>2484</v>
      </c>
      <c r="N102">
        <v>165737</v>
      </c>
      <c r="O102">
        <v>25.15</v>
      </c>
      <c r="P102">
        <v>23.2</v>
      </c>
      <c r="R102">
        <v>0.9</v>
      </c>
      <c r="S102">
        <v>3.83</v>
      </c>
      <c r="Z102" t="s">
        <v>164</v>
      </c>
      <c r="AA102">
        <v>0.79</v>
      </c>
      <c r="AB102" t="s">
        <v>2485</v>
      </c>
      <c r="AE102" t="s">
        <v>2486</v>
      </c>
      <c r="AF102" t="s">
        <v>2487</v>
      </c>
      <c r="AG102" t="s">
        <v>197</v>
      </c>
      <c r="AH102" t="s">
        <v>2488</v>
      </c>
      <c r="AI102" t="s">
        <v>2489</v>
      </c>
      <c r="AJ102" t="s">
        <v>164</v>
      </c>
      <c r="AK102" t="s">
        <v>2490</v>
      </c>
      <c r="AL102">
        <v>0.84</v>
      </c>
      <c r="AM102">
        <v>0.81</v>
      </c>
      <c r="AN102">
        <v>0.04</v>
      </c>
      <c r="AO102" t="s">
        <v>2491</v>
      </c>
      <c r="AP102" t="s">
        <v>2492</v>
      </c>
      <c r="AQ102" t="s">
        <v>2493</v>
      </c>
      <c r="AR102" t="s">
        <v>2494</v>
      </c>
      <c r="AS102" t="s">
        <v>2495</v>
      </c>
      <c r="AT102" t="s">
        <v>2496</v>
      </c>
      <c r="AU102" t="s">
        <v>1599</v>
      </c>
      <c r="AV102" t="s">
        <v>2497</v>
      </c>
      <c r="AW102" t="s">
        <v>2498</v>
      </c>
      <c r="AX102" t="s">
        <v>2499</v>
      </c>
      <c r="AY102" t="s">
        <v>2500</v>
      </c>
      <c r="AZ102" t="s">
        <v>2499</v>
      </c>
      <c r="BA102">
        <v>1</v>
      </c>
      <c r="BB102">
        <v>140.96</v>
      </c>
      <c r="BC102">
        <v>4.1399999999999997</v>
      </c>
      <c r="BD102">
        <v>19.100000000000001</v>
      </c>
      <c r="BE102">
        <v>20.55</v>
      </c>
      <c r="BF102">
        <v>19.37</v>
      </c>
      <c r="BG102" t="s">
        <v>2501</v>
      </c>
      <c r="BH102" t="s">
        <v>2502</v>
      </c>
      <c r="BI102" t="s">
        <v>2503</v>
      </c>
      <c r="BJ102" t="s">
        <v>101</v>
      </c>
      <c r="BK102" t="s">
        <v>2504</v>
      </c>
      <c r="BL102" t="s">
        <v>2505</v>
      </c>
      <c r="BM102" t="s">
        <v>2506</v>
      </c>
      <c r="BN102" t="s">
        <v>2073</v>
      </c>
    </row>
    <row r="103" spans="1:66" x14ac:dyDescent="0.25">
      <c r="A103" t="str">
        <f>HYPERLINK("https://elite.finviz.com/quote.ashx?t=RCMT&amp;ty=c&amp;p=d&amp;b=1", "RCMT")</f>
        <v>RCMT</v>
      </c>
      <c r="B103">
        <v>7</v>
      </c>
      <c r="C103">
        <v>149.72999999999999</v>
      </c>
      <c r="D103">
        <v>54.59</v>
      </c>
      <c r="E103" t="s">
        <v>2507</v>
      </c>
      <c r="F103" t="s">
        <v>67</v>
      </c>
      <c r="G103" t="s">
        <v>260</v>
      </c>
      <c r="H103" t="s">
        <v>2508</v>
      </c>
      <c r="I103" t="s">
        <v>70</v>
      </c>
      <c r="J103" t="s">
        <v>321</v>
      </c>
      <c r="K103">
        <v>199.16</v>
      </c>
      <c r="L103">
        <v>26.88</v>
      </c>
      <c r="M103" t="s">
        <v>2509</v>
      </c>
      <c r="N103">
        <v>31200</v>
      </c>
      <c r="O103">
        <v>15.22</v>
      </c>
      <c r="P103">
        <v>10.18</v>
      </c>
      <c r="R103">
        <v>0.66</v>
      </c>
      <c r="S103">
        <v>5.26</v>
      </c>
      <c r="V103" t="s">
        <v>2510</v>
      </c>
      <c r="Z103" t="s">
        <v>164</v>
      </c>
      <c r="AA103">
        <v>1.77</v>
      </c>
      <c r="AB103" t="s">
        <v>2511</v>
      </c>
      <c r="AC103" t="s">
        <v>2512</v>
      </c>
      <c r="AE103" t="s">
        <v>2513</v>
      </c>
      <c r="AF103" t="s">
        <v>2514</v>
      </c>
      <c r="AG103" t="s">
        <v>2515</v>
      </c>
      <c r="AH103" t="s">
        <v>2516</v>
      </c>
      <c r="AI103" t="s">
        <v>2517</v>
      </c>
      <c r="AJ103" t="s">
        <v>2518</v>
      </c>
      <c r="AK103" t="s">
        <v>2519</v>
      </c>
      <c r="AL103">
        <v>1.85</v>
      </c>
      <c r="AM103">
        <v>1.85</v>
      </c>
      <c r="AN103">
        <v>1.07</v>
      </c>
      <c r="AO103" t="s">
        <v>2520</v>
      </c>
      <c r="AP103" t="s">
        <v>2521</v>
      </c>
      <c r="AQ103" t="s">
        <v>169</v>
      </c>
      <c r="AR103" t="s">
        <v>901</v>
      </c>
      <c r="AS103" t="s">
        <v>2522</v>
      </c>
      <c r="AT103" t="s">
        <v>2263</v>
      </c>
      <c r="AU103" t="s">
        <v>2523</v>
      </c>
      <c r="AV103" t="s">
        <v>2524</v>
      </c>
      <c r="AW103" t="s">
        <v>1074</v>
      </c>
      <c r="AX103" t="s">
        <v>2525</v>
      </c>
      <c r="AY103" t="s">
        <v>1074</v>
      </c>
      <c r="AZ103" t="s">
        <v>2526</v>
      </c>
      <c r="BA103">
        <v>1</v>
      </c>
      <c r="BB103">
        <v>60.84</v>
      </c>
      <c r="BC103">
        <v>1.82</v>
      </c>
      <c r="BD103">
        <v>26.53</v>
      </c>
      <c r="BE103">
        <v>27.25</v>
      </c>
      <c r="BF103">
        <v>26.53</v>
      </c>
      <c r="BG103" t="s">
        <v>2527</v>
      </c>
      <c r="BH103" t="s">
        <v>2528</v>
      </c>
      <c r="BI103" t="s">
        <v>2529</v>
      </c>
      <c r="BJ103" t="s">
        <v>101</v>
      </c>
      <c r="BK103" t="s">
        <v>2530</v>
      </c>
      <c r="BL103" t="s">
        <v>2531</v>
      </c>
      <c r="BM103" t="s">
        <v>2532</v>
      </c>
      <c r="BN103" t="s">
        <v>2073</v>
      </c>
    </row>
    <row r="104" spans="1:66" x14ac:dyDescent="0.25">
      <c r="A104" t="str">
        <f>HYPERLINK("https://elite.finviz.com/quote.ashx?t=ASRT&amp;ty=c&amp;p=d&amp;b=1", "ASRT")</f>
        <v>ASRT</v>
      </c>
      <c r="B104">
        <v>7</v>
      </c>
      <c r="C104">
        <v>149.72999999999999</v>
      </c>
      <c r="D104">
        <v>54.81</v>
      </c>
      <c r="E104" t="s">
        <v>2533</v>
      </c>
      <c r="F104" t="s">
        <v>107</v>
      </c>
      <c r="G104" t="s">
        <v>428</v>
      </c>
      <c r="H104" t="s">
        <v>1296</v>
      </c>
      <c r="I104" t="s">
        <v>70</v>
      </c>
      <c r="J104" t="s">
        <v>321</v>
      </c>
      <c r="K104">
        <v>85.02</v>
      </c>
      <c r="L104">
        <v>0.88</v>
      </c>
      <c r="M104" t="s">
        <v>1580</v>
      </c>
      <c r="N104">
        <v>166234</v>
      </c>
      <c r="R104">
        <v>0.73</v>
      </c>
      <c r="S104">
        <v>0.91</v>
      </c>
      <c r="AA104">
        <v>-0.45</v>
      </c>
      <c r="AB104" t="s">
        <v>2534</v>
      </c>
      <c r="AC104" t="s">
        <v>2535</v>
      </c>
      <c r="AE104" t="s">
        <v>2536</v>
      </c>
      <c r="AF104" t="s">
        <v>289</v>
      </c>
      <c r="AG104" t="s">
        <v>2537</v>
      </c>
      <c r="AH104" t="s">
        <v>2538</v>
      </c>
      <c r="AI104" t="s">
        <v>2539</v>
      </c>
      <c r="AJ104" t="s">
        <v>164</v>
      </c>
      <c r="AK104" t="s">
        <v>1569</v>
      </c>
      <c r="AL104">
        <v>1.59</v>
      </c>
      <c r="AM104">
        <v>1.34</v>
      </c>
      <c r="AN104">
        <v>0.49</v>
      </c>
      <c r="AO104" t="s">
        <v>2540</v>
      </c>
      <c r="AP104" t="s">
        <v>2541</v>
      </c>
      <c r="AQ104" t="s">
        <v>1069</v>
      </c>
      <c r="AR104" t="s">
        <v>276</v>
      </c>
      <c r="AS104" t="s">
        <v>2542</v>
      </c>
      <c r="AT104" t="s">
        <v>2543</v>
      </c>
      <c r="AU104" t="s">
        <v>2513</v>
      </c>
      <c r="AV104" t="s">
        <v>2544</v>
      </c>
      <c r="AW104" t="s">
        <v>2545</v>
      </c>
      <c r="AX104" t="s">
        <v>2546</v>
      </c>
      <c r="AY104" t="s">
        <v>2547</v>
      </c>
      <c r="AZ104" t="s">
        <v>2548</v>
      </c>
      <c r="BA104">
        <v>1</v>
      </c>
      <c r="BB104">
        <v>269.92</v>
      </c>
      <c r="BC104">
        <v>2.17</v>
      </c>
      <c r="BD104">
        <v>0.93</v>
      </c>
      <c r="BE104">
        <v>0.92</v>
      </c>
      <c r="BF104">
        <v>0.88</v>
      </c>
      <c r="BG104" t="s">
        <v>2549</v>
      </c>
      <c r="BH104" t="s">
        <v>2550</v>
      </c>
      <c r="BI104" t="s">
        <v>2548</v>
      </c>
      <c r="BJ104" t="s">
        <v>101</v>
      </c>
      <c r="BK104" t="s">
        <v>2551</v>
      </c>
      <c r="BL104" t="s">
        <v>1778</v>
      </c>
      <c r="BM104" t="s">
        <v>2552</v>
      </c>
      <c r="BN104" t="s">
        <v>2073</v>
      </c>
    </row>
    <row r="105" spans="1:66" x14ac:dyDescent="0.25">
      <c r="A105" t="str">
        <f>HYPERLINK("https://elite.finviz.com/quote.ashx?t=PLPC&amp;ty=c&amp;p=d&amp;b=1", "PLPC")</f>
        <v>PLPC</v>
      </c>
      <c r="B105">
        <v>7</v>
      </c>
      <c r="C105">
        <v>149.72999999999999</v>
      </c>
      <c r="D105">
        <v>55.24</v>
      </c>
      <c r="E105" t="s">
        <v>2553</v>
      </c>
      <c r="F105" t="s">
        <v>67</v>
      </c>
      <c r="G105" t="s">
        <v>260</v>
      </c>
      <c r="H105" t="s">
        <v>1128</v>
      </c>
      <c r="I105" t="s">
        <v>70</v>
      </c>
      <c r="J105" t="s">
        <v>321</v>
      </c>
      <c r="K105">
        <v>969.9</v>
      </c>
      <c r="L105">
        <v>196.94</v>
      </c>
      <c r="M105" t="s">
        <v>174</v>
      </c>
      <c r="N105">
        <v>69709</v>
      </c>
      <c r="O105">
        <v>23.01</v>
      </c>
      <c r="R105">
        <v>1.53</v>
      </c>
      <c r="S105">
        <v>2.11</v>
      </c>
      <c r="T105" t="s">
        <v>1765</v>
      </c>
      <c r="U105">
        <v>0.8</v>
      </c>
      <c r="V105" t="s">
        <v>700</v>
      </c>
      <c r="W105" t="s">
        <v>164</v>
      </c>
      <c r="X105" t="s">
        <v>164</v>
      </c>
      <c r="Y105" t="s">
        <v>164</v>
      </c>
      <c r="Z105" t="s">
        <v>531</v>
      </c>
      <c r="AA105">
        <v>8.56</v>
      </c>
      <c r="AB105" t="s">
        <v>2554</v>
      </c>
      <c r="AC105" t="s">
        <v>2555</v>
      </c>
      <c r="AE105" t="s">
        <v>2447</v>
      </c>
      <c r="AF105" t="s">
        <v>2523</v>
      </c>
      <c r="AG105" t="s">
        <v>755</v>
      </c>
      <c r="AH105" t="s">
        <v>2556</v>
      </c>
      <c r="AJ105" t="s">
        <v>164</v>
      </c>
      <c r="AK105" t="s">
        <v>2557</v>
      </c>
      <c r="AL105">
        <v>3.08</v>
      </c>
      <c r="AM105">
        <v>1.83</v>
      </c>
      <c r="AN105">
        <v>0.1</v>
      </c>
      <c r="AO105" t="s">
        <v>2558</v>
      </c>
      <c r="AP105" t="s">
        <v>2559</v>
      </c>
      <c r="AQ105" t="s">
        <v>616</v>
      </c>
      <c r="AR105" t="s">
        <v>1981</v>
      </c>
      <c r="AS105" t="s">
        <v>203</v>
      </c>
      <c r="AT105" t="s">
        <v>2560</v>
      </c>
      <c r="AU105" t="s">
        <v>847</v>
      </c>
      <c r="AV105" t="s">
        <v>2561</v>
      </c>
      <c r="AW105" t="s">
        <v>2562</v>
      </c>
      <c r="AX105" t="s">
        <v>2563</v>
      </c>
      <c r="AY105" t="s">
        <v>2562</v>
      </c>
      <c r="AZ105" t="s">
        <v>2564</v>
      </c>
      <c r="BA105">
        <v>1</v>
      </c>
      <c r="BB105">
        <v>90.84</v>
      </c>
      <c r="BC105">
        <v>2.73</v>
      </c>
      <c r="BD105">
        <v>198.53</v>
      </c>
      <c r="BE105">
        <v>200.88</v>
      </c>
      <c r="BF105">
        <v>194.38</v>
      </c>
      <c r="BG105" t="s">
        <v>2565</v>
      </c>
      <c r="BH105" t="s">
        <v>2562</v>
      </c>
      <c r="BI105" t="s">
        <v>2566</v>
      </c>
      <c r="BJ105" t="s">
        <v>101</v>
      </c>
      <c r="BK105" t="s">
        <v>2567</v>
      </c>
      <c r="BL105" t="s">
        <v>2568</v>
      </c>
      <c r="BM105" t="s">
        <v>2569</v>
      </c>
      <c r="BN105" t="s">
        <v>2073</v>
      </c>
    </row>
    <row r="106" spans="1:66" x14ac:dyDescent="0.25">
      <c r="A106" t="str">
        <f>HYPERLINK("https://elite.finviz.com/quote.ashx?t=RVSB&amp;ty=c&amp;p=d&amp;b=1", "RVSB")</f>
        <v>RVSB</v>
      </c>
      <c r="B106">
        <v>7</v>
      </c>
      <c r="C106">
        <v>149.72999999999999</v>
      </c>
      <c r="D106">
        <v>55.84</v>
      </c>
      <c r="E106" t="s">
        <v>2570</v>
      </c>
      <c r="F106" t="s">
        <v>67</v>
      </c>
      <c r="G106" t="s">
        <v>550</v>
      </c>
      <c r="H106" t="s">
        <v>697</v>
      </c>
      <c r="I106" t="s">
        <v>70</v>
      </c>
      <c r="J106" t="s">
        <v>321</v>
      </c>
      <c r="K106">
        <v>108.51</v>
      </c>
      <c r="L106">
        <v>5.18</v>
      </c>
      <c r="M106" t="s">
        <v>2571</v>
      </c>
      <c r="N106">
        <v>24246</v>
      </c>
      <c r="O106">
        <v>21.11</v>
      </c>
      <c r="P106">
        <v>12.33</v>
      </c>
      <c r="R106">
        <v>1.46</v>
      </c>
      <c r="S106">
        <v>0.67</v>
      </c>
      <c r="T106" t="s">
        <v>2572</v>
      </c>
      <c r="U106">
        <v>0.08</v>
      </c>
      <c r="V106" t="s">
        <v>2573</v>
      </c>
      <c r="W106" t="s">
        <v>867</v>
      </c>
      <c r="X106" t="s">
        <v>2574</v>
      </c>
      <c r="Y106" t="s">
        <v>2575</v>
      </c>
      <c r="Z106" t="s">
        <v>2576</v>
      </c>
      <c r="AA106">
        <v>0.25</v>
      </c>
      <c r="AB106" t="s">
        <v>2577</v>
      </c>
      <c r="AC106" t="s">
        <v>2578</v>
      </c>
      <c r="AE106" t="s">
        <v>2579</v>
      </c>
      <c r="AF106" t="s">
        <v>2580</v>
      </c>
      <c r="AG106" t="s">
        <v>1932</v>
      </c>
      <c r="AH106" t="s">
        <v>2581</v>
      </c>
      <c r="AI106" t="s">
        <v>1746</v>
      </c>
      <c r="AJ106" t="s">
        <v>2582</v>
      </c>
      <c r="AK106" t="s">
        <v>2583</v>
      </c>
      <c r="AL106">
        <v>21.13</v>
      </c>
      <c r="AN106">
        <v>0.86</v>
      </c>
      <c r="AP106" t="s">
        <v>2584</v>
      </c>
      <c r="AQ106" t="s">
        <v>2585</v>
      </c>
      <c r="AR106" t="s">
        <v>2202</v>
      </c>
      <c r="AS106" t="s">
        <v>1768</v>
      </c>
      <c r="AT106" t="s">
        <v>307</v>
      </c>
      <c r="AU106" t="s">
        <v>2339</v>
      </c>
      <c r="AV106" t="s">
        <v>2586</v>
      </c>
      <c r="AW106" t="s">
        <v>2587</v>
      </c>
      <c r="AX106" t="s">
        <v>684</v>
      </c>
      <c r="AY106" t="s">
        <v>2588</v>
      </c>
      <c r="AZ106" t="s">
        <v>2589</v>
      </c>
      <c r="BA106">
        <v>2</v>
      </c>
      <c r="BB106">
        <v>120.62</v>
      </c>
      <c r="BC106">
        <v>0.71</v>
      </c>
      <c r="BD106">
        <v>5.15</v>
      </c>
      <c r="BE106">
        <v>5.19</v>
      </c>
      <c r="BF106">
        <v>5.16</v>
      </c>
      <c r="BG106" t="s">
        <v>2590</v>
      </c>
      <c r="BH106" t="s">
        <v>2591</v>
      </c>
      <c r="BI106" t="s">
        <v>2592</v>
      </c>
      <c r="BJ106" t="s">
        <v>101</v>
      </c>
      <c r="BK106" t="s">
        <v>2593</v>
      </c>
      <c r="BL106" t="s">
        <v>2594</v>
      </c>
      <c r="BM106" t="s">
        <v>2595</v>
      </c>
      <c r="BN106" t="s">
        <v>2073</v>
      </c>
    </row>
    <row r="107" spans="1:66" x14ac:dyDescent="0.25">
      <c r="A107" t="str">
        <f>HYPERLINK("https://elite.finviz.com/quote.ashx?t=LIEN&amp;ty=c&amp;p=d&amp;b=1", "LIEN")</f>
        <v>LIEN</v>
      </c>
      <c r="B107">
        <v>7</v>
      </c>
      <c r="C107">
        <v>149.72999999999999</v>
      </c>
      <c r="D107">
        <v>56.43</v>
      </c>
      <c r="E107" t="s">
        <v>2596</v>
      </c>
      <c r="F107" t="s">
        <v>107</v>
      </c>
      <c r="G107" t="s">
        <v>550</v>
      </c>
      <c r="H107" t="s">
        <v>2597</v>
      </c>
      <c r="I107" t="s">
        <v>70</v>
      </c>
      <c r="J107" t="s">
        <v>321</v>
      </c>
      <c r="K107">
        <v>253.98</v>
      </c>
      <c r="L107">
        <v>11.13</v>
      </c>
      <c r="M107" t="s">
        <v>581</v>
      </c>
      <c r="N107">
        <v>25326</v>
      </c>
      <c r="O107">
        <v>10.78</v>
      </c>
      <c r="P107">
        <v>7.57</v>
      </c>
      <c r="Q107">
        <v>0.61</v>
      </c>
      <c r="R107">
        <v>6.23</v>
      </c>
      <c r="S107">
        <v>0.84</v>
      </c>
      <c r="T107" t="s">
        <v>2471</v>
      </c>
      <c r="U107">
        <v>1.27</v>
      </c>
      <c r="V107" t="s">
        <v>2598</v>
      </c>
      <c r="W107" t="s">
        <v>2599</v>
      </c>
      <c r="Z107" t="s">
        <v>2600</v>
      </c>
      <c r="AA107">
        <v>1.03</v>
      </c>
      <c r="AD107" t="s">
        <v>2601</v>
      </c>
      <c r="AF107" t="s">
        <v>2602</v>
      </c>
      <c r="AH107" t="s">
        <v>2603</v>
      </c>
      <c r="AI107" t="s">
        <v>2604</v>
      </c>
      <c r="AJ107" t="s">
        <v>497</v>
      </c>
      <c r="AK107" t="s">
        <v>2605</v>
      </c>
      <c r="AL107">
        <v>3.31</v>
      </c>
      <c r="AM107">
        <v>3.31</v>
      </c>
      <c r="AN107">
        <v>0.02</v>
      </c>
      <c r="AO107" t="s">
        <v>2606</v>
      </c>
      <c r="AP107" t="s">
        <v>2607</v>
      </c>
      <c r="AQ107" t="s">
        <v>2608</v>
      </c>
      <c r="AR107" t="s">
        <v>1769</v>
      </c>
      <c r="AS107" t="s">
        <v>1768</v>
      </c>
      <c r="AT107" t="s">
        <v>2609</v>
      </c>
      <c r="AU107" t="s">
        <v>1449</v>
      </c>
      <c r="AV107" t="s">
        <v>2610</v>
      </c>
      <c r="AW107" t="s">
        <v>72</v>
      </c>
      <c r="AX107" t="s">
        <v>185</v>
      </c>
      <c r="AY107" t="s">
        <v>2611</v>
      </c>
      <c r="AZ107" t="s">
        <v>2612</v>
      </c>
      <c r="BA107">
        <v>2</v>
      </c>
      <c r="BB107">
        <v>45.53</v>
      </c>
      <c r="BC107">
        <v>1.98</v>
      </c>
      <c r="BD107">
        <v>11.01</v>
      </c>
      <c r="BE107">
        <v>11.23</v>
      </c>
      <c r="BF107">
        <v>11.02</v>
      </c>
      <c r="BG107" t="s">
        <v>2613</v>
      </c>
      <c r="BH107" t="s">
        <v>2614</v>
      </c>
      <c r="BI107" t="s">
        <v>2615</v>
      </c>
      <c r="BJ107" t="s">
        <v>101</v>
      </c>
      <c r="BK107" t="s">
        <v>185</v>
      </c>
      <c r="BL107" t="s">
        <v>2616</v>
      </c>
      <c r="BM107" t="s">
        <v>2617</v>
      </c>
      <c r="BN107" t="s">
        <v>2073</v>
      </c>
    </row>
    <row r="108" spans="1:66" x14ac:dyDescent="0.25">
      <c r="A108" t="str">
        <f>HYPERLINK("https://elite.finviz.com/quote.ashx?t=BOTJ&amp;ty=c&amp;p=d&amp;b=1", "BOTJ")</f>
        <v>BOTJ</v>
      </c>
      <c r="B108">
        <v>7</v>
      </c>
      <c r="C108">
        <v>149.72999999999999</v>
      </c>
      <c r="D108">
        <v>57.72</v>
      </c>
      <c r="E108" t="s">
        <v>2618</v>
      </c>
      <c r="F108" t="s">
        <v>107</v>
      </c>
      <c r="G108" t="s">
        <v>550</v>
      </c>
      <c r="H108" t="s">
        <v>697</v>
      </c>
      <c r="I108" t="s">
        <v>70</v>
      </c>
      <c r="J108" t="s">
        <v>321</v>
      </c>
      <c r="K108">
        <v>70.42</v>
      </c>
      <c r="L108">
        <v>15.5</v>
      </c>
      <c r="M108" t="s">
        <v>2203</v>
      </c>
      <c r="N108">
        <v>1441</v>
      </c>
      <c r="O108">
        <v>9.84</v>
      </c>
      <c r="R108">
        <v>1.1499999999999999</v>
      </c>
      <c r="S108">
        <v>0.98</v>
      </c>
      <c r="T108" t="s">
        <v>2619</v>
      </c>
      <c r="U108">
        <v>0.4</v>
      </c>
      <c r="V108" t="s">
        <v>2620</v>
      </c>
      <c r="W108" t="s">
        <v>2621</v>
      </c>
      <c r="X108" t="s">
        <v>1360</v>
      </c>
      <c r="Y108" t="s">
        <v>2622</v>
      </c>
      <c r="Z108" t="s">
        <v>2623</v>
      </c>
      <c r="AA108">
        <v>1.57</v>
      </c>
      <c r="AB108" t="s">
        <v>2624</v>
      </c>
      <c r="AC108" t="s">
        <v>864</v>
      </c>
      <c r="AE108" t="s">
        <v>2625</v>
      </c>
      <c r="AF108" t="s">
        <v>2626</v>
      </c>
      <c r="AG108" t="s">
        <v>2627</v>
      </c>
      <c r="AH108" t="s">
        <v>2384</v>
      </c>
      <c r="AJ108" t="s">
        <v>617</v>
      </c>
      <c r="AK108" t="s">
        <v>1953</v>
      </c>
      <c r="AL108">
        <v>0.57999999999999996</v>
      </c>
      <c r="AN108">
        <v>0.13</v>
      </c>
      <c r="AP108" t="s">
        <v>2628</v>
      </c>
      <c r="AQ108" t="s">
        <v>2629</v>
      </c>
      <c r="AR108" t="s">
        <v>2630</v>
      </c>
      <c r="AS108" t="s">
        <v>1025</v>
      </c>
      <c r="AT108" t="s">
        <v>2216</v>
      </c>
      <c r="AU108" t="s">
        <v>1772</v>
      </c>
      <c r="AV108" t="s">
        <v>2192</v>
      </c>
      <c r="AW108" t="s">
        <v>2372</v>
      </c>
      <c r="AX108" t="s">
        <v>2631</v>
      </c>
      <c r="AY108" t="s">
        <v>2632</v>
      </c>
      <c r="AZ108" t="s">
        <v>263</v>
      </c>
      <c r="BB108">
        <v>3.1</v>
      </c>
      <c r="BC108">
        <v>1.64</v>
      </c>
      <c r="BD108">
        <v>15.57</v>
      </c>
      <c r="BE108">
        <v>15.56</v>
      </c>
      <c r="BF108">
        <v>15.56</v>
      </c>
      <c r="BG108" t="s">
        <v>2633</v>
      </c>
      <c r="BH108" t="s">
        <v>985</v>
      </c>
      <c r="BI108" t="s">
        <v>2634</v>
      </c>
      <c r="BJ108" t="s">
        <v>101</v>
      </c>
      <c r="BK108" t="s">
        <v>2635</v>
      </c>
      <c r="BL108" t="s">
        <v>2636</v>
      </c>
      <c r="BM108" t="s">
        <v>949</v>
      </c>
      <c r="BN108" t="s">
        <v>2073</v>
      </c>
    </row>
    <row r="109" spans="1:66" x14ac:dyDescent="0.25">
      <c r="A109" t="str">
        <f>HYPERLINK("https://elite.finviz.com/quote.ashx?t=BACQ&amp;ty=c&amp;p=d&amp;b=1", "BACQ")</f>
        <v>BACQ</v>
      </c>
      <c r="B109">
        <v>7</v>
      </c>
      <c r="C109">
        <v>149.72999999999999</v>
      </c>
      <c r="D109">
        <v>57.83</v>
      </c>
      <c r="E109" t="s">
        <v>2637</v>
      </c>
      <c r="F109" t="s">
        <v>107</v>
      </c>
      <c r="G109" t="s">
        <v>550</v>
      </c>
      <c r="H109" t="s">
        <v>2120</v>
      </c>
      <c r="I109" t="s">
        <v>70</v>
      </c>
      <c r="J109" t="s">
        <v>321</v>
      </c>
      <c r="K109">
        <v>351.1</v>
      </c>
      <c r="L109">
        <v>10.4</v>
      </c>
      <c r="M109" t="s">
        <v>2638</v>
      </c>
      <c r="N109">
        <v>257205</v>
      </c>
      <c r="O109">
        <v>55.41</v>
      </c>
      <c r="Z109" t="s">
        <v>164</v>
      </c>
      <c r="AA109">
        <v>0.19</v>
      </c>
      <c r="AJ109" t="s">
        <v>164</v>
      </c>
      <c r="AK109" t="s">
        <v>2639</v>
      </c>
      <c r="AL109">
        <v>1.62</v>
      </c>
      <c r="AM109">
        <v>1.62</v>
      </c>
      <c r="AN109">
        <v>0</v>
      </c>
      <c r="AR109" t="s">
        <v>2640</v>
      </c>
      <c r="AS109" t="s">
        <v>1764</v>
      </c>
      <c r="AT109" t="s">
        <v>2641</v>
      </c>
      <c r="AU109" t="s">
        <v>2642</v>
      </c>
      <c r="AV109" t="s">
        <v>2643</v>
      </c>
      <c r="AW109" t="s">
        <v>1571</v>
      </c>
      <c r="AX109" t="s">
        <v>2644</v>
      </c>
      <c r="AY109" t="s">
        <v>1571</v>
      </c>
      <c r="AZ109" t="s">
        <v>2174</v>
      </c>
      <c r="BB109">
        <v>95.37</v>
      </c>
      <c r="BC109">
        <v>9.58</v>
      </c>
      <c r="BD109">
        <v>10.41</v>
      </c>
      <c r="BE109">
        <v>10.4</v>
      </c>
      <c r="BF109">
        <v>10.39</v>
      </c>
      <c r="BG109" t="s">
        <v>2645</v>
      </c>
      <c r="BH109" t="s">
        <v>1571</v>
      </c>
      <c r="BI109" t="s">
        <v>2174</v>
      </c>
      <c r="BJ109" t="s">
        <v>101</v>
      </c>
      <c r="BK109" t="s">
        <v>2646</v>
      </c>
      <c r="BL109" t="s">
        <v>2647</v>
      </c>
      <c r="BN109" t="s">
        <v>2073</v>
      </c>
    </row>
    <row r="110" spans="1:66" x14ac:dyDescent="0.25">
      <c r="A110" t="str">
        <f>HYPERLINK("https://elite.finviz.com/quote.ashx?t=BBW&amp;ty=c&amp;p=d&amp;b=1", "BBW")</f>
        <v>BBW</v>
      </c>
      <c r="B110">
        <v>7</v>
      </c>
      <c r="C110">
        <v>149.72999999999999</v>
      </c>
      <c r="D110">
        <v>57.92</v>
      </c>
      <c r="E110" t="s">
        <v>2648</v>
      </c>
      <c r="F110" t="s">
        <v>67</v>
      </c>
      <c r="G110" t="s">
        <v>813</v>
      </c>
      <c r="H110" t="s">
        <v>2262</v>
      </c>
      <c r="I110" t="s">
        <v>70</v>
      </c>
      <c r="J110" t="s">
        <v>71</v>
      </c>
      <c r="K110">
        <v>933.73</v>
      </c>
      <c r="L110">
        <v>71.14</v>
      </c>
      <c r="M110" t="s">
        <v>2649</v>
      </c>
      <c r="N110">
        <v>151633</v>
      </c>
      <c r="O110">
        <v>15.94</v>
      </c>
      <c r="P110">
        <v>16.07</v>
      </c>
      <c r="R110">
        <v>1.79</v>
      </c>
      <c r="S110">
        <v>6.02</v>
      </c>
      <c r="T110" t="s">
        <v>2650</v>
      </c>
      <c r="U110">
        <v>0.86</v>
      </c>
      <c r="V110" t="s">
        <v>2651</v>
      </c>
      <c r="Z110" t="s">
        <v>2652</v>
      </c>
      <c r="AA110">
        <v>4.46</v>
      </c>
      <c r="AB110" t="s">
        <v>2653</v>
      </c>
      <c r="AC110" t="s">
        <v>2654</v>
      </c>
      <c r="AE110" t="s">
        <v>2655</v>
      </c>
      <c r="AF110" t="s">
        <v>2232</v>
      </c>
      <c r="AG110" t="s">
        <v>710</v>
      </c>
      <c r="AH110" t="s">
        <v>2656</v>
      </c>
      <c r="AI110" t="s">
        <v>2657</v>
      </c>
      <c r="AJ110" t="s">
        <v>2452</v>
      </c>
      <c r="AK110" t="s">
        <v>2658</v>
      </c>
      <c r="AL110">
        <v>1.78</v>
      </c>
      <c r="AM110">
        <v>0.77</v>
      </c>
      <c r="AN110">
        <v>0.69</v>
      </c>
      <c r="AO110" t="s">
        <v>2659</v>
      </c>
      <c r="AP110" t="s">
        <v>2660</v>
      </c>
      <c r="AQ110" t="s">
        <v>2661</v>
      </c>
      <c r="AR110" t="s">
        <v>2662</v>
      </c>
      <c r="AS110" t="s">
        <v>272</v>
      </c>
      <c r="AT110" t="s">
        <v>2186</v>
      </c>
      <c r="AU110" t="s">
        <v>2663</v>
      </c>
      <c r="AV110" t="s">
        <v>2664</v>
      </c>
      <c r="AW110" t="s">
        <v>2665</v>
      </c>
      <c r="AX110" t="s">
        <v>2666</v>
      </c>
      <c r="AY110" t="s">
        <v>2665</v>
      </c>
      <c r="AZ110" t="s">
        <v>2667</v>
      </c>
      <c r="BA110">
        <v>1</v>
      </c>
      <c r="BB110">
        <v>310.43</v>
      </c>
      <c r="BC110">
        <v>1.72</v>
      </c>
      <c r="BD110">
        <v>72.41</v>
      </c>
      <c r="BE110">
        <v>74.38</v>
      </c>
      <c r="BF110">
        <v>70.760000000000005</v>
      </c>
      <c r="BG110" t="s">
        <v>2668</v>
      </c>
      <c r="BH110" t="s">
        <v>2665</v>
      </c>
      <c r="BI110" t="s">
        <v>2669</v>
      </c>
      <c r="BJ110" t="s">
        <v>101</v>
      </c>
      <c r="BK110" t="s">
        <v>2670</v>
      </c>
      <c r="BL110" t="s">
        <v>460</v>
      </c>
      <c r="BM110" t="s">
        <v>2671</v>
      </c>
      <c r="BN110" t="s">
        <v>2073</v>
      </c>
    </row>
    <row r="111" spans="1:66" x14ac:dyDescent="0.25">
      <c r="A111" t="str">
        <f>HYPERLINK("https://elite.finviz.com/quote.ashx?t=IDAI&amp;ty=c&amp;p=d&amp;b=1", "IDAI")</f>
        <v>IDAI</v>
      </c>
      <c r="B111">
        <v>7</v>
      </c>
      <c r="C111">
        <v>149.72999999999999</v>
      </c>
      <c r="D111">
        <v>58.24</v>
      </c>
      <c r="E111" t="s">
        <v>2672</v>
      </c>
      <c r="F111" t="s">
        <v>107</v>
      </c>
      <c r="G111" t="s">
        <v>108</v>
      </c>
      <c r="H111" t="s">
        <v>136</v>
      </c>
      <c r="I111" t="s">
        <v>70</v>
      </c>
      <c r="J111" t="s">
        <v>321</v>
      </c>
      <c r="K111">
        <v>8.3000000000000007</v>
      </c>
      <c r="L111">
        <v>3.27</v>
      </c>
      <c r="M111" t="s">
        <v>2673</v>
      </c>
      <c r="N111">
        <v>251109</v>
      </c>
      <c r="R111">
        <v>2.46</v>
      </c>
      <c r="S111">
        <v>3.33</v>
      </c>
      <c r="AA111">
        <v>-47.2</v>
      </c>
      <c r="AB111" t="s">
        <v>2674</v>
      </c>
      <c r="AC111" t="s">
        <v>2675</v>
      </c>
      <c r="AE111" t="s">
        <v>2676</v>
      </c>
      <c r="AF111" t="s">
        <v>2677</v>
      </c>
      <c r="AG111" t="s">
        <v>2678</v>
      </c>
      <c r="AH111" t="s">
        <v>2679</v>
      </c>
      <c r="AI111" t="s">
        <v>2680</v>
      </c>
      <c r="AJ111" t="s">
        <v>164</v>
      </c>
      <c r="AK111" t="s">
        <v>2219</v>
      </c>
      <c r="AL111">
        <v>0.87</v>
      </c>
      <c r="AM111">
        <v>0.87</v>
      </c>
      <c r="AN111">
        <v>0.51</v>
      </c>
      <c r="AO111" t="s">
        <v>2681</v>
      </c>
      <c r="AP111" t="s">
        <v>2682</v>
      </c>
      <c r="AQ111" t="s">
        <v>2683</v>
      </c>
      <c r="AR111" t="s">
        <v>2684</v>
      </c>
      <c r="AS111" t="s">
        <v>2685</v>
      </c>
      <c r="AT111" t="s">
        <v>334</v>
      </c>
      <c r="AU111" t="s">
        <v>177</v>
      </c>
      <c r="AV111" t="s">
        <v>2609</v>
      </c>
      <c r="AW111" t="s">
        <v>2686</v>
      </c>
      <c r="AX111" t="s">
        <v>2687</v>
      </c>
      <c r="AY111" t="s">
        <v>2688</v>
      </c>
      <c r="AZ111" t="s">
        <v>2689</v>
      </c>
      <c r="BA111">
        <v>1</v>
      </c>
      <c r="BB111">
        <v>483.92</v>
      </c>
      <c r="BC111">
        <v>1.83</v>
      </c>
      <c r="BD111">
        <v>3.36</v>
      </c>
      <c r="BE111">
        <v>3.46</v>
      </c>
      <c r="BF111">
        <v>3.22</v>
      </c>
      <c r="BG111" t="s">
        <v>2690</v>
      </c>
      <c r="BH111" t="s">
        <v>2691</v>
      </c>
      <c r="BI111" t="s">
        <v>2689</v>
      </c>
      <c r="BJ111" t="s">
        <v>101</v>
      </c>
      <c r="BK111" t="s">
        <v>2692</v>
      </c>
      <c r="BL111" t="s">
        <v>2693</v>
      </c>
      <c r="BM111" t="s">
        <v>2694</v>
      </c>
      <c r="BN111" t="s">
        <v>2073</v>
      </c>
    </row>
    <row r="112" spans="1:66" x14ac:dyDescent="0.25">
      <c r="A112" t="str">
        <f>HYPERLINK("https://elite.finviz.com/quote.ashx?t=HMR&amp;ty=c&amp;p=d&amp;b=1", "HMR")</f>
        <v>HMR</v>
      </c>
      <c r="B112">
        <v>7</v>
      </c>
      <c r="C112">
        <v>149.72999999999999</v>
      </c>
      <c r="D112">
        <v>58.52</v>
      </c>
      <c r="E112" t="s">
        <v>2695</v>
      </c>
      <c r="F112" t="s">
        <v>107</v>
      </c>
      <c r="G112" t="s">
        <v>260</v>
      </c>
      <c r="H112" t="s">
        <v>2696</v>
      </c>
      <c r="I112" t="s">
        <v>70</v>
      </c>
      <c r="J112" t="s">
        <v>321</v>
      </c>
      <c r="L112">
        <v>1.48</v>
      </c>
      <c r="M112" t="s">
        <v>744</v>
      </c>
      <c r="N112">
        <v>84139</v>
      </c>
      <c r="AR112" t="s">
        <v>2697</v>
      </c>
      <c r="AS112" t="s">
        <v>2698</v>
      </c>
      <c r="AT112" t="s">
        <v>2699</v>
      </c>
      <c r="AU112" t="s">
        <v>2700</v>
      </c>
      <c r="AV112" t="s">
        <v>2089</v>
      </c>
      <c r="AW112" t="s">
        <v>2701</v>
      </c>
      <c r="AX112" t="s">
        <v>2702</v>
      </c>
      <c r="AY112" t="s">
        <v>2703</v>
      </c>
      <c r="AZ112" t="s">
        <v>2702</v>
      </c>
      <c r="BA112">
        <v>1</v>
      </c>
      <c r="BB112">
        <v>132.41</v>
      </c>
      <c r="BC112">
        <v>2.2400000000000002</v>
      </c>
      <c r="BD112">
        <v>1.45</v>
      </c>
      <c r="BE112">
        <v>1.5</v>
      </c>
      <c r="BF112">
        <v>1.39</v>
      </c>
      <c r="BG112" t="s">
        <v>2704</v>
      </c>
      <c r="BH112" t="s">
        <v>2703</v>
      </c>
      <c r="BI112" t="s">
        <v>2702</v>
      </c>
      <c r="BJ112" t="s">
        <v>101</v>
      </c>
      <c r="BK112" t="s">
        <v>2705</v>
      </c>
      <c r="BL112" t="s">
        <v>2706</v>
      </c>
      <c r="BN112" t="s">
        <v>2073</v>
      </c>
    </row>
    <row r="113" spans="1:66" x14ac:dyDescent="0.25">
      <c r="A113" t="str">
        <f>HYPERLINK("https://elite.finviz.com/quote.ashx?t=HTB&amp;ty=c&amp;p=d&amp;b=1", "HTB")</f>
        <v>HTB</v>
      </c>
      <c r="B113">
        <v>7</v>
      </c>
      <c r="C113">
        <v>149.72999999999999</v>
      </c>
      <c r="D113">
        <v>58.81</v>
      </c>
      <c r="E113" t="s">
        <v>2707</v>
      </c>
      <c r="F113" t="s">
        <v>67</v>
      </c>
      <c r="G113" t="s">
        <v>550</v>
      </c>
      <c r="H113" t="s">
        <v>697</v>
      </c>
      <c r="I113" t="s">
        <v>70</v>
      </c>
      <c r="J113" t="s">
        <v>71</v>
      </c>
      <c r="K113">
        <v>735.92</v>
      </c>
      <c r="L113">
        <v>42.05</v>
      </c>
      <c r="M113" t="s">
        <v>2642</v>
      </c>
      <c r="N113">
        <v>55882</v>
      </c>
      <c r="O113">
        <v>12.29</v>
      </c>
      <c r="P113">
        <v>12.25</v>
      </c>
      <c r="R113">
        <v>2.5099999999999998</v>
      </c>
      <c r="S113">
        <v>1.27</v>
      </c>
      <c r="T113" t="s">
        <v>1279</v>
      </c>
      <c r="U113">
        <v>0.48</v>
      </c>
      <c r="V113" t="s">
        <v>2708</v>
      </c>
      <c r="W113" t="s">
        <v>1427</v>
      </c>
      <c r="X113" t="s">
        <v>2709</v>
      </c>
      <c r="Y113" t="s">
        <v>2710</v>
      </c>
      <c r="Z113" t="s">
        <v>2711</v>
      </c>
      <c r="AA113">
        <v>3.42</v>
      </c>
      <c r="AB113" t="s">
        <v>2712</v>
      </c>
      <c r="AC113" t="s">
        <v>2713</v>
      </c>
      <c r="AE113" t="s">
        <v>617</v>
      </c>
      <c r="AF113" t="s">
        <v>2714</v>
      </c>
      <c r="AG113" t="s">
        <v>2715</v>
      </c>
      <c r="AH113" t="s">
        <v>364</v>
      </c>
      <c r="AI113" t="s">
        <v>2716</v>
      </c>
      <c r="AJ113" t="s">
        <v>2717</v>
      </c>
      <c r="AK113" t="s">
        <v>2718</v>
      </c>
      <c r="AL113">
        <v>0.09</v>
      </c>
      <c r="AN113">
        <v>0.49</v>
      </c>
      <c r="AP113" t="s">
        <v>2719</v>
      </c>
      <c r="AQ113" t="s">
        <v>2040</v>
      </c>
      <c r="AR113" t="s">
        <v>213</v>
      </c>
      <c r="AS113" t="s">
        <v>744</v>
      </c>
      <c r="AT113" t="s">
        <v>2720</v>
      </c>
      <c r="AU113" t="s">
        <v>2721</v>
      </c>
      <c r="AV113" t="s">
        <v>2722</v>
      </c>
      <c r="AW113" t="s">
        <v>2723</v>
      </c>
      <c r="AX113" t="s">
        <v>2724</v>
      </c>
      <c r="AY113" t="s">
        <v>2723</v>
      </c>
      <c r="AZ113" t="s">
        <v>2725</v>
      </c>
      <c r="BA113">
        <v>1.4</v>
      </c>
      <c r="BB113">
        <v>57.67</v>
      </c>
      <c r="BC113">
        <v>3.41</v>
      </c>
      <c r="BD113">
        <v>41.9</v>
      </c>
      <c r="BE113">
        <v>42.46</v>
      </c>
      <c r="BF113">
        <v>42.02</v>
      </c>
      <c r="BG113" t="s">
        <v>2726</v>
      </c>
      <c r="BH113" t="s">
        <v>2723</v>
      </c>
      <c r="BI113" t="s">
        <v>2727</v>
      </c>
      <c r="BJ113" t="s">
        <v>101</v>
      </c>
      <c r="BK113" t="s">
        <v>1609</v>
      </c>
      <c r="BL113" t="s">
        <v>2728</v>
      </c>
      <c r="BM113" t="s">
        <v>2729</v>
      </c>
      <c r="BN113" t="s">
        <v>2073</v>
      </c>
    </row>
    <row r="114" spans="1:66" x14ac:dyDescent="0.25">
      <c r="A114" t="str">
        <f>HYPERLINK("https://elite.finviz.com/quote.ashx?t=GFS&amp;ty=c&amp;p=d&amp;b=1", "GFS")</f>
        <v>GFS</v>
      </c>
      <c r="B114">
        <v>7</v>
      </c>
      <c r="C114">
        <v>149.72999999999999</v>
      </c>
      <c r="D114">
        <v>58.97</v>
      </c>
      <c r="E114" t="s">
        <v>2730</v>
      </c>
      <c r="F114" t="s">
        <v>2731</v>
      </c>
      <c r="G114" t="s">
        <v>108</v>
      </c>
      <c r="H114" t="s">
        <v>1808</v>
      </c>
      <c r="I114" t="s">
        <v>70</v>
      </c>
      <c r="J114" t="s">
        <v>321</v>
      </c>
      <c r="K114">
        <v>19067.75</v>
      </c>
      <c r="L114">
        <v>34.49</v>
      </c>
      <c r="M114" t="s">
        <v>2732</v>
      </c>
      <c r="N114">
        <v>3260301</v>
      </c>
      <c r="P114">
        <v>17.309999999999999</v>
      </c>
      <c r="R114">
        <v>2.79</v>
      </c>
      <c r="S114">
        <v>1.68</v>
      </c>
      <c r="AA114">
        <v>-0.21</v>
      </c>
      <c r="AB114" t="s">
        <v>2644</v>
      </c>
      <c r="AC114" t="s">
        <v>1477</v>
      </c>
      <c r="AD114" t="s">
        <v>2733</v>
      </c>
      <c r="AE114" t="s">
        <v>2059</v>
      </c>
      <c r="AF114" t="s">
        <v>2734</v>
      </c>
      <c r="AG114" t="s">
        <v>2735</v>
      </c>
      <c r="AH114" t="s">
        <v>2736</v>
      </c>
      <c r="AI114" t="s">
        <v>2737</v>
      </c>
      <c r="AJ114" t="s">
        <v>164</v>
      </c>
      <c r="AK114" t="s">
        <v>2738</v>
      </c>
      <c r="AL114">
        <v>2.63</v>
      </c>
      <c r="AM114">
        <v>1.92</v>
      </c>
      <c r="AN114">
        <v>0.15</v>
      </c>
      <c r="AO114" t="s">
        <v>2739</v>
      </c>
      <c r="AP114" t="s">
        <v>2740</v>
      </c>
      <c r="AQ114" t="s">
        <v>2741</v>
      </c>
      <c r="AR114" t="s">
        <v>2742</v>
      </c>
      <c r="AS114" t="s">
        <v>2743</v>
      </c>
      <c r="AT114" t="s">
        <v>2744</v>
      </c>
      <c r="AU114" t="s">
        <v>2745</v>
      </c>
      <c r="AV114" t="s">
        <v>2746</v>
      </c>
      <c r="AW114" t="s">
        <v>2747</v>
      </c>
      <c r="AX114" t="s">
        <v>2748</v>
      </c>
      <c r="AY114" t="s">
        <v>2749</v>
      </c>
      <c r="AZ114" t="s">
        <v>2133</v>
      </c>
      <c r="BA114">
        <v>2.09</v>
      </c>
      <c r="BB114">
        <v>2376.7800000000002</v>
      </c>
      <c r="BC114">
        <v>4.83</v>
      </c>
      <c r="BD114">
        <v>32.840000000000003</v>
      </c>
      <c r="BE114">
        <v>36.97</v>
      </c>
      <c r="BF114">
        <v>34.24</v>
      </c>
      <c r="BG114" t="s">
        <v>2750</v>
      </c>
      <c r="BH114" t="s">
        <v>2751</v>
      </c>
      <c r="BI114" t="s">
        <v>2133</v>
      </c>
      <c r="BJ114" t="s">
        <v>101</v>
      </c>
      <c r="BK114" t="s">
        <v>2752</v>
      </c>
      <c r="BL114" t="s">
        <v>2753</v>
      </c>
      <c r="BM114" t="s">
        <v>2754</v>
      </c>
      <c r="BN114" t="s">
        <v>2755</v>
      </c>
    </row>
    <row r="115" spans="1:66" x14ac:dyDescent="0.25">
      <c r="A115" t="str">
        <f>HYPERLINK("https://elite.finviz.com/quote.ashx?t=NTWO&amp;ty=c&amp;p=d&amp;b=1", "NTWO")</f>
        <v>NTWO</v>
      </c>
      <c r="B115">
        <v>7</v>
      </c>
      <c r="C115">
        <v>149.72999999999999</v>
      </c>
      <c r="D115">
        <v>59.12</v>
      </c>
      <c r="E115" t="s">
        <v>2756</v>
      </c>
      <c r="F115" t="s">
        <v>107</v>
      </c>
      <c r="G115" t="s">
        <v>550</v>
      </c>
      <c r="H115" t="s">
        <v>2120</v>
      </c>
      <c r="I115" t="s">
        <v>70</v>
      </c>
      <c r="J115" t="s">
        <v>321</v>
      </c>
      <c r="K115">
        <v>249.76</v>
      </c>
      <c r="L115">
        <v>10.35</v>
      </c>
      <c r="M115" t="s">
        <v>2757</v>
      </c>
      <c r="N115">
        <v>44460</v>
      </c>
      <c r="O115">
        <v>56.4</v>
      </c>
      <c r="S115">
        <v>1.44</v>
      </c>
      <c r="Z115" t="s">
        <v>164</v>
      </c>
      <c r="AA115">
        <v>0.18</v>
      </c>
      <c r="AJ115" t="s">
        <v>164</v>
      </c>
      <c r="AK115" t="s">
        <v>2758</v>
      </c>
      <c r="AL115">
        <v>8.89</v>
      </c>
      <c r="AM115">
        <v>8.89</v>
      </c>
      <c r="AN115">
        <v>0</v>
      </c>
      <c r="AR115" t="s">
        <v>580</v>
      </c>
      <c r="AS115" t="s">
        <v>629</v>
      </c>
      <c r="AT115" t="s">
        <v>497</v>
      </c>
      <c r="AU115" t="s">
        <v>2759</v>
      </c>
      <c r="AV115" t="s">
        <v>1438</v>
      </c>
      <c r="AW115" t="s">
        <v>2760</v>
      </c>
      <c r="AX115" t="s">
        <v>2361</v>
      </c>
      <c r="AY115" t="s">
        <v>2760</v>
      </c>
      <c r="AZ115" t="s">
        <v>121</v>
      </c>
      <c r="BB115">
        <v>28.14</v>
      </c>
      <c r="BC115">
        <v>5.62</v>
      </c>
      <c r="BD115">
        <v>10.35</v>
      </c>
      <c r="BE115">
        <v>10.35</v>
      </c>
      <c r="BF115">
        <v>10.35</v>
      </c>
      <c r="BG115" t="s">
        <v>2761</v>
      </c>
      <c r="BH115" t="s">
        <v>2760</v>
      </c>
      <c r="BI115" t="s">
        <v>121</v>
      </c>
      <c r="BJ115" t="s">
        <v>101</v>
      </c>
      <c r="BK115" t="s">
        <v>2735</v>
      </c>
      <c r="BN115" t="s">
        <v>2073</v>
      </c>
    </row>
    <row r="116" spans="1:66" x14ac:dyDescent="0.25">
      <c r="A116" t="str">
        <f>HYPERLINK("https://elite.finviz.com/quote.ashx?t=BALY&amp;ty=c&amp;p=d&amp;b=1", "BALY")</f>
        <v>BALY</v>
      </c>
      <c r="B116">
        <v>7</v>
      </c>
      <c r="C116">
        <v>149.72999999999999</v>
      </c>
      <c r="D116">
        <v>59.27</v>
      </c>
      <c r="E116" t="s">
        <v>2762</v>
      </c>
      <c r="F116" t="s">
        <v>67</v>
      </c>
      <c r="G116" t="s">
        <v>813</v>
      </c>
      <c r="H116" t="s">
        <v>2763</v>
      </c>
      <c r="I116" t="s">
        <v>70</v>
      </c>
      <c r="J116" t="s">
        <v>71</v>
      </c>
      <c r="K116">
        <v>532.24</v>
      </c>
      <c r="L116">
        <v>10.84</v>
      </c>
      <c r="M116" t="s">
        <v>2764</v>
      </c>
      <c r="N116">
        <v>77656</v>
      </c>
      <c r="R116">
        <v>0.22</v>
      </c>
      <c r="S116">
        <v>0.84</v>
      </c>
      <c r="V116" t="s">
        <v>2765</v>
      </c>
      <c r="AA116">
        <v>-11.3</v>
      </c>
      <c r="AB116" t="s">
        <v>2766</v>
      </c>
      <c r="AD116" t="s">
        <v>2767</v>
      </c>
      <c r="AE116" t="s">
        <v>2768</v>
      </c>
      <c r="AF116" t="s">
        <v>2769</v>
      </c>
      <c r="AG116" t="s">
        <v>2770</v>
      </c>
      <c r="AH116" t="s">
        <v>1576</v>
      </c>
      <c r="AI116" t="s">
        <v>2771</v>
      </c>
      <c r="AJ116" t="s">
        <v>164</v>
      </c>
      <c r="AK116" t="s">
        <v>2772</v>
      </c>
      <c r="AL116">
        <v>0.49</v>
      </c>
      <c r="AM116">
        <v>0.47</v>
      </c>
      <c r="AN116">
        <v>9.0399999999999991</v>
      </c>
      <c r="AO116" t="s">
        <v>2773</v>
      </c>
      <c r="AP116" t="s">
        <v>2774</v>
      </c>
      <c r="AQ116" t="s">
        <v>2775</v>
      </c>
      <c r="AR116" t="s">
        <v>2776</v>
      </c>
      <c r="AS116" t="s">
        <v>464</v>
      </c>
      <c r="AT116" t="s">
        <v>2777</v>
      </c>
      <c r="AU116" t="s">
        <v>1491</v>
      </c>
      <c r="AV116" t="s">
        <v>2778</v>
      </c>
      <c r="AW116" t="s">
        <v>1258</v>
      </c>
      <c r="AX116" t="s">
        <v>2779</v>
      </c>
      <c r="AY116" t="s">
        <v>2780</v>
      </c>
      <c r="AZ116" t="s">
        <v>2781</v>
      </c>
      <c r="BA116">
        <v>3</v>
      </c>
      <c r="BB116">
        <v>114.76</v>
      </c>
      <c r="BC116">
        <v>2.4</v>
      </c>
      <c r="BD116">
        <v>10.45</v>
      </c>
      <c r="BE116">
        <v>10.84</v>
      </c>
      <c r="BF116">
        <v>10.64</v>
      </c>
      <c r="BG116" t="s">
        <v>2782</v>
      </c>
      <c r="BH116" t="s">
        <v>2780</v>
      </c>
      <c r="BI116" t="s">
        <v>2781</v>
      </c>
      <c r="BJ116" t="s">
        <v>101</v>
      </c>
      <c r="BK116" t="s">
        <v>2783</v>
      </c>
      <c r="BL116" t="s">
        <v>1446</v>
      </c>
      <c r="BN116" t="s">
        <v>2073</v>
      </c>
    </row>
    <row r="117" spans="1:66" x14ac:dyDescent="0.25">
      <c r="A117" t="str">
        <f>HYPERLINK("https://elite.finviz.com/quote.ashx?t=PRLD&amp;ty=c&amp;p=d&amp;b=1", "PRLD")</f>
        <v>PRLD</v>
      </c>
      <c r="B117">
        <v>7</v>
      </c>
      <c r="C117">
        <v>149.72999999999999</v>
      </c>
      <c r="D117">
        <v>59.39</v>
      </c>
      <c r="E117" t="s">
        <v>2784</v>
      </c>
      <c r="F117" t="s">
        <v>107</v>
      </c>
      <c r="G117" t="s">
        <v>428</v>
      </c>
      <c r="H117" t="s">
        <v>429</v>
      </c>
      <c r="I117" t="s">
        <v>70</v>
      </c>
      <c r="J117" t="s">
        <v>321</v>
      </c>
      <c r="K117">
        <v>69.599999999999994</v>
      </c>
      <c r="L117">
        <v>1.23</v>
      </c>
      <c r="M117" t="s">
        <v>2785</v>
      </c>
      <c r="N117">
        <v>72188</v>
      </c>
      <c r="R117">
        <v>9.94</v>
      </c>
      <c r="S117">
        <v>0.92</v>
      </c>
      <c r="AA117">
        <v>-1.78</v>
      </c>
      <c r="AB117" t="s">
        <v>2786</v>
      </c>
      <c r="AC117" t="s">
        <v>2787</v>
      </c>
      <c r="AD117" t="s">
        <v>2788</v>
      </c>
      <c r="AI117" t="s">
        <v>336</v>
      </c>
      <c r="AJ117" t="s">
        <v>2789</v>
      </c>
      <c r="AK117" t="s">
        <v>2790</v>
      </c>
      <c r="AL117">
        <v>3.68</v>
      </c>
      <c r="AM117">
        <v>3.68</v>
      </c>
      <c r="AN117">
        <v>0.24</v>
      </c>
      <c r="AO117" t="s">
        <v>2791</v>
      </c>
      <c r="AP117" t="s">
        <v>2792</v>
      </c>
      <c r="AQ117" t="s">
        <v>2793</v>
      </c>
      <c r="AR117" t="s">
        <v>2794</v>
      </c>
      <c r="AS117" t="s">
        <v>2795</v>
      </c>
      <c r="AT117" t="s">
        <v>2796</v>
      </c>
      <c r="AU117" t="s">
        <v>1814</v>
      </c>
      <c r="AV117" t="s">
        <v>2797</v>
      </c>
      <c r="AW117" t="s">
        <v>1164</v>
      </c>
      <c r="AX117" t="s">
        <v>2798</v>
      </c>
      <c r="AY117" t="s">
        <v>2799</v>
      </c>
      <c r="AZ117" t="s">
        <v>2800</v>
      </c>
      <c r="BA117">
        <v>2</v>
      </c>
      <c r="BB117">
        <v>188.58</v>
      </c>
      <c r="BC117">
        <v>1.35</v>
      </c>
      <c r="BD117">
        <v>1.22</v>
      </c>
      <c r="BE117">
        <v>1.25</v>
      </c>
      <c r="BF117">
        <v>1.19</v>
      </c>
      <c r="BG117" t="s">
        <v>2801</v>
      </c>
      <c r="BH117" t="s">
        <v>2802</v>
      </c>
      <c r="BI117" t="s">
        <v>2800</v>
      </c>
      <c r="BJ117" t="s">
        <v>101</v>
      </c>
      <c r="BK117" t="s">
        <v>2803</v>
      </c>
      <c r="BL117" t="s">
        <v>2804</v>
      </c>
      <c r="BM117" t="s">
        <v>2805</v>
      </c>
      <c r="BN117" t="s">
        <v>2073</v>
      </c>
    </row>
    <row r="118" spans="1:66" x14ac:dyDescent="0.25">
      <c r="A118" t="str">
        <f>HYPERLINK("https://elite.finviz.com/quote.ashx?t=NC&amp;ty=c&amp;p=d&amp;b=1", "NC")</f>
        <v>NC</v>
      </c>
      <c r="B118">
        <v>7</v>
      </c>
      <c r="C118">
        <v>149.72999999999999</v>
      </c>
      <c r="D118">
        <v>60.19</v>
      </c>
      <c r="E118" t="s">
        <v>2806</v>
      </c>
      <c r="F118" t="s">
        <v>67</v>
      </c>
      <c r="G118" t="s">
        <v>1048</v>
      </c>
      <c r="H118" t="s">
        <v>2807</v>
      </c>
      <c r="I118" t="s">
        <v>70</v>
      </c>
      <c r="J118" t="s">
        <v>71</v>
      </c>
      <c r="K118">
        <v>324.07</v>
      </c>
      <c r="L118">
        <v>43.49</v>
      </c>
      <c r="M118" t="s">
        <v>2234</v>
      </c>
      <c r="N118">
        <v>5787</v>
      </c>
      <c r="O118">
        <v>10.23</v>
      </c>
      <c r="R118">
        <v>1.22</v>
      </c>
      <c r="S118">
        <v>0.78</v>
      </c>
      <c r="T118" t="s">
        <v>2808</v>
      </c>
      <c r="U118">
        <v>0.96</v>
      </c>
      <c r="V118" t="s">
        <v>2187</v>
      </c>
      <c r="W118" t="s">
        <v>2809</v>
      </c>
      <c r="X118" t="s">
        <v>2810</v>
      </c>
      <c r="Y118" t="s">
        <v>2811</v>
      </c>
      <c r="Z118" t="s">
        <v>2812</v>
      </c>
      <c r="AA118">
        <v>4.25</v>
      </c>
      <c r="AB118" t="s">
        <v>2813</v>
      </c>
      <c r="AC118" t="s">
        <v>2814</v>
      </c>
      <c r="AE118" t="s">
        <v>2815</v>
      </c>
      <c r="AF118" t="s">
        <v>2816</v>
      </c>
      <c r="AG118" t="s">
        <v>2513</v>
      </c>
      <c r="AH118" t="s">
        <v>2817</v>
      </c>
      <c r="AJ118" t="s">
        <v>1648</v>
      </c>
      <c r="AK118" t="s">
        <v>2818</v>
      </c>
      <c r="AL118">
        <v>3.91</v>
      </c>
      <c r="AM118">
        <v>2.62</v>
      </c>
      <c r="AN118">
        <v>0.25</v>
      </c>
      <c r="AO118" t="s">
        <v>2819</v>
      </c>
      <c r="AP118" t="s">
        <v>2036</v>
      </c>
      <c r="AQ118" t="s">
        <v>2820</v>
      </c>
      <c r="AR118" t="s">
        <v>2821</v>
      </c>
      <c r="AS118" t="s">
        <v>2822</v>
      </c>
      <c r="AT118" t="s">
        <v>2823</v>
      </c>
      <c r="AU118" t="s">
        <v>2824</v>
      </c>
      <c r="AV118" t="s">
        <v>2825</v>
      </c>
      <c r="AW118" t="s">
        <v>2826</v>
      </c>
      <c r="AX118" t="s">
        <v>112</v>
      </c>
      <c r="AY118" t="s">
        <v>2827</v>
      </c>
      <c r="AZ118" t="s">
        <v>2828</v>
      </c>
      <c r="BB118">
        <v>8.85</v>
      </c>
      <c r="BC118">
        <v>2.3199999999999998</v>
      </c>
      <c r="BD118">
        <v>42</v>
      </c>
      <c r="BE118">
        <v>44.67</v>
      </c>
      <c r="BF118">
        <v>42.56</v>
      </c>
      <c r="BG118" t="s">
        <v>2829</v>
      </c>
      <c r="BH118" t="s">
        <v>2830</v>
      </c>
      <c r="BI118" t="s">
        <v>2831</v>
      </c>
      <c r="BJ118" t="s">
        <v>101</v>
      </c>
      <c r="BK118" t="s">
        <v>2215</v>
      </c>
      <c r="BL118" t="s">
        <v>2832</v>
      </c>
      <c r="BM118" t="s">
        <v>2833</v>
      </c>
      <c r="BN118" t="s">
        <v>2073</v>
      </c>
    </row>
    <row r="119" spans="1:66" x14ac:dyDescent="0.25">
      <c r="A119" t="str">
        <f>HYPERLINK("https://elite.finviz.com/quote.ashx?t=VCIC&amp;ty=c&amp;p=d&amp;b=1", "VCIC")</f>
        <v>VCIC</v>
      </c>
      <c r="B119">
        <v>7</v>
      </c>
      <c r="C119">
        <v>149.72999999999999</v>
      </c>
      <c r="D119">
        <v>60.23</v>
      </c>
      <c r="E119" t="s">
        <v>2834</v>
      </c>
      <c r="F119" t="s">
        <v>107</v>
      </c>
      <c r="G119" t="s">
        <v>550</v>
      </c>
      <c r="H119" t="s">
        <v>2120</v>
      </c>
      <c r="I119" t="s">
        <v>70</v>
      </c>
      <c r="J119" t="s">
        <v>321</v>
      </c>
      <c r="K119">
        <v>312.39999999999998</v>
      </c>
      <c r="L119">
        <v>10.65</v>
      </c>
      <c r="M119" t="s">
        <v>2426</v>
      </c>
      <c r="N119">
        <v>112744</v>
      </c>
      <c r="O119">
        <v>52.08</v>
      </c>
      <c r="S119">
        <v>1.42</v>
      </c>
      <c r="Z119" t="s">
        <v>164</v>
      </c>
      <c r="AA119">
        <v>0.2</v>
      </c>
      <c r="AK119" t="s">
        <v>2835</v>
      </c>
      <c r="AL119">
        <v>1.08</v>
      </c>
      <c r="AM119">
        <v>1.08</v>
      </c>
      <c r="AN119">
        <v>0</v>
      </c>
      <c r="AR119" t="s">
        <v>1457</v>
      </c>
      <c r="AS119" t="s">
        <v>1764</v>
      </c>
      <c r="AT119" t="s">
        <v>2734</v>
      </c>
      <c r="AU119" t="s">
        <v>2082</v>
      </c>
      <c r="AV119" t="s">
        <v>1302</v>
      </c>
      <c r="AW119" t="s">
        <v>2836</v>
      </c>
      <c r="AX119" t="s">
        <v>2700</v>
      </c>
      <c r="AY119" t="s">
        <v>2836</v>
      </c>
      <c r="AZ119" t="s">
        <v>1215</v>
      </c>
      <c r="BB119">
        <v>122.7</v>
      </c>
      <c r="BC119">
        <v>3.27</v>
      </c>
      <c r="BD119">
        <v>10.7</v>
      </c>
      <c r="BE119">
        <v>10.71</v>
      </c>
      <c r="BF119">
        <v>10.65</v>
      </c>
      <c r="BG119" t="s">
        <v>2837</v>
      </c>
      <c r="BH119" t="s">
        <v>2836</v>
      </c>
      <c r="BI119" t="s">
        <v>1215</v>
      </c>
      <c r="BJ119" t="s">
        <v>101</v>
      </c>
      <c r="BK119" t="s">
        <v>2838</v>
      </c>
      <c r="BL119" t="s">
        <v>2839</v>
      </c>
      <c r="BN119" t="s">
        <v>2073</v>
      </c>
    </row>
    <row r="120" spans="1:66" x14ac:dyDescent="0.25">
      <c r="A120" t="str">
        <f>HYPERLINK("https://elite.finviz.com/quote.ashx?t=JTAI&amp;ty=c&amp;p=d&amp;b=1", "JTAI")</f>
        <v>JTAI</v>
      </c>
      <c r="B120">
        <v>7</v>
      </c>
      <c r="C120">
        <v>149.72999999999999</v>
      </c>
      <c r="D120">
        <v>60.42</v>
      </c>
      <c r="E120" t="s">
        <v>2840</v>
      </c>
      <c r="F120" t="s">
        <v>107</v>
      </c>
      <c r="G120" t="s">
        <v>108</v>
      </c>
      <c r="H120" t="s">
        <v>136</v>
      </c>
      <c r="I120" t="s">
        <v>70</v>
      </c>
      <c r="J120" t="s">
        <v>321</v>
      </c>
      <c r="K120">
        <v>12.69</v>
      </c>
      <c r="L120">
        <v>3.62</v>
      </c>
      <c r="M120" t="s">
        <v>2841</v>
      </c>
      <c r="N120">
        <v>42566</v>
      </c>
      <c r="R120">
        <v>0.99</v>
      </c>
      <c r="S120">
        <v>1.04</v>
      </c>
      <c r="AA120">
        <v>-48.26</v>
      </c>
      <c r="AB120" t="s">
        <v>2842</v>
      </c>
      <c r="AE120" t="s">
        <v>2754</v>
      </c>
      <c r="AH120" t="s">
        <v>2843</v>
      </c>
      <c r="AI120" t="s">
        <v>2844</v>
      </c>
      <c r="AJ120" t="s">
        <v>164</v>
      </c>
      <c r="AK120" t="s">
        <v>2627</v>
      </c>
      <c r="AL120">
        <v>2.96</v>
      </c>
      <c r="AM120">
        <v>2.96</v>
      </c>
      <c r="AN120">
        <v>7.0000000000000007E-2</v>
      </c>
      <c r="AO120" t="s">
        <v>2845</v>
      </c>
      <c r="AP120" t="s">
        <v>2846</v>
      </c>
      <c r="AQ120" t="s">
        <v>2847</v>
      </c>
      <c r="AR120" t="s">
        <v>2848</v>
      </c>
      <c r="AS120" t="s">
        <v>912</v>
      </c>
      <c r="AT120" t="s">
        <v>2849</v>
      </c>
      <c r="AU120" t="s">
        <v>1114</v>
      </c>
      <c r="AV120" t="s">
        <v>2836</v>
      </c>
      <c r="AW120" t="s">
        <v>2850</v>
      </c>
      <c r="AX120" t="s">
        <v>2851</v>
      </c>
      <c r="AY120" t="s">
        <v>2852</v>
      </c>
      <c r="AZ120" t="s">
        <v>2853</v>
      </c>
      <c r="BA120">
        <v>1</v>
      </c>
      <c r="BB120">
        <v>103.3</v>
      </c>
      <c r="BC120">
        <v>1.45</v>
      </c>
      <c r="BD120">
        <v>3.48</v>
      </c>
      <c r="BE120">
        <v>3.62</v>
      </c>
      <c r="BF120">
        <v>3.45</v>
      </c>
      <c r="BG120" t="s">
        <v>2854</v>
      </c>
      <c r="BH120" t="s">
        <v>2855</v>
      </c>
      <c r="BI120" t="s">
        <v>2853</v>
      </c>
      <c r="BJ120" t="s">
        <v>101</v>
      </c>
      <c r="BK120" t="s">
        <v>2856</v>
      </c>
      <c r="BL120" t="s">
        <v>2105</v>
      </c>
      <c r="BM120" t="s">
        <v>2857</v>
      </c>
      <c r="BN120" t="s">
        <v>2073</v>
      </c>
    </row>
    <row r="121" spans="1:66" x14ac:dyDescent="0.25">
      <c r="A121" t="str">
        <f>HYPERLINK("https://elite.finviz.com/quote.ashx?t=WTBA&amp;ty=c&amp;p=d&amp;b=1", "WTBA")</f>
        <v>WTBA</v>
      </c>
      <c r="B121">
        <v>7</v>
      </c>
      <c r="C121">
        <v>149.72999999999999</v>
      </c>
      <c r="D121">
        <v>60.48</v>
      </c>
      <c r="E121" t="s">
        <v>2858</v>
      </c>
      <c r="F121" t="s">
        <v>67</v>
      </c>
      <c r="G121" t="s">
        <v>550</v>
      </c>
      <c r="H121" t="s">
        <v>697</v>
      </c>
      <c r="I121" t="s">
        <v>70</v>
      </c>
      <c r="J121" t="s">
        <v>321</v>
      </c>
      <c r="K121">
        <v>353.39</v>
      </c>
      <c r="L121">
        <v>20.86</v>
      </c>
      <c r="M121" t="s">
        <v>148</v>
      </c>
      <c r="N121">
        <v>10997</v>
      </c>
      <c r="O121">
        <v>12.27</v>
      </c>
      <c r="P121">
        <v>9.6999999999999993</v>
      </c>
      <c r="R121">
        <v>1.76</v>
      </c>
      <c r="S121">
        <v>1.47</v>
      </c>
      <c r="T121" t="s">
        <v>1749</v>
      </c>
      <c r="U121">
        <v>1</v>
      </c>
      <c r="V121" t="s">
        <v>2859</v>
      </c>
      <c r="W121" t="s">
        <v>164</v>
      </c>
      <c r="X121" t="s">
        <v>2421</v>
      </c>
      <c r="Y121" t="s">
        <v>756</v>
      </c>
      <c r="Z121" t="s">
        <v>2860</v>
      </c>
      <c r="AA121">
        <v>1.7</v>
      </c>
      <c r="AB121" t="s">
        <v>2787</v>
      </c>
      <c r="AC121" t="s">
        <v>944</v>
      </c>
      <c r="AE121" t="s">
        <v>2861</v>
      </c>
      <c r="AF121" t="s">
        <v>2862</v>
      </c>
      <c r="AG121" t="s">
        <v>2863</v>
      </c>
      <c r="AH121" t="s">
        <v>2864</v>
      </c>
      <c r="AI121" t="s">
        <v>2810</v>
      </c>
      <c r="AJ121" t="s">
        <v>164</v>
      </c>
      <c r="AK121" t="s">
        <v>2865</v>
      </c>
      <c r="AL121">
        <v>0.28999999999999998</v>
      </c>
      <c r="AN121">
        <v>1.62</v>
      </c>
      <c r="AP121" t="s">
        <v>2866</v>
      </c>
      <c r="AQ121" t="s">
        <v>2867</v>
      </c>
      <c r="AR121" t="s">
        <v>2317</v>
      </c>
      <c r="AS121" t="s">
        <v>92</v>
      </c>
      <c r="AT121" t="s">
        <v>2868</v>
      </c>
      <c r="AU121" t="s">
        <v>2869</v>
      </c>
      <c r="AV121" t="s">
        <v>901</v>
      </c>
      <c r="AW121" t="s">
        <v>2870</v>
      </c>
      <c r="AX121" t="s">
        <v>2871</v>
      </c>
      <c r="AY121" t="s">
        <v>2872</v>
      </c>
      <c r="AZ121" t="s">
        <v>2871</v>
      </c>
      <c r="BA121">
        <v>3</v>
      </c>
      <c r="BB121">
        <v>35.49</v>
      </c>
      <c r="BC121">
        <v>1.0900000000000001</v>
      </c>
      <c r="BD121">
        <v>20.97</v>
      </c>
      <c r="BE121">
        <v>21.38</v>
      </c>
      <c r="BF121">
        <v>20.89</v>
      </c>
      <c r="BG121" t="s">
        <v>2873</v>
      </c>
      <c r="BH121" t="s">
        <v>2874</v>
      </c>
      <c r="BI121" t="s">
        <v>2875</v>
      </c>
      <c r="BJ121" t="s">
        <v>101</v>
      </c>
      <c r="BK121" t="s">
        <v>2107</v>
      </c>
      <c r="BL121" t="s">
        <v>2876</v>
      </c>
      <c r="BM121" t="s">
        <v>2877</v>
      </c>
      <c r="BN121" t="s">
        <v>2073</v>
      </c>
    </row>
    <row r="122" spans="1:66" x14ac:dyDescent="0.25">
      <c r="A122" t="str">
        <f>HYPERLINK("https://elite.finviz.com/quote.ashx?t=CRAI&amp;ty=c&amp;p=d&amp;b=1", "CRAI")</f>
        <v>CRAI</v>
      </c>
      <c r="B122">
        <v>7</v>
      </c>
      <c r="C122">
        <v>149.72999999999999</v>
      </c>
      <c r="D122">
        <v>61.09</v>
      </c>
      <c r="E122" t="s">
        <v>2878</v>
      </c>
      <c r="F122" t="s">
        <v>67</v>
      </c>
      <c r="G122" t="s">
        <v>260</v>
      </c>
      <c r="H122" t="s">
        <v>2879</v>
      </c>
      <c r="I122" t="s">
        <v>70</v>
      </c>
      <c r="J122" t="s">
        <v>321</v>
      </c>
      <c r="K122">
        <v>1361.26</v>
      </c>
      <c r="L122">
        <v>206.75</v>
      </c>
      <c r="M122" t="s">
        <v>2880</v>
      </c>
      <c r="N122">
        <v>56578</v>
      </c>
      <c r="O122">
        <v>25.05</v>
      </c>
      <c r="P122">
        <v>23.71</v>
      </c>
      <c r="R122">
        <v>1.91</v>
      </c>
      <c r="S122">
        <v>6.89</v>
      </c>
      <c r="T122" t="s">
        <v>2881</v>
      </c>
      <c r="U122">
        <v>1.96</v>
      </c>
      <c r="V122" t="s">
        <v>2882</v>
      </c>
      <c r="W122" t="s">
        <v>1001</v>
      </c>
      <c r="X122" t="s">
        <v>2866</v>
      </c>
      <c r="Y122" t="s">
        <v>2883</v>
      </c>
      <c r="Z122" t="s">
        <v>664</v>
      </c>
      <c r="AA122">
        <v>8.25</v>
      </c>
      <c r="AB122" t="s">
        <v>2884</v>
      </c>
      <c r="AC122" t="s">
        <v>2885</v>
      </c>
      <c r="AE122" t="s">
        <v>2886</v>
      </c>
      <c r="AF122" t="s">
        <v>616</v>
      </c>
      <c r="AG122" t="s">
        <v>2250</v>
      </c>
      <c r="AH122" t="s">
        <v>2887</v>
      </c>
      <c r="AI122" t="s">
        <v>1761</v>
      </c>
      <c r="AJ122" t="s">
        <v>2888</v>
      </c>
      <c r="AK122" t="s">
        <v>2889</v>
      </c>
      <c r="AL122">
        <v>0.92</v>
      </c>
      <c r="AM122">
        <v>0.92</v>
      </c>
      <c r="AN122">
        <v>1.1399999999999999</v>
      </c>
      <c r="AO122" t="s">
        <v>2890</v>
      </c>
      <c r="AP122" t="s">
        <v>2891</v>
      </c>
      <c r="AQ122" t="s">
        <v>635</v>
      </c>
      <c r="AR122" t="s">
        <v>2892</v>
      </c>
      <c r="AS122" t="s">
        <v>2361</v>
      </c>
      <c r="AT122" t="s">
        <v>1768</v>
      </c>
      <c r="AU122" t="s">
        <v>2655</v>
      </c>
      <c r="AV122" t="s">
        <v>292</v>
      </c>
      <c r="AW122" t="s">
        <v>2893</v>
      </c>
      <c r="AX122" t="s">
        <v>1267</v>
      </c>
      <c r="AY122" t="s">
        <v>2893</v>
      </c>
      <c r="AZ122" t="s">
        <v>2894</v>
      </c>
      <c r="BA122">
        <v>2</v>
      </c>
      <c r="BB122">
        <v>103.32</v>
      </c>
      <c r="BC122">
        <v>1.93</v>
      </c>
      <c r="BD122">
        <v>206.35</v>
      </c>
      <c r="BE122">
        <v>211.71</v>
      </c>
      <c r="BF122">
        <v>206.48</v>
      </c>
      <c r="BG122" t="s">
        <v>2895</v>
      </c>
      <c r="BH122" t="s">
        <v>2893</v>
      </c>
      <c r="BI122" t="s">
        <v>2896</v>
      </c>
      <c r="BJ122" t="s">
        <v>101</v>
      </c>
      <c r="BK122" t="s">
        <v>2376</v>
      </c>
      <c r="BL122" t="s">
        <v>2409</v>
      </c>
      <c r="BM122" t="s">
        <v>2897</v>
      </c>
      <c r="BN122" t="s">
        <v>2073</v>
      </c>
    </row>
    <row r="123" spans="1:66" x14ac:dyDescent="0.25">
      <c r="A123" t="str">
        <f>HYPERLINK("https://elite.finviz.com/quote.ashx?t=MGX&amp;ty=c&amp;p=d&amp;b=1", "MGX")</f>
        <v>MGX</v>
      </c>
      <c r="B123">
        <v>7</v>
      </c>
      <c r="C123">
        <v>149.72999999999999</v>
      </c>
      <c r="D123">
        <v>61.26</v>
      </c>
      <c r="E123" t="s">
        <v>2898</v>
      </c>
      <c r="F123" t="s">
        <v>107</v>
      </c>
      <c r="G123" t="s">
        <v>428</v>
      </c>
      <c r="H123" t="s">
        <v>429</v>
      </c>
      <c r="I123" t="s">
        <v>70</v>
      </c>
      <c r="J123" t="s">
        <v>321</v>
      </c>
      <c r="K123">
        <v>85.58</v>
      </c>
      <c r="L123">
        <v>2.2799999999999998</v>
      </c>
      <c r="M123" t="s">
        <v>2899</v>
      </c>
      <c r="N123">
        <v>507721</v>
      </c>
      <c r="R123">
        <v>2.5299999999999998</v>
      </c>
      <c r="S123">
        <v>0.44</v>
      </c>
      <c r="AA123">
        <v>-2.35</v>
      </c>
      <c r="AB123" t="s">
        <v>2900</v>
      </c>
      <c r="AD123" t="s">
        <v>2901</v>
      </c>
      <c r="AE123" t="s">
        <v>2902</v>
      </c>
      <c r="AF123" t="s">
        <v>2903</v>
      </c>
      <c r="AH123" t="s">
        <v>2904</v>
      </c>
      <c r="AI123" t="s">
        <v>2905</v>
      </c>
      <c r="AJ123" t="s">
        <v>2906</v>
      </c>
      <c r="AK123" t="s">
        <v>2907</v>
      </c>
      <c r="AL123">
        <v>6.36</v>
      </c>
      <c r="AM123">
        <v>6.36</v>
      </c>
      <c r="AN123">
        <v>0.22</v>
      </c>
      <c r="AO123" t="s">
        <v>2908</v>
      </c>
      <c r="AP123" t="s">
        <v>2909</v>
      </c>
      <c r="AQ123" t="s">
        <v>2910</v>
      </c>
      <c r="AR123" t="s">
        <v>2911</v>
      </c>
      <c r="AS123" t="s">
        <v>438</v>
      </c>
      <c r="AT123" t="s">
        <v>2912</v>
      </c>
      <c r="AU123" t="s">
        <v>2913</v>
      </c>
      <c r="AV123" t="s">
        <v>2884</v>
      </c>
      <c r="AW123" t="s">
        <v>2914</v>
      </c>
      <c r="AX123" t="s">
        <v>2915</v>
      </c>
      <c r="AY123" t="s">
        <v>2916</v>
      </c>
      <c r="AZ123" t="s">
        <v>2917</v>
      </c>
      <c r="BA123">
        <v>1.33</v>
      </c>
      <c r="BB123">
        <v>622.46</v>
      </c>
      <c r="BC123">
        <v>2.87</v>
      </c>
      <c r="BD123">
        <v>2.2999999999999998</v>
      </c>
      <c r="BE123">
        <v>2.38</v>
      </c>
      <c r="BF123">
        <v>2.16</v>
      </c>
      <c r="BG123" t="s">
        <v>2918</v>
      </c>
      <c r="BH123" t="s">
        <v>2919</v>
      </c>
      <c r="BI123" t="s">
        <v>2917</v>
      </c>
      <c r="BJ123" t="s">
        <v>101</v>
      </c>
      <c r="BK123" t="s">
        <v>2920</v>
      </c>
      <c r="BL123" t="s">
        <v>2921</v>
      </c>
      <c r="BM123" t="s">
        <v>2922</v>
      </c>
      <c r="BN123" t="s">
        <v>2073</v>
      </c>
    </row>
    <row r="124" spans="1:66" x14ac:dyDescent="0.25">
      <c r="A124" t="str">
        <f>HYPERLINK("https://elite.finviz.com/quote.ashx?t=SPWR&amp;ty=c&amp;p=d&amp;b=1", "SPWR")</f>
        <v>SPWR</v>
      </c>
      <c r="B124">
        <v>7</v>
      </c>
      <c r="C124">
        <v>149.72999999999999</v>
      </c>
      <c r="D124">
        <v>61.44</v>
      </c>
      <c r="E124" t="s">
        <v>2923</v>
      </c>
      <c r="F124" t="s">
        <v>67</v>
      </c>
      <c r="G124" t="s">
        <v>108</v>
      </c>
      <c r="H124" t="s">
        <v>2924</v>
      </c>
      <c r="I124" t="s">
        <v>70</v>
      </c>
      <c r="J124" t="s">
        <v>321</v>
      </c>
      <c r="K124">
        <v>148.77000000000001</v>
      </c>
      <c r="L124">
        <v>1.79</v>
      </c>
      <c r="M124" t="s">
        <v>801</v>
      </c>
      <c r="N124">
        <v>1065509</v>
      </c>
      <c r="P124">
        <v>22.37</v>
      </c>
      <c r="R124">
        <v>0.61</v>
      </c>
      <c r="AA124">
        <v>-0.67</v>
      </c>
      <c r="AC124" t="s">
        <v>2925</v>
      </c>
      <c r="AE124" t="s">
        <v>2926</v>
      </c>
      <c r="AH124" t="s">
        <v>2927</v>
      </c>
      <c r="AJ124" t="s">
        <v>2383</v>
      </c>
      <c r="AK124" t="s">
        <v>2928</v>
      </c>
      <c r="AL124">
        <v>1.1499999999999999</v>
      </c>
      <c r="AM124">
        <v>1.1000000000000001</v>
      </c>
      <c r="AO124" t="s">
        <v>2929</v>
      </c>
      <c r="AP124" t="s">
        <v>2930</v>
      </c>
      <c r="AQ124" t="s">
        <v>2931</v>
      </c>
      <c r="AR124" t="s">
        <v>2887</v>
      </c>
      <c r="AS124" t="s">
        <v>2932</v>
      </c>
      <c r="AT124" t="s">
        <v>604</v>
      </c>
      <c r="AU124" t="s">
        <v>2933</v>
      </c>
      <c r="AV124" t="s">
        <v>1215</v>
      </c>
      <c r="AW124" t="s">
        <v>2934</v>
      </c>
      <c r="AX124" t="s">
        <v>2935</v>
      </c>
      <c r="AY124" t="s">
        <v>2936</v>
      </c>
      <c r="AZ124" t="s">
        <v>2937</v>
      </c>
      <c r="BA124">
        <v>1</v>
      </c>
      <c r="BB124">
        <v>895.02</v>
      </c>
      <c r="BC124">
        <v>4.1900000000000004</v>
      </c>
      <c r="BD124">
        <v>1.63</v>
      </c>
      <c r="BE124">
        <v>1.87</v>
      </c>
      <c r="BF124">
        <v>1.7</v>
      </c>
      <c r="BG124" t="s">
        <v>2938</v>
      </c>
      <c r="BH124" t="s">
        <v>2939</v>
      </c>
      <c r="BI124" t="s">
        <v>2940</v>
      </c>
      <c r="BJ124" t="s">
        <v>101</v>
      </c>
      <c r="BK124" t="s">
        <v>2941</v>
      </c>
      <c r="BL124" t="s">
        <v>2399</v>
      </c>
      <c r="BM124" t="s">
        <v>2942</v>
      </c>
      <c r="BN124" t="s">
        <v>2073</v>
      </c>
    </row>
    <row r="125" spans="1:66" x14ac:dyDescent="0.25">
      <c r="A125" t="str">
        <f>HYPERLINK("https://elite.finviz.com/quote.ashx?t=FBGL&amp;ty=c&amp;p=d&amp;b=1", "FBGL")</f>
        <v>FBGL</v>
      </c>
      <c r="B125">
        <v>7</v>
      </c>
      <c r="C125">
        <v>149.72999999999999</v>
      </c>
      <c r="D125">
        <v>61.57</v>
      </c>
      <c r="E125" t="s">
        <v>2943</v>
      </c>
      <c r="F125" t="s">
        <v>107</v>
      </c>
      <c r="G125" t="s">
        <v>260</v>
      </c>
      <c r="H125" t="s">
        <v>2944</v>
      </c>
      <c r="I125" t="s">
        <v>70</v>
      </c>
      <c r="J125" t="s">
        <v>321</v>
      </c>
      <c r="L125">
        <v>0.73</v>
      </c>
      <c r="M125" t="s">
        <v>2945</v>
      </c>
      <c r="N125">
        <v>183707</v>
      </c>
      <c r="AR125" t="s">
        <v>2946</v>
      </c>
      <c r="AS125" t="s">
        <v>2947</v>
      </c>
      <c r="AT125" t="s">
        <v>2948</v>
      </c>
      <c r="AU125" t="s">
        <v>2949</v>
      </c>
      <c r="AV125" t="s">
        <v>2950</v>
      </c>
      <c r="AW125" t="s">
        <v>2951</v>
      </c>
      <c r="AX125" t="s">
        <v>2952</v>
      </c>
      <c r="AY125" t="s">
        <v>2953</v>
      </c>
      <c r="AZ125" t="s">
        <v>2954</v>
      </c>
      <c r="BB125">
        <v>304.3</v>
      </c>
      <c r="BC125">
        <v>2.13</v>
      </c>
      <c r="BD125">
        <v>0.68</v>
      </c>
      <c r="BE125">
        <v>0.73</v>
      </c>
      <c r="BF125">
        <v>0.65</v>
      </c>
      <c r="BG125" t="s">
        <v>2955</v>
      </c>
      <c r="BH125" t="s">
        <v>2953</v>
      </c>
      <c r="BI125" t="s">
        <v>2954</v>
      </c>
      <c r="BJ125" t="s">
        <v>101</v>
      </c>
      <c r="BK125" t="s">
        <v>2956</v>
      </c>
      <c r="BL125" t="s">
        <v>2957</v>
      </c>
      <c r="BN125" t="s">
        <v>2073</v>
      </c>
    </row>
    <row r="126" spans="1:66" x14ac:dyDescent="0.25">
      <c r="A126" t="str">
        <f>HYPERLINK("https://elite.finviz.com/quote.ashx?t=PNRG&amp;ty=c&amp;p=d&amp;b=1", "PNRG")</f>
        <v>PNRG</v>
      </c>
      <c r="B126">
        <v>7</v>
      </c>
      <c r="C126">
        <v>149.72999999999999</v>
      </c>
      <c r="D126">
        <v>61.77</v>
      </c>
      <c r="E126" t="s">
        <v>2958</v>
      </c>
      <c r="F126" t="s">
        <v>67</v>
      </c>
      <c r="G126" t="s">
        <v>1048</v>
      </c>
      <c r="H126" t="s">
        <v>1049</v>
      </c>
      <c r="I126" t="s">
        <v>70</v>
      </c>
      <c r="J126" t="s">
        <v>321</v>
      </c>
      <c r="K126">
        <v>291.44</v>
      </c>
      <c r="L126">
        <v>176.74</v>
      </c>
      <c r="M126" t="s">
        <v>387</v>
      </c>
      <c r="N126">
        <v>60546</v>
      </c>
      <c r="O126">
        <v>11.88</v>
      </c>
      <c r="R126">
        <v>1.34</v>
      </c>
      <c r="S126">
        <v>1.43</v>
      </c>
      <c r="Z126" t="s">
        <v>164</v>
      </c>
      <c r="AA126">
        <v>14.87</v>
      </c>
      <c r="AB126" t="s">
        <v>2959</v>
      </c>
      <c r="AC126" t="s">
        <v>2960</v>
      </c>
      <c r="AE126" t="s">
        <v>2961</v>
      </c>
      <c r="AF126" t="s">
        <v>2962</v>
      </c>
      <c r="AG126" t="s">
        <v>2963</v>
      </c>
      <c r="AH126" t="s">
        <v>2964</v>
      </c>
      <c r="AJ126" t="s">
        <v>2965</v>
      </c>
      <c r="AK126" t="s">
        <v>2687</v>
      </c>
      <c r="AL126">
        <v>0.6</v>
      </c>
      <c r="AM126">
        <v>0.6</v>
      </c>
      <c r="AN126">
        <v>0.06</v>
      </c>
      <c r="AO126" t="s">
        <v>2966</v>
      </c>
      <c r="AP126" t="s">
        <v>2441</v>
      </c>
      <c r="AQ126" t="s">
        <v>2211</v>
      </c>
      <c r="AR126" t="s">
        <v>2523</v>
      </c>
      <c r="AS126" t="s">
        <v>1091</v>
      </c>
      <c r="AT126" t="s">
        <v>2967</v>
      </c>
      <c r="AU126" t="s">
        <v>238</v>
      </c>
      <c r="AV126" t="s">
        <v>2968</v>
      </c>
      <c r="AW126" t="s">
        <v>2969</v>
      </c>
      <c r="AX126" t="s">
        <v>2970</v>
      </c>
      <c r="AY126" t="s">
        <v>2971</v>
      </c>
      <c r="AZ126" t="s">
        <v>2972</v>
      </c>
      <c r="BB126">
        <v>81.099999999999994</v>
      </c>
      <c r="BC126">
        <v>2.63</v>
      </c>
      <c r="BD126">
        <v>172.35</v>
      </c>
      <c r="BE126">
        <v>177.5</v>
      </c>
      <c r="BF126">
        <v>171.15</v>
      </c>
      <c r="BG126" t="s">
        <v>2973</v>
      </c>
      <c r="BH126" t="s">
        <v>2971</v>
      </c>
      <c r="BI126" t="s">
        <v>2974</v>
      </c>
      <c r="BJ126" t="s">
        <v>101</v>
      </c>
      <c r="BK126" t="s">
        <v>2963</v>
      </c>
      <c r="BL126" t="s">
        <v>2975</v>
      </c>
      <c r="BM126" t="s">
        <v>2976</v>
      </c>
      <c r="BN126" t="s">
        <v>2073</v>
      </c>
    </row>
    <row r="127" spans="1:66" x14ac:dyDescent="0.25">
      <c r="A127" t="str">
        <f>HYPERLINK("https://elite.finviz.com/quote.ashx?t=HYMC&amp;ty=c&amp;p=d&amp;b=1", "HYMC")</f>
        <v>HYMC</v>
      </c>
      <c r="B127">
        <v>7</v>
      </c>
      <c r="C127">
        <v>149.72999999999999</v>
      </c>
      <c r="D127">
        <v>61.83</v>
      </c>
      <c r="E127" t="s">
        <v>2977</v>
      </c>
      <c r="F127" t="s">
        <v>107</v>
      </c>
      <c r="G127" t="s">
        <v>355</v>
      </c>
      <c r="H127" t="s">
        <v>1103</v>
      </c>
      <c r="I127" t="s">
        <v>70</v>
      </c>
      <c r="J127" t="s">
        <v>321</v>
      </c>
      <c r="K127">
        <v>333.44</v>
      </c>
      <c r="L127">
        <v>6.27</v>
      </c>
      <c r="M127" t="s">
        <v>2978</v>
      </c>
      <c r="N127">
        <v>331881</v>
      </c>
      <c r="AA127">
        <v>-2</v>
      </c>
      <c r="AB127" t="s">
        <v>2979</v>
      </c>
      <c r="AC127" t="s">
        <v>2980</v>
      </c>
      <c r="AD127" t="s">
        <v>2981</v>
      </c>
      <c r="AE127" t="s">
        <v>579</v>
      </c>
      <c r="AI127" t="s">
        <v>2982</v>
      </c>
      <c r="AJ127" t="s">
        <v>2983</v>
      </c>
      <c r="AK127" t="s">
        <v>2612</v>
      </c>
      <c r="AL127">
        <v>25.8</v>
      </c>
      <c r="AM127">
        <v>25.35</v>
      </c>
      <c r="AR127" t="s">
        <v>1370</v>
      </c>
      <c r="AS127" t="s">
        <v>2984</v>
      </c>
      <c r="AT127" t="s">
        <v>2985</v>
      </c>
      <c r="AU127" t="s">
        <v>2986</v>
      </c>
      <c r="AV127" t="s">
        <v>2987</v>
      </c>
      <c r="AW127" t="s">
        <v>2988</v>
      </c>
      <c r="AX127" t="s">
        <v>2989</v>
      </c>
      <c r="AY127" t="s">
        <v>2988</v>
      </c>
      <c r="AZ127" t="s">
        <v>2990</v>
      </c>
      <c r="BB127">
        <v>762.41</v>
      </c>
      <c r="BC127">
        <v>1.53</v>
      </c>
      <c r="BD127">
        <v>6.43</v>
      </c>
      <c r="BE127">
        <v>6.46</v>
      </c>
      <c r="BF127">
        <v>6.19</v>
      </c>
      <c r="BG127" t="s">
        <v>2991</v>
      </c>
      <c r="BH127" t="s">
        <v>2992</v>
      </c>
      <c r="BI127" t="s">
        <v>2993</v>
      </c>
      <c r="BJ127" t="s">
        <v>101</v>
      </c>
      <c r="BK127" t="s">
        <v>2994</v>
      </c>
      <c r="BL127" t="s">
        <v>2995</v>
      </c>
      <c r="BM127" t="s">
        <v>2996</v>
      </c>
      <c r="BN127" t="s">
        <v>2073</v>
      </c>
    </row>
    <row r="128" spans="1:66" x14ac:dyDescent="0.25">
      <c r="A128" t="str">
        <f>HYPERLINK("https://elite.finviz.com/quote.ashx?t=NAUT&amp;ty=c&amp;p=d&amp;b=1", "NAUT")</f>
        <v>NAUT</v>
      </c>
      <c r="B128">
        <v>7</v>
      </c>
      <c r="C128">
        <v>149.72999999999999</v>
      </c>
      <c r="D128">
        <v>62.21</v>
      </c>
      <c r="E128" t="s">
        <v>2997</v>
      </c>
      <c r="F128" t="s">
        <v>107</v>
      </c>
      <c r="G128" t="s">
        <v>428</v>
      </c>
      <c r="H128" t="s">
        <v>429</v>
      </c>
      <c r="I128" t="s">
        <v>70</v>
      </c>
      <c r="J128" t="s">
        <v>321</v>
      </c>
      <c r="K128">
        <v>102.07</v>
      </c>
      <c r="L128">
        <v>0.81</v>
      </c>
      <c r="M128" t="s">
        <v>1413</v>
      </c>
      <c r="N128">
        <v>314762</v>
      </c>
      <c r="S128">
        <v>0.56000000000000005</v>
      </c>
      <c r="AA128">
        <v>-0.52</v>
      </c>
      <c r="AB128" t="s">
        <v>2201</v>
      </c>
      <c r="AC128" t="s">
        <v>815</v>
      </c>
      <c r="AD128" t="s">
        <v>2998</v>
      </c>
      <c r="AI128" t="s">
        <v>2999</v>
      </c>
      <c r="AJ128" t="s">
        <v>3000</v>
      </c>
      <c r="AK128" t="s">
        <v>3001</v>
      </c>
      <c r="AL128">
        <v>18.52</v>
      </c>
      <c r="AM128">
        <v>18.52</v>
      </c>
      <c r="AN128">
        <v>0.16</v>
      </c>
      <c r="AR128" t="s">
        <v>1775</v>
      </c>
      <c r="AS128" t="s">
        <v>2351</v>
      </c>
      <c r="AT128" t="s">
        <v>3002</v>
      </c>
      <c r="AU128" t="s">
        <v>3003</v>
      </c>
      <c r="AV128" t="s">
        <v>3004</v>
      </c>
      <c r="AW128" t="s">
        <v>3005</v>
      </c>
      <c r="AX128" t="s">
        <v>329</v>
      </c>
      <c r="AY128" t="s">
        <v>3006</v>
      </c>
      <c r="AZ128" t="s">
        <v>329</v>
      </c>
      <c r="BA128">
        <v>1</v>
      </c>
      <c r="BB128">
        <v>349.13</v>
      </c>
      <c r="BC128">
        <v>3.18</v>
      </c>
      <c r="BD128">
        <v>0.82</v>
      </c>
      <c r="BE128">
        <v>0.89</v>
      </c>
      <c r="BF128">
        <v>0.78</v>
      </c>
      <c r="BG128" t="s">
        <v>3007</v>
      </c>
      <c r="BH128" t="s">
        <v>3008</v>
      </c>
      <c r="BI128" t="s">
        <v>329</v>
      </c>
      <c r="BJ128" t="s">
        <v>101</v>
      </c>
      <c r="BK128" t="s">
        <v>3009</v>
      </c>
      <c r="BL128" t="s">
        <v>3010</v>
      </c>
      <c r="BM128" t="s">
        <v>3011</v>
      </c>
      <c r="BN128" t="s">
        <v>2073</v>
      </c>
    </row>
    <row r="129" spans="1:66" x14ac:dyDescent="0.25">
      <c r="A129" t="str">
        <f>HYPERLINK("https://elite.finviz.com/quote.ashx?t=PDX&amp;ty=c&amp;p=d&amp;b=1", "PDX")</f>
        <v>PDX</v>
      </c>
      <c r="B129">
        <v>7</v>
      </c>
      <c r="C129">
        <v>149.72999999999999</v>
      </c>
      <c r="D129">
        <v>62.27</v>
      </c>
      <c r="E129" t="s">
        <v>3012</v>
      </c>
      <c r="F129" t="s">
        <v>107</v>
      </c>
      <c r="G129" t="s">
        <v>550</v>
      </c>
      <c r="H129" t="s">
        <v>2597</v>
      </c>
      <c r="I129" t="s">
        <v>70</v>
      </c>
      <c r="J129" t="s">
        <v>71</v>
      </c>
      <c r="K129">
        <v>1116.78</v>
      </c>
      <c r="L129">
        <v>24.98</v>
      </c>
      <c r="M129" t="s">
        <v>3013</v>
      </c>
      <c r="N129">
        <v>30113</v>
      </c>
      <c r="O129">
        <v>6.79</v>
      </c>
      <c r="T129" t="s">
        <v>2174</v>
      </c>
      <c r="U129">
        <v>1.53</v>
      </c>
      <c r="V129" t="s">
        <v>2620</v>
      </c>
      <c r="W129" t="s">
        <v>3014</v>
      </c>
      <c r="X129" t="s">
        <v>3015</v>
      </c>
      <c r="Y129" t="s">
        <v>2638</v>
      </c>
      <c r="Z129" t="s">
        <v>3016</v>
      </c>
      <c r="AA129">
        <v>3.68</v>
      </c>
      <c r="AK129" t="s">
        <v>3017</v>
      </c>
      <c r="AR129" t="s">
        <v>2650</v>
      </c>
      <c r="AS129" t="s">
        <v>3018</v>
      </c>
      <c r="AT129" t="s">
        <v>3019</v>
      </c>
      <c r="AU129" t="s">
        <v>2087</v>
      </c>
      <c r="AV129" t="s">
        <v>342</v>
      </c>
      <c r="AW129" t="s">
        <v>2007</v>
      </c>
      <c r="AX129" t="s">
        <v>3020</v>
      </c>
      <c r="AY129" t="s">
        <v>3021</v>
      </c>
      <c r="AZ129" t="s">
        <v>1061</v>
      </c>
      <c r="BB129">
        <v>71.569999999999993</v>
      </c>
      <c r="BC129">
        <v>1.5</v>
      </c>
      <c r="BD129">
        <v>24.77</v>
      </c>
      <c r="BE129">
        <v>25.03</v>
      </c>
      <c r="BF129">
        <v>24.77</v>
      </c>
      <c r="BG129" t="s">
        <v>3022</v>
      </c>
      <c r="BH129" t="s">
        <v>3021</v>
      </c>
      <c r="BI129" t="s">
        <v>3023</v>
      </c>
      <c r="BJ129" t="s">
        <v>101</v>
      </c>
      <c r="BK129" t="s">
        <v>3024</v>
      </c>
      <c r="BL129" t="s">
        <v>3025</v>
      </c>
      <c r="BM129" t="s">
        <v>334</v>
      </c>
      <c r="BN129" t="s">
        <v>2073</v>
      </c>
    </row>
    <row r="130" spans="1:66" x14ac:dyDescent="0.25">
      <c r="A130" t="str">
        <f>HYPERLINK("https://elite.finviz.com/quote.ashx?t=PTGX&amp;ty=c&amp;p=d&amp;b=1", "PTGX")</f>
        <v>PTGX</v>
      </c>
      <c r="B130">
        <v>7</v>
      </c>
      <c r="C130">
        <v>149.72999999999999</v>
      </c>
      <c r="D130">
        <v>62.73</v>
      </c>
      <c r="E130" t="s">
        <v>3026</v>
      </c>
      <c r="F130" t="s">
        <v>67</v>
      </c>
      <c r="G130" t="s">
        <v>428</v>
      </c>
      <c r="H130" t="s">
        <v>429</v>
      </c>
      <c r="I130" t="s">
        <v>70</v>
      </c>
      <c r="J130" t="s">
        <v>321</v>
      </c>
      <c r="K130">
        <v>3988.05</v>
      </c>
      <c r="L130">
        <v>64.11</v>
      </c>
      <c r="M130" t="s">
        <v>3027</v>
      </c>
      <c r="N130">
        <v>218087</v>
      </c>
      <c r="O130">
        <v>89.96</v>
      </c>
      <c r="R130">
        <v>19.07</v>
      </c>
      <c r="S130">
        <v>5.96</v>
      </c>
      <c r="Z130" t="s">
        <v>164</v>
      </c>
      <c r="AA130">
        <v>0.71</v>
      </c>
      <c r="AE130" t="s">
        <v>3028</v>
      </c>
      <c r="AF130" t="s">
        <v>3029</v>
      </c>
      <c r="AG130" t="s">
        <v>3030</v>
      </c>
      <c r="AH130" t="s">
        <v>1548</v>
      </c>
      <c r="AI130" t="s">
        <v>2744</v>
      </c>
      <c r="AJ130" t="s">
        <v>3031</v>
      </c>
      <c r="AK130" t="s">
        <v>3032</v>
      </c>
      <c r="AL130">
        <v>16.97</v>
      </c>
      <c r="AM130">
        <v>16.97</v>
      </c>
      <c r="AN130">
        <v>0.02</v>
      </c>
      <c r="AO130" t="s">
        <v>3033</v>
      </c>
      <c r="AP130" t="s">
        <v>292</v>
      </c>
      <c r="AQ130" t="s">
        <v>3034</v>
      </c>
      <c r="AR130" t="s">
        <v>3035</v>
      </c>
      <c r="AS130" t="s">
        <v>2472</v>
      </c>
      <c r="AT130" t="s">
        <v>3036</v>
      </c>
      <c r="AU130" t="s">
        <v>1089</v>
      </c>
      <c r="AV130" t="s">
        <v>3037</v>
      </c>
      <c r="AW130" t="s">
        <v>2162</v>
      </c>
      <c r="AX130" t="s">
        <v>3038</v>
      </c>
      <c r="AY130" t="s">
        <v>2162</v>
      </c>
      <c r="AZ130" t="s">
        <v>3039</v>
      </c>
      <c r="BA130">
        <v>1.21</v>
      </c>
      <c r="BB130">
        <v>827.1</v>
      </c>
      <c r="BC130">
        <v>0.93</v>
      </c>
      <c r="BD130">
        <v>64.7</v>
      </c>
      <c r="BE130">
        <v>65.459999999999994</v>
      </c>
      <c r="BF130">
        <v>64.19</v>
      </c>
      <c r="BG130" t="s">
        <v>3040</v>
      </c>
      <c r="BH130" t="s">
        <v>2162</v>
      </c>
      <c r="BI130" t="s">
        <v>3041</v>
      </c>
      <c r="BJ130" t="s">
        <v>101</v>
      </c>
      <c r="BK130" t="s">
        <v>3042</v>
      </c>
      <c r="BL130" t="s">
        <v>3043</v>
      </c>
      <c r="BM130" t="s">
        <v>3044</v>
      </c>
      <c r="BN130" t="s">
        <v>2073</v>
      </c>
    </row>
    <row r="131" spans="1:66" x14ac:dyDescent="0.25">
      <c r="A131" t="str">
        <f>HYPERLINK("https://elite.finviz.com/quote.ashx?t=NRT&amp;ty=c&amp;p=d&amp;b=1", "NRT")</f>
        <v>NRT</v>
      </c>
      <c r="B131">
        <v>7</v>
      </c>
      <c r="C131">
        <v>149.72999999999999</v>
      </c>
      <c r="D131">
        <v>62.74</v>
      </c>
      <c r="E131" t="s">
        <v>3045</v>
      </c>
      <c r="F131" t="s">
        <v>107</v>
      </c>
      <c r="G131" t="s">
        <v>1048</v>
      </c>
      <c r="H131" t="s">
        <v>1049</v>
      </c>
      <c r="I131" t="s">
        <v>70</v>
      </c>
      <c r="J131" t="s">
        <v>71</v>
      </c>
      <c r="K131">
        <v>50.82</v>
      </c>
      <c r="L131">
        <v>5.53</v>
      </c>
      <c r="M131" t="s">
        <v>2339</v>
      </c>
      <c r="N131">
        <v>19773</v>
      </c>
      <c r="O131">
        <v>9.19</v>
      </c>
      <c r="R131">
        <v>8.02</v>
      </c>
      <c r="S131">
        <v>27.45</v>
      </c>
      <c r="T131" t="s">
        <v>684</v>
      </c>
      <c r="U131">
        <v>0.52</v>
      </c>
      <c r="V131" t="s">
        <v>3046</v>
      </c>
      <c r="W131" t="s">
        <v>189</v>
      </c>
      <c r="X131" t="s">
        <v>3047</v>
      </c>
      <c r="Y131" t="s">
        <v>3048</v>
      </c>
      <c r="Z131" t="s">
        <v>3049</v>
      </c>
      <c r="AA131">
        <v>0.6</v>
      </c>
      <c r="AB131" t="s">
        <v>3050</v>
      </c>
      <c r="AC131" t="s">
        <v>3051</v>
      </c>
      <c r="AE131" t="s">
        <v>3052</v>
      </c>
      <c r="AF131" t="s">
        <v>2783</v>
      </c>
      <c r="AG131" t="s">
        <v>869</v>
      </c>
      <c r="AH131" t="s">
        <v>3053</v>
      </c>
      <c r="AJ131" t="s">
        <v>164</v>
      </c>
      <c r="AK131" t="s">
        <v>3054</v>
      </c>
      <c r="AL131">
        <v>1.77</v>
      </c>
      <c r="AM131">
        <v>1.77</v>
      </c>
      <c r="AN131">
        <v>0</v>
      </c>
      <c r="AO131" t="s">
        <v>3055</v>
      </c>
      <c r="AP131" t="s">
        <v>3056</v>
      </c>
      <c r="AQ131" t="s">
        <v>3056</v>
      </c>
      <c r="AR131" t="s">
        <v>2700</v>
      </c>
      <c r="AS131" t="s">
        <v>1769</v>
      </c>
      <c r="AT131" t="s">
        <v>2580</v>
      </c>
      <c r="AU131" t="s">
        <v>3057</v>
      </c>
      <c r="AV131" t="s">
        <v>3058</v>
      </c>
      <c r="AW131" t="s">
        <v>2870</v>
      </c>
      <c r="AX131" t="s">
        <v>3059</v>
      </c>
      <c r="AY131" t="s">
        <v>2870</v>
      </c>
      <c r="AZ131" t="s">
        <v>3060</v>
      </c>
      <c r="BB131">
        <v>35.020000000000003</v>
      </c>
      <c r="BC131">
        <v>2.0099999999999998</v>
      </c>
      <c r="BD131">
        <v>5.43</v>
      </c>
      <c r="BE131">
        <v>5.53</v>
      </c>
      <c r="BF131">
        <v>5.4</v>
      </c>
      <c r="BG131" t="s">
        <v>3061</v>
      </c>
      <c r="BH131" t="s">
        <v>3062</v>
      </c>
      <c r="BI131" t="s">
        <v>3063</v>
      </c>
      <c r="BJ131" t="s">
        <v>101</v>
      </c>
      <c r="BK131" t="s">
        <v>3064</v>
      </c>
      <c r="BL131" t="s">
        <v>3065</v>
      </c>
      <c r="BM131" t="s">
        <v>3066</v>
      </c>
      <c r="BN131" t="s">
        <v>2073</v>
      </c>
    </row>
    <row r="132" spans="1:66" x14ac:dyDescent="0.25">
      <c r="A132" t="str">
        <f>HYPERLINK("https://elite.finviz.com/quote.ashx?t=MIGI&amp;ty=c&amp;p=d&amp;b=1", "MIGI")</f>
        <v>MIGI</v>
      </c>
      <c r="B132">
        <v>7</v>
      </c>
      <c r="C132">
        <v>149.72999999999999</v>
      </c>
      <c r="D132">
        <v>62.82</v>
      </c>
      <c r="E132" t="s">
        <v>3067</v>
      </c>
      <c r="F132" t="s">
        <v>107</v>
      </c>
      <c r="G132" t="s">
        <v>550</v>
      </c>
      <c r="H132" t="s">
        <v>551</v>
      </c>
      <c r="I132" t="s">
        <v>70</v>
      </c>
      <c r="J132" t="s">
        <v>321</v>
      </c>
      <c r="K132">
        <v>10.11</v>
      </c>
      <c r="L132">
        <v>0.49</v>
      </c>
      <c r="M132" t="s">
        <v>1282</v>
      </c>
      <c r="N132">
        <v>3475411</v>
      </c>
      <c r="R132">
        <v>0.2</v>
      </c>
      <c r="AA132">
        <v>-1.31</v>
      </c>
      <c r="AB132" t="s">
        <v>3068</v>
      </c>
      <c r="AC132" t="s">
        <v>3069</v>
      </c>
      <c r="AE132" t="s">
        <v>3070</v>
      </c>
      <c r="AF132" t="s">
        <v>3071</v>
      </c>
      <c r="AH132" t="s">
        <v>3072</v>
      </c>
      <c r="AI132" t="s">
        <v>164</v>
      </c>
      <c r="AJ132" t="s">
        <v>164</v>
      </c>
      <c r="AK132" t="s">
        <v>1981</v>
      </c>
      <c r="AL132">
        <v>0.32</v>
      </c>
      <c r="AM132">
        <v>0.32</v>
      </c>
      <c r="AO132" t="s">
        <v>3073</v>
      </c>
      <c r="AP132" t="s">
        <v>3074</v>
      </c>
      <c r="AQ132" t="s">
        <v>3075</v>
      </c>
      <c r="AR132" t="s">
        <v>3076</v>
      </c>
      <c r="AS132" t="s">
        <v>3077</v>
      </c>
      <c r="AT132" t="s">
        <v>3078</v>
      </c>
      <c r="AU132" t="s">
        <v>3079</v>
      </c>
      <c r="AV132" t="s">
        <v>3080</v>
      </c>
      <c r="AW132" t="s">
        <v>3081</v>
      </c>
      <c r="AX132" t="s">
        <v>3082</v>
      </c>
      <c r="AY132" t="s">
        <v>3083</v>
      </c>
      <c r="AZ132" t="s">
        <v>3082</v>
      </c>
      <c r="BA132">
        <v>1</v>
      </c>
      <c r="BB132">
        <v>362.06</v>
      </c>
      <c r="BC132">
        <v>33.82</v>
      </c>
      <c r="BD132">
        <v>0.45</v>
      </c>
      <c r="BE132">
        <v>0.51</v>
      </c>
      <c r="BF132">
        <v>0.45</v>
      </c>
      <c r="BG132" t="s">
        <v>3084</v>
      </c>
      <c r="BH132" t="s">
        <v>579</v>
      </c>
      <c r="BI132" t="s">
        <v>3082</v>
      </c>
      <c r="BJ132" t="s">
        <v>101</v>
      </c>
      <c r="BK132" t="s">
        <v>1516</v>
      </c>
      <c r="BL132" t="s">
        <v>3085</v>
      </c>
      <c r="BM132" t="s">
        <v>3086</v>
      </c>
      <c r="BN132" t="s">
        <v>2073</v>
      </c>
    </row>
    <row r="133" spans="1:66" x14ac:dyDescent="0.25">
      <c r="A133" t="str">
        <f>HYPERLINK("https://elite.finviz.com/quote.ashx?t=USEG&amp;ty=c&amp;p=d&amp;b=1", "USEG")</f>
        <v>USEG</v>
      </c>
      <c r="B133">
        <v>7</v>
      </c>
      <c r="C133">
        <v>149.72999999999999</v>
      </c>
      <c r="D133">
        <v>62.87</v>
      </c>
      <c r="E133" t="s">
        <v>3087</v>
      </c>
      <c r="F133" t="s">
        <v>107</v>
      </c>
      <c r="G133" t="s">
        <v>1048</v>
      </c>
      <c r="H133" t="s">
        <v>1049</v>
      </c>
      <c r="I133" t="s">
        <v>70</v>
      </c>
      <c r="J133" t="s">
        <v>321</v>
      </c>
      <c r="K133">
        <v>43.89</v>
      </c>
      <c r="L133">
        <v>1.29</v>
      </c>
      <c r="M133" t="s">
        <v>3088</v>
      </c>
      <c r="N133">
        <v>693811</v>
      </c>
      <c r="R133">
        <v>3.28</v>
      </c>
      <c r="S133">
        <v>1.57</v>
      </c>
      <c r="V133" t="s">
        <v>3089</v>
      </c>
      <c r="AA133">
        <v>-0.79</v>
      </c>
      <c r="AB133" t="s">
        <v>3090</v>
      </c>
      <c r="AC133" t="s">
        <v>3091</v>
      </c>
      <c r="AE133" t="s">
        <v>3092</v>
      </c>
      <c r="AF133" t="s">
        <v>3093</v>
      </c>
      <c r="AG133" t="s">
        <v>2687</v>
      </c>
      <c r="AH133" t="s">
        <v>3094</v>
      </c>
      <c r="AI133" t="s">
        <v>3095</v>
      </c>
      <c r="AJ133" t="s">
        <v>2335</v>
      </c>
      <c r="AK133" t="s">
        <v>891</v>
      </c>
      <c r="AL133">
        <v>0.76</v>
      </c>
      <c r="AM133">
        <v>0.76</v>
      </c>
      <c r="AN133">
        <v>0.02</v>
      </c>
      <c r="AO133" t="s">
        <v>3096</v>
      </c>
      <c r="AP133" t="s">
        <v>3097</v>
      </c>
      <c r="AQ133" t="s">
        <v>3098</v>
      </c>
      <c r="AR133" t="s">
        <v>454</v>
      </c>
      <c r="AS133" t="s">
        <v>323</v>
      </c>
      <c r="AT133" t="s">
        <v>3099</v>
      </c>
      <c r="AU133" t="s">
        <v>3100</v>
      </c>
      <c r="AV133" t="s">
        <v>3101</v>
      </c>
      <c r="AW133" t="s">
        <v>3102</v>
      </c>
      <c r="AX133" t="s">
        <v>3103</v>
      </c>
      <c r="AY133" t="s">
        <v>3104</v>
      </c>
      <c r="AZ133" t="s">
        <v>3105</v>
      </c>
      <c r="BA133">
        <v>1.5</v>
      </c>
      <c r="BB133">
        <v>411.65</v>
      </c>
      <c r="BC133">
        <v>5.99</v>
      </c>
      <c r="BD133">
        <v>1.22</v>
      </c>
      <c r="BE133">
        <v>1.32</v>
      </c>
      <c r="BF133">
        <v>1.21</v>
      </c>
      <c r="BG133" t="s">
        <v>3106</v>
      </c>
      <c r="BH133" t="s">
        <v>3107</v>
      </c>
      <c r="BI133" t="s">
        <v>3108</v>
      </c>
      <c r="BJ133" t="s">
        <v>101</v>
      </c>
      <c r="BK133" t="s">
        <v>3109</v>
      </c>
      <c r="BL133" t="s">
        <v>170</v>
      </c>
      <c r="BM133" t="s">
        <v>244</v>
      </c>
      <c r="BN133" t="s">
        <v>2073</v>
      </c>
    </row>
    <row r="134" spans="1:66" x14ac:dyDescent="0.25">
      <c r="A134" t="str">
        <f>HYPERLINK("https://elite.finviz.com/quote.ashx?t=GRAF&amp;ty=c&amp;p=d&amp;b=1", "GRAF")</f>
        <v>GRAF</v>
      </c>
      <c r="B134">
        <v>7</v>
      </c>
      <c r="C134">
        <v>149.72999999999999</v>
      </c>
      <c r="D134">
        <v>62.91</v>
      </c>
      <c r="E134" t="s">
        <v>3110</v>
      </c>
      <c r="F134" t="s">
        <v>107</v>
      </c>
      <c r="G134" t="s">
        <v>550</v>
      </c>
      <c r="H134" t="s">
        <v>2120</v>
      </c>
      <c r="I134" t="s">
        <v>70</v>
      </c>
      <c r="J134" t="s">
        <v>383</v>
      </c>
      <c r="K134">
        <v>305.32</v>
      </c>
      <c r="L134">
        <v>10.62</v>
      </c>
      <c r="M134" t="s">
        <v>2216</v>
      </c>
      <c r="N134">
        <v>5</v>
      </c>
      <c r="O134">
        <v>31.42</v>
      </c>
      <c r="S134">
        <v>1.32</v>
      </c>
      <c r="Z134" t="s">
        <v>164</v>
      </c>
      <c r="AA134">
        <v>0.34</v>
      </c>
      <c r="AJ134" t="s">
        <v>164</v>
      </c>
      <c r="AK134" t="s">
        <v>3111</v>
      </c>
      <c r="AL134">
        <v>2.36</v>
      </c>
      <c r="AM134">
        <v>2.36</v>
      </c>
      <c r="AN134">
        <v>0</v>
      </c>
      <c r="AR134" t="s">
        <v>3112</v>
      </c>
      <c r="AS134" t="s">
        <v>2560</v>
      </c>
      <c r="AT134" t="s">
        <v>2759</v>
      </c>
      <c r="AU134" t="s">
        <v>1417</v>
      </c>
      <c r="AV134" t="s">
        <v>2495</v>
      </c>
      <c r="AW134" t="s">
        <v>3113</v>
      </c>
      <c r="AX134" t="s">
        <v>1926</v>
      </c>
      <c r="AY134" t="s">
        <v>3114</v>
      </c>
      <c r="AZ134" t="s">
        <v>3115</v>
      </c>
      <c r="BB134">
        <v>7.89</v>
      </c>
      <c r="BC134">
        <v>0</v>
      </c>
      <c r="BD134">
        <v>10.56</v>
      </c>
      <c r="BE134">
        <v>10.64</v>
      </c>
      <c r="BF134">
        <v>10.64</v>
      </c>
      <c r="BG134" t="s">
        <v>3116</v>
      </c>
      <c r="BH134" t="s">
        <v>3114</v>
      </c>
      <c r="BI134" t="s">
        <v>3117</v>
      </c>
      <c r="BJ134" t="s">
        <v>101</v>
      </c>
      <c r="BK134" t="s">
        <v>3118</v>
      </c>
      <c r="BL134" t="s">
        <v>3119</v>
      </c>
      <c r="BN134" t="s">
        <v>2073</v>
      </c>
    </row>
    <row r="135" spans="1:66" x14ac:dyDescent="0.25">
      <c r="A135" t="str">
        <f>HYPERLINK("https://elite.finviz.com/quote.ashx?t=ERAS&amp;ty=c&amp;p=d&amp;b=1", "ERAS")</f>
        <v>ERAS</v>
      </c>
      <c r="B135">
        <v>7</v>
      </c>
      <c r="C135">
        <v>149.72999999999999</v>
      </c>
      <c r="D135">
        <v>63.34</v>
      </c>
      <c r="E135" t="s">
        <v>3120</v>
      </c>
      <c r="F135" t="s">
        <v>67</v>
      </c>
      <c r="G135" t="s">
        <v>428</v>
      </c>
      <c r="H135" t="s">
        <v>429</v>
      </c>
      <c r="I135" t="s">
        <v>70</v>
      </c>
      <c r="J135" t="s">
        <v>321</v>
      </c>
      <c r="K135">
        <v>550.32000000000005</v>
      </c>
      <c r="L135">
        <v>1.94</v>
      </c>
      <c r="M135" t="s">
        <v>3121</v>
      </c>
      <c r="N135">
        <v>629135</v>
      </c>
      <c r="S135">
        <v>1.48</v>
      </c>
      <c r="AA135">
        <v>-0.45</v>
      </c>
      <c r="AB135" t="s">
        <v>3122</v>
      </c>
      <c r="AC135" t="s">
        <v>3123</v>
      </c>
      <c r="AD135" t="s">
        <v>1395</v>
      </c>
      <c r="AI135" t="s">
        <v>3124</v>
      </c>
      <c r="AJ135" t="s">
        <v>164</v>
      </c>
      <c r="AK135" t="s">
        <v>3125</v>
      </c>
      <c r="AL135">
        <v>11.04</v>
      </c>
      <c r="AM135">
        <v>11.04</v>
      </c>
      <c r="AN135">
        <v>0.13</v>
      </c>
      <c r="AR135" t="s">
        <v>3126</v>
      </c>
      <c r="AS135" t="s">
        <v>3127</v>
      </c>
      <c r="AT135" t="s">
        <v>146</v>
      </c>
      <c r="AU135" t="s">
        <v>1415</v>
      </c>
      <c r="AV135" t="s">
        <v>3128</v>
      </c>
      <c r="AW135" t="s">
        <v>164</v>
      </c>
      <c r="AX135" t="s">
        <v>3129</v>
      </c>
      <c r="AY135" t="s">
        <v>3130</v>
      </c>
      <c r="AZ135" t="s">
        <v>3131</v>
      </c>
      <c r="BA135">
        <v>1.62</v>
      </c>
      <c r="BB135">
        <v>981.45</v>
      </c>
      <c r="BC135">
        <v>2.2599999999999998</v>
      </c>
      <c r="BD135">
        <v>1.81</v>
      </c>
      <c r="BE135">
        <v>1.94</v>
      </c>
      <c r="BF135">
        <v>1.8</v>
      </c>
      <c r="BG135" t="s">
        <v>3132</v>
      </c>
      <c r="BH135" t="s">
        <v>3133</v>
      </c>
      <c r="BI135" t="s">
        <v>3131</v>
      </c>
      <c r="BJ135" t="s">
        <v>101</v>
      </c>
      <c r="BK135" t="s">
        <v>3134</v>
      </c>
      <c r="BL135" t="s">
        <v>1334</v>
      </c>
      <c r="BM135" t="s">
        <v>3135</v>
      </c>
      <c r="BN135" t="s">
        <v>2073</v>
      </c>
    </row>
    <row r="136" spans="1:66" x14ac:dyDescent="0.25">
      <c r="A136" t="str">
        <f>HYPERLINK("https://elite.finviz.com/quote.ashx?t=FBIO&amp;ty=c&amp;p=d&amp;b=1", "FBIO")</f>
        <v>FBIO</v>
      </c>
      <c r="B136">
        <v>7</v>
      </c>
      <c r="C136">
        <v>149.72999999999999</v>
      </c>
      <c r="D136">
        <v>63.44</v>
      </c>
      <c r="E136" t="s">
        <v>3136</v>
      </c>
      <c r="F136" t="s">
        <v>107</v>
      </c>
      <c r="G136" t="s">
        <v>428</v>
      </c>
      <c r="H136" t="s">
        <v>429</v>
      </c>
      <c r="I136" t="s">
        <v>70</v>
      </c>
      <c r="J136" t="s">
        <v>321</v>
      </c>
      <c r="K136">
        <v>111.19</v>
      </c>
      <c r="L136">
        <v>3.74</v>
      </c>
      <c r="M136" t="s">
        <v>2263</v>
      </c>
      <c r="N136">
        <v>501208</v>
      </c>
      <c r="R136">
        <v>1.88</v>
      </c>
      <c r="S136">
        <v>2.5299999999999998</v>
      </c>
      <c r="AA136">
        <v>-1.1399999999999999</v>
      </c>
      <c r="AB136" t="s">
        <v>3137</v>
      </c>
      <c r="AC136" t="s">
        <v>3138</v>
      </c>
      <c r="AD136" t="s">
        <v>1066</v>
      </c>
      <c r="AE136" t="s">
        <v>3139</v>
      </c>
      <c r="AF136" t="s">
        <v>3140</v>
      </c>
      <c r="AG136" t="s">
        <v>3141</v>
      </c>
      <c r="AH136" t="s">
        <v>1575</v>
      </c>
      <c r="AI136" t="s">
        <v>3142</v>
      </c>
      <c r="AJ136" t="s">
        <v>164</v>
      </c>
      <c r="AK136" t="s">
        <v>1001</v>
      </c>
      <c r="AL136">
        <v>1.92</v>
      </c>
      <c r="AM136">
        <v>1.7</v>
      </c>
      <c r="AN136">
        <v>1.58</v>
      </c>
      <c r="AO136" t="s">
        <v>3143</v>
      </c>
      <c r="AP136" t="s">
        <v>3144</v>
      </c>
      <c r="AQ136" t="s">
        <v>3145</v>
      </c>
      <c r="AR136" t="s">
        <v>3146</v>
      </c>
      <c r="AS136" t="s">
        <v>3147</v>
      </c>
      <c r="AT136" t="s">
        <v>3148</v>
      </c>
      <c r="AU136" t="s">
        <v>3149</v>
      </c>
      <c r="AV136" t="s">
        <v>3150</v>
      </c>
      <c r="AW136" t="s">
        <v>2753</v>
      </c>
      <c r="AX136" t="s">
        <v>3151</v>
      </c>
      <c r="AY136" t="s">
        <v>2753</v>
      </c>
      <c r="AZ136" t="s">
        <v>3152</v>
      </c>
      <c r="BA136">
        <v>1</v>
      </c>
      <c r="BB136">
        <v>652.69000000000005</v>
      </c>
      <c r="BC136">
        <v>2.71</v>
      </c>
      <c r="BD136">
        <v>3.75</v>
      </c>
      <c r="BE136">
        <v>3.82</v>
      </c>
      <c r="BF136">
        <v>3.65</v>
      </c>
      <c r="BG136" t="s">
        <v>3153</v>
      </c>
      <c r="BH136" t="s">
        <v>3154</v>
      </c>
      <c r="BI136" t="s">
        <v>3155</v>
      </c>
      <c r="BJ136" t="s">
        <v>101</v>
      </c>
      <c r="BK136" t="s">
        <v>3156</v>
      </c>
      <c r="BL136" t="s">
        <v>3157</v>
      </c>
      <c r="BM136" t="s">
        <v>3158</v>
      </c>
      <c r="BN136" t="s">
        <v>2073</v>
      </c>
    </row>
    <row r="137" spans="1:66" x14ac:dyDescent="0.25">
      <c r="A137" t="str">
        <f>HYPERLINK("https://elite.finviz.com/quote.ashx?t=CCRN&amp;ty=c&amp;p=d&amp;b=1", "CCRN")</f>
        <v>CCRN</v>
      </c>
      <c r="B137">
        <v>7</v>
      </c>
      <c r="C137">
        <v>149.72999999999999</v>
      </c>
      <c r="D137">
        <v>63.76</v>
      </c>
      <c r="E137" t="s">
        <v>3159</v>
      </c>
      <c r="F137" t="s">
        <v>67</v>
      </c>
      <c r="G137" t="s">
        <v>428</v>
      </c>
      <c r="H137" t="s">
        <v>3160</v>
      </c>
      <c r="I137" t="s">
        <v>70</v>
      </c>
      <c r="J137" t="s">
        <v>321</v>
      </c>
      <c r="K137">
        <v>481.6</v>
      </c>
      <c r="L137">
        <v>14.7</v>
      </c>
      <c r="M137" t="s">
        <v>2820</v>
      </c>
      <c r="N137">
        <v>327198</v>
      </c>
      <c r="P137">
        <v>53.45</v>
      </c>
      <c r="R137">
        <v>0.4</v>
      </c>
      <c r="S137">
        <v>1.1599999999999999</v>
      </c>
      <c r="AA137">
        <v>-0.26</v>
      </c>
      <c r="AC137" t="s">
        <v>3161</v>
      </c>
      <c r="AD137" t="s">
        <v>3162</v>
      </c>
      <c r="AE137" t="s">
        <v>3163</v>
      </c>
      <c r="AF137" t="s">
        <v>3164</v>
      </c>
      <c r="AG137" t="s">
        <v>1396</v>
      </c>
      <c r="AH137" t="s">
        <v>3165</v>
      </c>
      <c r="AI137" t="s">
        <v>3166</v>
      </c>
      <c r="AJ137" t="s">
        <v>164</v>
      </c>
      <c r="AK137" t="s">
        <v>3167</v>
      </c>
      <c r="AL137">
        <v>3.21</v>
      </c>
      <c r="AM137">
        <v>3.21</v>
      </c>
      <c r="AN137">
        <v>0.01</v>
      </c>
      <c r="AO137" t="s">
        <v>3168</v>
      </c>
      <c r="AP137" t="s">
        <v>3169</v>
      </c>
      <c r="AQ137" t="s">
        <v>2197</v>
      </c>
      <c r="AR137" t="s">
        <v>3170</v>
      </c>
      <c r="AS137" t="s">
        <v>1063</v>
      </c>
      <c r="AT137" t="s">
        <v>2605</v>
      </c>
      <c r="AU137" t="s">
        <v>3171</v>
      </c>
      <c r="AV137" t="s">
        <v>3172</v>
      </c>
      <c r="AW137" t="s">
        <v>3173</v>
      </c>
      <c r="AX137" t="s">
        <v>3174</v>
      </c>
      <c r="AY137" t="s">
        <v>3175</v>
      </c>
      <c r="AZ137" t="s">
        <v>3176</v>
      </c>
      <c r="BA137">
        <v>3</v>
      </c>
      <c r="BB137">
        <v>301.04000000000002</v>
      </c>
      <c r="BC137">
        <v>3.83</v>
      </c>
      <c r="BD137">
        <v>13.15</v>
      </c>
      <c r="BE137">
        <v>14.72</v>
      </c>
      <c r="BF137">
        <v>13.14</v>
      </c>
      <c r="BG137" t="s">
        <v>3177</v>
      </c>
      <c r="BH137" t="s">
        <v>3178</v>
      </c>
      <c r="BI137" t="s">
        <v>3179</v>
      </c>
      <c r="BJ137" t="s">
        <v>101</v>
      </c>
      <c r="BK137" t="s">
        <v>3180</v>
      </c>
      <c r="BL137" t="s">
        <v>72</v>
      </c>
      <c r="BM137" t="s">
        <v>3181</v>
      </c>
      <c r="BN137" t="s">
        <v>2073</v>
      </c>
    </row>
    <row r="138" spans="1:66" x14ac:dyDescent="0.25">
      <c r="A138" t="str">
        <f>HYPERLINK("https://elite.finviz.com/quote.ashx?t=FBRX&amp;ty=c&amp;p=d&amp;b=1", "FBRX")</f>
        <v>FBRX</v>
      </c>
      <c r="B138">
        <v>7</v>
      </c>
      <c r="C138">
        <v>149.72999999999999</v>
      </c>
      <c r="D138">
        <v>63.88</v>
      </c>
      <c r="E138" t="s">
        <v>3182</v>
      </c>
      <c r="F138" t="s">
        <v>107</v>
      </c>
      <c r="G138" t="s">
        <v>428</v>
      </c>
      <c r="H138" t="s">
        <v>429</v>
      </c>
      <c r="I138" t="s">
        <v>70</v>
      </c>
      <c r="J138" t="s">
        <v>321</v>
      </c>
      <c r="K138">
        <v>178.04</v>
      </c>
      <c r="L138">
        <v>14.32</v>
      </c>
      <c r="M138" t="s">
        <v>1657</v>
      </c>
      <c r="N138">
        <v>42664</v>
      </c>
      <c r="S138">
        <v>1.78</v>
      </c>
      <c r="AA138">
        <v>-7.99</v>
      </c>
      <c r="AB138" t="s">
        <v>3183</v>
      </c>
      <c r="AC138" t="s">
        <v>3184</v>
      </c>
      <c r="AD138" t="s">
        <v>3185</v>
      </c>
      <c r="AI138" t="s">
        <v>3186</v>
      </c>
      <c r="AJ138" t="s">
        <v>164</v>
      </c>
      <c r="AK138" t="s">
        <v>3187</v>
      </c>
      <c r="AL138">
        <v>11.74</v>
      </c>
      <c r="AM138">
        <v>11.74</v>
      </c>
      <c r="AN138">
        <v>0</v>
      </c>
      <c r="AR138" t="s">
        <v>3188</v>
      </c>
      <c r="AS138" t="s">
        <v>3189</v>
      </c>
      <c r="AT138" t="s">
        <v>3190</v>
      </c>
      <c r="AU138" t="s">
        <v>3191</v>
      </c>
      <c r="AV138" t="s">
        <v>3192</v>
      </c>
      <c r="AW138" t="s">
        <v>3193</v>
      </c>
      <c r="AX138" t="s">
        <v>3194</v>
      </c>
      <c r="AY138" t="s">
        <v>3195</v>
      </c>
      <c r="AZ138" t="s">
        <v>3196</v>
      </c>
      <c r="BA138">
        <v>1</v>
      </c>
      <c r="BB138">
        <v>81.42</v>
      </c>
      <c r="BC138">
        <v>1.86</v>
      </c>
      <c r="BD138">
        <v>14.25</v>
      </c>
      <c r="BE138">
        <v>14.49</v>
      </c>
      <c r="BF138">
        <v>14.15</v>
      </c>
      <c r="BG138" t="s">
        <v>3197</v>
      </c>
      <c r="BH138" t="s">
        <v>3198</v>
      </c>
      <c r="BI138" t="s">
        <v>3196</v>
      </c>
      <c r="BJ138" t="s">
        <v>101</v>
      </c>
      <c r="BK138" t="s">
        <v>3199</v>
      </c>
      <c r="BL138" t="s">
        <v>3200</v>
      </c>
      <c r="BM138" t="s">
        <v>3201</v>
      </c>
      <c r="BN138" t="s">
        <v>2073</v>
      </c>
    </row>
    <row r="139" spans="1:66" x14ac:dyDescent="0.25">
      <c r="A139" t="str">
        <f>HYPERLINK("https://elite.finviz.com/quote.ashx?t=ASYS&amp;ty=c&amp;p=d&amp;b=1", "ASYS")</f>
        <v>ASYS</v>
      </c>
      <c r="B139">
        <v>7</v>
      </c>
      <c r="C139">
        <v>149.72999999999999</v>
      </c>
      <c r="D139">
        <v>63.94</v>
      </c>
      <c r="E139" t="s">
        <v>3202</v>
      </c>
      <c r="F139" t="s">
        <v>107</v>
      </c>
      <c r="G139" t="s">
        <v>108</v>
      </c>
      <c r="H139" t="s">
        <v>2097</v>
      </c>
      <c r="I139" t="s">
        <v>70</v>
      </c>
      <c r="J139" t="s">
        <v>321</v>
      </c>
      <c r="K139">
        <v>130.12</v>
      </c>
      <c r="L139">
        <v>9.09</v>
      </c>
      <c r="M139" t="s">
        <v>2185</v>
      </c>
      <c r="N139">
        <v>113477</v>
      </c>
      <c r="P139">
        <v>64.930000000000007</v>
      </c>
      <c r="R139">
        <v>1.56</v>
      </c>
      <c r="S139">
        <v>2.52</v>
      </c>
      <c r="AA139">
        <v>-2.23</v>
      </c>
      <c r="AC139" t="s">
        <v>103</v>
      </c>
      <c r="AE139" t="s">
        <v>3203</v>
      </c>
      <c r="AF139" t="s">
        <v>3204</v>
      </c>
      <c r="AG139" t="s">
        <v>3205</v>
      </c>
      <c r="AH139" t="s">
        <v>3206</v>
      </c>
      <c r="AI139" t="s">
        <v>3207</v>
      </c>
      <c r="AJ139" t="s">
        <v>3208</v>
      </c>
      <c r="AK139" t="s">
        <v>3209</v>
      </c>
      <c r="AL139">
        <v>3.07</v>
      </c>
      <c r="AM139">
        <v>2.02</v>
      </c>
      <c r="AN139">
        <v>0.37</v>
      </c>
      <c r="AO139" t="s">
        <v>3210</v>
      </c>
      <c r="AP139" t="s">
        <v>1613</v>
      </c>
      <c r="AQ139" t="s">
        <v>3211</v>
      </c>
      <c r="AR139" t="s">
        <v>419</v>
      </c>
      <c r="AS139" t="s">
        <v>3212</v>
      </c>
      <c r="AT139" t="s">
        <v>2786</v>
      </c>
      <c r="AU139" t="s">
        <v>3213</v>
      </c>
      <c r="AV139" t="s">
        <v>3214</v>
      </c>
      <c r="AW139" t="s">
        <v>3215</v>
      </c>
      <c r="AX139" t="s">
        <v>3216</v>
      </c>
      <c r="AY139" t="s">
        <v>3215</v>
      </c>
      <c r="AZ139" t="s">
        <v>3217</v>
      </c>
      <c r="BA139">
        <v>2</v>
      </c>
      <c r="BB139">
        <v>165.46</v>
      </c>
      <c r="BC139">
        <v>2.42</v>
      </c>
      <c r="BD139">
        <v>8.9700000000000006</v>
      </c>
      <c r="BE139">
        <v>9.2200000000000006</v>
      </c>
      <c r="BF139">
        <v>8.92</v>
      </c>
      <c r="BG139" t="s">
        <v>3218</v>
      </c>
      <c r="BH139" t="s">
        <v>3219</v>
      </c>
      <c r="BI139" t="s">
        <v>3220</v>
      </c>
      <c r="BJ139" t="s">
        <v>101</v>
      </c>
      <c r="BK139" t="s">
        <v>3221</v>
      </c>
      <c r="BL139" t="s">
        <v>3222</v>
      </c>
      <c r="BM139" t="s">
        <v>3223</v>
      </c>
      <c r="BN139" t="s">
        <v>2073</v>
      </c>
    </row>
    <row r="140" spans="1:66" x14ac:dyDescent="0.25">
      <c r="A140" t="str">
        <f>HYPERLINK("https://elite.finviz.com/quote.ashx?t=AIRJ&amp;ty=c&amp;p=d&amp;b=1", "AIRJ")</f>
        <v>AIRJ</v>
      </c>
      <c r="B140">
        <v>7</v>
      </c>
      <c r="C140">
        <v>149.72999999999999</v>
      </c>
      <c r="D140">
        <v>64.22</v>
      </c>
      <c r="E140" t="s">
        <v>3224</v>
      </c>
      <c r="F140" t="s">
        <v>67</v>
      </c>
      <c r="G140" t="s">
        <v>260</v>
      </c>
      <c r="H140" t="s">
        <v>3225</v>
      </c>
      <c r="I140" t="s">
        <v>70</v>
      </c>
      <c r="J140" t="s">
        <v>321</v>
      </c>
      <c r="K140">
        <v>319.12</v>
      </c>
      <c r="L140">
        <v>5.28</v>
      </c>
      <c r="M140" t="s">
        <v>3226</v>
      </c>
      <c r="N140">
        <v>141882</v>
      </c>
      <c r="O140">
        <v>8.0399999999999991</v>
      </c>
      <c r="S140">
        <v>1.1100000000000001</v>
      </c>
      <c r="Z140" t="s">
        <v>164</v>
      </c>
      <c r="AA140">
        <v>0.66</v>
      </c>
      <c r="AI140" t="s">
        <v>1588</v>
      </c>
      <c r="AJ140" t="s">
        <v>3227</v>
      </c>
      <c r="AK140" t="s">
        <v>3228</v>
      </c>
      <c r="AL140">
        <v>12.67</v>
      </c>
      <c r="AM140">
        <v>12.67</v>
      </c>
      <c r="AN140">
        <v>0</v>
      </c>
      <c r="AR140" t="s">
        <v>3229</v>
      </c>
      <c r="AS140" t="s">
        <v>3115</v>
      </c>
      <c r="AT140" t="s">
        <v>3230</v>
      </c>
      <c r="AU140" t="s">
        <v>3231</v>
      </c>
      <c r="AV140" t="s">
        <v>2537</v>
      </c>
      <c r="AW140" t="s">
        <v>3232</v>
      </c>
      <c r="AX140" t="s">
        <v>3233</v>
      </c>
      <c r="AY140" t="s">
        <v>3234</v>
      </c>
      <c r="AZ140" t="s">
        <v>3235</v>
      </c>
      <c r="BA140">
        <v>1</v>
      </c>
      <c r="BB140">
        <v>179.29</v>
      </c>
      <c r="BC140">
        <v>2.79</v>
      </c>
      <c r="BD140">
        <v>5.26</v>
      </c>
      <c r="BE140">
        <v>5.43</v>
      </c>
      <c r="BF140">
        <v>5.2</v>
      </c>
      <c r="BG140" t="s">
        <v>3236</v>
      </c>
      <c r="BH140" t="s">
        <v>3237</v>
      </c>
      <c r="BI140" t="s">
        <v>3235</v>
      </c>
      <c r="BJ140" t="s">
        <v>101</v>
      </c>
      <c r="BK140" t="s">
        <v>3238</v>
      </c>
      <c r="BL140" t="s">
        <v>896</v>
      </c>
      <c r="BM140" t="s">
        <v>3239</v>
      </c>
      <c r="BN140" t="s">
        <v>2073</v>
      </c>
    </row>
    <row r="141" spans="1:66" x14ac:dyDescent="0.25">
      <c r="A141" t="str">
        <f>HYPERLINK("https://elite.finviz.com/quote.ashx?t=IPX&amp;ty=c&amp;p=d&amp;b=1", "IPX")</f>
        <v>IPX</v>
      </c>
      <c r="B141">
        <v>7</v>
      </c>
      <c r="C141">
        <v>149.72999999999999</v>
      </c>
      <c r="D141">
        <v>64.38</v>
      </c>
      <c r="E141" t="s">
        <v>3240</v>
      </c>
      <c r="F141" t="s">
        <v>107</v>
      </c>
      <c r="G141" t="s">
        <v>355</v>
      </c>
      <c r="H141" t="s">
        <v>356</v>
      </c>
      <c r="I141" t="s">
        <v>70</v>
      </c>
      <c r="J141" t="s">
        <v>321</v>
      </c>
      <c r="K141">
        <v>1671.11</v>
      </c>
      <c r="L141">
        <v>49.85</v>
      </c>
      <c r="M141" t="s">
        <v>2700</v>
      </c>
      <c r="N141">
        <v>45988</v>
      </c>
      <c r="S141">
        <v>14.92</v>
      </c>
      <c r="AA141">
        <v>-1.1000000000000001</v>
      </c>
      <c r="AB141" t="s">
        <v>3241</v>
      </c>
      <c r="AC141" t="s">
        <v>3242</v>
      </c>
      <c r="AI141" t="s">
        <v>1785</v>
      </c>
      <c r="AK141" t="s">
        <v>3243</v>
      </c>
      <c r="AL141">
        <v>11.8</v>
      </c>
      <c r="AM141">
        <v>11.8</v>
      </c>
      <c r="AN141">
        <v>0.04</v>
      </c>
      <c r="AR141" t="s">
        <v>247</v>
      </c>
      <c r="AS141" t="s">
        <v>3244</v>
      </c>
      <c r="AT141" t="s">
        <v>3245</v>
      </c>
      <c r="AU141" t="s">
        <v>2544</v>
      </c>
      <c r="AV141" t="s">
        <v>3246</v>
      </c>
      <c r="AW141" t="s">
        <v>2785</v>
      </c>
      <c r="AX141" t="s">
        <v>3247</v>
      </c>
      <c r="AY141" t="s">
        <v>2785</v>
      </c>
      <c r="AZ141" t="s">
        <v>3248</v>
      </c>
      <c r="BA141">
        <v>1</v>
      </c>
      <c r="BB141">
        <v>87.85</v>
      </c>
      <c r="BC141">
        <v>1.84</v>
      </c>
      <c r="BD141">
        <v>48.17</v>
      </c>
      <c r="BE141">
        <v>51.6</v>
      </c>
      <c r="BF141">
        <v>49.76</v>
      </c>
      <c r="BG141" t="s">
        <v>3249</v>
      </c>
      <c r="BH141" t="s">
        <v>2785</v>
      </c>
      <c r="BI141" t="s">
        <v>3250</v>
      </c>
      <c r="BJ141" t="s">
        <v>101</v>
      </c>
      <c r="BK141" t="s">
        <v>3251</v>
      </c>
      <c r="BL141" t="s">
        <v>3252</v>
      </c>
      <c r="BM141" t="s">
        <v>3253</v>
      </c>
      <c r="BN141" t="s">
        <v>2073</v>
      </c>
    </row>
    <row r="142" spans="1:66" x14ac:dyDescent="0.25">
      <c r="A142" t="str">
        <f>HYPERLINK("https://elite.finviz.com/quote.ashx?t=AKTX&amp;ty=c&amp;p=d&amp;b=1", "AKTX")</f>
        <v>AKTX</v>
      </c>
      <c r="B142">
        <v>7</v>
      </c>
      <c r="C142">
        <v>149.72999999999999</v>
      </c>
      <c r="D142">
        <v>64.400000000000006</v>
      </c>
      <c r="E142" t="s">
        <v>3254</v>
      </c>
      <c r="F142" t="s">
        <v>107</v>
      </c>
      <c r="G142" t="s">
        <v>428</v>
      </c>
      <c r="H142" t="s">
        <v>429</v>
      </c>
      <c r="I142" t="s">
        <v>70</v>
      </c>
      <c r="J142" t="s">
        <v>321</v>
      </c>
      <c r="K142">
        <v>35.06</v>
      </c>
      <c r="L142">
        <v>1.08</v>
      </c>
      <c r="M142" t="s">
        <v>1373</v>
      </c>
      <c r="N142">
        <v>98866</v>
      </c>
      <c r="S142">
        <v>1.37</v>
      </c>
      <c r="AA142">
        <v>-0.39</v>
      </c>
      <c r="AD142" t="s">
        <v>3255</v>
      </c>
      <c r="AJ142" t="s">
        <v>3256</v>
      </c>
      <c r="AK142" t="s">
        <v>3257</v>
      </c>
      <c r="AL142">
        <v>0.19</v>
      </c>
      <c r="AM142">
        <v>0.19</v>
      </c>
      <c r="AN142">
        <v>0.06</v>
      </c>
      <c r="AR142" t="s">
        <v>3258</v>
      </c>
      <c r="AS142" t="s">
        <v>3259</v>
      </c>
      <c r="AT142" t="s">
        <v>3260</v>
      </c>
      <c r="AU142" t="s">
        <v>1342</v>
      </c>
      <c r="AV142" t="s">
        <v>1373</v>
      </c>
      <c r="AW142" t="s">
        <v>3261</v>
      </c>
      <c r="AX142" t="s">
        <v>3262</v>
      </c>
      <c r="AY142" t="s">
        <v>3263</v>
      </c>
      <c r="AZ142" t="s">
        <v>3262</v>
      </c>
      <c r="BA142">
        <v>1</v>
      </c>
      <c r="BB142">
        <v>171.86</v>
      </c>
      <c r="BC142">
        <v>2.04</v>
      </c>
      <c r="BD142">
        <v>1.1200000000000001</v>
      </c>
      <c r="BE142">
        <v>1.1499999999999999</v>
      </c>
      <c r="BF142">
        <v>1.05</v>
      </c>
      <c r="BG142" t="s">
        <v>3264</v>
      </c>
      <c r="BH142" t="s">
        <v>3265</v>
      </c>
      <c r="BI142" t="s">
        <v>3262</v>
      </c>
      <c r="BJ142" t="s">
        <v>101</v>
      </c>
      <c r="BK142" t="s">
        <v>3266</v>
      </c>
      <c r="BL142" t="s">
        <v>665</v>
      </c>
      <c r="BM142" t="s">
        <v>3267</v>
      </c>
      <c r="BN142" t="s">
        <v>2073</v>
      </c>
    </row>
    <row r="143" spans="1:66" x14ac:dyDescent="0.25">
      <c r="A143" t="str">
        <f>HYPERLINK("https://elite.finviz.com/quote.ashx?t=HCWC&amp;ty=c&amp;p=d&amp;b=1", "HCWC")</f>
        <v>HCWC</v>
      </c>
      <c r="B143">
        <v>7</v>
      </c>
      <c r="C143">
        <v>149.72999999999999</v>
      </c>
      <c r="D143">
        <v>64.84</v>
      </c>
      <c r="E143" t="s">
        <v>3268</v>
      </c>
      <c r="F143" t="s">
        <v>107</v>
      </c>
      <c r="G143" t="s">
        <v>2244</v>
      </c>
      <c r="H143" t="s">
        <v>3269</v>
      </c>
      <c r="I143" t="s">
        <v>70</v>
      </c>
      <c r="J143" t="s">
        <v>383</v>
      </c>
      <c r="K143">
        <v>10.69</v>
      </c>
      <c r="L143">
        <v>0.78</v>
      </c>
      <c r="M143" t="s">
        <v>3270</v>
      </c>
      <c r="N143">
        <v>333681</v>
      </c>
      <c r="AR143" t="s">
        <v>3271</v>
      </c>
      <c r="AS143" t="s">
        <v>3272</v>
      </c>
      <c r="AT143" t="s">
        <v>3273</v>
      </c>
      <c r="AU143" t="s">
        <v>3274</v>
      </c>
      <c r="AV143" t="s">
        <v>3275</v>
      </c>
      <c r="AW143" t="s">
        <v>3276</v>
      </c>
      <c r="AX143" t="s">
        <v>3277</v>
      </c>
      <c r="AY143" t="s">
        <v>3278</v>
      </c>
      <c r="AZ143" t="s">
        <v>3279</v>
      </c>
      <c r="BA143">
        <v>1</v>
      </c>
      <c r="BB143">
        <v>442.98</v>
      </c>
      <c r="BC143">
        <v>2.65</v>
      </c>
      <c r="BD143">
        <v>0.67</v>
      </c>
      <c r="BE143">
        <v>0.78</v>
      </c>
      <c r="BF143">
        <v>0.7</v>
      </c>
      <c r="BG143" t="s">
        <v>3280</v>
      </c>
      <c r="BH143" t="s">
        <v>3281</v>
      </c>
      <c r="BI143" t="s">
        <v>3279</v>
      </c>
      <c r="BJ143" t="s">
        <v>101</v>
      </c>
      <c r="BK143" t="s">
        <v>3282</v>
      </c>
      <c r="BL143" t="s">
        <v>3283</v>
      </c>
      <c r="BM143" t="s">
        <v>3284</v>
      </c>
      <c r="BN143" t="s">
        <v>2073</v>
      </c>
    </row>
    <row r="144" spans="1:66" x14ac:dyDescent="0.25">
      <c r="A144" t="str">
        <f>HYPERLINK("https://elite.finviz.com/quote.ashx?t=PASG&amp;ty=c&amp;p=d&amp;b=1", "PASG")</f>
        <v>PASG</v>
      </c>
      <c r="B144">
        <v>7</v>
      </c>
      <c r="C144">
        <v>149.72999999999999</v>
      </c>
      <c r="D144">
        <v>65.11</v>
      </c>
      <c r="E144" t="s">
        <v>3285</v>
      </c>
      <c r="F144" t="s">
        <v>107</v>
      </c>
      <c r="G144" t="s">
        <v>428</v>
      </c>
      <c r="H144" t="s">
        <v>429</v>
      </c>
      <c r="I144" t="s">
        <v>70</v>
      </c>
      <c r="J144" t="s">
        <v>321</v>
      </c>
      <c r="K144">
        <v>25.74</v>
      </c>
      <c r="L144">
        <v>8.25</v>
      </c>
      <c r="M144" t="s">
        <v>699</v>
      </c>
      <c r="N144">
        <v>34644</v>
      </c>
      <c r="S144">
        <v>0.69</v>
      </c>
      <c r="AA144">
        <v>-18.29</v>
      </c>
      <c r="AB144" t="s">
        <v>1848</v>
      </c>
      <c r="AC144" t="s">
        <v>3286</v>
      </c>
      <c r="AD144" t="s">
        <v>3287</v>
      </c>
      <c r="AI144" t="s">
        <v>279</v>
      </c>
      <c r="AJ144" t="s">
        <v>3288</v>
      </c>
      <c r="AK144" t="s">
        <v>3289</v>
      </c>
      <c r="AL144">
        <v>3.05</v>
      </c>
      <c r="AM144">
        <v>3.05</v>
      </c>
      <c r="AN144">
        <v>0.65</v>
      </c>
      <c r="AR144" t="s">
        <v>2205</v>
      </c>
      <c r="AS144" t="s">
        <v>3053</v>
      </c>
      <c r="AT144" t="s">
        <v>3290</v>
      </c>
      <c r="AU144" t="s">
        <v>3291</v>
      </c>
      <c r="AV144" t="s">
        <v>3292</v>
      </c>
      <c r="AW144" t="s">
        <v>3204</v>
      </c>
      <c r="AX144" t="s">
        <v>3293</v>
      </c>
      <c r="AY144" t="s">
        <v>3294</v>
      </c>
      <c r="AZ144" t="s">
        <v>3293</v>
      </c>
      <c r="BA144">
        <v>1</v>
      </c>
      <c r="BB144">
        <v>54.47</v>
      </c>
      <c r="BC144">
        <v>2.2599999999999998</v>
      </c>
      <c r="BD144">
        <v>7.68</v>
      </c>
      <c r="BE144">
        <v>8.4</v>
      </c>
      <c r="BF144">
        <v>7.6</v>
      </c>
      <c r="BG144" t="s">
        <v>3295</v>
      </c>
      <c r="BH144" t="s">
        <v>3296</v>
      </c>
      <c r="BI144" t="s">
        <v>3293</v>
      </c>
      <c r="BJ144" t="s">
        <v>101</v>
      </c>
      <c r="BK144" t="s">
        <v>3297</v>
      </c>
      <c r="BL144" t="s">
        <v>1554</v>
      </c>
      <c r="BM144" t="s">
        <v>3298</v>
      </c>
      <c r="BN144" t="s">
        <v>2073</v>
      </c>
    </row>
    <row r="145" spans="1:66" x14ac:dyDescent="0.25">
      <c r="A145" t="str">
        <f>HYPERLINK("https://elite.finviz.com/quote.ashx?t=DRIO&amp;ty=c&amp;p=d&amp;b=1", "DRIO")</f>
        <v>DRIO</v>
      </c>
      <c r="B145">
        <v>7</v>
      </c>
      <c r="C145">
        <v>149.72999999999999</v>
      </c>
      <c r="D145">
        <v>65.42</v>
      </c>
      <c r="E145" t="s">
        <v>3299</v>
      </c>
      <c r="F145" t="s">
        <v>107</v>
      </c>
      <c r="G145" t="s">
        <v>428</v>
      </c>
      <c r="H145" t="s">
        <v>2075</v>
      </c>
      <c r="I145" t="s">
        <v>70</v>
      </c>
      <c r="J145" t="s">
        <v>321</v>
      </c>
      <c r="K145">
        <v>30.47</v>
      </c>
      <c r="L145">
        <v>12.7</v>
      </c>
      <c r="M145" t="s">
        <v>3300</v>
      </c>
      <c r="N145">
        <v>74527</v>
      </c>
      <c r="R145">
        <v>1.1200000000000001</v>
      </c>
      <c r="S145">
        <v>0.45</v>
      </c>
      <c r="AA145">
        <v>-19.89</v>
      </c>
      <c r="AB145" t="s">
        <v>3301</v>
      </c>
      <c r="AC145" t="s">
        <v>3302</v>
      </c>
      <c r="AD145" t="s">
        <v>3303</v>
      </c>
      <c r="AE145" t="s">
        <v>3304</v>
      </c>
      <c r="AF145" t="s">
        <v>3305</v>
      </c>
      <c r="AG145" t="s">
        <v>3306</v>
      </c>
      <c r="AH145" t="s">
        <v>3307</v>
      </c>
      <c r="AI145" t="s">
        <v>3308</v>
      </c>
      <c r="AJ145" t="s">
        <v>614</v>
      </c>
      <c r="AK145" t="s">
        <v>683</v>
      </c>
      <c r="AL145">
        <v>3.3</v>
      </c>
      <c r="AM145">
        <v>2.83</v>
      </c>
      <c r="AN145">
        <v>0.49</v>
      </c>
      <c r="AO145" t="s">
        <v>3309</v>
      </c>
      <c r="AP145" t="s">
        <v>3310</v>
      </c>
      <c r="AQ145" t="s">
        <v>3311</v>
      </c>
      <c r="AR145" t="s">
        <v>3312</v>
      </c>
      <c r="AS145" t="s">
        <v>1224</v>
      </c>
      <c r="AT145" t="s">
        <v>3313</v>
      </c>
      <c r="AU145" t="s">
        <v>3314</v>
      </c>
      <c r="AV145" t="s">
        <v>3315</v>
      </c>
      <c r="AW145" t="s">
        <v>3316</v>
      </c>
      <c r="AX145" t="s">
        <v>3317</v>
      </c>
      <c r="AY145" t="s">
        <v>3318</v>
      </c>
      <c r="AZ145" t="s">
        <v>3317</v>
      </c>
      <c r="BA145">
        <v>1.5</v>
      </c>
      <c r="BB145">
        <v>48</v>
      </c>
      <c r="BC145">
        <v>5.47</v>
      </c>
      <c r="BD145">
        <v>13.69</v>
      </c>
      <c r="BE145">
        <v>12.82</v>
      </c>
      <c r="BF145">
        <v>11.85</v>
      </c>
      <c r="BG145" t="s">
        <v>3319</v>
      </c>
      <c r="BH145" t="s">
        <v>3320</v>
      </c>
      <c r="BI145" t="s">
        <v>3317</v>
      </c>
      <c r="BJ145" t="s">
        <v>101</v>
      </c>
      <c r="BK145" t="s">
        <v>3321</v>
      </c>
      <c r="BL145" t="s">
        <v>3322</v>
      </c>
      <c r="BM145" t="s">
        <v>3323</v>
      </c>
      <c r="BN145" t="s">
        <v>2073</v>
      </c>
    </row>
    <row r="146" spans="1:66" x14ac:dyDescent="0.25">
      <c r="A146" t="str">
        <f>HYPERLINK("https://elite.finviz.com/quote.ashx?t=VNDA&amp;ty=c&amp;p=d&amp;b=1", "VNDA")</f>
        <v>VNDA</v>
      </c>
      <c r="B146">
        <v>7</v>
      </c>
      <c r="C146">
        <v>149.72999999999999</v>
      </c>
      <c r="D146">
        <v>65.489999999999995</v>
      </c>
      <c r="E146" t="s">
        <v>3324</v>
      </c>
      <c r="F146" t="s">
        <v>67</v>
      </c>
      <c r="G146" t="s">
        <v>428</v>
      </c>
      <c r="H146" t="s">
        <v>429</v>
      </c>
      <c r="I146" t="s">
        <v>70</v>
      </c>
      <c r="J146" t="s">
        <v>321</v>
      </c>
      <c r="K146">
        <v>295.74</v>
      </c>
      <c r="L146">
        <v>5.01</v>
      </c>
      <c r="M146" t="s">
        <v>3325</v>
      </c>
      <c r="N146">
        <v>231295</v>
      </c>
      <c r="R146">
        <v>1.45</v>
      </c>
      <c r="S146">
        <v>0.61</v>
      </c>
      <c r="AA146">
        <v>-1.1399999999999999</v>
      </c>
      <c r="AD146" t="s">
        <v>3326</v>
      </c>
      <c r="AE146" t="s">
        <v>3327</v>
      </c>
      <c r="AF146" t="s">
        <v>2301</v>
      </c>
      <c r="AG146" t="s">
        <v>3328</v>
      </c>
      <c r="AH146" t="s">
        <v>2721</v>
      </c>
      <c r="AI146" t="s">
        <v>3329</v>
      </c>
      <c r="AJ146" t="s">
        <v>969</v>
      </c>
      <c r="AK146" t="s">
        <v>3330</v>
      </c>
      <c r="AL146">
        <v>3.25</v>
      </c>
      <c r="AM146">
        <v>3.23</v>
      </c>
      <c r="AN146">
        <v>0.02</v>
      </c>
      <c r="AO146" t="s">
        <v>3331</v>
      </c>
      <c r="AP146" t="s">
        <v>3332</v>
      </c>
      <c r="AQ146" t="s">
        <v>3333</v>
      </c>
      <c r="AR146" t="s">
        <v>3334</v>
      </c>
      <c r="AS146" t="s">
        <v>2700</v>
      </c>
      <c r="AT146" t="s">
        <v>1282</v>
      </c>
      <c r="AU146" t="s">
        <v>3335</v>
      </c>
      <c r="AV146" t="s">
        <v>2499</v>
      </c>
      <c r="AW146" t="s">
        <v>3336</v>
      </c>
      <c r="AX146" t="s">
        <v>3337</v>
      </c>
      <c r="AY146" t="s">
        <v>3338</v>
      </c>
      <c r="AZ146" t="s">
        <v>3339</v>
      </c>
      <c r="BA146">
        <v>1.67</v>
      </c>
      <c r="BB146">
        <v>467.98</v>
      </c>
      <c r="BC146">
        <v>1.74</v>
      </c>
      <c r="BD146">
        <v>4.83</v>
      </c>
      <c r="BE146">
        <v>5.1100000000000003</v>
      </c>
      <c r="BF146">
        <v>4.83</v>
      </c>
      <c r="BG146" t="s">
        <v>3340</v>
      </c>
      <c r="BH146" t="s">
        <v>3341</v>
      </c>
      <c r="BI146" t="s">
        <v>3342</v>
      </c>
      <c r="BJ146" t="s">
        <v>101</v>
      </c>
      <c r="BK146" t="s">
        <v>3343</v>
      </c>
      <c r="BL146" t="s">
        <v>1370</v>
      </c>
      <c r="BM146" t="s">
        <v>3344</v>
      </c>
      <c r="BN146" t="s">
        <v>2073</v>
      </c>
    </row>
    <row r="147" spans="1:66" x14ac:dyDescent="0.25">
      <c r="A147" t="str">
        <f>HYPERLINK("https://elite.finviz.com/quote.ashx?t=LPTH&amp;ty=c&amp;p=d&amp;b=1", "LPTH")</f>
        <v>LPTH</v>
      </c>
      <c r="B147">
        <v>7</v>
      </c>
      <c r="C147">
        <v>149.72999999999999</v>
      </c>
      <c r="D147">
        <v>65.62</v>
      </c>
      <c r="E147" t="s">
        <v>3345</v>
      </c>
      <c r="F147" t="s">
        <v>107</v>
      </c>
      <c r="G147" t="s">
        <v>108</v>
      </c>
      <c r="H147" t="s">
        <v>3346</v>
      </c>
      <c r="I147" t="s">
        <v>70</v>
      </c>
      <c r="J147" t="s">
        <v>321</v>
      </c>
      <c r="K147">
        <v>321.33999999999997</v>
      </c>
      <c r="L147">
        <v>7.49</v>
      </c>
      <c r="M147" t="s">
        <v>2415</v>
      </c>
      <c r="N147">
        <v>2314284</v>
      </c>
      <c r="P147">
        <v>2249.4899999999998</v>
      </c>
      <c r="R147">
        <v>8.64</v>
      </c>
      <c r="S147">
        <v>20.56</v>
      </c>
      <c r="AA147">
        <v>-0.36</v>
      </c>
      <c r="AB147" t="s">
        <v>3347</v>
      </c>
      <c r="AE147" t="s">
        <v>3348</v>
      </c>
      <c r="AF147" t="s">
        <v>3349</v>
      </c>
      <c r="AG147" t="s">
        <v>3350</v>
      </c>
      <c r="AH147" t="s">
        <v>1989</v>
      </c>
      <c r="AI147" t="s">
        <v>3351</v>
      </c>
      <c r="AJ147" t="s">
        <v>164</v>
      </c>
      <c r="AK147" t="s">
        <v>3352</v>
      </c>
      <c r="AL147">
        <v>1.66</v>
      </c>
      <c r="AM147">
        <v>0.91</v>
      </c>
      <c r="AN147">
        <v>3.16</v>
      </c>
      <c r="AO147" t="s">
        <v>3353</v>
      </c>
      <c r="AP147" t="s">
        <v>3354</v>
      </c>
      <c r="AQ147" t="s">
        <v>3355</v>
      </c>
      <c r="AR147" t="s">
        <v>224</v>
      </c>
      <c r="AS147" t="s">
        <v>127</v>
      </c>
      <c r="AT147" t="s">
        <v>3052</v>
      </c>
      <c r="AU147" t="s">
        <v>3356</v>
      </c>
      <c r="AV147" t="s">
        <v>3357</v>
      </c>
      <c r="AW147" t="s">
        <v>3358</v>
      </c>
      <c r="AX147" t="s">
        <v>3359</v>
      </c>
      <c r="AY147" t="s">
        <v>3358</v>
      </c>
      <c r="AZ147" t="s">
        <v>3360</v>
      </c>
      <c r="BA147">
        <v>1</v>
      </c>
      <c r="BB147">
        <v>859.89</v>
      </c>
      <c r="BC147">
        <v>9.48</v>
      </c>
      <c r="BD147">
        <v>6.5</v>
      </c>
      <c r="BE147">
        <v>7.72</v>
      </c>
      <c r="BF147">
        <v>6.72</v>
      </c>
      <c r="BG147" t="s">
        <v>3361</v>
      </c>
      <c r="BH147" t="s">
        <v>3362</v>
      </c>
      <c r="BI147" t="s">
        <v>3363</v>
      </c>
      <c r="BJ147" t="s">
        <v>101</v>
      </c>
      <c r="BK147" t="s">
        <v>3364</v>
      </c>
      <c r="BL147" t="s">
        <v>3365</v>
      </c>
      <c r="BM147" t="s">
        <v>3366</v>
      </c>
      <c r="BN147" t="s">
        <v>2073</v>
      </c>
    </row>
    <row r="148" spans="1:66" x14ac:dyDescent="0.25">
      <c r="A148" t="str">
        <f>HYPERLINK("https://elite.finviz.com/quote.ashx?t=ABOS&amp;ty=c&amp;p=d&amp;b=1", "ABOS")</f>
        <v>ABOS</v>
      </c>
      <c r="B148">
        <v>7</v>
      </c>
      <c r="C148">
        <v>149.72999999999999</v>
      </c>
      <c r="D148">
        <v>65.680000000000007</v>
      </c>
      <c r="E148" t="s">
        <v>3367</v>
      </c>
      <c r="F148" t="s">
        <v>107</v>
      </c>
      <c r="G148" t="s">
        <v>428</v>
      </c>
      <c r="H148" t="s">
        <v>429</v>
      </c>
      <c r="I148" t="s">
        <v>70</v>
      </c>
      <c r="J148" t="s">
        <v>321</v>
      </c>
      <c r="K148">
        <v>99.04</v>
      </c>
      <c r="L148">
        <v>1.63</v>
      </c>
      <c r="M148" t="s">
        <v>3368</v>
      </c>
      <c r="N148">
        <v>388989</v>
      </c>
      <c r="S148">
        <v>0.85</v>
      </c>
      <c r="AA148">
        <v>-2.27</v>
      </c>
      <c r="AB148" t="s">
        <v>3188</v>
      </c>
      <c r="AC148" t="s">
        <v>3369</v>
      </c>
      <c r="AD148" t="s">
        <v>2721</v>
      </c>
      <c r="AI148" t="s">
        <v>3370</v>
      </c>
      <c r="AJ148" t="s">
        <v>164</v>
      </c>
      <c r="AK148" t="s">
        <v>3371</v>
      </c>
      <c r="AL148">
        <v>5.97</v>
      </c>
      <c r="AM148">
        <v>5.97</v>
      </c>
      <c r="AN148">
        <v>0.26</v>
      </c>
      <c r="AR148" t="s">
        <v>147</v>
      </c>
      <c r="AS148" t="s">
        <v>3372</v>
      </c>
      <c r="AT148" t="s">
        <v>3373</v>
      </c>
      <c r="AU148" t="s">
        <v>3374</v>
      </c>
      <c r="AV148" t="s">
        <v>3375</v>
      </c>
      <c r="AW148" t="s">
        <v>3376</v>
      </c>
      <c r="AX148" t="s">
        <v>3377</v>
      </c>
      <c r="AY148" t="s">
        <v>3378</v>
      </c>
      <c r="AZ148" t="s">
        <v>3379</v>
      </c>
      <c r="BA148">
        <v>1</v>
      </c>
      <c r="BB148">
        <v>427.29</v>
      </c>
      <c r="BC148">
        <v>3.21</v>
      </c>
      <c r="BD148">
        <v>1.48</v>
      </c>
      <c r="BE148">
        <v>1.66</v>
      </c>
      <c r="BF148">
        <v>1.45</v>
      </c>
      <c r="BG148" t="s">
        <v>3380</v>
      </c>
      <c r="BH148" t="s">
        <v>3381</v>
      </c>
      <c r="BI148" t="s">
        <v>3379</v>
      </c>
      <c r="BJ148" t="s">
        <v>101</v>
      </c>
      <c r="BK148" t="s">
        <v>3382</v>
      </c>
      <c r="BL148" t="s">
        <v>3383</v>
      </c>
      <c r="BM148" t="s">
        <v>3384</v>
      </c>
      <c r="BN148" t="s">
        <v>2073</v>
      </c>
    </row>
    <row r="149" spans="1:66" x14ac:dyDescent="0.25">
      <c r="A149" t="str">
        <f>HYPERLINK("https://elite.finviz.com/quote.ashx?t=CTGO&amp;ty=c&amp;p=d&amp;b=1", "CTGO")</f>
        <v>CTGO</v>
      </c>
      <c r="B149">
        <v>7</v>
      </c>
      <c r="C149">
        <v>149.72999999999999</v>
      </c>
      <c r="D149">
        <v>65.86</v>
      </c>
      <c r="E149" t="s">
        <v>3385</v>
      </c>
      <c r="F149" t="s">
        <v>67</v>
      </c>
      <c r="G149" t="s">
        <v>355</v>
      </c>
      <c r="H149" t="s">
        <v>1103</v>
      </c>
      <c r="I149" t="s">
        <v>70</v>
      </c>
      <c r="J149" t="s">
        <v>383</v>
      </c>
      <c r="K149">
        <v>319.39999999999998</v>
      </c>
      <c r="L149">
        <v>25.21</v>
      </c>
      <c r="M149" t="s">
        <v>215</v>
      </c>
      <c r="N149">
        <v>55817</v>
      </c>
      <c r="P149">
        <v>6.3</v>
      </c>
      <c r="AA149">
        <v>-0.56999999999999995</v>
      </c>
      <c r="AB149" t="s">
        <v>164</v>
      </c>
      <c r="AC149" t="s">
        <v>3386</v>
      </c>
      <c r="AI149" t="s">
        <v>3387</v>
      </c>
      <c r="AJ149" t="s">
        <v>3388</v>
      </c>
      <c r="AK149" t="s">
        <v>78</v>
      </c>
      <c r="AL149">
        <v>0.47</v>
      </c>
      <c r="AM149">
        <v>0.46</v>
      </c>
      <c r="AR149" t="s">
        <v>3389</v>
      </c>
      <c r="AS149" t="s">
        <v>2744</v>
      </c>
      <c r="AT149" t="s">
        <v>230</v>
      </c>
      <c r="AU149" t="s">
        <v>3390</v>
      </c>
      <c r="AV149" t="s">
        <v>3391</v>
      </c>
      <c r="AW149" t="s">
        <v>629</v>
      </c>
      <c r="AX149" t="s">
        <v>3392</v>
      </c>
      <c r="AY149" t="s">
        <v>629</v>
      </c>
      <c r="AZ149" t="s">
        <v>3393</v>
      </c>
      <c r="BA149">
        <v>1</v>
      </c>
      <c r="BB149">
        <v>103.61</v>
      </c>
      <c r="BC149">
        <v>1.9</v>
      </c>
      <c r="BD149">
        <v>24.07</v>
      </c>
      <c r="BE149">
        <v>25.21</v>
      </c>
      <c r="BF149">
        <v>23.7</v>
      </c>
      <c r="BG149" t="s">
        <v>3394</v>
      </c>
      <c r="BH149" t="s">
        <v>3395</v>
      </c>
      <c r="BI149" t="s">
        <v>3396</v>
      </c>
      <c r="BJ149" t="s">
        <v>101</v>
      </c>
      <c r="BK149" t="s">
        <v>3397</v>
      </c>
      <c r="BL149" t="s">
        <v>3398</v>
      </c>
      <c r="BM149" t="s">
        <v>3399</v>
      </c>
      <c r="BN149" t="s">
        <v>2073</v>
      </c>
    </row>
    <row r="150" spans="1:66" x14ac:dyDescent="0.25">
      <c r="A150" t="str">
        <f>HYPERLINK("https://elite.finviz.com/quote.ashx?t=MASS&amp;ty=c&amp;p=d&amp;b=1", "MASS")</f>
        <v>MASS</v>
      </c>
      <c r="B150">
        <v>7</v>
      </c>
      <c r="C150">
        <v>149.72999999999999</v>
      </c>
      <c r="D150">
        <v>65.989999999999995</v>
      </c>
      <c r="E150" t="s">
        <v>3400</v>
      </c>
      <c r="F150" t="s">
        <v>67</v>
      </c>
      <c r="G150" t="s">
        <v>428</v>
      </c>
      <c r="H150" t="s">
        <v>2051</v>
      </c>
      <c r="I150" t="s">
        <v>70</v>
      </c>
      <c r="J150" t="s">
        <v>321</v>
      </c>
      <c r="K150">
        <v>277.31</v>
      </c>
      <c r="L150">
        <v>7.68</v>
      </c>
      <c r="M150" t="s">
        <v>3401</v>
      </c>
      <c r="N150">
        <v>235982</v>
      </c>
      <c r="R150">
        <v>4.59</v>
      </c>
      <c r="S150">
        <v>1.86</v>
      </c>
      <c r="AA150">
        <v>-2.14</v>
      </c>
      <c r="AB150" t="s">
        <v>3402</v>
      </c>
      <c r="AC150" t="s">
        <v>3403</v>
      </c>
      <c r="AD150" t="s">
        <v>3404</v>
      </c>
      <c r="AE150" t="s">
        <v>3405</v>
      </c>
      <c r="AF150" t="s">
        <v>3406</v>
      </c>
      <c r="AG150" t="s">
        <v>3407</v>
      </c>
      <c r="AH150" t="s">
        <v>3408</v>
      </c>
      <c r="AI150" t="s">
        <v>3409</v>
      </c>
      <c r="AJ150" t="s">
        <v>629</v>
      </c>
      <c r="AK150" t="s">
        <v>3410</v>
      </c>
      <c r="AL150">
        <v>4.9800000000000004</v>
      </c>
      <c r="AM150">
        <v>4.46</v>
      </c>
      <c r="AN150">
        <v>0.03</v>
      </c>
      <c r="AO150" t="s">
        <v>2194</v>
      </c>
      <c r="AP150" t="s">
        <v>3411</v>
      </c>
      <c r="AQ150" t="s">
        <v>3412</v>
      </c>
      <c r="AR150" t="s">
        <v>2697</v>
      </c>
      <c r="AS150" t="s">
        <v>2231</v>
      </c>
      <c r="AT150" t="s">
        <v>3413</v>
      </c>
      <c r="AU150" t="s">
        <v>512</v>
      </c>
      <c r="AV150" t="s">
        <v>3414</v>
      </c>
      <c r="AW150" t="s">
        <v>3415</v>
      </c>
      <c r="AX150" t="s">
        <v>3416</v>
      </c>
      <c r="AY150" t="s">
        <v>3415</v>
      </c>
      <c r="AZ150" t="s">
        <v>3417</v>
      </c>
      <c r="BA150">
        <v>1</v>
      </c>
      <c r="BB150">
        <v>361.15</v>
      </c>
      <c r="BC150">
        <v>2.2999999999999998</v>
      </c>
      <c r="BD150">
        <v>8.2200000000000006</v>
      </c>
      <c r="BE150">
        <v>8.26</v>
      </c>
      <c r="BF150">
        <v>7.58</v>
      </c>
      <c r="BG150" t="s">
        <v>3418</v>
      </c>
      <c r="BH150" t="s">
        <v>3419</v>
      </c>
      <c r="BI150" t="s">
        <v>3417</v>
      </c>
      <c r="BJ150" t="s">
        <v>101</v>
      </c>
      <c r="BK150" t="s">
        <v>3420</v>
      </c>
      <c r="BL150" t="s">
        <v>3421</v>
      </c>
      <c r="BM150" t="s">
        <v>3151</v>
      </c>
      <c r="BN150" t="s">
        <v>2073</v>
      </c>
    </row>
    <row r="151" spans="1:66" x14ac:dyDescent="0.25">
      <c r="A151" t="str">
        <f>HYPERLINK("https://elite.finviz.com/quote.ashx?t=AMS&amp;ty=c&amp;p=d&amp;b=1", "AMS")</f>
        <v>AMS</v>
      </c>
      <c r="B151">
        <v>7</v>
      </c>
      <c r="C151">
        <v>149.72999999999999</v>
      </c>
      <c r="D151">
        <v>66.41</v>
      </c>
      <c r="E151" t="s">
        <v>3422</v>
      </c>
      <c r="F151" t="s">
        <v>107</v>
      </c>
      <c r="G151" t="s">
        <v>428</v>
      </c>
      <c r="H151" t="s">
        <v>3160</v>
      </c>
      <c r="I151" t="s">
        <v>70</v>
      </c>
      <c r="J151" t="s">
        <v>383</v>
      </c>
      <c r="K151">
        <v>18.850000000000001</v>
      </c>
      <c r="L151">
        <v>2.89</v>
      </c>
      <c r="M151" t="s">
        <v>3423</v>
      </c>
      <c r="N151">
        <v>59588</v>
      </c>
      <c r="R151">
        <v>0.64</v>
      </c>
      <c r="S151">
        <v>0.77</v>
      </c>
      <c r="V151" t="s">
        <v>3424</v>
      </c>
      <c r="Z151" t="s">
        <v>164</v>
      </c>
      <c r="AA151">
        <v>-0.37</v>
      </c>
      <c r="AB151" t="s">
        <v>3425</v>
      </c>
      <c r="AC151" t="s">
        <v>3426</v>
      </c>
      <c r="AE151" t="s">
        <v>3427</v>
      </c>
      <c r="AF151" t="s">
        <v>3428</v>
      </c>
      <c r="AG151" t="s">
        <v>3429</v>
      </c>
      <c r="AH151" t="s">
        <v>497</v>
      </c>
      <c r="AJ151" t="s">
        <v>164</v>
      </c>
      <c r="AK151" t="s">
        <v>3430</v>
      </c>
      <c r="AL151">
        <v>1.17</v>
      </c>
      <c r="AM151">
        <v>1.17</v>
      </c>
      <c r="AN151">
        <v>1.1399999999999999</v>
      </c>
      <c r="AO151" t="s">
        <v>2524</v>
      </c>
      <c r="AP151" t="s">
        <v>770</v>
      </c>
      <c r="AQ151" t="s">
        <v>3431</v>
      </c>
      <c r="AR151" t="s">
        <v>3432</v>
      </c>
      <c r="AS151" t="s">
        <v>3433</v>
      </c>
      <c r="AT151" t="s">
        <v>2269</v>
      </c>
      <c r="AU151" t="s">
        <v>3434</v>
      </c>
      <c r="AV151" t="s">
        <v>3435</v>
      </c>
      <c r="AW151" t="s">
        <v>3436</v>
      </c>
      <c r="AX151" t="s">
        <v>3437</v>
      </c>
      <c r="AY151" t="s">
        <v>3438</v>
      </c>
      <c r="AZ151" t="s">
        <v>3439</v>
      </c>
      <c r="BB151">
        <v>23.86</v>
      </c>
      <c r="BC151">
        <v>8.8000000000000007</v>
      </c>
      <c r="BD151">
        <v>3.04</v>
      </c>
      <c r="BE151">
        <v>3.07</v>
      </c>
      <c r="BF151">
        <v>2.86</v>
      </c>
      <c r="BG151" t="s">
        <v>3440</v>
      </c>
      <c r="BH151" t="s">
        <v>3441</v>
      </c>
      <c r="BI151" t="s">
        <v>3442</v>
      </c>
      <c r="BJ151" t="s">
        <v>101</v>
      </c>
      <c r="BK151" t="s">
        <v>1227</v>
      </c>
      <c r="BL151" t="s">
        <v>3443</v>
      </c>
      <c r="BM151" t="s">
        <v>3444</v>
      </c>
      <c r="BN151" t="s">
        <v>2073</v>
      </c>
    </row>
    <row r="152" spans="1:66" x14ac:dyDescent="0.25">
      <c r="A152" t="str">
        <f>HYPERLINK("https://elite.finviz.com/quote.ashx?t=MXC&amp;ty=c&amp;p=d&amp;b=1", "MXC")</f>
        <v>MXC</v>
      </c>
      <c r="B152">
        <v>7</v>
      </c>
      <c r="C152">
        <v>149.72999999999999</v>
      </c>
      <c r="D152">
        <v>67.16</v>
      </c>
      <c r="E152" t="s">
        <v>3445</v>
      </c>
      <c r="F152" t="s">
        <v>107</v>
      </c>
      <c r="G152" t="s">
        <v>1048</v>
      </c>
      <c r="H152" t="s">
        <v>1049</v>
      </c>
      <c r="I152" t="s">
        <v>70</v>
      </c>
      <c r="J152" t="s">
        <v>383</v>
      </c>
      <c r="K152">
        <v>19.39</v>
      </c>
      <c r="L152">
        <v>9.48</v>
      </c>
      <c r="M152" t="s">
        <v>3446</v>
      </c>
      <c r="N152">
        <v>11374</v>
      </c>
      <c r="O152">
        <v>11.83</v>
      </c>
      <c r="R152">
        <v>2.61</v>
      </c>
      <c r="S152">
        <v>1.03</v>
      </c>
      <c r="T152" t="s">
        <v>3447</v>
      </c>
      <c r="U152">
        <v>0.1</v>
      </c>
      <c r="V152" t="s">
        <v>3448</v>
      </c>
      <c r="Z152" t="s">
        <v>164</v>
      </c>
      <c r="AA152">
        <v>0.8</v>
      </c>
      <c r="AB152" t="s">
        <v>360</v>
      </c>
      <c r="AE152" t="s">
        <v>3449</v>
      </c>
      <c r="AF152" t="s">
        <v>749</v>
      </c>
      <c r="AG152" t="s">
        <v>442</v>
      </c>
      <c r="AH152" t="s">
        <v>3450</v>
      </c>
      <c r="AJ152" t="s">
        <v>164</v>
      </c>
      <c r="AK152" t="s">
        <v>3451</v>
      </c>
      <c r="AL152">
        <v>4.8099999999999996</v>
      </c>
      <c r="AM152">
        <v>4.8099999999999996</v>
      </c>
      <c r="AN152">
        <v>0.01</v>
      </c>
      <c r="AO152" t="s">
        <v>3452</v>
      </c>
      <c r="AP152" t="s">
        <v>606</v>
      </c>
      <c r="AQ152" t="s">
        <v>3453</v>
      </c>
      <c r="AR152" t="s">
        <v>3454</v>
      </c>
      <c r="AS152" t="s">
        <v>1932</v>
      </c>
      <c r="AT152" t="s">
        <v>3455</v>
      </c>
      <c r="AU152" t="s">
        <v>2516</v>
      </c>
      <c r="AV152" t="s">
        <v>3456</v>
      </c>
      <c r="AW152" t="s">
        <v>3446</v>
      </c>
      <c r="AX152" t="s">
        <v>3457</v>
      </c>
      <c r="AY152" t="s">
        <v>3458</v>
      </c>
      <c r="AZ152" t="s">
        <v>3459</v>
      </c>
      <c r="BB152">
        <v>6.05</v>
      </c>
      <c r="BC152">
        <v>6.63</v>
      </c>
      <c r="BD152">
        <v>9.4499999999999993</v>
      </c>
      <c r="BE152">
        <v>9.35</v>
      </c>
      <c r="BF152">
        <v>8.52</v>
      </c>
      <c r="BG152" t="s">
        <v>3460</v>
      </c>
      <c r="BH152" t="s">
        <v>3461</v>
      </c>
      <c r="BI152" t="s">
        <v>3462</v>
      </c>
      <c r="BJ152" t="s">
        <v>101</v>
      </c>
      <c r="BK152" t="s">
        <v>3463</v>
      </c>
      <c r="BL152" t="s">
        <v>2513</v>
      </c>
      <c r="BM152" t="s">
        <v>3464</v>
      </c>
      <c r="BN152" t="s">
        <v>2073</v>
      </c>
    </row>
    <row r="153" spans="1:66" x14ac:dyDescent="0.25">
      <c r="A153" t="str">
        <f>HYPERLINK("https://elite.finviz.com/quote.ashx?t=HOND&amp;ty=c&amp;p=d&amp;b=1", "HOND")</f>
        <v>HOND</v>
      </c>
      <c r="B153">
        <v>7</v>
      </c>
      <c r="C153">
        <v>149.72999999999999</v>
      </c>
      <c r="D153">
        <v>67.510000000000005</v>
      </c>
      <c r="E153" t="s">
        <v>3465</v>
      </c>
      <c r="F153" t="s">
        <v>107</v>
      </c>
      <c r="G153" t="s">
        <v>550</v>
      </c>
      <c r="H153" t="s">
        <v>2120</v>
      </c>
      <c r="I153" t="s">
        <v>70</v>
      </c>
      <c r="J153" t="s">
        <v>321</v>
      </c>
      <c r="K153">
        <v>443.54</v>
      </c>
      <c r="L153">
        <v>15.43</v>
      </c>
      <c r="M153" t="s">
        <v>3466</v>
      </c>
      <c r="N153">
        <v>950026</v>
      </c>
      <c r="O153">
        <v>93.33</v>
      </c>
      <c r="S153">
        <v>1.96</v>
      </c>
      <c r="Z153" t="s">
        <v>164</v>
      </c>
      <c r="AA153">
        <v>0.17</v>
      </c>
      <c r="AJ153" t="s">
        <v>164</v>
      </c>
      <c r="AK153" t="s">
        <v>3467</v>
      </c>
      <c r="AL153">
        <v>0.12</v>
      </c>
      <c r="AM153">
        <v>0.12</v>
      </c>
      <c r="AN153">
        <v>0</v>
      </c>
      <c r="AR153" t="s">
        <v>3468</v>
      </c>
      <c r="AS153" t="s">
        <v>3469</v>
      </c>
      <c r="AT153" t="s">
        <v>3470</v>
      </c>
      <c r="AU153" t="s">
        <v>3471</v>
      </c>
      <c r="AV153" t="s">
        <v>3472</v>
      </c>
      <c r="AW153" t="s">
        <v>3473</v>
      </c>
      <c r="AX153" t="s">
        <v>3474</v>
      </c>
      <c r="AY153" t="s">
        <v>3473</v>
      </c>
      <c r="AZ153" t="s">
        <v>3475</v>
      </c>
      <c r="BB153">
        <v>751.65</v>
      </c>
      <c r="BC153">
        <v>4.45</v>
      </c>
      <c r="BD153">
        <v>15.79</v>
      </c>
      <c r="BE153">
        <v>16.89</v>
      </c>
      <c r="BF153">
        <v>15.3</v>
      </c>
      <c r="BG153" t="s">
        <v>3476</v>
      </c>
      <c r="BH153" t="s">
        <v>3473</v>
      </c>
      <c r="BI153" t="s">
        <v>3475</v>
      </c>
      <c r="BJ153" t="s">
        <v>101</v>
      </c>
      <c r="BK153" t="s">
        <v>554</v>
      </c>
      <c r="BL153" t="s">
        <v>3477</v>
      </c>
      <c r="BN153" t="s">
        <v>2073</v>
      </c>
    </row>
    <row r="154" spans="1:66" x14ac:dyDescent="0.25">
      <c r="A154" t="str">
        <f>HYPERLINK("https://elite.finviz.com/quote.ashx?t=ALE&amp;ty=c&amp;p=d&amp;b=1", "ALE")</f>
        <v>ALE</v>
      </c>
      <c r="B154">
        <v>7</v>
      </c>
      <c r="C154">
        <v>149.72999999999999</v>
      </c>
      <c r="D154">
        <v>68.010000000000005</v>
      </c>
      <c r="E154" t="s">
        <v>3478</v>
      </c>
      <c r="F154" t="s">
        <v>67</v>
      </c>
      <c r="G154" t="s">
        <v>287</v>
      </c>
      <c r="H154" t="s">
        <v>3479</v>
      </c>
      <c r="I154" t="s">
        <v>70</v>
      </c>
      <c r="J154" t="s">
        <v>71</v>
      </c>
      <c r="K154">
        <v>3822.67</v>
      </c>
      <c r="L154">
        <v>65.87</v>
      </c>
      <c r="M154" t="s">
        <v>2641</v>
      </c>
      <c r="N154">
        <v>312600</v>
      </c>
      <c r="O154">
        <v>20.81</v>
      </c>
      <c r="P154">
        <v>16.14</v>
      </c>
      <c r="R154">
        <v>2.4900000000000002</v>
      </c>
      <c r="S154">
        <v>1.33</v>
      </c>
      <c r="T154" t="s">
        <v>3480</v>
      </c>
      <c r="U154">
        <v>2.9</v>
      </c>
      <c r="V154" t="s">
        <v>3046</v>
      </c>
      <c r="W154" t="s">
        <v>2419</v>
      </c>
      <c r="X154" t="s">
        <v>3481</v>
      </c>
      <c r="Y154" t="s">
        <v>3482</v>
      </c>
      <c r="Z154" t="s">
        <v>3483</v>
      </c>
      <c r="AA154">
        <v>3.17</v>
      </c>
      <c r="AB154" t="s">
        <v>3484</v>
      </c>
      <c r="AC154" t="s">
        <v>3485</v>
      </c>
      <c r="AE154" t="s">
        <v>3486</v>
      </c>
      <c r="AF154" t="s">
        <v>1776</v>
      </c>
      <c r="AG154" t="s">
        <v>2811</v>
      </c>
      <c r="AH154" t="s">
        <v>3487</v>
      </c>
      <c r="AI154" t="s">
        <v>3488</v>
      </c>
      <c r="AJ154" t="s">
        <v>164</v>
      </c>
      <c r="AK154" t="s">
        <v>3489</v>
      </c>
      <c r="AL154">
        <v>1.34</v>
      </c>
      <c r="AM154">
        <v>0.81</v>
      </c>
      <c r="AN154">
        <v>0.7</v>
      </c>
      <c r="AO154" t="s">
        <v>3490</v>
      </c>
      <c r="AP154" t="s">
        <v>3491</v>
      </c>
      <c r="AQ154" t="s">
        <v>3492</v>
      </c>
      <c r="AR154" t="s">
        <v>3344</v>
      </c>
      <c r="AS154" t="s">
        <v>3493</v>
      </c>
      <c r="AT154" t="s">
        <v>911</v>
      </c>
      <c r="AU154" t="s">
        <v>3494</v>
      </c>
      <c r="AV154" t="s">
        <v>1417</v>
      </c>
      <c r="AW154" t="s">
        <v>3495</v>
      </c>
      <c r="AX154" t="s">
        <v>3496</v>
      </c>
      <c r="AY154" t="s">
        <v>745</v>
      </c>
      <c r="AZ154" t="s">
        <v>3496</v>
      </c>
      <c r="BA154">
        <v>2</v>
      </c>
      <c r="BB154">
        <v>627.86</v>
      </c>
      <c r="BC154">
        <v>1.75</v>
      </c>
      <c r="BD154">
        <v>65.67</v>
      </c>
      <c r="BE154">
        <v>66.2</v>
      </c>
      <c r="BF154">
        <v>65.790000000000006</v>
      </c>
      <c r="BG154" t="s">
        <v>3497</v>
      </c>
      <c r="BH154" t="s">
        <v>3498</v>
      </c>
      <c r="BI154" t="s">
        <v>3499</v>
      </c>
      <c r="BJ154" t="s">
        <v>101</v>
      </c>
      <c r="BK154" t="s">
        <v>3500</v>
      </c>
      <c r="BL154" t="s">
        <v>3446</v>
      </c>
      <c r="BM154" t="s">
        <v>911</v>
      </c>
      <c r="BN154" t="s">
        <v>2073</v>
      </c>
    </row>
    <row r="155" spans="1:66" x14ac:dyDescent="0.25">
      <c r="A155" t="str">
        <f>HYPERLINK("https://elite.finviz.com/quote.ashx?t=BEAT&amp;ty=c&amp;p=d&amp;b=1", "BEAT")</f>
        <v>BEAT</v>
      </c>
      <c r="B155">
        <v>7</v>
      </c>
      <c r="C155">
        <v>149.72999999999999</v>
      </c>
      <c r="D155">
        <v>68.09</v>
      </c>
      <c r="E155" t="s">
        <v>3501</v>
      </c>
      <c r="F155" t="s">
        <v>107</v>
      </c>
      <c r="G155" t="s">
        <v>428</v>
      </c>
      <c r="H155" t="s">
        <v>2075</v>
      </c>
      <c r="I155" t="s">
        <v>70</v>
      </c>
      <c r="J155" t="s">
        <v>321</v>
      </c>
      <c r="K155">
        <v>56.95</v>
      </c>
      <c r="L155">
        <v>1.66</v>
      </c>
      <c r="M155" t="s">
        <v>306</v>
      </c>
      <c r="N155">
        <v>49067</v>
      </c>
      <c r="S155">
        <v>13.5</v>
      </c>
      <c r="AA155">
        <v>-0.7</v>
      </c>
      <c r="AB155" t="s">
        <v>3502</v>
      </c>
      <c r="AC155" t="s">
        <v>3503</v>
      </c>
      <c r="AD155" t="s">
        <v>3504</v>
      </c>
      <c r="AI155" t="s">
        <v>229</v>
      </c>
      <c r="AJ155" t="s">
        <v>164</v>
      </c>
      <c r="AK155" t="s">
        <v>3505</v>
      </c>
      <c r="AL155">
        <v>2.98</v>
      </c>
      <c r="AM155">
        <v>2.98</v>
      </c>
      <c r="AN155">
        <v>0</v>
      </c>
      <c r="AR155" t="s">
        <v>3506</v>
      </c>
      <c r="AS155" t="s">
        <v>3507</v>
      </c>
      <c r="AT155" t="s">
        <v>953</v>
      </c>
      <c r="AU155" t="s">
        <v>3508</v>
      </c>
      <c r="AV155" t="s">
        <v>3509</v>
      </c>
      <c r="AW155" t="s">
        <v>657</v>
      </c>
      <c r="AX155" t="s">
        <v>3510</v>
      </c>
      <c r="AY155" t="s">
        <v>3511</v>
      </c>
      <c r="AZ155" t="s">
        <v>3510</v>
      </c>
      <c r="BA155">
        <v>2</v>
      </c>
      <c r="BB155">
        <v>97.66</v>
      </c>
      <c r="BC155">
        <v>1.79</v>
      </c>
      <c r="BD155">
        <v>1.65</v>
      </c>
      <c r="BE155">
        <v>1.71</v>
      </c>
      <c r="BF155">
        <v>1.65</v>
      </c>
      <c r="BG155" t="s">
        <v>3512</v>
      </c>
      <c r="BH155" t="s">
        <v>3513</v>
      </c>
      <c r="BI155" t="s">
        <v>3510</v>
      </c>
      <c r="BJ155" t="s">
        <v>101</v>
      </c>
      <c r="BK155" t="s">
        <v>3514</v>
      </c>
      <c r="BL155" t="s">
        <v>3515</v>
      </c>
      <c r="BM155" t="s">
        <v>3516</v>
      </c>
      <c r="BN155" t="s">
        <v>2073</v>
      </c>
    </row>
    <row r="156" spans="1:66" x14ac:dyDescent="0.25">
      <c r="A156" t="str">
        <f>HYPERLINK("https://elite.finviz.com/quote.ashx?t=GHC&amp;ty=c&amp;p=d&amp;b=1", "GHC")</f>
        <v>GHC</v>
      </c>
      <c r="B156">
        <v>7</v>
      </c>
      <c r="C156">
        <v>149.72999999999999</v>
      </c>
      <c r="D156">
        <v>68.3</v>
      </c>
      <c r="E156" t="s">
        <v>3517</v>
      </c>
      <c r="F156" t="s">
        <v>67</v>
      </c>
      <c r="G156" t="s">
        <v>2244</v>
      </c>
      <c r="H156" t="s">
        <v>2483</v>
      </c>
      <c r="I156" t="s">
        <v>70</v>
      </c>
      <c r="J156" t="s">
        <v>71</v>
      </c>
      <c r="K156">
        <v>5118.3999999999996</v>
      </c>
      <c r="L156">
        <v>1173.98</v>
      </c>
      <c r="M156" t="s">
        <v>3018</v>
      </c>
      <c r="N156">
        <v>27825</v>
      </c>
      <c r="O156">
        <v>7.54</v>
      </c>
      <c r="P156">
        <v>18.14</v>
      </c>
      <c r="R156">
        <v>1.06</v>
      </c>
      <c r="S156">
        <v>1.18</v>
      </c>
      <c r="T156" t="s">
        <v>306</v>
      </c>
      <c r="U156">
        <v>7.12</v>
      </c>
      <c r="V156" t="s">
        <v>3518</v>
      </c>
      <c r="W156" t="s">
        <v>3519</v>
      </c>
      <c r="X156" t="s">
        <v>2810</v>
      </c>
      <c r="Y156" t="s">
        <v>3520</v>
      </c>
      <c r="Z156" t="s">
        <v>3521</v>
      </c>
      <c r="AA156">
        <v>155.80000000000001</v>
      </c>
      <c r="AB156" t="s">
        <v>1795</v>
      </c>
      <c r="AC156" t="s">
        <v>3522</v>
      </c>
      <c r="AD156" t="s">
        <v>3523</v>
      </c>
      <c r="AE156" t="s">
        <v>3524</v>
      </c>
      <c r="AF156" t="s">
        <v>3525</v>
      </c>
      <c r="AG156" t="s">
        <v>3526</v>
      </c>
      <c r="AH156" t="s">
        <v>248</v>
      </c>
      <c r="AI156" t="s">
        <v>3527</v>
      </c>
      <c r="AJ156" t="s">
        <v>164</v>
      </c>
      <c r="AK156" t="s">
        <v>3528</v>
      </c>
      <c r="AL156">
        <v>1.27</v>
      </c>
      <c r="AM156">
        <v>1.1000000000000001</v>
      </c>
      <c r="AN156">
        <v>0.28999999999999998</v>
      </c>
      <c r="AO156" t="s">
        <v>3529</v>
      </c>
      <c r="AP156" t="s">
        <v>3530</v>
      </c>
      <c r="AQ156" t="s">
        <v>3531</v>
      </c>
      <c r="AR156" t="s">
        <v>910</v>
      </c>
      <c r="AS156" t="s">
        <v>2868</v>
      </c>
      <c r="AT156" t="s">
        <v>213</v>
      </c>
      <c r="AU156" t="s">
        <v>3532</v>
      </c>
      <c r="AV156" t="s">
        <v>3533</v>
      </c>
      <c r="AW156" t="s">
        <v>1080</v>
      </c>
      <c r="AX156" t="s">
        <v>3037</v>
      </c>
      <c r="AY156" t="s">
        <v>1080</v>
      </c>
      <c r="AZ156" t="s">
        <v>3534</v>
      </c>
      <c r="BA156">
        <v>3.5</v>
      </c>
      <c r="BB156">
        <v>42.15</v>
      </c>
      <c r="BC156">
        <v>2.35</v>
      </c>
      <c r="BD156">
        <v>1161.06</v>
      </c>
      <c r="BE156">
        <v>1179.9100000000001</v>
      </c>
      <c r="BF156">
        <v>1165.6500000000001</v>
      </c>
      <c r="BG156" t="s">
        <v>3535</v>
      </c>
      <c r="BH156" t="s">
        <v>1080</v>
      </c>
      <c r="BI156" t="s">
        <v>3536</v>
      </c>
      <c r="BJ156" t="s">
        <v>101</v>
      </c>
      <c r="BK156" t="s">
        <v>3537</v>
      </c>
      <c r="BL156" t="s">
        <v>3538</v>
      </c>
      <c r="BM156" t="s">
        <v>3539</v>
      </c>
      <c r="BN156" t="s">
        <v>2073</v>
      </c>
    </row>
    <row r="157" spans="1:66" x14ac:dyDescent="0.25">
      <c r="A157" t="str">
        <f>HYPERLINK("https://elite.finviz.com/quote.ashx?t=OGS&amp;ty=c&amp;p=d&amp;b=1", "OGS")</f>
        <v>OGS</v>
      </c>
      <c r="B157">
        <v>7</v>
      </c>
      <c r="C157">
        <v>149.72999999999999</v>
      </c>
      <c r="D157">
        <v>68.34</v>
      </c>
      <c r="E157" t="s">
        <v>3540</v>
      </c>
      <c r="F157" t="s">
        <v>67</v>
      </c>
      <c r="G157" t="s">
        <v>287</v>
      </c>
      <c r="H157" t="s">
        <v>3541</v>
      </c>
      <c r="I157" t="s">
        <v>70</v>
      </c>
      <c r="J157" t="s">
        <v>71</v>
      </c>
      <c r="K157">
        <v>4777.37</v>
      </c>
      <c r="L157">
        <v>79.62</v>
      </c>
      <c r="M157" t="s">
        <v>1768</v>
      </c>
      <c r="N157">
        <v>247598</v>
      </c>
      <c r="O157">
        <v>19</v>
      </c>
      <c r="P157">
        <v>17.38</v>
      </c>
      <c r="Q157">
        <v>2.62</v>
      </c>
      <c r="R157">
        <v>2.0499999999999998</v>
      </c>
      <c r="S157">
        <v>1.5</v>
      </c>
      <c r="T157" t="s">
        <v>3542</v>
      </c>
      <c r="U157">
        <v>2.67</v>
      </c>
      <c r="V157" t="s">
        <v>1440</v>
      </c>
      <c r="W157" t="s">
        <v>2572</v>
      </c>
      <c r="X157" t="s">
        <v>615</v>
      </c>
      <c r="Y157" t="s">
        <v>2064</v>
      </c>
      <c r="Z157" t="s">
        <v>3543</v>
      </c>
      <c r="AA157">
        <v>4.1900000000000004</v>
      </c>
      <c r="AB157" t="s">
        <v>2362</v>
      </c>
      <c r="AC157" t="s">
        <v>3544</v>
      </c>
      <c r="AD157" t="s">
        <v>1653</v>
      </c>
      <c r="AE157" t="s">
        <v>1455</v>
      </c>
      <c r="AF157" t="s">
        <v>3545</v>
      </c>
      <c r="AG157" t="s">
        <v>215</v>
      </c>
      <c r="AH157" t="s">
        <v>3546</v>
      </c>
      <c r="AI157" t="s">
        <v>497</v>
      </c>
      <c r="AJ157" t="s">
        <v>164</v>
      </c>
      <c r="AK157" t="s">
        <v>3547</v>
      </c>
      <c r="AL157">
        <v>0.52</v>
      </c>
      <c r="AM157">
        <v>0.35</v>
      </c>
      <c r="AN157">
        <v>1.03</v>
      </c>
      <c r="AO157" t="s">
        <v>2397</v>
      </c>
      <c r="AP157" t="s">
        <v>3548</v>
      </c>
      <c r="AQ157" t="s">
        <v>3549</v>
      </c>
      <c r="AR157" t="s">
        <v>3550</v>
      </c>
      <c r="AS157" t="s">
        <v>3551</v>
      </c>
      <c r="AT157" t="s">
        <v>2235</v>
      </c>
      <c r="AU157" t="s">
        <v>370</v>
      </c>
      <c r="AV157" t="s">
        <v>2655</v>
      </c>
      <c r="AW157" t="s">
        <v>3552</v>
      </c>
      <c r="AX157" t="s">
        <v>3553</v>
      </c>
      <c r="AY157" t="s">
        <v>3554</v>
      </c>
      <c r="AZ157" t="s">
        <v>1551</v>
      </c>
      <c r="BA157">
        <v>2.4300000000000002</v>
      </c>
      <c r="BB157">
        <v>460.62</v>
      </c>
      <c r="BC157">
        <v>1.89</v>
      </c>
      <c r="BD157">
        <v>77.540000000000006</v>
      </c>
      <c r="BE157">
        <v>80.88</v>
      </c>
      <c r="BF157">
        <v>78.86</v>
      </c>
      <c r="BG157" t="s">
        <v>3555</v>
      </c>
      <c r="BH157" t="s">
        <v>3556</v>
      </c>
      <c r="BI157" t="s">
        <v>3557</v>
      </c>
      <c r="BJ157" t="s">
        <v>101</v>
      </c>
      <c r="BK157" t="s">
        <v>2740</v>
      </c>
      <c r="BL157" t="s">
        <v>238</v>
      </c>
      <c r="BM157" t="s">
        <v>578</v>
      </c>
      <c r="BN157" t="s">
        <v>2073</v>
      </c>
    </row>
    <row r="158" spans="1:66" x14ac:dyDescent="0.25">
      <c r="A158" t="str">
        <f>HYPERLINK("https://elite.finviz.com/quote.ashx?t=LODE&amp;ty=c&amp;p=d&amp;b=1", "LODE")</f>
        <v>LODE</v>
      </c>
      <c r="B158">
        <v>7</v>
      </c>
      <c r="C158">
        <v>149.72999999999999</v>
      </c>
      <c r="D158">
        <v>68.39</v>
      </c>
      <c r="E158" t="s">
        <v>3558</v>
      </c>
      <c r="F158" t="s">
        <v>107</v>
      </c>
      <c r="G158" t="s">
        <v>355</v>
      </c>
      <c r="H158" t="s">
        <v>1467</v>
      </c>
      <c r="I158" t="s">
        <v>70</v>
      </c>
      <c r="J158" t="s">
        <v>383</v>
      </c>
      <c r="K158">
        <v>180.56</v>
      </c>
      <c r="L158">
        <v>3.66</v>
      </c>
      <c r="M158" t="s">
        <v>3559</v>
      </c>
      <c r="N158">
        <v>468921</v>
      </c>
      <c r="P158">
        <v>43.12</v>
      </c>
      <c r="R158">
        <v>55.05</v>
      </c>
      <c r="S158">
        <v>1.34</v>
      </c>
      <c r="AA158">
        <v>-2.41</v>
      </c>
      <c r="AB158" t="s">
        <v>3560</v>
      </c>
      <c r="AC158" t="s">
        <v>3561</v>
      </c>
      <c r="AE158" t="s">
        <v>3562</v>
      </c>
      <c r="AF158" t="s">
        <v>3563</v>
      </c>
      <c r="AG158" t="s">
        <v>3564</v>
      </c>
      <c r="AH158" t="s">
        <v>3565</v>
      </c>
      <c r="AI158" t="s">
        <v>2302</v>
      </c>
      <c r="AJ158" t="s">
        <v>164</v>
      </c>
      <c r="AK158" t="s">
        <v>3566</v>
      </c>
      <c r="AL158">
        <v>1.5</v>
      </c>
      <c r="AM158">
        <v>1.5</v>
      </c>
      <c r="AN158">
        <v>0.35</v>
      </c>
      <c r="AO158" t="s">
        <v>3567</v>
      </c>
      <c r="AP158" t="s">
        <v>3568</v>
      </c>
      <c r="AQ158" t="s">
        <v>3569</v>
      </c>
      <c r="AR158" t="s">
        <v>2127</v>
      </c>
      <c r="AS158" t="s">
        <v>906</v>
      </c>
      <c r="AT158" t="s">
        <v>3570</v>
      </c>
      <c r="AU158" t="s">
        <v>2779</v>
      </c>
      <c r="AV158" t="s">
        <v>800</v>
      </c>
      <c r="AW158" t="s">
        <v>3571</v>
      </c>
      <c r="AX158" t="s">
        <v>3572</v>
      </c>
      <c r="AY158" t="s">
        <v>3573</v>
      </c>
      <c r="AZ158" t="s">
        <v>3574</v>
      </c>
      <c r="BA158">
        <v>3</v>
      </c>
      <c r="BB158">
        <v>869.56</v>
      </c>
      <c r="BC158">
        <v>1.9</v>
      </c>
      <c r="BD158">
        <v>3.74</v>
      </c>
      <c r="BE158">
        <v>3.85</v>
      </c>
      <c r="BF158">
        <v>3.65</v>
      </c>
      <c r="BG158" t="s">
        <v>3575</v>
      </c>
      <c r="BH158" t="s">
        <v>579</v>
      </c>
      <c r="BI158" t="s">
        <v>3576</v>
      </c>
      <c r="BJ158" t="s">
        <v>101</v>
      </c>
      <c r="BK158" t="s">
        <v>3577</v>
      </c>
      <c r="BL158" t="s">
        <v>586</v>
      </c>
      <c r="BM158" t="s">
        <v>3578</v>
      </c>
      <c r="BN158" t="s">
        <v>2073</v>
      </c>
    </row>
    <row r="159" spans="1:66" x14ac:dyDescent="0.25">
      <c r="A159" t="str">
        <f>HYPERLINK("https://elite.finviz.com/quote.ashx?t=AQMS&amp;ty=c&amp;p=d&amp;b=1", "AQMS")</f>
        <v>AQMS</v>
      </c>
      <c r="B159">
        <v>7</v>
      </c>
      <c r="C159">
        <v>149.72999999999999</v>
      </c>
      <c r="D159">
        <v>68.56</v>
      </c>
      <c r="E159" t="s">
        <v>3579</v>
      </c>
      <c r="F159" t="s">
        <v>107</v>
      </c>
      <c r="G159" t="s">
        <v>260</v>
      </c>
      <c r="H159" t="s">
        <v>1573</v>
      </c>
      <c r="I159" t="s">
        <v>70</v>
      </c>
      <c r="J159" t="s">
        <v>321</v>
      </c>
      <c r="K159">
        <v>8.82</v>
      </c>
      <c r="L159">
        <v>6.27</v>
      </c>
      <c r="M159" t="s">
        <v>3580</v>
      </c>
      <c r="N159">
        <v>16606294</v>
      </c>
      <c r="S159">
        <v>0.13</v>
      </c>
      <c r="AA159">
        <v>-101.93</v>
      </c>
      <c r="AB159" t="s">
        <v>3581</v>
      </c>
      <c r="AC159" t="s">
        <v>3582</v>
      </c>
      <c r="AE159" t="s">
        <v>579</v>
      </c>
      <c r="AJ159" t="s">
        <v>164</v>
      </c>
      <c r="AK159" t="s">
        <v>229</v>
      </c>
      <c r="AL159">
        <v>0.65</v>
      </c>
      <c r="AM159">
        <v>0.57999999999999996</v>
      </c>
      <c r="AN159">
        <v>0.12</v>
      </c>
      <c r="AR159" t="s">
        <v>2121</v>
      </c>
      <c r="AS159" t="s">
        <v>702</v>
      </c>
      <c r="AT159" t="s">
        <v>3583</v>
      </c>
      <c r="AU159" t="s">
        <v>3584</v>
      </c>
      <c r="AV159" t="s">
        <v>3585</v>
      </c>
      <c r="AW159" t="s">
        <v>3586</v>
      </c>
      <c r="AX159" t="s">
        <v>3587</v>
      </c>
      <c r="AY159" t="s">
        <v>3588</v>
      </c>
      <c r="AZ159" t="s">
        <v>3587</v>
      </c>
      <c r="BA159">
        <v>1</v>
      </c>
      <c r="BB159">
        <v>562.23</v>
      </c>
      <c r="BC159">
        <v>104.06</v>
      </c>
      <c r="BD159">
        <v>4.92</v>
      </c>
      <c r="BE159">
        <v>8.02</v>
      </c>
      <c r="BF159">
        <v>4.9400000000000004</v>
      </c>
      <c r="BG159" t="s">
        <v>3589</v>
      </c>
      <c r="BH159" t="s">
        <v>3590</v>
      </c>
      <c r="BI159" t="s">
        <v>3587</v>
      </c>
      <c r="BJ159" t="s">
        <v>101</v>
      </c>
      <c r="BK159" t="s">
        <v>3591</v>
      </c>
      <c r="BL159" t="s">
        <v>3592</v>
      </c>
      <c r="BM159" t="s">
        <v>3593</v>
      </c>
      <c r="BN159" t="s">
        <v>2073</v>
      </c>
    </row>
    <row r="160" spans="1:66" x14ac:dyDescent="0.25">
      <c r="A160" t="str">
        <f>HYPERLINK("https://elite.finviz.com/quote.ashx?t=TARA&amp;ty=c&amp;p=d&amp;b=1", "TARA")</f>
        <v>TARA</v>
      </c>
      <c r="B160">
        <v>7</v>
      </c>
      <c r="C160">
        <v>149.72999999999999</v>
      </c>
      <c r="D160">
        <v>68.569999999999993</v>
      </c>
      <c r="E160" t="s">
        <v>3594</v>
      </c>
      <c r="F160" t="s">
        <v>67</v>
      </c>
      <c r="G160" t="s">
        <v>428</v>
      </c>
      <c r="H160" t="s">
        <v>429</v>
      </c>
      <c r="I160" t="s">
        <v>70</v>
      </c>
      <c r="J160" t="s">
        <v>321</v>
      </c>
      <c r="K160">
        <v>156.65</v>
      </c>
      <c r="L160">
        <v>4.0599999999999996</v>
      </c>
      <c r="M160" t="s">
        <v>3595</v>
      </c>
      <c r="N160">
        <v>450931</v>
      </c>
      <c r="S160">
        <v>1.08</v>
      </c>
      <c r="AA160">
        <v>-1.63</v>
      </c>
      <c r="AB160" t="s">
        <v>3596</v>
      </c>
      <c r="AC160" t="s">
        <v>3597</v>
      </c>
      <c r="AD160" t="s">
        <v>297</v>
      </c>
      <c r="AI160" t="s">
        <v>290</v>
      </c>
      <c r="AJ160" t="s">
        <v>3598</v>
      </c>
      <c r="AK160" t="s">
        <v>3599</v>
      </c>
      <c r="AL160">
        <v>12.82</v>
      </c>
      <c r="AM160">
        <v>12.82</v>
      </c>
      <c r="AN160">
        <v>0.03</v>
      </c>
      <c r="AR160" t="s">
        <v>3600</v>
      </c>
      <c r="AS160" t="s">
        <v>3601</v>
      </c>
      <c r="AT160" t="s">
        <v>3457</v>
      </c>
      <c r="AU160" t="s">
        <v>1034</v>
      </c>
      <c r="AV160" t="s">
        <v>3602</v>
      </c>
      <c r="AW160" t="s">
        <v>1450</v>
      </c>
      <c r="AX160" t="s">
        <v>3603</v>
      </c>
      <c r="AY160" t="s">
        <v>3604</v>
      </c>
      <c r="AZ160" t="s">
        <v>3605</v>
      </c>
      <c r="BA160">
        <v>1</v>
      </c>
      <c r="BB160">
        <v>378.7</v>
      </c>
      <c r="BC160">
        <v>4.2</v>
      </c>
      <c r="BD160">
        <v>4.29</v>
      </c>
      <c r="BE160">
        <v>4.41</v>
      </c>
      <c r="BF160">
        <v>4</v>
      </c>
      <c r="BG160" t="s">
        <v>3606</v>
      </c>
      <c r="BH160" t="s">
        <v>3607</v>
      </c>
      <c r="BI160" t="s">
        <v>3608</v>
      </c>
      <c r="BJ160" t="s">
        <v>101</v>
      </c>
      <c r="BK160" t="s">
        <v>3609</v>
      </c>
      <c r="BL160" t="s">
        <v>3610</v>
      </c>
      <c r="BM160" t="s">
        <v>3611</v>
      </c>
      <c r="BN160" t="s">
        <v>2073</v>
      </c>
    </row>
    <row r="161" spans="1:66" x14ac:dyDescent="0.25">
      <c r="A161" t="str">
        <f>HYPERLINK("https://elite.finviz.com/quote.ashx?t=HROW&amp;ty=c&amp;p=d&amp;b=1", "HROW")</f>
        <v>HROW</v>
      </c>
      <c r="B161">
        <v>7</v>
      </c>
      <c r="C161">
        <v>149.72999999999999</v>
      </c>
      <c r="D161">
        <v>68.62</v>
      </c>
      <c r="E161" t="s">
        <v>3612</v>
      </c>
      <c r="F161" t="s">
        <v>67</v>
      </c>
      <c r="G161" t="s">
        <v>428</v>
      </c>
      <c r="H161" t="s">
        <v>1296</v>
      </c>
      <c r="I161" t="s">
        <v>70</v>
      </c>
      <c r="J161" t="s">
        <v>321</v>
      </c>
      <c r="K161">
        <v>1769.63</v>
      </c>
      <c r="L161">
        <v>47.83</v>
      </c>
      <c r="M161" t="s">
        <v>3613</v>
      </c>
      <c r="N161">
        <v>326635</v>
      </c>
      <c r="P161">
        <v>26.33</v>
      </c>
      <c r="R161">
        <v>7.77</v>
      </c>
      <c r="S161">
        <v>35.36</v>
      </c>
      <c r="AA161">
        <v>-0.3</v>
      </c>
      <c r="AB161" t="s">
        <v>3614</v>
      </c>
      <c r="AE161" t="s">
        <v>3615</v>
      </c>
      <c r="AF161" t="s">
        <v>3616</v>
      </c>
      <c r="AG161" t="s">
        <v>3617</v>
      </c>
      <c r="AH161" t="s">
        <v>3618</v>
      </c>
      <c r="AI161" t="s">
        <v>3619</v>
      </c>
      <c r="AJ161" t="s">
        <v>745</v>
      </c>
      <c r="AK161" t="s">
        <v>3620</v>
      </c>
      <c r="AL161">
        <v>0.62</v>
      </c>
      <c r="AM161">
        <v>0.57999999999999996</v>
      </c>
      <c r="AN161">
        <v>4.66</v>
      </c>
      <c r="AO161" t="s">
        <v>3621</v>
      </c>
      <c r="AP161" t="s">
        <v>1474</v>
      </c>
      <c r="AQ161" t="s">
        <v>3622</v>
      </c>
      <c r="AR161" t="s">
        <v>2316</v>
      </c>
      <c r="AS161" t="s">
        <v>247</v>
      </c>
      <c r="AT161" t="s">
        <v>73</v>
      </c>
      <c r="AU161" t="s">
        <v>3623</v>
      </c>
      <c r="AV161" t="s">
        <v>3624</v>
      </c>
      <c r="AW161" t="s">
        <v>3625</v>
      </c>
      <c r="AX161" t="s">
        <v>3626</v>
      </c>
      <c r="AY161" t="s">
        <v>933</v>
      </c>
      <c r="AZ161" t="s">
        <v>3627</v>
      </c>
      <c r="BA161">
        <v>1</v>
      </c>
      <c r="BB161">
        <v>565.11</v>
      </c>
      <c r="BC161">
        <v>2.04</v>
      </c>
      <c r="BD161">
        <v>46.15</v>
      </c>
      <c r="BE161">
        <v>48.96</v>
      </c>
      <c r="BF161">
        <v>46.29</v>
      </c>
      <c r="BG161" t="s">
        <v>3628</v>
      </c>
      <c r="BH161" t="s">
        <v>3629</v>
      </c>
      <c r="BI161" t="s">
        <v>3630</v>
      </c>
      <c r="BJ161" t="s">
        <v>101</v>
      </c>
      <c r="BK161" t="s">
        <v>3631</v>
      </c>
      <c r="BL161" t="s">
        <v>3632</v>
      </c>
      <c r="BM161" t="s">
        <v>2841</v>
      </c>
      <c r="BN161" t="s">
        <v>2073</v>
      </c>
    </row>
    <row r="162" spans="1:66" x14ac:dyDescent="0.25">
      <c r="A162" t="str">
        <f>HYPERLINK("https://elite.finviz.com/quote.ashx?t=HSPT&amp;ty=c&amp;p=d&amp;b=1", "HSPT")</f>
        <v>HSPT</v>
      </c>
      <c r="B162">
        <v>7</v>
      </c>
      <c r="C162">
        <v>149.72999999999999</v>
      </c>
      <c r="D162">
        <v>69.650000000000006</v>
      </c>
      <c r="E162" t="s">
        <v>3633</v>
      </c>
      <c r="F162" t="s">
        <v>107</v>
      </c>
      <c r="G162" t="s">
        <v>550</v>
      </c>
      <c r="H162" t="s">
        <v>2120</v>
      </c>
      <c r="I162" t="s">
        <v>70</v>
      </c>
      <c r="J162" t="s">
        <v>321</v>
      </c>
      <c r="K162">
        <v>93.89</v>
      </c>
      <c r="L162">
        <v>10.34</v>
      </c>
      <c r="M162" t="s">
        <v>164</v>
      </c>
      <c r="N162">
        <v>25999</v>
      </c>
      <c r="O162">
        <v>110.71</v>
      </c>
      <c r="S162">
        <v>1.33</v>
      </c>
      <c r="AA162">
        <v>0.09</v>
      </c>
      <c r="AJ162" t="s">
        <v>164</v>
      </c>
      <c r="AK162" t="s">
        <v>1606</v>
      </c>
      <c r="AL162">
        <v>0.27</v>
      </c>
      <c r="AM162">
        <v>0.27</v>
      </c>
      <c r="AN162">
        <v>0</v>
      </c>
      <c r="AR162" t="s">
        <v>406</v>
      </c>
      <c r="AS162" t="s">
        <v>2215</v>
      </c>
      <c r="AT162" t="s">
        <v>3446</v>
      </c>
      <c r="AU162" t="s">
        <v>1417</v>
      </c>
      <c r="AV162" t="s">
        <v>2201</v>
      </c>
      <c r="AW162" t="s">
        <v>3634</v>
      </c>
      <c r="AX162" t="s">
        <v>3635</v>
      </c>
      <c r="AY162" t="s">
        <v>3634</v>
      </c>
      <c r="AZ162" t="s">
        <v>3636</v>
      </c>
      <c r="BB162">
        <v>4.78</v>
      </c>
      <c r="BC162">
        <v>19.329999999999998</v>
      </c>
      <c r="BD162">
        <v>10.34</v>
      </c>
      <c r="BE162">
        <v>10.34</v>
      </c>
      <c r="BF162">
        <v>10.34</v>
      </c>
      <c r="BG162" t="s">
        <v>3637</v>
      </c>
      <c r="BH162" t="s">
        <v>3634</v>
      </c>
      <c r="BI162" t="s">
        <v>3636</v>
      </c>
      <c r="BJ162" t="s">
        <v>101</v>
      </c>
      <c r="BK162" t="s">
        <v>3638</v>
      </c>
      <c r="BN162" t="s">
        <v>2073</v>
      </c>
    </row>
    <row r="163" spans="1:66" x14ac:dyDescent="0.25">
      <c r="A163" t="str">
        <f>HYPERLINK("https://elite.finviz.com/quote.ashx?t=AXTI&amp;ty=c&amp;p=d&amp;b=1", "AXTI")</f>
        <v>AXTI</v>
      </c>
      <c r="B163">
        <v>7</v>
      </c>
      <c r="C163">
        <v>149.72999999999999</v>
      </c>
      <c r="D163">
        <v>69.790000000000006</v>
      </c>
      <c r="E163" t="s">
        <v>3639</v>
      </c>
      <c r="F163" t="s">
        <v>107</v>
      </c>
      <c r="G163" t="s">
        <v>108</v>
      </c>
      <c r="H163" t="s">
        <v>2097</v>
      </c>
      <c r="I163" t="s">
        <v>70</v>
      </c>
      <c r="J163" t="s">
        <v>321</v>
      </c>
      <c r="K163">
        <v>212.68</v>
      </c>
      <c r="L163">
        <v>4.6100000000000003</v>
      </c>
      <c r="M163" t="s">
        <v>3640</v>
      </c>
      <c r="N163">
        <v>452358</v>
      </c>
      <c r="R163">
        <v>2.4700000000000002</v>
      </c>
      <c r="S163">
        <v>1.21</v>
      </c>
      <c r="AA163">
        <v>-0.55000000000000004</v>
      </c>
      <c r="AC163" t="s">
        <v>3641</v>
      </c>
      <c r="AE163" t="s">
        <v>2617</v>
      </c>
      <c r="AF163" t="s">
        <v>2752</v>
      </c>
      <c r="AG163" t="s">
        <v>2233</v>
      </c>
      <c r="AH163" t="s">
        <v>3642</v>
      </c>
      <c r="AI163" t="s">
        <v>2545</v>
      </c>
      <c r="AJ163" t="s">
        <v>164</v>
      </c>
      <c r="AK163" t="s">
        <v>3643</v>
      </c>
      <c r="AL163">
        <v>1.82</v>
      </c>
      <c r="AM163">
        <v>0.82</v>
      </c>
      <c r="AN163">
        <v>0.32</v>
      </c>
      <c r="AO163" t="s">
        <v>3644</v>
      </c>
      <c r="AP163" t="s">
        <v>3645</v>
      </c>
      <c r="AQ163" t="s">
        <v>3646</v>
      </c>
      <c r="AR163" t="s">
        <v>3647</v>
      </c>
      <c r="AS163" t="s">
        <v>3648</v>
      </c>
      <c r="AT163" t="s">
        <v>3649</v>
      </c>
      <c r="AU163" t="s">
        <v>3650</v>
      </c>
      <c r="AV163" t="s">
        <v>3651</v>
      </c>
      <c r="AW163" t="s">
        <v>2504</v>
      </c>
      <c r="AX163" t="s">
        <v>3652</v>
      </c>
      <c r="AY163" t="s">
        <v>2504</v>
      </c>
      <c r="AZ163" t="s">
        <v>3653</v>
      </c>
      <c r="BA163">
        <v>1</v>
      </c>
      <c r="BB163">
        <v>754.57</v>
      </c>
      <c r="BC163">
        <v>2.11</v>
      </c>
      <c r="BD163">
        <v>4.75</v>
      </c>
      <c r="BE163">
        <v>5.04</v>
      </c>
      <c r="BF163">
        <v>4.5999999999999996</v>
      </c>
      <c r="BG163" t="s">
        <v>3654</v>
      </c>
      <c r="BH163" t="s">
        <v>3655</v>
      </c>
      <c r="BI163" t="s">
        <v>3656</v>
      </c>
      <c r="BJ163" t="s">
        <v>101</v>
      </c>
      <c r="BK163" t="s">
        <v>3657</v>
      </c>
      <c r="BL163" t="s">
        <v>3658</v>
      </c>
      <c r="BM163" t="s">
        <v>3659</v>
      </c>
      <c r="BN163" t="s">
        <v>2073</v>
      </c>
    </row>
    <row r="164" spans="1:66" x14ac:dyDescent="0.25">
      <c r="A164" t="str">
        <f>HYPERLINK("https://elite.finviz.com/quote.ashx?t=SNX&amp;ty=c&amp;p=d&amp;b=1", "SNX")</f>
        <v>SNX</v>
      </c>
      <c r="B164">
        <v>7</v>
      </c>
      <c r="C164">
        <v>149.72999999999999</v>
      </c>
      <c r="D164">
        <v>70.13</v>
      </c>
      <c r="E164" t="s">
        <v>3660</v>
      </c>
      <c r="F164" t="s">
        <v>107</v>
      </c>
      <c r="G164" t="s">
        <v>108</v>
      </c>
      <c r="H164" t="s">
        <v>3661</v>
      </c>
      <c r="I164" t="s">
        <v>70</v>
      </c>
      <c r="J164" t="s">
        <v>71</v>
      </c>
      <c r="K164">
        <v>13226.48</v>
      </c>
      <c r="L164">
        <v>160.38</v>
      </c>
      <c r="M164" t="s">
        <v>3112</v>
      </c>
      <c r="N164">
        <v>396755</v>
      </c>
      <c r="O164">
        <v>17.41</v>
      </c>
      <c r="P164">
        <v>11.25</v>
      </c>
      <c r="Q164">
        <v>1.58</v>
      </c>
      <c r="R164">
        <v>0.22</v>
      </c>
      <c r="S164">
        <v>1.53</v>
      </c>
      <c r="T164" t="s">
        <v>3018</v>
      </c>
      <c r="U164">
        <v>1.72</v>
      </c>
      <c r="V164" t="s">
        <v>3662</v>
      </c>
      <c r="W164" t="s">
        <v>2169</v>
      </c>
      <c r="X164" t="s">
        <v>3397</v>
      </c>
      <c r="Y164" t="s">
        <v>2509</v>
      </c>
      <c r="Z164" t="s">
        <v>3663</v>
      </c>
      <c r="AA164">
        <v>9.2100000000000009</v>
      </c>
      <c r="AB164" t="s">
        <v>3664</v>
      </c>
      <c r="AC164" t="s">
        <v>3665</v>
      </c>
      <c r="AD164" t="s">
        <v>1652</v>
      </c>
      <c r="AE164" t="s">
        <v>1955</v>
      </c>
      <c r="AF164" t="s">
        <v>3666</v>
      </c>
      <c r="AG164" t="s">
        <v>3667</v>
      </c>
      <c r="AH164" t="s">
        <v>3429</v>
      </c>
      <c r="AI164" t="s">
        <v>3668</v>
      </c>
      <c r="AJ164" t="s">
        <v>214</v>
      </c>
      <c r="AK164" t="s">
        <v>3669</v>
      </c>
      <c r="AL164">
        <v>1.2</v>
      </c>
      <c r="AM164">
        <v>0.71</v>
      </c>
      <c r="AN164">
        <v>0.5</v>
      </c>
      <c r="AO164" t="s">
        <v>2386</v>
      </c>
      <c r="AP164" t="s">
        <v>2868</v>
      </c>
      <c r="AQ164" t="s">
        <v>80</v>
      </c>
      <c r="AR164" t="s">
        <v>3670</v>
      </c>
      <c r="AS164" t="s">
        <v>3671</v>
      </c>
      <c r="AT164" t="s">
        <v>3530</v>
      </c>
      <c r="AU164" t="s">
        <v>3672</v>
      </c>
      <c r="AV164" t="s">
        <v>2729</v>
      </c>
      <c r="AW164" t="s">
        <v>2646</v>
      </c>
      <c r="AX164" t="s">
        <v>1601</v>
      </c>
      <c r="AY164" t="s">
        <v>2646</v>
      </c>
      <c r="AZ164" t="s">
        <v>3673</v>
      </c>
      <c r="BA164">
        <v>1.46</v>
      </c>
      <c r="BB164">
        <v>715.76</v>
      </c>
      <c r="BC164">
        <v>1.95</v>
      </c>
      <c r="BD164">
        <v>159.69</v>
      </c>
      <c r="BE164">
        <v>162.52000000000001</v>
      </c>
      <c r="BF164">
        <v>158.19999999999999</v>
      </c>
      <c r="BG164" t="s">
        <v>3674</v>
      </c>
      <c r="BH164" t="s">
        <v>2646</v>
      </c>
      <c r="BI164" t="s">
        <v>3675</v>
      </c>
      <c r="BJ164" t="s">
        <v>101</v>
      </c>
      <c r="BK164" t="s">
        <v>3676</v>
      </c>
      <c r="BL164" t="s">
        <v>3677</v>
      </c>
      <c r="BM164" t="s">
        <v>3678</v>
      </c>
      <c r="BN164" t="s">
        <v>2073</v>
      </c>
    </row>
    <row r="165" spans="1:66" x14ac:dyDescent="0.25">
      <c r="A165" t="str">
        <f>HYPERLINK("https://elite.finviz.com/quote.ashx?t=IDR&amp;ty=c&amp;p=d&amp;b=1", "IDR")</f>
        <v>IDR</v>
      </c>
      <c r="B165">
        <v>7</v>
      </c>
      <c r="C165">
        <v>149.72999999999999</v>
      </c>
      <c r="D165">
        <v>70.27</v>
      </c>
      <c r="E165" t="s">
        <v>3679</v>
      </c>
      <c r="F165" t="s">
        <v>67</v>
      </c>
      <c r="G165" t="s">
        <v>355</v>
      </c>
      <c r="H165" t="s">
        <v>1103</v>
      </c>
      <c r="I165" t="s">
        <v>70</v>
      </c>
      <c r="J165" t="s">
        <v>383</v>
      </c>
      <c r="K165">
        <v>490.04</v>
      </c>
      <c r="L165">
        <v>33.78</v>
      </c>
      <c r="M165" t="s">
        <v>3481</v>
      </c>
      <c r="N165">
        <v>326785</v>
      </c>
      <c r="O165">
        <v>52.21</v>
      </c>
      <c r="P165">
        <v>46.28</v>
      </c>
      <c r="R165">
        <v>16.07</v>
      </c>
      <c r="S165">
        <v>9.6300000000000008</v>
      </c>
      <c r="V165" t="s">
        <v>3680</v>
      </c>
      <c r="Z165" t="s">
        <v>164</v>
      </c>
      <c r="AA165">
        <v>0.65</v>
      </c>
      <c r="AE165" t="s">
        <v>3681</v>
      </c>
      <c r="AF165" t="s">
        <v>492</v>
      </c>
      <c r="AG165" t="s">
        <v>2166</v>
      </c>
      <c r="AH165" t="s">
        <v>3682</v>
      </c>
      <c r="AI165" t="s">
        <v>1057</v>
      </c>
      <c r="AJ165" t="s">
        <v>1032</v>
      </c>
      <c r="AK165" t="s">
        <v>3683</v>
      </c>
      <c r="AL165">
        <v>5.1100000000000003</v>
      </c>
      <c r="AM165">
        <v>4.78</v>
      </c>
      <c r="AN165">
        <v>7.0000000000000007E-2</v>
      </c>
      <c r="AO165" t="s">
        <v>3684</v>
      </c>
      <c r="AP165" t="s">
        <v>3685</v>
      </c>
      <c r="AQ165" t="s">
        <v>3686</v>
      </c>
      <c r="AR165" t="s">
        <v>3687</v>
      </c>
      <c r="AS165" t="s">
        <v>3688</v>
      </c>
      <c r="AT165" t="s">
        <v>1601</v>
      </c>
      <c r="AU165" t="s">
        <v>3689</v>
      </c>
      <c r="AV165" t="s">
        <v>3690</v>
      </c>
      <c r="AW165" t="s">
        <v>698</v>
      </c>
      <c r="AX165" t="s">
        <v>3691</v>
      </c>
      <c r="AY165" t="s">
        <v>698</v>
      </c>
      <c r="AZ165" t="s">
        <v>3692</v>
      </c>
      <c r="BA165">
        <v>1</v>
      </c>
      <c r="BB165">
        <v>545.76</v>
      </c>
      <c r="BC165">
        <v>2.11</v>
      </c>
      <c r="BD165">
        <v>32.54</v>
      </c>
      <c r="BE165">
        <v>35.4</v>
      </c>
      <c r="BF165">
        <v>33.24</v>
      </c>
      <c r="BG165" t="s">
        <v>3693</v>
      </c>
      <c r="BH165" t="s">
        <v>698</v>
      </c>
      <c r="BI165" t="s">
        <v>3694</v>
      </c>
      <c r="BJ165" t="s">
        <v>101</v>
      </c>
      <c r="BK165" t="s">
        <v>3695</v>
      </c>
      <c r="BL165" t="s">
        <v>3696</v>
      </c>
      <c r="BM165" t="s">
        <v>3697</v>
      </c>
      <c r="BN165" t="s">
        <v>2073</v>
      </c>
    </row>
    <row r="166" spans="1:66" x14ac:dyDescent="0.25">
      <c r="A166" t="str">
        <f>HYPERLINK("https://elite.finviz.com/quote.ashx?t=BETR&amp;ty=c&amp;p=d&amp;b=1", "BETR")</f>
        <v>BETR</v>
      </c>
      <c r="B166">
        <v>7</v>
      </c>
      <c r="C166">
        <v>149.72999999999999</v>
      </c>
      <c r="D166">
        <v>70.3</v>
      </c>
      <c r="E166" t="s">
        <v>3698</v>
      </c>
      <c r="F166" t="s">
        <v>67</v>
      </c>
      <c r="G166" t="s">
        <v>550</v>
      </c>
      <c r="H166" t="s">
        <v>3699</v>
      </c>
      <c r="I166" t="s">
        <v>70</v>
      </c>
      <c r="J166" t="s">
        <v>321</v>
      </c>
      <c r="K166">
        <v>816.89</v>
      </c>
      <c r="L166">
        <v>53.42</v>
      </c>
      <c r="M166" t="s">
        <v>815</v>
      </c>
      <c r="N166">
        <v>591846</v>
      </c>
      <c r="R166">
        <v>5.34</v>
      </c>
      <c r="S166">
        <v>9.52</v>
      </c>
      <c r="AA166">
        <v>-13.21</v>
      </c>
      <c r="AB166" t="s">
        <v>3700</v>
      </c>
      <c r="AC166" t="s">
        <v>3701</v>
      </c>
      <c r="AE166" t="s">
        <v>3702</v>
      </c>
      <c r="AH166" t="s">
        <v>3703</v>
      </c>
      <c r="AI166" t="s">
        <v>3704</v>
      </c>
      <c r="AJ166" t="s">
        <v>3705</v>
      </c>
      <c r="AK166" t="s">
        <v>1550</v>
      </c>
      <c r="AL166">
        <v>0.66</v>
      </c>
      <c r="AM166">
        <v>0.66</v>
      </c>
      <c r="AN166">
        <v>6.74</v>
      </c>
      <c r="AO166" t="s">
        <v>3706</v>
      </c>
      <c r="AP166" t="s">
        <v>3707</v>
      </c>
      <c r="AQ166" t="s">
        <v>3708</v>
      </c>
      <c r="AR166" t="s">
        <v>3709</v>
      </c>
      <c r="AS166" t="s">
        <v>3710</v>
      </c>
      <c r="AT166" t="s">
        <v>3711</v>
      </c>
      <c r="AU166" t="s">
        <v>3712</v>
      </c>
      <c r="AV166" t="s">
        <v>3713</v>
      </c>
      <c r="AW166" t="s">
        <v>3714</v>
      </c>
      <c r="AX166" t="s">
        <v>3715</v>
      </c>
      <c r="AY166" t="s">
        <v>3714</v>
      </c>
      <c r="AZ166" t="s">
        <v>3716</v>
      </c>
      <c r="BB166">
        <v>383.4</v>
      </c>
      <c r="BC166">
        <v>5.44</v>
      </c>
      <c r="BD166">
        <v>55.97</v>
      </c>
      <c r="BE166">
        <v>60.8</v>
      </c>
      <c r="BF166">
        <v>52.5</v>
      </c>
      <c r="BG166" t="s">
        <v>3717</v>
      </c>
      <c r="BH166" t="s">
        <v>3718</v>
      </c>
      <c r="BI166" t="s">
        <v>3716</v>
      </c>
      <c r="BJ166" t="s">
        <v>101</v>
      </c>
      <c r="BK166" t="s">
        <v>3719</v>
      </c>
      <c r="BL166" t="s">
        <v>3720</v>
      </c>
      <c r="BM166" t="s">
        <v>3721</v>
      </c>
      <c r="BN166" t="s">
        <v>2073</v>
      </c>
    </row>
    <row r="167" spans="1:66" x14ac:dyDescent="0.25">
      <c r="A167" t="str">
        <f>HYPERLINK("https://elite.finviz.com/quote.ashx?t=NRXS&amp;ty=c&amp;p=d&amp;b=1", "NRXS")</f>
        <v>NRXS</v>
      </c>
      <c r="B167">
        <v>7</v>
      </c>
      <c r="C167">
        <v>149.72999999999999</v>
      </c>
      <c r="D167">
        <v>70.739999999999995</v>
      </c>
      <c r="E167" t="s">
        <v>3722</v>
      </c>
      <c r="F167" t="s">
        <v>107</v>
      </c>
      <c r="G167" t="s">
        <v>428</v>
      </c>
      <c r="H167" t="s">
        <v>429</v>
      </c>
      <c r="I167" t="s">
        <v>70</v>
      </c>
      <c r="J167" t="s">
        <v>383</v>
      </c>
      <c r="K167">
        <v>28.93</v>
      </c>
      <c r="L167">
        <v>2.93</v>
      </c>
      <c r="M167" t="s">
        <v>3723</v>
      </c>
      <c r="N167">
        <v>49022</v>
      </c>
      <c r="R167">
        <v>8.98</v>
      </c>
      <c r="S167">
        <v>6.8</v>
      </c>
      <c r="AA167">
        <v>-1.04</v>
      </c>
      <c r="AB167" t="s">
        <v>3724</v>
      </c>
      <c r="AC167" t="s">
        <v>3725</v>
      </c>
      <c r="AD167" t="s">
        <v>2512</v>
      </c>
      <c r="AE167" t="s">
        <v>3726</v>
      </c>
      <c r="AF167" t="s">
        <v>3486</v>
      </c>
      <c r="AG167" t="s">
        <v>2487</v>
      </c>
      <c r="AH167" t="s">
        <v>3727</v>
      </c>
      <c r="AI167" t="s">
        <v>3728</v>
      </c>
      <c r="AJ167" t="s">
        <v>3729</v>
      </c>
      <c r="AK167" t="s">
        <v>582</v>
      </c>
      <c r="AL167">
        <v>2.82</v>
      </c>
      <c r="AM167">
        <v>2.76</v>
      </c>
      <c r="AN167">
        <v>0.1</v>
      </c>
      <c r="AO167" t="s">
        <v>3730</v>
      </c>
      <c r="AP167" t="s">
        <v>3731</v>
      </c>
      <c r="AQ167" t="s">
        <v>3732</v>
      </c>
      <c r="AR167" t="s">
        <v>3733</v>
      </c>
      <c r="AS167" t="s">
        <v>2732</v>
      </c>
      <c r="AT167" t="s">
        <v>3734</v>
      </c>
      <c r="AU167" t="s">
        <v>2470</v>
      </c>
      <c r="AV167" t="s">
        <v>3735</v>
      </c>
      <c r="AW167" t="s">
        <v>3736</v>
      </c>
      <c r="AX167" t="s">
        <v>2684</v>
      </c>
      <c r="AY167" t="s">
        <v>3737</v>
      </c>
      <c r="AZ167" t="s">
        <v>3738</v>
      </c>
      <c r="BA167">
        <v>1</v>
      </c>
      <c r="BB167">
        <v>60.97</v>
      </c>
      <c r="BC167">
        <v>2.83</v>
      </c>
      <c r="BD167">
        <v>2.75</v>
      </c>
      <c r="BE167">
        <v>2.92</v>
      </c>
      <c r="BF167">
        <v>2.74</v>
      </c>
      <c r="BG167" t="s">
        <v>3739</v>
      </c>
      <c r="BH167" t="s">
        <v>3740</v>
      </c>
      <c r="BI167" t="s">
        <v>3738</v>
      </c>
      <c r="BJ167" t="s">
        <v>101</v>
      </c>
      <c r="BK167" t="s">
        <v>3741</v>
      </c>
      <c r="BL167" t="s">
        <v>3742</v>
      </c>
      <c r="BM167" t="s">
        <v>2144</v>
      </c>
      <c r="BN167" t="s">
        <v>2073</v>
      </c>
    </row>
    <row r="168" spans="1:66" x14ac:dyDescent="0.25">
      <c r="A168" t="str">
        <f>HYPERLINK("https://elite.finviz.com/quote.ashx?t=FCFS&amp;ty=c&amp;p=d&amp;b=1", "FCFS")</f>
        <v>FCFS</v>
      </c>
      <c r="B168">
        <v>7</v>
      </c>
      <c r="C168">
        <v>149.72999999999999</v>
      </c>
      <c r="D168">
        <v>71.09</v>
      </c>
      <c r="E168" t="s">
        <v>3743</v>
      </c>
      <c r="F168" t="s">
        <v>67</v>
      </c>
      <c r="G168" t="s">
        <v>550</v>
      </c>
      <c r="H168" t="s">
        <v>3744</v>
      </c>
      <c r="I168" t="s">
        <v>70</v>
      </c>
      <c r="J168" t="s">
        <v>321</v>
      </c>
      <c r="K168">
        <v>6935.96</v>
      </c>
      <c r="L168">
        <v>156.34</v>
      </c>
      <c r="M168" t="s">
        <v>2644</v>
      </c>
      <c r="N168">
        <v>372380</v>
      </c>
      <c r="O168">
        <v>24.03</v>
      </c>
      <c r="P168">
        <v>15.92</v>
      </c>
      <c r="Q168">
        <v>1.03</v>
      </c>
      <c r="R168">
        <v>2.0499999999999998</v>
      </c>
      <c r="S168">
        <v>3.24</v>
      </c>
      <c r="T168" t="s">
        <v>1457</v>
      </c>
      <c r="U168">
        <v>1.56</v>
      </c>
      <c r="V168" t="s">
        <v>3046</v>
      </c>
      <c r="W168" t="s">
        <v>3745</v>
      </c>
      <c r="X168" t="s">
        <v>1207</v>
      </c>
      <c r="Y168" t="s">
        <v>3746</v>
      </c>
      <c r="Z168" t="s">
        <v>3747</v>
      </c>
      <c r="AA168">
        <v>6.51</v>
      </c>
      <c r="AB168" t="s">
        <v>3748</v>
      </c>
      <c r="AC168" t="s">
        <v>864</v>
      </c>
      <c r="AD168" t="s">
        <v>3749</v>
      </c>
      <c r="AE168" t="s">
        <v>2333</v>
      </c>
      <c r="AF168" t="s">
        <v>3750</v>
      </c>
      <c r="AG168" t="s">
        <v>3751</v>
      </c>
      <c r="AH168" t="s">
        <v>3752</v>
      </c>
      <c r="AI168" t="s">
        <v>3432</v>
      </c>
      <c r="AJ168" t="s">
        <v>3753</v>
      </c>
      <c r="AK168" t="s">
        <v>3754</v>
      </c>
      <c r="AL168">
        <v>4.21</v>
      </c>
      <c r="AM168">
        <v>3.12</v>
      </c>
      <c r="AN168">
        <v>0.95</v>
      </c>
      <c r="AO168" t="s">
        <v>3755</v>
      </c>
      <c r="AP168" t="s">
        <v>3756</v>
      </c>
      <c r="AQ168" t="s">
        <v>2487</v>
      </c>
      <c r="AR168" t="s">
        <v>2876</v>
      </c>
      <c r="AS168" t="s">
        <v>3757</v>
      </c>
      <c r="AT168" t="s">
        <v>3758</v>
      </c>
      <c r="AU168" t="s">
        <v>3759</v>
      </c>
      <c r="AV168" t="s">
        <v>3760</v>
      </c>
      <c r="AW168" t="s">
        <v>3761</v>
      </c>
      <c r="AX168" t="s">
        <v>3762</v>
      </c>
      <c r="AY168" t="s">
        <v>3761</v>
      </c>
      <c r="AZ168" t="s">
        <v>3763</v>
      </c>
      <c r="BA168">
        <v>1.86</v>
      </c>
      <c r="BB168">
        <v>311.62</v>
      </c>
      <c r="BC168">
        <v>4.21</v>
      </c>
      <c r="BD168">
        <v>154.68</v>
      </c>
      <c r="BE168">
        <v>158.87</v>
      </c>
      <c r="BF168">
        <v>154.22999999999999</v>
      </c>
      <c r="BG168" t="s">
        <v>3764</v>
      </c>
      <c r="BH168" t="s">
        <v>3761</v>
      </c>
      <c r="BI168" t="s">
        <v>3765</v>
      </c>
      <c r="BJ168" t="s">
        <v>101</v>
      </c>
      <c r="BK168" t="s">
        <v>3766</v>
      </c>
      <c r="BL168" t="s">
        <v>3767</v>
      </c>
      <c r="BM168" t="s">
        <v>3768</v>
      </c>
      <c r="BN168" t="s">
        <v>2073</v>
      </c>
    </row>
    <row r="169" spans="1:66" x14ac:dyDescent="0.25">
      <c r="A169" t="str">
        <f>HYPERLINK("https://elite.finviz.com/quote.ashx?t=CDTX&amp;ty=c&amp;p=d&amp;b=1", "CDTX")</f>
        <v>CDTX</v>
      </c>
      <c r="B169">
        <v>7</v>
      </c>
      <c r="C169">
        <v>149.72999999999999</v>
      </c>
      <c r="D169">
        <v>71.78</v>
      </c>
      <c r="E169" t="s">
        <v>3769</v>
      </c>
      <c r="F169" t="s">
        <v>67</v>
      </c>
      <c r="G169" t="s">
        <v>428</v>
      </c>
      <c r="H169" t="s">
        <v>429</v>
      </c>
      <c r="I169" t="s">
        <v>70</v>
      </c>
      <c r="J169" t="s">
        <v>321</v>
      </c>
      <c r="K169">
        <v>2189.92</v>
      </c>
      <c r="L169">
        <v>86.36</v>
      </c>
      <c r="M169" t="s">
        <v>2609</v>
      </c>
      <c r="N169">
        <v>377585</v>
      </c>
      <c r="S169">
        <v>4</v>
      </c>
      <c r="AA169">
        <v>-11.14</v>
      </c>
      <c r="AB169" t="s">
        <v>3770</v>
      </c>
      <c r="AC169" t="s">
        <v>2509</v>
      </c>
      <c r="AD169" t="s">
        <v>3771</v>
      </c>
      <c r="AE169" t="s">
        <v>579</v>
      </c>
      <c r="AF169" t="s">
        <v>3772</v>
      </c>
      <c r="AG169" t="s">
        <v>3773</v>
      </c>
      <c r="AH169" t="s">
        <v>579</v>
      </c>
      <c r="AI169" t="s">
        <v>3774</v>
      </c>
      <c r="AJ169" t="s">
        <v>3274</v>
      </c>
      <c r="AK169" t="s">
        <v>3775</v>
      </c>
      <c r="AL169">
        <v>16.45</v>
      </c>
      <c r="AM169">
        <v>16.45</v>
      </c>
      <c r="AN169">
        <v>0</v>
      </c>
      <c r="AR169" t="s">
        <v>3776</v>
      </c>
      <c r="AS169" t="s">
        <v>3777</v>
      </c>
      <c r="AT169" t="s">
        <v>1737</v>
      </c>
      <c r="AU169" t="s">
        <v>3778</v>
      </c>
      <c r="AV169" t="s">
        <v>3779</v>
      </c>
      <c r="AW169" t="s">
        <v>3780</v>
      </c>
      <c r="AX169" t="s">
        <v>1658</v>
      </c>
      <c r="AY169" t="s">
        <v>3780</v>
      </c>
      <c r="AZ169" t="s">
        <v>3781</v>
      </c>
      <c r="BA169">
        <v>1</v>
      </c>
      <c r="BB169">
        <v>740.41</v>
      </c>
      <c r="BC169">
        <v>1.8</v>
      </c>
      <c r="BD169">
        <v>84.76</v>
      </c>
      <c r="BE169">
        <v>87.4</v>
      </c>
      <c r="BF169">
        <v>83.5</v>
      </c>
      <c r="BG169" t="s">
        <v>3782</v>
      </c>
      <c r="BH169" t="s">
        <v>3783</v>
      </c>
      <c r="BI169" t="s">
        <v>3784</v>
      </c>
      <c r="BJ169" t="s">
        <v>101</v>
      </c>
      <c r="BK169" t="s">
        <v>3785</v>
      </c>
      <c r="BL169" t="s">
        <v>3786</v>
      </c>
      <c r="BM169" t="s">
        <v>3787</v>
      </c>
      <c r="BN169" t="s">
        <v>2073</v>
      </c>
    </row>
    <row r="170" spans="1:66" x14ac:dyDescent="0.25">
      <c r="A170" t="str">
        <f>HYPERLINK("https://elite.finviz.com/quote.ashx?t=LINK&amp;ty=c&amp;p=d&amp;b=1", "LINK")</f>
        <v>LINK</v>
      </c>
      <c r="B170">
        <v>7</v>
      </c>
      <c r="C170">
        <v>149.72999999999999</v>
      </c>
      <c r="D170">
        <v>72.36</v>
      </c>
      <c r="E170" t="s">
        <v>3788</v>
      </c>
      <c r="F170" t="s">
        <v>107</v>
      </c>
      <c r="G170" t="s">
        <v>108</v>
      </c>
      <c r="H170" t="s">
        <v>3346</v>
      </c>
      <c r="I170" t="s">
        <v>70</v>
      </c>
      <c r="J170" t="s">
        <v>321</v>
      </c>
      <c r="K170">
        <v>141.85</v>
      </c>
      <c r="L170">
        <v>14.38</v>
      </c>
      <c r="M170" t="s">
        <v>3789</v>
      </c>
      <c r="N170">
        <v>110200</v>
      </c>
      <c r="R170">
        <v>12.09</v>
      </c>
      <c r="S170">
        <v>14.13</v>
      </c>
      <c r="AA170">
        <v>-0.21</v>
      </c>
      <c r="AB170" t="s">
        <v>3790</v>
      </c>
      <c r="AC170" t="s">
        <v>3791</v>
      </c>
      <c r="AE170" t="s">
        <v>3792</v>
      </c>
      <c r="AF170" t="s">
        <v>1305</v>
      </c>
      <c r="AG170" t="s">
        <v>3793</v>
      </c>
      <c r="AH170" t="s">
        <v>3794</v>
      </c>
      <c r="AI170" t="s">
        <v>1647</v>
      </c>
      <c r="AJ170" t="s">
        <v>164</v>
      </c>
      <c r="AK170" t="s">
        <v>2509</v>
      </c>
      <c r="AL170">
        <v>4.5199999999999996</v>
      </c>
      <c r="AM170">
        <v>3.36</v>
      </c>
      <c r="AN170">
        <v>0.1</v>
      </c>
      <c r="AO170" t="s">
        <v>113</v>
      </c>
      <c r="AP170" t="s">
        <v>3795</v>
      </c>
      <c r="AQ170" t="s">
        <v>3796</v>
      </c>
      <c r="AR170" t="s">
        <v>3797</v>
      </c>
      <c r="AS170" t="s">
        <v>3798</v>
      </c>
      <c r="AT170" t="s">
        <v>3799</v>
      </c>
      <c r="AU170" t="s">
        <v>3800</v>
      </c>
      <c r="AV170" t="s">
        <v>3801</v>
      </c>
      <c r="AW170" t="s">
        <v>1714</v>
      </c>
      <c r="AX170" t="s">
        <v>3802</v>
      </c>
      <c r="AY170" t="s">
        <v>1714</v>
      </c>
      <c r="AZ170" t="s">
        <v>3803</v>
      </c>
      <c r="BA170">
        <v>1</v>
      </c>
      <c r="BB170">
        <v>75.180000000000007</v>
      </c>
      <c r="BC170">
        <v>5.16</v>
      </c>
      <c r="BD170">
        <v>12.6</v>
      </c>
      <c r="BE170">
        <v>14.74</v>
      </c>
      <c r="BF170">
        <v>12.44</v>
      </c>
      <c r="BG170" t="s">
        <v>3804</v>
      </c>
      <c r="BH170" t="s">
        <v>3805</v>
      </c>
      <c r="BI170" t="s">
        <v>3806</v>
      </c>
      <c r="BJ170" t="s">
        <v>101</v>
      </c>
      <c r="BK170" t="s">
        <v>3807</v>
      </c>
      <c r="BL170" t="s">
        <v>3808</v>
      </c>
      <c r="BM170" t="s">
        <v>3809</v>
      </c>
      <c r="BN170" t="s">
        <v>2073</v>
      </c>
    </row>
    <row r="171" spans="1:66" x14ac:dyDescent="0.25">
      <c r="A171" t="str">
        <f>HYPERLINK("https://elite.finviz.com/quote.ashx?t=HOWL&amp;ty=c&amp;p=d&amp;b=1", "HOWL")</f>
        <v>HOWL</v>
      </c>
      <c r="B171">
        <v>7</v>
      </c>
      <c r="C171">
        <v>149.72999999999999</v>
      </c>
      <c r="D171">
        <v>74.099999999999994</v>
      </c>
      <c r="E171" t="s">
        <v>3810</v>
      </c>
      <c r="F171" t="s">
        <v>107</v>
      </c>
      <c r="G171" t="s">
        <v>428</v>
      </c>
      <c r="H171" t="s">
        <v>429</v>
      </c>
      <c r="I171" t="s">
        <v>70</v>
      </c>
      <c r="J171" t="s">
        <v>321</v>
      </c>
      <c r="K171">
        <v>90.31</v>
      </c>
      <c r="L171">
        <v>1.98</v>
      </c>
      <c r="M171" t="s">
        <v>3811</v>
      </c>
      <c r="N171">
        <v>508211</v>
      </c>
      <c r="S171">
        <v>2.16</v>
      </c>
      <c r="AA171">
        <v>-1.64</v>
      </c>
      <c r="AB171" t="s">
        <v>3812</v>
      </c>
      <c r="AC171" t="s">
        <v>3813</v>
      </c>
      <c r="AD171" t="s">
        <v>3814</v>
      </c>
      <c r="AE171" t="s">
        <v>579</v>
      </c>
      <c r="AH171" t="s">
        <v>579</v>
      </c>
      <c r="AI171" t="s">
        <v>3815</v>
      </c>
      <c r="AJ171" t="s">
        <v>2235</v>
      </c>
      <c r="AK171" t="s">
        <v>3816</v>
      </c>
      <c r="AL171">
        <v>5.3</v>
      </c>
      <c r="AM171">
        <v>5.3</v>
      </c>
      <c r="AN171">
        <v>0.9</v>
      </c>
      <c r="AR171" t="s">
        <v>3817</v>
      </c>
      <c r="AS171" t="s">
        <v>3818</v>
      </c>
      <c r="AT171" t="s">
        <v>3819</v>
      </c>
      <c r="AU171" t="s">
        <v>3820</v>
      </c>
      <c r="AV171" t="s">
        <v>3821</v>
      </c>
      <c r="AW171" t="s">
        <v>3822</v>
      </c>
      <c r="AX171" t="s">
        <v>3823</v>
      </c>
      <c r="AY171" t="s">
        <v>3824</v>
      </c>
      <c r="AZ171" t="s">
        <v>3825</v>
      </c>
      <c r="BA171">
        <v>1</v>
      </c>
      <c r="BB171">
        <v>433.02</v>
      </c>
      <c r="BC171">
        <v>4.13</v>
      </c>
      <c r="BD171">
        <v>2.02</v>
      </c>
      <c r="BE171">
        <v>2.12</v>
      </c>
      <c r="BF171">
        <v>1.92</v>
      </c>
      <c r="BG171" t="s">
        <v>3826</v>
      </c>
      <c r="BH171" t="s">
        <v>3827</v>
      </c>
      <c r="BI171" t="s">
        <v>3825</v>
      </c>
      <c r="BJ171" t="s">
        <v>101</v>
      </c>
      <c r="BK171" t="s">
        <v>3828</v>
      </c>
      <c r="BL171" t="s">
        <v>3829</v>
      </c>
      <c r="BM171" t="s">
        <v>72</v>
      </c>
      <c r="BN171" t="s">
        <v>2073</v>
      </c>
    </row>
    <row r="172" spans="1:66" x14ac:dyDescent="0.25">
      <c r="A172" t="str">
        <f>HYPERLINK("https://elite.finviz.com/quote.ashx?t=FSFG&amp;ty=c&amp;p=d&amp;b=1", "FSFG")</f>
        <v>FSFG</v>
      </c>
      <c r="B172">
        <v>7</v>
      </c>
      <c r="C172">
        <v>149.72999999999999</v>
      </c>
      <c r="D172">
        <v>75.37</v>
      </c>
      <c r="E172" t="s">
        <v>3830</v>
      </c>
      <c r="F172" t="s">
        <v>67</v>
      </c>
      <c r="G172" t="s">
        <v>550</v>
      </c>
      <c r="H172" t="s">
        <v>697</v>
      </c>
      <c r="I172" t="s">
        <v>70</v>
      </c>
      <c r="J172" t="s">
        <v>321</v>
      </c>
      <c r="K172">
        <v>223.46</v>
      </c>
      <c r="L172">
        <v>32.03</v>
      </c>
      <c r="M172" t="s">
        <v>3831</v>
      </c>
      <c r="N172">
        <v>23395</v>
      </c>
      <c r="O172">
        <v>10.33</v>
      </c>
      <c r="P172">
        <v>9.1999999999999993</v>
      </c>
      <c r="R172">
        <v>1.56</v>
      </c>
      <c r="S172">
        <v>1.22</v>
      </c>
      <c r="T172" t="s">
        <v>3832</v>
      </c>
      <c r="U172">
        <v>0.63</v>
      </c>
      <c r="V172" t="s">
        <v>3833</v>
      </c>
      <c r="W172" t="s">
        <v>296</v>
      </c>
      <c r="X172" t="s">
        <v>3834</v>
      </c>
      <c r="Y172" t="s">
        <v>3835</v>
      </c>
      <c r="Z172" t="s">
        <v>1908</v>
      </c>
      <c r="AA172">
        <v>3.1</v>
      </c>
      <c r="AB172" t="s">
        <v>3836</v>
      </c>
      <c r="AC172" t="s">
        <v>3315</v>
      </c>
      <c r="AE172" t="s">
        <v>3837</v>
      </c>
      <c r="AF172" t="s">
        <v>3838</v>
      </c>
      <c r="AG172" t="s">
        <v>2967</v>
      </c>
      <c r="AH172" t="s">
        <v>3566</v>
      </c>
      <c r="AI172" t="s">
        <v>2947</v>
      </c>
      <c r="AJ172" t="s">
        <v>164</v>
      </c>
      <c r="AK172" t="s">
        <v>3839</v>
      </c>
      <c r="AL172">
        <v>0.06</v>
      </c>
      <c r="AN172">
        <v>2.52</v>
      </c>
      <c r="AP172" t="s">
        <v>3840</v>
      </c>
      <c r="AQ172" t="s">
        <v>3841</v>
      </c>
      <c r="AR172" t="s">
        <v>2619</v>
      </c>
      <c r="AS172" t="s">
        <v>3842</v>
      </c>
      <c r="AT172" t="s">
        <v>310</v>
      </c>
      <c r="AU172" t="s">
        <v>3843</v>
      </c>
      <c r="AV172" t="s">
        <v>3844</v>
      </c>
      <c r="AW172" t="s">
        <v>3845</v>
      </c>
      <c r="AX172" t="s">
        <v>3846</v>
      </c>
      <c r="AY172" t="s">
        <v>3845</v>
      </c>
      <c r="AZ172" t="s">
        <v>3847</v>
      </c>
      <c r="BA172">
        <v>1</v>
      </c>
      <c r="BB172">
        <v>32.78</v>
      </c>
      <c r="BC172">
        <v>2.54</v>
      </c>
      <c r="BD172">
        <v>32.46</v>
      </c>
      <c r="BE172">
        <v>32.96</v>
      </c>
      <c r="BF172">
        <v>32.049999999999997</v>
      </c>
      <c r="BG172" t="s">
        <v>3848</v>
      </c>
      <c r="BH172" t="s">
        <v>3845</v>
      </c>
      <c r="BI172" t="s">
        <v>3849</v>
      </c>
      <c r="BJ172" t="s">
        <v>101</v>
      </c>
      <c r="BK172" t="s">
        <v>3850</v>
      </c>
      <c r="BL172" t="s">
        <v>3749</v>
      </c>
      <c r="BM172" t="s">
        <v>3851</v>
      </c>
      <c r="BN172" t="s">
        <v>2073</v>
      </c>
    </row>
    <row r="173" spans="1:66" x14ac:dyDescent="0.25">
      <c r="A173" t="str">
        <f>HYPERLINK("https://elite.finviz.com/quote.ashx?t=WLAC&amp;ty=c&amp;p=d&amp;b=1", "WLAC")</f>
        <v>WLAC</v>
      </c>
      <c r="B173">
        <v>7</v>
      </c>
      <c r="C173">
        <v>149.72999999999999</v>
      </c>
      <c r="D173">
        <v>77.290000000000006</v>
      </c>
      <c r="E173" t="s">
        <v>3852</v>
      </c>
      <c r="F173" t="s">
        <v>107</v>
      </c>
      <c r="G173" t="s">
        <v>550</v>
      </c>
      <c r="H173" t="s">
        <v>2120</v>
      </c>
      <c r="I173" t="s">
        <v>70</v>
      </c>
      <c r="J173" t="s">
        <v>321</v>
      </c>
      <c r="K173">
        <v>214.27</v>
      </c>
      <c r="L173">
        <v>12.4</v>
      </c>
      <c r="M173" t="s">
        <v>3853</v>
      </c>
      <c r="N173">
        <v>362039</v>
      </c>
      <c r="O173">
        <v>83.5</v>
      </c>
      <c r="S173">
        <v>1.69</v>
      </c>
      <c r="Z173" t="s">
        <v>164</v>
      </c>
      <c r="AA173">
        <v>0.15</v>
      </c>
      <c r="AJ173" t="s">
        <v>164</v>
      </c>
      <c r="AK173" t="s">
        <v>3854</v>
      </c>
      <c r="AL173">
        <v>15.21</v>
      </c>
      <c r="AM173">
        <v>15.21</v>
      </c>
      <c r="AN173">
        <v>0</v>
      </c>
      <c r="AR173" t="s">
        <v>3855</v>
      </c>
      <c r="AS173" t="s">
        <v>3856</v>
      </c>
      <c r="AT173" t="s">
        <v>3857</v>
      </c>
      <c r="AU173" t="s">
        <v>757</v>
      </c>
      <c r="AV173" t="s">
        <v>3858</v>
      </c>
      <c r="AW173" t="s">
        <v>3859</v>
      </c>
      <c r="AX173" t="s">
        <v>3860</v>
      </c>
      <c r="AY173" t="s">
        <v>3859</v>
      </c>
      <c r="AZ173" t="s">
        <v>3861</v>
      </c>
      <c r="BB173">
        <v>320.17</v>
      </c>
      <c r="BC173">
        <v>3.98</v>
      </c>
      <c r="BD173">
        <v>12.93</v>
      </c>
      <c r="BE173">
        <v>12.92</v>
      </c>
      <c r="BF173">
        <v>12.11</v>
      </c>
      <c r="BG173" t="s">
        <v>3862</v>
      </c>
      <c r="BH173" t="s">
        <v>3859</v>
      </c>
      <c r="BI173" t="s">
        <v>3861</v>
      </c>
      <c r="BJ173" t="s">
        <v>101</v>
      </c>
      <c r="BK173" t="s">
        <v>3863</v>
      </c>
      <c r="BL173" t="s">
        <v>3864</v>
      </c>
      <c r="BN173" t="s">
        <v>2073</v>
      </c>
    </row>
    <row r="174" spans="1:66" x14ac:dyDescent="0.25">
      <c r="A174" t="str">
        <f>HYPERLINK("https://elite.finviz.com/quote.ashx?t=NVFY&amp;ty=c&amp;p=d&amp;b=1", "NVFY")</f>
        <v>NVFY</v>
      </c>
      <c r="B174">
        <v>7</v>
      </c>
      <c r="C174">
        <v>149.72999999999999</v>
      </c>
      <c r="D174">
        <v>78.72</v>
      </c>
      <c r="E174" t="s">
        <v>3865</v>
      </c>
      <c r="F174" t="s">
        <v>107</v>
      </c>
      <c r="G174" t="s">
        <v>813</v>
      </c>
      <c r="H174" t="s">
        <v>3866</v>
      </c>
      <c r="I174" t="s">
        <v>70</v>
      </c>
      <c r="J174" t="s">
        <v>321</v>
      </c>
      <c r="K174">
        <v>176.34</v>
      </c>
      <c r="L174">
        <v>5.15</v>
      </c>
      <c r="M174" t="s">
        <v>1025</v>
      </c>
      <c r="N174">
        <v>712441</v>
      </c>
      <c r="R174">
        <v>17.98</v>
      </c>
      <c r="S174">
        <v>10.83</v>
      </c>
      <c r="AA174">
        <v>-0.92</v>
      </c>
      <c r="AB174" t="s">
        <v>3867</v>
      </c>
      <c r="AC174" t="s">
        <v>3868</v>
      </c>
      <c r="AE174" t="s">
        <v>1249</v>
      </c>
      <c r="AF174" t="s">
        <v>3869</v>
      </c>
      <c r="AG174" t="s">
        <v>3870</v>
      </c>
      <c r="AH174" t="s">
        <v>93</v>
      </c>
      <c r="AJ174" t="s">
        <v>164</v>
      </c>
      <c r="AK174" t="s">
        <v>3871</v>
      </c>
      <c r="AL174">
        <v>2.2799999999999998</v>
      </c>
      <c r="AM174">
        <v>0.18</v>
      </c>
      <c r="AN174">
        <v>0.27</v>
      </c>
      <c r="AO174" t="s">
        <v>1073</v>
      </c>
      <c r="AP174" t="s">
        <v>3872</v>
      </c>
      <c r="AQ174" t="s">
        <v>3873</v>
      </c>
      <c r="AR174" t="s">
        <v>3874</v>
      </c>
      <c r="AS174" t="s">
        <v>3875</v>
      </c>
      <c r="AT174" t="s">
        <v>2912</v>
      </c>
      <c r="AU174" t="s">
        <v>3876</v>
      </c>
      <c r="AV174" t="s">
        <v>3877</v>
      </c>
      <c r="AW174" t="s">
        <v>3096</v>
      </c>
      <c r="AX174" t="s">
        <v>3878</v>
      </c>
      <c r="AY174" t="s">
        <v>3096</v>
      </c>
      <c r="AZ174" t="s">
        <v>3879</v>
      </c>
      <c r="BB174">
        <v>861.84</v>
      </c>
      <c r="BC174">
        <v>2.91</v>
      </c>
      <c r="BD174">
        <v>5.08</v>
      </c>
      <c r="BE174">
        <v>5.24</v>
      </c>
      <c r="BF174">
        <v>5.08</v>
      </c>
      <c r="BG174" t="s">
        <v>3880</v>
      </c>
      <c r="BH174" t="s">
        <v>3881</v>
      </c>
      <c r="BI174" t="s">
        <v>3879</v>
      </c>
      <c r="BJ174" t="s">
        <v>101</v>
      </c>
      <c r="BK174" t="s">
        <v>3882</v>
      </c>
      <c r="BL174" t="s">
        <v>3883</v>
      </c>
      <c r="BM174" t="s">
        <v>3884</v>
      </c>
      <c r="BN174" t="s">
        <v>2073</v>
      </c>
    </row>
    <row r="175" spans="1:66" x14ac:dyDescent="0.25">
      <c r="A175" t="str">
        <f>HYPERLINK("https://elite.finviz.com/quote.ashx?t=DLXY&amp;ty=c&amp;p=d&amp;b=1", "DLXY")</f>
        <v>DLXY</v>
      </c>
      <c r="B175">
        <v>7</v>
      </c>
      <c r="C175">
        <v>149.72999999999999</v>
      </c>
      <c r="D175">
        <v>79.989999999999995</v>
      </c>
      <c r="E175" t="s">
        <v>3885</v>
      </c>
      <c r="F175" t="s">
        <v>107</v>
      </c>
      <c r="G175" t="s">
        <v>1048</v>
      </c>
      <c r="H175" t="s">
        <v>3886</v>
      </c>
      <c r="I175" t="s">
        <v>70</v>
      </c>
      <c r="J175" t="s">
        <v>321</v>
      </c>
      <c r="L175">
        <v>6.61</v>
      </c>
      <c r="M175" t="s">
        <v>183</v>
      </c>
      <c r="N175">
        <v>496577</v>
      </c>
      <c r="AR175" t="s">
        <v>2985</v>
      </c>
      <c r="AS175" t="s">
        <v>3887</v>
      </c>
      <c r="AT175" t="s">
        <v>3888</v>
      </c>
      <c r="AU175" t="s">
        <v>3889</v>
      </c>
      <c r="AV175" t="s">
        <v>1670</v>
      </c>
      <c r="AW175" t="s">
        <v>3890</v>
      </c>
      <c r="AX175" t="s">
        <v>3891</v>
      </c>
      <c r="AY175" t="s">
        <v>3892</v>
      </c>
      <c r="AZ175" t="s">
        <v>3893</v>
      </c>
      <c r="BB175">
        <v>331.3</v>
      </c>
      <c r="BC175">
        <v>5.28</v>
      </c>
      <c r="BD175">
        <v>6.6</v>
      </c>
      <c r="BE175">
        <v>7</v>
      </c>
      <c r="BF175">
        <v>6.56</v>
      </c>
      <c r="BG175" t="s">
        <v>3894</v>
      </c>
      <c r="BH175" t="s">
        <v>3892</v>
      </c>
      <c r="BI175" t="s">
        <v>3893</v>
      </c>
      <c r="BJ175" t="s">
        <v>101</v>
      </c>
      <c r="BN175" t="s">
        <v>2073</v>
      </c>
    </row>
    <row r="176" spans="1:66" x14ac:dyDescent="0.25">
      <c r="A176" t="str">
        <f>HYPERLINK("https://elite.finviz.com/quote.ashx?t=MNPR&amp;ty=c&amp;p=d&amp;b=1", "MNPR")</f>
        <v>MNPR</v>
      </c>
      <c r="B176">
        <v>7</v>
      </c>
      <c r="C176">
        <v>149.72999999999999</v>
      </c>
      <c r="D176">
        <v>80.790000000000006</v>
      </c>
      <c r="E176" t="s">
        <v>3895</v>
      </c>
      <c r="F176" t="s">
        <v>67</v>
      </c>
      <c r="G176" t="s">
        <v>428</v>
      </c>
      <c r="H176" t="s">
        <v>429</v>
      </c>
      <c r="I176" t="s">
        <v>70</v>
      </c>
      <c r="J176" t="s">
        <v>321</v>
      </c>
      <c r="K176">
        <v>475.09</v>
      </c>
      <c r="L176">
        <v>77</v>
      </c>
      <c r="M176" t="s">
        <v>3896</v>
      </c>
      <c r="N176">
        <v>26383</v>
      </c>
      <c r="S176">
        <v>9.0399999999999991</v>
      </c>
      <c r="AA176">
        <v>-3.85</v>
      </c>
      <c r="AB176" t="s">
        <v>3897</v>
      </c>
      <c r="AC176" t="s">
        <v>3898</v>
      </c>
      <c r="AD176" t="s">
        <v>1115</v>
      </c>
      <c r="AI176" t="s">
        <v>3899</v>
      </c>
      <c r="AJ176" t="s">
        <v>2149</v>
      </c>
      <c r="AK176" t="s">
        <v>3900</v>
      </c>
      <c r="AL176">
        <v>33.94</v>
      </c>
      <c r="AM176">
        <v>33.94</v>
      </c>
      <c r="AN176">
        <v>0</v>
      </c>
      <c r="AR176" t="s">
        <v>1532</v>
      </c>
      <c r="AS176" t="s">
        <v>3901</v>
      </c>
      <c r="AT176" t="s">
        <v>3902</v>
      </c>
      <c r="AU176" t="s">
        <v>3903</v>
      </c>
      <c r="AV176" t="s">
        <v>3904</v>
      </c>
      <c r="AW176" t="s">
        <v>3905</v>
      </c>
      <c r="AX176" t="s">
        <v>3906</v>
      </c>
      <c r="AY176" t="s">
        <v>3905</v>
      </c>
      <c r="AZ176" t="s">
        <v>3907</v>
      </c>
      <c r="BA176">
        <v>1</v>
      </c>
      <c r="BB176">
        <v>51.32</v>
      </c>
      <c r="BC176">
        <v>1.81</v>
      </c>
      <c r="BD176">
        <v>77.44</v>
      </c>
      <c r="BE176">
        <v>78.650000000000006</v>
      </c>
      <c r="BF176">
        <v>76.47</v>
      </c>
      <c r="BG176" t="s">
        <v>3908</v>
      </c>
      <c r="BH176" t="s">
        <v>3909</v>
      </c>
      <c r="BI176" t="s">
        <v>3910</v>
      </c>
      <c r="BJ176" t="s">
        <v>101</v>
      </c>
      <c r="BK176" t="s">
        <v>3911</v>
      </c>
      <c r="BL176" t="s">
        <v>3912</v>
      </c>
      <c r="BM176" t="s">
        <v>3913</v>
      </c>
      <c r="BN176" t="s">
        <v>2073</v>
      </c>
    </row>
    <row r="177" spans="1:66" x14ac:dyDescent="0.25">
      <c r="A177" t="str">
        <f>HYPERLINK("https://elite.finviz.com/quote.ashx?t=SBR&amp;ty=c&amp;p=d&amp;b=1", "SBR")</f>
        <v>SBR</v>
      </c>
      <c r="B177">
        <v>7</v>
      </c>
      <c r="C177">
        <v>149.72999999999999</v>
      </c>
      <c r="D177">
        <v>81.63</v>
      </c>
      <c r="E177" t="s">
        <v>3914</v>
      </c>
      <c r="F177" t="s">
        <v>107</v>
      </c>
      <c r="G177" t="s">
        <v>1048</v>
      </c>
      <c r="H177" t="s">
        <v>3915</v>
      </c>
      <c r="I177" t="s">
        <v>70</v>
      </c>
      <c r="J177" t="s">
        <v>71</v>
      </c>
      <c r="K177">
        <v>1216.49</v>
      </c>
      <c r="L177">
        <v>83.44</v>
      </c>
      <c r="M177" t="s">
        <v>3916</v>
      </c>
      <c r="N177">
        <v>17831</v>
      </c>
      <c r="O177">
        <v>16.53</v>
      </c>
      <c r="R177">
        <v>15.66</v>
      </c>
      <c r="S177">
        <v>168.77</v>
      </c>
      <c r="T177" t="s">
        <v>1254</v>
      </c>
      <c r="U177">
        <v>5.5</v>
      </c>
      <c r="V177" t="s">
        <v>3833</v>
      </c>
      <c r="W177" t="s">
        <v>3917</v>
      </c>
      <c r="X177" t="s">
        <v>3470</v>
      </c>
      <c r="Y177" t="s">
        <v>3918</v>
      </c>
      <c r="Z177" t="s">
        <v>3919</v>
      </c>
      <c r="AA177">
        <v>5.05</v>
      </c>
      <c r="AB177" t="s">
        <v>3920</v>
      </c>
      <c r="AC177" t="s">
        <v>3921</v>
      </c>
      <c r="AE177" t="s">
        <v>3922</v>
      </c>
      <c r="AF177" t="s">
        <v>2514</v>
      </c>
      <c r="AG177" t="s">
        <v>3923</v>
      </c>
      <c r="AH177" t="s">
        <v>172</v>
      </c>
      <c r="AJ177" t="s">
        <v>164</v>
      </c>
      <c r="AK177" t="s">
        <v>3924</v>
      </c>
      <c r="AL177">
        <v>10.44</v>
      </c>
      <c r="AM177">
        <v>10.44</v>
      </c>
      <c r="AN177">
        <v>0</v>
      </c>
      <c r="AP177" t="s">
        <v>2989</v>
      </c>
      <c r="AQ177" t="s">
        <v>2989</v>
      </c>
      <c r="AR177" t="s">
        <v>1439</v>
      </c>
      <c r="AS177" t="s">
        <v>3925</v>
      </c>
      <c r="AT177" t="s">
        <v>1515</v>
      </c>
      <c r="AU177" t="s">
        <v>2470</v>
      </c>
      <c r="AV177" t="s">
        <v>3926</v>
      </c>
      <c r="AW177" t="s">
        <v>3671</v>
      </c>
      <c r="AX177" t="s">
        <v>3927</v>
      </c>
      <c r="AY177" t="s">
        <v>3671</v>
      </c>
      <c r="AZ177" t="s">
        <v>1117</v>
      </c>
      <c r="BB177">
        <v>37.51</v>
      </c>
      <c r="BC177">
        <v>1.67</v>
      </c>
      <c r="BD177">
        <v>81.67</v>
      </c>
      <c r="BE177">
        <v>83.24</v>
      </c>
      <c r="BF177">
        <v>80.77</v>
      </c>
      <c r="BG177" t="s">
        <v>3928</v>
      </c>
      <c r="BH177" t="s">
        <v>3929</v>
      </c>
      <c r="BI177" t="s">
        <v>3930</v>
      </c>
      <c r="BJ177" t="s">
        <v>101</v>
      </c>
      <c r="BK177" t="s">
        <v>2129</v>
      </c>
      <c r="BL177" t="s">
        <v>3931</v>
      </c>
      <c r="BM177" t="s">
        <v>3932</v>
      </c>
      <c r="BN177" t="s">
        <v>2073</v>
      </c>
    </row>
    <row r="178" spans="1:66" x14ac:dyDescent="0.25">
      <c r="A178" t="str">
        <f>HYPERLINK("https://elite.finviz.com/quote.ashx?t=TENX&amp;ty=c&amp;p=d&amp;b=1", "TENX")</f>
        <v>TENX</v>
      </c>
      <c r="B178">
        <v>7</v>
      </c>
      <c r="C178">
        <v>149.72999999999999</v>
      </c>
      <c r="D178">
        <v>84.58</v>
      </c>
      <c r="E178" t="s">
        <v>3933</v>
      </c>
      <c r="F178" t="s">
        <v>107</v>
      </c>
      <c r="G178" t="s">
        <v>428</v>
      </c>
      <c r="H178" t="s">
        <v>429</v>
      </c>
      <c r="I178" t="s">
        <v>70</v>
      </c>
      <c r="J178" t="s">
        <v>321</v>
      </c>
      <c r="K178">
        <v>32.159999999999997</v>
      </c>
      <c r="L178">
        <v>7.05</v>
      </c>
      <c r="M178" t="s">
        <v>2495</v>
      </c>
      <c r="N178">
        <v>22401</v>
      </c>
      <c r="S178">
        <v>0.28000000000000003</v>
      </c>
      <c r="AA178">
        <v>-0.92</v>
      </c>
      <c r="AB178" t="s">
        <v>3934</v>
      </c>
      <c r="AC178" t="s">
        <v>3935</v>
      </c>
      <c r="AD178" t="s">
        <v>3936</v>
      </c>
      <c r="AI178" t="s">
        <v>3937</v>
      </c>
      <c r="AJ178" t="s">
        <v>164</v>
      </c>
      <c r="AK178" t="s">
        <v>3938</v>
      </c>
      <c r="AL178">
        <v>41.89</v>
      </c>
      <c r="AM178">
        <v>41.89</v>
      </c>
      <c r="AN178">
        <v>0</v>
      </c>
      <c r="AR178" t="s">
        <v>2811</v>
      </c>
      <c r="AS178" t="s">
        <v>305</v>
      </c>
      <c r="AT178" t="s">
        <v>333</v>
      </c>
      <c r="AU178" t="s">
        <v>1601</v>
      </c>
      <c r="AV178" t="s">
        <v>3939</v>
      </c>
      <c r="AW178" t="s">
        <v>3940</v>
      </c>
      <c r="AX178" t="s">
        <v>1986</v>
      </c>
      <c r="AY178" t="s">
        <v>3941</v>
      </c>
      <c r="AZ178" t="s">
        <v>3942</v>
      </c>
      <c r="BA178">
        <v>1</v>
      </c>
      <c r="BB178">
        <v>44.55</v>
      </c>
      <c r="BC178">
        <v>1.79</v>
      </c>
      <c r="BD178">
        <v>6.81</v>
      </c>
      <c r="BE178">
        <v>7.05</v>
      </c>
      <c r="BF178">
        <v>6.81</v>
      </c>
      <c r="BG178" t="s">
        <v>3943</v>
      </c>
      <c r="BH178" t="s">
        <v>579</v>
      </c>
      <c r="BI178" t="s">
        <v>3944</v>
      </c>
      <c r="BJ178" t="s">
        <v>101</v>
      </c>
      <c r="BK178" t="s">
        <v>2871</v>
      </c>
      <c r="BL178" t="s">
        <v>2711</v>
      </c>
      <c r="BM178" t="s">
        <v>3945</v>
      </c>
      <c r="BN178" t="s">
        <v>2073</v>
      </c>
    </row>
    <row r="179" spans="1:66" x14ac:dyDescent="0.25">
      <c r="A179" t="str">
        <f>HYPERLINK("https://elite.finviz.com/quote.ashx?t=TVA&amp;ty=c&amp;p=d&amp;b=1", "TVA")</f>
        <v>TVA</v>
      </c>
      <c r="B179">
        <v>7</v>
      </c>
      <c r="C179">
        <v>149.72999999999999</v>
      </c>
      <c r="D179">
        <v>86.25</v>
      </c>
      <c r="E179" t="s">
        <v>3946</v>
      </c>
      <c r="F179" t="s">
        <v>107</v>
      </c>
      <c r="G179" t="s">
        <v>550</v>
      </c>
      <c r="H179" t="s">
        <v>2120</v>
      </c>
      <c r="I179" t="s">
        <v>70</v>
      </c>
      <c r="J179" t="s">
        <v>321</v>
      </c>
      <c r="K179">
        <v>320.10000000000002</v>
      </c>
      <c r="L179">
        <v>10.67</v>
      </c>
      <c r="M179" t="s">
        <v>2103</v>
      </c>
      <c r="N179">
        <v>524740</v>
      </c>
      <c r="O179">
        <v>112.32</v>
      </c>
      <c r="S179">
        <v>1.47</v>
      </c>
      <c r="AA179">
        <v>0.1</v>
      </c>
      <c r="AJ179" t="s">
        <v>164</v>
      </c>
      <c r="AK179" t="s">
        <v>3947</v>
      </c>
      <c r="AL179">
        <v>21.75</v>
      </c>
      <c r="AM179">
        <v>21.75</v>
      </c>
      <c r="AN179">
        <v>0</v>
      </c>
      <c r="AR179" t="s">
        <v>3446</v>
      </c>
      <c r="AS179" t="s">
        <v>211</v>
      </c>
      <c r="AT179" t="s">
        <v>121</v>
      </c>
      <c r="AU179" t="s">
        <v>3948</v>
      </c>
      <c r="AV179" t="s">
        <v>3949</v>
      </c>
      <c r="AW179" t="s">
        <v>3950</v>
      </c>
      <c r="AX179" t="s">
        <v>3951</v>
      </c>
      <c r="AY179" t="s">
        <v>3950</v>
      </c>
      <c r="AZ179" t="s">
        <v>3952</v>
      </c>
      <c r="BB179">
        <v>171.41</v>
      </c>
      <c r="BC179">
        <v>10.88</v>
      </c>
      <c r="BD179">
        <v>10.73</v>
      </c>
      <c r="BE179">
        <v>10.75</v>
      </c>
      <c r="BF179">
        <v>10.66</v>
      </c>
      <c r="BG179" t="s">
        <v>3953</v>
      </c>
      <c r="BH179" t="s">
        <v>3950</v>
      </c>
      <c r="BI179" t="s">
        <v>3952</v>
      </c>
      <c r="BJ179" t="s">
        <v>101</v>
      </c>
      <c r="BK179" t="s">
        <v>414</v>
      </c>
      <c r="BN179" t="s">
        <v>2073</v>
      </c>
    </row>
    <row r="180" spans="1:66" x14ac:dyDescent="0.25">
      <c r="A180" t="str">
        <f>HYPERLINK("https://elite.finviz.com/quote.ashx?t=EXOZ&amp;ty=c&amp;p=d&amp;b=1", "EXOZ")</f>
        <v>EXOZ</v>
      </c>
      <c r="B180">
        <v>7</v>
      </c>
      <c r="C180">
        <v>149.72999999999999</v>
      </c>
      <c r="D180">
        <v>86.32</v>
      </c>
      <c r="E180" t="s">
        <v>3954</v>
      </c>
      <c r="F180" t="s">
        <v>107</v>
      </c>
      <c r="G180" t="s">
        <v>428</v>
      </c>
      <c r="H180" t="s">
        <v>429</v>
      </c>
      <c r="I180" t="s">
        <v>70</v>
      </c>
      <c r="J180" t="s">
        <v>321</v>
      </c>
      <c r="K180">
        <v>138.44</v>
      </c>
      <c r="L180">
        <v>16.5</v>
      </c>
      <c r="M180" t="s">
        <v>3955</v>
      </c>
      <c r="N180">
        <v>4457</v>
      </c>
      <c r="S180">
        <v>19.13</v>
      </c>
      <c r="AA180">
        <v>-0.99</v>
      </c>
      <c r="AB180" t="s">
        <v>3956</v>
      </c>
      <c r="AJ180" t="s">
        <v>2215</v>
      </c>
      <c r="AK180" t="s">
        <v>3493</v>
      </c>
      <c r="AL180">
        <v>6.19</v>
      </c>
      <c r="AM180">
        <v>6.19</v>
      </c>
      <c r="AN180">
        <v>0.19</v>
      </c>
      <c r="AR180" t="s">
        <v>3957</v>
      </c>
      <c r="AS180" t="s">
        <v>3958</v>
      </c>
      <c r="AT180" t="s">
        <v>3959</v>
      </c>
      <c r="AU180" t="s">
        <v>3960</v>
      </c>
      <c r="AV180" t="s">
        <v>3961</v>
      </c>
      <c r="AW180" t="s">
        <v>3962</v>
      </c>
      <c r="AX180" t="s">
        <v>1241</v>
      </c>
      <c r="AY180" t="s">
        <v>3641</v>
      </c>
      <c r="AZ180" t="s">
        <v>3963</v>
      </c>
      <c r="BB180">
        <v>5.86</v>
      </c>
      <c r="BC180">
        <v>2.7</v>
      </c>
      <c r="BD180">
        <v>14.57</v>
      </c>
      <c r="BE180">
        <v>15.5</v>
      </c>
      <c r="BF180">
        <v>14.91</v>
      </c>
      <c r="BG180" t="s">
        <v>3964</v>
      </c>
      <c r="BH180" t="s">
        <v>3641</v>
      </c>
      <c r="BI180" t="s">
        <v>3963</v>
      </c>
      <c r="BJ180" t="s">
        <v>101</v>
      </c>
      <c r="BK180" t="s">
        <v>3747</v>
      </c>
      <c r="BL180" t="s">
        <v>3965</v>
      </c>
      <c r="BN180" t="s">
        <v>2073</v>
      </c>
    </row>
    <row r="181" spans="1:66" x14ac:dyDescent="0.25">
      <c r="A181" t="str">
        <f>HYPERLINK("https://elite.finviz.com/quote.ashx?t=CCCX&amp;ty=c&amp;p=d&amp;b=1", "CCCX")</f>
        <v>CCCX</v>
      </c>
      <c r="B181">
        <v>7</v>
      </c>
      <c r="C181">
        <v>149.72999999999999</v>
      </c>
      <c r="D181">
        <v>86.32</v>
      </c>
      <c r="E181" t="s">
        <v>3966</v>
      </c>
      <c r="F181" t="s">
        <v>107</v>
      </c>
      <c r="G181" t="s">
        <v>550</v>
      </c>
      <c r="H181" t="s">
        <v>2120</v>
      </c>
      <c r="I181" t="s">
        <v>70</v>
      </c>
      <c r="J181" t="s">
        <v>321</v>
      </c>
      <c r="K181">
        <v>683.68</v>
      </c>
      <c r="L181">
        <v>13.14</v>
      </c>
      <c r="M181" t="s">
        <v>3967</v>
      </c>
      <c r="N181">
        <v>774027</v>
      </c>
      <c r="S181">
        <v>1.65</v>
      </c>
      <c r="AJ181" t="s">
        <v>164</v>
      </c>
      <c r="AK181" t="s">
        <v>3449</v>
      </c>
      <c r="AL181">
        <v>15.89</v>
      </c>
      <c r="AM181">
        <v>15.89</v>
      </c>
      <c r="AN181">
        <v>0</v>
      </c>
      <c r="AR181" t="s">
        <v>2448</v>
      </c>
      <c r="AS181" t="s">
        <v>92</v>
      </c>
      <c r="AT181" t="s">
        <v>3968</v>
      </c>
      <c r="AU181" t="s">
        <v>1737</v>
      </c>
      <c r="AV181" t="s">
        <v>3969</v>
      </c>
      <c r="AW181" t="s">
        <v>681</v>
      </c>
      <c r="AX181" t="s">
        <v>3970</v>
      </c>
      <c r="AY181" t="s">
        <v>681</v>
      </c>
      <c r="AZ181" t="s">
        <v>3971</v>
      </c>
      <c r="BB181">
        <v>754.68</v>
      </c>
      <c r="BC181">
        <v>3.61</v>
      </c>
      <c r="BD181">
        <v>13.34</v>
      </c>
      <c r="BE181">
        <v>13.68</v>
      </c>
      <c r="BF181">
        <v>12.74</v>
      </c>
      <c r="BG181" t="s">
        <v>3972</v>
      </c>
      <c r="BH181" t="s">
        <v>681</v>
      </c>
      <c r="BI181" t="s">
        <v>3971</v>
      </c>
      <c r="BJ181" t="s">
        <v>101</v>
      </c>
      <c r="BN181" t="s">
        <v>2073</v>
      </c>
    </row>
    <row r="182" spans="1:66" x14ac:dyDescent="0.25">
      <c r="A182" t="str">
        <f>HYPERLINK("https://elite.finviz.com/quote.ashx?t=AMPY&amp;ty=c&amp;p=d&amp;b=1", "AMPY")</f>
        <v>AMPY</v>
      </c>
      <c r="B182">
        <v>7</v>
      </c>
      <c r="C182">
        <v>149.72999999999999</v>
      </c>
      <c r="D182">
        <v>86.42</v>
      </c>
      <c r="E182" t="s">
        <v>3973</v>
      </c>
      <c r="F182" t="s">
        <v>107</v>
      </c>
      <c r="G182" t="s">
        <v>1048</v>
      </c>
      <c r="H182" t="s">
        <v>1049</v>
      </c>
      <c r="I182" t="s">
        <v>70</v>
      </c>
      <c r="J182" t="s">
        <v>71</v>
      </c>
      <c r="K182">
        <v>249.07</v>
      </c>
      <c r="L182">
        <v>6.16</v>
      </c>
      <c r="M182" t="s">
        <v>896</v>
      </c>
      <c r="N182">
        <v>4438388</v>
      </c>
      <c r="O182">
        <v>16.71</v>
      </c>
      <c r="P182">
        <v>20.52</v>
      </c>
      <c r="R182">
        <v>0.89</v>
      </c>
      <c r="S182">
        <v>0.6</v>
      </c>
      <c r="V182" t="s">
        <v>3974</v>
      </c>
      <c r="Z182" t="s">
        <v>164</v>
      </c>
      <c r="AA182">
        <v>0.37</v>
      </c>
      <c r="AE182" t="s">
        <v>3975</v>
      </c>
      <c r="AF182" t="s">
        <v>1074</v>
      </c>
      <c r="AG182" t="s">
        <v>3976</v>
      </c>
      <c r="AH182" t="s">
        <v>3977</v>
      </c>
      <c r="AI182" t="s">
        <v>3978</v>
      </c>
      <c r="AJ182" t="s">
        <v>775</v>
      </c>
      <c r="AK182" t="s">
        <v>3979</v>
      </c>
      <c r="AL182">
        <v>0.84</v>
      </c>
      <c r="AM182">
        <v>0.84</v>
      </c>
      <c r="AN182">
        <v>0.33</v>
      </c>
      <c r="AO182" t="s">
        <v>3980</v>
      </c>
      <c r="AP182" t="s">
        <v>3126</v>
      </c>
      <c r="AQ182" t="s">
        <v>3981</v>
      </c>
      <c r="AR182" t="s">
        <v>3982</v>
      </c>
      <c r="AS182" t="s">
        <v>3983</v>
      </c>
      <c r="AT182" t="s">
        <v>3984</v>
      </c>
      <c r="AU182" t="s">
        <v>3985</v>
      </c>
      <c r="AV182" t="s">
        <v>3986</v>
      </c>
      <c r="AW182" t="s">
        <v>2276</v>
      </c>
      <c r="AX182" t="s">
        <v>3987</v>
      </c>
      <c r="AY182" t="s">
        <v>3988</v>
      </c>
      <c r="AZ182" t="s">
        <v>3989</v>
      </c>
      <c r="BA182">
        <v>1</v>
      </c>
      <c r="BB182">
        <v>958.85</v>
      </c>
      <c r="BC182">
        <v>16.309999999999999</v>
      </c>
      <c r="BD182">
        <v>5.84</v>
      </c>
      <c r="BE182">
        <v>6.55</v>
      </c>
      <c r="BF182">
        <v>6.05</v>
      </c>
      <c r="BG182" t="s">
        <v>3990</v>
      </c>
      <c r="BH182" t="s">
        <v>3991</v>
      </c>
      <c r="BI182" t="s">
        <v>3992</v>
      </c>
      <c r="BJ182" t="s">
        <v>101</v>
      </c>
      <c r="BK182" t="s">
        <v>3730</v>
      </c>
      <c r="BL182" t="s">
        <v>3993</v>
      </c>
      <c r="BM182" t="s">
        <v>3085</v>
      </c>
      <c r="BN182" t="s">
        <v>2073</v>
      </c>
    </row>
    <row r="183" spans="1:66" x14ac:dyDescent="0.25">
      <c r="A183" t="str">
        <f>HYPERLINK("https://elite.finviz.com/quote.ashx?t=CLPT&amp;ty=c&amp;p=d&amp;b=1", "CLPT")</f>
        <v>CLPT</v>
      </c>
      <c r="B183">
        <v>7</v>
      </c>
      <c r="C183">
        <v>149.72999999999999</v>
      </c>
      <c r="D183">
        <v>87.18</v>
      </c>
      <c r="E183" t="s">
        <v>3994</v>
      </c>
      <c r="F183" t="s">
        <v>67</v>
      </c>
      <c r="G183" t="s">
        <v>428</v>
      </c>
      <c r="H183" t="s">
        <v>2051</v>
      </c>
      <c r="I183" t="s">
        <v>70</v>
      </c>
      <c r="J183" t="s">
        <v>321</v>
      </c>
      <c r="K183">
        <v>557.75</v>
      </c>
      <c r="L183">
        <v>19.62</v>
      </c>
      <c r="M183" t="s">
        <v>1202</v>
      </c>
      <c r="N183">
        <v>577630</v>
      </c>
      <c r="R183">
        <v>16.600000000000001</v>
      </c>
      <c r="S183">
        <v>28.25</v>
      </c>
      <c r="AA183">
        <v>-0.8</v>
      </c>
      <c r="AB183" t="s">
        <v>2294</v>
      </c>
      <c r="AC183" t="s">
        <v>3995</v>
      </c>
      <c r="AE183" t="s">
        <v>2928</v>
      </c>
      <c r="AF183" t="s">
        <v>3996</v>
      </c>
      <c r="AG183" t="s">
        <v>3997</v>
      </c>
      <c r="AH183" t="s">
        <v>3103</v>
      </c>
      <c r="AI183" t="s">
        <v>3998</v>
      </c>
      <c r="AJ183" t="s">
        <v>3999</v>
      </c>
      <c r="AK183" t="s">
        <v>4000</v>
      </c>
      <c r="AL183">
        <v>7.3</v>
      </c>
      <c r="AM183">
        <v>6.45</v>
      </c>
      <c r="AN183">
        <v>1.8</v>
      </c>
      <c r="AO183" t="s">
        <v>4001</v>
      </c>
      <c r="AP183" t="s">
        <v>4002</v>
      </c>
      <c r="AQ183" t="s">
        <v>4003</v>
      </c>
      <c r="AR183" t="s">
        <v>794</v>
      </c>
      <c r="AS183" t="s">
        <v>954</v>
      </c>
      <c r="AT183" t="s">
        <v>4004</v>
      </c>
      <c r="AU183" t="s">
        <v>4005</v>
      </c>
      <c r="AV183" t="s">
        <v>4006</v>
      </c>
      <c r="AW183" t="s">
        <v>4007</v>
      </c>
      <c r="AX183" t="s">
        <v>4008</v>
      </c>
      <c r="AY183" t="s">
        <v>4007</v>
      </c>
      <c r="AZ183" t="s">
        <v>4009</v>
      </c>
      <c r="BA183">
        <v>1</v>
      </c>
      <c r="BB183">
        <v>660.15</v>
      </c>
      <c r="BC183">
        <v>3.08</v>
      </c>
      <c r="BD183">
        <v>19.739999999999998</v>
      </c>
      <c r="BE183">
        <v>20.3</v>
      </c>
      <c r="BF183">
        <v>18.899999999999999</v>
      </c>
      <c r="BG183" t="s">
        <v>4010</v>
      </c>
      <c r="BH183" t="s">
        <v>4011</v>
      </c>
      <c r="BI183" t="s">
        <v>4012</v>
      </c>
      <c r="BJ183" t="s">
        <v>101</v>
      </c>
      <c r="BK183" t="s">
        <v>4013</v>
      </c>
      <c r="BL183" t="s">
        <v>4014</v>
      </c>
      <c r="BM183" t="s">
        <v>4015</v>
      </c>
      <c r="BN183" t="s">
        <v>2073</v>
      </c>
    </row>
    <row r="184" spans="1:66" x14ac:dyDescent="0.25">
      <c r="A184" t="str">
        <f>HYPERLINK("https://elite.finviz.com/quote.ashx?t=RAPT&amp;ty=c&amp;p=d&amp;b=1", "RAPT")</f>
        <v>RAPT</v>
      </c>
      <c r="B184">
        <v>7</v>
      </c>
      <c r="C184">
        <v>149.72999999999999</v>
      </c>
      <c r="D184">
        <v>88.33</v>
      </c>
      <c r="E184" t="s">
        <v>4016</v>
      </c>
      <c r="F184" t="s">
        <v>107</v>
      </c>
      <c r="G184" t="s">
        <v>428</v>
      </c>
      <c r="H184" t="s">
        <v>429</v>
      </c>
      <c r="I184" t="s">
        <v>70</v>
      </c>
      <c r="J184" t="s">
        <v>321</v>
      </c>
      <c r="K184">
        <v>414.6</v>
      </c>
      <c r="L184">
        <v>25.07</v>
      </c>
      <c r="M184" t="s">
        <v>387</v>
      </c>
      <c r="N184">
        <v>140225</v>
      </c>
      <c r="S184">
        <v>2.52</v>
      </c>
      <c r="AA184">
        <v>-14.21</v>
      </c>
      <c r="AB184" t="s">
        <v>2265</v>
      </c>
      <c r="AC184" t="s">
        <v>225</v>
      </c>
      <c r="AD184" t="s">
        <v>1810</v>
      </c>
      <c r="AI184" t="s">
        <v>1700</v>
      </c>
      <c r="AJ184" t="s">
        <v>164</v>
      </c>
      <c r="AK184" t="s">
        <v>4017</v>
      </c>
      <c r="AL184">
        <v>13.25</v>
      </c>
      <c r="AM184">
        <v>13.25</v>
      </c>
      <c r="AN184">
        <v>0.02</v>
      </c>
      <c r="AR184" t="s">
        <v>3600</v>
      </c>
      <c r="AS184" t="s">
        <v>1341</v>
      </c>
      <c r="AT184" t="s">
        <v>3313</v>
      </c>
      <c r="AU184" t="s">
        <v>4018</v>
      </c>
      <c r="AV184" t="s">
        <v>4019</v>
      </c>
      <c r="AW184" t="s">
        <v>2768</v>
      </c>
      <c r="AX184" t="s">
        <v>4020</v>
      </c>
      <c r="AY184" t="s">
        <v>4021</v>
      </c>
      <c r="AZ184" t="s">
        <v>4022</v>
      </c>
      <c r="BA184">
        <v>1.57</v>
      </c>
      <c r="BB184">
        <v>128.19</v>
      </c>
      <c r="BC184">
        <v>3.85</v>
      </c>
      <c r="BD184">
        <v>24.45</v>
      </c>
      <c r="BE184">
        <v>25.97</v>
      </c>
      <c r="BF184">
        <v>23.69</v>
      </c>
      <c r="BG184" t="s">
        <v>4023</v>
      </c>
      <c r="BH184" t="s">
        <v>4024</v>
      </c>
      <c r="BI184" t="s">
        <v>4022</v>
      </c>
      <c r="BJ184" t="s">
        <v>101</v>
      </c>
      <c r="BK184" t="s">
        <v>4025</v>
      </c>
      <c r="BL184" t="s">
        <v>4026</v>
      </c>
      <c r="BM184" t="s">
        <v>4027</v>
      </c>
      <c r="BN184" t="s">
        <v>2073</v>
      </c>
    </row>
    <row r="185" spans="1:66" x14ac:dyDescent="0.25">
      <c r="A185" t="str">
        <f>HYPERLINK("https://elite.finviz.com/quote.ashx?t=TRML&amp;ty=c&amp;p=d&amp;b=1", "TRML")</f>
        <v>TRML</v>
      </c>
      <c r="B185">
        <v>7</v>
      </c>
      <c r="C185">
        <v>149.72999999999999</v>
      </c>
      <c r="D185">
        <v>93.96</v>
      </c>
      <c r="E185" t="s">
        <v>4028</v>
      </c>
      <c r="F185" t="s">
        <v>67</v>
      </c>
      <c r="G185" t="s">
        <v>428</v>
      </c>
      <c r="H185" t="s">
        <v>429</v>
      </c>
      <c r="I185" t="s">
        <v>70</v>
      </c>
      <c r="J185" t="s">
        <v>321</v>
      </c>
      <c r="K185">
        <v>1226.3</v>
      </c>
      <c r="L185">
        <v>47.73</v>
      </c>
      <c r="M185" t="s">
        <v>2215</v>
      </c>
      <c r="N185">
        <v>404049</v>
      </c>
      <c r="S185">
        <v>4.7300000000000004</v>
      </c>
      <c r="V185" t="s">
        <v>4029</v>
      </c>
      <c r="AA185">
        <v>-3.44</v>
      </c>
      <c r="AB185" t="s">
        <v>4030</v>
      </c>
      <c r="AC185" t="s">
        <v>707</v>
      </c>
      <c r="AD185" t="s">
        <v>219</v>
      </c>
      <c r="AI185" t="s">
        <v>387</v>
      </c>
      <c r="AJ185" t="s">
        <v>164</v>
      </c>
      <c r="AK185" t="s">
        <v>4031</v>
      </c>
      <c r="AL185">
        <v>24.68</v>
      </c>
      <c r="AM185">
        <v>24.68</v>
      </c>
      <c r="AN185">
        <v>0</v>
      </c>
      <c r="AR185" t="s">
        <v>183</v>
      </c>
      <c r="AS185" t="s">
        <v>2383</v>
      </c>
      <c r="AT185" t="s">
        <v>802</v>
      </c>
      <c r="AU185" t="s">
        <v>4032</v>
      </c>
      <c r="AV185" t="s">
        <v>4033</v>
      </c>
      <c r="AW185" t="s">
        <v>1842</v>
      </c>
      <c r="AX185" t="s">
        <v>4034</v>
      </c>
      <c r="AY185" t="s">
        <v>1842</v>
      </c>
      <c r="AZ185" t="s">
        <v>4035</v>
      </c>
      <c r="BA185">
        <v>2.78</v>
      </c>
      <c r="BB185">
        <v>753.08</v>
      </c>
      <c r="BC185">
        <v>1.89</v>
      </c>
      <c r="BD185">
        <v>47.72</v>
      </c>
      <c r="BE185">
        <v>47.76</v>
      </c>
      <c r="BF185">
        <v>47.73</v>
      </c>
      <c r="BG185" t="s">
        <v>4036</v>
      </c>
      <c r="BH185" t="s">
        <v>4037</v>
      </c>
      <c r="BI185" t="s">
        <v>4038</v>
      </c>
      <c r="BJ185" t="s">
        <v>101</v>
      </c>
      <c r="BK185" t="s">
        <v>4039</v>
      </c>
      <c r="BL185" t="s">
        <v>4040</v>
      </c>
      <c r="BM185" t="s">
        <v>4041</v>
      </c>
      <c r="BN185" t="s">
        <v>2073</v>
      </c>
    </row>
    <row r="186" spans="1:66" x14ac:dyDescent="0.25">
      <c r="A186" t="str">
        <f>HYPERLINK("https://elite.finviz.com/quote.ashx?t=WWW&amp;ty=c&amp;p=d&amp;b=1", "WWW")</f>
        <v>WWW</v>
      </c>
      <c r="B186">
        <v>7</v>
      </c>
      <c r="C186">
        <v>138.38</v>
      </c>
      <c r="D186">
        <v>36.89</v>
      </c>
      <c r="E186" t="s">
        <v>4042</v>
      </c>
      <c r="F186" t="s">
        <v>67</v>
      </c>
      <c r="G186" t="s">
        <v>813</v>
      </c>
      <c r="H186" t="s">
        <v>4043</v>
      </c>
      <c r="I186" t="s">
        <v>70</v>
      </c>
      <c r="J186" t="s">
        <v>71</v>
      </c>
      <c r="K186">
        <v>2265.5100000000002</v>
      </c>
      <c r="L186">
        <v>27.88</v>
      </c>
      <c r="M186" t="s">
        <v>2638</v>
      </c>
      <c r="N186">
        <v>235475</v>
      </c>
      <c r="O186">
        <v>26.94</v>
      </c>
      <c r="P186">
        <v>17.260000000000002</v>
      </c>
      <c r="Q186">
        <v>0.87</v>
      </c>
      <c r="R186">
        <v>1.24</v>
      </c>
      <c r="S186">
        <v>6.58</v>
      </c>
      <c r="T186" t="s">
        <v>3551</v>
      </c>
      <c r="U186">
        <v>0.4</v>
      </c>
      <c r="V186" t="s">
        <v>700</v>
      </c>
      <c r="W186" t="s">
        <v>164</v>
      </c>
      <c r="X186" t="s">
        <v>164</v>
      </c>
      <c r="Y186" t="s">
        <v>164</v>
      </c>
      <c r="Z186" t="s">
        <v>4044</v>
      </c>
      <c r="AA186">
        <v>1.03</v>
      </c>
      <c r="AB186" t="s">
        <v>4045</v>
      </c>
      <c r="AC186" t="s">
        <v>4046</v>
      </c>
      <c r="AD186" t="s">
        <v>4047</v>
      </c>
      <c r="AE186" t="s">
        <v>2673</v>
      </c>
      <c r="AF186" t="s">
        <v>4048</v>
      </c>
      <c r="AG186" t="s">
        <v>3577</v>
      </c>
      <c r="AH186" t="s">
        <v>330</v>
      </c>
      <c r="AI186" t="s">
        <v>4049</v>
      </c>
      <c r="AJ186" t="s">
        <v>2336</v>
      </c>
      <c r="AK186" t="s">
        <v>4050</v>
      </c>
      <c r="AL186">
        <v>1.24</v>
      </c>
      <c r="AM186">
        <v>0.75</v>
      </c>
      <c r="AN186">
        <v>2.5</v>
      </c>
      <c r="AO186" t="s">
        <v>4051</v>
      </c>
      <c r="AP186" t="s">
        <v>1243</v>
      </c>
      <c r="AQ186" t="s">
        <v>4052</v>
      </c>
      <c r="AR186" t="s">
        <v>2495</v>
      </c>
      <c r="AS186" t="s">
        <v>170</v>
      </c>
      <c r="AT186" t="s">
        <v>4053</v>
      </c>
      <c r="AU186" t="s">
        <v>171</v>
      </c>
      <c r="AV186" t="s">
        <v>486</v>
      </c>
      <c r="AW186" t="s">
        <v>4054</v>
      </c>
      <c r="AX186" t="s">
        <v>4055</v>
      </c>
      <c r="AY186" t="s">
        <v>4054</v>
      </c>
      <c r="AZ186" t="s">
        <v>4056</v>
      </c>
      <c r="BA186">
        <v>1.3</v>
      </c>
      <c r="BB186">
        <v>1764.9</v>
      </c>
      <c r="BC186">
        <v>0.47</v>
      </c>
      <c r="BD186">
        <v>27.91</v>
      </c>
      <c r="BE186">
        <v>28</v>
      </c>
      <c r="BF186">
        <v>27.66</v>
      </c>
      <c r="BG186" t="s">
        <v>4057</v>
      </c>
      <c r="BH186" t="s">
        <v>4058</v>
      </c>
      <c r="BI186" t="s">
        <v>4059</v>
      </c>
      <c r="BJ186" t="s">
        <v>101</v>
      </c>
      <c r="BK186" t="s">
        <v>4060</v>
      </c>
      <c r="BL186" t="s">
        <v>4061</v>
      </c>
      <c r="BM186" t="s">
        <v>4062</v>
      </c>
      <c r="BN186" t="s">
        <v>4063</v>
      </c>
    </row>
    <row r="187" spans="1:66" x14ac:dyDescent="0.25">
      <c r="A187" t="str">
        <f>HYPERLINK("https://elite.finviz.com/quote.ashx?t=ALLY&amp;ty=c&amp;p=d&amp;b=1", "ALLY")</f>
        <v>ALLY</v>
      </c>
      <c r="B187">
        <v>7</v>
      </c>
      <c r="C187">
        <v>138.38</v>
      </c>
      <c r="D187">
        <v>41.52</v>
      </c>
      <c r="E187" t="s">
        <v>4064</v>
      </c>
      <c r="F187" t="s">
        <v>107</v>
      </c>
      <c r="G187" t="s">
        <v>550</v>
      </c>
      <c r="H187" t="s">
        <v>3744</v>
      </c>
      <c r="I187" t="s">
        <v>70</v>
      </c>
      <c r="J187" t="s">
        <v>71</v>
      </c>
      <c r="K187">
        <v>12433.9</v>
      </c>
      <c r="L187">
        <v>40.4</v>
      </c>
      <c r="M187" t="s">
        <v>4065</v>
      </c>
      <c r="N187">
        <v>714891</v>
      </c>
      <c r="O187">
        <v>26.24</v>
      </c>
      <c r="P187">
        <v>7.52</v>
      </c>
      <c r="Q187">
        <v>0.71</v>
      </c>
      <c r="R187">
        <v>0.8</v>
      </c>
      <c r="S187">
        <v>1.02</v>
      </c>
      <c r="T187" t="s">
        <v>304</v>
      </c>
      <c r="U187">
        <v>1.2</v>
      </c>
      <c r="V187" t="s">
        <v>4066</v>
      </c>
      <c r="W187" t="s">
        <v>164</v>
      </c>
      <c r="X187" t="s">
        <v>4067</v>
      </c>
      <c r="Y187" t="s">
        <v>4068</v>
      </c>
      <c r="Z187" t="s">
        <v>4069</v>
      </c>
      <c r="AA187">
        <v>1.54</v>
      </c>
      <c r="AB187" t="s">
        <v>4070</v>
      </c>
      <c r="AC187" t="s">
        <v>4071</v>
      </c>
      <c r="AD187" t="s">
        <v>4072</v>
      </c>
      <c r="AE187" t="s">
        <v>4073</v>
      </c>
      <c r="AF187" t="s">
        <v>4074</v>
      </c>
      <c r="AG187" t="s">
        <v>2884</v>
      </c>
      <c r="AH187" t="s">
        <v>2677</v>
      </c>
      <c r="AI187" t="s">
        <v>4075</v>
      </c>
      <c r="AJ187" t="s">
        <v>406</v>
      </c>
      <c r="AK187" t="s">
        <v>4076</v>
      </c>
      <c r="AL187">
        <v>1.34</v>
      </c>
      <c r="AN187">
        <v>1.36</v>
      </c>
      <c r="AP187" t="s">
        <v>4077</v>
      </c>
      <c r="AQ187" t="s">
        <v>3500</v>
      </c>
      <c r="AR187" t="s">
        <v>2146</v>
      </c>
      <c r="AS187" t="s">
        <v>2876</v>
      </c>
      <c r="AT187" t="s">
        <v>4078</v>
      </c>
      <c r="AU187" t="s">
        <v>3013</v>
      </c>
      <c r="AV187" t="s">
        <v>147</v>
      </c>
      <c r="AW187" t="s">
        <v>503</v>
      </c>
      <c r="AX187" t="s">
        <v>4079</v>
      </c>
      <c r="AY187" t="s">
        <v>503</v>
      </c>
      <c r="AZ187" t="s">
        <v>4080</v>
      </c>
      <c r="BA187">
        <v>1.81</v>
      </c>
      <c r="BB187">
        <v>3111.97</v>
      </c>
      <c r="BC187">
        <v>0.81</v>
      </c>
      <c r="BD187">
        <v>40.83</v>
      </c>
      <c r="BE187">
        <v>41.08</v>
      </c>
      <c r="BF187">
        <v>40.33</v>
      </c>
      <c r="BG187" t="s">
        <v>4081</v>
      </c>
      <c r="BH187" t="s">
        <v>4082</v>
      </c>
      <c r="BI187" t="s">
        <v>4083</v>
      </c>
      <c r="BJ187" t="s">
        <v>101</v>
      </c>
      <c r="BK187" t="s">
        <v>3481</v>
      </c>
      <c r="BL187" t="s">
        <v>3100</v>
      </c>
      <c r="BM187" t="s">
        <v>4084</v>
      </c>
      <c r="BN187" t="s">
        <v>4063</v>
      </c>
    </row>
    <row r="188" spans="1:66" x14ac:dyDescent="0.25">
      <c r="A188" t="str">
        <f>HYPERLINK("https://elite.finviz.com/quote.ashx?t=ENOV&amp;ty=c&amp;p=d&amp;b=1", "ENOV")</f>
        <v>ENOV</v>
      </c>
      <c r="B188">
        <v>7</v>
      </c>
      <c r="C188">
        <v>138.38</v>
      </c>
      <c r="D188">
        <v>42.49</v>
      </c>
      <c r="E188" t="s">
        <v>4085</v>
      </c>
      <c r="F188" t="s">
        <v>67</v>
      </c>
      <c r="G188" t="s">
        <v>428</v>
      </c>
      <c r="H188" t="s">
        <v>2051</v>
      </c>
      <c r="I188" t="s">
        <v>70</v>
      </c>
      <c r="J188" t="s">
        <v>71</v>
      </c>
      <c r="K188">
        <v>1703.65</v>
      </c>
      <c r="L188">
        <v>29.81</v>
      </c>
      <c r="M188" t="s">
        <v>4086</v>
      </c>
      <c r="N188">
        <v>65478</v>
      </c>
      <c r="P188">
        <v>8.51</v>
      </c>
      <c r="R188">
        <v>0.78</v>
      </c>
      <c r="S188">
        <v>0.66</v>
      </c>
      <c r="AA188">
        <v>-14.78</v>
      </c>
      <c r="AC188" t="s">
        <v>103</v>
      </c>
      <c r="AD188" t="s">
        <v>4087</v>
      </c>
      <c r="AE188" t="s">
        <v>2867</v>
      </c>
      <c r="AF188" t="s">
        <v>4088</v>
      </c>
      <c r="AG188" t="s">
        <v>3705</v>
      </c>
      <c r="AH188" t="s">
        <v>2967</v>
      </c>
      <c r="AI188" t="s">
        <v>4089</v>
      </c>
      <c r="AJ188" t="s">
        <v>3925</v>
      </c>
      <c r="AK188" t="s">
        <v>4090</v>
      </c>
      <c r="AL188">
        <v>2.25</v>
      </c>
      <c r="AM188">
        <v>1.1499999999999999</v>
      </c>
      <c r="AN188">
        <v>0.56999999999999995</v>
      </c>
      <c r="AO188" t="s">
        <v>4091</v>
      </c>
      <c r="AP188" t="s">
        <v>1820</v>
      </c>
      <c r="AQ188" t="s">
        <v>4092</v>
      </c>
      <c r="AR188" t="s">
        <v>1934</v>
      </c>
      <c r="AS188" t="s">
        <v>4093</v>
      </c>
      <c r="AT188" t="s">
        <v>1929</v>
      </c>
      <c r="AU188" t="s">
        <v>2418</v>
      </c>
      <c r="AV188" t="s">
        <v>4094</v>
      </c>
      <c r="AW188" t="s">
        <v>4095</v>
      </c>
      <c r="AX188" t="s">
        <v>4096</v>
      </c>
      <c r="AY188" t="s">
        <v>4097</v>
      </c>
      <c r="AZ188" t="s">
        <v>4096</v>
      </c>
      <c r="BA188">
        <v>1.3</v>
      </c>
      <c r="BB188">
        <v>1350.1</v>
      </c>
      <c r="BC188">
        <v>0.17</v>
      </c>
      <c r="BD188">
        <v>30.02</v>
      </c>
      <c r="BE188">
        <v>30.43</v>
      </c>
      <c r="BF188">
        <v>29.79</v>
      </c>
      <c r="BG188" t="s">
        <v>4098</v>
      </c>
      <c r="BH188" t="s">
        <v>4099</v>
      </c>
      <c r="BI188" t="s">
        <v>4100</v>
      </c>
      <c r="BJ188" t="s">
        <v>101</v>
      </c>
      <c r="BK188" t="s">
        <v>4101</v>
      </c>
      <c r="BL188" t="s">
        <v>1633</v>
      </c>
      <c r="BM188" t="s">
        <v>4102</v>
      </c>
      <c r="BN188" t="s">
        <v>4063</v>
      </c>
    </row>
    <row r="189" spans="1:66" x14ac:dyDescent="0.25">
      <c r="A189" t="str">
        <f>HYPERLINK("https://elite.finviz.com/quote.ashx?t=CUZ&amp;ty=c&amp;p=d&amp;b=1", "CUZ")</f>
        <v>CUZ</v>
      </c>
      <c r="B189">
        <v>7</v>
      </c>
      <c r="C189">
        <v>138.38</v>
      </c>
      <c r="D189">
        <v>42.82</v>
      </c>
      <c r="E189" t="s">
        <v>4103</v>
      </c>
      <c r="F189" t="s">
        <v>107</v>
      </c>
      <c r="G189" t="s">
        <v>68</v>
      </c>
      <c r="H189" t="s">
        <v>69</v>
      </c>
      <c r="I189" t="s">
        <v>70</v>
      </c>
      <c r="J189" t="s">
        <v>71</v>
      </c>
      <c r="K189">
        <v>4736.6899999999996</v>
      </c>
      <c r="L189">
        <v>28.2</v>
      </c>
      <c r="M189" t="s">
        <v>211</v>
      </c>
      <c r="N189">
        <v>95557</v>
      </c>
      <c r="O189">
        <v>76.38</v>
      </c>
      <c r="P189">
        <v>83.18</v>
      </c>
      <c r="Q189">
        <v>5.21</v>
      </c>
      <c r="R189">
        <v>5.12</v>
      </c>
      <c r="S189">
        <v>0.99</v>
      </c>
      <c r="T189" t="s">
        <v>4104</v>
      </c>
      <c r="U189">
        <v>1.28</v>
      </c>
      <c r="V189" t="s">
        <v>4105</v>
      </c>
      <c r="W189" t="s">
        <v>164</v>
      </c>
      <c r="X189" t="s">
        <v>3552</v>
      </c>
      <c r="Y189" t="s">
        <v>3856</v>
      </c>
      <c r="Z189" t="s">
        <v>4106</v>
      </c>
      <c r="AA189">
        <v>0.37</v>
      </c>
      <c r="AB189" t="s">
        <v>4107</v>
      </c>
      <c r="AC189" t="s">
        <v>1358</v>
      </c>
      <c r="AD189" t="s">
        <v>4108</v>
      </c>
      <c r="AE189" t="s">
        <v>4109</v>
      </c>
      <c r="AF189" t="s">
        <v>3025</v>
      </c>
      <c r="AG189" t="s">
        <v>2123</v>
      </c>
      <c r="AH189" t="s">
        <v>2291</v>
      </c>
      <c r="AI189" t="s">
        <v>4110</v>
      </c>
      <c r="AJ189" t="s">
        <v>386</v>
      </c>
      <c r="AK189" t="s">
        <v>4111</v>
      </c>
      <c r="AL189">
        <v>2.4500000000000002</v>
      </c>
      <c r="AM189">
        <v>2.4500000000000002</v>
      </c>
      <c r="AN189">
        <v>0.76</v>
      </c>
      <c r="AO189" t="s">
        <v>4112</v>
      </c>
      <c r="AP189" t="s">
        <v>1819</v>
      </c>
      <c r="AQ189" t="s">
        <v>291</v>
      </c>
      <c r="AR189" t="s">
        <v>1303</v>
      </c>
      <c r="AS189" t="s">
        <v>3832</v>
      </c>
      <c r="AT189" t="s">
        <v>4113</v>
      </c>
      <c r="AU189" t="s">
        <v>3752</v>
      </c>
      <c r="AV189" t="s">
        <v>1272</v>
      </c>
      <c r="AW189" t="s">
        <v>1929</v>
      </c>
      <c r="AX189" t="s">
        <v>4114</v>
      </c>
      <c r="AY189" t="s">
        <v>4115</v>
      </c>
      <c r="AZ189" t="s">
        <v>4116</v>
      </c>
      <c r="BA189">
        <v>1.83</v>
      </c>
      <c r="BB189">
        <v>1634.45</v>
      </c>
      <c r="BC189">
        <v>0.21</v>
      </c>
      <c r="BD189">
        <v>28.17</v>
      </c>
      <c r="BE189">
        <v>28.4</v>
      </c>
      <c r="BF189">
        <v>28.14</v>
      </c>
      <c r="BG189" t="s">
        <v>4117</v>
      </c>
      <c r="BH189" t="s">
        <v>4118</v>
      </c>
      <c r="BI189" t="s">
        <v>4119</v>
      </c>
      <c r="BJ189" t="s">
        <v>101</v>
      </c>
      <c r="BK189" t="s">
        <v>4120</v>
      </c>
      <c r="BL189" t="s">
        <v>4121</v>
      </c>
      <c r="BM189" t="s">
        <v>4122</v>
      </c>
      <c r="BN189" t="s">
        <v>4063</v>
      </c>
    </row>
    <row r="190" spans="1:66" x14ac:dyDescent="0.25">
      <c r="A190" t="str">
        <f>HYPERLINK("https://elite.finviz.com/quote.ashx?t=FTRE&amp;ty=c&amp;p=d&amp;b=1", "FTRE")</f>
        <v>FTRE</v>
      </c>
      <c r="B190">
        <v>7</v>
      </c>
      <c r="C190">
        <v>138.38</v>
      </c>
      <c r="D190">
        <v>42.87</v>
      </c>
      <c r="E190" t="s">
        <v>4123</v>
      </c>
      <c r="F190" t="s">
        <v>67</v>
      </c>
      <c r="G190" t="s">
        <v>428</v>
      </c>
      <c r="H190" t="s">
        <v>429</v>
      </c>
      <c r="I190" t="s">
        <v>70</v>
      </c>
      <c r="J190" t="s">
        <v>321</v>
      </c>
      <c r="K190">
        <v>789.38</v>
      </c>
      <c r="L190">
        <v>8.69</v>
      </c>
      <c r="M190" t="s">
        <v>4124</v>
      </c>
      <c r="N190">
        <v>245455</v>
      </c>
      <c r="P190">
        <v>10.55</v>
      </c>
      <c r="R190">
        <v>0.28999999999999998</v>
      </c>
      <c r="S190">
        <v>1.34</v>
      </c>
      <c r="AA190">
        <v>-11.42</v>
      </c>
      <c r="AC190" t="s">
        <v>4125</v>
      </c>
      <c r="AD190" t="s">
        <v>538</v>
      </c>
      <c r="AE190" t="s">
        <v>4126</v>
      </c>
      <c r="AF190" t="s">
        <v>3853</v>
      </c>
      <c r="AG190" t="s">
        <v>3018</v>
      </c>
      <c r="AH190" t="s">
        <v>297</v>
      </c>
      <c r="AI190" t="s">
        <v>4127</v>
      </c>
      <c r="AJ190" t="s">
        <v>4128</v>
      </c>
      <c r="AK190" t="s">
        <v>4129</v>
      </c>
      <c r="AL190">
        <v>1.02</v>
      </c>
      <c r="AM190">
        <v>1.02</v>
      </c>
      <c r="AN190">
        <v>2.11</v>
      </c>
      <c r="AO190" t="s">
        <v>4130</v>
      </c>
      <c r="AP190" t="s">
        <v>4131</v>
      </c>
      <c r="AQ190" t="s">
        <v>4132</v>
      </c>
      <c r="AR190" t="s">
        <v>4133</v>
      </c>
      <c r="AS190" t="s">
        <v>1474</v>
      </c>
      <c r="AT190" t="s">
        <v>4134</v>
      </c>
      <c r="AU190" t="s">
        <v>3303</v>
      </c>
      <c r="AV190" t="s">
        <v>612</v>
      </c>
      <c r="AW190" t="s">
        <v>4135</v>
      </c>
      <c r="AX190" t="s">
        <v>4136</v>
      </c>
      <c r="AY190" t="s">
        <v>4137</v>
      </c>
      <c r="AZ190" t="s">
        <v>4138</v>
      </c>
      <c r="BA190">
        <v>3.08</v>
      </c>
      <c r="BB190">
        <v>2065.36</v>
      </c>
      <c r="BC190">
        <v>0.42</v>
      </c>
      <c r="BD190">
        <v>8.92</v>
      </c>
      <c r="BE190">
        <v>9.18</v>
      </c>
      <c r="BF190">
        <v>8.69</v>
      </c>
      <c r="BG190" t="s">
        <v>4139</v>
      </c>
      <c r="BH190" t="s">
        <v>4140</v>
      </c>
      <c r="BI190" t="s">
        <v>4138</v>
      </c>
      <c r="BJ190" t="s">
        <v>101</v>
      </c>
      <c r="BK190" t="s">
        <v>4141</v>
      </c>
      <c r="BL190" t="s">
        <v>4142</v>
      </c>
      <c r="BM190" t="s">
        <v>4143</v>
      </c>
      <c r="BN190" t="s">
        <v>4063</v>
      </c>
    </row>
    <row r="191" spans="1:66" x14ac:dyDescent="0.25">
      <c r="A191" t="str">
        <f>HYPERLINK("https://elite.finviz.com/quote.ashx?t=PK&amp;ty=c&amp;p=d&amp;b=1", "PK")</f>
        <v>PK</v>
      </c>
      <c r="B191">
        <v>7</v>
      </c>
      <c r="C191">
        <v>138.38</v>
      </c>
      <c r="D191">
        <v>43.34</v>
      </c>
      <c r="E191" t="s">
        <v>4144</v>
      </c>
      <c r="F191" t="s">
        <v>107</v>
      </c>
      <c r="G191" t="s">
        <v>68</v>
      </c>
      <c r="H191" t="s">
        <v>4145</v>
      </c>
      <c r="I191" t="s">
        <v>70</v>
      </c>
      <c r="J191" t="s">
        <v>71</v>
      </c>
      <c r="K191">
        <v>2272.0100000000002</v>
      </c>
      <c r="L191">
        <v>11.36</v>
      </c>
      <c r="M191" t="s">
        <v>1022</v>
      </c>
      <c r="N191">
        <v>415177</v>
      </c>
      <c r="O191">
        <v>42.9</v>
      </c>
      <c r="P191">
        <v>28.83</v>
      </c>
      <c r="R191">
        <v>0.88</v>
      </c>
      <c r="S191">
        <v>0.66</v>
      </c>
      <c r="T191" t="s">
        <v>3076</v>
      </c>
      <c r="U191">
        <v>0.97</v>
      </c>
      <c r="V191" t="s">
        <v>198</v>
      </c>
      <c r="W191" t="s">
        <v>1057</v>
      </c>
      <c r="Y191" t="s">
        <v>2813</v>
      </c>
      <c r="Z191" t="s">
        <v>4146</v>
      </c>
      <c r="AA191">
        <v>0.26</v>
      </c>
      <c r="AC191" t="s">
        <v>4147</v>
      </c>
      <c r="AD191" t="s">
        <v>4148</v>
      </c>
      <c r="AE191" t="s">
        <v>3554</v>
      </c>
      <c r="AF191" t="s">
        <v>3426</v>
      </c>
      <c r="AG191" t="s">
        <v>4149</v>
      </c>
      <c r="AH191" t="s">
        <v>4150</v>
      </c>
      <c r="AI191" t="s">
        <v>4151</v>
      </c>
      <c r="AJ191" t="s">
        <v>164</v>
      </c>
      <c r="AK191" t="s">
        <v>4152</v>
      </c>
      <c r="AL191">
        <v>2.38</v>
      </c>
      <c r="AM191">
        <v>2.38</v>
      </c>
      <c r="AN191">
        <v>1.39</v>
      </c>
      <c r="AO191" t="s">
        <v>4153</v>
      </c>
      <c r="AP191" t="s">
        <v>236</v>
      </c>
      <c r="AQ191" t="s">
        <v>2808</v>
      </c>
      <c r="AR191" t="s">
        <v>679</v>
      </c>
      <c r="AS191" t="s">
        <v>4154</v>
      </c>
      <c r="AT191" t="s">
        <v>3124</v>
      </c>
      <c r="AU191" t="s">
        <v>1765</v>
      </c>
      <c r="AV191" t="s">
        <v>4155</v>
      </c>
      <c r="AW191" t="s">
        <v>3431</v>
      </c>
      <c r="AX191" t="s">
        <v>2137</v>
      </c>
      <c r="AY191" t="s">
        <v>4156</v>
      </c>
      <c r="AZ191" t="s">
        <v>4157</v>
      </c>
      <c r="BA191">
        <v>2.62</v>
      </c>
      <c r="BB191">
        <v>3594.06</v>
      </c>
      <c r="BC191">
        <v>0.41</v>
      </c>
      <c r="BD191">
        <v>11.29</v>
      </c>
      <c r="BE191">
        <v>11.47</v>
      </c>
      <c r="BF191">
        <v>11.28</v>
      </c>
      <c r="BG191" t="s">
        <v>4158</v>
      </c>
      <c r="BH191" t="s">
        <v>4159</v>
      </c>
      <c r="BI191" t="s">
        <v>4160</v>
      </c>
      <c r="BJ191" t="s">
        <v>101</v>
      </c>
      <c r="BK191" t="s">
        <v>3837</v>
      </c>
      <c r="BL191" t="s">
        <v>3832</v>
      </c>
      <c r="BM191" t="s">
        <v>1357</v>
      </c>
      <c r="BN191" t="s">
        <v>4063</v>
      </c>
    </row>
    <row r="192" spans="1:66" x14ac:dyDescent="0.25">
      <c r="A192" t="str">
        <f>HYPERLINK("https://elite.finviz.com/quote.ashx?t=EVLV&amp;ty=c&amp;p=d&amp;b=1", "EVLV")</f>
        <v>EVLV</v>
      </c>
      <c r="B192">
        <v>7</v>
      </c>
      <c r="C192">
        <v>138.38</v>
      </c>
      <c r="D192">
        <v>43.53</v>
      </c>
      <c r="E192" t="s">
        <v>4161</v>
      </c>
      <c r="F192" t="s">
        <v>67</v>
      </c>
      <c r="G192" t="s">
        <v>260</v>
      </c>
      <c r="H192" t="s">
        <v>4162</v>
      </c>
      <c r="I192" t="s">
        <v>70</v>
      </c>
      <c r="J192" t="s">
        <v>321</v>
      </c>
      <c r="K192">
        <v>1314.96</v>
      </c>
      <c r="L192">
        <v>7.65</v>
      </c>
      <c r="M192" t="s">
        <v>1373</v>
      </c>
      <c r="N192">
        <v>1207192</v>
      </c>
      <c r="R192">
        <v>10.87</v>
      </c>
      <c r="S192">
        <v>14.09</v>
      </c>
      <c r="AA192">
        <v>-0.55000000000000004</v>
      </c>
      <c r="AB192" t="s">
        <v>4163</v>
      </c>
      <c r="AC192" t="s">
        <v>4164</v>
      </c>
      <c r="AD192" t="s">
        <v>2189</v>
      </c>
      <c r="AE192" t="s">
        <v>4165</v>
      </c>
      <c r="AF192" t="s">
        <v>4166</v>
      </c>
      <c r="AG192" t="s">
        <v>4167</v>
      </c>
      <c r="AH192" t="s">
        <v>3580</v>
      </c>
      <c r="AI192" t="s">
        <v>2681</v>
      </c>
      <c r="AJ192" t="s">
        <v>4168</v>
      </c>
      <c r="AK192" t="s">
        <v>4006</v>
      </c>
      <c r="AL192">
        <v>0.93</v>
      </c>
      <c r="AM192">
        <v>0.85</v>
      </c>
      <c r="AN192">
        <v>0.15</v>
      </c>
      <c r="AO192" t="s">
        <v>4169</v>
      </c>
      <c r="AP192" t="s">
        <v>4170</v>
      </c>
      <c r="AQ192" t="s">
        <v>4171</v>
      </c>
      <c r="AR192" t="s">
        <v>4172</v>
      </c>
      <c r="AS192" t="s">
        <v>4173</v>
      </c>
      <c r="AT192" t="s">
        <v>4174</v>
      </c>
      <c r="AU192" t="s">
        <v>1324</v>
      </c>
      <c r="AV192" t="s">
        <v>4175</v>
      </c>
      <c r="AW192" t="s">
        <v>117</v>
      </c>
      <c r="AX192" t="s">
        <v>4176</v>
      </c>
      <c r="AY192" t="s">
        <v>117</v>
      </c>
      <c r="AZ192" t="s">
        <v>4177</v>
      </c>
      <c r="BA192">
        <v>1</v>
      </c>
      <c r="BB192">
        <v>3435.37</v>
      </c>
      <c r="BC192">
        <v>1.24</v>
      </c>
      <c r="BD192">
        <v>7.97</v>
      </c>
      <c r="BE192">
        <v>8.07</v>
      </c>
      <c r="BF192">
        <v>7.64</v>
      </c>
      <c r="BG192" t="s">
        <v>4178</v>
      </c>
      <c r="BH192" t="s">
        <v>4179</v>
      </c>
      <c r="BI192" t="s">
        <v>4180</v>
      </c>
      <c r="BJ192" t="s">
        <v>101</v>
      </c>
      <c r="BK192" t="s">
        <v>4181</v>
      </c>
      <c r="BL192" t="s">
        <v>4182</v>
      </c>
      <c r="BM192" t="s">
        <v>4183</v>
      </c>
      <c r="BN192" t="s">
        <v>4063</v>
      </c>
    </row>
    <row r="193" spans="1:66" x14ac:dyDescent="0.25">
      <c r="A193" t="str">
        <f>HYPERLINK("https://elite.finviz.com/quote.ashx?t=BRLT&amp;ty=c&amp;p=d&amp;b=1", "BRLT")</f>
        <v>BRLT</v>
      </c>
      <c r="B193">
        <v>7</v>
      </c>
      <c r="C193">
        <v>138.38</v>
      </c>
      <c r="D193">
        <v>43.69</v>
      </c>
      <c r="E193" t="s">
        <v>4184</v>
      </c>
      <c r="F193" t="s">
        <v>107</v>
      </c>
      <c r="G193" t="s">
        <v>813</v>
      </c>
      <c r="H193" t="s">
        <v>4185</v>
      </c>
      <c r="I193" t="s">
        <v>70</v>
      </c>
      <c r="J193" t="s">
        <v>321</v>
      </c>
      <c r="K193">
        <v>215.37</v>
      </c>
      <c r="L193">
        <v>2.16</v>
      </c>
      <c r="M193" t="s">
        <v>2125</v>
      </c>
      <c r="N193">
        <v>21826</v>
      </c>
      <c r="P193">
        <v>23.67</v>
      </c>
      <c r="R193">
        <v>0.51</v>
      </c>
      <c r="S193">
        <v>2.1</v>
      </c>
      <c r="T193" t="s">
        <v>2371</v>
      </c>
      <c r="U193">
        <v>0.25</v>
      </c>
      <c r="V193" t="s">
        <v>4186</v>
      </c>
      <c r="Z193" t="s">
        <v>164</v>
      </c>
      <c r="AA193">
        <v>-0.28000000000000003</v>
      </c>
      <c r="AB193" t="s">
        <v>3889</v>
      </c>
      <c r="AE193" t="s">
        <v>4187</v>
      </c>
      <c r="AF193" t="s">
        <v>2234</v>
      </c>
      <c r="AG193" t="s">
        <v>4188</v>
      </c>
      <c r="AH193" t="s">
        <v>4189</v>
      </c>
      <c r="AI193" t="s">
        <v>4190</v>
      </c>
      <c r="AJ193" t="s">
        <v>4191</v>
      </c>
      <c r="AK193" t="s">
        <v>823</v>
      </c>
      <c r="AL193">
        <v>1.66</v>
      </c>
      <c r="AM193">
        <v>1.25</v>
      </c>
      <c r="AN193">
        <v>5.0199999999999996</v>
      </c>
      <c r="AO193" t="s">
        <v>4192</v>
      </c>
      <c r="AP193" t="s">
        <v>174</v>
      </c>
      <c r="AQ193" t="s">
        <v>2638</v>
      </c>
      <c r="AR193" t="s">
        <v>4193</v>
      </c>
      <c r="AS193" t="s">
        <v>1558</v>
      </c>
      <c r="AT193" t="s">
        <v>4194</v>
      </c>
      <c r="AU193" t="s">
        <v>3047</v>
      </c>
      <c r="AV193" t="s">
        <v>1034</v>
      </c>
      <c r="AW193" t="s">
        <v>4195</v>
      </c>
      <c r="AX193" t="s">
        <v>1587</v>
      </c>
      <c r="AY193" t="s">
        <v>4195</v>
      </c>
      <c r="AZ193" t="s">
        <v>4196</v>
      </c>
      <c r="BA193">
        <v>2.6</v>
      </c>
      <c r="BB193">
        <v>1130.67</v>
      </c>
      <c r="BC193">
        <v>7.0000000000000007E-2</v>
      </c>
      <c r="BD193">
        <v>2.14</v>
      </c>
      <c r="BE193">
        <v>2.17</v>
      </c>
      <c r="BF193">
        <v>2.13</v>
      </c>
      <c r="BG193" t="s">
        <v>4197</v>
      </c>
      <c r="BH193" t="s">
        <v>4198</v>
      </c>
      <c r="BI193" t="s">
        <v>4196</v>
      </c>
      <c r="BJ193" t="s">
        <v>101</v>
      </c>
      <c r="BK193" t="s">
        <v>4199</v>
      </c>
      <c r="BL193" t="s">
        <v>4200</v>
      </c>
      <c r="BM193" t="s">
        <v>756</v>
      </c>
      <c r="BN193" t="s">
        <v>4063</v>
      </c>
    </row>
    <row r="194" spans="1:66" x14ac:dyDescent="0.25">
      <c r="A194" t="str">
        <f>HYPERLINK("https://elite.finviz.com/quote.ashx?t=NTRA&amp;ty=c&amp;p=d&amp;b=1", "NTRA")</f>
        <v>NTRA</v>
      </c>
      <c r="B194">
        <v>7</v>
      </c>
      <c r="C194">
        <v>138.38</v>
      </c>
      <c r="D194">
        <v>43.71</v>
      </c>
      <c r="E194" t="s">
        <v>4201</v>
      </c>
      <c r="F194" t="s">
        <v>107</v>
      </c>
      <c r="G194" t="s">
        <v>428</v>
      </c>
      <c r="H194" t="s">
        <v>4202</v>
      </c>
      <c r="I194" t="s">
        <v>70</v>
      </c>
      <c r="J194" t="s">
        <v>321</v>
      </c>
      <c r="K194">
        <v>22302.53</v>
      </c>
      <c r="L194">
        <v>162.5</v>
      </c>
      <c r="M194" t="s">
        <v>4203</v>
      </c>
      <c r="N194">
        <v>87314</v>
      </c>
      <c r="R194">
        <v>11.35</v>
      </c>
      <c r="S194">
        <v>17.829999999999998</v>
      </c>
      <c r="AA194">
        <v>-1.9</v>
      </c>
      <c r="AB194" t="s">
        <v>1239</v>
      </c>
      <c r="AC194" t="s">
        <v>4204</v>
      </c>
      <c r="AE194" t="s">
        <v>4205</v>
      </c>
      <c r="AF194" t="s">
        <v>4206</v>
      </c>
      <c r="AG194" t="s">
        <v>4207</v>
      </c>
      <c r="AH194" t="s">
        <v>4208</v>
      </c>
      <c r="AI194" t="s">
        <v>4209</v>
      </c>
      <c r="AJ194" t="s">
        <v>4210</v>
      </c>
      <c r="AK194" t="s">
        <v>4211</v>
      </c>
      <c r="AL194">
        <v>3.72</v>
      </c>
      <c r="AM194">
        <v>3.58</v>
      </c>
      <c r="AN194">
        <v>0.16</v>
      </c>
      <c r="AO194" t="s">
        <v>4212</v>
      </c>
      <c r="AP194" t="s">
        <v>4213</v>
      </c>
      <c r="AQ194" t="s">
        <v>4214</v>
      </c>
      <c r="AR194" t="s">
        <v>2822</v>
      </c>
      <c r="AS194" t="s">
        <v>1932</v>
      </c>
      <c r="AT194" t="s">
        <v>4215</v>
      </c>
      <c r="AU194" t="s">
        <v>4216</v>
      </c>
      <c r="AV194" t="s">
        <v>2789</v>
      </c>
      <c r="AW194" t="s">
        <v>4217</v>
      </c>
      <c r="AX194" t="s">
        <v>3353</v>
      </c>
      <c r="AY194" t="s">
        <v>4218</v>
      </c>
      <c r="AZ194" t="s">
        <v>4219</v>
      </c>
      <c r="BA194">
        <v>1.46</v>
      </c>
      <c r="BB194">
        <v>1299.8800000000001</v>
      </c>
      <c r="BC194">
        <v>0.24</v>
      </c>
      <c r="BD194">
        <v>163.66</v>
      </c>
      <c r="BE194">
        <v>164.5</v>
      </c>
      <c r="BF194">
        <v>162.72999999999999</v>
      </c>
      <c r="BG194" t="s">
        <v>4220</v>
      </c>
      <c r="BH194" t="s">
        <v>4218</v>
      </c>
      <c r="BI194" t="s">
        <v>4221</v>
      </c>
      <c r="BJ194" t="s">
        <v>101</v>
      </c>
      <c r="BK194" t="s">
        <v>4222</v>
      </c>
      <c r="BL194" t="s">
        <v>4223</v>
      </c>
      <c r="BM194" t="s">
        <v>4224</v>
      </c>
      <c r="BN194" t="s">
        <v>4063</v>
      </c>
    </row>
    <row r="195" spans="1:66" x14ac:dyDescent="0.25">
      <c r="A195" t="str">
        <f>HYPERLINK("https://elite.finviz.com/quote.ashx?t=ZIP&amp;ty=c&amp;p=d&amp;b=1", "ZIP")</f>
        <v>ZIP</v>
      </c>
      <c r="B195">
        <v>7</v>
      </c>
      <c r="C195">
        <v>138.38</v>
      </c>
      <c r="D195">
        <v>43.87</v>
      </c>
      <c r="E195" t="s">
        <v>4225</v>
      </c>
      <c r="F195" t="s">
        <v>67</v>
      </c>
      <c r="G195" t="s">
        <v>598</v>
      </c>
      <c r="H195" t="s">
        <v>599</v>
      </c>
      <c r="I195" t="s">
        <v>70</v>
      </c>
      <c r="J195" t="s">
        <v>71</v>
      </c>
      <c r="K195">
        <v>402.06</v>
      </c>
      <c r="L195">
        <v>4.6100000000000003</v>
      </c>
      <c r="M195" t="s">
        <v>211</v>
      </c>
      <c r="N195">
        <v>102169</v>
      </c>
      <c r="R195">
        <v>0.89</v>
      </c>
      <c r="AA195">
        <v>-0.37</v>
      </c>
      <c r="AC195" t="s">
        <v>4226</v>
      </c>
      <c r="AE195" t="s">
        <v>4227</v>
      </c>
      <c r="AF195" t="s">
        <v>4228</v>
      </c>
      <c r="AG195" t="s">
        <v>3856</v>
      </c>
      <c r="AH195" t="s">
        <v>4229</v>
      </c>
      <c r="AI195" t="s">
        <v>4230</v>
      </c>
      <c r="AJ195" t="s">
        <v>4231</v>
      </c>
      <c r="AK195" t="s">
        <v>4232</v>
      </c>
      <c r="AL195">
        <v>5.46</v>
      </c>
      <c r="AM195">
        <v>5.46</v>
      </c>
      <c r="AO195" t="s">
        <v>4233</v>
      </c>
      <c r="AP195" t="s">
        <v>4234</v>
      </c>
      <c r="AQ195" t="s">
        <v>4235</v>
      </c>
      <c r="AR195" t="s">
        <v>3372</v>
      </c>
      <c r="AS195" t="s">
        <v>3983</v>
      </c>
      <c r="AT195" t="s">
        <v>4236</v>
      </c>
      <c r="AU195" t="s">
        <v>4237</v>
      </c>
      <c r="AV195" t="s">
        <v>3175</v>
      </c>
      <c r="AW195" t="s">
        <v>4238</v>
      </c>
      <c r="AX195" t="s">
        <v>4239</v>
      </c>
      <c r="AY195" t="s">
        <v>4240</v>
      </c>
      <c r="AZ195" t="s">
        <v>4239</v>
      </c>
      <c r="BA195">
        <v>2.71</v>
      </c>
      <c r="BB195">
        <v>1120.55</v>
      </c>
      <c r="BC195">
        <v>0.32</v>
      </c>
      <c r="BD195">
        <v>4.6100000000000003</v>
      </c>
      <c r="BE195">
        <v>4.68</v>
      </c>
      <c r="BF195">
        <v>4.6100000000000003</v>
      </c>
      <c r="BG195" t="s">
        <v>4241</v>
      </c>
      <c r="BH195" t="s">
        <v>4242</v>
      </c>
      <c r="BI195" t="s">
        <v>4239</v>
      </c>
      <c r="BJ195" t="s">
        <v>101</v>
      </c>
      <c r="BK195" t="s">
        <v>4243</v>
      </c>
      <c r="BL195" t="s">
        <v>4244</v>
      </c>
      <c r="BM195" t="s">
        <v>4245</v>
      </c>
      <c r="BN195" t="s">
        <v>4063</v>
      </c>
    </row>
    <row r="196" spans="1:66" x14ac:dyDescent="0.25">
      <c r="A196" t="str">
        <f>HYPERLINK("https://elite.finviz.com/quote.ashx?t=LYV&amp;ty=c&amp;p=d&amp;b=1", "LYV")</f>
        <v>LYV</v>
      </c>
      <c r="B196">
        <v>7</v>
      </c>
      <c r="C196">
        <v>138.38</v>
      </c>
      <c r="D196">
        <v>43.91</v>
      </c>
      <c r="E196" t="s">
        <v>4246</v>
      </c>
      <c r="F196" t="s">
        <v>195</v>
      </c>
      <c r="G196" t="s">
        <v>598</v>
      </c>
      <c r="H196" t="s">
        <v>4247</v>
      </c>
      <c r="I196" t="s">
        <v>70</v>
      </c>
      <c r="J196" t="s">
        <v>71</v>
      </c>
      <c r="K196">
        <v>37577.08</v>
      </c>
      <c r="L196">
        <v>162.01</v>
      </c>
      <c r="M196" t="s">
        <v>406</v>
      </c>
      <c r="N196">
        <v>232679</v>
      </c>
      <c r="O196">
        <v>70.37</v>
      </c>
      <c r="P196">
        <v>56.64</v>
      </c>
      <c r="Q196">
        <v>7.37</v>
      </c>
      <c r="R196">
        <v>1.58</v>
      </c>
      <c r="S196">
        <v>104.36</v>
      </c>
      <c r="Z196" t="s">
        <v>164</v>
      </c>
      <c r="AA196">
        <v>2.2999999999999998</v>
      </c>
      <c r="AD196" t="s">
        <v>4248</v>
      </c>
      <c r="AE196" t="s">
        <v>3388</v>
      </c>
      <c r="AF196" t="s">
        <v>4249</v>
      </c>
      <c r="AG196" t="s">
        <v>3180</v>
      </c>
      <c r="AH196" t="s">
        <v>4250</v>
      </c>
      <c r="AI196" t="s">
        <v>4251</v>
      </c>
      <c r="AJ196" t="s">
        <v>2745</v>
      </c>
      <c r="AK196" t="s">
        <v>4252</v>
      </c>
      <c r="AL196">
        <v>0.88</v>
      </c>
      <c r="AM196">
        <v>0.88</v>
      </c>
      <c r="AN196">
        <v>23.38</v>
      </c>
      <c r="AO196" t="s">
        <v>4253</v>
      </c>
      <c r="AP196" t="s">
        <v>4254</v>
      </c>
      <c r="AQ196" t="s">
        <v>4255</v>
      </c>
      <c r="AR196" t="s">
        <v>4256</v>
      </c>
      <c r="AS196" t="s">
        <v>617</v>
      </c>
      <c r="AT196" t="s">
        <v>4257</v>
      </c>
      <c r="AU196" t="s">
        <v>1338</v>
      </c>
      <c r="AV196" t="s">
        <v>4258</v>
      </c>
      <c r="AW196" t="s">
        <v>4259</v>
      </c>
      <c r="AX196" t="s">
        <v>3430</v>
      </c>
      <c r="AY196" t="s">
        <v>4259</v>
      </c>
      <c r="AZ196" t="s">
        <v>4260</v>
      </c>
      <c r="BA196">
        <v>1.68</v>
      </c>
      <c r="BB196">
        <v>2140.8000000000002</v>
      </c>
      <c r="BC196">
        <v>0.38</v>
      </c>
      <c r="BD196">
        <v>161.99</v>
      </c>
      <c r="BE196">
        <v>163.04</v>
      </c>
      <c r="BF196">
        <v>161.71</v>
      </c>
      <c r="BG196" t="s">
        <v>4261</v>
      </c>
      <c r="BH196" t="s">
        <v>4259</v>
      </c>
      <c r="BI196" t="s">
        <v>4262</v>
      </c>
      <c r="BJ196" t="s">
        <v>101</v>
      </c>
      <c r="BK196" t="s">
        <v>2446</v>
      </c>
      <c r="BL196" t="s">
        <v>3255</v>
      </c>
      <c r="BM196" t="s">
        <v>4263</v>
      </c>
      <c r="BN196" t="s">
        <v>4063</v>
      </c>
    </row>
    <row r="197" spans="1:66" x14ac:dyDescent="0.25">
      <c r="A197" t="str">
        <f>HYPERLINK("https://elite.finviz.com/quote.ashx?t=LOW&amp;ty=c&amp;p=d&amp;b=1", "LOW")</f>
        <v>LOW</v>
      </c>
      <c r="B197">
        <v>7</v>
      </c>
      <c r="C197">
        <v>138.38</v>
      </c>
      <c r="D197">
        <v>43.98</v>
      </c>
      <c r="E197" t="s">
        <v>4264</v>
      </c>
      <c r="F197" t="s">
        <v>195</v>
      </c>
      <c r="G197" t="s">
        <v>813</v>
      </c>
      <c r="H197" t="s">
        <v>4265</v>
      </c>
      <c r="I197" t="s">
        <v>70</v>
      </c>
      <c r="J197" t="s">
        <v>71</v>
      </c>
      <c r="K197">
        <v>143672.10999999999</v>
      </c>
      <c r="L197">
        <v>256.18</v>
      </c>
      <c r="M197" t="s">
        <v>4266</v>
      </c>
      <c r="N197">
        <v>346283</v>
      </c>
      <c r="O197">
        <v>21.05</v>
      </c>
      <c r="P197">
        <v>19.29</v>
      </c>
      <c r="Q197">
        <v>3.24</v>
      </c>
      <c r="R197">
        <v>1.72</v>
      </c>
      <c r="T197" t="s">
        <v>4267</v>
      </c>
      <c r="U197">
        <v>4.6500000000000004</v>
      </c>
      <c r="V197" t="s">
        <v>4268</v>
      </c>
      <c r="W197" t="s">
        <v>4269</v>
      </c>
      <c r="X197" t="s">
        <v>2699</v>
      </c>
      <c r="Y197" t="s">
        <v>2163</v>
      </c>
      <c r="Z197" t="s">
        <v>4270</v>
      </c>
      <c r="AA197">
        <v>12.17</v>
      </c>
      <c r="AB197" t="s">
        <v>4271</v>
      </c>
      <c r="AC197" t="s">
        <v>4272</v>
      </c>
      <c r="AD197" t="s">
        <v>2772</v>
      </c>
      <c r="AE197" t="s">
        <v>4273</v>
      </c>
      <c r="AF197" t="s">
        <v>4274</v>
      </c>
      <c r="AG197" t="s">
        <v>295</v>
      </c>
      <c r="AH197" t="s">
        <v>4275</v>
      </c>
      <c r="AI197" t="s">
        <v>4276</v>
      </c>
      <c r="AJ197" t="s">
        <v>4277</v>
      </c>
      <c r="AK197" t="s">
        <v>4278</v>
      </c>
      <c r="AL197">
        <v>1.05</v>
      </c>
      <c r="AM197">
        <v>0.28999999999999998</v>
      </c>
      <c r="AO197" t="s">
        <v>4279</v>
      </c>
      <c r="AP197" t="s">
        <v>2715</v>
      </c>
      <c r="AQ197" t="s">
        <v>2492</v>
      </c>
      <c r="AR197" t="s">
        <v>4280</v>
      </c>
      <c r="AS197" t="s">
        <v>3349</v>
      </c>
      <c r="AT197" t="s">
        <v>4281</v>
      </c>
      <c r="AU197" t="s">
        <v>3544</v>
      </c>
      <c r="AV197" t="s">
        <v>2585</v>
      </c>
      <c r="AW197" t="s">
        <v>4282</v>
      </c>
      <c r="AX197" t="s">
        <v>4283</v>
      </c>
      <c r="AY197" t="s">
        <v>4284</v>
      </c>
      <c r="AZ197" t="s">
        <v>4285</v>
      </c>
      <c r="BA197">
        <v>1.92</v>
      </c>
      <c r="BB197">
        <v>2854.18</v>
      </c>
      <c r="BC197">
        <v>0.43</v>
      </c>
      <c r="BD197">
        <v>255.53</v>
      </c>
      <c r="BE197">
        <v>257.27</v>
      </c>
      <c r="BF197">
        <v>254.2</v>
      </c>
      <c r="BG197" t="s">
        <v>4286</v>
      </c>
      <c r="BH197" t="s">
        <v>4284</v>
      </c>
      <c r="BI197" t="s">
        <v>4287</v>
      </c>
      <c r="BJ197" t="s">
        <v>101</v>
      </c>
      <c r="BK197" t="s">
        <v>1581</v>
      </c>
      <c r="BL197" t="s">
        <v>4288</v>
      </c>
      <c r="BM197" t="s">
        <v>4289</v>
      </c>
      <c r="BN197" t="s">
        <v>4063</v>
      </c>
    </row>
    <row r="198" spans="1:66" x14ac:dyDescent="0.25">
      <c r="A198" t="str">
        <f>HYPERLINK("https://elite.finviz.com/quote.ashx?t=MOD&amp;ty=c&amp;p=d&amp;b=1", "MOD")</f>
        <v>MOD</v>
      </c>
      <c r="B198">
        <v>7</v>
      </c>
      <c r="C198">
        <v>138.38</v>
      </c>
      <c r="D198">
        <v>44.19</v>
      </c>
      <c r="E198" t="s">
        <v>4290</v>
      </c>
      <c r="F198" t="s">
        <v>67</v>
      </c>
      <c r="G198" t="s">
        <v>813</v>
      </c>
      <c r="H198" t="s">
        <v>814</v>
      </c>
      <c r="I198" t="s">
        <v>70</v>
      </c>
      <c r="J198" t="s">
        <v>71</v>
      </c>
      <c r="K198">
        <v>7172.26</v>
      </c>
      <c r="L198">
        <v>136.63999999999999</v>
      </c>
      <c r="M198" t="s">
        <v>2362</v>
      </c>
      <c r="N198">
        <v>81707</v>
      </c>
      <c r="O198">
        <v>39.159999999999997</v>
      </c>
      <c r="P198">
        <v>22.35</v>
      </c>
      <c r="Q198">
        <v>1.62</v>
      </c>
      <c r="R198">
        <v>2.75</v>
      </c>
      <c r="S198">
        <v>7.09</v>
      </c>
      <c r="V198" t="s">
        <v>4291</v>
      </c>
      <c r="Z198" t="s">
        <v>164</v>
      </c>
      <c r="AA198">
        <v>3.49</v>
      </c>
      <c r="AB198" t="s">
        <v>2525</v>
      </c>
      <c r="AD198" t="s">
        <v>4292</v>
      </c>
      <c r="AE198" t="s">
        <v>2232</v>
      </c>
      <c r="AF198" t="s">
        <v>4293</v>
      </c>
      <c r="AG198" t="s">
        <v>1475</v>
      </c>
      <c r="AH198" t="s">
        <v>4294</v>
      </c>
      <c r="AI198" t="s">
        <v>4295</v>
      </c>
      <c r="AJ198" t="s">
        <v>4296</v>
      </c>
      <c r="AK198" t="s">
        <v>4297</v>
      </c>
      <c r="AL198">
        <v>2.06</v>
      </c>
      <c r="AM198">
        <v>1.28</v>
      </c>
      <c r="AN198">
        <v>0.62</v>
      </c>
      <c r="AO198" t="s">
        <v>4298</v>
      </c>
      <c r="AP198" t="s">
        <v>1514</v>
      </c>
      <c r="AQ198" t="s">
        <v>1159</v>
      </c>
      <c r="AR198" t="s">
        <v>3602</v>
      </c>
      <c r="AS198" t="s">
        <v>4299</v>
      </c>
      <c r="AT198" t="s">
        <v>3321</v>
      </c>
      <c r="AU198" t="s">
        <v>1129</v>
      </c>
      <c r="AV198" t="s">
        <v>4300</v>
      </c>
      <c r="AW198" t="s">
        <v>4301</v>
      </c>
      <c r="AX198" t="s">
        <v>4302</v>
      </c>
      <c r="AY198" t="s">
        <v>4301</v>
      </c>
      <c r="AZ198" t="s">
        <v>4303</v>
      </c>
      <c r="BA198">
        <v>1.33</v>
      </c>
      <c r="BB198">
        <v>1056.56</v>
      </c>
      <c r="BC198">
        <v>0.27</v>
      </c>
      <c r="BD198">
        <v>135.91999999999999</v>
      </c>
      <c r="BE198">
        <v>137.82</v>
      </c>
      <c r="BF198">
        <v>135.69999999999999</v>
      </c>
      <c r="BG198" t="s">
        <v>4304</v>
      </c>
      <c r="BH198" t="s">
        <v>4301</v>
      </c>
      <c r="BI198" t="s">
        <v>4305</v>
      </c>
      <c r="BJ198" t="s">
        <v>101</v>
      </c>
      <c r="BK198" t="s">
        <v>2002</v>
      </c>
      <c r="BL198" t="s">
        <v>4306</v>
      </c>
      <c r="BM198" t="s">
        <v>2808</v>
      </c>
      <c r="BN198" t="s">
        <v>4063</v>
      </c>
    </row>
    <row r="199" spans="1:66" x14ac:dyDescent="0.25">
      <c r="A199" t="str">
        <f>HYPERLINK("https://elite.finviz.com/quote.ashx?t=DRH&amp;ty=c&amp;p=d&amp;b=1", "DRH")</f>
        <v>DRH</v>
      </c>
      <c r="B199">
        <v>7</v>
      </c>
      <c r="C199">
        <v>138.38</v>
      </c>
      <c r="D199">
        <v>44.19</v>
      </c>
      <c r="E199" t="s">
        <v>4307</v>
      </c>
      <c r="F199" t="s">
        <v>67</v>
      </c>
      <c r="G199" t="s">
        <v>68</v>
      </c>
      <c r="H199" t="s">
        <v>4145</v>
      </c>
      <c r="I199" t="s">
        <v>70</v>
      </c>
      <c r="J199" t="s">
        <v>71</v>
      </c>
      <c r="K199">
        <v>1666.39</v>
      </c>
      <c r="L199">
        <v>8.09</v>
      </c>
      <c r="M199" t="s">
        <v>4308</v>
      </c>
      <c r="N199">
        <v>318737</v>
      </c>
      <c r="O199">
        <v>29.12</v>
      </c>
      <c r="P199">
        <v>17.559999999999999</v>
      </c>
      <c r="Q199">
        <v>0.69</v>
      </c>
      <c r="R199">
        <v>1.48</v>
      </c>
      <c r="S199">
        <v>1.05</v>
      </c>
      <c r="T199" t="s">
        <v>3519</v>
      </c>
      <c r="U199">
        <v>0.22</v>
      </c>
      <c r="V199" t="s">
        <v>198</v>
      </c>
      <c r="W199" t="s">
        <v>164</v>
      </c>
      <c r="Y199" t="s">
        <v>4309</v>
      </c>
      <c r="Z199" t="s">
        <v>1556</v>
      </c>
      <c r="AA199">
        <v>0.28000000000000003</v>
      </c>
      <c r="AC199" t="s">
        <v>2574</v>
      </c>
      <c r="AD199" t="s">
        <v>4310</v>
      </c>
      <c r="AE199" t="s">
        <v>3257</v>
      </c>
      <c r="AF199" t="s">
        <v>4311</v>
      </c>
      <c r="AG199" t="s">
        <v>1934</v>
      </c>
      <c r="AH199" t="s">
        <v>4312</v>
      </c>
      <c r="AI199" t="s">
        <v>2136</v>
      </c>
      <c r="AJ199" t="s">
        <v>164</v>
      </c>
      <c r="AK199" t="s">
        <v>4313</v>
      </c>
      <c r="AL199">
        <v>0.96</v>
      </c>
      <c r="AM199">
        <v>0.96</v>
      </c>
      <c r="AN199">
        <v>0.7</v>
      </c>
      <c r="AO199" t="s">
        <v>4314</v>
      </c>
      <c r="AP199" t="s">
        <v>4315</v>
      </c>
      <c r="AQ199" t="s">
        <v>322</v>
      </c>
      <c r="AR199" t="s">
        <v>2082</v>
      </c>
      <c r="AS199" t="s">
        <v>909</v>
      </c>
      <c r="AT199" t="s">
        <v>4316</v>
      </c>
      <c r="AU199" t="s">
        <v>1445</v>
      </c>
      <c r="AV199" t="s">
        <v>2745</v>
      </c>
      <c r="AW199" t="s">
        <v>4317</v>
      </c>
      <c r="AX199" t="s">
        <v>191</v>
      </c>
      <c r="AY199" t="s">
        <v>4318</v>
      </c>
      <c r="AZ199" t="s">
        <v>4319</v>
      </c>
      <c r="BA199">
        <v>2.36</v>
      </c>
      <c r="BB199">
        <v>2879.7</v>
      </c>
      <c r="BC199">
        <v>0.39</v>
      </c>
      <c r="BD199">
        <v>8.0399999999999991</v>
      </c>
      <c r="BE199">
        <v>8.14</v>
      </c>
      <c r="BF199">
        <v>8.02</v>
      </c>
      <c r="BG199" t="s">
        <v>4320</v>
      </c>
      <c r="BH199" t="s">
        <v>4321</v>
      </c>
      <c r="BI199" t="s">
        <v>4322</v>
      </c>
      <c r="BJ199" t="s">
        <v>101</v>
      </c>
      <c r="BK199" t="s">
        <v>4323</v>
      </c>
      <c r="BL199" t="s">
        <v>4324</v>
      </c>
      <c r="BM199" t="s">
        <v>4325</v>
      </c>
      <c r="BN199" t="s">
        <v>4063</v>
      </c>
    </row>
    <row r="200" spans="1:66" x14ac:dyDescent="0.25">
      <c r="A200" t="str">
        <f>HYPERLINK("https://elite.finviz.com/quote.ashx?t=PGEN&amp;ty=c&amp;p=d&amp;b=1", "PGEN")</f>
        <v>PGEN</v>
      </c>
      <c r="B200">
        <v>7</v>
      </c>
      <c r="C200">
        <v>138.38</v>
      </c>
      <c r="D200">
        <v>44.27</v>
      </c>
      <c r="E200" t="s">
        <v>4326</v>
      </c>
      <c r="F200" t="s">
        <v>67</v>
      </c>
      <c r="G200" t="s">
        <v>428</v>
      </c>
      <c r="H200" t="s">
        <v>429</v>
      </c>
      <c r="I200" t="s">
        <v>70</v>
      </c>
      <c r="J200" t="s">
        <v>321</v>
      </c>
      <c r="K200">
        <v>1017.58</v>
      </c>
      <c r="L200">
        <v>3.41</v>
      </c>
      <c r="M200" t="s">
        <v>3559</v>
      </c>
      <c r="N200">
        <v>908424</v>
      </c>
      <c r="R200">
        <v>234.47</v>
      </c>
      <c r="AA200">
        <v>-0.43</v>
      </c>
      <c r="AB200" t="s">
        <v>3388</v>
      </c>
      <c r="AC200" t="s">
        <v>4327</v>
      </c>
      <c r="AE200" t="s">
        <v>4328</v>
      </c>
      <c r="AF200" t="s">
        <v>4329</v>
      </c>
      <c r="AG200" t="s">
        <v>4330</v>
      </c>
      <c r="AH200" t="s">
        <v>4331</v>
      </c>
      <c r="AI200" t="s">
        <v>82</v>
      </c>
      <c r="AJ200" t="s">
        <v>3554</v>
      </c>
      <c r="AK200" t="s">
        <v>4332</v>
      </c>
      <c r="AL200">
        <v>2.71</v>
      </c>
      <c r="AM200">
        <v>2.71</v>
      </c>
      <c r="AO200" t="s">
        <v>4333</v>
      </c>
      <c r="AP200" t="s">
        <v>4334</v>
      </c>
      <c r="AQ200" t="s">
        <v>4335</v>
      </c>
      <c r="AR200" t="s">
        <v>2698</v>
      </c>
      <c r="AS200" t="s">
        <v>3664</v>
      </c>
      <c r="AT200" t="s">
        <v>4336</v>
      </c>
      <c r="AU200" t="s">
        <v>2377</v>
      </c>
      <c r="AV200" t="s">
        <v>4337</v>
      </c>
      <c r="AW200" t="s">
        <v>4338</v>
      </c>
      <c r="AX200" t="s">
        <v>4339</v>
      </c>
      <c r="AY200" t="s">
        <v>4338</v>
      </c>
      <c r="AZ200" t="s">
        <v>4340</v>
      </c>
      <c r="BA200">
        <v>1.5</v>
      </c>
      <c r="BB200">
        <v>8543</v>
      </c>
      <c r="BC200">
        <v>0.37</v>
      </c>
      <c r="BD200">
        <v>3.48</v>
      </c>
      <c r="BE200">
        <v>3.52</v>
      </c>
      <c r="BF200">
        <v>3.37</v>
      </c>
      <c r="BG200" t="s">
        <v>4341</v>
      </c>
      <c r="BH200" t="s">
        <v>4342</v>
      </c>
      <c r="BI200" t="s">
        <v>4340</v>
      </c>
      <c r="BJ200" t="s">
        <v>101</v>
      </c>
      <c r="BK200" t="s">
        <v>4343</v>
      </c>
      <c r="BL200" t="s">
        <v>4344</v>
      </c>
      <c r="BM200" t="s">
        <v>4345</v>
      </c>
      <c r="BN200" t="s">
        <v>4063</v>
      </c>
    </row>
    <row r="201" spans="1:66" x14ac:dyDescent="0.25">
      <c r="A201" t="str">
        <f>HYPERLINK("https://elite.finviz.com/quote.ashx?t=SCWO&amp;ty=c&amp;p=d&amp;b=1", "SCWO")</f>
        <v>SCWO</v>
      </c>
      <c r="B201">
        <v>7</v>
      </c>
      <c r="C201">
        <v>138.38</v>
      </c>
      <c r="D201">
        <v>44.31</v>
      </c>
      <c r="E201" t="s">
        <v>4346</v>
      </c>
      <c r="F201" t="s">
        <v>107</v>
      </c>
      <c r="G201" t="s">
        <v>260</v>
      </c>
      <c r="H201" t="s">
        <v>4347</v>
      </c>
      <c r="I201" t="s">
        <v>70</v>
      </c>
      <c r="J201" t="s">
        <v>321</v>
      </c>
      <c r="K201">
        <v>45.3</v>
      </c>
      <c r="L201">
        <v>0.3</v>
      </c>
      <c r="M201" t="s">
        <v>1225</v>
      </c>
      <c r="N201">
        <v>129443</v>
      </c>
      <c r="R201">
        <v>36.83</v>
      </c>
      <c r="S201">
        <v>4.93</v>
      </c>
      <c r="AA201">
        <v>-0.11</v>
      </c>
      <c r="AB201" t="s">
        <v>4348</v>
      </c>
      <c r="AC201" t="s">
        <v>4349</v>
      </c>
      <c r="AF201" t="s">
        <v>4350</v>
      </c>
      <c r="AG201" t="s">
        <v>4351</v>
      </c>
      <c r="AH201" t="s">
        <v>4352</v>
      </c>
      <c r="AJ201" t="s">
        <v>4191</v>
      </c>
      <c r="AK201" t="s">
        <v>3305</v>
      </c>
      <c r="AL201">
        <v>2.61</v>
      </c>
      <c r="AM201">
        <v>1.98</v>
      </c>
      <c r="AN201">
        <v>7.0000000000000007E-2</v>
      </c>
      <c r="AO201" t="s">
        <v>4353</v>
      </c>
      <c r="AP201" t="s">
        <v>4354</v>
      </c>
      <c r="AQ201" t="s">
        <v>4355</v>
      </c>
      <c r="AR201" t="s">
        <v>3147</v>
      </c>
      <c r="AS201" t="s">
        <v>2819</v>
      </c>
      <c r="AT201" t="s">
        <v>4356</v>
      </c>
      <c r="AU201" t="s">
        <v>2700</v>
      </c>
      <c r="AV201" t="s">
        <v>4357</v>
      </c>
      <c r="AW201" t="s">
        <v>4358</v>
      </c>
      <c r="AX201" t="s">
        <v>4359</v>
      </c>
      <c r="AY201" t="s">
        <v>4360</v>
      </c>
      <c r="AZ201" t="s">
        <v>4359</v>
      </c>
      <c r="BA201">
        <v>1</v>
      </c>
      <c r="BB201">
        <v>1386.12</v>
      </c>
      <c r="BC201">
        <v>0.33</v>
      </c>
      <c r="BD201">
        <v>0.31</v>
      </c>
      <c r="BE201">
        <v>0.31</v>
      </c>
      <c r="BF201">
        <v>0.31</v>
      </c>
      <c r="BG201" t="s">
        <v>4361</v>
      </c>
      <c r="BH201" t="s">
        <v>4362</v>
      </c>
      <c r="BJ201" t="s">
        <v>101</v>
      </c>
      <c r="BK201" t="s">
        <v>4363</v>
      </c>
      <c r="BL201" t="s">
        <v>4364</v>
      </c>
      <c r="BM201" t="s">
        <v>4365</v>
      </c>
      <c r="BN201" t="s">
        <v>4063</v>
      </c>
    </row>
    <row r="202" spans="1:66" x14ac:dyDescent="0.25">
      <c r="A202" t="str">
        <f>HYPERLINK("https://elite.finviz.com/quote.ashx?t=ALAB&amp;ty=c&amp;p=d&amp;b=1", "ALAB")</f>
        <v>ALAB</v>
      </c>
      <c r="B202">
        <v>7</v>
      </c>
      <c r="C202">
        <v>138.38</v>
      </c>
      <c r="D202">
        <v>44.42</v>
      </c>
      <c r="E202" t="s">
        <v>4366</v>
      </c>
      <c r="F202" t="s">
        <v>107</v>
      </c>
      <c r="G202" t="s">
        <v>108</v>
      </c>
      <c r="H202" t="s">
        <v>1808</v>
      </c>
      <c r="I202" t="s">
        <v>70</v>
      </c>
      <c r="J202" t="s">
        <v>321</v>
      </c>
      <c r="K202">
        <v>32492.52</v>
      </c>
      <c r="L202">
        <v>195.48</v>
      </c>
      <c r="M202" t="s">
        <v>4367</v>
      </c>
      <c r="N202">
        <v>1269220</v>
      </c>
      <c r="O202">
        <v>342.77</v>
      </c>
      <c r="P202">
        <v>94.92</v>
      </c>
      <c r="Q202">
        <v>6.51</v>
      </c>
      <c r="R202">
        <v>53.66</v>
      </c>
      <c r="S202">
        <v>28.61</v>
      </c>
      <c r="AA202">
        <v>0.56999999999999995</v>
      </c>
      <c r="AB202" t="s">
        <v>4368</v>
      </c>
      <c r="AD202" t="s">
        <v>4369</v>
      </c>
      <c r="AE202" t="s">
        <v>4370</v>
      </c>
      <c r="AF202" t="s">
        <v>4371</v>
      </c>
      <c r="AH202" t="s">
        <v>4372</v>
      </c>
      <c r="AI202" t="s">
        <v>4373</v>
      </c>
      <c r="AJ202" t="s">
        <v>4374</v>
      </c>
      <c r="AK202" t="s">
        <v>4375</v>
      </c>
      <c r="AL202">
        <v>11.1</v>
      </c>
      <c r="AM202">
        <v>10.55</v>
      </c>
      <c r="AN202">
        <v>0.03</v>
      </c>
      <c r="AO202" t="s">
        <v>4376</v>
      </c>
      <c r="AP202" t="s">
        <v>1310</v>
      </c>
      <c r="AQ202" t="s">
        <v>949</v>
      </c>
      <c r="AR202" t="s">
        <v>4377</v>
      </c>
      <c r="AS202" t="s">
        <v>2232</v>
      </c>
      <c r="AT202" t="s">
        <v>1245</v>
      </c>
      <c r="AU202" t="s">
        <v>4378</v>
      </c>
      <c r="AV202" t="s">
        <v>4379</v>
      </c>
      <c r="AW202" t="s">
        <v>4380</v>
      </c>
      <c r="AX202" t="s">
        <v>4381</v>
      </c>
      <c r="AY202" t="s">
        <v>4380</v>
      </c>
      <c r="AZ202" t="s">
        <v>4382</v>
      </c>
      <c r="BA202">
        <v>1.58</v>
      </c>
      <c r="BB202">
        <v>6003.32</v>
      </c>
      <c r="BC202">
        <v>0.74</v>
      </c>
      <c r="BD202">
        <v>200.64</v>
      </c>
      <c r="BE202">
        <v>201.46</v>
      </c>
      <c r="BF202">
        <v>194.2</v>
      </c>
      <c r="BG202" t="s">
        <v>4383</v>
      </c>
      <c r="BH202" t="s">
        <v>4380</v>
      </c>
      <c r="BI202" t="s">
        <v>4384</v>
      </c>
      <c r="BJ202" t="s">
        <v>101</v>
      </c>
      <c r="BK202" t="s">
        <v>4050</v>
      </c>
      <c r="BL202" t="s">
        <v>4385</v>
      </c>
      <c r="BM202" t="s">
        <v>4386</v>
      </c>
      <c r="BN202" t="s">
        <v>4063</v>
      </c>
    </row>
    <row r="203" spans="1:66" x14ac:dyDescent="0.25">
      <c r="A203" t="str">
        <f>HYPERLINK("https://elite.finviz.com/quote.ashx?t=RVLV&amp;ty=c&amp;p=d&amp;b=1", "RVLV")</f>
        <v>RVLV</v>
      </c>
      <c r="B203">
        <v>7</v>
      </c>
      <c r="C203">
        <v>138.38</v>
      </c>
      <c r="D203">
        <v>44.51</v>
      </c>
      <c r="E203" t="s">
        <v>4387</v>
      </c>
      <c r="F203" t="s">
        <v>67</v>
      </c>
      <c r="G203" t="s">
        <v>813</v>
      </c>
      <c r="H203" t="s">
        <v>4388</v>
      </c>
      <c r="I203" t="s">
        <v>70</v>
      </c>
      <c r="J203" t="s">
        <v>71</v>
      </c>
      <c r="K203">
        <v>1572.78</v>
      </c>
      <c r="L203">
        <v>22.06</v>
      </c>
      <c r="M203" t="s">
        <v>164</v>
      </c>
      <c r="N203">
        <v>89280</v>
      </c>
      <c r="O203">
        <v>35.049999999999997</v>
      </c>
      <c r="P203">
        <v>30.91</v>
      </c>
      <c r="Q203">
        <v>2.89</v>
      </c>
      <c r="R203">
        <v>1.33</v>
      </c>
      <c r="S203">
        <v>3.36</v>
      </c>
      <c r="Z203" t="s">
        <v>164</v>
      </c>
      <c r="AA203">
        <v>0.63</v>
      </c>
      <c r="AB203" t="s">
        <v>4389</v>
      </c>
      <c r="AD203" t="s">
        <v>709</v>
      </c>
      <c r="AE203" t="s">
        <v>3901</v>
      </c>
      <c r="AF203" t="s">
        <v>2848</v>
      </c>
      <c r="AG203" t="s">
        <v>4390</v>
      </c>
      <c r="AH203" t="s">
        <v>2210</v>
      </c>
      <c r="AI203" t="s">
        <v>3343</v>
      </c>
      <c r="AJ203" t="s">
        <v>164</v>
      </c>
      <c r="AK203" t="s">
        <v>4391</v>
      </c>
      <c r="AL203">
        <v>2.71</v>
      </c>
      <c r="AM203">
        <v>1.67</v>
      </c>
      <c r="AN203">
        <v>0.08</v>
      </c>
      <c r="AO203" t="s">
        <v>4392</v>
      </c>
      <c r="AP203" t="s">
        <v>4393</v>
      </c>
      <c r="AQ203" t="s">
        <v>323</v>
      </c>
      <c r="AR203" t="s">
        <v>4394</v>
      </c>
      <c r="AS203" t="s">
        <v>4395</v>
      </c>
      <c r="AT203" t="s">
        <v>4396</v>
      </c>
      <c r="AU203" t="s">
        <v>1409</v>
      </c>
      <c r="AV203" t="s">
        <v>4397</v>
      </c>
      <c r="AW203" t="s">
        <v>225</v>
      </c>
      <c r="AX203" t="s">
        <v>4398</v>
      </c>
      <c r="AY203" t="s">
        <v>4399</v>
      </c>
      <c r="AZ203" t="s">
        <v>4400</v>
      </c>
      <c r="BA203">
        <v>1.93</v>
      </c>
      <c r="BB203">
        <v>1204.23</v>
      </c>
      <c r="BC203">
        <v>0.26</v>
      </c>
      <c r="BD203">
        <v>22.06</v>
      </c>
      <c r="BE203">
        <v>22.41</v>
      </c>
      <c r="BF203">
        <v>22</v>
      </c>
      <c r="BG203" t="s">
        <v>4401</v>
      </c>
      <c r="BH203" t="s">
        <v>3991</v>
      </c>
      <c r="BI203" t="s">
        <v>4402</v>
      </c>
      <c r="BJ203" t="s">
        <v>101</v>
      </c>
      <c r="BK203" t="s">
        <v>4403</v>
      </c>
      <c r="BL203" t="s">
        <v>4404</v>
      </c>
      <c r="BM203" t="s">
        <v>4405</v>
      </c>
      <c r="BN203" t="s">
        <v>4063</v>
      </c>
    </row>
    <row r="204" spans="1:66" x14ac:dyDescent="0.25">
      <c r="A204" t="str">
        <f>HYPERLINK("https://elite.finviz.com/quote.ashx?t=LMND&amp;ty=c&amp;p=d&amp;b=1", "LMND")</f>
        <v>LMND</v>
      </c>
      <c r="B204">
        <v>7</v>
      </c>
      <c r="C204">
        <v>138.38</v>
      </c>
      <c r="D204">
        <v>44.7</v>
      </c>
      <c r="E204" t="s">
        <v>4406</v>
      </c>
      <c r="F204" t="s">
        <v>67</v>
      </c>
      <c r="G204" t="s">
        <v>550</v>
      </c>
      <c r="H204" t="s">
        <v>4407</v>
      </c>
      <c r="I204" t="s">
        <v>70</v>
      </c>
      <c r="J204" t="s">
        <v>71</v>
      </c>
      <c r="K204">
        <v>3760.88</v>
      </c>
      <c r="L204">
        <v>50.9</v>
      </c>
      <c r="M204" t="s">
        <v>4408</v>
      </c>
      <c r="N204">
        <v>1138844</v>
      </c>
      <c r="R204">
        <v>7.68</v>
      </c>
      <c r="S204">
        <v>7.13</v>
      </c>
      <c r="AA204">
        <v>-2.82</v>
      </c>
      <c r="AB204" t="s">
        <v>4409</v>
      </c>
      <c r="AC204" t="s">
        <v>4410</v>
      </c>
      <c r="AD204" t="s">
        <v>4411</v>
      </c>
      <c r="AE204" t="s">
        <v>4412</v>
      </c>
      <c r="AF204" t="s">
        <v>4413</v>
      </c>
      <c r="AG204" t="s">
        <v>4414</v>
      </c>
      <c r="AH204" t="s">
        <v>279</v>
      </c>
      <c r="AI204" t="s">
        <v>3426</v>
      </c>
      <c r="AJ204" t="s">
        <v>2106</v>
      </c>
      <c r="AK204" t="s">
        <v>4415</v>
      </c>
      <c r="AL204">
        <v>3.09</v>
      </c>
      <c r="AN204">
        <v>0.27</v>
      </c>
      <c r="AP204" t="s">
        <v>4348</v>
      </c>
      <c r="AQ204" t="s">
        <v>4349</v>
      </c>
      <c r="AR204" t="s">
        <v>4416</v>
      </c>
      <c r="AS204" t="s">
        <v>1496</v>
      </c>
      <c r="AT204" t="s">
        <v>4417</v>
      </c>
      <c r="AU204" t="s">
        <v>2864</v>
      </c>
      <c r="AV204" t="s">
        <v>4418</v>
      </c>
      <c r="AW204" t="s">
        <v>172</v>
      </c>
      <c r="AX204" t="s">
        <v>4419</v>
      </c>
      <c r="AY204" t="s">
        <v>172</v>
      </c>
      <c r="AZ204" t="s">
        <v>4420</v>
      </c>
      <c r="BA204">
        <v>3.5</v>
      </c>
      <c r="BB204">
        <v>2641.98</v>
      </c>
      <c r="BC204">
        <v>1.52</v>
      </c>
      <c r="BD204">
        <v>52.46</v>
      </c>
      <c r="BE204">
        <v>52.53</v>
      </c>
      <c r="BF204">
        <v>49.84</v>
      </c>
      <c r="BG204" t="s">
        <v>4421</v>
      </c>
      <c r="BH204" t="s">
        <v>4422</v>
      </c>
      <c r="BI204" t="s">
        <v>4423</v>
      </c>
      <c r="BJ204" t="s">
        <v>101</v>
      </c>
      <c r="BK204" t="s">
        <v>4424</v>
      </c>
      <c r="BL204" t="s">
        <v>4425</v>
      </c>
      <c r="BM204" t="s">
        <v>4426</v>
      </c>
      <c r="BN204" t="s">
        <v>4063</v>
      </c>
    </row>
    <row r="205" spans="1:66" x14ac:dyDescent="0.25">
      <c r="A205" t="str">
        <f>HYPERLINK("https://elite.finviz.com/quote.ashx?t=DBI&amp;ty=c&amp;p=d&amp;b=1", "DBI")</f>
        <v>DBI</v>
      </c>
      <c r="B205">
        <v>7</v>
      </c>
      <c r="C205">
        <v>138.38</v>
      </c>
      <c r="D205">
        <v>44.71</v>
      </c>
      <c r="E205" t="s">
        <v>4427</v>
      </c>
      <c r="F205" t="s">
        <v>67</v>
      </c>
      <c r="G205" t="s">
        <v>813</v>
      </c>
      <c r="H205" t="s">
        <v>4043</v>
      </c>
      <c r="I205" t="s">
        <v>70</v>
      </c>
      <c r="J205" t="s">
        <v>71</v>
      </c>
      <c r="K205">
        <v>184.55</v>
      </c>
      <c r="L205">
        <v>3.72</v>
      </c>
      <c r="M205" t="s">
        <v>2486</v>
      </c>
      <c r="N205">
        <v>59712</v>
      </c>
      <c r="P205">
        <v>73.41</v>
      </c>
      <c r="R205">
        <v>0.06</v>
      </c>
      <c r="S205">
        <v>0.66</v>
      </c>
      <c r="T205" t="s">
        <v>4428</v>
      </c>
      <c r="U205">
        <v>0.2</v>
      </c>
      <c r="V205" t="s">
        <v>4105</v>
      </c>
      <c r="W205" t="s">
        <v>164</v>
      </c>
      <c r="Y205" t="s">
        <v>4429</v>
      </c>
      <c r="AA205">
        <v>-0.7</v>
      </c>
      <c r="AD205" t="s">
        <v>2621</v>
      </c>
      <c r="AE205" t="s">
        <v>4430</v>
      </c>
      <c r="AF205" t="s">
        <v>4431</v>
      </c>
      <c r="AG205" t="s">
        <v>3845</v>
      </c>
      <c r="AH205" t="s">
        <v>4432</v>
      </c>
      <c r="AI205" t="s">
        <v>4433</v>
      </c>
      <c r="AJ205" t="s">
        <v>1714</v>
      </c>
      <c r="AK205" t="s">
        <v>4434</v>
      </c>
      <c r="AL205">
        <v>1.31</v>
      </c>
      <c r="AM205">
        <v>0.25</v>
      </c>
      <c r="AN205">
        <v>4.82</v>
      </c>
      <c r="AO205" t="s">
        <v>4435</v>
      </c>
      <c r="AP205" t="s">
        <v>1279</v>
      </c>
      <c r="AQ205" t="s">
        <v>4436</v>
      </c>
      <c r="AR205" t="s">
        <v>4077</v>
      </c>
      <c r="AS205" t="s">
        <v>4437</v>
      </c>
      <c r="AT205" t="s">
        <v>4438</v>
      </c>
      <c r="AU205" t="s">
        <v>3521</v>
      </c>
      <c r="AV205" t="s">
        <v>4439</v>
      </c>
      <c r="AW205" t="s">
        <v>4440</v>
      </c>
      <c r="AX205" t="s">
        <v>4441</v>
      </c>
      <c r="AY205" t="s">
        <v>3195</v>
      </c>
      <c r="AZ205" t="s">
        <v>4442</v>
      </c>
      <c r="BA205">
        <v>3</v>
      </c>
      <c r="BB205">
        <v>1248.82</v>
      </c>
      <c r="BC205">
        <v>0.17</v>
      </c>
      <c r="BD205">
        <v>3.74</v>
      </c>
      <c r="BE205">
        <v>3.8</v>
      </c>
      <c r="BF205">
        <v>3.72</v>
      </c>
      <c r="BG205" t="s">
        <v>4443</v>
      </c>
      <c r="BH205" t="s">
        <v>4444</v>
      </c>
      <c r="BI205" t="s">
        <v>4442</v>
      </c>
      <c r="BJ205" t="s">
        <v>101</v>
      </c>
      <c r="BK205" t="s">
        <v>4445</v>
      </c>
      <c r="BL205" t="s">
        <v>4446</v>
      </c>
      <c r="BM205" t="s">
        <v>4447</v>
      </c>
      <c r="BN205" t="s">
        <v>4063</v>
      </c>
    </row>
    <row r="206" spans="1:66" x14ac:dyDescent="0.25">
      <c r="A206" t="str">
        <f>HYPERLINK("https://elite.finviz.com/quote.ashx?t=IGC&amp;ty=c&amp;p=d&amp;b=1", "IGC")</f>
        <v>IGC</v>
      </c>
      <c r="B206">
        <v>7</v>
      </c>
      <c r="C206">
        <v>138.38</v>
      </c>
      <c r="D206">
        <v>44.8</v>
      </c>
      <c r="E206" t="s">
        <v>4448</v>
      </c>
      <c r="F206" t="s">
        <v>107</v>
      </c>
      <c r="G206" t="s">
        <v>428</v>
      </c>
      <c r="H206" t="s">
        <v>429</v>
      </c>
      <c r="I206" t="s">
        <v>70</v>
      </c>
      <c r="J206" t="s">
        <v>383</v>
      </c>
      <c r="K206">
        <v>35.549999999999997</v>
      </c>
      <c r="L206">
        <v>0.39</v>
      </c>
      <c r="M206" t="s">
        <v>4065</v>
      </c>
      <c r="N206">
        <v>111056</v>
      </c>
      <c r="R206">
        <v>26.73</v>
      </c>
      <c r="S206">
        <v>5.35</v>
      </c>
      <c r="AA206">
        <v>-0.08</v>
      </c>
      <c r="AB206" t="s">
        <v>4449</v>
      </c>
      <c r="AC206" t="s">
        <v>4450</v>
      </c>
      <c r="AE206" t="s">
        <v>4451</v>
      </c>
      <c r="AF206" t="s">
        <v>4452</v>
      </c>
      <c r="AG206" t="s">
        <v>2475</v>
      </c>
      <c r="AH206" t="s">
        <v>1531</v>
      </c>
      <c r="AJ206" t="s">
        <v>164</v>
      </c>
      <c r="AK206" t="s">
        <v>3636</v>
      </c>
      <c r="AL206">
        <v>1.25</v>
      </c>
      <c r="AM206">
        <v>0.46</v>
      </c>
      <c r="AN206">
        <v>0.03</v>
      </c>
      <c r="AO206" t="s">
        <v>4269</v>
      </c>
      <c r="AP206" t="s">
        <v>4453</v>
      </c>
      <c r="AQ206" t="s">
        <v>4454</v>
      </c>
      <c r="AR206" t="s">
        <v>247</v>
      </c>
      <c r="AS206" t="s">
        <v>3818</v>
      </c>
      <c r="AT206" t="s">
        <v>2335</v>
      </c>
      <c r="AU206" t="s">
        <v>124</v>
      </c>
      <c r="AV206" t="s">
        <v>4455</v>
      </c>
      <c r="AW206" t="s">
        <v>4456</v>
      </c>
      <c r="AX206" t="s">
        <v>347</v>
      </c>
      <c r="AY206" t="s">
        <v>4456</v>
      </c>
      <c r="AZ206" t="s">
        <v>4457</v>
      </c>
      <c r="BA206">
        <v>1</v>
      </c>
      <c r="BB206">
        <v>2995.1</v>
      </c>
      <c r="BC206">
        <v>0.13</v>
      </c>
      <c r="BD206">
        <v>0.39</v>
      </c>
      <c r="BE206">
        <v>0.4</v>
      </c>
      <c r="BF206">
        <v>0.39</v>
      </c>
      <c r="BG206" t="s">
        <v>4458</v>
      </c>
      <c r="BH206" t="s">
        <v>4459</v>
      </c>
      <c r="BJ206" t="s">
        <v>101</v>
      </c>
      <c r="BK206" t="s">
        <v>4460</v>
      </c>
      <c r="BL206" t="s">
        <v>4461</v>
      </c>
      <c r="BM206" t="s">
        <v>4462</v>
      </c>
      <c r="BN206" t="s">
        <v>4063</v>
      </c>
    </row>
    <row r="207" spans="1:66" x14ac:dyDescent="0.25">
      <c r="A207" t="str">
        <f>HYPERLINK("https://elite.finviz.com/quote.ashx?t=INSM&amp;ty=c&amp;p=d&amp;b=1", "INSM")</f>
        <v>INSM</v>
      </c>
      <c r="B207">
        <v>7</v>
      </c>
      <c r="C207">
        <v>138.38</v>
      </c>
      <c r="D207">
        <v>44.9</v>
      </c>
      <c r="E207" t="s">
        <v>4463</v>
      </c>
      <c r="F207" t="s">
        <v>107</v>
      </c>
      <c r="G207" t="s">
        <v>428</v>
      </c>
      <c r="H207" t="s">
        <v>429</v>
      </c>
      <c r="I207" t="s">
        <v>70</v>
      </c>
      <c r="J207" t="s">
        <v>321</v>
      </c>
      <c r="K207">
        <v>28609.58</v>
      </c>
      <c r="L207">
        <v>135.35</v>
      </c>
      <c r="M207" t="s">
        <v>2906</v>
      </c>
      <c r="N207">
        <v>289570</v>
      </c>
      <c r="R207">
        <v>71.86</v>
      </c>
      <c r="S207">
        <v>22.86</v>
      </c>
      <c r="AA207">
        <v>-5.7</v>
      </c>
      <c r="AB207" t="s">
        <v>1024</v>
      </c>
      <c r="AC207" t="s">
        <v>4464</v>
      </c>
      <c r="AD207" t="s">
        <v>4465</v>
      </c>
      <c r="AE207" t="s">
        <v>4466</v>
      </c>
      <c r="AF207" t="s">
        <v>4467</v>
      </c>
      <c r="AG207" t="s">
        <v>233</v>
      </c>
      <c r="AH207" t="s">
        <v>4468</v>
      </c>
      <c r="AI207" t="s">
        <v>4469</v>
      </c>
      <c r="AJ207" t="s">
        <v>4470</v>
      </c>
      <c r="AK207" t="s">
        <v>4471</v>
      </c>
      <c r="AL207">
        <v>6.68</v>
      </c>
      <c r="AM207">
        <v>6.33</v>
      </c>
      <c r="AN207">
        <v>0.59</v>
      </c>
      <c r="AO207" t="s">
        <v>4472</v>
      </c>
      <c r="AP207" t="s">
        <v>4473</v>
      </c>
      <c r="AQ207" t="s">
        <v>4474</v>
      </c>
      <c r="AR207" t="s">
        <v>1768</v>
      </c>
      <c r="AS207" t="s">
        <v>89</v>
      </c>
      <c r="AT207" t="s">
        <v>4475</v>
      </c>
      <c r="AU207" t="s">
        <v>4476</v>
      </c>
      <c r="AV207" t="s">
        <v>4477</v>
      </c>
      <c r="AW207" t="s">
        <v>4478</v>
      </c>
      <c r="AX207" t="s">
        <v>4479</v>
      </c>
      <c r="AY207" t="s">
        <v>4478</v>
      </c>
      <c r="AZ207" t="s">
        <v>4480</v>
      </c>
      <c r="BA207">
        <v>1.1499999999999999</v>
      </c>
      <c r="BB207">
        <v>3165.49</v>
      </c>
      <c r="BC207">
        <v>0.32</v>
      </c>
      <c r="BD207">
        <v>135.59</v>
      </c>
      <c r="BE207">
        <v>136.86000000000001</v>
      </c>
      <c r="BF207">
        <v>134.01</v>
      </c>
      <c r="BG207" t="s">
        <v>4481</v>
      </c>
      <c r="BH207" t="s">
        <v>4482</v>
      </c>
      <c r="BI207" t="s">
        <v>4483</v>
      </c>
      <c r="BJ207" t="s">
        <v>101</v>
      </c>
      <c r="BK207" t="s">
        <v>4484</v>
      </c>
      <c r="BL207" t="s">
        <v>4485</v>
      </c>
      <c r="BM207" t="s">
        <v>4486</v>
      </c>
      <c r="BN207" t="s">
        <v>4063</v>
      </c>
    </row>
    <row r="208" spans="1:66" x14ac:dyDescent="0.25">
      <c r="A208" t="str">
        <f>HYPERLINK("https://elite.finviz.com/quote.ashx?t=GAP&amp;ty=c&amp;p=d&amp;b=1", "GAP")</f>
        <v>GAP</v>
      </c>
      <c r="B208">
        <v>7</v>
      </c>
      <c r="C208">
        <v>138.38</v>
      </c>
      <c r="D208">
        <v>44.9</v>
      </c>
      <c r="E208" t="s">
        <v>4487</v>
      </c>
      <c r="F208" t="s">
        <v>107</v>
      </c>
      <c r="G208" t="s">
        <v>813</v>
      </c>
      <c r="H208" t="s">
        <v>4488</v>
      </c>
      <c r="I208" t="s">
        <v>70</v>
      </c>
      <c r="J208" t="s">
        <v>71</v>
      </c>
      <c r="K208">
        <v>8130.91</v>
      </c>
      <c r="L208">
        <v>21.91</v>
      </c>
      <c r="M208" t="s">
        <v>609</v>
      </c>
      <c r="N208">
        <v>1278115</v>
      </c>
      <c r="O208">
        <v>9.42</v>
      </c>
      <c r="P208">
        <v>10.17</v>
      </c>
      <c r="Q208">
        <v>4.96</v>
      </c>
      <c r="R208">
        <v>0.54</v>
      </c>
      <c r="S208">
        <v>2.37</v>
      </c>
      <c r="T208" t="s">
        <v>307</v>
      </c>
      <c r="U208">
        <v>0.63</v>
      </c>
      <c r="V208" t="s">
        <v>4489</v>
      </c>
      <c r="W208" t="s">
        <v>164</v>
      </c>
      <c r="X208" t="s">
        <v>164</v>
      </c>
      <c r="Y208" t="s">
        <v>843</v>
      </c>
      <c r="Z208" t="s">
        <v>4490</v>
      </c>
      <c r="AA208">
        <v>2.33</v>
      </c>
      <c r="AB208" t="s">
        <v>4491</v>
      </c>
      <c r="AC208" t="s">
        <v>4492</v>
      </c>
      <c r="AD208" t="s">
        <v>4493</v>
      </c>
      <c r="AE208" t="s">
        <v>3752</v>
      </c>
      <c r="AF208" t="s">
        <v>3814</v>
      </c>
      <c r="AG208" t="s">
        <v>364</v>
      </c>
      <c r="AH208" t="s">
        <v>4494</v>
      </c>
      <c r="AI208" t="s">
        <v>4495</v>
      </c>
      <c r="AJ208" t="s">
        <v>3388</v>
      </c>
      <c r="AK208" t="s">
        <v>4496</v>
      </c>
      <c r="AL208">
        <v>1.68</v>
      </c>
      <c r="AM208">
        <v>0.96</v>
      </c>
      <c r="AN208">
        <v>1.63</v>
      </c>
      <c r="AO208" t="s">
        <v>4497</v>
      </c>
      <c r="AP208" t="s">
        <v>4498</v>
      </c>
      <c r="AQ208" t="s">
        <v>276</v>
      </c>
      <c r="AR208" t="s">
        <v>4499</v>
      </c>
      <c r="AS208" t="s">
        <v>1148</v>
      </c>
      <c r="AT208" t="s">
        <v>4500</v>
      </c>
      <c r="AU208" t="s">
        <v>3757</v>
      </c>
      <c r="AV208" t="s">
        <v>4501</v>
      </c>
      <c r="AW208" t="s">
        <v>1323</v>
      </c>
      <c r="AX208" t="s">
        <v>1626</v>
      </c>
      <c r="AY208" t="s">
        <v>4502</v>
      </c>
      <c r="AZ208" t="s">
        <v>4503</v>
      </c>
      <c r="BA208">
        <v>2.37</v>
      </c>
      <c r="BB208">
        <v>9354.9</v>
      </c>
      <c r="BC208">
        <v>0.48</v>
      </c>
      <c r="BD208">
        <v>22.18</v>
      </c>
      <c r="BE208">
        <v>22.28</v>
      </c>
      <c r="BF208">
        <v>21.9</v>
      </c>
      <c r="BG208" t="s">
        <v>4504</v>
      </c>
      <c r="BH208" t="s">
        <v>4505</v>
      </c>
      <c r="BI208" t="s">
        <v>4506</v>
      </c>
      <c r="BJ208" t="s">
        <v>101</v>
      </c>
      <c r="BK208" t="s">
        <v>4507</v>
      </c>
      <c r="BL208" t="s">
        <v>4294</v>
      </c>
      <c r="BM208" t="s">
        <v>2064</v>
      </c>
      <c r="BN208" t="s">
        <v>4063</v>
      </c>
    </row>
    <row r="209" spans="1:66" x14ac:dyDescent="0.25">
      <c r="A209" t="str">
        <f>HYPERLINK("https://elite.finviz.com/quote.ashx?t=WBS&amp;ty=c&amp;p=d&amp;b=1", "WBS")</f>
        <v>WBS</v>
      </c>
      <c r="B209">
        <v>7</v>
      </c>
      <c r="C209">
        <v>138.38</v>
      </c>
      <c r="D209">
        <v>44.95</v>
      </c>
      <c r="E209" t="s">
        <v>4508</v>
      </c>
      <c r="F209" t="s">
        <v>107</v>
      </c>
      <c r="G209" t="s">
        <v>550</v>
      </c>
      <c r="H209" t="s">
        <v>697</v>
      </c>
      <c r="I209" t="s">
        <v>70</v>
      </c>
      <c r="J209" t="s">
        <v>71</v>
      </c>
      <c r="K209">
        <v>9909.82</v>
      </c>
      <c r="L209">
        <v>59.63</v>
      </c>
      <c r="M209" t="s">
        <v>386</v>
      </c>
      <c r="N209">
        <v>101015</v>
      </c>
      <c r="O209">
        <v>12.11</v>
      </c>
      <c r="P209">
        <v>9.07</v>
      </c>
      <c r="Q209">
        <v>1.19</v>
      </c>
      <c r="R209">
        <v>2.3199999999999998</v>
      </c>
      <c r="S209">
        <v>1.1000000000000001</v>
      </c>
      <c r="T209" t="s">
        <v>1768</v>
      </c>
      <c r="U209">
        <v>1.6</v>
      </c>
      <c r="V209" t="s">
        <v>893</v>
      </c>
      <c r="W209" t="s">
        <v>164</v>
      </c>
      <c r="X209" t="s">
        <v>164</v>
      </c>
      <c r="Y209" t="s">
        <v>3493</v>
      </c>
      <c r="Z209" t="s">
        <v>4509</v>
      </c>
      <c r="AA209">
        <v>4.92</v>
      </c>
      <c r="AB209" t="s">
        <v>1445</v>
      </c>
      <c r="AC209" t="s">
        <v>3550</v>
      </c>
      <c r="AD209" t="s">
        <v>185</v>
      </c>
      <c r="AE209" t="s">
        <v>3524</v>
      </c>
      <c r="AF209" t="s">
        <v>4510</v>
      </c>
      <c r="AG209" t="s">
        <v>4511</v>
      </c>
      <c r="AH209" t="s">
        <v>4512</v>
      </c>
      <c r="AI209" t="s">
        <v>4498</v>
      </c>
      <c r="AJ209" t="s">
        <v>4210</v>
      </c>
      <c r="AK209" t="s">
        <v>4513</v>
      </c>
      <c r="AL209">
        <v>7.0000000000000007E-2</v>
      </c>
      <c r="AN209">
        <v>0.52</v>
      </c>
      <c r="AP209" t="s">
        <v>4514</v>
      </c>
      <c r="AQ209" t="s">
        <v>4515</v>
      </c>
      <c r="AR209" t="s">
        <v>2219</v>
      </c>
      <c r="AS209" t="s">
        <v>3544</v>
      </c>
      <c r="AT209" t="s">
        <v>4516</v>
      </c>
      <c r="AU209" t="s">
        <v>2003</v>
      </c>
      <c r="AV209" t="s">
        <v>1515</v>
      </c>
      <c r="AW209" t="s">
        <v>4517</v>
      </c>
      <c r="AX209" t="s">
        <v>4518</v>
      </c>
      <c r="AY209" t="s">
        <v>4147</v>
      </c>
      <c r="AZ209" t="s">
        <v>4519</v>
      </c>
      <c r="BA209">
        <v>1.32</v>
      </c>
      <c r="BB209">
        <v>1364.62</v>
      </c>
      <c r="BC209">
        <v>0.26</v>
      </c>
      <c r="BD209">
        <v>59.82</v>
      </c>
      <c r="BE209">
        <v>60.47</v>
      </c>
      <c r="BF209">
        <v>59.56</v>
      </c>
      <c r="BG209" t="s">
        <v>4520</v>
      </c>
      <c r="BH209" t="s">
        <v>4521</v>
      </c>
      <c r="BI209" t="s">
        <v>4522</v>
      </c>
      <c r="BJ209" t="s">
        <v>101</v>
      </c>
      <c r="BK209" t="s">
        <v>660</v>
      </c>
      <c r="BL209" t="s">
        <v>4523</v>
      </c>
      <c r="BM209" t="s">
        <v>4524</v>
      </c>
      <c r="BN209" t="s">
        <v>4063</v>
      </c>
    </row>
    <row r="210" spans="1:66" x14ac:dyDescent="0.25">
      <c r="A210" t="str">
        <f>HYPERLINK("https://elite.finviz.com/quote.ashx?t=FHB&amp;ty=c&amp;p=d&amp;b=1", "FHB")</f>
        <v>FHB</v>
      </c>
      <c r="B210">
        <v>7</v>
      </c>
      <c r="C210">
        <v>138.38</v>
      </c>
      <c r="D210">
        <v>44.99</v>
      </c>
      <c r="E210" t="s">
        <v>4525</v>
      </c>
      <c r="F210" t="s">
        <v>107</v>
      </c>
      <c r="G210" t="s">
        <v>550</v>
      </c>
      <c r="H210" t="s">
        <v>697</v>
      </c>
      <c r="I210" t="s">
        <v>70</v>
      </c>
      <c r="J210" t="s">
        <v>321</v>
      </c>
      <c r="K210">
        <v>3120.67</v>
      </c>
      <c r="L210">
        <v>25.04</v>
      </c>
      <c r="M210" t="s">
        <v>2717</v>
      </c>
      <c r="N210">
        <v>73442</v>
      </c>
      <c r="O210">
        <v>12.93</v>
      </c>
      <c r="P210">
        <v>12.07</v>
      </c>
      <c r="Q210">
        <v>2.97</v>
      </c>
      <c r="R210">
        <v>2.7</v>
      </c>
      <c r="S210">
        <v>1.1599999999999999</v>
      </c>
      <c r="T210" t="s">
        <v>4526</v>
      </c>
      <c r="U210">
        <v>1.04</v>
      </c>
      <c r="V210" t="s">
        <v>1440</v>
      </c>
      <c r="W210" t="s">
        <v>164</v>
      </c>
      <c r="X210" t="s">
        <v>164</v>
      </c>
      <c r="Y210" t="s">
        <v>164</v>
      </c>
      <c r="Z210" t="s">
        <v>4527</v>
      </c>
      <c r="AA210">
        <v>1.94</v>
      </c>
      <c r="AB210" t="s">
        <v>4528</v>
      </c>
      <c r="AC210" t="s">
        <v>4529</v>
      </c>
      <c r="AD210" t="s">
        <v>4530</v>
      </c>
      <c r="AE210" t="s">
        <v>4531</v>
      </c>
      <c r="AF210" t="s">
        <v>4532</v>
      </c>
      <c r="AG210" t="s">
        <v>4133</v>
      </c>
      <c r="AH210" t="s">
        <v>1080</v>
      </c>
      <c r="AI210" t="s">
        <v>4533</v>
      </c>
      <c r="AJ210" t="s">
        <v>164</v>
      </c>
      <c r="AK210" t="s">
        <v>4534</v>
      </c>
      <c r="AL210">
        <v>0.1</v>
      </c>
      <c r="AN210">
        <v>0.09</v>
      </c>
      <c r="AP210" t="s">
        <v>4535</v>
      </c>
      <c r="AQ210" t="s">
        <v>4536</v>
      </c>
      <c r="AR210" t="s">
        <v>2202</v>
      </c>
      <c r="AS210" t="s">
        <v>909</v>
      </c>
      <c r="AT210" t="s">
        <v>4537</v>
      </c>
      <c r="AU210" t="s">
        <v>4538</v>
      </c>
      <c r="AV210" t="s">
        <v>4539</v>
      </c>
      <c r="AW210" t="s">
        <v>4540</v>
      </c>
      <c r="AX210" t="s">
        <v>521</v>
      </c>
      <c r="AY210" t="s">
        <v>779</v>
      </c>
      <c r="AZ210" t="s">
        <v>4541</v>
      </c>
      <c r="BA210">
        <v>3.9</v>
      </c>
      <c r="BB210">
        <v>1026.3699999999999</v>
      </c>
      <c r="BC210">
        <v>0.25</v>
      </c>
      <c r="BD210">
        <v>25.07</v>
      </c>
      <c r="BE210">
        <v>25.38</v>
      </c>
      <c r="BF210">
        <v>25</v>
      </c>
      <c r="BG210" t="s">
        <v>4542</v>
      </c>
      <c r="BH210" t="s">
        <v>4543</v>
      </c>
      <c r="BI210" t="s">
        <v>4544</v>
      </c>
      <c r="BJ210" t="s">
        <v>101</v>
      </c>
      <c r="BK210" t="s">
        <v>3013</v>
      </c>
      <c r="BL210" t="s">
        <v>581</v>
      </c>
      <c r="BM210" t="s">
        <v>605</v>
      </c>
      <c r="BN210" t="s">
        <v>4063</v>
      </c>
    </row>
    <row r="211" spans="1:66" x14ac:dyDescent="0.25">
      <c r="A211" t="str">
        <f>HYPERLINK("https://elite.finviz.com/quote.ashx?t=TGNA&amp;ty=c&amp;p=d&amp;b=1", "TGNA")</f>
        <v>TGNA</v>
      </c>
      <c r="B211">
        <v>7</v>
      </c>
      <c r="C211">
        <v>138.38</v>
      </c>
      <c r="D211">
        <v>45.2</v>
      </c>
      <c r="E211" t="s">
        <v>4545</v>
      </c>
      <c r="F211" t="s">
        <v>67</v>
      </c>
      <c r="G211" t="s">
        <v>598</v>
      </c>
      <c r="H211" t="s">
        <v>4546</v>
      </c>
      <c r="I211" t="s">
        <v>70</v>
      </c>
      <c r="J211" t="s">
        <v>71</v>
      </c>
      <c r="K211">
        <v>3278.43</v>
      </c>
      <c r="L211">
        <v>20.36</v>
      </c>
      <c r="M211" t="s">
        <v>2965</v>
      </c>
      <c r="N211">
        <v>629867</v>
      </c>
      <c r="O211">
        <v>7.32</v>
      </c>
      <c r="P211">
        <v>6.55</v>
      </c>
      <c r="R211">
        <v>1.08</v>
      </c>
      <c r="S211">
        <v>1.06</v>
      </c>
      <c r="T211" t="s">
        <v>4547</v>
      </c>
      <c r="U211">
        <v>0.5</v>
      </c>
      <c r="V211" t="s">
        <v>4548</v>
      </c>
      <c r="W211" t="s">
        <v>1001</v>
      </c>
      <c r="X211" t="s">
        <v>4079</v>
      </c>
      <c r="Y211" t="s">
        <v>845</v>
      </c>
      <c r="Z211" t="s">
        <v>4549</v>
      </c>
      <c r="AA211">
        <v>2.78</v>
      </c>
      <c r="AB211" t="s">
        <v>3710</v>
      </c>
      <c r="AC211" t="s">
        <v>4075</v>
      </c>
      <c r="AD211" t="s">
        <v>4550</v>
      </c>
      <c r="AE211" t="s">
        <v>4551</v>
      </c>
      <c r="AF211" t="s">
        <v>4552</v>
      </c>
      <c r="AG211" t="s">
        <v>2776</v>
      </c>
      <c r="AH211" t="s">
        <v>4553</v>
      </c>
      <c r="AI211" t="s">
        <v>4554</v>
      </c>
      <c r="AJ211" t="s">
        <v>164</v>
      </c>
      <c r="AK211" t="s">
        <v>4555</v>
      </c>
      <c r="AL211">
        <v>1.47</v>
      </c>
      <c r="AM211">
        <v>1.47</v>
      </c>
      <c r="AN211">
        <v>1.01</v>
      </c>
      <c r="AO211" t="s">
        <v>4556</v>
      </c>
      <c r="AP211" t="s">
        <v>4557</v>
      </c>
      <c r="AQ211" t="s">
        <v>1342</v>
      </c>
      <c r="AR211" t="s">
        <v>969</v>
      </c>
      <c r="AS211" t="s">
        <v>1764</v>
      </c>
      <c r="AT211" t="s">
        <v>3485</v>
      </c>
      <c r="AU211" t="s">
        <v>2810</v>
      </c>
      <c r="AV211" t="s">
        <v>4558</v>
      </c>
      <c r="AW211" t="s">
        <v>4559</v>
      </c>
      <c r="AX211" t="s">
        <v>4560</v>
      </c>
      <c r="AY211" t="s">
        <v>4559</v>
      </c>
      <c r="AZ211" t="s">
        <v>4560</v>
      </c>
      <c r="BA211">
        <v>2.67</v>
      </c>
      <c r="BB211">
        <v>3095.92</v>
      </c>
      <c r="BC211">
        <v>0.72</v>
      </c>
      <c r="BD211">
        <v>20.5</v>
      </c>
      <c r="BE211">
        <v>20.56</v>
      </c>
      <c r="BF211">
        <v>20.350000000000001</v>
      </c>
      <c r="BG211" t="s">
        <v>4561</v>
      </c>
      <c r="BH211" t="s">
        <v>4562</v>
      </c>
      <c r="BI211" t="s">
        <v>4563</v>
      </c>
      <c r="BJ211" t="s">
        <v>101</v>
      </c>
      <c r="BK211" t="s">
        <v>4564</v>
      </c>
      <c r="BL211" t="s">
        <v>4565</v>
      </c>
      <c r="BM211" t="s">
        <v>4566</v>
      </c>
      <c r="BN211" t="s">
        <v>4063</v>
      </c>
    </row>
    <row r="212" spans="1:66" x14ac:dyDescent="0.25">
      <c r="A212" t="str">
        <f>HYPERLINK("https://elite.finviz.com/quote.ashx?t=CELH&amp;ty=c&amp;p=d&amp;b=1", "CELH")</f>
        <v>CELH</v>
      </c>
      <c r="B212">
        <v>7</v>
      </c>
      <c r="C212">
        <v>138.38</v>
      </c>
      <c r="D212">
        <v>45.37</v>
      </c>
      <c r="E212" t="s">
        <v>4567</v>
      </c>
      <c r="F212" t="s">
        <v>107</v>
      </c>
      <c r="G212" t="s">
        <v>2244</v>
      </c>
      <c r="H212" t="s">
        <v>4568</v>
      </c>
      <c r="I212" t="s">
        <v>70</v>
      </c>
      <c r="J212" t="s">
        <v>321</v>
      </c>
      <c r="K212">
        <v>13816.86</v>
      </c>
      <c r="L212">
        <v>53.56</v>
      </c>
      <c r="M212" t="s">
        <v>4569</v>
      </c>
      <c r="N212">
        <v>1189324</v>
      </c>
      <c r="O212">
        <v>147.66999999999999</v>
      </c>
      <c r="P212">
        <v>35.29</v>
      </c>
      <c r="Q212">
        <v>2.4700000000000002</v>
      </c>
      <c r="R212">
        <v>8.2899999999999991</v>
      </c>
      <c r="S212">
        <v>10.9</v>
      </c>
      <c r="Z212" t="s">
        <v>164</v>
      </c>
      <c r="AA212">
        <v>0.36</v>
      </c>
      <c r="AB212" t="s">
        <v>4570</v>
      </c>
      <c r="AC212" t="s">
        <v>4571</v>
      </c>
      <c r="AD212" t="s">
        <v>4572</v>
      </c>
      <c r="AE212" t="s">
        <v>2819</v>
      </c>
      <c r="AF212" t="s">
        <v>4573</v>
      </c>
      <c r="AG212" t="s">
        <v>4574</v>
      </c>
      <c r="AH212" t="s">
        <v>4575</v>
      </c>
      <c r="AI212" t="s">
        <v>4576</v>
      </c>
      <c r="AJ212" t="s">
        <v>1866</v>
      </c>
      <c r="AK212" t="s">
        <v>4577</v>
      </c>
      <c r="AL212">
        <v>2.09</v>
      </c>
      <c r="AM212">
        <v>1.74</v>
      </c>
      <c r="AN212">
        <v>0.42</v>
      </c>
      <c r="AO212" t="s">
        <v>4578</v>
      </c>
      <c r="AP212" t="s">
        <v>2377</v>
      </c>
      <c r="AQ212" t="s">
        <v>3983</v>
      </c>
      <c r="AR212" t="s">
        <v>756</v>
      </c>
      <c r="AS212" t="s">
        <v>1088</v>
      </c>
      <c r="AT212" t="s">
        <v>2498</v>
      </c>
      <c r="AU212" t="s">
        <v>4538</v>
      </c>
      <c r="AV212" t="s">
        <v>4579</v>
      </c>
      <c r="AW212" t="s">
        <v>4580</v>
      </c>
      <c r="AX212" t="s">
        <v>4581</v>
      </c>
      <c r="AY212" t="s">
        <v>4580</v>
      </c>
      <c r="AZ212" t="s">
        <v>4582</v>
      </c>
      <c r="BA212">
        <v>1.72</v>
      </c>
      <c r="BB212">
        <v>6068.24</v>
      </c>
      <c r="BC212">
        <v>0.69</v>
      </c>
      <c r="BD212">
        <v>51.81</v>
      </c>
      <c r="BE212">
        <v>53.65</v>
      </c>
      <c r="BF212">
        <v>51.86</v>
      </c>
      <c r="BG212" t="s">
        <v>4583</v>
      </c>
      <c r="BH212" t="s">
        <v>4584</v>
      </c>
      <c r="BI212" t="s">
        <v>4585</v>
      </c>
      <c r="BJ212" t="s">
        <v>101</v>
      </c>
      <c r="BK212" t="s">
        <v>928</v>
      </c>
      <c r="BL212" t="s">
        <v>4586</v>
      </c>
      <c r="BM212" t="s">
        <v>4587</v>
      </c>
      <c r="BN212" t="s">
        <v>4063</v>
      </c>
    </row>
    <row r="213" spans="1:66" x14ac:dyDescent="0.25">
      <c r="A213" t="str">
        <f>HYPERLINK("https://elite.finviz.com/quote.ashx?t=INCY&amp;ty=c&amp;p=d&amp;b=1", "INCY")</f>
        <v>INCY</v>
      </c>
      <c r="B213">
        <v>7</v>
      </c>
      <c r="C213">
        <v>138.38</v>
      </c>
      <c r="D213">
        <v>45.52</v>
      </c>
      <c r="E213" t="s">
        <v>4588</v>
      </c>
      <c r="F213" t="s">
        <v>195</v>
      </c>
      <c r="G213" t="s">
        <v>428</v>
      </c>
      <c r="H213" t="s">
        <v>429</v>
      </c>
      <c r="I213" t="s">
        <v>70</v>
      </c>
      <c r="J213" t="s">
        <v>321</v>
      </c>
      <c r="K213">
        <v>16103.45</v>
      </c>
      <c r="L213">
        <v>82.46</v>
      </c>
      <c r="M213" t="s">
        <v>1338</v>
      </c>
      <c r="N213">
        <v>215221</v>
      </c>
      <c r="O213">
        <v>18.75</v>
      </c>
      <c r="P213">
        <v>11.7</v>
      </c>
      <c r="Q213">
        <v>0.19</v>
      </c>
      <c r="R213">
        <v>3.51</v>
      </c>
      <c r="S213">
        <v>3.84</v>
      </c>
      <c r="Z213" t="s">
        <v>164</v>
      </c>
      <c r="AA213">
        <v>4.4000000000000004</v>
      </c>
      <c r="AB213" t="s">
        <v>4589</v>
      </c>
      <c r="AC213" t="s">
        <v>4590</v>
      </c>
      <c r="AD213" t="s">
        <v>4591</v>
      </c>
      <c r="AE213" t="s">
        <v>4592</v>
      </c>
      <c r="AF213" t="s">
        <v>4593</v>
      </c>
      <c r="AG213" t="s">
        <v>4315</v>
      </c>
      <c r="AH213" t="s">
        <v>4594</v>
      </c>
      <c r="AI213" t="s">
        <v>2471</v>
      </c>
      <c r="AJ213" t="s">
        <v>4595</v>
      </c>
      <c r="AK213" t="s">
        <v>4596</v>
      </c>
      <c r="AL213">
        <v>2.85</v>
      </c>
      <c r="AM213">
        <v>2.78</v>
      </c>
      <c r="AN213">
        <v>0.01</v>
      </c>
      <c r="AO213" t="s">
        <v>4597</v>
      </c>
      <c r="AP213" t="s">
        <v>4598</v>
      </c>
      <c r="AQ213" t="s">
        <v>4599</v>
      </c>
      <c r="AR213" t="s">
        <v>4600</v>
      </c>
      <c r="AS213" t="s">
        <v>633</v>
      </c>
      <c r="AT213" t="s">
        <v>3845</v>
      </c>
      <c r="AU213" t="s">
        <v>3019</v>
      </c>
      <c r="AV213" t="s">
        <v>4601</v>
      </c>
      <c r="AW213" t="s">
        <v>4120</v>
      </c>
      <c r="AX213" t="s">
        <v>4602</v>
      </c>
      <c r="AY213" t="s">
        <v>4120</v>
      </c>
      <c r="AZ213" t="s">
        <v>4603</v>
      </c>
      <c r="BA213">
        <v>2.46</v>
      </c>
      <c r="BB213">
        <v>1794.21</v>
      </c>
      <c r="BC213">
        <v>0.42</v>
      </c>
      <c r="BD213">
        <v>81.66</v>
      </c>
      <c r="BE213">
        <v>82.95</v>
      </c>
      <c r="BF213">
        <v>81.91</v>
      </c>
      <c r="BG213" t="s">
        <v>4604</v>
      </c>
      <c r="BH213" t="s">
        <v>4605</v>
      </c>
      <c r="BI213" t="s">
        <v>4606</v>
      </c>
      <c r="BJ213" t="s">
        <v>101</v>
      </c>
      <c r="BK213" t="s">
        <v>4607</v>
      </c>
      <c r="BL213" t="s">
        <v>4608</v>
      </c>
      <c r="BM213" t="s">
        <v>4609</v>
      </c>
      <c r="BN213" t="s">
        <v>4063</v>
      </c>
    </row>
    <row r="214" spans="1:66" x14ac:dyDescent="0.25">
      <c r="A214" t="str">
        <f>HYPERLINK("https://elite.finviz.com/quote.ashx?t=STEX&amp;ty=c&amp;p=d&amp;b=1", "STEX")</f>
        <v>STEX</v>
      </c>
      <c r="B214">
        <v>7</v>
      </c>
      <c r="C214">
        <v>138.38</v>
      </c>
      <c r="D214">
        <v>45.62</v>
      </c>
      <c r="E214" t="s">
        <v>4610</v>
      </c>
      <c r="F214" t="s">
        <v>107</v>
      </c>
      <c r="G214" t="s">
        <v>428</v>
      </c>
      <c r="H214" t="s">
        <v>2051</v>
      </c>
      <c r="I214" t="s">
        <v>70</v>
      </c>
      <c r="J214" t="s">
        <v>321</v>
      </c>
      <c r="K214">
        <v>178.12</v>
      </c>
      <c r="L214">
        <v>5.05</v>
      </c>
      <c r="M214" t="s">
        <v>4122</v>
      </c>
      <c r="N214">
        <v>368760</v>
      </c>
      <c r="R214">
        <v>17812.22</v>
      </c>
      <c r="AA214">
        <v>-1.06</v>
      </c>
      <c r="AB214" t="s">
        <v>4611</v>
      </c>
      <c r="AC214" t="s">
        <v>4612</v>
      </c>
      <c r="AE214" t="s">
        <v>4613</v>
      </c>
      <c r="AF214" t="s">
        <v>4614</v>
      </c>
      <c r="AH214" t="s">
        <v>579</v>
      </c>
      <c r="AI214" t="s">
        <v>4615</v>
      </c>
      <c r="AJ214" t="s">
        <v>1439</v>
      </c>
      <c r="AK214" t="s">
        <v>4616</v>
      </c>
      <c r="AL214">
        <v>0.03</v>
      </c>
      <c r="AM214">
        <v>0.03</v>
      </c>
      <c r="AO214" t="s">
        <v>4617</v>
      </c>
      <c r="AP214" t="s">
        <v>4618</v>
      </c>
      <c r="AQ214" t="s">
        <v>4619</v>
      </c>
      <c r="AR214" t="s">
        <v>4620</v>
      </c>
      <c r="AS214" t="s">
        <v>4621</v>
      </c>
      <c r="AT214" t="s">
        <v>4622</v>
      </c>
      <c r="AU214" t="s">
        <v>4623</v>
      </c>
      <c r="AV214" t="s">
        <v>4624</v>
      </c>
      <c r="AW214" t="s">
        <v>2686</v>
      </c>
      <c r="AX214" t="s">
        <v>4625</v>
      </c>
      <c r="AY214" t="s">
        <v>4626</v>
      </c>
      <c r="AZ214" t="s">
        <v>4627</v>
      </c>
      <c r="BA214">
        <v>1</v>
      </c>
      <c r="BB214">
        <v>1173.3</v>
      </c>
      <c r="BC214">
        <v>1.1100000000000001</v>
      </c>
      <c r="BD214">
        <v>5.41</v>
      </c>
      <c r="BE214">
        <v>5.42</v>
      </c>
      <c r="BF214">
        <v>4.96</v>
      </c>
      <c r="BG214" t="s">
        <v>4628</v>
      </c>
      <c r="BH214" t="s">
        <v>2345</v>
      </c>
      <c r="BI214" t="s">
        <v>4629</v>
      </c>
      <c r="BJ214" t="s">
        <v>101</v>
      </c>
      <c r="BK214" t="s">
        <v>4630</v>
      </c>
      <c r="BL214" t="s">
        <v>4631</v>
      </c>
      <c r="BM214" t="s">
        <v>4632</v>
      </c>
      <c r="BN214" t="s">
        <v>4063</v>
      </c>
    </row>
    <row r="215" spans="1:66" x14ac:dyDescent="0.25">
      <c r="A215" t="str">
        <f>HYPERLINK("https://elite.finviz.com/quote.ashx?t=SLG&amp;ty=c&amp;p=d&amp;b=1", "SLG")</f>
        <v>SLG</v>
      </c>
      <c r="B215">
        <v>7</v>
      </c>
      <c r="C215">
        <v>138.38</v>
      </c>
      <c r="D215">
        <v>45.67</v>
      </c>
      <c r="E215" t="s">
        <v>4633</v>
      </c>
      <c r="F215" t="s">
        <v>67</v>
      </c>
      <c r="G215" t="s">
        <v>68</v>
      </c>
      <c r="H215" t="s">
        <v>69</v>
      </c>
      <c r="I215" t="s">
        <v>70</v>
      </c>
      <c r="J215" t="s">
        <v>71</v>
      </c>
      <c r="K215">
        <v>4472.8100000000004</v>
      </c>
      <c r="L215">
        <v>58.95</v>
      </c>
      <c r="M215" t="s">
        <v>4634</v>
      </c>
      <c r="N215">
        <v>109668</v>
      </c>
      <c r="R215">
        <v>4.57</v>
      </c>
      <c r="S215">
        <v>1.25</v>
      </c>
      <c r="T215" t="s">
        <v>2293</v>
      </c>
      <c r="U215">
        <v>3.07</v>
      </c>
      <c r="V215" t="s">
        <v>198</v>
      </c>
      <c r="W215" t="s">
        <v>4147</v>
      </c>
      <c r="X215" t="s">
        <v>4635</v>
      </c>
      <c r="Y215" t="s">
        <v>4636</v>
      </c>
      <c r="Z215" t="s">
        <v>4637</v>
      </c>
      <c r="AA215">
        <v>-0.56000000000000005</v>
      </c>
      <c r="AB215" t="s">
        <v>4638</v>
      </c>
      <c r="AC215" t="s">
        <v>4639</v>
      </c>
      <c r="AE215" t="s">
        <v>4640</v>
      </c>
      <c r="AF215" t="s">
        <v>975</v>
      </c>
      <c r="AG215" t="s">
        <v>2934</v>
      </c>
      <c r="AH215" t="s">
        <v>4641</v>
      </c>
      <c r="AI215" t="s">
        <v>3181</v>
      </c>
      <c r="AJ215" t="s">
        <v>171</v>
      </c>
      <c r="AK215" t="s">
        <v>4642</v>
      </c>
      <c r="AL215">
        <v>0.97</v>
      </c>
      <c r="AM215">
        <v>0.97</v>
      </c>
      <c r="AN215">
        <v>1.54</v>
      </c>
      <c r="AO215" t="s">
        <v>4643</v>
      </c>
      <c r="AP215" t="s">
        <v>4644</v>
      </c>
      <c r="AQ215" t="s">
        <v>4645</v>
      </c>
      <c r="AR215" t="s">
        <v>633</v>
      </c>
      <c r="AS215" t="s">
        <v>2080</v>
      </c>
      <c r="AT215" t="s">
        <v>1387</v>
      </c>
      <c r="AU215" t="s">
        <v>1338</v>
      </c>
      <c r="AV215" t="s">
        <v>4646</v>
      </c>
      <c r="AW215" t="s">
        <v>4647</v>
      </c>
      <c r="AX215" t="s">
        <v>4648</v>
      </c>
      <c r="AY215" t="s">
        <v>4649</v>
      </c>
      <c r="AZ215" t="s">
        <v>1651</v>
      </c>
      <c r="BA215">
        <v>2.5</v>
      </c>
      <c r="BB215">
        <v>1030.47</v>
      </c>
      <c r="BC215">
        <v>0.37</v>
      </c>
      <c r="BD215">
        <v>59.7</v>
      </c>
      <c r="BE215">
        <v>59.98</v>
      </c>
      <c r="BF215">
        <v>58.95</v>
      </c>
      <c r="BG215" t="s">
        <v>4650</v>
      </c>
      <c r="BH215" t="s">
        <v>4651</v>
      </c>
      <c r="BI215" t="s">
        <v>4652</v>
      </c>
      <c r="BJ215" t="s">
        <v>101</v>
      </c>
      <c r="BK215" t="s">
        <v>4653</v>
      </c>
      <c r="BL215" t="s">
        <v>3552</v>
      </c>
      <c r="BM215" t="s">
        <v>4654</v>
      </c>
      <c r="BN215" t="s">
        <v>4063</v>
      </c>
    </row>
    <row r="216" spans="1:66" x14ac:dyDescent="0.25">
      <c r="A216" t="str">
        <f>HYPERLINK("https://elite.finviz.com/quote.ashx?t=BNL&amp;ty=c&amp;p=d&amp;b=1", "BNL")</f>
        <v>BNL</v>
      </c>
      <c r="B216">
        <v>7</v>
      </c>
      <c r="C216">
        <v>138.38</v>
      </c>
      <c r="D216">
        <v>45.69</v>
      </c>
      <c r="E216" t="s">
        <v>4655</v>
      </c>
      <c r="F216" t="s">
        <v>67</v>
      </c>
      <c r="G216" t="s">
        <v>68</v>
      </c>
      <c r="H216" t="s">
        <v>4656</v>
      </c>
      <c r="I216" t="s">
        <v>70</v>
      </c>
      <c r="J216" t="s">
        <v>71</v>
      </c>
      <c r="K216">
        <v>3394.89</v>
      </c>
      <c r="L216">
        <v>17.95</v>
      </c>
      <c r="M216" t="s">
        <v>430</v>
      </c>
      <c r="N216">
        <v>173921</v>
      </c>
      <c r="O216">
        <v>35.01</v>
      </c>
      <c r="P216">
        <v>26.94</v>
      </c>
      <c r="R216">
        <v>7.59</v>
      </c>
      <c r="S216">
        <v>1.17</v>
      </c>
      <c r="T216" t="s">
        <v>1474</v>
      </c>
      <c r="U216">
        <v>1.05</v>
      </c>
      <c r="V216" t="s">
        <v>198</v>
      </c>
      <c r="W216" t="s">
        <v>975</v>
      </c>
      <c r="X216" t="s">
        <v>3020</v>
      </c>
      <c r="Z216" t="s">
        <v>4657</v>
      </c>
      <c r="AA216">
        <v>0.51</v>
      </c>
      <c r="AB216" t="s">
        <v>716</v>
      </c>
      <c r="AD216" t="s">
        <v>3124</v>
      </c>
      <c r="AE216" t="s">
        <v>4658</v>
      </c>
      <c r="AF216" t="s">
        <v>4659</v>
      </c>
      <c r="AG216" t="s">
        <v>4293</v>
      </c>
      <c r="AH216" t="s">
        <v>1772</v>
      </c>
      <c r="AI216" t="s">
        <v>4660</v>
      </c>
      <c r="AJ216" t="s">
        <v>3520</v>
      </c>
      <c r="AK216" t="s">
        <v>4661</v>
      </c>
      <c r="AL216">
        <v>2.29</v>
      </c>
      <c r="AM216">
        <v>2.29</v>
      </c>
      <c r="AN216">
        <v>0.75</v>
      </c>
      <c r="AO216" t="s">
        <v>4662</v>
      </c>
      <c r="AP216" t="s">
        <v>4663</v>
      </c>
      <c r="AQ216" t="s">
        <v>4664</v>
      </c>
      <c r="AR216" t="s">
        <v>3024</v>
      </c>
      <c r="AS216" t="s">
        <v>2185</v>
      </c>
      <c r="AT216" t="s">
        <v>72</v>
      </c>
      <c r="AU216" t="s">
        <v>862</v>
      </c>
      <c r="AV216" t="s">
        <v>1133</v>
      </c>
      <c r="AW216" t="s">
        <v>4665</v>
      </c>
      <c r="AX216" t="s">
        <v>4666</v>
      </c>
      <c r="AY216" t="s">
        <v>4667</v>
      </c>
      <c r="AZ216" t="s">
        <v>4668</v>
      </c>
      <c r="BA216">
        <v>1.6</v>
      </c>
      <c r="BB216">
        <v>1492.27</v>
      </c>
      <c r="BC216">
        <v>0.41</v>
      </c>
      <c r="BD216">
        <v>17.91</v>
      </c>
      <c r="BE216">
        <v>18.02</v>
      </c>
      <c r="BF216">
        <v>17.940000000000001</v>
      </c>
      <c r="BG216" t="s">
        <v>4669</v>
      </c>
      <c r="BH216" t="s">
        <v>4670</v>
      </c>
      <c r="BI216" t="s">
        <v>4671</v>
      </c>
      <c r="BJ216" t="s">
        <v>101</v>
      </c>
      <c r="BK216" t="s">
        <v>4672</v>
      </c>
      <c r="BL216" t="s">
        <v>3948</v>
      </c>
      <c r="BM216" t="s">
        <v>4673</v>
      </c>
      <c r="BN216" t="s">
        <v>4063</v>
      </c>
    </row>
    <row r="217" spans="1:66" x14ac:dyDescent="0.25">
      <c r="A217" t="str">
        <f>HYPERLINK("https://elite.finviz.com/quote.ashx?t=FAF&amp;ty=c&amp;p=d&amp;b=1", "FAF")</f>
        <v>FAF</v>
      </c>
      <c r="B217">
        <v>7</v>
      </c>
      <c r="C217">
        <v>138.38</v>
      </c>
      <c r="D217">
        <v>45.86</v>
      </c>
      <c r="E217" t="s">
        <v>4674</v>
      </c>
      <c r="F217" t="s">
        <v>107</v>
      </c>
      <c r="G217" t="s">
        <v>550</v>
      </c>
      <c r="H217" t="s">
        <v>4675</v>
      </c>
      <c r="I217" t="s">
        <v>70</v>
      </c>
      <c r="J217" t="s">
        <v>71</v>
      </c>
      <c r="K217">
        <v>6580.35</v>
      </c>
      <c r="L217">
        <v>64.64</v>
      </c>
      <c r="M217" t="s">
        <v>306</v>
      </c>
      <c r="N217">
        <v>64763</v>
      </c>
      <c r="O217">
        <v>35.700000000000003</v>
      </c>
      <c r="P217">
        <v>10.84</v>
      </c>
      <c r="Q217">
        <v>0.47</v>
      </c>
      <c r="R217">
        <v>1.01</v>
      </c>
      <c r="S217">
        <v>1.29</v>
      </c>
      <c r="T217" t="s">
        <v>3542</v>
      </c>
      <c r="U217">
        <v>2.17</v>
      </c>
      <c r="V217" t="s">
        <v>4676</v>
      </c>
      <c r="W217" t="s">
        <v>4493</v>
      </c>
      <c r="X217" t="s">
        <v>4677</v>
      </c>
      <c r="Y217" t="s">
        <v>4678</v>
      </c>
      <c r="Z217" t="s">
        <v>4679</v>
      </c>
      <c r="AA217">
        <v>1.81</v>
      </c>
      <c r="AB217" t="s">
        <v>4680</v>
      </c>
      <c r="AC217" t="s">
        <v>4681</v>
      </c>
      <c r="AD217" t="s">
        <v>4682</v>
      </c>
      <c r="AE217" t="s">
        <v>4683</v>
      </c>
      <c r="AF217" t="s">
        <v>998</v>
      </c>
      <c r="AG217" t="s">
        <v>4538</v>
      </c>
      <c r="AH217" t="s">
        <v>4684</v>
      </c>
      <c r="AI217" t="s">
        <v>3545</v>
      </c>
      <c r="AJ217" t="s">
        <v>2760</v>
      </c>
      <c r="AK217" t="s">
        <v>4685</v>
      </c>
      <c r="AL217">
        <v>1.63</v>
      </c>
      <c r="AN217">
        <v>0.35</v>
      </c>
      <c r="AP217" t="s">
        <v>4686</v>
      </c>
      <c r="AQ217" t="s">
        <v>4687</v>
      </c>
      <c r="AR217" t="s">
        <v>2449</v>
      </c>
      <c r="AS217" t="s">
        <v>1439</v>
      </c>
      <c r="AT217" t="s">
        <v>4688</v>
      </c>
      <c r="AU217" t="s">
        <v>4689</v>
      </c>
      <c r="AV217" t="s">
        <v>4690</v>
      </c>
      <c r="AW217" t="s">
        <v>4691</v>
      </c>
      <c r="AX217" t="s">
        <v>2409</v>
      </c>
      <c r="AY217" t="s">
        <v>4692</v>
      </c>
      <c r="AZ217" t="s">
        <v>4693</v>
      </c>
      <c r="BA217">
        <v>1.67</v>
      </c>
      <c r="BB217">
        <v>1009.35</v>
      </c>
      <c r="BC217">
        <v>0.23</v>
      </c>
      <c r="BD217">
        <v>64.25</v>
      </c>
      <c r="BE217">
        <v>65.040000000000006</v>
      </c>
      <c r="BF217">
        <v>64.12</v>
      </c>
      <c r="BG217" t="s">
        <v>4694</v>
      </c>
      <c r="BH217" t="s">
        <v>4695</v>
      </c>
      <c r="BI217" t="s">
        <v>4696</v>
      </c>
      <c r="BJ217" t="s">
        <v>101</v>
      </c>
      <c r="BK217" t="s">
        <v>4697</v>
      </c>
      <c r="BL217" t="s">
        <v>4698</v>
      </c>
      <c r="BM217" t="s">
        <v>4699</v>
      </c>
      <c r="BN217" t="s">
        <v>4063</v>
      </c>
    </row>
    <row r="218" spans="1:66" x14ac:dyDescent="0.25">
      <c r="A218" t="str">
        <f>HYPERLINK("https://elite.finviz.com/quote.ashx?t=BIIB&amp;ty=c&amp;p=d&amp;b=1", "BIIB")</f>
        <v>BIIB</v>
      </c>
      <c r="B218">
        <v>7</v>
      </c>
      <c r="C218">
        <v>138.38</v>
      </c>
      <c r="D218">
        <v>45.9</v>
      </c>
      <c r="E218" t="s">
        <v>4700</v>
      </c>
      <c r="F218" t="s">
        <v>319</v>
      </c>
      <c r="G218" t="s">
        <v>428</v>
      </c>
      <c r="H218" t="s">
        <v>4701</v>
      </c>
      <c r="I218" t="s">
        <v>70</v>
      </c>
      <c r="J218" t="s">
        <v>321</v>
      </c>
      <c r="K218">
        <v>20130.18</v>
      </c>
      <c r="L218">
        <v>137.30000000000001</v>
      </c>
      <c r="M218" t="s">
        <v>1417</v>
      </c>
      <c r="N218">
        <v>191721</v>
      </c>
      <c r="O218">
        <v>13.13</v>
      </c>
      <c r="P218">
        <v>8.67</v>
      </c>
      <c r="R218">
        <v>2.09</v>
      </c>
      <c r="S218">
        <v>1.1399999999999999</v>
      </c>
      <c r="Z218" t="s">
        <v>164</v>
      </c>
      <c r="AA218">
        <v>10.45</v>
      </c>
      <c r="AB218" t="s">
        <v>4547</v>
      </c>
      <c r="AC218" t="s">
        <v>4702</v>
      </c>
      <c r="AD218" t="s">
        <v>4703</v>
      </c>
      <c r="AE218" t="s">
        <v>903</v>
      </c>
      <c r="AF218" t="s">
        <v>4704</v>
      </c>
      <c r="AG218" t="s">
        <v>4705</v>
      </c>
      <c r="AH218" t="s">
        <v>716</v>
      </c>
      <c r="AI218" t="s">
        <v>4706</v>
      </c>
      <c r="AJ218" t="s">
        <v>4707</v>
      </c>
      <c r="AK218" t="s">
        <v>4708</v>
      </c>
      <c r="AL218">
        <v>2.5</v>
      </c>
      <c r="AM218">
        <v>1.79</v>
      </c>
      <c r="AN218">
        <v>0.37</v>
      </c>
      <c r="AO218" t="s">
        <v>4709</v>
      </c>
      <c r="AP218" t="s">
        <v>4292</v>
      </c>
      <c r="AQ218" t="s">
        <v>1680</v>
      </c>
      <c r="AR218" t="s">
        <v>4710</v>
      </c>
      <c r="AS218" t="s">
        <v>305</v>
      </c>
      <c r="AT218" t="s">
        <v>4711</v>
      </c>
      <c r="AU218" t="s">
        <v>581</v>
      </c>
      <c r="AV218" t="s">
        <v>3976</v>
      </c>
      <c r="AW218" t="s">
        <v>4712</v>
      </c>
      <c r="AX218" t="s">
        <v>4558</v>
      </c>
      <c r="AY218" t="s">
        <v>4713</v>
      </c>
      <c r="AZ218" t="s">
        <v>4714</v>
      </c>
      <c r="BA218">
        <v>2.17</v>
      </c>
      <c r="BB218">
        <v>1471.02</v>
      </c>
      <c r="BC218">
        <v>0.46</v>
      </c>
      <c r="BD218">
        <v>135.66999999999999</v>
      </c>
      <c r="BE218">
        <v>136.79</v>
      </c>
      <c r="BF218">
        <v>136.09</v>
      </c>
      <c r="BG218" t="s">
        <v>4715</v>
      </c>
      <c r="BH218" t="s">
        <v>4716</v>
      </c>
      <c r="BI218" t="s">
        <v>4717</v>
      </c>
      <c r="BJ218" t="s">
        <v>101</v>
      </c>
      <c r="BK218" t="s">
        <v>4718</v>
      </c>
      <c r="BL218" t="s">
        <v>3753</v>
      </c>
      <c r="BM218" t="s">
        <v>2327</v>
      </c>
      <c r="BN218" t="s">
        <v>4063</v>
      </c>
    </row>
    <row r="219" spans="1:66" x14ac:dyDescent="0.25">
      <c r="A219" t="str">
        <f>HYPERLINK("https://elite.finviz.com/quote.ashx?t=EQ&amp;ty=c&amp;p=d&amp;b=1", "EQ")</f>
        <v>EQ</v>
      </c>
      <c r="B219">
        <v>7</v>
      </c>
      <c r="C219">
        <v>138.38</v>
      </c>
      <c r="D219">
        <v>46.07</v>
      </c>
      <c r="E219" t="s">
        <v>4719</v>
      </c>
      <c r="F219" t="s">
        <v>107</v>
      </c>
      <c r="G219" t="s">
        <v>428</v>
      </c>
      <c r="H219" t="s">
        <v>429</v>
      </c>
      <c r="I219" t="s">
        <v>70</v>
      </c>
      <c r="J219" t="s">
        <v>321</v>
      </c>
      <c r="K219">
        <v>84.5</v>
      </c>
      <c r="L219">
        <v>1.42</v>
      </c>
      <c r="M219" t="s">
        <v>3551</v>
      </c>
      <c r="N219">
        <v>93584</v>
      </c>
      <c r="R219">
        <v>5.1100000000000003</v>
      </c>
      <c r="S219">
        <v>10.029999999999999</v>
      </c>
      <c r="AA219">
        <v>-0.56999999999999995</v>
      </c>
      <c r="AB219" t="s">
        <v>4720</v>
      </c>
      <c r="AC219" t="s">
        <v>4721</v>
      </c>
      <c r="AD219" t="s">
        <v>4722</v>
      </c>
      <c r="AE219" t="s">
        <v>4723</v>
      </c>
      <c r="AH219" t="s">
        <v>579</v>
      </c>
      <c r="AI219" t="s">
        <v>4724</v>
      </c>
      <c r="AJ219" t="s">
        <v>164</v>
      </c>
      <c r="AK219" t="s">
        <v>4677</v>
      </c>
      <c r="AL219">
        <v>1.65</v>
      </c>
      <c r="AM219">
        <v>1.65</v>
      </c>
      <c r="AN219">
        <v>0.05</v>
      </c>
      <c r="AO219" t="s">
        <v>4725</v>
      </c>
      <c r="AP219" t="s">
        <v>4726</v>
      </c>
      <c r="AQ219" t="s">
        <v>4727</v>
      </c>
      <c r="AR219" t="s">
        <v>4728</v>
      </c>
      <c r="AS219" t="s">
        <v>1161</v>
      </c>
      <c r="AT219" t="s">
        <v>4729</v>
      </c>
      <c r="AU219" t="s">
        <v>1005</v>
      </c>
      <c r="AV219" t="s">
        <v>4730</v>
      </c>
      <c r="AW219" t="s">
        <v>4731</v>
      </c>
      <c r="AX219" t="s">
        <v>4732</v>
      </c>
      <c r="AY219" t="s">
        <v>4731</v>
      </c>
      <c r="AZ219" t="s">
        <v>4733</v>
      </c>
      <c r="BA219">
        <v>1</v>
      </c>
      <c r="BB219">
        <v>7951.82</v>
      </c>
      <c r="BC219">
        <v>0.04</v>
      </c>
      <c r="BD219">
        <v>1.4</v>
      </c>
      <c r="BE219">
        <v>1.44</v>
      </c>
      <c r="BF219">
        <v>1.39</v>
      </c>
      <c r="BG219" t="s">
        <v>4734</v>
      </c>
      <c r="BH219" t="s">
        <v>4735</v>
      </c>
      <c r="BI219" t="s">
        <v>4733</v>
      </c>
      <c r="BJ219" t="s">
        <v>101</v>
      </c>
      <c r="BK219" t="s">
        <v>4736</v>
      </c>
      <c r="BL219" t="s">
        <v>4737</v>
      </c>
      <c r="BM219" t="s">
        <v>4738</v>
      </c>
      <c r="BN219" t="s">
        <v>4063</v>
      </c>
    </row>
    <row r="220" spans="1:66" x14ac:dyDescent="0.25">
      <c r="A220" t="str">
        <f>HYPERLINK("https://elite.finviz.com/quote.ashx?t=UUU&amp;ty=c&amp;p=d&amp;b=1", "UUU")</f>
        <v>UUU</v>
      </c>
      <c r="B220">
        <v>7</v>
      </c>
      <c r="C220">
        <v>138.38</v>
      </c>
      <c r="D220">
        <v>46.08</v>
      </c>
      <c r="E220" t="s">
        <v>4739</v>
      </c>
      <c r="F220" t="s">
        <v>107</v>
      </c>
      <c r="G220" t="s">
        <v>260</v>
      </c>
      <c r="H220" t="s">
        <v>3225</v>
      </c>
      <c r="I220" t="s">
        <v>70</v>
      </c>
      <c r="J220" t="s">
        <v>383</v>
      </c>
      <c r="K220">
        <v>9.93</v>
      </c>
      <c r="L220">
        <v>4.3</v>
      </c>
      <c r="M220" t="s">
        <v>4740</v>
      </c>
      <c r="N220">
        <v>233257</v>
      </c>
      <c r="O220">
        <v>3.61</v>
      </c>
      <c r="R220">
        <v>0.44</v>
      </c>
      <c r="S220">
        <v>1.42</v>
      </c>
      <c r="V220" t="s">
        <v>4741</v>
      </c>
      <c r="Z220" t="s">
        <v>164</v>
      </c>
      <c r="AA220">
        <v>1.19</v>
      </c>
      <c r="AE220" t="s">
        <v>823</v>
      </c>
      <c r="AF220" t="s">
        <v>4742</v>
      </c>
      <c r="AG220" t="s">
        <v>1809</v>
      </c>
      <c r="AH220" t="s">
        <v>4743</v>
      </c>
      <c r="AJ220" t="s">
        <v>4744</v>
      </c>
      <c r="AK220" t="s">
        <v>4745</v>
      </c>
      <c r="AL220">
        <v>12.5</v>
      </c>
      <c r="AM220">
        <v>10.83</v>
      </c>
      <c r="AN220">
        <v>0</v>
      </c>
      <c r="AO220" t="s">
        <v>1838</v>
      </c>
      <c r="AP220" t="s">
        <v>102</v>
      </c>
      <c r="AQ220" t="s">
        <v>4110</v>
      </c>
      <c r="AR220" t="s">
        <v>1723</v>
      </c>
      <c r="AS220" t="s">
        <v>2530</v>
      </c>
      <c r="AT220" t="s">
        <v>4746</v>
      </c>
      <c r="AU220" t="s">
        <v>4747</v>
      </c>
      <c r="AV220" t="s">
        <v>4748</v>
      </c>
      <c r="AW220" t="s">
        <v>4749</v>
      </c>
      <c r="AX220" t="s">
        <v>4750</v>
      </c>
      <c r="AY220" t="s">
        <v>4749</v>
      </c>
      <c r="AZ220" t="s">
        <v>4751</v>
      </c>
      <c r="BB220">
        <v>1440.31</v>
      </c>
      <c r="BC220">
        <v>0.56999999999999995</v>
      </c>
      <c r="BD220">
        <v>5.33</v>
      </c>
      <c r="BE220">
        <v>4.97</v>
      </c>
      <c r="BF220">
        <v>4.1100000000000003</v>
      </c>
      <c r="BG220" t="s">
        <v>4752</v>
      </c>
      <c r="BH220" t="s">
        <v>4753</v>
      </c>
      <c r="BI220" t="s">
        <v>4754</v>
      </c>
      <c r="BJ220" t="s">
        <v>101</v>
      </c>
      <c r="BK220" t="s">
        <v>4755</v>
      </c>
      <c r="BL220" t="s">
        <v>4756</v>
      </c>
      <c r="BM220" t="s">
        <v>4757</v>
      </c>
      <c r="BN220" t="s">
        <v>4063</v>
      </c>
    </row>
    <row r="221" spans="1:66" x14ac:dyDescent="0.25">
      <c r="A221" t="str">
        <f>HYPERLINK("https://elite.finviz.com/quote.ashx?t=CRI&amp;ty=c&amp;p=d&amp;b=1", "CRI")</f>
        <v>CRI</v>
      </c>
      <c r="B221">
        <v>7</v>
      </c>
      <c r="C221">
        <v>138.38</v>
      </c>
      <c r="D221">
        <v>46.08</v>
      </c>
      <c r="E221" t="s">
        <v>4758</v>
      </c>
      <c r="F221" t="s">
        <v>67</v>
      </c>
      <c r="G221" t="s">
        <v>813</v>
      </c>
      <c r="H221" t="s">
        <v>4488</v>
      </c>
      <c r="I221" t="s">
        <v>70</v>
      </c>
      <c r="J221" t="s">
        <v>71</v>
      </c>
      <c r="K221">
        <v>1037.96</v>
      </c>
      <c r="L221">
        <v>28.49</v>
      </c>
      <c r="M221" t="s">
        <v>4759</v>
      </c>
      <c r="N221">
        <v>157217</v>
      </c>
      <c r="O221">
        <v>7.57</v>
      </c>
      <c r="P221">
        <v>12.42</v>
      </c>
      <c r="R221">
        <v>0.37</v>
      </c>
      <c r="S221">
        <v>1.22</v>
      </c>
      <c r="T221" t="s">
        <v>4697</v>
      </c>
      <c r="U221">
        <v>2.1</v>
      </c>
      <c r="V221" t="s">
        <v>2882</v>
      </c>
      <c r="W221" t="s">
        <v>4760</v>
      </c>
      <c r="X221" t="s">
        <v>4761</v>
      </c>
      <c r="Y221" t="s">
        <v>1066</v>
      </c>
      <c r="Z221" t="s">
        <v>2445</v>
      </c>
      <c r="AA221">
        <v>3.76</v>
      </c>
      <c r="AB221" t="s">
        <v>4464</v>
      </c>
      <c r="AC221" t="s">
        <v>2617</v>
      </c>
      <c r="AD221" t="s">
        <v>4762</v>
      </c>
      <c r="AE221" t="s">
        <v>4763</v>
      </c>
      <c r="AF221" t="s">
        <v>4764</v>
      </c>
      <c r="AG221" t="s">
        <v>2969</v>
      </c>
      <c r="AH221" t="s">
        <v>4765</v>
      </c>
      <c r="AI221" t="s">
        <v>4766</v>
      </c>
      <c r="AJ221" t="s">
        <v>164</v>
      </c>
      <c r="AK221" t="s">
        <v>4767</v>
      </c>
      <c r="AL221">
        <v>2.2000000000000002</v>
      </c>
      <c r="AM221">
        <v>1.03</v>
      </c>
      <c r="AN221">
        <v>1.32</v>
      </c>
      <c r="AO221" t="s">
        <v>4768</v>
      </c>
      <c r="AP221" t="s">
        <v>661</v>
      </c>
      <c r="AQ221" t="s">
        <v>2523</v>
      </c>
      <c r="AR221" t="s">
        <v>1449</v>
      </c>
      <c r="AS221" t="s">
        <v>1087</v>
      </c>
      <c r="AT221" t="s">
        <v>156</v>
      </c>
      <c r="AU221" t="s">
        <v>909</v>
      </c>
      <c r="AV221" t="s">
        <v>4769</v>
      </c>
      <c r="AW221" t="s">
        <v>4770</v>
      </c>
      <c r="AX221" t="s">
        <v>4771</v>
      </c>
      <c r="AY221" t="s">
        <v>4772</v>
      </c>
      <c r="AZ221" t="s">
        <v>4771</v>
      </c>
      <c r="BA221">
        <v>3.86</v>
      </c>
      <c r="BB221">
        <v>1583.98</v>
      </c>
      <c r="BC221">
        <v>0.35</v>
      </c>
      <c r="BD221">
        <v>28.22</v>
      </c>
      <c r="BE221">
        <v>28.59</v>
      </c>
      <c r="BF221">
        <v>28.15</v>
      </c>
      <c r="BG221" t="s">
        <v>4773</v>
      </c>
      <c r="BH221" t="s">
        <v>4774</v>
      </c>
      <c r="BI221" t="s">
        <v>4775</v>
      </c>
      <c r="BJ221" t="s">
        <v>101</v>
      </c>
      <c r="BK221" t="s">
        <v>4776</v>
      </c>
      <c r="BL221" t="s">
        <v>898</v>
      </c>
      <c r="BM221" t="s">
        <v>4777</v>
      </c>
      <c r="BN221" t="s">
        <v>4063</v>
      </c>
    </row>
    <row r="222" spans="1:66" x14ac:dyDescent="0.25">
      <c r="A222" t="str">
        <f>HYPERLINK("https://elite.finviz.com/quote.ashx?t=VWAV&amp;ty=c&amp;p=d&amp;b=1", "VWAV")</f>
        <v>VWAV</v>
      </c>
      <c r="B222">
        <v>7</v>
      </c>
      <c r="C222">
        <v>138.38</v>
      </c>
      <c r="D222">
        <v>46.17</v>
      </c>
      <c r="E222" t="s">
        <v>4778</v>
      </c>
      <c r="F222" t="s">
        <v>107</v>
      </c>
      <c r="G222" t="s">
        <v>260</v>
      </c>
      <c r="H222" t="s">
        <v>4779</v>
      </c>
      <c r="I222" t="s">
        <v>70</v>
      </c>
      <c r="J222" t="s">
        <v>321</v>
      </c>
      <c r="K222">
        <v>132.69</v>
      </c>
      <c r="L222">
        <v>9.15</v>
      </c>
      <c r="M222" t="s">
        <v>4780</v>
      </c>
      <c r="N222">
        <v>39690</v>
      </c>
      <c r="AA222">
        <v>-0.55000000000000004</v>
      </c>
      <c r="AB222" t="s">
        <v>4781</v>
      </c>
      <c r="AJ222" t="s">
        <v>164</v>
      </c>
      <c r="AK222" t="s">
        <v>4782</v>
      </c>
      <c r="AL222">
        <v>0</v>
      </c>
      <c r="AM222">
        <v>0</v>
      </c>
      <c r="AR222" t="s">
        <v>4409</v>
      </c>
      <c r="AS222" t="s">
        <v>4783</v>
      </c>
      <c r="AT222" t="s">
        <v>601</v>
      </c>
      <c r="AU222" t="s">
        <v>902</v>
      </c>
      <c r="AV222" t="s">
        <v>4784</v>
      </c>
      <c r="AW222" t="s">
        <v>4785</v>
      </c>
      <c r="AX222" t="s">
        <v>4786</v>
      </c>
      <c r="AY222" t="s">
        <v>4787</v>
      </c>
      <c r="AZ222" t="s">
        <v>4786</v>
      </c>
      <c r="BB222">
        <v>5567.12</v>
      </c>
      <c r="BC222">
        <v>0.03</v>
      </c>
      <c r="BD222">
        <v>9.02</v>
      </c>
      <c r="BE222">
        <v>9.4499999999999993</v>
      </c>
      <c r="BF222">
        <v>9.0399999999999991</v>
      </c>
      <c r="BG222" t="s">
        <v>4788</v>
      </c>
      <c r="BH222" t="s">
        <v>4787</v>
      </c>
      <c r="BI222" t="s">
        <v>4786</v>
      </c>
      <c r="BJ222" t="s">
        <v>101</v>
      </c>
      <c r="BK222" t="s">
        <v>4789</v>
      </c>
      <c r="BL222" t="s">
        <v>4790</v>
      </c>
      <c r="BM222" t="s">
        <v>4791</v>
      </c>
      <c r="BN222" t="s">
        <v>4063</v>
      </c>
    </row>
    <row r="223" spans="1:66" x14ac:dyDescent="0.25">
      <c r="A223" t="str">
        <f>HYPERLINK("https://elite.finviz.com/quote.ashx?t=ONB&amp;ty=c&amp;p=d&amp;b=1", "ONB")</f>
        <v>ONB</v>
      </c>
      <c r="B223">
        <v>7</v>
      </c>
      <c r="C223">
        <v>138.38</v>
      </c>
      <c r="D223">
        <v>46.31</v>
      </c>
      <c r="E223" t="s">
        <v>4792</v>
      </c>
      <c r="F223" t="s">
        <v>67</v>
      </c>
      <c r="G223" t="s">
        <v>550</v>
      </c>
      <c r="H223" t="s">
        <v>697</v>
      </c>
      <c r="I223" t="s">
        <v>70</v>
      </c>
      <c r="J223" t="s">
        <v>321</v>
      </c>
      <c r="K223">
        <v>8577.7099999999991</v>
      </c>
      <c r="L223">
        <v>21.89</v>
      </c>
      <c r="M223" t="s">
        <v>3358</v>
      </c>
      <c r="N223">
        <v>298330</v>
      </c>
      <c r="O223">
        <v>13</v>
      </c>
      <c r="P223">
        <v>8.39</v>
      </c>
      <c r="Q223">
        <v>0.8</v>
      </c>
      <c r="R223">
        <v>2.67</v>
      </c>
      <c r="S223">
        <v>1.0900000000000001</v>
      </c>
      <c r="T223" t="s">
        <v>1933</v>
      </c>
      <c r="U223">
        <v>0.56000000000000005</v>
      </c>
      <c r="V223" t="s">
        <v>4548</v>
      </c>
      <c r="W223" t="s">
        <v>164</v>
      </c>
      <c r="X223" t="s">
        <v>164</v>
      </c>
      <c r="Y223" t="s">
        <v>3550</v>
      </c>
      <c r="Z223" t="s">
        <v>4793</v>
      </c>
      <c r="AA223">
        <v>1.68</v>
      </c>
      <c r="AB223" t="s">
        <v>4794</v>
      </c>
      <c r="AC223" t="s">
        <v>4795</v>
      </c>
      <c r="AD223" t="s">
        <v>2912</v>
      </c>
      <c r="AE223" t="s">
        <v>874</v>
      </c>
      <c r="AF223" t="s">
        <v>4796</v>
      </c>
      <c r="AG223" t="s">
        <v>4797</v>
      </c>
      <c r="AH223" t="s">
        <v>4798</v>
      </c>
      <c r="AI223" t="s">
        <v>2876</v>
      </c>
      <c r="AJ223" t="s">
        <v>2717</v>
      </c>
      <c r="AK223" t="s">
        <v>2889</v>
      </c>
      <c r="AL223">
        <v>0.04</v>
      </c>
      <c r="AN223">
        <v>0.93</v>
      </c>
      <c r="AP223" t="s">
        <v>4799</v>
      </c>
      <c r="AQ223" t="s">
        <v>4116</v>
      </c>
      <c r="AR223" t="s">
        <v>3916</v>
      </c>
      <c r="AS223" t="s">
        <v>4800</v>
      </c>
      <c r="AT223" t="s">
        <v>3753</v>
      </c>
      <c r="AU223" t="s">
        <v>2213</v>
      </c>
      <c r="AV223" t="s">
        <v>4801</v>
      </c>
      <c r="AW223" t="s">
        <v>4705</v>
      </c>
      <c r="AX223" t="s">
        <v>1700</v>
      </c>
      <c r="AY223" t="s">
        <v>4802</v>
      </c>
      <c r="AZ223" t="s">
        <v>4803</v>
      </c>
      <c r="BA223">
        <v>1.75</v>
      </c>
      <c r="BB223">
        <v>3322.81</v>
      </c>
      <c r="BC223">
        <v>0.32</v>
      </c>
      <c r="BD223">
        <v>21.86</v>
      </c>
      <c r="BE223">
        <v>22.25</v>
      </c>
      <c r="BF223">
        <v>21.88</v>
      </c>
      <c r="BG223" t="s">
        <v>4804</v>
      </c>
      <c r="BH223" t="s">
        <v>4805</v>
      </c>
      <c r="BI223" t="s">
        <v>4806</v>
      </c>
      <c r="BJ223" t="s">
        <v>101</v>
      </c>
      <c r="BK223" t="s">
        <v>2582</v>
      </c>
      <c r="BL223" t="s">
        <v>1439</v>
      </c>
      <c r="BM223" t="s">
        <v>4807</v>
      </c>
      <c r="BN223" t="s">
        <v>4063</v>
      </c>
    </row>
    <row r="224" spans="1:66" x14ac:dyDescent="0.25">
      <c r="A224" t="str">
        <f>HYPERLINK("https://elite.finviz.com/quote.ashx?t=IBIO&amp;ty=c&amp;p=d&amp;b=1", "IBIO")</f>
        <v>IBIO</v>
      </c>
      <c r="B224">
        <v>7</v>
      </c>
      <c r="C224">
        <v>138.38</v>
      </c>
      <c r="D224">
        <v>46.35</v>
      </c>
      <c r="E224" t="s">
        <v>4808</v>
      </c>
      <c r="F224" t="s">
        <v>107</v>
      </c>
      <c r="G224" t="s">
        <v>428</v>
      </c>
      <c r="H224" t="s">
        <v>429</v>
      </c>
      <c r="I224" t="s">
        <v>70</v>
      </c>
      <c r="J224" t="s">
        <v>321</v>
      </c>
      <c r="K224">
        <v>15.58</v>
      </c>
      <c r="L224">
        <v>0.79</v>
      </c>
      <c r="M224" t="s">
        <v>4809</v>
      </c>
      <c r="N224">
        <v>44112</v>
      </c>
      <c r="R224">
        <v>38.950000000000003</v>
      </c>
      <c r="S224">
        <v>1.03</v>
      </c>
      <c r="AA224">
        <v>-1.75</v>
      </c>
      <c r="AB224" t="s">
        <v>4810</v>
      </c>
      <c r="AC224" t="s">
        <v>4811</v>
      </c>
      <c r="AE224" t="s">
        <v>4812</v>
      </c>
      <c r="AF224" t="s">
        <v>4813</v>
      </c>
      <c r="AG224" t="s">
        <v>4814</v>
      </c>
      <c r="AH224" t="s">
        <v>2169</v>
      </c>
      <c r="AI224" t="s">
        <v>4815</v>
      </c>
      <c r="AJ224" t="s">
        <v>164</v>
      </c>
      <c r="AK224" t="s">
        <v>3190</v>
      </c>
      <c r="AL224">
        <v>1.59</v>
      </c>
      <c r="AM224">
        <v>1.59</v>
      </c>
      <c r="AN224">
        <v>0.24</v>
      </c>
      <c r="AO224" t="s">
        <v>4816</v>
      </c>
      <c r="AP224" t="s">
        <v>4817</v>
      </c>
      <c r="AQ224" t="s">
        <v>4818</v>
      </c>
      <c r="AR224" t="s">
        <v>1160</v>
      </c>
      <c r="AS224" t="s">
        <v>4819</v>
      </c>
      <c r="AT224" t="s">
        <v>3401</v>
      </c>
      <c r="AU224" t="s">
        <v>1453</v>
      </c>
      <c r="AV224" t="s">
        <v>367</v>
      </c>
      <c r="AW224" t="s">
        <v>4820</v>
      </c>
      <c r="AX224" t="s">
        <v>4821</v>
      </c>
      <c r="AY224" t="s">
        <v>4822</v>
      </c>
      <c r="AZ224" t="s">
        <v>4821</v>
      </c>
      <c r="BA224">
        <v>1</v>
      </c>
      <c r="BB224">
        <v>1102.48</v>
      </c>
      <c r="BC224">
        <v>0.14000000000000001</v>
      </c>
      <c r="BD224">
        <v>0.8</v>
      </c>
      <c r="BE224">
        <v>0.8</v>
      </c>
      <c r="BF224">
        <v>0.8</v>
      </c>
      <c r="BG224" t="s">
        <v>4823</v>
      </c>
      <c r="BH224" t="s">
        <v>579</v>
      </c>
      <c r="BI224" t="s">
        <v>4821</v>
      </c>
      <c r="BJ224" t="s">
        <v>101</v>
      </c>
      <c r="BK224" t="s">
        <v>4824</v>
      </c>
      <c r="BL224" t="s">
        <v>4825</v>
      </c>
      <c r="BM224" t="s">
        <v>1407</v>
      </c>
      <c r="BN224" t="s">
        <v>4063</v>
      </c>
    </row>
    <row r="225" spans="1:66" x14ac:dyDescent="0.25">
      <c r="A225" t="str">
        <f>HYPERLINK("https://elite.finviz.com/quote.ashx?t=BX&amp;ty=c&amp;p=d&amp;b=1", "BX")</f>
        <v>BX</v>
      </c>
      <c r="B225">
        <v>7</v>
      </c>
      <c r="C225">
        <v>138.38</v>
      </c>
      <c r="D225">
        <v>46.54</v>
      </c>
      <c r="E225" t="s">
        <v>4826</v>
      </c>
      <c r="F225" t="s">
        <v>195</v>
      </c>
      <c r="G225" t="s">
        <v>550</v>
      </c>
      <c r="H225" t="s">
        <v>2597</v>
      </c>
      <c r="I225" t="s">
        <v>70</v>
      </c>
      <c r="J225" t="s">
        <v>71</v>
      </c>
      <c r="K225">
        <v>215066.25</v>
      </c>
      <c r="L225">
        <v>175.11</v>
      </c>
      <c r="M225" t="s">
        <v>4703</v>
      </c>
      <c r="N225">
        <v>477614</v>
      </c>
      <c r="O225">
        <v>47.27</v>
      </c>
      <c r="P225">
        <v>26.91</v>
      </c>
      <c r="Q225">
        <v>2.34</v>
      </c>
      <c r="R225">
        <v>16.59</v>
      </c>
      <c r="S225">
        <v>25.79</v>
      </c>
      <c r="T225" t="s">
        <v>2333</v>
      </c>
      <c r="U225">
        <v>3.26</v>
      </c>
      <c r="V225" t="s">
        <v>4827</v>
      </c>
      <c r="W225" t="s">
        <v>4395</v>
      </c>
      <c r="X225" t="s">
        <v>4828</v>
      </c>
      <c r="Y225" t="s">
        <v>4829</v>
      </c>
      <c r="Z225" t="s">
        <v>4830</v>
      </c>
      <c r="AA225">
        <v>3.7</v>
      </c>
      <c r="AB225" t="s">
        <v>4831</v>
      </c>
      <c r="AC225" t="s">
        <v>3325</v>
      </c>
      <c r="AD225" t="s">
        <v>4832</v>
      </c>
      <c r="AE225" t="s">
        <v>4833</v>
      </c>
      <c r="AF225" t="s">
        <v>2263</v>
      </c>
      <c r="AG225" t="s">
        <v>4834</v>
      </c>
      <c r="AH225" t="s">
        <v>563</v>
      </c>
      <c r="AI225" t="s">
        <v>4835</v>
      </c>
      <c r="AJ225" t="s">
        <v>4367</v>
      </c>
      <c r="AK225" t="s">
        <v>4836</v>
      </c>
      <c r="AL225">
        <v>0.75</v>
      </c>
      <c r="AM225">
        <v>0.75</v>
      </c>
      <c r="AN225">
        <v>1.55</v>
      </c>
      <c r="AO225" t="s">
        <v>4837</v>
      </c>
      <c r="AP225" t="s">
        <v>1974</v>
      </c>
      <c r="AQ225" t="s">
        <v>4838</v>
      </c>
      <c r="AR225" t="s">
        <v>4658</v>
      </c>
      <c r="AS225" t="s">
        <v>4839</v>
      </c>
      <c r="AT225" t="s">
        <v>2649</v>
      </c>
      <c r="AU225" t="s">
        <v>4840</v>
      </c>
      <c r="AV225" t="s">
        <v>702</v>
      </c>
      <c r="AW225" t="s">
        <v>4841</v>
      </c>
      <c r="AX225" t="s">
        <v>267</v>
      </c>
      <c r="AY225" t="s">
        <v>4842</v>
      </c>
      <c r="AZ225" t="s">
        <v>4843</v>
      </c>
      <c r="BA225">
        <v>2.27</v>
      </c>
      <c r="BB225">
        <v>3843.91</v>
      </c>
      <c r="BC225">
        <v>0.44</v>
      </c>
      <c r="BD225">
        <v>175.6</v>
      </c>
      <c r="BE225">
        <v>178.29</v>
      </c>
      <c r="BF225">
        <v>174.65</v>
      </c>
      <c r="BG225" t="s">
        <v>4844</v>
      </c>
      <c r="BH225" t="s">
        <v>4842</v>
      </c>
      <c r="BI225" t="s">
        <v>4845</v>
      </c>
      <c r="BJ225" t="s">
        <v>101</v>
      </c>
      <c r="BK225" t="s">
        <v>4846</v>
      </c>
      <c r="BL225" t="s">
        <v>4847</v>
      </c>
      <c r="BM225" t="s">
        <v>3188</v>
      </c>
      <c r="BN225" t="s">
        <v>4063</v>
      </c>
    </row>
    <row r="226" spans="1:66" x14ac:dyDescent="0.25">
      <c r="A226" t="str">
        <f>HYPERLINK("https://elite.finviz.com/quote.ashx?t=A&amp;ty=c&amp;p=d&amp;b=1", "A")</f>
        <v>A</v>
      </c>
      <c r="B226">
        <v>7</v>
      </c>
      <c r="C226">
        <v>138.38</v>
      </c>
      <c r="D226">
        <v>46.56</v>
      </c>
      <c r="E226" t="s">
        <v>4848</v>
      </c>
      <c r="F226" t="s">
        <v>195</v>
      </c>
      <c r="G226" t="s">
        <v>428</v>
      </c>
      <c r="H226" t="s">
        <v>4202</v>
      </c>
      <c r="I226" t="s">
        <v>70</v>
      </c>
      <c r="J226" t="s">
        <v>71</v>
      </c>
      <c r="K226">
        <v>34731.64</v>
      </c>
      <c r="L226">
        <v>122.51</v>
      </c>
      <c r="M226" t="s">
        <v>4849</v>
      </c>
      <c r="N226">
        <v>293725</v>
      </c>
      <c r="O226">
        <v>28.73</v>
      </c>
      <c r="P226">
        <v>20.34</v>
      </c>
      <c r="Q226">
        <v>3.65</v>
      </c>
      <c r="R226">
        <v>5.12</v>
      </c>
      <c r="S226">
        <v>5.45</v>
      </c>
      <c r="T226" t="s">
        <v>2785</v>
      </c>
      <c r="U226">
        <v>0.98</v>
      </c>
      <c r="V226" t="s">
        <v>198</v>
      </c>
      <c r="W226" t="s">
        <v>2810</v>
      </c>
      <c r="X226" t="s">
        <v>4742</v>
      </c>
      <c r="Y226" t="s">
        <v>4850</v>
      </c>
      <c r="Z226" t="s">
        <v>4851</v>
      </c>
      <c r="AA226">
        <v>4.26</v>
      </c>
      <c r="AB226" t="s">
        <v>1148</v>
      </c>
      <c r="AC226" t="s">
        <v>3983</v>
      </c>
      <c r="AD226" t="s">
        <v>265</v>
      </c>
      <c r="AE226" t="s">
        <v>2842</v>
      </c>
      <c r="AF226" t="s">
        <v>1457</v>
      </c>
      <c r="AG226" t="s">
        <v>2774</v>
      </c>
      <c r="AH226" t="s">
        <v>4852</v>
      </c>
      <c r="AI226" t="s">
        <v>2275</v>
      </c>
      <c r="AJ226" t="s">
        <v>1938</v>
      </c>
      <c r="AK226" t="s">
        <v>4853</v>
      </c>
      <c r="AL226">
        <v>2.25</v>
      </c>
      <c r="AM226">
        <v>1.71</v>
      </c>
      <c r="AN226">
        <v>0.54</v>
      </c>
      <c r="AO226" t="s">
        <v>4854</v>
      </c>
      <c r="AP226" t="s">
        <v>4412</v>
      </c>
      <c r="AQ226" t="s">
        <v>4855</v>
      </c>
      <c r="AR226" t="s">
        <v>2449</v>
      </c>
      <c r="AS226" t="s">
        <v>3842</v>
      </c>
      <c r="AT226" t="s">
        <v>2617</v>
      </c>
      <c r="AU226" t="s">
        <v>4856</v>
      </c>
      <c r="AV226" t="s">
        <v>4809</v>
      </c>
      <c r="AW226" t="s">
        <v>798</v>
      </c>
      <c r="AX226" t="s">
        <v>4857</v>
      </c>
      <c r="AY226" t="s">
        <v>4858</v>
      </c>
      <c r="AZ226" t="s">
        <v>4859</v>
      </c>
      <c r="BA226">
        <v>2.2400000000000002</v>
      </c>
      <c r="BB226">
        <v>1665.51</v>
      </c>
      <c r="BC226">
        <v>0.62</v>
      </c>
      <c r="BD226">
        <v>121.89</v>
      </c>
      <c r="BE226">
        <v>123.49</v>
      </c>
      <c r="BF226">
        <v>122</v>
      </c>
      <c r="BG226" t="s">
        <v>4860</v>
      </c>
      <c r="BH226" t="s">
        <v>4861</v>
      </c>
      <c r="BI226" t="s">
        <v>4862</v>
      </c>
      <c r="BJ226" t="s">
        <v>101</v>
      </c>
      <c r="BK226" t="s">
        <v>3173</v>
      </c>
      <c r="BL226" t="s">
        <v>304</v>
      </c>
      <c r="BM226" t="s">
        <v>4863</v>
      </c>
      <c r="BN226" t="s">
        <v>4063</v>
      </c>
    </row>
    <row r="227" spans="1:66" x14ac:dyDescent="0.25">
      <c r="A227" t="str">
        <f>HYPERLINK("https://elite.finviz.com/quote.ashx?t=JBI&amp;ty=c&amp;p=d&amp;b=1", "JBI")</f>
        <v>JBI</v>
      </c>
      <c r="B227">
        <v>7</v>
      </c>
      <c r="C227">
        <v>138.38</v>
      </c>
      <c r="D227">
        <v>46.6</v>
      </c>
      <c r="E227" t="s">
        <v>4864</v>
      </c>
      <c r="F227" t="s">
        <v>67</v>
      </c>
      <c r="G227" t="s">
        <v>260</v>
      </c>
      <c r="H227" t="s">
        <v>3225</v>
      </c>
      <c r="I227" t="s">
        <v>70</v>
      </c>
      <c r="J227" t="s">
        <v>71</v>
      </c>
      <c r="K227">
        <v>1379.19</v>
      </c>
      <c r="L227">
        <v>9.93</v>
      </c>
      <c r="M227" t="s">
        <v>4865</v>
      </c>
      <c r="N227">
        <v>85229</v>
      </c>
      <c r="O227">
        <v>32.17</v>
      </c>
      <c r="P227">
        <v>12.73</v>
      </c>
      <c r="Q227">
        <v>2.2200000000000002</v>
      </c>
      <c r="R227">
        <v>1.53</v>
      </c>
      <c r="S227">
        <v>2.54</v>
      </c>
      <c r="Z227" t="s">
        <v>164</v>
      </c>
      <c r="AA227">
        <v>0.31</v>
      </c>
      <c r="AB227" t="s">
        <v>3723</v>
      </c>
      <c r="AD227" t="s">
        <v>2230</v>
      </c>
      <c r="AE227" t="s">
        <v>4866</v>
      </c>
      <c r="AF227" t="s">
        <v>4867</v>
      </c>
      <c r="AH227" t="s">
        <v>4868</v>
      </c>
      <c r="AI227" t="s">
        <v>4869</v>
      </c>
      <c r="AJ227" t="s">
        <v>164</v>
      </c>
      <c r="AK227" t="s">
        <v>4870</v>
      </c>
      <c r="AL227">
        <v>2.61</v>
      </c>
      <c r="AM227">
        <v>2.2599999999999998</v>
      </c>
      <c r="AN227">
        <v>1.1200000000000001</v>
      </c>
      <c r="AO227" t="s">
        <v>4871</v>
      </c>
      <c r="AP227" t="s">
        <v>3857</v>
      </c>
      <c r="AQ227" t="s">
        <v>4872</v>
      </c>
      <c r="AR227" t="s">
        <v>4873</v>
      </c>
      <c r="AS227" t="s">
        <v>2496</v>
      </c>
      <c r="AT227" t="s">
        <v>2978</v>
      </c>
      <c r="AU227" t="s">
        <v>273</v>
      </c>
      <c r="AV227" t="s">
        <v>4874</v>
      </c>
      <c r="AW227" t="s">
        <v>4875</v>
      </c>
      <c r="AX227" t="s">
        <v>4876</v>
      </c>
      <c r="AY227" t="s">
        <v>4875</v>
      </c>
      <c r="AZ227" t="s">
        <v>4877</v>
      </c>
      <c r="BA227">
        <v>1.8</v>
      </c>
      <c r="BB227">
        <v>1009.12</v>
      </c>
      <c r="BC227">
        <v>0.3</v>
      </c>
      <c r="BD227">
        <v>9.86</v>
      </c>
      <c r="BE227">
        <v>9.9499999999999993</v>
      </c>
      <c r="BF227">
        <v>9.86</v>
      </c>
      <c r="BG227" t="s">
        <v>4878</v>
      </c>
      <c r="BH227" t="s">
        <v>4132</v>
      </c>
      <c r="BI227" t="s">
        <v>4877</v>
      </c>
      <c r="BJ227" t="s">
        <v>101</v>
      </c>
      <c r="BK227" t="s">
        <v>3457</v>
      </c>
      <c r="BL227" t="s">
        <v>3839</v>
      </c>
      <c r="BM227" t="s">
        <v>4879</v>
      </c>
      <c r="BN227" t="s">
        <v>4063</v>
      </c>
    </row>
    <row r="228" spans="1:66" x14ac:dyDescent="0.25">
      <c r="A228" t="str">
        <f>HYPERLINK("https://elite.finviz.com/quote.ashx?t=DD&amp;ty=c&amp;p=d&amp;b=1", "DD")</f>
        <v>DD</v>
      </c>
      <c r="B228">
        <v>7</v>
      </c>
      <c r="C228">
        <v>138.38</v>
      </c>
      <c r="D228">
        <v>46.64</v>
      </c>
      <c r="E228" t="s">
        <v>4880</v>
      </c>
      <c r="F228" t="s">
        <v>195</v>
      </c>
      <c r="G228" t="s">
        <v>355</v>
      </c>
      <c r="H228" t="s">
        <v>1147</v>
      </c>
      <c r="I228" t="s">
        <v>70</v>
      </c>
      <c r="J228" t="s">
        <v>71</v>
      </c>
      <c r="K228">
        <v>31628.73</v>
      </c>
      <c r="L228">
        <v>75.540000000000006</v>
      </c>
      <c r="M228" t="s">
        <v>4881</v>
      </c>
      <c r="N228">
        <v>741907</v>
      </c>
      <c r="P228">
        <v>16.079999999999998</v>
      </c>
      <c r="R228">
        <v>2.5099999999999998</v>
      </c>
      <c r="S228">
        <v>1.37</v>
      </c>
      <c r="T228" t="s">
        <v>2430</v>
      </c>
      <c r="U228">
        <v>1.61</v>
      </c>
      <c r="V228" t="s">
        <v>4882</v>
      </c>
      <c r="W228" t="s">
        <v>892</v>
      </c>
      <c r="X228" t="s">
        <v>2861</v>
      </c>
      <c r="Y228" t="s">
        <v>1356</v>
      </c>
      <c r="Z228" t="s">
        <v>4883</v>
      </c>
      <c r="AA228">
        <v>-0.47</v>
      </c>
      <c r="AB228" t="s">
        <v>4884</v>
      </c>
      <c r="AC228" t="s">
        <v>4885</v>
      </c>
      <c r="AD228" t="s">
        <v>723</v>
      </c>
      <c r="AE228" t="s">
        <v>4104</v>
      </c>
      <c r="AF228" t="s">
        <v>4886</v>
      </c>
      <c r="AG228" t="s">
        <v>4887</v>
      </c>
      <c r="AH228" t="s">
        <v>2496</v>
      </c>
      <c r="AI228" t="s">
        <v>3981</v>
      </c>
      <c r="AJ228" t="s">
        <v>4888</v>
      </c>
      <c r="AK228" t="s">
        <v>4889</v>
      </c>
      <c r="AL228">
        <v>1.41</v>
      </c>
      <c r="AM228">
        <v>0.94</v>
      </c>
      <c r="AN228">
        <v>0.33</v>
      </c>
      <c r="AO228" t="s">
        <v>4890</v>
      </c>
      <c r="AP228" t="s">
        <v>1132</v>
      </c>
      <c r="AQ228" t="s">
        <v>3967</v>
      </c>
      <c r="AR228" t="s">
        <v>90</v>
      </c>
      <c r="AS228" t="s">
        <v>4891</v>
      </c>
      <c r="AT228" t="s">
        <v>789</v>
      </c>
      <c r="AU228" t="s">
        <v>4801</v>
      </c>
      <c r="AV228" t="s">
        <v>4892</v>
      </c>
      <c r="AW228" t="s">
        <v>4893</v>
      </c>
      <c r="AX228" t="s">
        <v>2200</v>
      </c>
      <c r="AY228" t="s">
        <v>4894</v>
      </c>
      <c r="AZ228" t="s">
        <v>4895</v>
      </c>
      <c r="BA228">
        <v>1.37</v>
      </c>
      <c r="BB228">
        <v>2908.65</v>
      </c>
      <c r="BC228">
        <v>0.9</v>
      </c>
      <c r="BD228">
        <v>74.55</v>
      </c>
      <c r="BE228">
        <v>76.47</v>
      </c>
      <c r="BF228">
        <v>74.97</v>
      </c>
      <c r="BG228" t="s">
        <v>4896</v>
      </c>
      <c r="BH228" t="s">
        <v>4897</v>
      </c>
      <c r="BI228" t="s">
        <v>4898</v>
      </c>
      <c r="BJ228" t="s">
        <v>101</v>
      </c>
      <c r="BK228" t="s">
        <v>236</v>
      </c>
      <c r="BL228" t="s">
        <v>2103</v>
      </c>
      <c r="BM228" t="s">
        <v>4899</v>
      </c>
      <c r="BN228" t="s">
        <v>4063</v>
      </c>
    </row>
    <row r="229" spans="1:66" x14ac:dyDescent="0.25">
      <c r="A229" t="str">
        <f>HYPERLINK("https://elite.finviz.com/quote.ashx?t=SSNC&amp;ty=c&amp;p=d&amp;b=1", "SSNC")</f>
        <v>SSNC</v>
      </c>
      <c r="B229">
        <v>7</v>
      </c>
      <c r="C229">
        <v>138.38</v>
      </c>
      <c r="D229">
        <v>46.7</v>
      </c>
      <c r="E229" t="s">
        <v>4900</v>
      </c>
      <c r="F229" t="s">
        <v>107</v>
      </c>
      <c r="G229" t="s">
        <v>108</v>
      </c>
      <c r="H229" t="s">
        <v>136</v>
      </c>
      <c r="I229" t="s">
        <v>70</v>
      </c>
      <c r="J229" t="s">
        <v>321</v>
      </c>
      <c r="K229">
        <v>21391.279999999999</v>
      </c>
      <c r="L229">
        <v>87.59</v>
      </c>
      <c r="M229" t="s">
        <v>4901</v>
      </c>
      <c r="N229">
        <v>203283</v>
      </c>
      <c r="O229">
        <v>27.59</v>
      </c>
      <c r="P229">
        <v>13.47</v>
      </c>
      <c r="Q229">
        <v>3.03</v>
      </c>
      <c r="R229">
        <v>3.54</v>
      </c>
      <c r="S229">
        <v>3.08</v>
      </c>
      <c r="T229" t="s">
        <v>4902</v>
      </c>
      <c r="U229">
        <v>1.02</v>
      </c>
      <c r="V229" t="s">
        <v>2187</v>
      </c>
      <c r="W229" t="s">
        <v>4903</v>
      </c>
      <c r="X229" t="s">
        <v>1794</v>
      </c>
      <c r="Y229" t="s">
        <v>4904</v>
      </c>
      <c r="Z229" t="s">
        <v>4905</v>
      </c>
      <c r="AA229">
        <v>3.17</v>
      </c>
      <c r="AB229" t="s">
        <v>629</v>
      </c>
      <c r="AC229" t="s">
        <v>4906</v>
      </c>
      <c r="AD229" t="s">
        <v>1775</v>
      </c>
      <c r="AE229" t="s">
        <v>437</v>
      </c>
      <c r="AF229" t="s">
        <v>2542</v>
      </c>
      <c r="AG229" t="s">
        <v>585</v>
      </c>
      <c r="AH229" t="s">
        <v>4907</v>
      </c>
      <c r="AI229" t="s">
        <v>4908</v>
      </c>
      <c r="AJ229" t="s">
        <v>1547</v>
      </c>
      <c r="AK229" t="s">
        <v>4909</v>
      </c>
      <c r="AL229">
        <v>1.1399999999999999</v>
      </c>
      <c r="AM229">
        <v>1.1399999999999999</v>
      </c>
      <c r="AN229">
        <v>1.01</v>
      </c>
      <c r="AO229" t="s">
        <v>4910</v>
      </c>
      <c r="AP229" t="s">
        <v>2739</v>
      </c>
      <c r="AQ229" t="s">
        <v>3924</v>
      </c>
      <c r="AR229" t="s">
        <v>3494</v>
      </c>
      <c r="AS229" t="s">
        <v>908</v>
      </c>
      <c r="AT229" t="s">
        <v>2768</v>
      </c>
      <c r="AU229" t="s">
        <v>3736</v>
      </c>
      <c r="AV229" t="s">
        <v>616</v>
      </c>
      <c r="AW229" t="s">
        <v>759</v>
      </c>
      <c r="AX229" t="s">
        <v>713</v>
      </c>
      <c r="AY229" t="s">
        <v>759</v>
      </c>
      <c r="AZ229" t="s">
        <v>4047</v>
      </c>
      <c r="BA229">
        <v>1.67</v>
      </c>
      <c r="BB229">
        <v>1148.28</v>
      </c>
      <c r="BC229">
        <v>0.62</v>
      </c>
      <c r="BD229">
        <v>87.12</v>
      </c>
      <c r="BE229">
        <v>88.13</v>
      </c>
      <c r="BF229">
        <v>87.49</v>
      </c>
      <c r="BG229" t="s">
        <v>4911</v>
      </c>
      <c r="BH229" t="s">
        <v>759</v>
      </c>
      <c r="BI229" t="s">
        <v>4912</v>
      </c>
      <c r="BJ229" t="s">
        <v>101</v>
      </c>
      <c r="BK229" t="s">
        <v>4913</v>
      </c>
      <c r="BL229" t="s">
        <v>372</v>
      </c>
      <c r="BM229" t="s">
        <v>4914</v>
      </c>
      <c r="BN229" t="s">
        <v>4063</v>
      </c>
    </row>
    <row r="230" spans="1:66" x14ac:dyDescent="0.25">
      <c r="A230" t="str">
        <f>HYPERLINK("https://elite.finviz.com/quote.ashx?t=JBGS&amp;ty=c&amp;p=d&amp;b=1", "JBGS")</f>
        <v>JBGS</v>
      </c>
      <c r="B230">
        <v>7</v>
      </c>
      <c r="C230">
        <v>138.38</v>
      </c>
      <c r="D230">
        <v>46.71</v>
      </c>
      <c r="E230" t="s">
        <v>4915</v>
      </c>
      <c r="F230" t="s">
        <v>67</v>
      </c>
      <c r="G230" t="s">
        <v>68</v>
      </c>
      <c r="H230" t="s">
        <v>69</v>
      </c>
      <c r="I230" t="s">
        <v>70</v>
      </c>
      <c r="J230" t="s">
        <v>71</v>
      </c>
      <c r="K230">
        <v>1677.78</v>
      </c>
      <c r="L230">
        <v>22.13</v>
      </c>
      <c r="M230" t="s">
        <v>1648</v>
      </c>
      <c r="N230">
        <v>94633</v>
      </c>
      <c r="R230">
        <v>3.26</v>
      </c>
      <c r="S230">
        <v>1.04</v>
      </c>
      <c r="T230" t="s">
        <v>4916</v>
      </c>
      <c r="U230">
        <v>0.7</v>
      </c>
      <c r="V230" t="s">
        <v>2420</v>
      </c>
      <c r="W230" t="s">
        <v>4917</v>
      </c>
      <c r="X230" t="s">
        <v>2265</v>
      </c>
      <c r="Y230" t="s">
        <v>309</v>
      </c>
      <c r="AA230">
        <v>-1.89</v>
      </c>
      <c r="AB230" t="s">
        <v>4918</v>
      </c>
      <c r="AE230" t="s">
        <v>4919</v>
      </c>
      <c r="AF230" t="s">
        <v>4665</v>
      </c>
      <c r="AG230" t="s">
        <v>4920</v>
      </c>
      <c r="AH230" t="s">
        <v>4921</v>
      </c>
      <c r="AI230" t="s">
        <v>4922</v>
      </c>
      <c r="AJ230" t="s">
        <v>4923</v>
      </c>
      <c r="AK230" t="s">
        <v>4924</v>
      </c>
      <c r="AL230">
        <v>5.34</v>
      </c>
      <c r="AM230">
        <v>5.34</v>
      </c>
      <c r="AN230">
        <v>1.91</v>
      </c>
      <c r="AO230" t="s">
        <v>4925</v>
      </c>
      <c r="AP230" t="s">
        <v>2745</v>
      </c>
      <c r="AQ230" t="s">
        <v>4926</v>
      </c>
      <c r="AR230" t="s">
        <v>2146</v>
      </c>
      <c r="AS230" t="s">
        <v>4216</v>
      </c>
      <c r="AT230" t="s">
        <v>4927</v>
      </c>
      <c r="AU230" t="s">
        <v>3520</v>
      </c>
      <c r="AV230" t="s">
        <v>4928</v>
      </c>
      <c r="AW230" t="s">
        <v>4929</v>
      </c>
      <c r="AX230" t="s">
        <v>4930</v>
      </c>
      <c r="AY230" t="s">
        <v>4929</v>
      </c>
      <c r="AZ230" t="s">
        <v>4931</v>
      </c>
      <c r="BA230">
        <v>4.33</v>
      </c>
      <c r="BB230">
        <v>1160.07</v>
      </c>
      <c r="BC230">
        <v>0.28999999999999998</v>
      </c>
      <c r="BD230">
        <v>22.17</v>
      </c>
      <c r="BE230">
        <v>22.33</v>
      </c>
      <c r="BF230">
        <v>22.11</v>
      </c>
      <c r="BG230" t="s">
        <v>4932</v>
      </c>
      <c r="BH230" t="s">
        <v>4933</v>
      </c>
      <c r="BI230" t="s">
        <v>2758</v>
      </c>
      <c r="BJ230" t="s">
        <v>101</v>
      </c>
      <c r="BK230" t="s">
        <v>4934</v>
      </c>
      <c r="BL230" t="s">
        <v>4935</v>
      </c>
      <c r="BM230" t="s">
        <v>3308</v>
      </c>
      <c r="BN230" t="s">
        <v>4063</v>
      </c>
    </row>
    <row r="231" spans="1:66" x14ac:dyDescent="0.25">
      <c r="A231" t="str">
        <f>HYPERLINK("https://elite.finviz.com/quote.ashx?t=COLB&amp;ty=c&amp;p=d&amp;b=1", "COLB")</f>
        <v>COLB</v>
      </c>
      <c r="B231">
        <v>7</v>
      </c>
      <c r="C231">
        <v>138.38</v>
      </c>
      <c r="D231">
        <v>46.72</v>
      </c>
      <c r="E231" t="s">
        <v>4936</v>
      </c>
      <c r="F231" t="s">
        <v>107</v>
      </c>
      <c r="G231" t="s">
        <v>550</v>
      </c>
      <c r="H231" t="s">
        <v>697</v>
      </c>
      <c r="I231" t="s">
        <v>70</v>
      </c>
      <c r="J231" t="s">
        <v>321</v>
      </c>
      <c r="K231">
        <v>7700.67</v>
      </c>
      <c r="L231">
        <v>25.74</v>
      </c>
      <c r="M231" t="s">
        <v>2294</v>
      </c>
      <c r="N231">
        <v>905018</v>
      </c>
      <c r="O231">
        <v>10.220000000000001</v>
      </c>
      <c r="P231">
        <v>8.17</v>
      </c>
      <c r="Q231">
        <v>1.41</v>
      </c>
      <c r="R231">
        <v>2.61</v>
      </c>
      <c r="S231">
        <v>1.01</v>
      </c>
      <c r="T231" t="s">
        <v>3496</v>
      </c>
      <c r="U231">
        <v>1.44</v>
      </c>
      <c r="V231" t="s">
        <v>4882</v>
      </c>
      <c r="W231" t="s">
        <v>3520</v>
      </c>
      <c r="X231" t="s">
        <v>2655</v>
      </c>
      <c r="Y231" t="s">
        <v>2216</v>
      </c>
      <c r="Z231" t="s">
        <v>4937</v>
      </c>
      <c r="AA231">
        <v>2.52</v>
      </c>
      <c r="AB231" t="s">
        <v>2673</v>
      </c>
      <c r="AC231" t="s">
        <v>1722</v>
      </c>
      <c r="AD231" t="s">
        <v>297</v>
      </c>
      <c r="AE231" t="s">
        <v>4938</v>
      </c>
      <c r="AF231" t="s">
        <v>4939</v>
      </c>
      <c r="AG231" t="s">
        <v>4940</v>
      </c>
      <c r="AH231" t="s">
        <v>3634</v>
      </c>
      <c r="AI231" t="s">
        <v>4941</v>
      </c>
      <c r="AJ231" t="s">
        <v>164</v>
      </c>
      <c r="AK231" t="s">
        <v>4942</v>
      </c>
      <c r="AL231">
        <v>0.06</v>
      </c>
      <c r="AN231">
        <v>0.77</v>
      </c>
      <c r="AP231" t="s">
        <v>4943</v>
      </c>
      <c r="AQ231" t="s">
        <v>4944</v>
      </c>
      <c r="AR231" t="s">
        <v>4600</v>
      </c>
      <c r="AS231" t="s">
        <v>4945</v>
      </c>
      <c r="AT231" t="s">
        <v>3753</v>
      </c>
      <c r="AU231" t="s">
        <v>2734</v>
      </c>
      <c r="AV231" t="s">
        <v>4946</v>
      </c>
      <c r="AW231" t="s">
        <v>4947</v>
      </c>
      <c r="AX231" t="s">
        <v>1470</v>
      </c>
      <c r="AY231" t="s">
        <v>4948</v>
      </c>
      <c r="AZ231" t="s">
        <v>4949</v>
      </c>
      <c r="BA231">
        <v>2.69</v>
      </c>
      <c r="BB231">
        <v>3947.06</v>
      </c>
      <c r="BC231">
        <v>0.81</v>
      </c>
      <c r="BD231">
        <v>25.8</v>
      </c>
      <c r="BE231">
        <v>26.19</v>
      </c>
      <c r="BF231">
        <v>25.67</v>
      </c>
      <c r="BG231" t="s">
        <v>4950</v>
      </c>
      <c r="BH231" t="s">
        <v>4951</v>
      </c>
      <c r="BI231" t="s">
        <v>4952</v>
      </c>
      <c r="BJ231" t="s">
        <v>101</v>
      </c>
      <c r="BK231" t="s">
        <v>1396</v>
      </c>
      <c r="BL231" t="s">
        <v>3494</v>
      </c>
      <c r="BM231" t="s">
        <v>4953</v>
      </c>
      <c r="BN231" t="s">
        <v>4063</v>
      </c>
    </row>
    <row r="232" spans="1:66" x14ac:dyDescent="0.25">
      <c r="A232" t="str">
        <f>HYPERLINK("https://elite.finviz.com/quote.ashx?t=ASB&amp;ty=c&amp;p=d&amp;b=1", "ASB")</f>
        <v>ASB</v>
      </c>
      <c r="B232">
        <v>7</v>
      </c>
      <c r="C232">
        <v>138.38</v>
      </c>
      <c r="D232">
        <v>46.76</v>
      </c>
      <c r="E232" t="s">
        <v>4954</v>
      </c>
      <c r="F232" t="s">
        <v>67</v>
      </c>
      <c r="G232" t="s">
        <v>550</v>
      </c>
      <c r="H232" t="s">
        <v>697</v>
      </c>
      <c r="I232" t="s">
        <v>70</v>
      </c>
      <c r="J232" t="s">
        <v>71</v>
      </c>
      <c r="K232">
        <v>4268.93</v>
      </c>
      <c r="L232">
        <v>25.74</v>
      </c>
      <c r="M232" t="s">
        <v>4955</v>
      </c>
      <c r="N232">
        <v>203535</v>
      </c>
      <c r="O232">
        <v>33.9</v>
      </c>
      <c r="P232">
        <v>9.1</v>
      </c>
      <c r="Q232">
        <v>2.4500000000000002</v>
      </c>
      <c r="R232">
        <v>2</v>
      </c>
      <c r="S232">
        <v>0.93</v>
      </c>
      <c r="T232" t="s">
        <v>4956</v>
      </c>
      <c r="U232">
        <v>0.92</v>
      </c>
      <c r="V232" t="s">
        <v>2187</v>
      </c>
      <c r="W232" t="s">
        <v>3343</v>
      </c>
      <c r="X232" t="s">
        <v>4957</v>
      </c>
      <c r="Y232" t="s">
        <v>4173</v>
      </c>
      <c r="Z232" t="s">
        <v>4958</v>
      </c>
      <c r="AA232">
        <v>0.76</v>
      </c>
      <c r="AB232" t="s">
        <v>4959</v>
      </c>
      <c r="AC232" t="s">
        <v>4960</v>
      </c>
      <c r="AD232" t="s">
        <v>4961</v>
      </c>
      <c r="AE232" t="s">
        <v>2007</v>
      </c>
      <c r="AF232" t="s">
        <v>4962</v>
      </c>
      <c r="AG232" t="s">
        <v>2869</v>
      </c>
      <c r="AH232" t="s">
        <v>2624</v>
      </c>
      <c r="AI232" t="s">
        <v>521</v>
      </c>
      <c r="AJ232" t="s">
        <v>4963</v>
      </c>
      <c r="AK232" t="s">
        <v>4964</v>
      </c>
      <c r="AL232">
        <v>0.04</v>
      </c>
      <c r="AN232">
        <v>0.97</v>
      </c>
      <c r="AP232" t="s">
        <v>4965</v>
      </c>
      <c r="AQ232" t="s">
        <v>2231</v>
      </c>
      <c r="AR232" t="s">
        <v>3832</v>
      </c>
      <c r="AS232" t="s">
        <v>2421</v>
      </c>
      <c r="AT232" t="s">
        <v>181</v>
      </c>
      <c r="AU232" t="s">
        <v>1409</v>
      </c>
      <c r="AV232" t="s">
        <v>4966</v>
      </c>
      <c r="AW232" t="s">
        <v>4967</v>
      </c>
      <c r="AX232" t="s">
        <v>4193</v>
      </c>
      <c r="AY232" t="s">
        <v>1137</v>
      </c>
      <c r="AZ232" t="s">
        <v>4968</v>
      </c>
      <c r="BA232">
        <v>2.73</v>
      </c>
      <c r="BB232">
        <v>1486.16</v>
      </c>
      <c r="BC232">
        <v>0.48</v>
      </c>
      <c r="BD232">
        <v>25.78</v>
      </c>
      <c r="BE232">
        <v>26.08</v>
      </c>
      <c r="BF232">
        <v>25.69</v>
      </c>
      <c r="BG232" t="s">
        <v>4969</v>
      </c>
      <c r="BH232" t="s">
        <v>4970</v>
      </c>
      <c r="BI232" t="s">
        <v>4971</v>
      </c>
      <c r="BJ232" t="s">
        <v>101</v>
      </c>
      <c r="BK232" t="s">
        <v>3054</v>
      </c>
      <c r="BL232" t="s">
        <v>973</v>
      </c>
      <c r="BM232" t="s">
        <v>2728</v>
      </c>
      <c r="BN232" t="s">
        <v>4063</v>
      </c>
    </row>
    <row r="233" spans="1:66" x14ac:dyDescent="0.25">
      <c r="A233" t="str">
        <f>HYPERLINK("https://elite.finviz.com/quote.ashx?t=BMNR&amp;ty=c&amp;p=d&amp;b=1", "BMNR")</f>
        <v>BMNR</v>
      </c>
      <c r="B233">
        <v>7</v>
      </c>
      <c r="C233">
        <v>138.38</v>
      </c>
      <c r="D233">
        <v>46.76</v>
      </c>
      <c r="E233" t="s">
        <v>4972</v>
      </c>
      <c r="F233" t="s">
        <v>107</v>
      </c>
      <c r="G233" t="s">
        <v>550</v>
      </c>
      <c r="H233" t="s">
        <v>551</v>
      </c>
      <c r="I233" t="s">
        <v>70</v>
      </c>
      <c r="J233" t="s">
        <v>383</v>
      </c>
      <c r="K233">
        <v>13738.73</v>
      </c>
      <c r="L233">
        <v>48.25</v>
      </c>
      <c r="M233" t="s">
        <v>4516</v>
      </c>
      <c r="N233">
        <v>16050232</v>
      </c>
      <c r="R233">
        <v>2520.87</v>
      </c>
      <c r="S233">
        <v>34.43</v>
      </c>
      <c r="AA233">
        <v>-2.88</v>
      </c>
      <c r="AB233" t="s">
        <v>4973</v>
      </c>
      <c r="AE233" t="s">
        <v>4974</v>
      </c>
      <c r="AH233" t="s">
        <v>4975</v>
      </c>
      <c r="AI233" t="s">
        <v>164</v>
      </c>
      <c r="AJ233" t="s">
        <v>4976</v>
      </c>
      <c r="AK233" t="s">
        <v>193</v>
      </c>
      <c r="AL233">
        <v>0.41</v>
      </c>
      <c r="AM233">
        <v>0.41</v>
      </c>
      <c r="AN233">
        <v>0.65</v>
      </c>
      <c r="AO233" t="s">
        <v>247</v>
      </c>
      <c r="AP233" t="s">
        <v>499</v>
      </c>
      <c r="AQ233" t="s">
        <v>4977</v>
      </c>
      <c r="AR233" t="s">
        <v>3664</v>
      </c>
      <c r="AS233" t="s">
        <v>191</v>
      </c>
      <c r="AT233" t="s">
        <v>2357</v>
      </c>
      <c r="AU233" t="s">
        <v>4710</v>
      </c>
      <c r="AV233" t="s">
        <v>4978</v>
      </c>
      <c r="AW233" t="s">
        <v>4979</v>
      </c>
      <c r="AX233" t="s">
        <v>4980</v>
      </c>
      <c r="AY233" t="s">
        <v>4981</v>
      </c>
      <c r="AZ233" t="s">
        <v>4982</v>
      </c>
      <c r="BA233">
        <v>1</v>
      </c>
      <c r="BB233">
        <v>46501.34</v>
      </c>
      <c r="BC233">
        <v>1.22</v>
      </c>
      <c r="BD233">
        <v>49.57</v>
      </c>
      <c r="BE233">
        <v>50.2</v>
      </c>
      <c r="BF233">
        <v>47.32</v>
      </c>
      <c r="BG233" t="s">
        <v>4983</v>
      </c>
      <c r="BH233" t="s">
        <v>579</v>
      </c>
      <c r="BJ233" t="s">
        <v>101</v>
      </c>
      <c r="BK233" t="s">
        <v>4984</v>
      </c>
      <c r="BL233" t="s">
        <v>4985</v>
      </c>
      <c r="BM233" t="s">
        <v>4986</v>
      </c>
      <c r="BN233" t="s">
        <v>4063</v>
      </c>
    </row>
    <row r="234" spans="1:66" x14ac:dyDescent="0.25">
      <c r="A234" t="str">
        <f>HYPERLINK("https://elite.finviz.com/quote.ashx?t=RVYL&amp;ty=c&amp;p=d&amp;b=1", "RVYL")</f>
        <v>RVYL</v>
      </c>
      <c r="B234">
        <v>7</v>
      </c>
      <c r="C234">
        <v>138.38</v>
      </c>
      <c r="D234">
        <v>46.77</v>
      </c>
      <c r="E234" t="s">
        <v>4987</v>
      </c>
      <c r="F234" t="s">
        <v>107</v>
      </c>
      <c r="G234" t="s">
        <v>108</v>
      </c>
      <c r="H234" t="s">
        <v>109</v>
      </c>
      <c r="I234" t="s">
        <v>70</v>
      </c>
      <c r="J234" t="s">
        <v>321</v>
      </c>
      <c r="K234">
        <v>9.25</v>
      </c>
      <c r="L234">
        <v>0.28999999999999998</v>
      </c>
      <c r="M234" t="s">
        <v>698</v>
      </c>
      <c r="N234">
        <v>488506</v>
      </c>
      <c r="R234">
        <v>0.2</v>
      </c>
      <c r="AA234">
        <v>-2.16</v>
      </c>
      <c r="AB234" t="s">
        <v>4988</v>
      </c>
      <c r="AC234" t="s">
        <v>4989</v>
      </c>
      <c r="AE234" t="s">
        <v>4990</v>
      </c>
      <c r="AF234" t="s">
        <v>4991</v>
      </c>
      <c r="AG234" t="s">
        <v>4992</v>
      </c>
      <c r="AH234" t="s">
        <v>4993</v>
      </c>
      <c r="AI234" t="s">
        <v>4994</v>
      </c>
      <c r="AJ234" t="s">
        <v>2542</v>
      </c>
      <c r="AK234" t="s">
        <v>4995</v>
      </c>
      <c r="AL234">
        <v>0.67</v>
      </c>
      <c r="AM234">
        <v>0.67</v>
      </c>
      <c r="AO234" t="s">
        <v>4996</v>
      </c>
      <c r="AP234" t="s">
        <v>4997</v>
      </c>
      <c r="AQ234" t="s">
        <v>4998</v>
      </c>
      <c r="AR234" t="s">
        <v>1935</v>
      </c>
      <c r="AS234" t="s">
        <v>4999</v>
      </c>
      <c r="AT234" t="s">
        <v>2125</v>
      </c>
      <c r="AU234" t="s">
        <v>5000</v>
      </c>
      <c r="AV234" t="s">
        <v>5001</v>
      </c>
      <c r="AW234" t="s">
        <v>5002</v>
      </c>
      <c r="AX234" t="s">
        <v>5003</v>
      </c>
      <c r="AY234" t="s">
        <v>5004</v>
      </c>
      <c r="AZ234" t="s">
        <v>5003</v>
      </c>
      <c r="BA234">
        <v>2</v>
      </c>
      <c r="BB234">
        <v>3420.52</v>
      </c>
      <c r="BC234">
        <v>0.51</v>
      </c>
      <c r="BD234">
        <v>0.28999999999999998</v>
      </c>
      <c r="BE234">
        <v>0.31</v>
      </c>
      <c r="BF234">
        <v>0.28999999999999998</v>
      </c>
      <c r="BG234" t="s">
        <v>5005</v>
      </c>
      <c r="BH234" t="s">
        <v>3590</v>
      </c>
      <c r="BI234" t="s">
        <v>5003</v>
      </c>
      <c r="BJ234" t="s">
        <v>101</v>
      </c>
      <c r="BK234" t="s">
        <v>5006</v>
      </c>
      <c r="BL234" t="s">
        <v>5007</v>
      </c>
      <c r="BM234" t="s">
        <v>5008</v>
      </c>
      <c r="BN234" t="s">
        <v>4063</v>
      </c>
    </row>
    <row r="235" spans="1:66" x14ac:dyDescent="0.25">
      <c r="A235" t="str">
        <f>HYPERLINK("https://elite.finviz.com/quote.ashx?t=EDHL&amp;ty=c&amp;p=d&amp;b=1", "EDHL")</f>
        <v>EDHL</v>
      </c>
      <c r="B235">
        <v>7</v>
      </c>
      <c r="C235">
        <v>138.38</v>
      </c>
      <c r="D235">
        <v>46.8</v>
      </c>
      <c r="E235" t="s">
        <v>5009</v>
      </c>
      <c r="F235" t="s">
        <v>107</v>
      </c>
      <c r="G235" t="s">
        <v>598</v>
      </c>
      <c r="H235" t="s">
        <v>1020</v>
      </c>
      <c r="I235" t="s">
        <v>70</v>
      </c>
      <c r="J235" t="s">
        <v>321</v>
      </c>
      <c r="L235">
        <v>0.73</v>
      </c>
      <c r="M235" t="s">
        <v>3173</v>
      </c>
      <c r="N235">
        <v>115601</v>
      </c>
      <c r="AR235" t="s">
        <v>5010</v>
      </c>
      <c r="AS235" t="s">
        <v>5011</v>
      </c>
      <c r="AT235" t="s">
        <v>1871</v>
      </c>
      <c r="AU235" t="s">
        <v>5012</v>
      </c>
      <c r="AV235" t="s">
        <v>5013</v>
      </c>
      <c r="AW235" t="s">
        <v>5014</v>
      </c>
      <c r="AX235" t="s">
        <v>5015</v>
      </c>
      <c r="AY235" t="s">
        <v>5016</v>
      </c>
      <c r="AZ235" t="s">
        <v>5015</v>
      </c>
      <c r="BB235">
        <v>4112.99</v>
      </c>
      <c r="BC235">
        <v>0.1</v>
      </c>
      <c r="BD235">
        <v>0.71</v>
      </c>
      <c r="BE235">
        <v>0.73</v>
      </c>
      <c r="BF235">
        <v>0.69</v>
      </c>
      <c r="BG235" t="s">
        <v>5017</v>
      </c>
      <c r="BH235" t="s">
        <v>5016</v>
      </c>
      <c r="BI235" t="s">
        <v>5015</v>
      </c>
      <c r="BJ235" t="s">
        <v>101</v>
      </c>
      <c r="BK235" t="s">
        <v>5018</v>
      </c>
      <c r="BN235" t="s">
        <v>4063</v>
      </c>
    </row>
    <row r="236" spans="1:66" x14ac:dyDescent="0.25">
      <c r="A236" t="str">
        <f>HYPERLINK("https://elite.finviz.com/quote.ashx?t=CC&amp;ty=c&amp;p=d&amp;b=1", "CC")</f>
        <v>CC</v>
      </c>
      <c r="B236">
        <v>7</v>
      </c>
      <c r="C236">
        <v>138.38</v>
      </c>
      <c r="D236">
        <v>46.94</v>
      </c>
      <c r="E236" t="s">
        <v>5019</v>
      </c>
      <c r="F236" t="s">
        <v>67</v>
      </c>
      <c r="G236" t="s">
        <v>355</v>
      </c>
      <c r="H236" t="s">
        <v>1147</v>
      </c>
      <c r="I236" t="s">
        <v>70</v>
      </c>
      <c r="J236" t="s">
        <v>71</v>
      </c>
      <c r="K236">
        <v>2326.31</v>
      </c>
      <c r="L236">
        <v>15.54</v>
      </c>
      <c r="M236" t="s">
        <v>4856</v>
      </c>
      <c r="N236">
        <v>486227</v>
      </c>
      <c r="P236">
        <v>7.33</v>
      </c>
      <c r="R236">
        <v>0.4</v>
      </c>
      <c r="S236">
        <v>9.82</v>
      </c>
      <c r="T236" t="s">
        <v>2233</v>
      </c>
      <c r="U236">
        <v>0.68</v>
      </c>
      <c r="V236" t="s">
        <v>3046</v>
      </c>
      <c r="W236" t="s">
        <v>164</v>
      </c>
      <c r="X236" t="s">
        <v>164</v>
      </c>
      <c r="Y236" t="s">
        <v>164</v>
      </c>
      <c r="Z236" t="s">
        <v>5020</v>
      </c>
      <c r="AA236">
        <v>-2.8</v>
      </c>
      <c r="AB236" t="s">
        <v>5021</v>
      </c>
      <c r="AD236" t="s">
        <v>4609</v>
      </c>
      <c r="AE236" t="s">
        <v>3635</v>
      </c>
      <c r="AF236" t="s">
        <v>79</v>
      </c>
      <c r="AG236" t="s">
        <v>3344</v>
      </c>
      <c r="AH236" t="s">
        <v>2732</v>
      </c>
      <c r="AI236" t="s">
        <v>5022</v>
      </c>
      <c r="AJ236" t="s">
        <v>901</v>
      </c>
      <c r="AK236" t="s">
        <v>5023</v>
      </c>
      <c r="AL236">
        <v>1.68</v>
      </c>
      <c r="AM236">
        <v>0.83</v>
      </c>
      <c r="AN236">
        <v>18.59</v>
      </c>
      <c r="AO236" t="s">
        <v>5024</v>
      </c>
      <c r="AP236" t="s">
        <v>5025</v>
      </c>
      <c r="AQ236" t="s">
        <v>4635</v>
      </c>
      <c r="AR236" t="s">
        <v>4659</v>
      </c>
      <c r="AS236" t="s">
        <v>5026</v>
      </c>
      <c r="AT236" t="s">
        <v>103</v>
      </c>
      <c r="AU236" t="s">
        <v>5027</v>
      </c>
      <c r="AV236" t="s">
        <v>4512</v>
      </c>
      <c r="AW236" t="s">
        <v>5028</v>
      </c>
      <c r="AX236" t="s">
        <v>5029</v>
      </c>
      <c r="AY236" t="s">
        <v>5030</v>
      </c>
      <c r="AZ236" t="s">
        <v>1962</v>
      </c>
      <c r="BA236">
        <v>2</v>
      </c>
      <c r="BB236">
        <v>4141.78</v>
      </c>
      <c r="BC236">
        <v>0.41</v>
      </c>
      <c r="BD236">
        <v>15.33</v>
      </c>
      <c r="BE236">
        <v>15.9</v>
      </c>
      <c r="BF236">
        <v>15.25</v>
      </c>
      <c r="BG236" t="s">
        <v>5031</v>
      </c>
      <c r="BH236" t="s">
        <v>3011</v>
      </c>
      <c r="BI236" t="s">
        <v>5032</v>
      </c>
      <c r="BJ236" t="s">
        <v>101</v>
      </c>
      <c r="BK236" t="s">
        <v>5033</v>
      </c>
      <c r="BL236" t="s">
        <v>607</v>
      </c>
      <c r="BM236" t="s">
        <v>5034</v>
      </c>
      <c r="BN236" t="s">
        <v>4063</v>
      </c>
    </row>
    <row r="237" spans="1:66" x14ac:dyDescent="0.25">
      <c r="A237" t="str">
        <f>HYPERLINK("https://elite.finviz.com/quote.ashx?t=SGI&amp;ty=c&amp;p=d&amp;b=1", "SGI")</f>
        <v>SGI</v>
      </c>
      <c r="B237">
        <v>7</v>
      </c>
      <c r="C237">
        <v>138.38</v>
      </c>
      <c r="D237">
        <v>47.04</v>
      </c>
      <c r="E237" t="s">
        <v>5035</v>
      </c>
      <c r="F237" t="s">
        <v>107</v>
      </c>
      <c r="G237" t="s">
        <v>813</v>
      </c>
      <c r="H237" t="s">
        <v>3866</v>
      </c>
      <c r="I237" t="s">
        <v>70</v>
      </c>
      <c r="J237" t="s">
        <v>71</v>
      </c>
      <c r="K237">
        <v>17294.009999999998</v>
      </c>
      <c r="L237">
        <v>82.4</v>
      </c>
      <c r="M237" t="s">
        <v>1765</v>
      </c>
      <c r="N237">
        <v>233652</v>
      </c>
      <c r="O237">
        <v>57.7</v>
      </c>
      <c r="P237">
        <v>26.16</v>
      </c>
      <c r="Q237">
        <v>4.07</v>
      </c>
      <c r="R237">
        <v>2.89</v>
      </c>
      <c r="S237">
        <v>6.09</v>
      </c>
      <c r="T237" t="s">
        <v>5036</v>
      </c>
      <c r="U237">
        <v>0.57999999999999996</v>
      </c>
      <c r="V237" t="s">
        <v>5037</v>
      </c>
      <c r="W237" t="s">
        <v>4084</v>
      </c>
      <c r="X237" t="s">
        <v>5038</v>
      </c>
      <c r="Z237" t="s">
        <v>5039</v>
      </c>
      <c r="AA237">
        <v>1.43</v>
      </c>
      <c r="AB237" t="s">
        <v>5040</v>
      </c>
      <c r="AC237" t="s">
        <v>3496</v>
      </c>
      <c r="AD237" t="s">
        <v>3789</v>
      </c>
      <c r="AE237" t="s">
        <v>5041</v>
      </c>
      <c r="AF237" t="s">
        <v>580</v>
      </c>
      <c r="AG237" t="s">
        <v>4077</v>
      </c>
      <c r="AH237" t="s">
        <v>5042</v>
      </c>
      <c r="AI237" t="s">
        <v>4795</v>
      </c>
      <c r="AJ237" t="s">
        <v>4312</v>
      </c>
      <c r="AK237" t="s">
        <v>5043</v>
      </c>
      <c r="AL237">
        <v>0.82</v>
      </c>
      <c r="AM237">
        <v>0.4</v>
      </c>
      <c r="AN237">
        <v>2.41</v>
      </c>
      <c r="AO237" t="s">
        <v>5044</v>
      </c>
      <c r="AP237" t="s">
        <v>333</v>
      </c>
      <c r="AQ237" t="s">
        <v>5045</v>
      </c>
      <c r="AR237" t="s">
        <v>2145</v>
      </c>
      <c r="AS237" t="s">
        <v>4267</v>
      </c>
      <c r="AT237" t="s">
        <v>4646</v>
      </c>
      <c r="AU237" t="s">
        <v>90</v>
      </c>
      <c r="AV237" t="s">
        <v>2567</v>
      </c>
      <c r="AW237" t="s">
        <v>4921</v>
      </c>
      <c r="AX237" t="s">
        <v>5046</v>
      </c>
      <c r="AY237" t="s">
        <v>4921</v>
      </c>
      <c r="AZ237" t="s">
        <v>5047</v>
      </c>
      <c r="BA237">
        <v>1.82</v>
      </c>
      <c r="BB237">
        <v>2402.19</v>
      </c>
      <c r="BC237">
        <v>0.34</v>
      </c>
      <c r="BD237">
        <v>82.06</v>
      </c>
      <c r="BE237">
        <v>82.95</v>
      </c>
      <c r="BF237">
        <v>82.03</v>
      </c>
      <c r="BG237" t="s">
        <v>5048</v>
      </c>
      <c r="BH237" t="s">
        <v>4921</v>
      </c>
      <c r="BI237" t="s">
        <v>5049</v>
      </c>
      <c r="BJ237" t="s">
        <v>101</v>
      </c>
      <c r="BK237" t="s">
        <v>5050</v>
      </c>
      <c r="BL237" t="s">
        <v>5051</v>
      </c>
      <c r="BM237" t="s">
        <v>5052</v>
      </c>
      <c r="BN237" t="s">
        <v>4063</v>
      </c>
    </row>
    <row r="238" spans="1:66" x14ac:dyDescent="0.25">
      <c r="A238" t="str">
        <f>HYPERLINK("https://elite.finviz.com/quote.ashx?t=TOL&amp;ty=c&amp;p=d&amp;b=1", "TOL")</f>
        <v>TOL</v>
      </c>
      <c r="B238">
        <v>7</v>
      </c>
      <c r="C238">
        <v>138.38</v>
      </c>
      <c r="D238">
        <v>47.04</v>
      </c>
      <c r="E238" t="s">
        <v>5053</v>
      </c>
      <c r="F238" t="s">
        <v>107</v>
      </c>
      <c r="G238" t="s">
        <v>813</v>
      </c>
      <c r="H238" t="s">
        <v>5054</v>
      </c>
      <c r="I238" t="s">
        <v>70</v>
      </c>
      <c r="J238" t="s">
        <v>71</v>
      </c>
      <c r="K238">
        <v>13139.9</v>
      </c>
      <c r="L238">
        <v>136.33000000000001</v>
      </c>
      <c r="M238" t="s">
        <v>5055</v>
      </c>
      <c r="N238">
        <v>100100</v>
      </c>
      <c r="O238">
        <v>10.02</v>
      </c>
      <c r="P238">
        <v>9.7799999999999994</v>
      </c>
      <c r="Q238">
        <v>7.21</v>
      </c>
      <c r="R238">
        <v>1.21</v>
      </c>
      <c r="S238">
        <v>1.63</v>
      </c>
      <c r="T238" t="s">
        <v>3871</v>
      </c>
      <c r="U238">
        <v>0.96</v>
      </c>
      <c r="V238" t="s">
        <v>5056</v>
      </c>
      <c r="W238" t="s">
        <v>418</v>
      </c>
      <c r="X238" t="s">
        <v>2709</v>
      </c>
      <c r="Y238" t="s">
        <v>5057</v>
      </c>
      <c r="Z238" t="s">
        <v>3601</v>
      </c>
      <c r="AA238">
        <v>13.61</v>
      </c>
      <c r="AB238" t="s">
        <v>4279</v>
      </c>
      <c r="AC238" t="s">
        <v>4803</v>
      </c>
      <c r="AD238" t="s">
        <v>5058</v>
      </c>
      <c r="AE238" t="s">
        <v>4499</v>
      </c>
      <c r="AF238" t="s">
        <v>4819</v>
      </c>
      <c r="AG238" t="s">
        <v>3455</v>
      </c>
      <c r="AH238" t="s">
        <v>710</v>
      </c>
      <c r="AI238" t="s">
        <v>2700</v>
      </c>
      <c r="AJ238" t="s">
        <v>5059</v>
      </c>
      <c r="AK238" t="s">
        <v>1618</v>
      </c>
      <c r="AL238">
        <v>3.6</v>
      </c>
      <c r="AM238">
        <v>0.28999999999999998</v>
      </c>
      <c r="AN238">
        <v>0.38</v>
      </c>
      <c r="AO238" t="s">
        <v>116</v>
      </c>
      <c r="AP238" t="s">
        <v>5060</v>
      </c>
      <c r="AQ238" t="s">
        <v>1609</v>
      </c>
      <c r="AR238" t="s">
        <v>2742</v>
      </c>
      <c r="AS238" t="s">
        <v>248</v>
      </c>
      <c r="AT238" t="s">
        <v>5061</v>
      </c>
      <c r="AU238" t="s">
        <v>3208</v>
      </c>
      <c r="AV238" t="s">
        <v>1549</v>
      </c>
      <c r="AW238" t="s">
        <v>5062</v>
      </c>
      <c r="AX238" t="s">
        <v>5063</v>
      </c>
      <c r="AY238" t="s">
        <v>5064</v>
      </c>
      <c r="AZ238" t="s">
        <v>5065</v>
      </c>
      <c r="BA238">
        <v>1.95</v>
      </c>
      <c r="BB238">
        <v>1674.35</v>
      </c>
      <c r="BC238">
        <v>0.21</v>
      </c>
      <c r="BD238">
        <v>135.01</v>
      </c>
      <c r="BE238">
        <v>136.65</v>
      </c>
      <c r="BF238">
        <v>135.44</v>
      </c>
      <c r="BG238" t="s">
        <v>5066</v>
      </c>
      <c r="BH238" t="s">
        <v>5064</v>
      </c>
      <c r="BI238" t="s">
        <v>5067</v>
      </c>
      <c r="BJ238" t="s">
        <v>101</v>
      </c>
      <c r="BK238" t="s">
        <v>2862</v>
      </c>
      <c r="BL238" t="s">
        <v>5068</v>
      </c>
      <c r="BM238" t="s">
        <v>528</v>
      </c>
      <c r="BN238" t="s">
        <v>4063</v>
      </c>
    </row>
    <row r="239" spans="1:66" x14ac:dyDescent="0.25">
      <c r="A239" t="str">
        <f>HYPERLINK("https://elite.finviz.com/quote.ashx?t=VNO&amp;ty=c&amp;p=d&amp;b=1", "VNO")</f>
        <v>VNO</v>
      </c>
      <c r="B239">
        <v>7</v>
      </c>
      <c r="C239">
        <v>138.38</v>
      </c>
      <c r="D239">
        <v>47.05</v>
      </c>
      <c r="E239" t="s">
        <v>5069</v>
      </c>
      <c r="F239" t="s">
        <v>107</v>
      </c>
      <c r="G239" t="s">
        <v>68</v>
      </c>
      <c r="H239" t="s">
        <v>69</v>
      </c>
      <c r="I239" t="s">
        <v>70</v>
      </c>
      <c r="J239" t="s">
        <v>71</v>
      </c>
      <c r="K239">
        <v>8299.59</v>
      </c>
      <c r="L239">
        <v>39.76</v>
      </c>
      <c r="M239" t="s">
        <v>5070</v>
      </c>
      <c r="N239">
        <v>246997</v>
      </c>
      <c r="O239">
        <v>9.84</v>
      </c>
      <c r="P239">
        <v>250.42</v>
      </c>
      <c r="Q239">
        <v>0.08</v>
      </c>
      <c r="R239">
        <v>4.5999999999999996</v>
      </c>
      <c r="S239">
        <v>1.56</v>
      </c>
      <c r="T239" t="s">
        <v>5071</v>
      </c>
      <c r="U239">
        <v>0.74</v>
      </c>
      <c r="V239" t="s">
        <v>5072</v>
      </c>
      <c r="W239" t="s">
        <v>1822</v>
      </c>
      <c r="X239" t="s">
        <v>5073</v>
      </c>
      <c r="Y239" t="s">
        <v>5074</v>
      </c>
      <c r="Z239" t="s">
        <v>5075</v>
      </c>
      <c r="AA239">
        <v>4.04</v>
      </c>
      <c r="AB239" t="s">
        <v>5076</v>
      </c>
      <c r="AC239" t="s">
        <v>5077</v>
      </c>
      <c r="AD239" t="s">
        <v>5078</v>
      </c>
      <c r="AE239" t="s">
        <v>1025</v>
      </c>
      <c r="AF239" t="s">
        <v>3433</v>
      </c>
      <c r="AG239" t="s">
        <v>525</v>
      </c>
      <c r="AH239" t="s">
        <v>1225</v>
      </c>
      <c r="AI239" t="s">
        <v>5079</v>
      </c>
      <c r="AJ239" t="s">
        <v>124</v>
      </c>
      <c r="AK239" t="s">
        <v>5080</v>
      </c>
      <c r="AL239">
        <v>6.37</v>
      </c>
      <c r="AM239">
        <v>6.37</v>
      </c>
      <c r="AN239">
        <v>1.29</v>
      </c>
      <c r="AO239" t="s">
        <v>5081</v>
      </c>
      <c r="AP239" t="s">
        <v>5082</v>
      </c>
      <c r="AQ239" t="s">
        <v>5083</v>
      </c>
      <c r="AR239" t="s">
        <v>910</v>
      </c>
      <c r="AS239" t="s">
        <v>715</v>
      </c>
      <c r="AT239" t="s">
        <v>132</v>
      </c>
      <c r="AU239" t="s">
        <v>5084</v>
      </c>
      <c r="AV239" t="s">
        <v>3550</v>
      </c>
      <c r="AW239" t="s">
        <v>5085</v>
      </c>
      <c r="AX239" t="s">
        <v>1369</v>
      </c>
      <c r="AY239" t="s">
        <v>487</v>
      </c>
      <c r="AZ239" t="s">
        <v>5086</v>
      </c>
      <c r="BA239">
        <v>3.13</v>
      </c>
      <c r="BB239">
        <v>1791.43</v>
      </c>
      <c r="BC239">
        <v>0.49</v>
      </c>
      <c r="BD239">
        <v>40.39</v>
      </c>
      <c r="BE239">
        <v>40.51</v>
      </c>
      <c r="BF239">
        <v>39.729999999999997</v>
      </c>
      <c r="BG239" t="s">
        <v>5087</v>
      </c>
      <c r="BH239" t="s">
        <v>5088</v>
      </c>
      <c r="BI239" t="s">
        <v>5089</v>
      </c>
      <c r="BJ239" t="s">
        <v>101</v>
      </c>
      <c r="BK239" t="s">
        <v>122</v>
      </c>
      <c r="BL239" t="s">
        <v>5090</v>
      </c>
      <c r="BM239" t="s">
        <v>4759</v>
      </c>
      <c r="BN239" t="s">
        <v>4063</v>
      </c>
    </row>
    <row r="240" spans="1:66" x14ac:dyDescent="0.25">
      <c r="A240" t="str">
        <f>HYPERLINK("https://elite.finviz.com/quote.ashx?t=RKT&amp;ty=c&amp;p=d&amp;b=1", "RKT")</f>
        <v>RKT</v>
      </c>
      <c r="B240">
        <v>7</v>
      </c>
      <c r="C240">
        <v>138.38</v>
      </c>
      <c r="D240">
        <v>47.1</v>
      </c>
      <c r="E240" t="s">
        <v>5091</v>
      </c>
      <c r="F240" t="s">
        <v>107</v>
      </c>
      <c r="G240" t="s">
        <v>550</v>
      </c>
      <c r="H240" t="s">
        <v>3699</v>
      </c>
      <c r="I240" t="s">
        <v>70</v>
      </c>
      <c r="J240" t="s">
        <v>71</v>
      </c>
      <c r="K240">
        <v>40164.76</v>
      </c>
      <c r="L240">
        <v>19.079999999999998</v>
      </c>
      <c r="M240" t="s">
        <v>4794</v>
      </c>
      <c r="N240">
        <v>7440096</v>
      </c>
      <c r="P240">
        <v>28.43</v>
      </c>
      <c r="R240">
        <v>8.11</v>
      </c>
      <c r="S240">
        <v>0.39</v>
      </c>
      <c r="T240" t="s">
        <v>715</v>
      </c>
      <c r="V240" t="s">
        <v>5092</v>
      </c>
      <c r="Z240" t="s">
        <v>164</v>
      </c>
      <c r="AA240">
        <v>-0.05</v>
      </c>
      <c r="AB240" t="s">
        <v>5093</v>
      </c>
      <c r="AD240" t="s">
        <v>5094</v>
      </c>
      <c r="AE240" t="s">
        <v>5095</v>
      </c>
      <c r="AF240" t="s">
        <v>4456</v>
      </c>
      <c r="AG240" t="s">
        <v>2741</v>
      </c>
      <c r="AH240" t="s">
        <v>5096</v>
      </c>
      <c r="AI240" t="s">
        <v>5097</v>
      </c>
      <c r="AJ240" t="s">
        <v>164</v>
      </c>
      <c r="AK240" t="s">
        <v>5098</v>
      </c>
      <c r="AL240">
        <v>1.42</v>
      </c>
      <c r="AM240">
        <v>1.42</v>
      </c>
      <c r="AN240">
        <v>2.73</v>
      </c>
      <c r="AO240" t="s">
        <v>5099</v>
      </c>
      <c r="AP240" t="s">
        <v>341</v>
      </c>
      <c r="AQ240" t="s">
        <v>1249</v>
      </c>
      <c r="AR240" t="s">
        <v>2170</v>
      </c>
      <c r="AS240" t="s">
        <v>5100</v>
      </c>
      <c r="AT240" t="s">
        <v>5101</v>
      </c>
      <c r="AU240" t="s">
        <v>5102</v>
      </c>
      <c r="AV240" t="s">
        <v>5103</v>
      </c>
      <c r="AW240" t="s">
        <v>5104</v>
      </c>
      <c r="AX240" t="s">
        <v>5105</v>
      </c>
      <c r="AY240" t="s">
        <v>5104</v>
      </c>
      <c r="AZ240" t="s">
        <v>5106</v>
      </c>
      <c r="BA240">
        <v>2.58</v>
      </c>
      <c r="BB240">
        <v>22162.99</v>
      </c>
      <c r="BC240">
        <v>1.18</v>
      </c>
      <c r="BD240">
        <v>19.05</v>
      </c>
      <c r="BE240">
        <v>19.75</v>
      </c>
      <c r="BF240">
        <v>18.920000000000002</v>
      </c>
      <c r="BG240" t="s">
        <v>5107</v>
      </c>
      <c r="BH240" t="s">
        <v>5108</v>
      </c>
      <c r="BI240" t="s">
        <v>5109</v>
      </c>
      <c r="BJ240" t="s">
        <v>101</v>
      </c>
      <c r="BK240" t="s">
        <v>1757</v>
      </c>
      <c r="BL240" t="s">
        <v>5110</v>
      </c>
      <c r="BM240" t="s">
        <v>5111</v>
      </c>
      <c r="BN240" t="s">
        <v>4063</v>
      </c>
    </row>
    <row r="241" spans="1:66" x14ac:dyDescent="0.25">
      <c r="A241" t="str">
        <f>HYPERLINK("https://elite.finviz.com/quote.ashx?t=WAL&amp;ty=c&amp;p=d&amp;b=1", "WAL")</f>
        <v>WAL</v>
      </c>
      <c r="B241">
        <v>7</v>
      </c>
      <c r="C241">
        <v>138.38</v>
      </c>
      <c r="D241">
        <v>47.13</v>
      </c>
      <c r="E241" t="s">
        <v>5112</v>
      </c>
      <c r="F241" t="s">
        <v>107</v>
      </c>
      <c r="G241" t="s">
        <v>550</v>
      </c>
      <c r="H241" t="s">
        <v>697</v>
      </c>
      <c r="I241" t="s">
        <v>70</v>
      </c>
      <c r="J241" t="s">
        <v>71</v>
      </c>
      <c r="K241">
        <v>9595.4699999999993</v>
      </c>
      <c r="L241">
        <v>86.94</v>
      </c>
      <c r="M241" t="s">
        <v>3286</v>
      </c>
      <c r="N241">
        <v>226174</v>
      </c>
      <c r="O241">
        <v>11.43</v>
      </c>
      <c r="P241">
        <v>8.41</v>
      </c>
      <c r="Q241">
        <v>0.65</v>
      </c>
      <c r="R241">
        <v>1.89</v>
      </c>
      <c r="S241">
        <v>1.41</v>
      </c>
      <c r="T241" t="s">
        <v>4946</v>
      </c>
      <c r="U241">
        <v>1.52</v>
      </c>
      <c r="V241" t="s">
        <v>2708</v>
      </c>
      <c r="W241" t="s">
        <v>4945</v>
      </c>
      <c r="X241" t="s">
        <v>1283</v>
      </c>
      <c r="Y241" t="s">
        <v>5113</v>
      </c>
      <c r="Z241" t="s">
        <v>4424</v>
      </c>
      <c r="AA241">
        <v>7.61</v>
      </c>
      <c r="AB241" t="s">
        <v>2336</v>
      </c>
      <c r="AC241" t="s">
        <v>3837</v>
      </c>
      <c r="AD241" t="s">
        <v>3668</v>
      </c>
      <c r="AE241" t="s">
        <v>5114</v>
      </c>
      <c r="AF241" t="s">
        <v>3105</v>
      </c>
      <c r="AG241" t="s">
        <v>5115</v>
      </c>
      <c r="AH241" t="s">
        <v>5116</v>
      </c>
      <c r="AI241" t="s">
        <v>342</v>
      </c>
      <c r="AJ241" t="s">
        <v>3227</v>
      </c>
      <c r="AK241" t="s">
        <v>5117</v>
      </c>
      <c r="AL241">
        <v>0.1</v>
      </c>
      <c r="AN241">
        <v>0.97</v>
      </c>
      <c r="AP241" t="s">
        <v>5118</v>
      </c>
      <c r="AQ241" t="s">
        <v>5119</v>
      </c>
      <c r="AR241" t="s">
        <v>3208</v>
      </c>
      <c r="AS241" t="s">
        <v>2619</v>
      </c>
      <c r="AT241" t="s">
        <v>5120</v>
      </c>
      <c r="AU241" t="s">
        <v>5121</v>
      </c>
      <c r="AV241" t="s">
        <v>5122</v>
      </c>
      <c r="AW241" t="s">
        <v>4147</v>
      </c>
      <c r="AX241" t="s">
        <v>3741</v>
      </c>
      <c r="AY241" t="s">
        <v>5123</v>
      </c>
      <c r="AZ241" t="s">
        <v>1265</v>
      </c>
      <c r="BA241">
        <v>1.18</v>
      </c>
      <c r="BB241">
        <v>1083.46</v>
      </c>
      <c r="BC241">
        <v>0.74</v>
      </c>
      <c r="BD241">
        <v>88.25</v>
      </c>
      <c r="BE241">
        <v>88.68</v>
      </c>
      <c r="BF241">
        <v>86.68</v>
      </c>
      <c r="BG241" t="s">
        <v>5124</v>
      </c>
      <c r="BH241" t="s">
        <v>5125</v>
      </c>
      <c r="BI241" t="s">
        <v>5126</v>
      </c>
      <c r="BJ241" t="s">
        <v>101</v>
      </c>
      <c r="BK241" t="s">
        <v>5127</v>
      </c>
      <c r="BL241" t="s">
        <v>5128</v>
      </c>
      <c r="BM241" t="s">
        <v>4547</v>
      </c>
      <c r="BN241" t="s">
        <v>4063</v>
      </c>
    </row>
    <row r="242" spans="1:66" x14ac:dyDescent="0.25">
      <c r="A242" t="str">
        <f>HYPERLINK("https://elite.finviz.com/quote.ashx?t=GPRE&amp;ty=c&amp;p=d&amp;b=1", "GPRE")</f>
        <v>GPRE</v>
      </c>
      <c r="B242">
        <v>7</v>
      </c>
      <c r="C242">
        <v>138.38</v>
      </c>
      <c r="D242">
        <v>47.14</v>
      </c>
      <c r="E242" t="s">
        <v>5129</v>
      </c>
      <c r="F242" t="s">
        <v>67</v>
      </c>
      <c r="G242" t="s">
        <v>355</v>
      </c>
      <c r="H242" t="s">
        <v>5130</v>
      </c>
      <c r="I242" t="s">
        <v>70</v>
      </c>
      <c r="J242" t="s">
        <v>321</v>
      </c>
      <c r="K242">
        <v>607.47</v>
      </c>
      <c r="L242">
        <v>9.27</v>
      </c>
      <c r="M242" t="s">
        <v>969</v>
      </c>
      <c r="N242">
        <v>318968</v>
      </c>
      <c r="R242">
        <v>0.25</v>
      </c>
      <c r="S242">
        <v>0.83</v>
      </c>
      <c r="V242" t="s">
        <v>5131</v>
      </c>
      <c r="AA242">
        <v>-2.41</v>
      </c>
      <c r="AB242" t="s">
        <v>5132</v>
      </c>
      <c r="AC242" t="s">
        <v>3291</v>
      </c>
      <c r="AE242" t="s">
        <v>5133</v>
      </c>
      <c r="AF242" t="s">
        <v>5134</v>
      </c>
      <c r="AG242" t="s">
        <v>193</v>
      </c>
      <c r="AH242" t="s">
        <v>4887</v>
      </c>
      <c r="AI242" t="s">
        <v>5135</v>
      </c>
      <c r="AJ242" t="s">
        <v>1787</v>
      </c>
      <c r="AK242" t="s">
        <v>5136</v>
      </c>
      <c r="AL242">
        <v>1.47</v>
      </c>
      <c r="AM242">
        <v>0.94</v>
      </c>
      <c r="AN242">
        <v>0.83</v>
      </c>
      <c r="AO242" t="s">
        <v>2424</v>
      </c>
      <c r="AP242" t="s">
        <v>72</v>
      </c>
      <c r="AQ242" t="s">
        <v>5137</v>
      </c>
      <c r="AR242" t="s">
        <v>4393</v>
      </c>
      <c r="AS242" t="s">
        <v>4254</v>
      </c>
      <c r="AT242" t="s">
        <v>5138</v>
      </c>
      <c r="AU242" t="s">
        <v>909</v>
      </c>
      <c r="AV242" t="s">
        <v>5139</v>
      </c>
      <c r="AW242" t="s">
        <v>186</v>
      </c>
      <c r="AX242" t="s">
        <v>5140</v>
      </c>
      <c r="AY242" t="s">
        <v>5141</v>
      </c>
      <c r="AZ242" t="s">
        <v>5142</v>
      </c>
      <c r="BA242">
        <v>2.44</v>
      </c>
      <c r="BB242">
        <v>1941.9</v>
      </c>
      <c r="BC242">
        <v>0.57999999999999996</v>
      </c>
      <c r="BD242">
        <v>9.19</v>
      </c>
      <c r="BE242">
        <v>9.3000000000000007</v>
      </c>
      <c r="BF242">
        <v>9.07</v>
      </c>
      <c r="BG242" t="s">
        <v>5143</v>
      </c>
      <c r="BH242" t="s">
        <v>1855</v>
      </c>
      <c r="BI242" t="s">
        <v>5144</v>
      </c>
      <c r="BJ242" t="s">
        <v>101</v>
      </c>
      <c r="BK242" t="s">
        <v>5145</v>
      </c>
      <c r="BL242" t="s">
        <v>5146</v>
      </c>
      <c r="BM242" t="s">
        <v>5147</v>
      </c>
      <c r="BN242" t="s">
        <v>4063</v>
      </c>
    </row>
    <row r="243" spans="1:66" x14ac:dyDescent="0.25">
      <c r="A243" t="str">
        <f>HYPERLINK("https://elite.finviz.com/quote.ashx?t=BRX&amp;ty=c&amp;p=d&amp;b=1", "BRX")</f>
        <v>BRX</v>
      </c>
      <c r="B243">
        <v>7</v>
      </c>
      <c r="C243">
        <v>138.38</v>
      </c>
      <c r="D243">
        <v>47.15</v>
      </c>
      <c r="E243" t="s">
        <v>5148</v>
      </c>
      <c r="F243" t="s">
        <v>107</v>
      </c>
      <c r="G243" t="s">
        <v>68</v>
      </c>
      <c r="H243" t="s">
        <v>160</v>
      </c>
      <c r="I243" t="s">
        <v>70</v>
      </c>
      <c r="J243" t="s">
        <v>71</v>
      </c>
      <c r="K243">
        <v>8365.7000000000007</v>
      </c>
      <c r="L243">
        <v>27.33</v>
      </c>
      <c r="M243" t="s">
        <v>2290</v>
      </c>
      <c r="N243">
        <v>208692</v>
      </c>
      <c r="O243">
        <v>25</v>
      </c>
      <c r="P243">
        <v>27.8</v>
      </c>
      <c r="R243">
        <v>6.27</v>
      </c>
      <c r="S243">
        <v>2.83</v>
      </c>
      <c r="T243" t="s">
        <v>3519</v>
      </c>
      <c r="U243">
        <v>1.1399999999999999</v>
      </c>
      <c r="V243" t="s">
        <v>5149</v>
      </c>
      <c r="W243" t="s">
        <v>995</v>
      </c>
      <c r="X243" t="s">
        <v>5150</v>
      </c>
      <c r="Y243" t="s">
        <v>1445</v>
      </c>
      <c r="Z243" t="s">
        <v>4725</v>
      </c>
      <c r="AA243">
        <v>1.0900000000000001</v>
      </c>
      <c r="AB243" t="s">
        <v>5151</v>
      </c>
      <c r="AC243" t="s">
        <v>3433</v>
      </c>
      <c r="AD243" t="s">
        <v>3831</v>
      </c>
      <c r="AE243" t="s">
        <v>5152</v>
      </c>
      <c r="AF243" t="s">
        <v>4765</v>
      </c>
      <c r="AG243" t="s">
        <v>3118</v>
      </c>
      <c r="AH243" t="s">
        <v>1495</v>
      </c>
      <c r="AI243" t="s">
        <v>4279</v>
      </c>
      <c r="AJ243" t="s">
        <v>5153</v>
      </c>
      <c r="AK243" t="s">
        <v>5154</v>
      </c>
      <c r="AN243">
        <v>1.78</v>
      </c>
      <c r="AO243" t="s">
        <v>5155</v>
      </c>
      <c r="AP243" t="s">
        <v>5156</v>
      </c>
      <c r="AQ243" t="s">
        <v>5157</v>
      </c>
      <c r="AR243" t="s">
        <v>5158</v>
      </c>
      <c r="AS243" t="s">
        <v>4856</v>
      </c>
      <c r="AT243" t="s">
        <v>5159</v>
      </c>
      <c r="AU243" t="s">
        <v>2509</v>
      </c>
      <c r="AV243" t="s">
        <v>2495</v>
      </c>
      <c r="AW243" t="s">
        <v>552</v>
      </c>
      <c r="AX243" t="s">
        <v>4416</v>
      </c>
      <c r="AY243" t="s">
        <v>2052</v>
      </c>
      <c r="AZ243" t="s">
        <v>5160</v>
      </c>
      <c r="BA243">
        <v>1.33</v>
      </c>
      <c r="BB243">
        <v>2172.64</v>
      </c>
      <c r="BC243">
        <v>0.34</v>
      </c>
      <c r="BD243">
        <v>27.24</v>
      </c>
      <c r="BE243">
        <v>27.56</v>
      </c>
      <c r="BF243">
        <v>27.23</v>
      </c>
      <c r="BG243" t="s">
        <v>5161</v>
      </c>
      <c r="BH243" t="s">
        <v>2052</v>
      </c>
      <c r="BI243" t="s">
        <v>5162</v>
      </c>
      <c r="BJ243" t="s">
        <v>101</v>
      </c>
      <c r="BK243" t="s">
        <v>5163</v>
      </c>
      <c r="BL243" t="s">
        <v>5164</v>
      </c>
      <c r="BM243" t="s">
        <v>3559</v>
      </c>
      <c r="BN243" t="s">
        <v>4063</v>
      </c>
    </row>
    <row r="244" spans="1:66" x14ac:dyDescent="0.25">
      <c r="A244" t="str">
        <f>HYPERLINK("https://elite.finviz.com/quote.ashx?t=VSTM&amp;ty=c&amp;p=d&amp;b=1", "VSTM")</f>
        <v>VSTM</v>
      </c>
      <c r="B244">
        <v>7</v>
      </c>
      <c r="C244">
        <v>138.38</v>
      </c>
      <c r="D244">
        <v>47.16</v>
      </c>
      <c r="E244" t="s">
        <v>5165</v>
      </c>
      <c r="F244" t="s">
        <v>67</v>
      </c>
      <c r="G244" t="s">
        <v>428</v>
      </c>
      <c r="H244" t="s">
        <v>429</v>
      </c>
      <c r="I244" t="s">
        <v>70</v>
      </c>
      <c r="J244" t="s">
        <v>321</v>
      </c>
      <c r="K244">
        <v>536.04999999999995</v>
      </c>
      <c r="L244">
        <v>8.7100000000000009</v>
      </c>
      <c r="M244" t="s">
        <v>5166</v>
      </c>
      <c r="N244">
        <v>214988</v>
      </c>
      <c r="R244">
        <v>250.49</v>
      </c>
      <c r="S244">
        <v>14.86</v>
      </c>
      <c r="AA244">
        <v>-3.51</v>
      </c>
      <c r="AB244" t="s">
        <v>2886</v>
      </c>
      <c r="AC244" t="s">
        <v>5167</v>
      </c>
      <c r="AD244" t="s">
        <v>5168</v>
      </c>
      <c r="AE244" t="s">
        <v>5169</v>
      </c>
      <c r="AF244" t="s">
        <v>5170</v>
      </c>
      <c r="AG244" t="s">
        <v>1399</v>
      </c>
      <c r="AH244" t="s">
        <v>5169</v>
      </c>
      <c r="AI244" t="s">
        <v>5171</v>
      </c>
      <c r="AJ244" t="s">
        <v>2723</v>
      </c>
      <c r="AK244" t="s">
        <v>5172</v>
      </c>
      <c r="AL244">
        <v>3.46</v>
      </c>
      <c r="AM244">
        <v>3.44</v>
      </c>
      <c r="AN244">
        <v>2.35</v>
      </c>
      <c r="AO244" t="s">
        <v>5173</v>
      </c>
      <c r="AP244" t="s">
        <v>5174</v>
      </c>
      <c r="AQ244" t="s">
        <v>5175</v>
      </c>
      <c r="AR244" t="s">
        <v>3036</v>
      </c>
      <c r="AS244" t="s">
        <v>5025</v>
      </c>
      <c r="AT244" t="s">
        <v>5176</v>
      </c>
      <c r="AU244" t="s">
        <v>848</v>
      </c>
      <c r="AV244" t="s">
        <v>1448</v>
      </c>
      <c r="AW244" t="s">
        <v>5177</v>
      </c>
      <c r="AX244" t="s">
        <v>5178</v>
      </c>
      <c r="AY244" t="s">
        <v>5177</v>
      </c>
      <c r="AZ244" t="s">
        <v>5179</v>
      </c>
      <c r="BA244">
        <v>1</v>
      </c>
      <c r="BB244">
        <v>2609.66</v>
      </c>
      <c r="BC244">
        <v>0.28999999999999998</v>
      </c>
      <c r="BD244">
        <v>8.61</v>
      </c>
      <c r="BE244">
        <v>8.7200000000000006</v>
      </c>
      <c r="BF244">
        <v>8.5</v>
      </c>
      <c r="BG244" t="s">
        <v>5180</v>
      </c>
      <c r="BH244" t="s">
        <v>5181</v>
      </c>
      <c r="BI244" t="s">
        <v>5182</v>
      </c>
      <c r="BJ244" t="s">
        <v>101</v>
      </c>
      <c r="BK244" t="s">
        <v>5183</v>
      </c>
      <c r="BL244" t="s">
        <v>5184</v>
      </c>
      <c r="BM244" t="s">
        <v>3142</v>
      </c>
      <c r="BN244" t="s">
        <v>4063</v>
      </c>
    </row>
    <row r="245" spans="1:66" x14ac:dyDescent="0.25">
      <c r="A245" t="str">
        <f>HYPERLINK("https://elite.finviz.com/quote.ashx?t=BGS&amp;ty=c&amp;p=d&amp;b=1", "BGS")</f>
        <v>BGS</v>
      </c>
      <c r="B245">
        <v>7</v>
      </c>
      <c r="C245">
        <v>138.38</v>
      </c>
      <c r="D245">
        <v>47.25</v>
      </c>
      <c r="E245" t="s">
        <v>5185</v>
      </c>
      <c r="F245" t="s">
        <v>67</v>
      </c>
      <c r="G245" t="s">
        <v>2244</v>
      </c>
      <c r="H245" t="s">
        <v>3269</v>
      </c>
      <c r="I245" t="s">
        <v>70</v>
      </c>
      <c r="J245" t="s">
        <v>71</v>
      </c>
      <c r="K245">
        <v>354.42</v>
      </c>
      <c r="L245">
        <v>4.43</v>
      </c>
      <c r="M245" t="s">
        <v>3344</v>
      </c>
      <c r="N245">
        <v>383917</v>
      </c>
      <c r="P245">
        <v>8.42</v>
      </c>
      <c r="R245">
        <v>0.19</v>
      </c>
      <c r="S245">
        <v>0.71</v>
      </c>
      <c r="T245" t="s">
        <v>4116</v>
      </c>
      <c r="U245">
        <v>0.76</v>
      </c>
      <c r="V245" t="s">
        <v>198</v>
      </c>
      <c r="W245" t="s">
        <v>164</v>
      </c>
      <c r="X245" t="s">
        <v>5186</v>
      </c>
      <c r="Y245" t="s">
        <v>4770</v>
      </c>
      <c r="AA245">
        <v>-2.83</v>
      </c>
      <c r="AD245" t="s">
        <v>5187</v>
      </c>
      <c r="AE245" t="s">
        <v>3436</v>
      </c>
      <c r="AF245" t="s">
        <v>1180</v>
      </c>
      <c r="AG245" t="s">
        <v>5188</v>
      </c>
      <c r="AH245" t="s">
        <v>5189</v>
      </c>
      <c r="AI245" t="s">
        <v>5190</v>
      </c>
      <c r="AJ245" t="s">
        <v>1554</v>
      </c>
      <c r="AK245" t="s">
        <v>5191</v>
      </c>
      <c r="AL245">
        <v>2.93</v>
      </c>
      <c r="AM245">
        <v>0.89</v>
      </c>
      <c r="AN245">
        <v>4.0599999999999996</v>
      </c>
      <c r="AO245" t="s">
        <v>5192</v>
      </c>
      <c r="AP245" t="s">
        <v>5193</v>
      </c>
      <c r="AQ245" t="s">
        <v>5194</v>
      </c>
      <c r="AR245" t="s">
        <v>2822</v>
      </c>
      <c r="AS245" t="s">
        <v>4569</v>
      </c>
      <c r="AT245" t="s">
        <v>5195</v>
      </c>
      <c r="AU245" t="s">
        <v>2881</v>
      </c>
      <c r="AV245" t="s">
        <v>5196</v>
      </c>
      <c r="AW245" t="s">
        <v>5197</v>
      </c>
      <c r="AX245" t="s">
        <v>1876</v>
      </c>
      <c r="AY245" t="s">
        <v>5198</v>
      </c>
      <c r="AZ245" t="s">
        <v>1876</v>
      </c>
      <c r="BA245">
        <v>3.4</v>
      </c>
      <c r="BB245">
        <v>2819.11</v>
      </c>
      <c r="BC245">
        <v>0.48</v>
      </c>
      <c r="BD245">
        <v>4.3899999999999997</v>
      </c>
      <c r="BE245">
        <v>4.49</v>
      </c>
      <c r="BF245">
        <v>4.41</v>
      </c>
      <c r="BG245" t="s">
        <v>5199</v>
      </c>
      <c r="BH245" t="s">
        <v>5200</v>
      </c>
      <c r="BI245" t="s">
        <v>5201</v>
      </c>
      <c r="BJ245" t="s">
        <v>101</v>
      </c>
      <c r="BK245" t="s">
        <v>3344</v>
      </c>
      <c r="BL245" t="s">
        <v>5202</v>
      </c>
      <c r="BM245" t="s">
        <v>5203</v>
      </c>
      <c r="BN245" t="s">
        <v>4063</v>
      </c>
    </row>
    <row r="246" spans="1:66" x14ac:dyDescent="0.25">
      <c r="A246" t="str">
        <f>HYPERLINK("https://elite.finviz.com/quote.ashx?t=CELC&amp;ty=c&amp;p=d&amp;b=1", "CELC")</f>
        <v>CELC</v>
      </c>
      <c r="B246">
        <v>7</v>
      </c>
      <c r="C246">
        <v>138.38</v>
      </c>
      <c r="D246">
        <v>47.26</v>
      </c>
      <c r="E246" t="s">
        <v>5204</v>
      </c>
      <c r="F246" t="s">
        <v>67</v>
      </c>
      <c r="G246" t="s">
        <v>428</v>
      </c>
      <c r="H246" t="s">
        <v>429</v>
      </c>
      <c r="I246" t="s">
        <v>70</v>
      </c>
      <c r="J246" t="s">
        <v>321</v>
      </c>
      <c r="K246">
        <v>2130.41</v>
      </c>
      <c r="L246">
        <v>50.21</v>
      </c>
      <c r="M246" t="s">
        <v>799</v>
      </c>
      <c r="N246">
        <v>241379</v>
      </c>
      <c r="S246">
        <v>44.03</v>
      </c>
      <c r="AA246">
        <v>-3.45</v>
      </c>
      <c r="AB246" t="s">
        <v>5205</v>
      </c>
      <c r="AC246" t="s">
        <v>5206</v>
      </c>
      <c r="AD246" t="s">
        <v>5207</v>
      </c>
      <c r="AI246" t="s">
        <v>5208</v>
      </c>
      <c r="AJ246" t="s">
        <v>4782</v>
      </c>
      <c r="AK246" t="s">
        <v>5209</v>
      </c>
      <c r="AL246">
        <v>4.58</v>
      </c>
      <c r="AM246">
        <v>4.58</v>
      </c>
      <c r="AN246">
        <v>2.2400000000000002</v>
      </c>
      <c r="AR246" t="s">
        <v>3949</v>
      </c>
      <c r="AS246" t="s">
        <v>5210</v>
      </c>
      <c r="AT246" t="s">
        <v>5211</v>
      </c>
      <c r="AU246" t="s">
        <v>5212</v>
      </c>
      <c r="AV246" t="s">
        <v>5213</v>
      </c>
      <c r="AW246" t="s">
        <v>4858</v>
      </c>
      <c r="AX246" t="s">
        <v>5214</v>
      </c>
      <c r="AY246" t="s">
        <v>4858</v>
      </c>
      <c r="AZ246" t="s">
        <v>5215</v>
      </c>
      <c r="BA246">
        <v>1</v>
      </c>
      <c r="BB246">
        <v>1343.57</v>
      </c>
      <c r="BC246">
        <v>0.63</v>
      </c>
      <c r="BD246">
        <v>51.94</v>
      </c>
      <c r="BE246">
        <v>52.51</v>
      </c>
      <c r="BF246">
        <v>49.99</v>
      </c>
      <c r="BG246" t="s">
        <v>5216</v>
      </c>
      <c r="BH246" t="s">
        <v>4858</v>
      </c>
      <c r="BI246" t="s">
        <v>5217</v>
      </c>
      <c r="BJ246" t="s">
        <v>101</v>
      </c>
      <c r="BK246" t="s">
        <v>5218</v>
      </c>
      <c r="BL246" t="s">
        <v>5219</v>
      </c>
      <c r="BM246" t="s">
        <v>5220</v>
      </c>
      <c r="BN246" t="s">
        <v>4063</v>
      </c>
    </row>
    <row r="247" spans="1:66" x14ac:dyDescent="0.25">
      <c r="A247" t="str">
        <f>HYPERLINK("https://elite.finviz.com/quote.ashx?t=SONM&amp;ty=c&amp;p=d&amp;b=1", "SONM")</f>
        <v>SONM</v>
      </c>
      <c r="B247">
        <v>7</v>
      </c>
      <c r="C247">
        <v>138.38</v>
      </c>
      <c r="D247">
        <v>47.29</v>
      </c>
      <c r="E247" t="s">
        <v>5221</v>
      </c>
      <c r="F247" t="s">
        <v>107</v>
      </c>
      <c r="G247" t="s">
        <v>108</v>
      </c>
      <c r="H247" t="s">
        <v>1921</v>
      </c>
      <c r="I247" t="s">
        <v>70</v>
      </c>
      <c r="J247" t="s">
        <v>321</v>
      </c>
      <c r="K247">
        <v>11.22</v>
      </c>
      <c r="L247">
        <v>0.63</v>
      </c>
      <c r="M247" t="s">
        <v>4280</v>
      </c>
      <c r="N247">
        <v>99918</v>
      </c>
      <c r="R247">
        <v>0.19</v>
      </c>
      <c r="AA247">
        <v>-5.56</v>
      </c>
      <c r="AB247" t="s">
        <v>5222</v>
      </c>
      <c r="AC247" t="s">
        <v>5223</v>
      </c>
      <c r="AE247" t="s">
        <v>2528</v>
      </c>
      <c r="AF247" t="s">
        <v>2868</v>
      </c>
      <c r="AG247" t="s">
        <v>4214</v>
      </c>
      <c r="AH247" t="s">
        <v>2673</v>
      </c>
      <c r="AJ247" t="s">
        <v>4790</v>
      </c>
      <c r="AK247" t="s">
        <v>5224</v>
      </c>
      <c r="AL247">
        <v>0.76</v>
      </c>
      <c r="AM247">
        <v>0.48</v>
      </c>
      <c r="AO247" t="s">
        <v>2623</v>
      </c>
      <c r="AP247" t="s">
        <v>5225</v>
      </c>
      <c r="AQ247" t="s">
        <v>5226</v>
      </c>
      <c r="AR247" t="s">
        <v>3734</v>
      </c>
      <c r="AS247" t="s">
        <v>5227</v>
      </c>
      <c r="AT247" t="s">
        <v>1863</v>
      </c>
      <c r="AU247" t="s">
        <v>2880</v>
      </c>
      <c r="AV247" t="s">
        <v>5228</v>
      </c>
      <c r="AW247" t="s">
        <v>5229</v>
      </c>
      <c r="AX247" t="s">
        <v>5230</v>
      </c>
      <c r="AY247" t="s">
        <v>5231</v>
      </c>
      <c r="AZ247" t="s">
        <v>5230</v>
      </c>
      <c r="BA247">
        <v>2</v>
      </c>
      <c r="BB247">
        <v>1455.37</v>
      </c>
      <c r="BC247">
        <v>0.24</v>
      </c>
      <c r="BD247">
        <v>0.62</v>
      </c>
      <c r="BE247">
        <v>0.64</v>
      </c>
      <c r="BF247">
        <v>0.62</v>
      </c>
      <c r="BG247" t="s">
        <v>5232</v>
      </c>
      <c r="BH247" t="s">
        <v>5233</v>
      </c>
      <c r="BI247" t="s">
        <v>5230</v>
      </c>
      <c r="BJ247" t="s">
        <v>101</v>
      </c>
      <c r="BK247" t="s">
        <v>5234</v>
      </c>
      <c r="BL247" t="s">
        <v>5235</v>
      </c>
      <c r="BM247" t="s">
        <v>5236</v>
      </c>
      <c r="BN247" t="s">
        <v>4063</v>
      </c>
    </row>
    <row r="248" spans="1:66" x14ac:dyDescent="0.25">
      <c r="A248" t="str">
        <f>HYPERLINK("https://elite.finviz.com/quote.ashx?t=PD&amp;ty=c&amp;p=d&amp;b=1", "PD")</f>
        <v>PD</v>
      </c>
      <c r="B248">
        <v>7</v>
      </c>
      <c r="C248">
        <v>138.38</v>
      </c>
      <c r="D248">
        <v>47.31</v>
      </c>
      <c r="E248" t="s">
        <v>5237</v>
      </c>
      <c r="F248" t="s">
        <v>67</v>
      </c>
      <c r="G248" t="s">
        <v>108</v>
      </c>
      <c r="H248" t="s">
        <v>136</v>
      </c>
      <c r="I248" t="s">
        <v>70</v>
      </c>
      <c r="J248" t="s">
        <v>71</v>
      </c>
      <c r="K248">
        <v>1488.55</v>
      </c>
      <c r="L248">
        <v>15.96</v>
      </c>
      <c r="M248" t="s">
        <v>4763</v>
      </c>
      <c r="N248">
        <v>224271</v>
      </c>
      <c r="P248">
        <v>13.97</v>
      </c>
      <c r="R248">
        <v>3.08</v>
      </c>
      <c r="S248">
        <v>8.24</v>
      </c>
      <c r="AA248">
        <v>-0.16</v>
      </c>
      <c r="AB248" t="s">
        <v>5238</v>
      </c>
      <c r="AC248" t="s">
        <v>3887</v>
      </c>
      <c r="AD248" t="s">
        <v>5239</v>
      </c>
      <c r="AE248" t="s">
        <v>2861</v>
      </c>
      <c r="AF248" t="s">
        <v>5240</v>
      </c>
      <c r="AG248" t="s">
        <v>3241</v>
      </c>
      <c r="AH248" t="s">
        <v>2232</v>
      </c>
      <c r="AI248" t="s">
        <v>5241</v>
      </c>
      <c r="AJ248" t="s">
        <v>5242</v>
      </c>
      <c r="AK248" t="s">
        <v>5243</v>
      </c>
      <c r="AL248">
        <v>2.3199999999999998</v>
      </c>
      <c r="AM248">
        <v>2.3199999999999998</v>
      </c>
      <c r="AN248">
        <v>2.2599999999999998</v>
      </c>
      <c r="AO248" t="s">
        <v>5244</v>
      </c>
      <c r="AP248" t="s">
        <v>2329</v>
      </c>
      <c r="AQ248" t="s">
        <v>5245</v>
      </c>
      <c r="AR248" t="s">
        <v>5121</v>
      </c>
      <c r="AS248" t="s">
        <v>3025</v>
      </c>
      <c r="AT248" t="s">
        <v>214</v>
      </c>
      <c r="AU248" t="s">
        <v>1554</v>
      </c>
      <c r="AV248" t="s">
        <v>5246</v>
      </c>
      <c r="AW248" t="s">
        <v>5247</v>
      </c>
      <c r="AX248" t="s">
        <v>5248</v>
      </c>
      <c r="AY248" t="s">
        <v>4681</v>
      </c>
      <c r="AZ248" t="s">
        <v>1038</v>
      </c>
      <c r="BA248">
        <v>1.91</v>
      </c>
      <c r="BB248">
        <v>2252.71</v>
      </c>
      <c r="BC248">
        <v>0.35</v>
      </c>
      <c r="BD248">
        <v>16.2</v>
      </c>
      <c r="BE248">
        <v>16.21</v>
      </c>
      <c r="BF248">
        <v>15.89</v>
      </c>
      <c r="BG248" t="s">
        <v>5249</v>
      </c>
      <c r="BH248" t="s">
        <v>5250</v>
      </c>
      <c r="BI248" t="s">
        <v>5251</v>
      </c>
      <c r="BJ248" t="s">
        <v>101</v>
      </c>
      <c r="BK248" t="s">
        <v>454</v>
      </c>
      <c r="BL248" t="s">
        <v>2036</v>
      </c>
      <c r="BM248" t="s">
        <v>4647</v>
      </c>
      <c r="BN248" t="s">
        <v>4063</v>
      </c>
    </row>
    <row r="249" spans="1:66" x14ac:dyDescent="0.25">
      <c r="A249" t="str">
        <f>HYPERLINK("https://elite.finviz.com/quote.ashx?t=HIW&amp;ty=c&amp;p=d&amp;b=1", "HIW")</f>
        <v>HIW</v>
      </c>
      <c r="B249">
        <v>7</v>
      </c>
      <c r="C249">
        <v>138.38</v>
      </c>
      <c r="D249">
        <v>47.35</v>
      </c>
      <c r="E249" t="s">
        <v>5252</v>
      </c>
      <c r="F249" t="s">
        <v>107</v>
      </c>
      <c r="G249" t="s">
        <v>68</v>
      </c>
      <c r="H249" t="s">
        <v>69</v>
      </c>
      <c r="I249" t="s">
        <v>70</v>
      </c>
      <c r="J249" t="s">
        <v>71</v>
      </c>
      <c r="K249">
        <v>3357.83</v>
      </c>
      <c r="L249">
        <v>31.07</v>
      </c>
      <c r="M249" t="s">
        <v>2757</v>
      </c>
      <c r="N249">
        <v>59737</v>
      </c>
      <c r="O249">
        <v>26.53</v>
      </c>
      <c r="P249">
        <v>47.8</v>
      </c>
      <c r="R249">
        <v>4.12</v>
      </c>
      <c r="S249">
        <v>1.43</v>
      </c>
      <c r="T249" t="s">
        <v>1474</v>
      </c>
      <c r="U249">
        <v>2</v>
      </c>
      <c r="V249" t="s">
        <v>1440</v>
      </c>
      <c r="W249" t="s">
        <v>164</v>
      </c>
      <c r="X249" t="s">
        <v>5253</v>
      </c>
      <c r="Y249" t="s">
        <v>2144</v>
      </c>
      <c r="Z249" t="s">
        <v>5254</v>
      </c>
      <c r="AA249">
        <v>1.17</v>
      </c>
      <c r="AB249" t="s">
        <v>5255</v>
      </c>
      <c r="AC249" t="s">
        <v>4517</v>
      </c>
      <c r="AD249" t="s">
        <v>4438</v>
      </c>
      <c r="AE249" t="s">
        <v>3753</v>
      </c>
      <c r="AF249" t="s">
        <v>5256</v>
      </c>
      <c r="AG249" t="s">
        <v>1438</v>
      </c>
      <c r="AH249" t="s">
        <v>5257</v>
      </c>
      <c r="AI249" t="s">
        <v>5258</v>
      </c>
      <c r="AJ249" t="s">
        <v>2468</v>
      </c>
      <c r="AK249" t="s">
        <v>5259</v>
      </c>
      <c r="AN249">
        <v>1.41</v>
      </c>
      <c r="AO249" t="s">
        <v>5260</v>
      </c>
      <c r="AP249" t="s">
        <v>5261</v>
      </c>
      <c r="AQ249" t="s">
        <v>5262</v>
      </c>
      <c r="AR249" t="s">
        <v>3925</v>
      </c>
      <c r="AS249" t="s">
        <v>2424</v>
      </c>
      <c r="AT249" t="s">
        <v>4150</v>
      </c>
      <c r="AU249" t="s">
        <v>5263</v>
      </c>
      <c r="AV249" t="s">
        <v>353</v>
      </c>
      <c r="AW249" t="s">
        <v>5264</v>
      </c>
      <c r="AX249" t="s">
        <v>5265</v>
      </c>
      <c r="AY249" t="s">
        <v>5266</v>
      </c>
      <c r="AZ249" t="s">
        <v>5267</v>
      </c>
      <c r="BA249">
        <v>2.8</v>
      </c>
      <c r="BB249">
        <v>1083.6099999999999</v>
      </c>
      <c r="BC249">
        <v>0.19</v>
      </c>
      <c r="BD249">
        <v>31.04</v>
      </c>
      <c r="BE249">
        <v>31.42</v>
      </c>
      <c r="BF249">
        <v>31.03</v>
      </c>
      <c r="BG249" t="s">
        <v>5268</v>
      </c>
      <c r="BH249" t="s">
        <v>5269</v>
      </c>
      <c r="BI249" t="s">
        <v>5270</v>
      </c>
      <c r="BJ249" t="s">
        <v>101</v>
      </c>
      <c r="BK249" t="s">
        <v>1842</v>
      </c>
      <c r="BL249" t="s">
        <v>1310</v>
      </c>
      <c r="BM249" t="s">
        <v>5271</v>
      </c>
      <c r="BN249" t="s">
        <v>4063</v>
      </c>
    </row>
    <row r="250" spans="1:66" x14ac:dyDescent="0.25">
      <c r="A250" t="str">
        <f>HYPERLINK("https://elite.finviz.com/quote.ashx?t=GOSS&amp;ty=c&amp;p=d&amp;b=1", "GOSS")</f>
        <v>GOSS</v>
      </c>
      <c r="B250">
        <v>7</v>
      </c>
      <c r="C250">
        <v>138.38</v>
      </c>
      <c r="D250">
        <v>47.39</v>
      </c>
      <c r="E250" t="s">
        <v>5272</v>
      </c>
      <c r="F250" t="s">
        <v>67</v>
      </c>
      <c r="G250" t="s">
        <v>428</v>
      </c>
      <c r="H250" t="s">
        <v>429</v>
      </c>
      <c r="I250" t="s">
        <v>70</v>
      </c>
      <c r="J250" t="s">
        <v>321</v>
      </c>
      <c r="K250">
        <v>606.59</v>
      </c>
      <c r="L250">
        <v>2.67</v>
      </c>
      <c r="M250" t="s">
        <v>5273</v>
      </c>
      <c r="N250">
        <v>1164252</v>
      </c>
      <c r="R250">
        <v>15.07</v>
      </c>
      <c r="AA250">
        <v>-0.61</v>
      </c>
      <c r="AB250" t="s">
        <v>5274</v>
      </c>
      <c r="AC250" t="s">
        <v>5275</v>
      </c>
      <c r="AD250" t="s">
        <v>1160</v>
      </c>
      <c r="AE250" t="s">
        <v>5276</v>
      </c>
      <c r="AH250" t="s">
        <v>5277</v>
      </c>
      <c r="AI250" t="s">
        <v>2821</v>
      </c>
      <c r="AJ250" t="s">
        <v>4507</v>
      </c>
      <c r="AK250" t="s">
        <v>5278</v>
      </c>
      <c r="AL250">
        <v>4.4000000000000004</v>
      </c>
      <c r="AM250">
        <v>4.4000000000000004</v>
      </c>
      <c r="AO250" t="s">
        <v>5279</v>
      </c>
      <c r="AP250" t="s">
        <v>5280</v>
      </c>
      <c r="AQ250" t="s">
        <v>5281</v>
      </c>
      <c r="AR250" t="s">
        <v>4760</v>
      </c>
      <c r="AS250" t="s">
        <v>1468</v>
      </c>
      <c r="AT250" t="s">
        <v>1851</v>
      </c>
      <c r="AU250" t="s">
        <v>5282</v>
      </c>
      <c r="AV250" t="s">
        <v>5283</v>
      </c>
      <c r="AW250" t="s">
        <v>5284</v>
      </c>
      <c r="AX250" t="s">
        <v>5285</v>
      </c>
      <c r="AY250" t="s">
        <v>5284</v>
      </c>
      <c r="AZ250" t="s">
        <v>5286</v>
      </c>
      <c r="BA250">
        <v>1.22</v>
      </c>
      <c r="BB250">
        <v>3845.59</v>
      </c>
      <c r="BC250">
        <v>1.07</v>
      </c>
      <c r="BD250">
        <v>2.78</v>
      </c>
      <c r="BE250">
        <v>2.83</v>
      </c>
      <c r="BF250">
        <v>2.62</v>
      </c>
      <c r="BG250" t="s">
        <v>5287</v>
      </c>
      <c r="BH250" t="s">
        <v>5288</v>
      </c>
      <c r="BI250" t="s">
        <v>5289</v>
      </c>
      <c r="BJ250" t="s">
        <v>101</v>
      </c>
      <c r="BK250" t="s">
        <v>5290</v>
      </c>
      <c r="BL250" t="s">
        <v>5291</v>
      </c>
      <c r="BM250" t="s">
        <v>5292</v>
      </c>
      <c r="BN250" t="s">
        <v>4063</v>
      </c>
    </row>
    <row r="251" spans="1:66" x14ac:dyDescent="0.25">
      <c r="A251" t="str">
        <f>HYPERLINK("https://elite.finviz.com/quote.ashx?t=BLND&amp;ty=c&amp;p=d&amp;b=1", "BLND")</f>
        <v>BLND</v>
      </c>
      <c r="B251">
        <v>7</v>
      </c>
      <c r="C251">
        <v>138.38</v>
      </c>
      <c r="D251">
        <v>47.4</v>
      </c>
      <c r="E251" t="s">
        <v>5293</v>
      </c>
      <c r="F251" t="s">
        <v>67</v>
      </c>
      <c r="G251" t="s">
        <v>108</v>
      </c>
      <c r="H251" t="s">
        <v>136</v>
      </c>
      <c r="I251" t="s">
        <v>70</v>
      </c>
      <c r="J251" t="s">
        <v>71</v>
      </c>
      <c r="K251">
        <v>976.35</v>
      </c>
      <c r="L251">
        <v>3.77</v>
      </c>
      <c r="M251" t="s">
        <v>3027</v>
      </c>
      <c r="N251">
        <v>424481</v>
      </c>
      <c r="P251">
        <v>43.24</v>
      </c>
      <c r="R251">
        <v>6.74</v>
      </c>
      <c r="AA251">
        <v>-0.16</v>
      </c>
      <c r="AB251" t="s">
        <v>5115</v>
      </c>
      <c r="AC251" t="s">
        <v>1927</v>
      </c>
      <c r="AE251" t="s">
        <v>5294</v>
      </c>
      <c r="AF251" t="s">
        <v>612</v>
      </c>
      <c r="AG251" t="s">
        <v>5295</v>
      </c>
      <c r="AH251" t="s">
        <v>5296</v>
      </c>
      <c r="AI251" t="s">
        <v>579</v>
      </c>
      <c r="AJ251" t="s">
        <v>2486</v>
      </c>
      <c r="AK251" t="s">
        <v>5297</v>
      </c>
      <c r="AL251">
        <v>2.37</v>
      </c>
      <c r="AM251">
        <v>2.37</v>
      </c>
      <c r="AO251" t="s">
        <v>5298</v>
      </c>
      <c r="AP251" t="s">
        <v>5299</v>
      </c>
      <c r="AQ251" t="s">
        <v>5300</v>
      </c>
      <c r="AR251" t="s">
        <v>4133</v>
      </c>
      <c r="AS251" t="s">
        <v>3389</v>
      </c>
      <c r="AT251" t="s">
        <v>5301</v>
      </c>
      <c r="AU251" t="s">
        <v>5026</v>
      </c>
      <c r="AV251" t="s">
        <v>1100</v>
      </c>
      <c r="AW251" t="s">
        <v>2128</v>
      </c>
      <c r="AX251" t="s">
        <v>5302</v>
      </c>
      <c r="AY251" t="s">
        <v>5303</v>
      </c>
      <c r="AZ251" t="s">
        <v>5302</v>
      </c>
      <c r="BA251">
        <v>1.57</v>
      </c>
      <c r="BB251">
        <v>2858.16</v>
      </c>
      <c r="BC251">
        <v>0.52</v>
      </c>
      <c r="BD251">
        <v>3.8</v>
      </c>
      <c r="BE251">
        <v>3.84</v>
      </c>
      <c r="BF251">
        <v>3.75</v>
      </c>
      <c r="BG251" t="s">
        <v>5304</v>
      </c>
      <c r="BH251" t="s">
        <v>5305</v>
      </c>
      <c r="BI251" t="s">
        <v>5306</v>
      </c>
      <c r="BJ251" t="s">
        <v>101</v>
      </c>
      <c r="BK251" t="s">
        <v>5307</v>
      </c>
      <c r="BL251" t="s">
        <v>5308</v>
      </c>
      <c r="BM251" t="s">
        <v>5309</v>
      </c>
      <c r="BN251" t="s">
        <v>4063</v>
      </c>
    </row>
    <row r="252" spans="1:66" x14ac:dyDescent="0.25">
      <c r="A252" t="str">
        <f>HYPERLINK("https://elite.finviz.com/quote.ashx?t=ELF&amp;ty=c&amp;p=d&amp;b=1", "ELF")</f>
        <v>ELF</v>
      </c>
      <c r="B252">
        <v>7</v>
      </c>
      <c r="C252">
        <v>138.38</v>
      </c>
      <c r="D252">
        <v>47.43</v>
      </c>
      <c r="E252" t="s">
        <v>5310</v>
      </c>
      <c r="F252" t="s">
        <v>107</v>
      </c>
      <c r="G252" t="s">
        <v>2244</v>
      </c>
      <c r="H252" t="s">
        <v>5311</v>
      </c>
      <c r="I252" t="s">
        <v>70</v>
      </c>
      <c r="J252" t="s">
        <v>71</v>
      </c>
      <c r="K252">
        <v>7354.83</v>
      </c>
      <c r="L252">
        <v>129.63</v>
      </c>
      <c r="M252" t="s">
        <v>5312</v>
      </c>
      <c r="N252">
        <v>460395</v>
      </c>
      <c r="O252">
        <v>76.89</v>
      </c>
      <c r="P252">
        <v>29.43</v>
      </c>
      <c r="Q252">
        <v>4.66</v>
      </c>
      <c r="R252">
        <v>5.48</v>
      </c>
      <c r="S252">
        <v>9.14</v>
      </c>
      <c r="Z252" t="s">
        <v>164</v>
      </c>
      <c r="AA252">
        <v>1.69</v>
      </c>
      <c r="AB252" t="s">
        <v>5313</v>
      </c>
      <c r="AC252" t="s">
        <v>5314</v>
      </c>
      <c r="AD252" t="s">
        <v>2963</v>
      </c>
      <c r="AE252" t="s">
        <v>1085</v>
      </c>
      <c r="AF252" t="s">
        <v>250</v>
      </c>
      <c r="AG252" t="s">
        <v>5315</v>
      </c>
      <c r="AH252" t="s">
        <v>3648</v>
      </c>
      <c r="AI252" t="s">
        <v>3389</v>
      </c>
      <c r="AJ252" t="s">
        <v>5316</v>
      </c>
      <c r="AK252" t="s">
        <v>2348</v>
      </c>
      <c r="AL252">
        <v>3.26</v>
      </c>
      <c r="AM252">
        <v>2.34</v>
      </c>
      <c r="AN252">
        <v>0.39</v>
      </c>
      <c r="AO252" t="s">
        <v>5317</v>
      </c>
      <c r="AP252" t="s">
        <v>5318</v>
      </c>
      <c r="AQ252" t="s">
        <v>5319</v>
      </c>
      <c r="AR252" t="s">
        <v>4530</v>
      </c>
      <c r="AS252" t="s">
        <v>4678</v>
      </c>
      <c r="AT252" t="s">
        <v>5189</v>
      </c>
      <c r="AU252" t="s">
        <v>1751</v>
      </c>
      <c r="AV252" t="s">
        <v>5320</v>
      </c>
      <c r="AW252" t="s">
        <v>117</v>
      </c>
      <c r="AX252" t="s">
        <v>5321</v>
      </c>
      <c r="AY252" t="s">
        <v>117</v>
      </c>
      <c r="AZ252" t="s">
        <v>5322</v>
      </c>
      <c r="BA252">
        <v>1.47</v>
      </c>
      <c r="BB252">
        <v>2007.85</v>
      </c>
      <c r="BC252">
        <v>0.81</v>
      </c>
      <c r="BD252">
        <v>130.69999999999999</v>
      </c>
      <c r="BE252">
        <v>132.46</v>
      </c>
      <c r="BF252">
        <v>127.78</v>
      </c>
      <c r="BG252" t="s">
        <v>5323</v>
      </c>
      <c r="BH252" t="s">
        <v>1326</v>
      </c>
      <c r="BI252" t="s">
        <v>5324</v>
      </c>
      <c r="BJ252" t="s">
        <v>101</v>
      </c>
      <c r="BK252" t="s">
        <v>2273</v>
      </c>
      <c r="BL252" t="s">
        <v>751</v>
      </c>
      <c r="BM252" t="s">
        <v>3190</v>
      </c>
      <c r="BN252" t="s">
        <v>4063</v>
      </c>
    </row>
    <row r="253" spans="1:66" x14ac:dyDescent="0.25">
      <c r="A253" t="str">
        <f>HYPERLINK("https://elite.finviz.com/quote.ashx?t=SMRT&amp;ty=c&amp;p=d&amp;b=1", "SMRT")</f>
        <v>SMRT</v>
      </c>
      <c r="B253">
        <v>7</v>
      </c>
      <c r="C253">
        <v>138.38</v>
      </c>
      <c r="D253">
        <v>47.46</v>
      </c>
      <c r="E253" t="s">
        <v>5325</v>
      </c>
      <c r="F253" t="s">
        <v>107</v>
      </c>
      <c r="G253" t="s">
        <v>108</v>
      </c>
      <c r="H253" t="s">
        <v>136</v>
      </c>
      <c r="I253" t="s">
        <v>70</v>
      </c>
      <c r="J253" t="s">
        <v>71</v>
      </c>
      <c r="K253">
        <v>270.82</v>
      </c>
      <c r="L253">
        <v>1.44</v>
      </c>
      <c r="M253" t="s">
        <v>3315</v>
      </c>
      <c r="N253">
        <v>471334</v>
      </c>
      <c r="R253">
        <v>1.74</v>
      </c>
      <c r="S253">
        <v>1.1299999999999999</v>
      </c>
      <c r="AA253">
        <v>-0.37</v>
      </c>
      <c r="AB253" t="s">
        <v>5326</v>
      </c>
      <c r="AC253" t="s">
        <v>5327</v>
      </c>
      <c r="AE253" t="s">
        <v>5328</v>
      </c>
      <c r="AF253" t="s">
        <v>3009</v>
      </c>
      <c r="AG253" t="s">
        <v>5329</v>
      </c>
      <c r="AH253" t="s">
        <v>5330</v>
      </c>
      <c r="AI253" t="s">
        <v>2632</v>
      </c>
      <c r="AJ253" t="s">
        <v>5331</v>
      </c>
      <c r="AK253" t="s">
        <v>5332</v>
      </c>
      <c r="AL253">
        <v>2.65</v>
      </c>
      <c r="AM253">
        <v>2.23</v>
      </c>
      <c r="AN253">
        <v>0.03</v>
      </c>
      <c r="AO253" t="s">
        <v>5333</v>
      </c>
      <c r="AP253" t="s">
        <v>5334</v>
      </c>
      <c r="AQ253" t="s">
        <v>5335</v>
      </c>
      <c r="AR253" t="s">
        <v>4659</v>
      </c>
      <c r="AS253" t="s">
        <v>5336</v>
      </c>
      <c r="AT253" t="s">
        <v>4187</v>
      </c>
      <c r="AU253" t="s">
        <v>2922</v>
      </c>
      <c r="AV253" t="s">
        <v>5337</v>
      </c>
      <c r="AW253" t="s">
        <v>299</v>
      </c>
      <c r="AX253" t="s">
        <v>5338</v>
      </c>
      <c r="AY253" t="s">
        <v>5339</v>
      </c>
      <c r="AZ253" t="s">
        <v>5340</v>
      </c>
      <c r="BA253">
        <v>2.33</v>
      </c>
      <c r="BB253">
        <v>1850.98</v>
      </c>
      <c r="BC253">
        <v>0.9</v>
      </c>
      <c r="BD253">
        <v>1.48</v>
      </c>
      <c r="BE253">
        <v>1.5</v>
      </c>
      <c r="BF253">
        <v>1.42</v>
      </c>
      <c r="BG253" t="s">
        <v>5341</v>
      </c>
      <c r="BH253" t="s">
        <v>5342</v>
      </c>
      <c r="BI253" t="s">
        <v>5340</v>
      </c>
      <c r="BJ253" t="s">
        <v>101</v>
      </c>
      <c r="BK253" t="s">
        <v>5343</v>
      </c>
      <c r="BL253" t="s">
        <v>5344</v>
      </c>
      <c r="BM253" t="s">
        <v>3728</v>
      </c>
      <c r="BN253" t="s">
        <v>4063</v>
      </c>
    </row>
    <row r="254" spans="1:66" x14ac:dyDescent="0.25">
      <c r="A254" t="str">
        <f>HYPERLINK("https://elite.finviz.com/quote.ashx?t=IOT&amp;ty=c&amp;p=d&amp;b=1", "IOT")</f>
        <v>IOT</v>
      </c>
      <c r="B254">
        <v>7</v>
      </c>
      <c r="C254">
        <v>138.38</v>
      </c>
      <c r="D254">
        <v>47.48</v>
      </c>
      <c r="E254" t="s">
        <v>5345</v>
      </c>
      <c r="F254" t="s">
        <v>107</v>
      </c>
      <c r="G254" t="s">
        <v>108</v>
      </c>
      <c r="H254" t="s">
        <v>109</v>
      </c>
      <c r="I254" t="s">
        <v>70</v>
      </c>
      <c r="J254" t="s">
        <v>71</v>
      </c>
      <c r="K254">
        <v>21319.13</v>
      </c>
      <c r="L254">
        <v>37.17</v>
      </c>
      <c r="M254" t="s">
        <v>608</v>
      </c>
      <c r="N254">
        <v>1851127</v>
      </c>
      <c r="P254">
        <v>65.569999999999993</v>
      </c>
      <c r="R254">
        <v>14.94</v>
      </c>
      <c r="S254">
        <v>17.55</v>
      </c>
      <c r="AA254">
        <v>-0.16</v>
      </c>
      <c r="AB254" t="s">
        <v>5346</v>
      </c>
      <c r="AC254" t="s">
        <v>1423</v>
      </c>
      <c r="AD254" t="s">
        <v>5347</v>
      </c>
      <c r="AE254" t="s">
        <v>5348</v>
      </c>
      <c r="AF254" t="s">
        <v>5349</v>
      </c>
      <c r="AG254" t="s">
        <v>5350</v>
      </c>
      <c r="AH254" t="s">
        <v>5351</v>
      </c>
      <c r="AI254" t="s">
        <v>5352</v>
      </c>
      <c r="AJ254" t="s">
        <v>3114</v>
      </c>
      <c r="AK254" t="s">
        <v>5353</v>
      </c>
      <c r="AL254">
        <v>1.34</v>
      </c>
      <c r="AM254">
        <v>1.28</v>
      </c>
      <c r="AN254">
        <v>0.06</v>
      </c>
      <c r="AO254" t="s">
        <v>2278</v>
      </c>
      <c r="AP254" t="s">
        <v>5354</v>
      </c>
      <c r="AQ254" t="s">
        <v>5355</v>
      </c>
      <c r="AR254" t="s">
        <v>926</v>
      </c>
      <c r="AS254" t="s">
        <v>1302</v>
      </c>
      <c r="AT254" t="s">
        <v>5356</v>
      </c>
      <c r="AU254" t="s">
        <v>3493</v>
      </c>
      <c r="AV254" t="s">
        <v>3070</v>
      </c>
      <c r="AW254" t="s">
        <v>3261</v>
      </c>
      <c r="AX254" t="s">
        <v>757</v>
      </c>
      <c r="AY254" t="s">
        <v>4348</v>
      </c>
      <c r="AZ254" t="s">
        <v>555</v>
      </c>
      <c r="BA254">
        <v>1.68</v>
      </c>
      <c r="BB254">
        <v>5949.51</v>
      </c>
      <c r="BC254">
        <v>1.1000000000000001</v>
      </c>
      <c r="BD254">
        <v>38.51</v>
      </c>
      <c r="BE254">
        <v>38.32</v>
      </c>
      <c r="BF254">
        <v>37.11</v>
      </c>
      <c r="BG254" t="s">
        <v>5357</v>
      </c>
      <c r="BH254" t="s">
        <v>4348</v>
      </c>
      <c r="BI254" t="s">
        <v>5358</v>
      </c>
      <c r="BJ254" t="s">
        <v>101</v>
      </c>
      <c r="BK254" t="s">
        <v>5359</v>
      </c>
      <c r="BL254" t="s">
        <v>4712</v>
      </c>
      <c r="BM254" t="s">
        <v>5360</v>
      </c>
      <c r="BN254" t="s">
        <v>4063</v>
      </c>
    </row>
    <row r="255" spans="1:66" x14ac:dyDescent="0.25">
      <c r="A255" t="str">
        <f>HYPERLINK("https://elite.finviz.com/quote.ashx?t=JBLU&amp;ty=c&amp;p=d&amp;b=1", "JBLU")</f>
        <v>JBLU</v>
      </c>
      <c r="B255">
        <v>7</v>
      </c>
      <c r="C255">
        <v>138.38</v>
      </c>
      <c r="D255">
        <v>47.54</v>
      </c>
      <c r="E255" t="s">
        <v>5361</v>
      </c>
      <c r="F255" t="s">
        <v>67</v>
      </c>
      <c r="G255" t="s">
        <v>260</v>
      </c>
      <c r="H255" t="s">
        <v>5362</v>
      </c>
      <c r="I255" t="s">
        <v>70</v>
      </c>
      <c r="J255" t="s">
        <v>321</v>
      </c>
      <c r="K255">
        <v>1812.87</v>
      </c>
      <c r="L255">
        <v>4.99</v>
      </c>
      <c r="M255" t="s">
        <v>4865</v>
      </c>
      <c r="N255">
        <v>4261897</v>
      </c>
      <c r="R255">
        <v>0.2</v>
      </c>
      <c r="S255">
        <v>0.75</v>
      </c>
      <c r="AA255">
        <v>-1.0900000000000001</v>
      </c>
      <c r="AB255" t="s">
        <v>5363</v>
      </c>
      <c r="AD255" t="s">
        <v>5364</v>
      </c>
      <c r="AE255" t="s">
        <v>5365</v>
      </c>
      <c r="AF255" t="s">
        <v>4455</v>
      </c>
      <c r="AG255" t="s">
        <v>5256</v>
      </c>
      <c r="AH255" t="s">
        <v>4408</v>
      </c>
      <c r="AI255" t="s">
        <v>5366</v>
      </c>
      <c r="AJ255" t="s">
        <v>164</v>
      </c>
      <c r="AK255" t="s">
        <v>5367</v>
      </c>
      <c r="AL255">
        <v>0.88</v>
      </c>
      <c r="AM255">
        <v>0.84</v>
      </c>
      <c r="AN255">
        <v>3.91</v>
      </c>
      <c r="AO255" t="s">
        <v>639</v>
      </c>
      <c r="AP255" t="s">
        <v>3937</v>
      </c>
      <c r="AQ255" t="s">
        <v>5368</v>
      </c>
      <c r="AR255" t="s">
        <v>5369</v>
      </c>
      <c r="AS255" t="s">
        <v>5370</v>
      </c>
      <c r="AT255" t="s">
        <v>2617</v>
      </c>
      <c r="AU255" t="s">
        <v>2202</v>
      </c>
      <c r="AV255" t="s">
        <v>5371</v>
      </c>
      <c r="AW255" t="s">
        <v>5372</v>
      </c>
      <c r="AX255" t="s">
        <v>2387</v>
      </c>
      <c r="AY255" t="s">
        <v>5373</v>
      </c>
      <c r="AZ255" t="s">
        <v>5374</v>
      </c>
      <c r="BA255">
        <v>3.81</v>
      </c>
      <c r="BB255">
        <v>18296.939999999999</v>
      </c>
      <c r="BC255">
        <v>0.82</v>
      </c>
      <c r="BD255">
        <v>4.95</v>
      </c>
      <c r="BE255">
        <v>5.08</v>
      </c>
      <c r="BF255">
        <v>4.92</v>
      </c>
      <c r="BG255" t="s">
        <v>5375</v>
      </c>
      <c r="BH255" t="s">
        <v>3588</v>
      </c>
      <c r="BI255" t="s">
        <v>5376</v>
      </c>
      <c r="BJ255" t="s">
        <v>101</v>
      </c>
      <c r="BK255" t="s">
        <v>1464</v>
      </c>
      <c r="BL255" t="s">
        <v>4947</v>
      </c>
      <c r="BM255" t="s">
        <v>5377</v>
      </c>
      <c r="BN255" t="s">
        <v>4063</v>
      </c>
    </row>
    <row r="256" spans="1:66" x14ac:dyDescent="0.25">
      <c r="A256" t="str">
        <f>HYPERLINK("https://elite.finviz.com/quote.ashx?t=NYT&amp;ty=c&amp;p=d&amp;b=1", "NYT")</f>
        <v>NYT</v>
      </c>
      <c r="B256">
        <v>7</v>
      </c>
      <c r="C256">
        <v>138.38</v>
      </c>
      <c r="D256">
        <v>47.67</v>
      </c>
      <c r="E256" t="s">
        <v>5378</v>
      </c>
      <c r="F256" t="s">
        <v>107</v>
      </c>
      <c r="G256" t="s">
        <v>598</v>
      </c>
      <c r="H256" t="s">
        <v>5379</v>
      </c>
      <c r="I256" t="s">
        <v>70</v>
      </c>
      <c r="J256" t="s">
        <v>71</v>
      </c>
      <c r="K256">
        <v>9433.73</v>
      </c>
      <c r="L256">
        <v>57.94</v>
      </c>
      <c r="M256" t="s">
        <v>430</v>
      </c>
      <c r="N256">
        <v>187574</v>
      </c>
      <c r="O256">
        <v>29.83</v>
      </c>
      <c r="P256">
        <v>23.19</v>
      </c>
      <c r="Q256">
        <v>2.52</v>
      </c>
      <c r="R256">
        <v>3.51</v>
      </c>
      <c r="S256">
        <v>4.88</v>
      </c>
      <c r="T256" t="s">
        <v>5380</v>
      </c>
      <c r="U256">
        <v>0.62</v>
      </c>
      <c r="V256" t="s">
        <v>5381</v>
      </c>
      <c r="W256" t="s">
        <v>4084</v>
      </c>
      <c r="X256" t="s">
        <v>5382</v>
      </c>
      <c r="Y256" t="s">
        <v>729</v>
      </c>
      <c r="Z256" t="s">
        <v>2966</v>
      </c>
      <c r="AA256">
        <v>1.94</v>
      </c>
      <c r="AB256" t="s">
        <v>249</v>
      </c>
      <c r="AC256" t="s">
        <v>3840</v>
      </c>
      <c r="AD256" t="s">
        <v>2819</v>
      </c>
      <c r="AE256" t="s">
        <v>4437</v>
      </c>
      <c r="AF256" t="s">
        <v>417</v>
      </c>
      <c r="AG256" t="s">
        <v>5383</v>
      </c>
      <c r="AH256" t="s">
        <v>3581</v>
      </c>
      <c r="AI256" t="s">
        <v>2724</v>
      </c>
      <c r="AJ256" t="s">
        <v>3831</v>
      </c>
      <c r="AK256" t="s">
        <v>5384</v>
      </c>
      <c r="AL256">
        <v>1.48</v>
      </c>
      <c r="AM256">
        <v>1.48</v>
      </c>
      <c r="AN256">
        <v>0</v>
      </c>
      <c r="AO256" t="s">
        <v>5385</v>
      </c>
      <c r="AP256" t="s">
        <v>5386</v>
      </c>
      <c r="AQ256" t="s">
        <v>5387</v>
      </c>
      <c r="AR256" t="s">
        <v>2572</v>
      </c>
      <c r="AS256" t="s">
        <v>2720</v>
      </c>
      <c r="AT256" t="s">
        <v>5388</v>
      </c>
      <c r="AU256" t="s">
        <v>2644</v>
      </c>
      <c r="AV256" t="s">
        <v>5389</v>
      </c>
      <c r="AW256" t="s">
        <v>3436</v>
      </c>
      <c r="AX256" t="s">
        <v>5390</v>
      </c>
      <c r="AY256" t="s">
        <v>3436</v>
      </c>
      <c r="AZ256" t="s">
        <v>5391</v>
      </c>
      <c r="BA256">
        <v>2.08</v>
      </c>
      <c r="BB256">
        <v>1823.68</v>
      </c>
      <c r="BC256">
        <v>0.36</v>
      </c>
      <c r="BD256">
        <v>57.81</v>
      </c>
      <c r="BE256">
        <v>58.33</v>
      </c>
      <c r="BF256">
        <v>57.77</v>
      </c>
      <c r="BG256" t="s">
        <v>5392</v>
      </c>
      <c r="BH256" t="s">
        <v>3436</v>
      </c>
      <c r="BI256" t="s">
        <v>5393</v>
      </c>
      <c r="BJ256" t="s">
        <v>101</v>
      </c>
      <c r="BK256" t="s">
        <v>2721</v>
      </c>
      <c r="BL256" t="s">
        <v>5394</v>
      </c>
      <c r="BM256" t="s">
        <v>5395</v>
      </c>
      <c r="BN256" t="s">
        <v>4063</v>
      </c>
    </row>
    <row r="257" spans="1:66" x14ac:dyDescent="0.25">
      <c r="A257" t="str">
        <f>HYPERLINK("https://elite.finviz.com/quote.ashx?t=UGRO&amp;ty=c&amp;p=d&amp;b=1", "UGRO")</f>
        <v>UGRO</v>
      </c>
      <c r="B257">
        <v>7</v>
      </c>
      <c r="C257">
        <v>138.38</v>
      </c>
      <c r="D257">
        <v>47.7</v>
      </c>
      <c r="E257" t="s">
        <v>5396</v>
      </c>
      <c r="F257" t="s">
        <v>107</v>
      </c>
      <c r="G257" t="s">
        <v>260</v>
      </c>
      <c r="H257" t="s">
        <v>320</v>
      </c>
      <c r="I257" t="s">
        <v>70</v>
      </c>
      <c r="J257" t="s">
        <v>321</v>
      </c>
      <c r="K257">
        <v>6.2</v>
      </c>
      <c r="L257">
        <v>0.49</v>
      </c>
      <c r="M257" t="s">
        <v>2571</v>
      </c>
      <c r="N257">
        <v>81800</v>
      </c>
      <c r="R257">
        <v>0.11</v>
      </c>
      <c r="S257">
        <v>2.57</v>
      </c>
      <c r="AA257">
        <v>-1.6</v>
      </c>
      <c r="AB257" t="s">
        <v>5397</v>
      </c>
      <c r="AC257" t="s">
        <v>5398</v>
      </c>
      <c r="AE257" t="s">
        <v>5399</v>
      </c>
      <c r="AF257" t="s">
        <v>5400</v>
      </c>
      <c r="AG257" t="s">
        <v>5401</v>
      </c>
      <c r="AH257" t="s">
        <v>5402</v>
      </c>
      <c r="AI257" t="s">
        <v>5403</v>
      </c>
      <c r="AJ257" t="s">
        <v>164</v>
      </c>
      <c r="AK257" t="s">
        <v>5404</v>
      </c>
      <c r="AL257">
        <v>0.74</v>
      </c>
      <c r="AM257">
        <v>0.73</v>
      </c>
      <c r="AN257">
        <v>2.69</v>
      </c>
      <c r="AO257" t="s">
        <v>5405</v>
      </c>
      <c r="AP257" t="s">
        <v>5406</v>
      </c>
      <c r="AQ257" t="s">
        <v>5407</v>
      </c>
      <c r="AR257" t="s">
        <v>1066</v>
      </c>
      <c r="AS257" t="s">
        <v>5408</v>
      </c>
      <c r="AT257" t="s">
        <v>5409</v>
      </c>
      <c r="AU257" t="s">
        <v>1871</v>
      </c>
      <c r="AV257" t="s">
        <v>5410</v>
      </c>
      <c r="AW257" t="s">
        <v>5411</v>
      </c>
      <c r="AX257" t="s">
        <v>5412</v>
      </c>
      <c r="AY257" t="s">
        <v>5413</v>
      </c>
      <c r="AZ257" t="s">
        <v>5414</v>
      </c>
      <c r="BA257">
        <v>1</v>
      </c>
      <c r="BB257">
        <v>5886.84</v>
      </c>
      <c r="BC257">
        <v>0.05</v>
      </c>
      <c r="BD257">
        <v>0.49</v>
      </c>
      <c r="BE257">
        <v>0.49</v>
      </c>
      <c r="BF257">
        <v>0.47</v>
      </c>
      <c r="BG257" t="s">
        <v>5415</v>
      </c>
      <c r="BH257" t="s">
        <v>5416</v>
      </c>
      <c r="BI257" t="s">
        <v>5414</v>
      </c>
      <c r="BJ257" t="s">
        <v>101</v>
      </c>
      <c r="BK257" t="s">
        <v>5417</v>
      </c>
      <c r="BL257" t="s">
        <v>120</v>
      </c>
      <c r="BM257" t="s">
        <v>5418</v>
      </c>
      <c r="BN257" t="s">
        <v>4063</v>
      </c>
    </row>
    <row r="258" spans="1:66" x14ac:dyDescent="0.25">
      <c r="A258" t="str">
        <f>HYPERLINK("https://elite.finviz.com/quote.ashx?t=DAN&amp;ty=c&amp;p=d&amp;b=1", "DAN")</f>
        <v>DAN</v>
      </c>
      <c r="B258">
        <v>7</v>
      </c>
      <c r="C258">
        <v>138.38</v>
      </c>
      <c r="D258">
        <v>47.73</v>
      </c>
      <c r="E258" t="s">
        <v>5419</v>
      </c>
      <c r="F258" t="s">
        <v>67</v>
      </c>
      <c r="G258" t="s">
        <v>813</v>
      </c>
      <c r="H258" t="s">
        <v>814</v>
      </c>
      <c r="I258" t="s">
        <v>70</v>
      </c>
      <c r="J258" t="s">
        <v>71</v>
      </c>
      <c r="K258">
        <v>2592.91</v>
      </c>
      <c r="L258">
        <v>19.77</v>
      </c>
      <c r="M258" t="s">
        <v>2642</v>
      </c>
      <c r="N258">
        <v>184305</v>
      </c>
      <c r="P258">
        <v>10.55</v>
      </c>
      <c r="R258">
        <v>0.28000000000000003</v>
      </c>
      <c r="S258">
        <v>2.15</v>
      </c>
      <c r="T258" t="s">
        <v>5420</v>
      </c>
      <c r="U258">
        <v>0.4</v>
      </c>
      <c r="V258" t="s">
        <v>1762</v>
      </c>
      <c r="W258" t="s">
        <v>164</v>
      </c>
      <c r="X258" t="s">
        <v>164</v>
      </c>
      <c r="Y258" t="s">
        <v>164</v>
      </c>
      <c r="AA258">
        <v>-0.17</v>
      </c>
      <c r="AD258" t="s">
        <v>5421</v>
      </c>
      <c r="AE258" t="s">
        <v>335</v>
      </c>
      <c r="AF258" t="s">
        <v>995</v>
      </c>
      <c r="AG258" t="s">
        <v>4956</v>
      </c>
      <c r="AH258" t="s">
        <v>5422</v>
      </c>
      <c r="AI258" t="s">
        <v>5423</v>
      </c>
      <c r="AJ258" t="s">
        <v>5424</v>
      </c>
      <c r="AK258" t="s">
        <v>4555</v>
      </c>
      <c r="AL258">
        <v>1.36</v>
      </c>
      <c r="AM258">
        <v>1</v>
      </c>
      <c r="AN258">
        <v>2.82</v>
      </c>
      <c r="AO258" t="s">
        <v>2861</v>
      </c>
      <c r="AP258" t="s">
        <v>5425</v>
      </c>
      <c r="AQ258" t="s">
        <v>2402</v>
      </c>
      <c r="AR258" t="s">
        <v>2640</v>
      </c>
      <c r="AS258" t="s">
        <v>3635</v>
      </c>
      <c r="AT258" t="s">
        <v>5426</v>
      </c>
      <c r="AU258" t="s">
        <v>2316</v>
      </c>
      <c r="AV258" t="s">
        <v>5427</v>
      </c>
      <c r="AW258" t="s">
        <v>5428</v>
      </c>
      <c r="AX258" t="s">
        <v>5429</v>
      </c>
      <c r="AY258" t="s">
        <v>5428</v>
      </c>
      <c r="AZ258" t="s">
        <v>5430</v>
      </c>
      <c r="BA258">
        <v>1.78</v>
      </c>
      <c r="BB258">
        <v>2129.87</v>
      </c>
      <c r="BC258">
        <v>0.3</v>
      </c>
      <c r="BD258">
        <v>19.7</v>
      </c>
      <c r="BE258">
        <v>19.899999999999999</v>
      </c>
      <c r="BF258">
        <v>19.7</v>
      </c>
      <c r="BG258" t="s">
        <v>5431</v>
      </c>
      <c r="BH258" t="s">
        <v>5432</v>
      </c>
      <c r="BI258" t="s">
        <v>5433</v>
      </c>
      <c r="BJ258" t="s">
        <v>101</v>
      </c>
      <c r="BK258" t="s">
        <v>4455</v>
      </c>
      <c r="BL258" t="s">
        <v>5434</v>
      </c>
      <c r="BM258" t="s">
        <v>5435</v>
      </c>
      <c r="BN258" t="s">
        <v>4063</v>
      </c>
    </row>
    <row r="259" spans="1:66" x14ac:dyDescent="0.25">
      <c r="A259" t="str">
        <f>HYPERLINK("https://elite.finviz.com/quote.ashx?t=WAY&amp;ty=c&amp;p=d&amp;b=1", "WAY")</f>
        <v>WAY</v>
      </c>
      <c r="B259">
        <v>7</v>
      </c>
      <c r="C259">
        <v>138.38</v>
      </c>
      <c r="D259">
        <v>47.73</v>
      </c>
      <c r="E259" t="s">
        <v>5436</v>
      </c>
      <c r="F259" t="s">
        <v>67</v>
      </c>
      <c r="G259" t="s">
        <v>428</v>
      </c>
      <c r="H259" t="s">
        <v>2075</v>
      </c>
      <c r="I259" t="s">
        <v>70</v>
      </c>
      <c r="J259" t="s">
        <v>321</v>
      </c>
      <c r="K259">
        <v>6499.11</v>
      </c>
      <c r="L259">
        <v>37.299999999999997</v>
      </c>
      <c r="M259" t="s">
        <v>2216</v>
      </c>
      <c r="N259">
        <v>951611</v>
      </c>
      <c r="O259">
        <v>78.3</v>
      </c>
      <c r="P259">
        <v>23.92</v>
      </c>
      <c r="Q259">
        <v>4.41</v>
      </c>
      <c r="R259">
        <v>6.43</v>
      </c>
      <c r="S259">
        <v>2.0499999999999998</v>
      </c>
      <c r="AA259">
        <v>0.48</v>
      </c>
      <c r="AB259" t="s">
        <v>5437</v>
      </c>
      <c r="AD259" t="s">
        <v>5438</v>
      </c>
      <c r="AE259" t="s">
        <v>2360</v>
      </c>
      <c r="AF259" t="s">
        <v>672</v>
      </c>
      <c r="AH259" t="s">
        <v>5439</v>
      </c>
      <c r="AI259" t="s">
        <v>3204</v>
      </c>
      <c r="AJ259" t="s">
        <v>5440</v>
      </c>
      <c r="AK259" t="s">
        <v>5441</v>
      </c>
      <c r="AL259">
        <v>3.43</v>
      </c>
      <c r="AM259">
        <v>3.43</v>
      </c>
      <c r="AN259">
        <v>0.4</v>
      </c>
      <c r="AO259" t="s">
        <v>5442</v>
      </c>
      <c r="AP259" t="s">
        <v>5443</v>
      </c>
      <c r="AQ259" t="s">
        <v>864</v>
      </c>
      <c r="AR259" t="s">
        <v>648</v>
      </c>
      <c r="AS259" t="s">
        <v>3173</v>
      </c>
      <c r="AT259" t="s">
        <v>5444</v>
      </c>
      <c r="AU259" t="s">
        <v>3551</v>
      </c>
      <c r="AV259" t="s">
        <v>1356</v>
      </c>
      <c r="AW259" t="s">
        <v>5445</v>
      </c>
      <c r="AX259" t="s">
        <v>5446</v>
      </c>
      <c r="AY259" t="s">
        <v>5447</v>
      </c>
      <c r="AZ259" t="s">
        <v>5448</v>
      </c>
      <c r="BA259">
        <v>1.06</v>
      </c>
      <c r="BB259">
        <v>2429.13</v>
      </c>
      <c r="BC259">
        <v>1.38</v>
      </c>
      <c r="BD259">
        <v>37.090000000000003</v>
      </c>
      <c r="BE259">
        <v>37.5</v>
      </c>
      <c r="BF259">
        <v>36.96</v>
      </c>
      <c r="BG259" t="s">
        <v>5449</v>
      </c>
      <c r="BH259" t="s">
        <v>5447</v>
      </c>
      <c r="BI259" t="s">
        <v>5450</v>
      </c>
      <c r="BJ259" t="s">
        <v>101</v>
      </c>
      <c r="BK259" t="s">
        <v>120</v>
      </c>
      <c r="BL259" t="s">
        <v>345</v>
      </c>
      <c r="BM259" t="s">
        <v>5451</v>
      </c>
      <c r="BN259" t="s">
        <v>4063</v>
      </c>
    </row>
    <row r="260" spans="1:66" x14ac:dyDescent="0.25">
      <c r="A260" t="str">
        <f>HYPERLINK("https://elite.finviz.com/quote.ashx?t=NCLH&amp;ty=c&amp;p=d&amp;b=1", "NCLH")</f>
        <v>NCLH</v>
      </c>
      <c r="B260">
        <v>7</v>
      </c>
      <c r="C260">
        <v>138.38</v>
      </c>
      <c r="D260">
        <v>47.77</v>
      </c>
      <c r="E260" t="s">
        <v>5452</v>
      </c>
      <c r="F260" t="s">
        <v>195</v>
      </c>
      <c r="G260" t="s">
        <v>813</v>
      </c>
      <c r="H260" t="s">
        <v>1997</v>
      </c>
      <c r="I260" t="s">
        <v>70</v>
      </c>
      <c r="J260" t="s">
        <v>71</v>
      </c>
      <c r="K260">
        <v>11253.24</v>
      </c>
      <c r="L260">
        <v>24.9</v>
      </c>
      <c r="M260" t="s">
        <v>2486</v>
      </c>
      <c r="N260">
        <v>3426792</v>
      </c>
      <c r="O260">
        <v>17.920000000000002</v>
      </c>
      <c r="P260">
        <v>9.4600000000000009</v>
      </c>
      <c r="Q260">
        <v>0.95</v>
      </c>
      <c r="R260">
        <v>1.18</v>
      </c>
      <c r="S260">
        <v>7.09</v>
      </c>
      <c r="Z260" t="s">
        <v>164</v>
      </c>
      <c r="AA260">
        <v>1.39</v>
      </c>
      <c r="AC260" t="s">
        <v>5453</v>
      </c>
      <c r="AD260" t="s">
        <v>816</v>
      </c>
      <c r="AE260" t="s">
        <v>3758</v>
      </c>
      <c r="AF260" t="s">
        <v>5454</v>
      </c>
      <c r="AG260" t="s">
        <v>710</v>
      </c>
      <c r="AH260" t="s">
        <v>5455</v>
      </c>
      <c r="AI260" t="s">
        <v>1574</v>
      </c>
      <c r="AJ260" t="s">
        <v>164</v>
      </c>
      <c r="AK260" t="s">
        <v>5456</v>
      </c>
      <c r="AL260">
        <v>0.18</v>
      </c>
      <c r="AM260">
        <v>0.16</v>
      </c>
      <c r="AN260">
        <v>9.2899999999999991</v>
      </c>
      <c r="AO260" t="s">
        <v>5457</v>
      </c>
      <c r="AP260" t="s">
        <v>5458</v>
      </c>
      <c r="AQ260" t="s">
        <v>2378</v>
      </c>
      <c r="AR260" t="s">
        <v>387</v>
      </c>
      <c r="AS260" t="s">
        <v>2317</v>
      </c>
      <c r="AT260" t="s">
        <v>2723</v>
      </c>
      <c r="AU260" t="s">
        <v>306</v>
      </c>
      <c r="AV260" t="s">
        <v>5459</v>
      </c>
      <c r="AW260" t="s">
        <v>1537</v>
      </c>
      <c r="AX260" t="s">
        <v>5460</v>
      </c>
      <c r="AY260" t="s">
        <v>4054</v>
      </c>
      <c r="AZ260" t="s">
        <v>5461</v>
      </c>
      <c r="BA260">
        <v>1.84</v>
      </c>
      <c r="BB260">
        <v>15024.68</v>
      </c>
      <c r="BC260">
        <v>0.8</v>
      </c>
      <c r="BD260">
        <v>25</v>
      </c>
      <c r="BE260">
        <v>25.34</v>
      </c>
      <c r="BF260">
        <v>24.84</v>
      </c>
      <c r="BG260" t="s">
        <v>5462</v>
      </c>
      <c r="BH260" t="s">
        <v>3604</v>
      </c>
      <c r="BI260" t="s">
        <v>5463</v>
      </c>
      <c r="BJ260" t="s">
        <v>101</v>
      </c>
      <c r="BK260" t="s">
        <v>5464</v>
      </c>
      <c r="BL260" t="s">
        <v>2129</v>
      </c>
      <c r="BM260" t="s">
        <v>5465</v>
      </c>
      <c r="BN260" t="s">
        <v>4063</v>
      </c>
    </row>
    <row r="261" spans="1:66" x14ac:dyDescent="0.25">
      <c r="A261" t="str">
        <f>HYPERLINK("https://elite.finviz.com/quote.ashx?t=PZZA&amp;ty=c&amp;p=d&amp;b=1", "PZZA")</f>
        <v>PZZA</v>
      </c>
      <c r="B261">
        <v>7</v>
      </c>
      <c r="C261">
        <v>138.38</v>
      </c>
      <c r="D261">
        <v>47.8</v>
      </c>
      <c r="E261" t="s">
        <v>5466</v>
      </c>
      <c r="F261" t="s">
        <v>67</v>
      </c>
      <c r="G261" t="s">
        <v>813</v>
      </c>
      <c r="H261" t="s">
        <v>2285</v>
      </c>
      <c r="I261" t="s">
        <v>70</v>
      </c>
      <c r="J261" t="s">
        <v>321</v>
      </c>
      <c r="K261">
        <v>1528.65</v>
      </c>
      <c r="L261">
        <v>46.67</v>
      </c>
      <c r="M261" t="s">
        <v>2906</v>
      </c>
      <c r="N261">
        <v>143784</v>
      </c>
      <c r="O261">
        <v>20.57</v>
      </c>
      <c r="P261">
        <v>20.73</v>
      </c>
      <c r="Q261">
        <v>5.62</v>
      </c>
      <c r="R261">
        <v>0.73</v>
      </c>
      <c r="T261" t="s">
        <v>5467</v>
      </c>
      <c r="U261">
        <v>1.84</v>
      </c>
      <c r="V261" t="s">
        <v>1440</v>
      </c>
      <c r="W261" t="s">
        <v>4104</v>
      </c>
      <c r="X261" t="s">
        <v>87</v>
      </c>
      <c r="Y261" t="s">
        <v>5468</v>
      </c>
      <c r="Z261" t="s">
        <v>5469</v>
      </c>
      <c r="AA261">
        <v>2.27</v>
      </c>
      <c r="AB261" t="s">
        <v>5470</v>
      </c>
      <c r="AD261" t="s">
        <v>2494</v>
      </c>
      <c r="AE261" t="s">
        <v>4763</v>
      </c>
      <c r="AF261" t="s">
        <v>1998</v>
      </c>
      <c r="AG261" t="s">
        <v>2385</v>
      </c>
      <c r="AH261" t="s">
        <v>2721</v>
      </c>
      <c r="AI261" t="s">
        <v>5471</v>
      </c>
      <c r="AJ261" t="s">
        <v>164</v>
      </c>
      <c r="AK261" t="s">
        <v>5472</v>
      </c>
      <c r="AL261">
        <v>0.82</v>
      </c>
      <c r="AM261">
        <v>0.69</v>
      </c>
      <c r="AO261" t="s">
        <v>5473</v>
      </c>
      <c r="AP261" t="s">
        <v>4416</v>
      </c>
      <c r="AQ261" t="s">
        <v>3244</v>
      </c>
      <c r="AR261" t="s">
        <v>975</v>
      </c>
      <c r="AS261" t="s">
        <v>3481</v>
      </c>
      <c r="AT261" t="s">
        <v>91</v>
      </c>
      <c r="AU261" t="s">
        <v>3019</v>
      </c>
      <c r="AV261" t="s">
        <v>238</v>
      </c>
      <c r="AW261" t="s">
        <v>225</v>
      </c>
      <c r="AX261" t="s">
        <v>705</v>
      </c>
      <c r="AY261" t="s">
        <v>5474</v>
      </c>
      <c r="AZ261" t="s">
        <v>5475</v>
      </c>
      <c r="BA261">
        <v>2.19</v>
      </c>
      <c r="BB261">
        <v>1043.19</v>
      </c>
      <c r="BC261">
        <v>0.49</v>
      </c>
      <c r="BD261">
        <v>46.75</v>
      </c>
      <c r="BE261">
        <v>47.26</v>
      </c>
      <c r="BF261">
        <v>46.4</v>
      </c>
      <c r="BG261" t="s">
        <v>5476</v>
      </c>
      <c r="BH261" t="s">
        <v>5477</v>
      </c>
      <c r="BI261" t="s">
        <v>5478</v>
      </c>
      <c r="BJ261" t="s">
        <v>101</v>
      </c>
      <c r="BK261" t="s">
        <v>4432</v>
      </c>
      <c r="BL261" t="s">
        <v>5479</v>
      </c>
      <c r="BM261" t="s">
        <v>5480</v>
      </c>
      <c r="BN261" t="s">
        <v>4063</v>
      </c>
    </row>
    <row r="262" spans="1:66" x14ac:dyDescent="0.25">
      <c r="A262" t="str">
        <f>HYPERLINK("https://elite.finviz.com/quote.ashx?t=GTLB&amp;ty=c&amp;p=d&amp;b=1", "GTLB")</f>
        <v>GTLB</v>
      </c>
      <c r="B262">
        <v>7</v>
      </c>
      <c r="C262">
        <v>138.38</v>
      </c>
      <c r="D262">
        <v>47.86</v>
      </c>
      <c r="E262" t="s">
        <v>5481</v>
      </c>
      <c r="F262" t="s">
        <v>107</v>
      </c>
      <c r="G262" t="s">
        <v>108</v>
      </c>
      <c r="H262" t="s">
        <v>109</v>
      </c>
      <c r="I262" t="s">
        <v>70</v>
      </c>
      <c r="J262" t="s">
        <v>321</v>
      </c>
      <c r="K262">
        <v>7854.31</v>
      </c>
      <c r="L262">
        <v>47.1</v>
      </c>
      <c r="M262" t="s">
        <v>2785</v>
      </c>
      <c r="N262">
        <v>681300</v>
      </c>
      <c r="P262">
        <v>47.56</v>
      </c>
      <c r="R262">
        <v>9.15</v>
      </c>
      <c r="S262">
        <v>9.06</v>
      </c>
      <c r="AA262">
        <v>-0.03</v>
      </c>
      <c r="AB262" t="s">
        <v>5482</v>
      </c>
      <c r="AC262" t="s">
        <v>5483</v>
      </c>
      <c r="AD262" t="s">
        <v>4874</v>
      </c>
      <c r="AE262" t="s">
        <v>5484</v>
      </c>
      <c r="AF262" t="s">
        <v>5485</v>
      </c>
      <c r="AG262" t="s">
        <v>5486</v>
      </c>
      <c r="AH262" t="s">
        <v>5487</v>
      </c>
      <c r="AI262" t="s">
        <v>5097</v>
      </c>
      <c r="AJ262" t="s">
        <v>5488</v>
      </c>
      <c r="AK262" t="s">
        <v>5489</v>
      </c>
      <c r="AL262">
        <v>2.5299999999999998</v>
      </c>
      <c r="AM262">
        <v>2.5299999999999998</v>
      </c>
      <c r="AN262">
        <v>0</v>
      </c>
      <c r="AO262" t="s">
        <v>5490</v>
      </c>
      <c r="AP262" t="s">
        <v>5491</v>
      </c>
      <c r="AQ262" t="s">
        <v>1714</v>
      </c>
      <c r="AR262" t="s">
        <v>289</v>
      </c>
      <c r="AS262" t="s">
        <v>4744</v>
      </c>
      <c r="AT262" t="s">
        <v>2617</v>
      </c>
      <c r="AU262" t="s">
        <v>4710</v>
      </c>
      <c r="AV262" t="s">
        <v>5354</v>
      </c>
      <c r="AW262" t="s">
        <v>2332</v>
      </c>
      <c r="AX262" t="s">
        <v>5492</v>
      </c>
      <c r="AY262" t="s">
        <v>5493</v>
      </c>
      <c r="AZ262" t="s">
        <v>5011</v>
      </c>
      <c r="BA262">
        <v>1.53</v>
      </c>
      <c r="BB262">
        <v>4831.55</v>
      </c>
      <c r="BC262">
        <v>0.5</v>
      </c>
      <c r="BD262">
        <v>46.72</v>
      </c>
      <c r="BE262">
        <v>47.38</v>
      </c>
      <c r="BF262">
        <v>46.5</v>
      </c>
      <c r="BG262" t="s">
        <v>5494</v>
      </c>
      <c r="BH262" t="s">
        <v>5495</v>
      </c>
      <c r="BI262" t="s">
        <v>5496</v>
      </c>
      <c r="BJ262" t="s">
        <v>101</v>
      </c>
      <c r="BK262" t="s">
        <v>5497</v>
      </c>
      <c r="BL262" t="s">
        <v>5359</v>
      </c>
      <c r="BM262" t="s">
        <v>5498</v>
      </c>
      <c r="BN262" t="s">
        <v>4063</v>
      </c>
    </row>
    <row r="263" spans="1:66" x14ac:dyDescent="0.25">
      <c r="A263" t="str">
        <f>HYPERLINK("https://elite.finviz.com/quote.ashx?t=ALNY&amp;ty=c&amp;p=d&amp;b=1", "ALNY")</f>
        <v>ALNY</v>
      </c>
      <c r="B263">
        <v>7</v>
      </c>
      <c r="C263">
        <v>138.38</v>
      </c>
      <c r="D263">
        <v>47.86</v>
      </c>
      <c r="E263" t="s">
        <v>5499</v>
      </c>
      <c r="F263" t="s">
        <v>107</v>
      </c>
      <c r="G263" t="s">
        <v>428</v>
      </c>
      <c r="H263" t="s">
        <v>429</v>
      </c>
      <c r="I263" t="s">
        <v>70</v>
      </c>
      <c r="J263" t="s">
        <v>321</v>
      </c>
      <c r="K263">
        <v>58279.53</v>
      </c>
      <c r="L263">
        <v>444.61</v>
      </c>
      <c r="M263" t="s">
        <v>2768</v>
      </c>
      <c r="N263">
        <v>220596</v>
      </c>
      <c r="P263">
        <v>72.760000000000005</v>
      </c>
      <c r="R263">
        <v>23.67</v>
      </c>
      <c r="S263">
        <v>232.39</v>
      </c>
      <c r="AA263">
        <v>-2.4700000000000002</v>
      </c>
      <c r="AB263" t="s">
        <v>5500</v>
      </c>
      <c r="AC263" t="s">
        <v>5501</v>
      </c>
      <c r="AE263" t="s">
        <v>2732</v>
      </c>
      <c r="AF263" t="s">
        <v>5502</v>
      </c>
      <c r="AG263" t="s">
        <v>5503</v>
      </c>
      <c r="AH263" t="s">
        <v>3348</v>
      </c>
      <c r="AI263" t="s">
        <v>2777</v>
      </c>
      <c r="AJ263" t="s">
        <v>5195</v>
      </c>
      <c r="AK263" t="s">
        <v>5504</v>
      </c>
      <c r="AL263">
        <v>2.8</v>
      </c>
      <c r="AM263">
        <v>2.75</v>
      </c>
      <c r="AN263">
        <v>10.93</v>
      </c>
      <c r="AO263" t="s">
        <v>5505</v>
      </c>
      <c r="AP263" t="s">
        <v>5506</v>
      </c>
      <c r="AQ263" t="s">
        <v>5507</v>
      </c>
      <c r="AR263" t="s">
        <v>1599</v>
      </c>
      <c r="AS263" t="s">
        <v>2742</v>
      </c>
      <c r="AT263" t="s">
        <v>3328</v>
      </c>
      <c r="AU263" t="s">
        <v>3020</v>
      </c>
      <c r="AV263" t="s">
        <v>5508</v>
      </c>
      <c r="AW263" t="s">
        <v>5509</v>
      </c>
      <c r="AX263" t="s">
        <v>5510</v>
      </c>
      <c r="AY263" t="s">
        <v>5509</v>
      </c>
      <c r="AZ263" t="s">
        <v>5511</v>
      </c>
      <c r="BA263">
        <v>1.71</v>
      </c>
      <c r="BB263">
        <v>1147.96</v>
      </c>
      <c r="BC263">
        <v>0.68</v>
      </c>
      <c r="BD263">
        <v>449.58</v>
      </c>
      <c r="BE263">
        <v>452.64</v>
      </c>
      <c r="BF263">
        <v>442.6</v>
      </c>
      <c r="BG263" t="s">
        <v>5512</v>
      </c>
      <c r="BH263" t="s">
        <v>5509</v>
      </c>
      <c r="BI263" t="s">
        <v>5513</v>
      </c>
      <c r="BJ263" t="s">
        <v>101</v>
      </c>
      <c r="BK263" t="s">
        <v>5514</v>
      </c>
      <c r="BL263" t="s">
        <v>5515</v>
      </c>
      <c r="BM263" t="s">
        <v>5516</v>
      </c>
      <c r="BN263" t="s">
        <v>4063</v>
      </c>
    </row>
    <row r="264" spans="1:66" x14ac:dyDescent="0.25">
      <c r="A264" t="str">
        <f>HYPERLINK("https://elite.finviz.com/quote.ashx?t=RDDT&amp;ty=c&amp;p=d&amp;b=1", "RDDT")</f>
        <v>RDDT</v>
      </c>
      <c r="B264">
        <v>7</v>
      </c>
      <c r="C264">
        <v>138.38</v>
      </c>
      <c r="D264">
        <v>47.88</v>
      </c>
      <c r="E264" t="s">
        <v>5517</v>
      </c>
      <c r="F264" t="s">
        <v>107</v>
      </c>
      <c r="G264" t="s">
        <v>598</v>
      </c>
      <c r="H264" t="s">
        <v>599</v>
      </c>
      <c r="I264" t="s">
        <v>70</v>
      </c>
      <c r="J264" t="s">
        <v>71</v>
      </c>
      <c r="K264">
        <v>43800.160000000003</v>
      </c>
      <c r="L264">
        <v>234.03</v>
      </c>
      <c r="M264" t="s">
        <v>2418</v>
      </c>
      <c r="N264">
        <v>1125045</v>
      </c>
      <c r="O264">
        <v>197.54</v>
      </c>
      <c r="P264">
        <v>71</v>
      </c>
      <c r="R264">
        <v>26.26</v>
      </c>
      <c r="S264">
        <v>18.34</v>
      </c>
      <c r="AA264">
        <v>1.18</v>
      </c>
      <c r="AB264" t="s">
        <v>5518</v>
      </c>
      <c r="AC264" t="s">
        <v>5519</v>
      </c>
      <c r="AE264" t="s">
        <v>5520</v>
      </c>
      <c r="AF264" t="s">
        <v>5521</v>
      </c>
      <c r="AG264" t="s">
        <v>5522</v>
      </c>
      <c r="AH264" t="s">
        <v>5523</v>
      </c>
      <c r="AI264" t="s">
        <v>5524</v>
      </c>
      <c r="AJ264" t="s">
        <v>789</v>
      </c>
      <c r="AK264" t="s">
        <v>5525</v>
      </c>
      <c r="AL264">
        <v>12</v>
      </c>
      <c r="AM264">
        <v>12</v>
      </c>
      <c r="AN264">
        <v>0.01</v>
      </c>
      <c r="AO264" t="s">
        <v>5526</v>
      </c>
      <c r="AP264" t="s">
        <v>1114</v>
      </c>
      <c r="AQ264" t="s">
        <v>1925</v>
      </c>
      <c r="AR264" t="s">
        <v>1826</v>
      </c>
      <c r="AS264" t="s">
        <v>5527</v>
      </c>
      <c r="AT264" t="s">
        <v>2076</v>
      </c>
      <c r="AU264" t="s">
        <v>5528</v>
      </c>
      <c r="AV264" t="s">
        <v>5529</v>
      </c>
      <c r="AW264" t="s">
        <v>4318</v>
      </c>
      <c r="AX264" t="s">
        <v>5530</v>
      </c>
      <c r="AY264" t="s">
        <v>4318</v>
      </c>
      <c r="AZ264" t="s">
        <v>5531</v>
      </c>
      <c r="BA264">
        <v>1.97</v>
      </c>
      <c r="BB264">
        <v>6964.71</v>
      </c>
      <c r="BC264">
        <v>0.56999999999999995</v>
      </c>
      <c r="BD264">
        <v>232.75</v>
      </c>
      <c r="BE264">
        <v>239.15</v>
      </c>
      <c r="BF264">
        <v>232</v>
      </c>
      <c r="BG264" t="s">
        <v>5532</v>
      </c>
      <c r="BH264" t="s">
        <v>4318</v>
      </c>
      <c r="BI264" t="s">
        <v>5533</v>
      </c>
      <c r="BJ264" t="s">
        <v>101</v>
      </c>
      <c r="BK264" t="s">
        <v>5534</v>
      </c>
      <c r="BL264" t="s">
        <v>5535</v>
      </c>
      <c r="BM264" t="s">
        <v>5536</v>
      </c>
      <c r="BN264" t="s">
        <v>4063</v>
      </c>
    </row>
    <row r="265" spans="1:66" x14ac:dyDescent="0.25">
      <c r="A265" t="str">
        <f>HYPERLINK("https://elite.finviz.com/quote.ashx?t=THAR&amp;ty=c&amp;p=d&amp;b=1", "THAR")</f>
        <v>THAR</v>
      </c>
      <c r="B265">
        <v>7</v>
      </c>
      <c r="C265">
        <v>138.38</v>
      </c>
      <c r="D265">
        <v>47.92</v>
      </c>
      <c r="E265" t="s">
        <v>5537</v>
      </c>
      <c r="F265" t="s">
        <v>107</v>
      </c>
      <c r="G265" t="s">
        <v>428</v>
      </c>
      <c r="H265" t="s">
        <v>429</v>
      </c>
      <c r="I265" t="s">
        <v>70</v>
      </c>
      <c r="J265" t="s">
        <v>321</v>
      </c>
      <c r="K265">
        <v>16.3</v>
      </c>
      <c r="L265">
        <v>2.96</v>
      </c>
      <c r="M265" t="s">
        <v>3257</v>
      </c>
      <c r="N265">
        <v>78377</v>
      </c>
      <c r="S265">
        <v>34.01</v>
      </c>
      <c r="AA265">
        <v>-6.02</v>
      </c>
      <c r="AB265" t="s">
        <v>3301</v>
      </c>
      <c r="AC265" t="s">
        <v>5538</v>
      </c>
      <c r="AJ265" t="s">
        <v>5539</v>
      </c>
      <c r="AK265" t="s">
        <v>4267</v>
      </c>
      <c r="AL265">
        <v>1.1299999999999999</v>
      </c>
      <c r="AM265">
        <v>1.1299999999999999</v>
      </c>
      <c r="AN265">
        <v>0.89</v>
      </c>
      <c r="AR265" t="s">
        <v>4607</v>
      </c>
      <c r="AS265" t="s">
        <v>5540</v>
      </c>
      <c r="AT265" t="s">
        <v>1208</v>
      </c>
      <c r="AU265" t="s">
        <v>262</v>
      </c>
      <c r="AV265" t="s">
        <v>5541</v>
      </c>
      <c r="AW265" t="s">
        <v>5542</v>
      </c>
      <c r="AX265" t="s">
        <v>5543</v>
      </c>
      <c r="AY265" t="s">
        <v>5542</v>
      </c>
      <c r="AZ265" t="s">
        <v>5544</v>
      </c>
      <c r="BA265">
        <v>1</v>
      </c>
      <c r="BB265">
        <v>9969.2999999999993</v>
      </c>
      <c r="BC265">
        <v>0.03</v>
      </c>
      <c r="BD265">
        <v>2.91</v>
      </c>
      <c r="BE265">
        <v>3.03</v>
      </c>
      <c r="BF265">
        <v>2.92</v>
      </c>
      <c r="BG265" t="s">
        <v>5545</v>
      </c>
      <c r="BH265" t="s">
        <v>961</v>
      </c>
      <c r="BI265" t="s">
        <v>5544</v>
      </c>
      <c r="BJ265" t="s">
        <v>101</v>
      </c>
      <c r="BK265" t="s">
        <v>5546</v>
      </c>
      <c r="BL265" t="s">
        <v>5547</v>
      </c>
      <c r="BM265" t="s">
        <v>863</v>
      </c>
      <c r="BN265" t="s">
        <v>4063</v>
      </c>
    </row>
    <row r="266" spans="1:66" x14ac:dyDescent="0.25">
      <c r="A266" t="str">
        <f>HYPERLINK("https://elite.finviz.com/quote.ashx?t=FNB&amp;ty=c&amp;p=d&amp;b=1", "FNB")</f>
        <v>FNB</v>
      </c>
      <c r="B266">
        <v>7</v>
      </c>
      <c r="C266">
        <v>138.38</v>
      </c>
      <c r="D266">
        <v>47.92</v>
      </c>
      <c r="E266" t="s">
        <v>5548</v>
      </c>
      <c r="F266" t="s">
        <v>107</v>
      </c>
      <c r="G266" t="s">
        <v>550</v>
      </c>
      <c r="H266" t="s">
        <v>697</v>
      </c>
      <c r="I266" t="s">
        <v>70</v>
      </c>
      <c r="J266" t="s">
        <v>71</v>
      </c>
      <c r="K266">
        <v>5780.42</v>
      </c>
      <c r="L266">
        <v>16.09</v>
      </c>
      <c r="M266" t="s">
        <v>5549</v>
      </c>
      <c r="N266">
        <v>1697669</v>
      </c>
      <c r="O266">
        <v>12.5</v>
      </c>
      <c r="P266">
        <v>9.5399999999999991</v>
      </c>
      <c r="Q266">
        <v>1.1399999999999999</v>
      </c>
      <c r="R266">
        <v>2.2000000000000002</v>
      </c>
      <c r="S266">
        <v>0.89</v>
      </c>
      <c r="T266" t="s">
        <v>2543</v>
      </c>
      <c r="U266">
        <v>0.48</v>
      </c>
      <c r="V266" t="s">
        <v>2187</v>
      </c>
      <c r="W266" t="s">
        <v>164</v>
      </c>
      <c r="X266" t="s">
        <v>164</v>
      </c>
      <c r="Y266" t="s">
        <v>164</v>
      </c>
      <c r="Z266" t="s">
        <v>5550</v>
      </c>
      <c r="AA266">
        <v>1.29</v>
      </c>
      <c r="AB266" t="s">
        <v>2144</v>
      </c>
      <c r="AC266" t="s">
        <v>3257</v>
      </c>
      <c r="AD266" t="s">
        <v>5551</v>
      </c>
      <c r="AE266" t="s">
        <v>5552</v>
      </c>
      <c r="AF266" t="s">
        <v>5553</v>
      </c>
      <c r="AG266" t="s">
        <v>5265</v>
      </c>
      <c r="AH266" t="s">
        <v>5554</v>
      </c>
      <c r="AI266" t="s">
        <v>3506</v>
      </c>
      <c r="AJ266" t="s">
        <v>164</v>
      </c>
      <c r="AK266" t="s">
        <v>5555</v>
      </c>
      <c r="AL266">
        <v>0.09</v>
      </c>
      <c r="AN266">
        <v>0.74</v>
      </c>
      <c r="AP266" t="s">
        <v>5556</v>
      </c>
      <c r="AQ266" t="s">
        <v>1844</v>
      </c>
      <c r="AR266" t="s">
        <v>2201</v>
      </c>
      <c r="AS266" t="s">
        <v>3118</v>
      </c>
      <c r="AT266" t="s">
        <v>2856</v>
      </c>
      <c r="AU266" t="s">
        <v>2734</v>
      </c>
      <c r="AV266" t="s">
        <v>5557</v>
      </c>
      <c r="AW266" t="s">
        <v>5558</v>
      </c>
      <c r="AX266" t="s">
        <v>3368</v>
      </c>
      <c r="AY266" t="s">
        <v>5559</v>
      </c>
      <c r="AZ266" t="s">
        <v>5560</v>
      </c>
      <c r="BA266">
        <v>1.1100000000000001</v>
      </c>
      <c r="BB266">
        <v>7027.12</v>
      </c>
      <c r="BC266">
        <v>0.85</v>
      </c>
      <c r="BD266">
        <v>16.09</v>
      </c>
      <c r="BE266">
        <v>16.3</v>
      </c>
      <c r="BF266">
        <v>16.07</v>
      </c>
      <c r="BG266" t="s">
        <v>5561</v>
      </c>
      <c r="BH266" t="s">
        <v>5562</v>
      </c>
      <c r="BI266" t="s">
        <v>5563</v>
      </c>
      <c r="BJ266" t="s">
        <v>101</v>
      </c>
      <c r="BK266" t="s">
        <v>4857</v>
      </c>
      <c r="BL266" t="s">
        <v>5564</v>
      </c>
      <c r="BM266" t="s">
        <v>3238</v>
      </c>
      <c r="BN266" t="s">
        <v>4063</v>
      </c>
    </row>
    <row r="267" spans="1:66" x14ac:dyDescent="0.25">
      <c r="A267" t="str">
        <f>HYPERLINK("https://elite.finviz.com/quote.ashx?t=AGNC&amp;ty=c&amp;p=d&amp;b=1", "AGNC")</f>
        <v>AGNC</v>
      </c>
      <c r="B267">
        <v>7</v>
      </c>
      <c r="C267">
        <v>138.38</v>
      </c>
      <c r="D267">
        <v>48.01</v>
      </c>
      <c r="E267" t="s">
        <v>5565</v>
      </c>
      <c r="F267" t="s">
        <v>107</v>
      </c>
      <c r="G267" t="s">
        <v>68</v>
      </c>
      <c r="H267" t="s">
        <v>5566</v>
      </c>
      <c r="I267" t="s">
        <v>70</v>
      </c>
      <c r="J267" t="s">
        <v>321</v>
      </c>
      <c r="K267">
        <v>10280.44</v>
      </c>
      <c r="L267">
        <v>9.8699999999999992</v>
      </c>
      <c r="M267" t="s">
        <v>3018</v>
      </c>
      <c r="N267">
        <v>8418905</v>
      </c>
      <c r="O267">
        <v>30.39</v>
      </c>
      <c r="P267">
        <v>6.1</v>
      </c>
      <c r="R267">
        <v>4.79</v>
      </c>
      <c r="S267">
        <v>1.18</v>
      </c>
      <c r="T267" t="s">
        <v>1563</v>
      </c>
      <c r="U267">
        <v>1.44</v>
      </c>
      <c r="V267" t="s">
        <v>198</v>
      </c>
      <c r="W267" t="s">
        <v>164</v>
      </c>
      <c r="X267" t="s">
        <v>164</v>
      </c>
      <c r="Y267" t="s">
        <v>5567</v>
      </c>
      <c r="Z267" t="s">
        <v>5568</v>
      </c>
      <c r="AA267">
        <v>0.32</v>
      </c>
      <c r="AB267" t="s">
        <v>5569</v>
      </c>
      <c r="AC267" t="s">
        <v>4187</v>
      </c>
      <c r="AD267" t="s">
        <v>1929</v>
      </c>
      <c r="AE267" t="s">
        <v>5570</v>
      </c>
      <c r="AF267" t="s">
        <v>5571</v>
      </c>
      <c r="AG267" t="s">
        <v>5572</v>
      </c>
      <c r="AH267" t="s">
        <v>3629</v>
      </c>
      <c r="AI267" t="s">
        <v>5573</v>
      </c>
      <c r="AJ267" t="s">
        <v>5574</v>
      </c>
      <c r="AK267" t="s">
        <v>5575</v>
      </c>
      <c r="AL267">
        <v>0.25</v>
      </c>
      <c r="AM267">
        <v>0.25</v>
      </c>
      <c r="AN267">
        <v>8.75</v>
      </c>
      <c r="AO267" t="s">
        <v>1647</v>
      </c>
      <c r="AP267" t="s">
        <v>5576</v>
      </c>
      <c r="AQ267" t="s">
        <v>5265</v>
      </c>
      <c r="AR267" t="s">
        <v>2195</v>
      </c>
      <c r="AS267" t="s">
        <v>5116</v>
      </c>
      <c r="AT267" t="s">
        <v>2649</v>
      </c>
      <c r="AU267" t="s">
        <v>5577</v>
      </c>
      <c r="AV267" t="s">
        <v>2234</v>
      </c>
      <c r="AW267" t="s">
        <v>5578</v>
      </c>
      <c r="AX267" t="s">
        <v>5579</v>
      </c>
      <c r="AY267" t="s">
        <v>4635</v>
      </c>
      <c r="AZ267" t="s">
        <v>5580</v>
      </c>
      <c r="BA267">
        <v>1.71</v>
      </c>
      <c r="BB267">
        <v>19942.53</v>
      </c>
      <c r="BC267">
        <v>1.49</v>
      </c>
      <c r="BD267">
        <v>9.76</v>
      </c>
      <c r="BE267">
        <v>9.9499999999999993</v>
      </c>
      <c r="BF267">
        <v>9.77</v>
      </c>
      <c r="BG267" t="s">
        <v>5581</v>
      </c>
      <c r="BH267" t="s">
        <v>5582</v>
      </c>
      <c r="BI267" t="s">
        <v>5583</v>
      </c>
      <c r="BJ267" t="s">
        <v>101</v>
      </c>
      <c r="BK267" t="s">
        <v>2065</v>
      </c>
      <c r="BL267" t="s">
        <v>3018</v>
      </c>
      <c r="BM267" t="s">
        <v>5584</v>
      </c>
      <c r="BN267" t="s">
        <v>4063</v>
      </c>
    </row>
    <row r="268" spans="1:66" x14ac:dyDescent="0.25">
      <c r="A268" t="str">
        <f>HYPERLINK("https://elite.finviz.com/quote.ashx?t=LC&amp;ty=c&amp;p=d&amp;b=1", "LC")</f>
        <v>LC</v>
      </c>
      <c r="B268">
        <v>7</v>
      </c>
      <c r="C268">
        <v>138.38</v>
      </c>
      <c r="D268">
        <v>48.01</v>
      </c>
      <c r="E268" t="s">
        <v>5585</v>
      </c>
      <c r="F268" t="s">
        <v>67</v>
      </c>
      <c r="G268" t="s">
        <v>550</v>
      </c>
      <c r="H268" t="s">
        <v>697</v>
      </c>
      <c r="I268" t="s">
        <v>70</v>
      </c>
      <c r="J268" t="s">
        <v>71</v>
      </c>
      <c r="K268">
        <v>1883.46</v>
      </c>
      <c r="L268">
        <v>16.420000000000002</v>
      </c>
      <c r="M268" t="s">
        <v>1787</v>
      </c>
      <c r="N268">
        <v>241702</v>
      </c>
      <c r="O268">
        <v>25.62</v>
      </c>
      <c r="P268">
        <v>11.77</v>
      </c>
      <c r="Q268">
        <v>0.42</v>
      </c>
      <c r="R268">
        <v>1.38</v>
      </c>
      <c r="S268">
        <v>1.34</v>
      </c>
      <c r="Z268" t="s">
        <v>164</v>
      </c>
      <c r="AA268">
        <v>0.64</v>
      </c>
      <c r="AB268" t="s">
        <v>4165</v>
      </c>
      <c r="AD268" t="s">
        <v>5586</v>
      </c>
      <c r="AE268" t="s">
        <v>1495</v>
      </c>
      <c r="AF268" t="s">
        <v>5587</v>
      </c>
      <c r="AG268" t="s">
        <v>756</v>
      </c>
      <c r="AH268" t="s">
        <v>5460</v>
      </c>
      <c r="AI268" t="s">
        <v>5588</v>
      </c>
      <c r="AJ268" t="s">
        <v>2870</v>
      </c>
      <c r="AK268" t="s">
        <v>5589</v>
      </c>
      <c r="AL268">
        <v>8.52</v>
      </c>
      <c r="AM268">
        <v>8.52</v>
      </c>
      <c r="AN268">
        <v>0.06</v>
      </c>
      <c r="AO268" t="s">
        <v>5590</v>
      </c>
      <c r="AP268" t="s">
        <v>637</v>
      </c>
      <c r="AQ268" t="s">
        <v>5591</v>
      </c>
      <c r="AR268" t="s">
        <v>5592</v>
      </c>
      <c r="AS268" t="s">
        <v>5593</v>
      </c>
      <c r="AT268" t="s">
        <v>72</v>
      </c>
      <c r="AU268" t="s">
        <v>926</v>
      </c>
      <c r="AV268" t="s">
        <v>2739</v>
      </c>
      <c r="AW268" t="s">
        <v>5594</v>
      </c>
      <c r="AX268" t="s">
        <v>5595</v>
      </c>
      <c r="AY268" t="s">
        <v>5596</v>
      </c>
      <c r="AZ268" t="s">
        <v>5597</v>
      </c>
      <c r="BA268">
        <v>1.55</v>
      </c>
      <c r="BB268">
        <v>1784.41</v>
      </c>
      <c r="BC268">
        <v>0.48</v>
      </c>
      <c r="BD268">
        <v>16.64</v>
      </c>
      <c r="BE268">
        <v>16.75</v>
      </c>
      <c r="BF268">
        <v>16.34</v>
      </c>
      <c r="BG268" t="s">
        <v>5598</v>
      </c>
      <c r="BH268" t="s">
        <v>5599</v>
      </c>
      <c r="BI268" t="s">
        <v>5600</v>
      </c>
      <c r="BJ268" t="s">
        <v>101</v>
      </c>
      <c r="BK268" t="s">
        <v>5601</v>
      </c>
      <c r="BL268" t="s">
        <v>5602</v>
      </c>
      <c r="BM268" t="s">
        <v>5353</v>
      </c>
      <c r="BN268" t="s">
        <v>4063</v>
      </c>
    </row>
    <row r="269" spans="1:66" x14ac:dyDescent="0.25">
      <c r="A269" t="str">
        <f>HYPERLINK("https://elite.finviz.com/quote.ashx?t=AOS&amp;ty=c&amp;p=d&amp;b=1", "AOS")</f>
        <v>AOS</v>
      </c>
      <c r="B269">
        <v>7</v>
      </c>
      <c r="C269">
        <v>138.38</v>
      </c>
      <c r="D269">
        <v>48.05</v>
      </c>
      <c r="E269" t="s">
        <v>5603</v>
      </c>
      <c r="F269" t="s">
        <v>195</v>
      </c>
      <c r="G269" t="s">
        <v>260</v>
      </c>
      <c r="H269" t="s">
        <v>261</v>
      </c>
      <c r="I269" t="s">
        <v>70</v>
      </c>
      <c r="J269" t="s">
        <v>71</v>
      </c>
      <c r="K269">
        <v>10076.719999999999</v>
      </c>
      <c r="L269">
        <v>71.91</v>
      </c>
      <c r="M269" t="s">
        <v>4865</v>
      </c>
      <c r="N269">
        <v>120425</v>
      </c>
      <c r="O269">
        <v>20.059999999999999</v>
      </c>
      <c r="P269">
        <v>17.04</v>
      </c>
      <c r="Q269">
        <v>3.13</v>
      </c>
      <c r="R269">
        <v>2.66</v>
      </c>
      <c r="S269">
        <v>5.62</v>
      </c>
      <c r="T269" t="s">
        <v>3118</v>
      </c>
      <c r="U269">
        <v>1.36</v>
      </c>
      <c r="V269" t="s">
        <v>5604</v>
      </c>
      <c r="W269" t="s">
        <v>2124</v>
      </c>
      <c r="X269" t="s">
        <v>3127</v>
      </c>
      <c r="Y269" t="s">
        <v>267</v>
      </c>
      <c r="Z269" t="s">
        <v>5605</v>
      </c>
      <c r="AA269">
        <v>3.59</v>
      </c>
      <c r="AB269" t="s">
        <v>3148</v>
      </c>
      <c r="AC269" t="s">
        <v>1396</v>
      </c>
      <c r="AD269" t="s">
        <v>3115</v>
      </c>
      <c r="AE269" t="s">
        <v>5606</v>
      </c>
      <c r="AF269" t="s">
        <v>1933</v>
      </c>
      <c r="AG269" t="s">
        <v>275</v>
      </c>
      <c r="AH269" t="s">
        <v>3484</v>
      </c>
      <c r="AI269" t="s">
        <v>5607</v>
      </c>
      <c r="AJ269" t="s">
        <v>1998</v>
      </c>
      <c r="AK269" t="s">
        <v>5608</v>
      </c>
      <c r="AL269">
        <v>1.65</v>
      </c>
      <c r="AM269">
        <v>1.03</v>
      </c>
      <c r="AN269">
        <v>0.18</v>
      </c>
      <c r="AO269" t="s">
        <v>486</v>
      </c>
      <c r="AP269" t="s">
        <v>705</v>
      </c>
      <c r="AQ269" t="s">
        <v>5609</v>
      </c>
      <c r="AR269" t="s">
        <v>5610</v>
      </c>
      <c r="AS269" t="s">
        <v>2339</v>
      </c>
      <c r="AT269" t="s">
        <v>5312</v>
      </c>
      <c r="AU269" t="s">
        <v>3598</v>
      </c>
      <c r="AV269" t="s">
        <v>5611</v>
      </c>
      <c r="AW269" t="s">
        <v>5612</v>
      </c>
      <c r="AX269" t="s">
        <v>5591</v>
      </c>
      <c r="AY269" t="s">
        <v>5613</v>
      </c>
      <c r="AZ269" t="s">
        <v>5614</v>
      </c>
      <c r="BA269">
        <v>2.59</v>
      </c>
      <c r="BB269">
        <v>1281.06</v>
      </c>
      <c r="BC269">
        <v>0.33</v>
      </c>
      <c r="BD269">
        <v>71.400000000000006</v>
      </c>
      <c r="BE269">
        <v>72.13</v>
      </c>
      <c r="BF269">
        <v>71.33</v>
      </c>
      <c r="BG269" t="s">
        <v>5615</v>
      </c>
      <c r="BH269" t="s">
        <v>5616</v>
      </c>
      <c r="BI269" t="s">
        <v>5617</v>
      </c>
      <c r="BJ269" t="s">
        <v>101</v>
      </c>
      <c r="BK269" t="s">
        <v>5618</v>
      </c>
      <c r="BL269" t="s">
        <v>2193</v>
      </c>
      <c r="BM269" t="s">
        <v>4894</v>
      </c>
      <c r="BN269" t="s">
        <v>4063</v>
      </c>
    </row>
    <row r="270" spans="1:66" x14ac:dyDescent="0.25">
      <c r="A270" t="str">
        <f>HYPERLINK("https://elite.finviz.com/quote.ashx?t=ISPC&amp;ty=c&amp;p=d&amp;b=1", "ISPC")</f>
        <v>ISPC</v>
      </c>
      <c r="B270">
        <v>7</v>
      </c>
      <c r="C270">
        <v>138.38</v>
      </c>
      <c r="D270">
        <v>48.06</v>
      </c>
      <c r="E270" t="s">
        <v>5619</v>
      </c>
      <c r="F270" t="s">
        <v>107</v>
      </c>
      <c r="G270" t="s">
        <v>428</v>
      </c>
      <c r="H270" t="s">
        <v>4202</v>
      </c>
      <c r="I270" t="s">
        <v>70</v>
      </c>
      <c r="J270" t="s">
        <v>321</v>
      </c>
      <c r="K270">
        <v>10.1</v>
      </c>
      <c r="L270">
        <v>1.23</v>
      </c>
      <c r="M270" t="s">
        <v>5138</v>
      </c>
      <c r="N270">
        <v>592793</v>
      </c>
      <c r="R270">
        <v>1.71</v>
      </c>
      <c r="S270">
        <v>4.9400000000000004</v>
      </c>
      <c r="AA270">
        <v>-9.51</v>
      </c>
      <c r="AB270" t="s">
        <v>5620</v>
      </c>
      <c r="AC270" t="s">
        <v>5621</v>
      </c>
      <c r="AE270" t="s">
        <v>5622</v>
      </c>
      <c r="AF270" t="s">
        <v>5623</v>
      </c>
      <c r="AG270" t="s">
        <v>1001</v>
      </c>
      <c r="AH270" t="s">
        <v>5624</v>
      </c>
      <c r="AJ270" t="s">
        <v>164</v>
      </c>
      <c r="AK270" t="s">
        <v>969</v>
      </c>
      <c r="AL270">
        <v>0.23</v>
      </c>
      <c r="AM270">
        <v>0.23</v>
      </c>
      <c r="AN270">
        <v>0.47</v>
      </c>
      <c r="AO270" t="s">
        <v>3736</v>
      </c>
      <c r="AP270" t="s">
        <v>5625</v>
      </c>
      <c r="AQ270" t="s">
        <v>5626</v>
      </c>
      <c r="AR270" t="s">
        <v>5627</v>
      </c>
      <c r="AS270" t="s">
        <v>1931</v>
      </c>
      <c r="AT270" t="s">
        <v>5628</v>
      </c>
      <c r="AU270" t="s">
        <v>3856</v>
      </c>
      <c r="AV270" t="s">
        <v>5629</v>
      </c>
      <c r="AW270" t="s">
        <v>5630</v>
      </c>
      <c r="AX270" t="s">
        <v>5631</v>
      </c>
      <c r="AY270" t="s">
        <v>5632</v>
      </c>
      <c r="AZ270" t="s">
        <v>5631</v>
      </c>
      <c r="BA270">
        <v>1</v>
      </c>
      <c r="BB270">
        <v>6785.69</v>
      </c>
      <c r="BC270">
        <v>0.31</v>
      </c>
      <c r="BD270">
        <v>1.33</v>
      </c>
      <c r="BE270">
        <v>1.35</v>
      </c>
      <c r="BF270">
        <v>1.19</v>
      </c>
      <c r="BG270" t="s">
        <v>5633</v>
      </c>
      <c r="BH270" t="s">
        <v>3198</v>
      </c>
      <c r="BI270" t="s">
        <v>5631</v>
      </c>
      <c r="BJ270" t="s">
        <v>101</v>
      </c>
      <c r="BK270" t="s">
        <v>5634</v>
      </c>
      <c r="BL270" t="s">
        <v>3519</v>
      </c>
      <c r="BM270" t="s">
        <v>5635</v>
      </c>
      <c r="BN270" t="s">
        <v>4063</v>
      </c>
    </row>
    <row r="271" spans="1:66" x14ac:dyDescent="0.25">
      <c r="A271" t="str">
        <f>HYPERLINK("https://elite.finviz.com/quote.ashx?t=ULCC&amp;ty=c&amp;p=d&amp;b=1", "ULCC")</f>
        <v>ULCC</v>
      </c>
      <c r="B271">
        <v>7</v>
      </c>
      <c r="C271">
        <v>138.38</v>
      </c>
      <c r="D271">
        <v>48.08</v>
      </c>
      <c r="E271" t="s">
        <v>5636</v>
      </c>
      <c r="F271" t="s">
        <v>67</v>
      </c>
      <c r="G271" t="s">
        <v>260</v>
      </c>
      <c r="H271" t="s">
        <v>5362</v>
      </c>
      <c r="I271" t="s">
        <v>70</v>
      </c>
      <c r="J271" t="s">
        <v>321</v>
      </c>
      <c r="K271">
        <v>1117.96</v>
      </c>
      <c r="L271">
        <v>4.9000000000000004</v>
      </c>
      <c r="M271" t="s">
        <v>2361</v>
      </c>
      <c r="N271">
        <v>833619</v>
      </c>
      <c r="P271">
        <v>52.19</v>
      </c>
      <c r="R271">
        <v>0.3</v>
      </c>
      <c r="S271">
        <v>2.21</v>
      </c>
      <c r="Z271" t="s">
        <v>164</v>
      </c>
      <c r="AA271">
        <v>-0.15</v>
      </c>
      <c r="AC271" t="s">
        <v>5637</v>
      </c>
      <c r="AD271" t="s">
        <v>5638</v>
      </c>
      <c r="AE271" t="s">
        <v>4269</v>
      </c>
      <c r="AF271" t="s">
        <v>2825</v>
      </c>
      <c r="AG271" t="s">
        <v>466</v>
      </c>
      <c r="AH271" t="s">
        <v>5639</v>
      </c>
      <c r="AI271" t="s">
        <v>5640</v>
      </c>
      <c r="AJ271" t="s">
        <v>2103</v>
      </c>
      <c r="AK271" t="s">
        <v>5275</v>
      </c>
      <c r="AL271">
        <v>0.41</v>
      </c>
      <c r="AM271">
        <v>0.36</v>
      </c>
      <c r="AN271">
        <v>9.6199999999999992</v>
      </c>
      <c r="AO271" t="s">
        <v>3035</v>
      </c>
      <c r="AP271" t="s">
        <v>5641</v>
      </c>
      <c r="AQ271" t="s">
        <v>110</v>
      </c>
      <c r="AR271" t="s">
        <v>3115</v>
      </c>
      <c r="AS271" t="s">
        <v>5642</v>
      </c>
      <c r="AT271" t="s">
        <v>4667</v>
      </c>
      <c r="AU271" t="s">
        <v>4697</v>
      </c>
      <c r="AV271" t="s">
        <v>1613</v>
      </c>
      <c r="AW271" t="s">
        <v>5643</v>
      </c>
      <c r="AX271" t="s">
        <v>5644</v>
      </c>
      <c r="AY271" t="s">
        <v>5645</v>
      </c>
      <c r="AZ271" t="s">
        <v>5646</v>
      </c>
      <c r="BA271">
        <v>2.92</v>
      </c>
      <c r="BB271">
        <v>4217.53</v>
      </c>
      <c r="BC271">
        <v>0.7</v>
      </c>
      <c r="BD271">
        <v>4.7699999999999996</v>
      </c>
      <c r="BE271">
        <v>5.07</v>
      </c>
      <c r="BF271">
        <v>4.8099999999999996</v>
      </c>
      <c r="BG271" t="s">
        <v>5647</v>
      </c>
      <c r="BH271" t="s">
        <v>5648</v>
      </c>
      <c r="BI271" t="s">
        <v>5649</v>
      </c>
      <c r="BJ271" t="s">
        <v>101</v>
      </c>
      <c r="BK271" t="s">
        <v>2702</v>
      </c>
      <c r="BL271" t="s">
        <v>5650</v>
      </c>
      <c r="BM271" t="s">
        <v>2698</v>
      </c>
      <c r="BN271" t="s">
        <v>4063</v>
      </c>
    </row>
    <row r="272" spans="1:66" x14ac:dyDescent="0.25">
      <c r="A272" t="str">
        <f>HYPERLINK("https://elite.finviz.com/quote.ashx?t=LNC&amp;ty=c&amp;p=d&amp;b=1", "LNC")</f>
        <v>LNC</v>
      </c>
      <c r="B272">
        <v>7</v>
      </c>
      <c r="C272">
        <v>138.38</v>
      </c>
      <c r="D272">
        <v>48.08</v>
      </c>
      <c r="E272" t="s">
        <v>5651</v>
      </c>
      <c r="F272" t="s">
        <v>107</v>
      </c>
      <c r="G272" t="s">
        <v>550</v>
      </c>
      <c r="H272" t="s">
        <v>5652</v>
      </c>
      <c r="I272" t="s">
        <v>70</v>
      </c>
      <c r="J272" t="s">
        <v>71</v>
      </c>
      <c r="K272">
        <v>7657.16</v>
      </c>
      <c r="L272">
        <v>40.39</v>
      </c>
      <c r="M272" t="s">
        <v>3336</v>
      </c>
      <c r="N272">
        <v>180061</v>
      </c>
      <c r="O272">
        <v>7.05</v>
      </c>
      <c r="P272">
        <v>5.14</v>
      </c>
      <c r="Q272">
        <v>1.03</v>
      </c>
      <c r="R272">
        <v>0.42</v>
      </c>
      <c r="S272">
        <v>0.89</v>
      </c>
      <c r="T272" t="s">
        <v>5554</v>
      </c>
      <c r="U272">
        <v>1.8</v>
      </c>
      <c r="V272" t="s">
        <v>5056</v>
      </c>
      <c r="W272" t="s">
        <v>164</v>
      </c>
      <c r="X272" t="s">
        <v>3257</v>
      </c>
      <c r="Y272" t="s">
        <v>3244</v>
      </c>
      <c r="Z272" t="s">
        <v>5653</v>
      </c>
      <c r="AA272">
        <v>5.73</v>
      </c>
      <c r="AB272" t="s">
        <v>5654</v>
      </c>
      <c r="AC272" t="s">
        <v>5655</v>
      </c>
      <c r="AD272" t="s">
        <v>5642</v>
      </c>
      <c r="AE272" t="s">
        <v>5656</v>
      </c>
      <c r="AF272" t="s">
        <v>451</v>
      </c>
      <c r="AG272" t="s">
        <v>1100</v>
      </c>
      <c r="AH272" t="s">
        <v>3303</v>
      </c>
      <c r="AI272" t="s">
        <v>5068</v>
      </c>
      <c r="AJ272" t="s">
        <v>759</v>
      </c>
      <c r="AK272" t="s">
        <v>5657</v>
      </c>
      <c r="AN272">
        <v>0.6</v>
      </c>
      <c r="AP272" t="s">
        <v>5658</v>
      </c>
      <c r="AQ272" t="s">
        <v>5659</v>
      </c>
      <c r="AR272" t="s">
        <v>5660</v>
      </c>
      <c r="AS272" t="s">
        <v>342</v>
      </c>
      <c r="AT272" t="s">
        <v>5661</v>
      </c>
      <c r="AU272" t="s">
        <v>3832</v>
      </c>
      <c r="AV272" t="s">
        <v>5662</v>
      </c>
      <c r="AW272" t="s">
        <v>5663</v>
      </c>
      <c r="AX272" t="s">
        <v>5664</v>
      </c>
      <c r="AY272" t="s">
        <v>5663</v>
      </c>
      <c r="AZ272" t="s">
        <v>5665</v>
      </c>
      <c r="BA272">
        <v>3.06</v>
      </c>
      <c r="BB272">
        <v>2054.98</v>
      </c>
      <c r="BC272">
        <v>0.31</v>
      </c>
      <c r="BD272">
        <v>40.19</v>
      </c>
      <c r="BE272">
        <v>40.93</v>
      </c>
      <c r="BF272">
        <v>40.25</v>
      </c>
      <c r="BG272" t="s">
        <v>5666</v>
      </c>
      <c r="BH272" t="s">
        <v>5667</v>
      </c>
      <c r="BI272" t="s">
        <v>5668</v>
      </c>
      <c r="BJ272" t="s">
        <v>101</v>
      </c>
      <c r="BK272" t="s">
        <v>2211</v>
      </c>
      <c r="BL272" t="s">
        <v>801</v>
      </c>
      <c r="BM272" t="s">
        <v>5669</v>
      </c>
      <c r="BN272" t="s">
        <v>4063</v>
      </c>
    </row>
    <row r="273" spans="1:66" x14ac:dyDescent="0.25">
      <c r="A273" t="str">
        <f>HYPERLINK("https://elite.finviz.com/quote.ashx?t=ELME&amp;ty=c&amp;p=d&amp;b=1", "ELME")</f>
        <v>ELME</v>
      </c>
      <c r="B273">
        <v>7</v>
      </c>
      <c r="C273">
        <v>138.38</v>
      </c>
      <c r="D273">
        <v>48.11</v>
      </c>
      <c r="E273" t="s">
        <v>5670</v>
      </c>
      <c r="F273" t="s">
        <v>67</v>
      </c>
      <c r="G273" t="s">
        <v>68</v>
      </c>
      <c r="H273" t="s">
        <v>5671</v>
      </c>
      <c r="I273" t="s">
        <v>70</v>
      </c>
      <c r="J273" t="s">
        <v>71</v>
      </c>
      <c r="K273">
        <v>1479.78</v>
      </c>
      <c r="L273">
        <v>16.78</v>
      </c>
      <c r="M273" t="s">
        <v>914</v>
      </c>
      <c r="N273">
        <v>108718</v>
      </c>
      <c r="R273">
        <v>6.02</v>
      </c>
      <c r="S273">
        <v>1.41</v>
      </c>
      <c r="T273" t="s">
        <v>5672</v>
      </c>
      <c r="U273">
        <v>0.72</v>
      </c>
      <c r="V273" t="s">
        <v>5673</v>
      </c>
      <c r="W273" t="s">
        <v>164</v>
      </c>
      <c r="X273" t="s">
        <v>5674</v>
      </c>
      <c r="Y273" t="s">
        <v>5675</v>
      </c>
      <c r="AA273">
        <v>-0.17</v>
      </c>
      <c r="AB273" t="s">
        <v>982</v>
      </c>
      <c r="AE273" t="s">
        <v>4908</v>
      </c>
      <c r="AF273" t="s">
        <v>5676</v>
      </c>
      <c r="AG273" t="s">
        <v>4404</v>
      </c>
      <c r="AH273" t="s">
        <v>4677</v>
      </c>
      <c r="AI273" t="s">
        <v>5677</v>
      </c>
      <c r="AJ273" t="s">
        <v>164</v>
      </c>
      <c r="AK273" t="s">
        <v>5678</v>
      </c>
      <c r="AL273">
        <v>0.87</v>
      </c>
      <c r="AM273">
        <v>0.87</v>
      </c>
      <c r="AN273">
        <v>0.67</v>
      </c>
      <c r="AO273" t="s">
        <v>5679</v>
      </c>
      <c r="AP273" t="s">
        <v>2403</v>
      </c>
      <c r="AQ273" t="s">
        <v>625</v>
      </c>
      <c r="AR273" t="s">
        <v>2864</v>
      </c>
      <c r="AS273" t="s">
        <v>5380</v>
      </c>
      <c r="AT273" t="s">
        <v>3940</v>
      </c>
      <c r="AU273" t="s">
        <v>1837</v>
      </c>
      <c r="AV273" t="s">
        <v>3433</v>
      </c>
      <c r="AW273" t="s">
        <v>4698</v>
      </c>
      <c r="AX273" t="s">
        <v>5680</v>
      </c>
      <c r="AY273" t="s">
        <v>4226</v>
      </c>
      <c r="AZ273" t="s">
        <v>5681</v>
      </c>
      <c r="BA273">
        <v>3</v>
      </c>
      <c r="BB273">
        <v>1011.22</v>
      </c>
      <c r="BC273">
        <v>0.38</v>
      </c>
      <c r="BD273">
        <v>16.71</v>
      </c>
      <c r="BE273">
        <v>16.84</v>
      </c>
      <c r="BF273">
        <v>16.739999999999998</v>
      </c>
      <c r="BG273" t="s">
        <v>5682</v>
      </c>
      <c r="BH273" t="s">
        <v>5683</v>
      </c>
      <c r="BI273" t="s">
        <v>5684</v>
      </c>
      <c r="BJ273" t="s">
        <v>101</v>
      </c>
      <c r="BK273" t="s">
        <v>5685</v>
      </c>
      <c r="BL273" t="s">
        <v>5686</v>
      </c>
      <c r="BM273" t="s">
        <v>2252</v>
      </c>
      <c r="BN273" t="s">
        <v>4063</v>
      </c>
    </row>
    <row r="274" spans="1:66" x14ac:dyDescent="0.25">
      <c r="A274" t="str">
        <f>HYPERLINK("https://elite.finviz.com/quote.ashx?t=AME&amp;ty=c&amp;p=d&amp;b=1", "AME")</f>
        <v>AME</v>
      </c>
      <c r="B274">
        <v>7</v>
      </c>
      <c r="C274">
        <v>138.38</v>
      </c>
      <c r="D274">
        <v>48.11</v>
      </c>
      <c r="E274" t="s">
        <v>5687</v>
      </c>
      <c r="F274" t="s">
        <v>195</v>
      </c>
      <c r="G274" t="s">
        <v>260</v>
      </c>
      <c r="H274" t="s">
        <v>261</v>
      </c>
      <c r="I274" t="s">
        <v>70</v>
      </c>
      <c r="J274" t="s">
        <v>71</v>
      </c>
      <c r="K274">
        <v>42885.84</v>
      </c>
      <c r="L274">
        <v>185.69</v>
      </c>
      <c r="M274" t="s">
        <v>4865</v>
      </c>
      <c r="N274">
        <v>114685</v>
      </c>
      <c r="O274">
        <v>29.95</v>
      </c>
      <c r="P274">
        <v>23.78</v>
      </c>
      <c r="Q274">
        <v>3.99</v>
      </c>
      <c r="R274">
        <v>6.14</v>
      </c>
      <c r="S274">
        <v>4.13</v>
      </c>
      <c r="T274" t="s">
        <v>4782</v>
      </c>
      <c r="U274">
        <v>1.21</v>
      </c>
      <c r="V274" t="s">
        <v>3833</v>
      </c>
      <c r="W274" t="s">
        <v>1514</v>
      </c>
      <c r="X274" t="s">
        <v>4079</v>
      </c>
      <c r="Y274" t="s">
        <v>1561</v>
      </c>
      <c r="Z274" t="s">
        <v>4468</v>
      </c>
      <c r="AA274">
        <v>6.2</v>
      </c>
      <c r="AB274" t="s">
        <v>1089</v>
      </c>
      <c r="AC274" t="s">
        <v>1533</v>
      </c>
      <c r="AD274" t="s">
        <v>262</v>
      </c>
      <c r="AE274" t="s">
        <v>1438</v>
      </c>
      <c r="AF274" t="s">
        <v>4114</v>
      </c>
      <c r="AG274" t="s">
        <v>2174</v>
      </c>
      <c r="AH274" t="s">
        <v>2333</v>
      </c>
      <c r="AI274" t="s">
        <v>1475</v>
      </c>
      <c r="AJ274" t="s">
        <v>174</v>
      </c>
      <c r="AK274" t="s">
        <v>5688</v>
      </c>
      <c r="AL274">
        <v>1.63</v>
      </c>
      <c r="AM274">
        <v>1.04</v>
      </c>
      <c r="AN274">
        <v>0.21</v>
      </c>
      <c r="AO274" t="s">
        <v>5689</v>
      </c>
      <c r="AP274" t="s">
        <v>5690</v>
      </c>
      <c r="AQ274" t="s">
        <v>5691</v>
      </c>
      <c r="AR274" t="s">
        <v>5692</v>
      </c>
      <c r="AS274" t="s">
        <v>2572</v>
      </c>
      <c r="AT274" t="s">
        <v>5693</v>
      </c>
      <c r="AU274" t="s">
        <v>2571</v>
      </c>
      <c r="AV274" t="s">
        <v>3542</v>
      </c>
      <c r="AW274" t="s">
        <v>1779</v>
      </c>
      <c r="AX274" t="s">
        <v>3088</v>
      </c>
      <c r="AY274" t="s">
        <v>657</v>
      </c>
      <c r="AZ274" t="s">
        <v>5694</v>
      </c>
      <c r="BA274">
        <v>1.95</v>
      </c>
      <c r="BB274">
        <v>1271.1500000000001</v>
      </c>
      <c r="BC274">
        <v>0.32</v>
      </c>
      <c r="BD274">
        <v>184.39</v>
      </c>
      <c r="BE274">
        <v>186.13</v>
      </c>
      <c r="BF274">
        <v>184.16</v>
      </c>
      <c r="BG274" t="s">
        <v>5695</v>
      </c>
      <c r="BH274" t="s">
        <v>657</v>
      </c>
      <c r="BI274" t="s">
        <v>5696</v>
      </c>
      <c r="BJ274" t="s">
        <v>101</v>
      </c>
      <c r="BK274" t="s">
        <v>2146</v>
      </c>
      <c r="BL274" t="s">
        <v>1576</v>
      </c>
      <c r="BM274" t="s">
        <v>5697</v>
      </c>
      <c r="BN274" t="s">
        <v>4063</v>
      </c>
    </row>
    <row r="275" spans="1:66" x14ac:dyDescent="0.25">
      <c r="A275" t="str">
        <f>HYPERLINK("https://elite.finviz.com/quote.ashx?t=DHI&amp;ty=c&amp;p=d&amp;b=1", "DHI")</f>
        <v>DHI</v>
      </c>
      <c r="B275">
        <v>7</v>
      </c>
      <c r="C275">
        <v>138.38</v>
      </c>
      <c r="D275">
        <v>48.14</v>
      </c>
      <c r="E275" t="s">
        <v>5698</v>
      </c>
      <c r="F275" t="s">
        <v>195</v>
      </c>
      <c r="G275" t="s">
        <v>813</v>
      </c>
      <c r="H275" t="s">
        <v>5054</v>
      </c>
      <c r="I275" t="s">
        <v>70</v>
      </c>
      <c r="J275" t="s">
        <v>71</v>
      </c>
      <c r="K275">
        <v>49691.23</v>
      </c>
      <c r="L275">
        <v>166.68</v>
      </c>
      <c r="M275" t="s">
        <v>5577</v>
      </c>
      <c r="N275">
        <v>414492</v>
      </c>
      <c r="O275">
        <v>13.36</v>
      </c>
      <c r="P275">
        <v>13.54</v>
      </c>
      <c r="R275">
        <v>1.44</v>
      </c>
      <c r="S275">
        <v>2.0699999999999998</v>
      </c>
      <c r="T275" t="s">
        <v>2881</v>
      </c>
      <c r="U275">
        <v>1.6</v>
      </c>
      <c r="V275" t="s">
        <v>2420</v>
      </c>
      <c r="W275" t="s">
        <v>1746</v>
      </c>
      <c r="X275" t="s">
        <v>5699</v>
      </c>
      <c r="Y275" t="s">
        <v>1561</v>
      </c>
      <c r="Z275" t="s">
        <v>5700</v>
      </c>
      <c r="AA275">
        <v>12.48</v>
      </c>
      <c r="AB275" t="s">
        <v>3687</v>
      </c>
      <c r="AC275" t="s">
        <v>5701</v>
      </c>
      <c r="AD275" t="s">
        <v>2486</v>
      </c>
      <c r="AE275" t="s">
        <v>2335</v>
      </c>
      <c r="AF275" t="s">
        <v>3793</v>
      </c>
      <c r="AG275" t="s">
        <v>5702</v>
      </c>
      <c r="AH275" t="s">
        <v>5703</v>
      </c>
      <c r="AI275" t="s">
        <v>3420</v>
      </c>
      <c r="AJ275" t="s">
        <v>2638</v>
      </c>
      <c r="AK275" t="s">
        <v>5704</v>
      </c>
      <c r="AL275">
        <v>9.9700000000000006</v>
      </c>
      <c r="AM275">
        <v>1.06</v>
      </c>
      <c r="AN275">
        <v>0.3</v>
      </c>
      <c r="AO275" t="s">
        <v>5705</v>
      </c>
      <c r="AP275" t="s">
        <v>5706</v>
      </c>
      <c r="AQ275" t="s">
        <v>292</v>
      </c>
      <c r="AR275" t="s">
        <v>2361</v>
      </c>
      <c r="AS275" t="s">
        <v>89</v>
      </c>
      <c r="AT275" t="s">
        <v>5426</v>
      </c>
      <c r="AU275" t="s">
        <v>4216</v>
      </c>
      <c r="AV275" t="s">
        <v>4885</v>
      </c>
      <c r="AW275" t="s">
        <v>5707</v>
      </c>
      <c r="AX275" t="s">
        <v>5708</v>
      </c>
      <c r="AY275" t="s">
        <v>487</v>
      </c>
      <c r="AZ275" t="s">
        <v>5709</v>
      </c>
      <c r="BA275">
        <v>2.5499999999999998</v>
      </c>
      <c r="BB275">
        <v>4131.6000000000004</v>
      </c>
      <c r="BC275">
        <v>0.35</v>
      </c>
      <c r="BD275">
        <v>165</v>
      </c>
      <c r="BE275">
        <v>167.07</v>
      </c>
      <c r="BF275">
        <v>165.13</v>
      </c>
      <c r="BG275" t="s">
        <v>5710</v>
      </c>
      <c r="BH275" t="s">
        <v>2118</v>
      </c>
      <c r="BI275" t="s">
        <v>5711</v>
      </c>
      <c r="BJ275" t="s">
        <v>101</v>
      </c>
      <c r="BK275" t="s">
        <v>5712</v>
      </c>
      <c r="BL275" t="s">
        <v>5713</v>
      </c>
      <c r="BM275" t="s">
        <v>5714</v>
      </c>
      <c r="BN275" t="s">
        <v>4063</v>
      </c>
    </row>
    <row r="276" spans="1:66" x14ac:dyDescent="0.25">
      <c r="A276" t="str">
        <f>HYPERLINK("https://elite.finviz.com/quote.ashx?t=HOG&amp;ty=c&amp;p=d&amp;b=1", "HOG")</f>
        <v>HOG</v>
      </c>
      <c r="B276">
        <v>7</v>
      </c>
      <c r="C276">
        <v>138.38</v>
      </c>
      <c r="D276">
        <v>48.17</v>
      </c>
      <c r="E276" t="s">
        <v>5715</v>
      </c>
      <c r="F276" t="s">
        <v>107</v>
      </c>
      <c r="G276" t="s">
        <v>813</v>
      </c>
      <c r="H276" t="s">
        <v>5716</v>
      </c>
      <c r="I276" t="s">
        <v>70</v>
      </c>
      <c r="J276" t="s">
        <v>71</v>
      </c>
      <c r="K276">
        <v>3465.9</v>
      </c>
      <c r="L276">
        <v>28.51</v>
      </c>
      <c r="M276" t="s">
        <v>3551</v>
      </c>
      <c r="N276">
        <v>106280</v>
      </c>
      <c r="O276">
        <v>14.77</v>
      </c>
      <c r="P276">
        <v>10.91</v>
      </c>
      <c r="Q276">
        <v>6.54</v>
      </c>
      <c r="R276">
        <v>0.77</v>
      </c>
      <c r="S276">
        <v>1.06</v>
      </c>
      <c r="T276" t="s">
        <v>5258</v>
      </c>
      <c r="U276">
        <v>0.71</v>
      </c>
      <c r="V276" t="s">
        <v>5717</v>
      </c>
      <c r="W276" t="s">
        <v>4104</v>
      </c>
      <c r="X276" t="s">
        <v>161</v>
      </c>
      <c r="Y276" t="s">
        <v>5718</v>
      </c>
      <c r="Z276" t="s">
        <v>5719</v>
      </c>
      <c r="AA276">
        <v>1.93</v>
      </c>
      <c r="AB276" t="s">
        <v>657</v>
      </c>
      <c r="AC276" t="s">
        <v>1104</v>
      </c>
      <c r="AD276" t="s">
        <v>1599</v>
      </c>
      <c r="AE276" t="s">
        <v>5720</v>
      </c>
      <c r="AF276" t="s">
        <v>5721</v>
      </c>
      <c r="AG276" t="s">
        <v>2331</v>
      </c>
      <c r="AH276" t="s">
        <v>933</v>
      </c>
      <c r="AI276" t="s">
        <v>5722</v>
      </c>
      <c r="AJ276" t="s">
        <v>497</v>
      </c>
      <c r="AK276" t="s">
        <v>5723</v>
      </c>
      <c r="AL276">
        <v>1.37</v>
      </c>
      <c r="AM276">
        <v>1.2</v>
      </c>
      <c r="AN276">
        <v>2.08</v>
      </c>
      <c r="AO276" t="s">
        <v>5724</v>
      </c>
      <c r="AP276" t="s">
        <v>1657</v>
      </c>
      <c r="AQ276" t="s">
        <v>5591</v>
      </c>
      <c r="AR276" t="s">
        <v>2941</v>
      </c>
      <c r="AS276" t="s">
        <v>2543</v>
      </c>
      <c r="AT276" t="s">
        <v>5725</v>
      </c>
      <c r="AU276" t="s">
        <v>2810</v>
      </c>
      <c r="AV276" t="s">
        <v>5726</v>
      </c>
      <c r="AW276" t="s">
        <v>5569</v>
      </c>
      <c r="AX276" t="s">
        <v>5727</v>
      </c>
      <c r="AY276" t="s">
        <v>5728</v>
      </c>
      <c r="AZ276" t="s">
        <v>5729</v>
      </c>
      <c r="BA276">
        <v>2.44</v>
      </c>
      <c r="BB276">
        <v>1942.5</v>
      </c>
      <c r="BC276">
        <v>0.19</v>
      </c>
      <c r="BD276">
        <v>28.11</v>
      </c>
      <c r="BE276">
        <v>28.6</v>
      </c>
      <c r="BF276">
        <v>28.11</v>
      </c>
      <c r="BG276" t="s">
        <v>5730</v>
      </c>
      <c r="BH276" t="s">
        <v>5731</v>
      </c>
      <c r="BI276" t="s">
        <v>5732</v>
      </c>
      <c r="BJ276" t="s">
        <v>101</v>
      </c>
      <c r="BK276" t="s">
        <v>1062</v>
      </c>
      <c r="BL276" t="s">
        <v>230</v>
      </c>
      <c r="BM276" t="s">
        <v>5733</v>
      </c>
      <c r="BN276" t="s">
        <v>4063</v>
      </c>
    </row>
    <row r="277" spans="1:66" x14ac:dyDescent="0.25">
      <c r="A277" t="str">
        <f>HYPERLINK("https://elite.finviz.com/quote.ashx?t=ADM&amp;ty=c&amp;p=d&amp;b=1", "ADM")</f>
        <v>ADM</v>
      </c>
      <c r="B277">
        <v>7</v>
      </c>
      <c r="C277">
        <v>138.38</v>
      </c>
      <c r="D277">
        <v>48.22</v>
      </c>
      <c r="E277" t="s">
        <v>5734</v>
      </c>
      <c r="F277" t="s">
        <v>195</v>
      </c>
      <c r="G277" t="s">
        <v>2244</v>
      </c>
      <c r="H277" t="s">
        <v>5735</v>
      </c>
      <c r="I277" t="s">
        <v>70</v>
      </c>
      <c r="J277" t="s">
        <v>71</v>
      </c>
      <c r="K277">
        <v>29041.39</v>
      </c>
      <c r="L277">
        <v>60.44</v>
      </c>
      <c r="M277" t="s">
        <v>1820</v>
      </c>
      <c r="N277">
        <v>1311016</v>
      </c>
      <c r="O277">
        <v>26.6</v>
      </c>
      <c r="P277">
        <v>12.9</v>
      </c>
      <c r="Q277">
        <v>10.23</v>
      </c>
      <c r="R277">
        <v>0.35</v>
      </c>
      <c r="S277">
        <v>1.29</v>
      </c>
      <c r="T277" t="s">
        <v>5736</v>
      </c>
      <c r="U277">
        <v>2.0299999999999998</v>
      </c>
      <c r="V277" t="s">
        <v>5737</v>
      </c>
      <c r="W277" t="s">
        <v>821</v>
      </c>
      <c r="X277" t="s">
        <v>5738</v>
      </c>
      <c r="Y277" t="s">
        <v>5739</v>
      </c>
      <c r="Z277" t="s">
        <v>5740</v>
      </c>
      <c r="AA277">
        <v>2.27</v>
      </c>
      <c r="AB277" t="s">
        <v>5741</v>
      </c>
      <c r="AC277" t="s">
        <v>224</v>
      </c>
      <c r="AD277" t="s">
        <v>2742</v>
      </c>
      <c r="AE277" t="s">
        <v>134</v>
      </c>
      <c r="AF277" t="s">
        <v>1324</v>
      </c>
      <c r="AG277" t="s">
        <v>3088</v>
      </c>
      <c r="AH277" t="s">
        <v>5742</v>
      </c>
      <c r="AI277" t="s">
        <v>5743</v>
      </c>
      <c r="AJ277" t="s">
        <v>164</v>
      </c>
      <c r="AK277" t="s">
        <v>5744</v>
      </c>
      <c r="AL277">
        <v>1.42</v>
      </c>
      <c r="AM277">
        <v>0.9</v>
      </c>
      <c r="AN277">
        <v>0.47</v>
      </c>
      <c r="AO277" t="s">
        <v>3983</v>
      </c>
      <c r="AP277" t="s">
        <v>5745</v>
      </c>
      <c r="AQ277" t="s">
        <v>5692</v>
      </c>
      <c r="AR277" t="s">
        <v>2496</v>
      </c>
      <c r="AS277" t="s">
        <v>2876</v>
      </c>
      <c r="AT277" t="s">
        <v>5746</v>
      </c>
      <c r="AU277" t="s">
        <v>4946</v>
      </c>
      <c r="AV277" t="s">
        <v>5747</v>
      </c>
      <c r="AW277" t="s">
        <v>5748</v>
      </c>
      <c r="AX277" t="s">
        <v>5749</v>
      </c>
      <c r="AY277" t="s">
        <v>5748</v>
      </c>
      <c r="AZ277" t="s">
        <v>5750</v>
      </c>
      <c r="BA277">
        <v>2.93</v>
      </c>
      <c r="BB277">
        <v>3509.82</v>
      </c>
      <c r="BC277">
        <v>1.32</v>
      </c>
      <c r="BD277">
        <v>61.07</v>
      </c>
      <c r="BE277">
        <v>61.54</v>
      </c>
      <c r="BF277">
        <v>59.36</v>
      </c>
      <c r="BG277" t="s">
        <v>5751</v>
      </c>
      <c r="BH277" t="s">
        <v>5752</v>
      </c>
      <c r="BI277" t="s">
        <v>5753</v>
      </c>
      <c r="BJ277" t="s">
        <v>101</v>
      </c>
      <c r="BK277" t="s">
        <v>3939</v>
      </c>
      <c r="BL277" t="s">
        <v>5754</v>
      </c>
      <c r="BM277" t="s">
        <v>2426</v>
      </c>
      <c r="BN277" t="s">
        <v>4063</v>
      </c>
    </row>
    <row r="278" spans="1:66" x14ac:dyDescent="0.25">
      <c r="A278" t="str">
        <f>HYPERLINK("https://elite.finviz.com/quote.ashx?t=ESTC&amp;ty=c&amp;p=d&amp;b=1", "ESTC")</f>
        <v>ESTC</v>
      </c>
      <c r="B278">
        <v>7</v>
      </c>
      <c r="C278">
        <v>138.38</v>
      </c>
      <c r="D278">
        <v>48.25</v>
      </c>
      <c r="E278" t="s">
        <v>5755</v>
      </c>
      <c r="F278" t="s">
        <v>107</v>
      </c>
      <c r="G278" t="s">
        <v>108</v>
      </c>
      <c r="H278" t="s">
        <v>136</v>
      </c>
      <c r="I278" t="s">
        <v>70</v>
      </c>
      <c r="J278" t="s">
        <v>71</v>
      </c>
      <c r="K278">
        <v>9059.59</v>
      </c>
      <c r="L278">
        <v>85.25</v>
      </c>
      <c r="M278" t="s">
        <v>183</v>
      </c>
      <c r="N278">
        <v>124840</v>
      </c>
      <c r="P278">
        <v>32.270000000000003</v>
      </c>
      <c r="R278">
        <v>5.84</v>
      </c>
      <c r="S278">
        <v>9.33</v>
      </c>
      <c r="T278" t="s">
        <v>2215</v>
      </c>
      <c r="AA278">
        <v>-0.8</v>
      </c>
      <c r="AB278" t="s">
        <v>3514</v>
      </c>
      <c r="AC278" t="s">
        <v>5756</v>
      </c>
      <c r="AD278" t="s">
        <v>5757</v>
      </c>
      <c r="AE278" t="s">
        <v>5758</v>
      </c>
      <c r="AF278" t="s">
        <v>5759</v>
      </c>
      <c r="AG278" t="s">
        <v>5760</v>
      </c>
      <c r="AH278" t="s">
        <v>5761</v>
      </c>
      <c r="AI278" t="s">
        <v>5762</v>
      </c>
      <c r="AJ278" t="s">
        <v>5763</v>
      </c>
      <c r="AK278" t="s">
        <v>5764</v>
      </c>
      <c r="AL278">
        <v>1.99</v>
      </c>
      <c r="AM278">
        <v>1.99</v>
      </c>
      <c r="AN278">
        <v>0.61</v>
      </c>
      <c r="AO278" t="s">
        <v>2758</v>
      </c>
      <c r="AP278" t="s">
        <v>5765</v>
      </c>
      <c r="AQ278" t="s">
        <v>3232</v>
      </c>
      <c r="AR278" t="s">
        <v>1391</v>
      </c>
      <c r="AS278" t="s">
        <v>122</v>
      </c>
      <c r="AT278" t="s">
        <v>1272</v>
      </c>
      <c r="AU278" t="s">
        <v>2082</v>
      </c>
      <c r="AV278" t="s">
        <v>5766</v>
      </c>
      <c r="AW278" t="s">
        <v>5767</v>
      </c>
      <c r="AX278" t="s">
        <v>5394</v>
      </c>
      <c r="AY278" t="s">
        <v>5768</v>
      </c>
      <c r="AZ278" t="s">
        <v>5769</v>
      </c>
      <c r="BA278">
        <v>1.59</v>
      </c>
      <c r="BB278">
        <v>1758.89</v>
      </c>
      <c r="BC278">
        <v>0.25</v>
      </c>
      <c r="BD278">
        <v>85.12</v>
      </c>
      <c r="BE278">
        <v>85.32</v>
      </c>
      <c r="BF278">
        <v>84.5</v>
      </c>
      <c r="BG278" t="s">
        <v>5770</v>
      </c>
      <c r="BH278" t="s">
        <v>5771</v>
      </c>
      <c r="BI278" t="s">
        <v>5772</v>
      </c>
      <c r="BJ278" t="s">
        <v>101</v>
      </c>
      <c r="BK278" t="s">
        <v>1932</v>
      </c>
      <c r="BL278" t="s">
        <v>5773</v>
      </c>
      <c r="BM278" t="s">
        <v>2984</v>
      </c>
      <c r="BN278" t="s">
        <v>4063</v>
      </c>
    </row>
    <row r="279" spans="1:66" x14ac:dyDescent="0.25">
      <c r="A279" t="str">
        <f>HYPERLINK("https://elite.finviz.com/quote.ashx?t=RNG&amp;ty=c&amp;p=d&amp;b=1", "RNG")</f>
        <v>RNG</v>
      </c>
      <c r="B279">
        <v>7</v>
      </c>
      <c r="C279">
        <v>138.38</v>
      </c>
      <c r="D279">
        <v>48.31</v>
      </c>
      <c r="E279" t="s">
        <v>5774</v>
      </c>
      <c r="F279" t="s">
        <v>107</v>
      </c>
      <c r="G279" t="s">
        <v>108</v>
      </c>
      <c r="H279" t="s">
        <v>136</v>
      </c>
      <c r="I279" t="s">
        <v>70</v>
      </c>
      <c r="J279" t="s">
        <v>71</v>
      </c>
      <c r="K279">
        <v>2740.92</v>
      </c>
      <c r="L279">
        <v>30.27</v>
      </c>
      <c r="M279" t="s">
        <v>2560</v>
      </c>
      <c r="N279">
        <v>163247</v>
      </c>
      <c r="P279">
        <v>6.41</v>
      </c>
      <c r="R279">
        <v>1.1200000000000001</v>
      </c>
      <c r="AA279">
        <v>-0.13</v>
      </c>
      <c r="AB279" t="s">
        <v>2453</v>
      </c>
      <c r="AC279" t="s">
        <v>3226</v>
      </c>
      <c r="AD279" t="s">
        <v>2863</v>
      </c>
      <c r="AE279" t="s">
        <v>2066</v>
      </c>
      <c r="AF279" t="s">
        <v>5775</v>
      </c>
      <c r="AG279" t="s">
        <v>2885</v>
      </c>
      <c r="AH279" t="s">
        <v>5685</v>
      </c>
      <c r="AI279" t="s">
        <v>3325</v>
      </c>
      <c r="AJ279" t="s">
        <v>1175</v>
      </c>
      <c r="AK279" t="s">
        <v>5776</v>
      </c>
      <c r="AL279">
        <v>0.51</v>
      </c>
      <c r="AM279">
        <v>0.51</v>
      </c>
      <c r="AO279" t="s">
        <v>1833</v>
      </c>
      <c r="AP279" t="s">
        <v>4677</v>
      </c>
      <c r="AQ279" t="s">
        <v>5777</v>
      </c>
      <c r="AR279" t="s">
        <v>749</v>
      </c>
      <c r="AS279" t="s">
        <v>4499</v>
      </c>
      <c r="AT279" t="s">
        <v>5778</v>
      </c>
      <c r="AU279" t="s">
        <v>5779</v>
      </c>
      <c r="AV279" t="s">
        <v>5780</v>
      </c>
      <c r="AW279" t="s">
        <v>5781</v>
      </c>
      <c r="AX279" t="s">
        <v>5782</v>
      </c>
      <c r="AY279" t="s">
        <v>5783</v>
      </c>
      <c r="AZ279" t="s">
        <v>5784</v>
      </c>
      <c r="BA279">
        <v>2.5</v>
      </c>
      <c r="BB279">
        <v>1759.76</v>
      </c>
      <c r="BC279">
        <v>0.33</v>
      </c>
      <c r="BD279">
        <v>30.22</v>
      </c>
      <c r="BE279">
        <v>30.38</v>
      </c>
      <c r="BF279">
        <v>29.86</v>
      </c>
      <c r="BG279" t="s">
        <v>5785</v>
      </c>
      <c r="BH279" t="s">
        <v>5786</v>
      </c>
      <c r="BI279" t="s">
        <v>5787</v>
      </c>
      <c r="BJ279" t="s">
        <v>101</v>
      </c>
      <c r="BK279" t="s">
        <v>4193</v>
      </c>
      <c r="BL279" t="s">
        <v>5788</v>
      </c>
      <c r="BM279" t="s">
        <v>5789</v>
      </c>
      <c r="BN279" t="s">
        <v>4063</v>
      </c>
    </row>
    <row r="280" spans="1:66" x14ac:dyDescent="0.25">
      <c r="A280" t="str">
        <f>HYPERLINK("https://elite.finviz.com/quote.ashx?t=NOW&amp;ty=c&amp;p=d&amp;b=1", "NOW")</f>
        <v>NOW</v>
      </c>
      <c r="B280">
        <v>7</v>
      </c>
      <c r="C280">
        <v>138.38</v>
      </c>
      <c r="D280">
        <v>48.38</v>
      </c>
      <c r="E280" t="s">
        <v>5790</v>
      </c>
      <c r="F280" t="s">
        <v>195</v>
      </c>
      <c r="G280" t="s">
        <v>108</v>
      </c>
      <c r="H280" t="s">
        <v>136</v>
      </c>
      <c r="I280" t="s">
        <v>70</v>
      </c>
      <c r="J280" t="s">
        <v>71</v>
      </c>
      <c r="K280">
        <v>191607.52</v>
      </c>
      <c r="L280">
        <v>921.19</v>
      </c>
      <c r="M280" t="s">
        <v>193</v>
      </c>
      <c r="N280">
        <v>215012</v>
      </c>
      <c r="O280">
        <v>115.94</v>
      </c>
      <c r="P280">
        <v>45.99</v>
      </c>
      <c r="Q280">
        <v>5.74</v>
      </c>
      <c r="R280">
        <v>15.89</v>
      </c>
      <c r="S280">
        <v>17.489999999999998</v>
      </c>
      <c r="Z280" t="s">
        <v>164</v>
      </c>
      <c r="AA280">
        <v>7.95</v>
      </c>
      <c r="AB280" t="s">
        <v>5791</v>
      </c>
      <c r="AC280" t="s">
        <v>830</v>
      </c>
      <c r="AD280" t="s">
        <v>5792</v>
      </c>
      <c r="AE280" t="s">
        <v>5793</v>
      </c>
      <c r="AF280" t="s">
        <v>5041</v>
      </c>
      <c r="AG280" t="s">
        <v>3397</v>
      </c>
      <c r="AH280" t="s">
        <v>5794</v>
      </c>
      <c r="AI280" t="s">
        <v>5795</v>
      </c>
      <c r="AJ280" t="s">
        <v>900</v>
      </c>
      <c r="AK280" t="s">
        <v>5796</v>
      </c>
      <c r="AL280">
        <v>1.03</v>
      </c>
      <c r="AM280">
        <v>1.03</v>
      </c>
      <c r="AN280">
        <v>0.22</v>
      </c>
      <c r="AO280" t="s">
        <v>5797</v>
      </c>
      <c r="AP280" t="s">
        <v>3955</v>
      </c>
      <c r="AQ280" t="s">
        <v>5798</v>
      </c>
      <c r="AR280" t="s">
        <v>2496</v>
      </c>
      <c r="AS280" t="s">
        <v>4154</v>
      </c>
      <c r="AT280" t="s">
        <v>3113</v>
      </c>
      <c r="AU280" t="s">
        <v>2275</v>
      </c>
      <c r="AV280" t="s">
        <v>4673</v>
      </c>
      <c r="AW280" t="s">
        <v>3838</v>
      </c>
      <c r="AX280" t="s">
        <v>419</v>
      </c>
      <c r="AY280" t="s">
        <v>5799</v>
      </c>
      <c r="AZ280" t="s">
        <v>5800</v>
      </c>
      <c r="BA280">
        <v>1.35</v>
      </c>
      <c r="BB280">
        <v>1626.12</v>
      </c>
      <c r="BC280">
        <v>0.47</v>
      </c>
      <c r="BD280">
        <v>918.61</v>
      </c>
      <c r="BE280">
        <v>926.32</v>
      </c>
      <c r="BF280">
        <v>916.7</v>
      </c>
      <c r="BG280" t="s">
        <v>5801</v>
      </c>
      <c r="BH280" t="s">
        <v>5799</v>
      </c>
      <c r="BI280" t="s">
        <v>5802</v>
      </c>
      <c r="BJ280" t="s">
        <v>101</v>
      </c>
      <c r="BK280" t="s">
        <v>2396</v>
      </c>
      <c r="BL280" t="s">
        <v>2517</v>
      </c>
      <c r="BM280" t="s">
        <v>2402</v>
      </c>
      <c r="BN280" t="s">
        <v>4063</v>
      </c>
    </row>
    <row r="281" spans="1:66" x14ac:dyDescent="0.25">
      <c r="A281" t="str">
        <f>HYPERLINK("https://elite.finviz.com/quote.ashx?t=SRPT&amp;ty=c&amp;p=d&amp;b=1", "SRPT")</f>
        <v>SRPT</v>
      </c>
      <c r="B281">
        <v>7</v>
      </c>
      <c r="C281">
        <v>138.38</v>
      </c>
      <c r="D281">
        <v>48.44</v>
      </c>
      <c r="E281" t="s">
        <v>5803</v>
      </c>
      <c r="F281" t="s">
        <v>107</v>
      </c>
      <c r="G281" t="s">
        <v>428</v>
      </c>
      <c r="H281" t="s">
        <v>429</v>
      </c>
      <c r="I281" t="s">
        <v>70</v>
      </c>
      <c r="J281" t="s">
        <v>321</v>
      </c>
      <c r="K281">
        <v>1748.09</v>
      </c>
      <c r="L281">
        <v>17.89</v>
      </c>
      <c r="M281" t="s">
        <v>4759</v>
      </c>
      <c r="N281">
        <v>923220</v>
      </c>
      <c r="P281">
        <v>8.02</v>
      </c>
      <c r="R281">
        <v>0.7</v>
      </c>
      <c r="S281">
        <v>1.29</v>
      </c>
      <c r="Z281" t="s">
        <v>164</v>
      </c>
      <c r="AA281">
        <v>-0.76</v>
      </c>
      <c r="AD281" t="s">
        <v>3173</v>
      </c>
      <c r="AE281" t="s">
        <v>5804</v>
      </c>
      <c r="AF281" t="s">
        <v>359</v>
      </c>
      <c r="AG281" t="s">
        <v>5805</v>
      </c>
      <c r="AH281" t="s">
        <v>5806</v>
      </c>
      <c r="AI281" t="s">
        <v>2599</v>
      </c>
      <c r="AJ281" t="s">
        <v>164</v>
      </c>
      <c r="AK281" t="s">
        <v>5807</v>
      </c>
      <c r="AL281">
        <v>2.89</v>
      </c>
      <c r="AM281">
        <v>1.81</v>
      </c>
      <c r="AN281">
        <v>1</v>
      </c>
      <c r="AO281" t="s">
        <v>5808</v>
      </c>
      <c r="AP281" t="s">
        <v>3227</v>
      </c>
      <c r="AQ281" t="s">
        <v>5809</v>
      </c>
      <c r="AR281" t="s">
        <v>3530</v>
      </c>
      <c r="AS281" t="s">
        <v>636</v>
      </c>
      <c r="AT281" t="s">
        <v>337</v>
      </c>
      <c r="AU281" t="s">
        <v>2202</v>
      </c>
      <c r="AV281" t="s">
        <v>5810</v>
      </c>
      <c r="AW281" t="s">
        <v>2930</v>
      </c>
      <c r="AX281" t="s">
        <v>5811</v>
      </c>
      <c r="AY281" t="s">
        <v>5812</v>
      </c>
      <c r="AZ281" t="s">
        <v>5811</v>
      </c>
      <c r="BA281">
        <v>2.85</v>
      </c>
      <c r="BB281">
        <v>11965.29</v>
      </c>
      <c r="BC281">
        <v>0.27</v>
      </c>
      <c r="BD281">
        <v>17.72</v>
      </c>
      <c r="BE281">
        <v>17.98</v>
      </c>
      <c r="BF281">
        <v>17.57</v>
      </c>
      <c r="BG281" t="s">
        <v>5813</v>
      </c>
      <c r="BH281" t="s">
        <v>5814</v>
      </c>
      <c r="BI281" t="s">
        <v>5815</v>
      </c>
      <c r="BJ281" t="s">
        <v>101</v>
      </c>
      <c r="BK281" t="s">
        <v>371</v>
      </c>
      <c r="BL281" t="s">
        <v>5816</v>
      </c>
      <c r="BM281" t="s">
        <v>5817</v>
      </c>
      <c r="BN281" t="s">
        <v>4063</v>
      </c>
    </row>
    <row r="282" spans="1:66" x14ac:dyDescent="0.25">
      <c r="A282" t="str">
        <f>HYPERLINK("https://elite.finviz.com/quote.ashx?t=TEM&amp;ty=c&amp;p=d&amp;b=1", "TEM")</f>
        <v>TEM</v>
      </c>
      <c r="B282">
        <v>7</v>
      </c>
      <c r="C282">
        <v>138.38</v>
      </c>
      <c r="D282">
        <v>48.44</v>
      </c>
      <c r="E282" t="s">
        <v>5818</v>
      </c>
      <c r="F282" t="s">
        <v>107</v>
      </c>
      <c r="G282" t="s">
        <v>428</v>
      </c>
      <c r="H282" t="s">
        <v>2075</v>
      </c>
      <c r="I282" t="s">
        <v>70</v>
      </c>
      <c r="J282" t="s">
        <v>321</v>
      </c>
      <c r="K282">
        <v>13635.87</v>
      </c>
      <c r="L282">
        <v>78.489999999999995</v>
      </c>
      <c r="M282" t="s">
        <v>4780</v>
      </c>
      <c r="N282">
        <v>2668430</v>
      </c>
      <c r="R282">
        <v>14.32</v>
      </c>
      <c r="S282">
        <v>44.02</v>
      </c>
      <c r="AA282">
        <v>-1.18</v>
      </c>
      <c r="AB282" t="s">
        <v>5819</v>
      </c>
      <c r="AC282" t="s">
        <v>5820</v>
      </c>
      <c r="AE282" t="s">
        <v>5821</v>
      </c>
      <c r="AF282" t="s">
        <v>3137</v>
      </c>
      <c r="AG282" t="s">
        <v>5822</v>
      </c>
      <c r="AH282" t="s">
        <v>5823</v>
      </c>
      <c r="AI282" t="s">
        <v>1449</v>
      </c>
      <c r="AJ282" t="s">
        <v>5824</v>
      </c>
      <c r="AK282" t="s">
        <v>5825</v>
      </c>
      <c r="AL282">
        <v>1.54</v>
      </c>
      <c r="AM282">
        <v>1.43</v>
      </c>
      <c r="AN282">
        <v>2.76</v>
      </c>
      <c r="AO282" t="s">
        <v>5503</v>
      </c>
      <c r="AP282" t="s">
        <v>5826</v>
      </c>
      <c r="AQ282" t="s">
        <v>5827</v>
      </c>
      <c r="AR282" t="s">
        <v>5700</v>
      </c>
      <c r="AS282" t="s">
        <v>506</v>
      </c>
      <c r="AT282" t="s">
        <v>4528</v>
      </c>
      <c r="AU282" t="s">
        <v>1927</v>
      </c>
      <c r="AV282" t="s">
        <v>725</v>
      </c>
      <c r="AW282" t="s">
        <v>5828</v>
      </c>
      <c r="AX282" t="s">
        <v>5829</v>
      </c>
      <c r="AY282" t="s">
        <v>5828</v>
      </c>
      <c r="AZ282" t="s">
        <v>5830</v>
      </c>
      <c r="BA282">
        <v>2</v>
      </c>
      <c r="BB282">
        <v>10130.99</v>
      </c>
      <c r="BC282">
        <v>0.93</v>
      </c>
      <c r="BD282">
        <v>77.33</v>
      </c>
      <c r="BE282">
        <v>79.88</v>
      </c>
      <c r="BF282">
        <v>77.569999999999993</v>
      </c>
      <c r="BG282" t="s">
        <v>5831</v>
      </c>
      <c r="BH282" t="s">
        <v>5828</v>
      </c>
      <c r="BI282" t="s">
        <v>5832</v>
      </c>
      <c r="BJ282" t="s">
        <v>101</v>
      </c>
      <c r="BK282" t="s">
        <v>339</v>
      </c>
      <c r="BL282" t="s">
        <v>5833</v>
      </c>
      <c r="BM282" t="s">
        <v>5834</v>
      </c>
      <c r="BN282" t="s">
        <v>4063</v>
      </c>
    </row>
    <row r="283" spans="1:66" x14ac:dyDescent="0.25">
      <c r="A283" t="str">
        <f>HYPERLINK("https://elite.finviz.com/quote.ashx?t=ADBE&amp;ty=c&amp;p=d&amp;b=1", "ADBE")</f>
        <v>ADBE</v>
      </c>
      <c r="B283">
        <v>7</v>
      </c>
      <c r="C283">
        <v>138.38</v>
      </c>
      <c r="D283">
        <v>48.46</v>
      </c>
      <c r="E283" t="s">
        <v>5835</v>
      </c>
      <c r="F283" t="s">
        <v>319</v>
      </c>
      <c r="G283" t="s">
        <v>108</v>
      </c>
      <c r="H283" t="s">
        <v>136</v>
      </c>
      <c r="I283" t="s">
        <v>70</v>
      </c>
      <c r="J283" t="s">
        <v>321</v>
      </c>
      <c r="K283">
        <v>148423.01</v>
      </c>
      <c r="L283">
        <v>354.57</v>
      </c>
      <c r="M283" t="s">
        <v>2275</v>
      </c>
      <c r="N283">
        <v>819615</v>
      </c>
      <c r="O283">
        <v>22.09</v>
      </c>
      <c r="P283">
        <v>15.17</v>
      </c>
      <c r="Q283">
        <v>1.74</v>
      </c>
      <c r="R283">
        <v>6.4</v>
      </c>
      <c r="S283">
        <v>12.65</v>
      </c>
      <c r="V283" t="s">
        <v>5836</v>
      </c>
      <c r="Z283" t="s">
        <v>164</v>
      </c>
      <c r="AA283">
        <v>16.05</v>
      </c>
      <c r="AB283" t="s">
        <v>1653</v>
      </c>
      <c r="AC283" t="s">
        <v>5262</v>
      </c>
      <c r="AD283" t="s">
        <v>5837</v>
      </c>
      <c r="AE283" t="s">
        <v>5838</v>
      </c>
      <c r="AF283" t="s">
        <v>5839</v>
      </c>
      <c r="AG283" t="s">
        <v>5840</v>
      </c>
      <c r="AH283" t="s">
        <v>5841</v>
      </c>
      <c r="AI283" t="s">
        <v>92</v>
      </c>
      <c r="AJ283" t="s">
        <v>3598</v>
      </c>
      <c r="AK283" t="s">
        <v>5842</v>
      </c>
      <c r="AL283">
        <v>1.02</v>
      </c>
      <c r="AM283">
        <v>1.02</v>
      </c>
      <c r="AN283">
        <v>0.56000000000000005</v>
      </c>
      <c r="AO283" t="s">
        <v>5843</v>
      </c>
      <c r="AP283" t="s">
        <v>5844</v>
      </c>
      <c r="AQ283" t="s">
        <v>5845</v>
      </c>
      <c r="AR283" t="s">
        <v>2202</v>
      </c>
      <c r="AS283" t="s">
        <v>4658</v>
      </c>
      <c r="AT283" t="s">
        <v>2215</v>
      </c>
      <c r="AU283" t="s">
        <v>2468</v>
      </c>
      <c r="AV283" t="s">
        <v>5846</v>
      </c>
      <c r="AW283" t="s">
        <v>5584</v>
      </c>
      <c r="AX283" t="s">
        <v>5847</v>
      </c>
      <c r="AY283" t="s">
        <v>5848</v>
      </c>
      <c r="AZ283" t="s">
        <v>5847</v>
      </c>
      <c r="BA283">
        <v>1.81</v>
      </c>
      <c r="BB283">
        <v>4243.79</v>
      </c>
      <c r="BC283">
        <v>0.68</v>
      </c>
      <c r="BD283">
        <v>354.16</v>
      </c>
      <c r="BE283">
        <v>358.21</v>
      </c>
      <c r="BF283">
        <v>352.77</v>
      </c>
      <c r="BG283" t="s">
        <v>5849</v>
      </c>
      <c r="BH283" t="s">
        <v>5850</v>
      </c>
      <c r="BI283" t="s">
        <v>5851</v>
      </c>
      <c r="BJ283" t="s">
        <v>101</v>
      </c>
      <c r="BK283" t="s">
        <v>5852</v>
      </c>
      <c r="BL283" t="s">
        <v>5853</v>
      </c>
      <c r="BM283" t="s">
        <v>5854</v>
      </c>
      <c r="BN283" t="s">
        <v>4063</v>
      </c>
    </row>
    <row r="284" spans="1:66" x14ac:dyDescent="0.25">
      <c r="A284" t="str">
        <f>HYPERLINK("https://elite.finviz.com/quote.ashx?t=AAOI&amp;ty=c&amp;p=d&amp;b=1", "AAOI")</f>
        <v>AAOI</v>
      </c>
      <c r="B284">
        <v>7</v>
      </c>
      <c r="C284">
        <v>138.38</v>
      </c>
      <c r="D284">
        <v>48.46</v>
      </c>
      <c r="E284" t="s">
        <v>5855</v>
      </c>
      <c r="F284" t="s">
        <v>67</v>
      </c>
      <c r="G284" t="s">
        <v>108</v>
      </c>
      <c r="H284" t="s">
        <v>1921</v>
      </c>
      <c r="I284" t="s">
        <v>70</v>
      </c>
      <c r="J284" t="s">
        <v>321</v>
      </c>
      <c r="K284">
        <v>1618.1</v>
      </c>
      <c r="L284">
        <v>25.94</v>
      </c>
      <c r="M284" t="s">
        <v>600</v>
      </c>
      <c r="N284">
        <v>1063477</v>
      </c>
      <c r="P284">
        <v>33.6</v>
      </c>
      <c r="R284">
        <v>4.3899999999999997</v>
      </c>
      <c r="S284">
        <v>3.78</v>
      </c>
      <c r="AA284">
        <v>-3.36</v>
      </c>
      <c r="AB284" t="s">
        <v>5856</v>
      </c>
      <c r="AC284" t="s">
        <v>5857</v>
      </c>
      <c r="AE284" t="s">
        <v>5858</v>
      </c>
      <c r="AF284" t="s">
        <v>3983</v>
      </c>
      <c r="AG284" t="s">
        <v>5859</v>
      </c>
      <c r="AH284" t="s">
        <v>5860</v>
      </c>
      <c r="AI284" t="s">
        <v>5861</v>
      </c>
      <c r="AJ284" t="s">
        <v>4539</v>
      </c>
      <c r="AK284" t="s">
        <v>5862</v>
      </c>
      <c r="AL284">
        <v>2.11</v>
      </c>
      <c r="AM284">
        <v>1.47</v>
      </c>
      <c r="AN284">
        <v>0.5</v>
      </c>
      <c r="AO284" t="s">
        <v>1875</v>
      </c>
      <c r="AP284" t="s">
        <v>5863</v>
      </c>
      <c r="AQ284" t="s">
        <v>449</v>
      </c>
      <c r="AR284" t="s">
        <v>5864</v>
      </c>
      <c r="AS284" t="s">
        <v>3100</v>
      </c>
      <c r="AT284" t="s">
        <v>1080</v>
      </c>
      <c r="AU284" t="s">
        <v>2384</v>
      </c>
      <c r="AV284" t="s">
        <v>5865</v>
      </c>
      <c r="AW284" t="s">
        <v>5866</v>
      </c>
      <c r="AX284" t="s">
        <v>5867</v>
      </c>
      <c r="AY284" t="s">
        <v>5868</v>
      </c>
      <c r="AZ284" t="s">
        <v>5869</v>
      </c>
      <c r="BA284">
        <v>1.75</v>
      </c>
      <c r="BB284">
        <v>5105.6899999999996</v>
      </c>
      <c r="BC284">
        <v>0.73</v>
      </c>
      <c r="BD284">
        <v>26.34</v>
      </c>
      <c r="BE284">
        <v>26.44</v>
      </c>
      <c r="BF284">
        <v>25.45</v>
      </c>
      <c r="BG284" t="s">
        <v>5870</v>
      </c>
      <c r="BH284" t="s">
        <v>5871</v>
      </c>
      <c r="BI284" t="s">
        <v>5872</v>
      </c>
      <c r="BJ284" t="s">
        <v>101</v>
      </c>
      <c r="BK284" t="s">
        <v>2276</v>
      </c>
      <c r="BL284" t="s">
        <v>5873</v>
      </c>
      <c r="BM284" t="s">
        <v>5874</v>
      </c>
      <c r="BN284" t="s">
        <v>4063</v>
      </c>
    </row>
    <row r="285" spans="1:66" x14ac:dyDescent="0.25">
      <c r="A285" t="str">
        <f>HYPERLINK("https://elite.finviz.com/quote.ashx?t=HBAN&amp;ty=c&amp;p=d&amp;b=1", "HBAN")</f>
        <v>HBAN</v>
      </c>
      <c r="B285">
        <v>7</v>
      </c>
      <c r="C285">
        <v>138.38</v>
      </c>
      <c r="D285">
        <v>48.49</v>
      </c>
      <c r="E285" t="s">
        <v>5875</v>
      </c>
      <c r="F285" t="s">
        <v>195</v>
      </c>
      <c r="G285" t="s">
        <v>550</v>
      </c>
      <c r="H285" t="s">
        <v>697</v>
      </c>
      <c r="I285" t="s">
        <v>70</v>
      </c>
      <c r="J285" t="s">
        <v>321</v>
      </c>
      <c r="K285">
        <v>25411.14</v>
      </c>
      <c r="L285">
        <v>17.329999999999998</v>
      </c>
      <c r="M285" t="s">
        <v>1324</v>
      </c>
      <c r="N285">
        <v>5791281</v>
      </c>
      <c r="O285">
        <v>12.91</v>
      </c>
      <c r="P285">
        <v>10.82</v>
      </c>
      <c r="Q285">
        <v>0.94</v>
      </c>
      <c r="R285">
        <v>2.1</v>
      </c>
      <c r="S285">
        <v>1.34</v>
      </c>
      <c r="T285" t="s">
        <v>891</v>
      </c>
      <c r="U285">
        <v>0.62</v>
      </c>
      <c r="V285" t="s">
        <v>5673</v>
      </c>
      <c r="W285" t="s">
        <v>164</v>
      </c>
      <c r="X285" t="s">
        <v>1837</v>
      </c>
      <c r="Y285" t="s">
        <v>2185</v>
      </c>
      <c r="Z285" t="s">
        <v>5876</v>
      </c>
      <c r="AA285">
        <v>1.34</v>
      </c>
      <c r="AB285" t="s">
        <v>5877</v>
      </c>
      <c r="AC285" t="s">
        <v>1574</v>
      </c>
      <c r="AD285" t="s">
        <v>4621</v>
      </c>
      <c r="AE285" t="s">
        <v>3951</v>
      </c>
      <c r="AF285" t="s">
        <v>116</v>
      </c>
      <c r="AG285" t="s">
        <v>5239</v>
      </c>
      <c r="AH285" t="s">
        <v>2449</v>
      </c>
      <c r="AI285" t="s">
        <v>3757</v>
      </c>
      <c r="AJ285" t="s">
        <v>525</v>
      </c>
      <c r="AK285" t="s">
        <v>5878</v>
      </c>
      <c r="AL285">
        <v>0.09</v>
      </c>
      <c r="AN285">
        <v>0.86</v>
      </c>
      <c r="AP285" t="s">
        <v>2956</v>
      </c>
      <c r="AQ285" t="s">
        <v>2788</v>
      </c>
      <c r="AR285" t="s">
        <v>4946</v>
      </c>
      <c r="AS285" t="s">
        <v>909</v>
      </c>
      <c r="AT285" t="s">
        <v>5879</v>
      </c>
      <c r="AU285" t="s">
        <v>2082</v>
      </c>
      <c r="AV285" t="s">
        <v>5739</v>
      </c>
      <c r="AW285" t="s">
        <v>156</v>
      </c>
      <c r="AX285" t="s">
        <v>4835</v>
      </c>
      <c r="AY285" t="s">
        <v>5880</v>
      </c>
      <c r="AZ285" t="s">
        <v>5881</v>
      </c>
      <c r="BA285">
        <v>1.76</v>
      </c>
      <c r="BB285">
        <v>31234.400000000001</v>
      </c>
      <c r="BC285">
        <v>0.65</v>
      </c>
      <c r="BD285">
        <v>17.32</v>
      </c>
      <c r="BE285">
        <v>17.57</v>
      </c>
      <c r="BF285">
        <v>17.3</v>
      </c>
      <c r="BG285" t="s">
        <v>5882</v>
      </c>
      <c r="BH285" t="s">
        <v>5883</v>
      </c>
      <c r="BI285" t="s">
        <v>5884</v>
      </c>
      <c r="BJ285" t="s">
        <v>101</v>
      </c>
      <c r="BK285" t="s">
        <v>5885</v>
      </c>
      <c r="BL285" t="s">
        <v>3405</v>
      </c>
      <c r="BM285" t="s">
        <v>5886</v>
      </c>
      <c r="BN285" t="s">
        <v>4063</v>
      </c>
    </row>
    <row r="286" spans="1:66" x14ac:dyDescent="0.25">
      <c r="A286" t="str">
        <f>HYPERLINK("https://elite.finviz.com/quote.ashx?t=CVNA&amp;ty=c&amp;p=d&amp;b=1", "CVNA")</f>
        <v>CVNA</v>
      </c>
      <c r="B286">
        <v>7</v>
      </c>
      <c r="C286">
        <v>138.38</v>
      </c>
      <c r="D286">
        <v>48.5</v>
      </c>
      <c r="E286" t="s">
        <v>5887</v>
      </c>
      <c r="F286" t="s">
        <v>107</v>
      </c>
      <c r="G286" t="s">
        <v>813</v>
      </c>
      <c r="H286" t="s">
        <v>5888</v>
      </c>
      <c r="I286" t="s">
        <v>70</v>
      </c>
      <c r="J286" t="s">
        <v>71</v>
      </c>
      <c r="K286">
        <v>78678.38</v>
      </c>
      <c r="L286">
        <v>365.6</v>
      </c>
      <c r="M286" t="s">
        <v>5070</v>
      </c>
      <c r="N286">
        <v>609625</v>
      </c>
      <c r="O286">
        <v>91.54</v>
      </c>
      <c r="P286">
        <v>56.74</v>
      </c>
      <c r="Q286">
        <v>1.44</v>
      </c>
      <c r="R286">
        <v>4.83</v>
      </c>
      <c r="S286">
        <v>28.85</v>
      </c>
      <c r="Z286" t="s">
        <v>164</v>
      </c>
      <c r="AA286">
        <v>3.99</v>
      </c>
      <c r="AD286" t="s">
        <v>5889</v>
      </c>
      <c r="AE286" t="s">
        <v>5890</v>
      </c>
      <c r="AF286" t="s">
        <v>633</v>
      </c>
      <c r="AG286" t="s">
        <v>5891</v>
      </c>
      <c r="AH286" t="s">
        <v>5892</v>
      </c>
      <c r="AI286" t="s">
        <v>5893</v>
      </c>
      <c r="AJ286" t="s">
        <v>2068</v>
      </c>
      <c r="AK286" t="s">
        <v>4597</v>
      </c>
      <c r="AL286">
        <v>4</v>
      </c>
      <c r="AM286">
        <v>2.58</v>
      </c>
      <c r="AN286">
        <v>3.61</v>
      </c>
      <c r="AO286" t="s">
        <v>5894</v>
      </c>
      <c r="AP286" t="s">
        <v>2363</v>
      </c>
      <c r="AQ286" t="s">
        <v>4394</v>
      </c>
      <c r="AR286" t="s">
        <v>4142</v>
      </c>
      <c r="AS286" t="s">
        <v>1100</v>
      </c>
      <c r="AT286" t="s">
        <v>5895</v>
      </c>
      <c r="AU286" t="s">
        <v>2219</v>
      </c>
      <c r="AV286" t="s">
        <v>5896</v>
      </c>
      <c r="AW286" t="s">
        <v>1450</v>
      </c>
      <c r="AX286" t="s">
        <v>5897</v>
      </c>
      <c r="AY286" t="s">
        <v>1450</v>
      </c>
      <c r="AZ286" t="s">
        <v>5898</v>
      </c>
      <c r="BA286">
        <v>1.96</v>
      </c>
      <c r="BB286">
        <v>2906.38</v>
      </c>
      <c r="BC286">
        <v>0.74</v>
      </c>
      <c r="BD286">
        <v>371.38</v>
      </c>
      <c r="BE286">
        <v>372.99</v>
      </c>
      <c r="BF286">
        <v>360.53</v>
      </c>
      <c r="BG286" t="s">
        <v>5899</v>
      </c>
      <c r="BH286" t="s">
        <v>1450</v>
      </c>
      <c r="BI286" t="s">
        <v>5900</v>
      </c>
      <c r="BJ286" t="s">
        <v>101</v>
      </c>
      <c r="BK286" t="s">
        <v>5901</v>
      </c>
      <c r="BL286" t="s">
        <v>5902</v>
      </c>
      <c r="BM286" t="s">
        <v>5903</v>
      </c>
      <c r="BN286" t="s">
        <v>4063</v>
      </c>
    </row>
    <row r="287" spans="1:66" x14ac:dyDescent="0.25">
      <c r="A287" t="str">
        <f>HYPERLINK("https://elite.finviz.com/quote.ashx?t=SGN&amp;ty=c&amp;p=d&amp;b=1", "SGN")</f>
        <v>SGN</v>
      </c>
      <c r="B287">
        <v>7</v>
      </c>
      <c r="C287">
        <v>138.38</v>
      </c>
      <c r="D287">
        <v>48.52</v>
      </c>
      <c r="E287" t="s">
        <v>5904</v>
      </c>
      <c r="F287" t="s">
        <v>107</v>
      </c>
      <c r="G287" t="s">
        <v>108</v>
      </c>
      <c r="H287" t="s">
        <v>136</v>
      </c>
      <c r="I287" t="s">
        <v>70</v>
      </c>
      <c r="J287" t="s">
        <v>383</v>
      </c>
      <c r="K287">
        <v>6.93</v>
      </c>
      <c r="L287">
        <v>1.76</v>
      </c>
      <c r="M287" t="s">
        <v>1892</v>
      </c>
      <c r="N287">
        <v>40574</v>
      </c>
      <c r="R287">
        <v>17.78</v>
      </c>
      <c r="S287">
        <v>18.96</v>
      </c>
      <c r="AA287">
        <v>-8.86</v>
      </c>
      <c r="AB287" t="s">
        <v>5743</v>
      </c>
      <c r="AE287" t="s">
        <v>5905</v>
      </c>
      <c r="AF287" t="s">
        <v>4693</v>
      </c>
      <c r="AH287" t="s">
        <v>5906</v>
      </c>
      <c r="AJ287" t="s">
        <v>164</v>
      </c>
      <c r="AK287" t="s">
        <v>5907</v>
      </c>
      <c r="AL287">
        <v>0.69</v>
      </c>
      <c r="AM287">
        <v>0.69</v>
      </c>
      <c r="AN287">
        <v>0.28000000000000003</v>
      </c>
      <c r="AO287" t="s">
        <v>5908</v>
      </c>
      <c r="AP287" t="s">
        <v>5909</v>
      </c>
      <c r="AQ287" t="s">
        <v>5910</v>
      </c>
      <c r="AR287" t="s">
        <v>5911</v>
      </c>
      <c r="AS287" t="s">
        <v>5912</v>
      </c>
      <c r="AT287" t="s">
        <v>5913</v>
      </c>
      <c r="AU287" t="s">
        <v>4254</v>
      </c>
      <c r="AV287" t="s">
        <v>5914</v>
      </c>
      <c r="AW287" t="s">
        <v>5915</v>
      </c>
      <c r="AX287" t="s">
        <v>5916</v>
      </c>
      <c r="AY287" t="s">
        <v>5917</v>
      </c>
      <c r="AZ287" t="s">
        <v>5918</v>
      </c>
      <c r="BB287">
        <v>2486.42</v>
      </c>
      <c r="BC287">
        <v>0.06</v>
      </c>
      <c r="BD287">
        <v>1.87</v>
      </c>
      <c r="BE287">
        <v>1.82</v>
      </c>
      <c r="BF287">
        <v>1.74</v>
      </c>
      <c r="BG287" t="s">
        <v>5919</v>
      </c>
      <c r="BH287" t="s">
        <v>5920</v>
      </c>
      <c r="BI287" t="s">
        <v>5918</v>
      </c>
      <c r="BJ287" t="s">
        <v>101</v>
      </c>
      <c r="BK287" t="s">
        <v>5921</v>
      </c>
      <c r="BL287" t="s">
        <v>5922</v>
      </c>
      <c r="BM287" t="s">
        <v>5923</v>
      </c>
      <c r="BN287" t="s">
        <v>4063</v>
      </c>
    </row>
    <row r="288" spans="1:66" x14ac:dyDescent="0.25">
      <c r="A288" t="str">
        <f>HYPERLINK("https://elite.finviz.com/quote.ashx?t=PHM&amp;ty=c&amp;p=d&amp;b=1", "PHM")</f>
        <v>PHM</v>
      </c>
      <c r="B288">
        <v>7</v>
      </c>
      <c r="C288">
        <v>138.38</v>
      </c>
      <c r="D288">
        <v>48.53</v>
      </c>
      <c r="E288" t="s">
        <v>5924</v>
      </c>
      <c r="F288" t="s">
        <v>195</v>
      </c>
      <c r="G288" t="s">
        <v>813</v>
      </c>
      <c r="H288" t="s">
        <v>5054</v>
      </c>
      <c r="I288" t="s">
        <v>70</v>
      </c>
      <c r="J288" t="s">
        <v>71</v>
      </c>
      <c r="K288">
        <v>25735.5</v>
      </c>
      <c r="L288">
        <v>130.44</v>
      </c>
      <c r="M288" t="s">
        <v>4881</v>
      </c>
      <c r="N288">
        <v>176957</v>
      </c>
      <c r="O288">
        <v>9.75</v>
      </c>
      <c r="P288">
        <v>11.31</v>
      </c>
      <c r="R288">
        <v>1.45</v>
      </c>
      <c r="S288">
        <v>2.0499999999999998</v>
      </c>
      <c r="T288" t="s">
        <v>4782</v>
      </c>
      <c r="U288">
        <v>0.88</v>
      </c>
      <c r="V288" t="s">
        <v>5925</v>
      </c>
      <c r="W288" t="s">
        <v>1531</v>
      </c>
      <c r="X288" t="s">
        <v>1369</v>
      </c>
      <c r="Y288" t="s">
        <v>2291</v>
      </c>
      <c r="Z288" t="s">
        <v>3057</v>
      </c>
      <c r="AA288">
        <v>13.38</v>
      </c>
      <c r="AB288" t="s">
        <v>5926</v>
      </c>
      <c r="AC288" t="s">
        <v>5927</v>
      </c>
      <c r="AD288" t="s">
        <v>5928</v>
      </c>
      <c r="AE288" t="s">
        <v>2429</v>
      </c>
      <c r="AF288" t="s">
        <v>1822</v>
      </c>
      <c r="AG288" t="s">
        <v>3644</v>
      </c>
      <c r="AH288" t="s">
        <v>818</v>
      </c>
      <c r="AI288" t="s">
        <v>5929</v>
      </c>
      <c r="AJ288" t="s">
        <v>196</v>
      </c>
      <c r="AK288" t="s">
        <v>5930</v>
      </c>
      <c r="AL288">
        <v>5.15</v>
      </c>
      <c r="AM288">
        <v>0.45</v>
      </c>
      <c r="AN288">
        <v>0.18</v>
      </c>
      <c r="AO288" t="s">
        <v>5931</v>
      </c>
      <c r="AP288" t="s">
        <v>2040</v>
      </c>
      <c r="AQ288" t="s">
        <v>644</v>
      </c>
      <c r="AR288" t="s">
        <v>2619</v>
      </c>
      <c r="AS288" t="s">
        <v>213</v>
      </c>
      <c r="AT288" t="s">
        <v>4711</v>
      </c>
      <c r="AU288" t="s">
        <v>4216</v>
      </c>
      <c r="AV288" t="s">
        <v>3103</v>
      </c>
      <c r="AW288" t="s">
        <v>5932</v>
      </c>
      <c r="AX288" t="s">
        <v>5933</v>
      </c>
      <c r="AY288" t="s">
        <v>5934</v>
      </c>
      <c r="AZ288" t="s">
        <v>5935</v>
      </c>
      <c r="BA288">
        <v>1.83</v>
      </c>
      <c r="BB288">
        <v>2191.6999999999998</v>
      </c>
      <c r="BC288">
        <v>0.28000000000000003</v>
      </c>
      <c r="BD288">
        <v>128.74</v>
      </c>
      <c r="BE288">
        <v>130.72</v>
      </c>
      <c r="BF288">
        <v>128.99</v>
      </c>
      <c r="BG288" t="s">
        <v>5936</v>
      </c>
      <c r="BH288" t="s">
        <v>5934</v>
      </c>
      <c r="BI288" t="s">
        <v>5937</v>
      </c>
      <c r="BJ288" t="s">
        <v>101</v>
      </c>
      <c r="BK288" t="s">
        <v>5938</v>
      </c>
      <c r="BL288" t="s">
        <v>1185</v>
      </c>
      <c r="BM288" t="s">
        <v>5939</v>
      </c>
      <c r="BN288" t="s">
        <v>4063</v>
      </c>
    </row>
    <row r="289" spans="1:66" x14ac:dyDescent="0.25">
      <c r="A289" t="str">
        <f>HYPERLINK("https://elite.finviz.com/quote.ashx?t=HWH&amp;ty=c&amp;p=d&amp;b=1", "HWH")</f>
        <v>HWH</v>
      </c>
      <c r="B289">
        <v>7</v>
      </c>
      <c r="C289">
        <v>138.38</v>
      </c>
      <c r="D289">
        <v>48.55</v>
      </c>
      <c r="E289" t="s">
        <v>5940</v>
      </c>
      <c r="F289" t="s">
        <v>107</v>
      </c>
      <c r="G289" t="s">
        <v>813</v>
      </c>
      <c r="H289" t="s">
        <v>5941</v>
      </c>
      <c r="I289" t="s">
        <v>70</v>
      </c>
      <c r="J289" t="s">
        <v>321</v>
      </c>
      <c r="K289">
        <v>17.54</v>
      </c>
      <c r="L289">
        <v>2.71</v>
      </c>
      <c r="M289" t="s">
        <v>241</v>
      </c>
      <c r="N289">
        <v>15984</v>
      </c>
      <c r="R289">
        <v>14.15</v>
      </c>
      <c r="S289">
        <v>5.44</v>
      </c>
      <c r="AA289">
        <v>-0.3</v>
      </c>
      <c r="AB289" t="s">
        <v>5942</v>
      </c>
      <c r="AE289" t="s">
        <v>5943</v>
      </c>
      <c r="AH289" t="s">
        <v>2335</v>
      </c>
      <c r="AJ289" t="s">
        <v>164</v>
      </c>
      <c r="AK289" t="s">
        <v>5944</v>
      </c>
      <c r="AL289">
        <v>1.28</v>
      </c>
      <c r="AM289">
        <v>1.28</v>
      </c>
      <c r="AN289">
        <v>0.41</v>
      </c>
      <c r="AO289" t="s">
        <v>5945</v>
      </c>
      <c r="AP289" t="s">
        <v>5946</v>
      </c>
      <c r="AQ289" t="s">
        <v>5947</v>
      </c>
      <c r="AR289" t="s">
        <v>291</v>
      </c>
      <c r="AS289" t="s">
        <v>5948</v>
      </c>
      <c r="AT289" t="s">
        <v>5949</v>
      </c>
      <c r="AU289" t="s">
        <v>5950</v>
      </c>
      <c r="AV289" t="s">
        <v>5951</v>
      </c>
      <c r="AW289" t="s">
        <v>5952</v>
      </c>
      <c r="AX289" t="s">
        <v>5953</v>
      </c>
      <c r="AY289" t="s">
        <v>5952</v>
      </c>
      <c r="AZ289" t="s">
        <v>5954</v>
      </c>
      <c r="BB289">
        <v>7171.04</v>
      </c>
      <c r="BC289">
        <v>0.01</v>
      </c>
      <c r="BD289">
        <v>2.73</v>
      </c>
      <c r="BE289">
        <v>2.72</v>
      </c>
      <c r="BF289">
        <v>2.64</v>
      </c>
      <c r="BG289" t="s">
        <v>5955</v>
      </c>
      <c r="BH289" t="s">
        <v>5956</v>
      </c>
      <c r="BI289" t="s">
        <v>5954</v>
      </c>
      <c r="BJ289" t="s">
        <v>101</v>
      </c>
      <c r="BK289" t="s">
        <v>5953</v>
      </c>
      <c r="BL289" t="s">
        <v>5957</v>
      </c>
      <c r="BM289" t="s">
        <v>5958</v>
      </c>
      <c r="BN289" t="s">
        <v>4063</v>
      </c>
    </row>
    <row r="290" spans="1:66" x14ac:dyDescent="0.25">
      <c r="A290" t="str">
        <f>HYPERLINK("https://elite.finviz.com/quote.ashx?t=GCI&amp;ty=c&amp;p=d&amp;b=1", "GCI")</f>
        <v>GCI</v>
      </c>
      <c r="B290">
        <v>7</v>
      </c>
      <c r="C290">
        <v>138.38</v>
      </c>
      <c r="D290">
        <v>48.56</v>
      </c>
      <c r="E290" t="s">
        <v>5959</v>
      </c>
      <c r="F290" t="s">
        <v>67</v>
      </c>
      <c r="G290" t="s">
        <v>598</v>
      </c>
      <c r="H290" t="s">
        <v>5379</v>
      </c>
      <c r="I290" t="s">
        <v>70</v>
      </c>
      <c r="J290" t="s">
        <v>71</v>
      </c>
      <c r="K290">
        <v>611.39</v>
      </c>
      <c r="L290">
        <v>4.17</v>
      </c>
      <c r="M290" t="s">
        <v>5809</v>
      </c>
      <c r="N290">
        <v>304073</v>
      </c>
      <c r="O290">
        <v>6.42</v>
      </c>
      <c r="P290">
        <v>59.07</v>
      </c>
      <c r="Q290">
        <v>0.63</v>
      </c>
      <c r="R290">
        <v>0.26</v>
      </c>
      <c r="S290">
        <v>2.58</v>
      </c>
      <c r="V290" t="s">
        <v>5960</v>
      </c>
      <c r="AA290">
        <v>0.65</v>
      </c>
      <c r="AB290" t="s">
        <v>5961</v>
      </c>
      <c r="AC290" t="s">
        <v>5962</v>
      </c>
      <c r="AD290" t="s">
        <v>3099</v>
      </c>
      <c r="AE290" t="s">
        <v>5963</v>
      </c>
      <c r="AF290" t="s">
        <v>3102</v>
      </c>
      <c r="AG290" t="s">
        <v>1204</v>
      </c>
      <c r="AH290" t="s">
        <v>5964</v>
      </c>
      <c r="AI290" t="s">
        <v>5965</v>
      </c>
      <c r="AJ290" t="s">
        <v>2275</v>
      </c>
      <c r="AK290" t="s">
        <v>5966</v>
      </c>
      <c r="AL290">
        <v>0.73</v>
      </c>
      <c r="AM290">
        <v>0.7</v>
      </c>
      <c r="AN290">
        <v>4.97</v>
      </c>
      <c r="AO290" t="s">
        <v>5967</v>
      </c>
      <c r="AP290" t="s">
        <v>5968</v>
      </c>
      <c r="AQ290" t="s">
        <v>5969</v>
      </c>
      <c r="AR290" t="s">
        <v>1391</v>
      </c>
      <c r="AS290" t="s">
        <v>2736</v>
      </c>
      <c r="AT290" t="s">
        <v>600</v>
      </c>
      <c r="AU290" t="s">
        <v>2640</v>
      </c>
      <c r="AV290" t="s">
        <v>272</v>
      </c>
      <c r="AW290" t="s">
        <v>5488</v>
      </c>
      <c r="AX290" t="s">
        <v>5970</v>
      </c>
      <c r="AY290" t="s">
        <v>5971</v>
      </c>
      <c r="AZ290" t="s">
        <v>5972</v>
      </c>
      <c r="BA290">
        <v>2.2000000000000002</v>
      </c>
      <c r="BB290">
        <v>1577.81</v>
      </c>
      <c r="BC290">
        <v>0.68</v>
      </c>
      <c r="BD290">
        <v>4.2699999999999996</v>
      </c>
      <c r="BE290">
        <v>4.3</v>
      </c>
      <c r="BF290">
        <v>4.17</v>
      </c>
      <c r="BG290" t="s">
        <v>5973</v>
      </c>
      <c r="BH290" t="s">
        <v>5974</v>
      </c>
      <c r="BI290" t="s">
        <v>5975</v>
      </c>
      <c r="BJ290" t="s">
        <v>101</v>
      </c>
      <c r="BK290" t="s">
        <v>5976</v>
      </c>
      <c r="BL290" t="s">
        <v>5977</v>
      </c>
      <c r="BM290" t="s">
        <v>5978</v>
      </c>
      <c r="BN290" t="s">
        <v>4063</v>
      </c>
    </row>
    <row r="291" spans="1:66" x14ac:dyDescent="0.25">
      <c r="A291" t="str">
        <f>HYPERLINK("https://elite.finviz.com/quote.ashx?t=HYPD&amp;ty=c&amp;p=d&amp;b=1", "HYPD")</f>
        <v>HYPD</v>
      </c>
      <c r="B291">
        <v>7</v>
      </c>
      <c r="C291">
        <v>138.38</v>
      </c>
      <c r="D291">
        <v>48.58</v>
      </c>
      <c r="E291" t="s">
        <v>5979</v>
      </c>
      <c r="F291" t="s">
        <v>107</v>
      </c>
      <c r="G291" t="s">
        <v>428</v>
      </c>
      <c r="H291" t="s">
        <v>429</v>
      </c>
      <c r="I291" t="s">
        <v>70</v>
      </c>
      <c r="J291" t="s">
        <v>321</v>
      </c>
      <c r="K291">
        <v>51.25</v>
      </c>
      <c r="L291">
        <v>9</v>
      </c>
      <c r="M291" t="s">
        <v>463</v>
      </c>
      <c r="N291">
        <v>278846</v>
      </c>
      <c r="R291">
        <v>1281.25</v>
      </c>
      <c r="S291">
        <v>1.17</v>
      </c>
      <c r="AA291">
        <v>-30.66</v>
      </c>
      <c r="AB291" t="s">
        <v>5980</v>
      </c>
      <c r="AC291" t="s">
        <v>2622</v>
      </c>
      <c r="AE291" t="s">
        <v>5981</v>
      </c>
      <c r="AF291" t="s">
        <v>5982</v>
      </c>
      <c r="AH291" t="s">
        <v>579</v>
      </c>
      <c r="AJ291" t="s">
        <v>164</v>
      </c>
      <c r="AK291" t="s">
        <v>1160</v>
      </c>
      <c r="AL291">
        <v>0.91</v>
      </c>
      <c r="AM291">
        <v>0.91</v>
      </c>
      <c r="AN291">
        <v>0.23</v>
      </c>
      <c r="AO291" t="s">
        <v>5983</v>
      </c>
      <c r="AP291" t="s">
        <v>5984</v>
      </c>
      <c r="AQ291" t="s">
        <v>5985</v>
      </c>
      <c r="AR291" t="s">
        <v>3924</v>
      </c>
      <c r="AS291" t="s">
        <v>3834</v>
      </c>
      <c r="AT291" t="s">
        <v>309</v>
      </c>
      <c r="AU291" t="s">
        <v>1090</v>
      </c>
      <c r="AV291" t="s">
        <v>5986</v>
      </c>
      <c r="AW291" t="s">
        <v>5987</v>
      </c>
      <c r="AX291" t="s">
        <v>5988</v>
      </c>
      <c r="AY291" t="s">
        <v>5989</v>
      </c>
      <c r="AZ291" t="s">
        <v>5990</v>
      </c>
      <c r="BA291">
        <v>3</v>
      </c>
      <c r="BB291">
        <v>1099.8800000000001</v>
      </c>
      <c r="BC291">
        <v>0.9</v>
      </c>
      <c r="BD291">
        <v>8.4600000000000009</v>
      </c>
      <c r="BE291">
        <v>9.2100000000000009</v>
      </c>
      <c r="BF291">
        <v>8.7100000000000009</v>
      </c>
      <c r="BG291" t="s">
        <v>5991</v>
      </c>
      <c r="BH291" t="s">
        <v>5992</v>
      </c>
      <c r="BI291" t="s">
        <v>5990</v>
      </c>
      <c r="BJ291" t="s">
        <v>101</v>
      </c>
      <c r="BK291" t="s">
        <v>4318</v>
      </c>
      <c r="BL291" t="s">
        <v>5993</v>
      </c>
      <c r="BM291" t="s">
        <v>5994</v>
      </c>
      <c r="BN291" t="s">
        <v>4063</v>
      </c>
    </row>
    <row r="292" spans="1:66" x14ac:dyDescent="0.25">
      <c r="A292" t="str">
        <f>HYPERLINK("https://elite.finviz.com/quote.ashx?t=KBH&amp;ty=c&amp;p=d&amp;b=1", "KBH")</f>
        <v>KBH</v>
      </c>
      <c r="B292">
        <v>7</v>
      </c>
      <c r="C292">
        <v>138.38</v>
      </c>
      <c r="D292">
        <v>48.59</v>
      </c>
      <c r="E292" t="s">
        <v>5995</v>
      </c>
      <c r="F292" t="s">
        <v>67</v>
      </c>
      <c r="G292" t="s">
        <v>813</v>
      </c>
      <c r="H292" t="s">
        <v>5054</v>
      </c>
      <c r="I292" t="s">
        <v>70</v>
      </c>
      <c r="J292" t="s">
        <v>71</v>
      </c>
      <c r="K292">
        <v>4292.26</v>
      </c>
      <c r="L292">
        <v>63.08</v>
      </c>
      <c r="M292" t="s">
        <v>4946</v>
      </c>
      <c r="N292">
        <v>324601</v>
      </c>
      <c r="O292">
        <v>8.85</v>
      </c>
      <c r="P292">
        <v>10.11</v>
      </c>
      <c r="R292">
        <v>0.66</v>
      </c>
      <c r="S292">
        <v>1.05</v>
      </c>
      <c r="T292" t="s">
        <v>2145</v>
      </c>
      <c r="U292">
        <v>1</v>
      </c>
      <c r="V292" t="s">
        <v>2420</v>
      </c>
      <c r="W292" t="s">
        <v>5996</v>
      </c>
      <c r="X292" t="s">
        <v>5893</v>
      </c>
      <c r="Y292" t="s">
        <v>5997</v>
      </c>
      <c r="Z292" t="s">
        <v>3920</v>
      </c>
      <c r="AA292">
        <v>7.13</v>
      </c>
      <c r="AB292" t="s">
        <v>953</v>
      </c>
      <c r="AC292" t="s">
        <v>5998</v>
      </c>
      <c r="AD292" t="s">
        <v>798</v>
      </c>
      <c r="AE292" t="s">
        <v>5388</v>
      </c>
      <c r="AF292" t="s">
        <v>3429</v>
      </c>
      <c r="AG292" t="s">
        <v>147</v>
      </c>
      <c r="AH292" t="s">
        <v>1164</v>
      </c>
      <c r="AI292" t="s">
        <v>5999</v>
      </c>
      <c r="AJ292" t="s">
        <v>2965</v>
      </c>
      <c r="AK292" t="s">
        <v>6000</v>
      </c>
      <c r="AL292">
        <v>5.77</v>
      </c>
      <c r="AM292">
        <v>0.63</v>
      </c>
      <c r="AN292">
        <v>0.5</v>
      </c>
      <c r="AO292" t="s">
        <v>6001</v>
      </c>
      <c r="AP292" t="s">
        <v>2499</v>
      </c>
      <c r="AQ292" t="s">
        <v>265</v>
      </c>
      <c r="AR292" t="s">
        <v>5593</v>
      </c>
      <c r="AS292" t="s">
        <v>4945</v>
      </c>
      <c r="AT292" t="s">
        <v>6002</v>
      </c>
      <c r="AU292" t="s">
        <v>6003</v>
      </c>
      <c r="AV292" t="s">
        <v>5027</v>
      </c>
      <c r="AW292" t="s">
        <v>2332</v>
      </c>
      <c r="AX292" t="s">
        <v>433</v>
      </c>
      <c r="AY292" t="s">
        <v>6004</v>
      </c>
      <c r="AZ292" t="s">
        <v>5708</v>
      </c>
      <c r="BA292">
        <v>3</v>
      </c>
      <c r="BB292">
        <v>1521.49</v>
      </c>
      <c r="BC292">
        <v>0.75</v>
      </c>
      <c r="BD292">
        <v>61.99</v>
      </c>
      <c r="BE292">
        <v>63.26</v>
      </c>
      <c r="BF292">
        <v>62.22</v>
      </c>
      <c r="BG292" t="s">
        <v>6005</v>
      </c>
      <c r="BH292" t="s">
        <v>6006</v>
      </c>
      <c r="BI292" t="s">
        <v>6007</v>
      </c>
      <c r="BJ292" t="s">
        <v>101</v>
      </c>
      <c r="BK292" t="s">
        <v>4876</v>
      </c>
      <c r="BL292" t="s">
        <v>6008</v>
      </c>
      <c r="BM292" t="s">
        <v>6009</v>
      </c>
      <c r="BN292" t="s">
        <v>4063</v>
      </c>
    </row>
    <row r="293" spans="1:66" x14ac:dyDescent="0.25">
      <c r="A293" t="str">
        <f>HYPERLINK("https://elite.finviz.com/quote.ashx?t=RC&amp;ty=c&amp;p=d&amp;b=1", "RC")</f>
        <v>RC</v>
      </c>
      <c r="B293">
        <v>7</v>
      </c>
      <c r="C293">
        <v>138.38</v>
      </c>
      <c r="D293">
        <v>48.66</v>
      </c>
      <c r="E293" t="s">
        <v>6010</v>
      </c>
      <c r="F293" t="s">
        <v>67</v>
      </c>
      <c r="G293" t="s">
        <v>68</v>
      </c>
      <c r="H293" t="s">
        <v>5566</v>
      </c>
      <c r="I293" t="s">
        <v>70</v>
      </c>
      <c r="J293" t="s">
        <v>71</v>
      </c>
      <c r="K293">
        <v>686.89</v>
      </c>
      <c r="L293">
        <v>4.18</v>
      </c>
      <c r="M293" t="s">
        <v>3871</v>
      </c>
      <c r="N293">
        <v>510197</v>
      </c>
      <c r="P293">
        <v>19.2</v>
      </c>
      <c r="R293">
        <v>0.91</v>
      </c>
      <c r="S293">
        <v>0.4</v>
      </c>
      <c r="T293" t="s">
        <v>293</v>
      </c>
      <c r="U293">
        <v>0.75</v>
      </c>
      <c r="V293" t="s">
        <v>198</v>
      </c>
      <c r="W293" t="s">
        <v>6011</v>
      </c>
      <c r="X293" t="s">
        <v>6012</v>
      </c>
      <c r="Y293" t="s">
        <v>6013</v>
      </c>
      <c r="AA293">
        <v>-1.9</v>
      </c>
      <c r="AD293" t="s">
        <v>1556</v>
      </c>
      <c r="AE293" t="s">
        <v>6014</v>
      </c>
      <c r="AF293" t="s">
        <v>3076</v>
      </c>
      <c r="AG293" t="s">
        <v>139</v>
      </c>
      <c r="AH293" t="s">
        <v>6015</v>
      </c>
      <c r="AI293" t="s">
        <v>6016</v>
      </c>
      <c r="AJ293" t="s">
        <v>164</v>
      </c>
      <c r="AK293" t="s">
        <v>6017</v>
      </c>
      <c r="AL293">
        <v>1.34</v>
      </c>
      <c r="AM293">
        <v>0.91</v>
      </c>
      <c r="AN293">
        <v>3.85</v>
      </c>
      <c r="AO293" t="s">
        <v>5791</v>
      </c>
      <c r="AP293" t="s">
        <v>756</v>
      </c>
      <c r="AQ293" t="s">
        <v>6018</v>
      </c>
      <c r="AR293" t="s">
        <v>5188</v>
      </c>
      <c r="AS293" t="s">
        <v>2234</v>
      </c>
      <c r="AT293" t="s">
        <v>364</v>
      </c>
      <c r="AU293" t="s">
        <v>4266</v>
      </c>
      <c r="AV293" t="s">
        <v>6019</v>
      </c>
      <c r="AW293" t="s">
        <v>5741</v>
      </c>
      <c r="AX293" t="s">
        <v>1925</v>
      </c>
      <c r="AY293" t="s">
        <v>6020</v>
      </c>
      <c r="AZ293" t="s">
        <v>1925</v>
      </c>
      <c r="BA293">
        <v>3.25</v>
      </c>
      <c r="BB293">
        <v>2108.21</v>
      </c>
      <c r="BC293">
        <v>0.85</v>
      </c>
      <c r="BD293">
        <v>4.1500000000000004</v>
      </c>
      <c r="BE293">
        <v>4.2</v>
      </c>
      <c r="BF293">
        <v>4.1100000000000003</v>
      </c>
      <c r="BG293" t="s">
        <v>6021</v>
      </c>
      <c r="BH293" t="s">
        <v>2255</v>
      </c>
      <c r="BI293" t="s">
        <v>6022</v>
      </c>
      <c r="BJ293" t="s">
        <v>101</v>
      </c>
      <c r="BK293" t="s">
        <v>3164</v>
      </c>
      <c r="BL293" t="s">
        <v>6023</v>
      </c>
      <c r="BM293" t="s">
        <v>6020</v>
      </c>
      <c r="BN293" t="s">
        <v>4063</v>
      </c>
    </row>
    <row r="294" spans="1:66" x14ac:dyDescent="0.25">
      <c r="A294" t="str">
        <f>HYPERLINK("https://elite.finviz.com/quote.ashx?t=CHGG&amp;ty=c&amp;p=d&amp;b=1", "CHGG")</f>
        <v>CHGG</v>
      </c>
      <c r="B294">
        <v>7</v>
      </c>
      <c r="C294">
        <v>138.38</v>
      </c>
      <c r="D294">
        <v>48.71</v>
      </c>
      <c r="E294" t="s">
        <v>6024</v>
      </c>
      <c r="F294" t="s">
        <v>107</v>
      </c>
      <c r="G294" t="s">
        <v>2244</v>
      </c>
      <c r="H294" t="s">
        <v>2483</v>
      </c>
      <c r="I294" t="s">
        <v>70</v>
      </c>
      <c r="J294" t="s">
        <v>71</v>
      </c>
      <c r="K294">
        <v>159.18</v>
      </c>
      <c r="L294">
        <v>1.47</v>
      </c>
      <c r="M294" t="s">
        <v>2185</v>
      </c>
      <c r="N294">
        <v>1438669</v>
      </c>
      <c r="P294">
        <v>17.27</v>
      </c>
      <c r="R294">
        <v>0.31</v>
      </c>
      <c r="S294">
        <v>1</v>
      </c>
      <c r="AA294">
        <v>-2.61</v>
      </c>
      <c r="AB294" t="s">
        <v>6025</v>
      </c>
      <c r="AC294" t="s">
        <v>6026</v>
      </c>
      <c r="AE294" t="s">
        <v>6027</v>
      </c>
      <c r="AF294" t="s">
        <v>5573</v>
      </c>
      <c r="AG294" t="s">
        <v>6028</v>
      </c>
      <c r="AH294" t="s">
        <v>6029</v>
      </c>
      <c r="AI294" t="s">
        <v>1057</v>
      </c>
      <c r="AJ294" t="s">
        <v>3388</v>
      </c>
      <c r="AK294" t="s">
        <v>6030</v>
      </c>
      <c r="AL294">
        <v>0.9</v>
      </c>
      <c r="AM294">
        <v>0.9</v>
      </c>
      <c r="AN294">
        <v>0.54</v>
      </c>
      <c r="AO294" t="s">
        <v>6031</v>
      </c>
      <c r="AP294" t="s">
        <v>2537</v>
      </c>
      <c r="AQ294" t="s">
        <v>6032</v>
      </c>
      <c r="AR294" t="s">
        <v>95</v>
      </c>
      <c r="AS294" t="s">
        <v>5743</v>
      </c>
      <c r="AT294" t="s">
        <v>2665</v>
      </c>
      <c r="AU294" t="s">
        <v>353</v>
      </c>
      <c r="AV294" t="s">
        <v>2601</v>
      </c>
      <c r="AW294" t="s">
        <v>6033</v>
      </c>
      <c r="AX294" t="s">
        <v>6034</v>
      </c>
      <c r="AY294" t="s">
        <v>6035</v>
      </c>
      <c r="AZ294" t="s">
        <v>6036</v>
      </c>
      <c r="BA294">
        <v>3.67</v>
      </c>
      <c r="BB294">
        <v>3744.24</v>
      </c>
      <c r="BC294">
        <v>1.35</v>
      </c>
      <c r="BD294">
        <v>1.45</v>
      </c>
      <c r="BE294">
        <v>1.58</v>
      </c>
      <c r="BF294">
        <v>1.46</v>
      </c>
      <c r="BG294" t="s">
        <v>6037</v>
      </c>
      <c r="BH294" t="s">
        <v>6038</v>
      </c>
      <c r="BI294" t="s">
        <v>6036</v>
      </c>
      <c r="BJ294" t="s">
        <v>101</v>
      </c>
      <c r="BK294" t="s">
        <v>1470</v>
      </c>
      <c r="BL294" t="s">
        <v>6039</v>
      </c>
      <c r="BM294" t="s">
        <v>6040</v>
      </c>
      <c r="BN294" t="s">
        <v>4063</v>
      </c>
    </row>
    <row r="295" spans="1:66" x14ac:dyDescent="0.25">
      <c r="A295" t="str">
        <f>HYPERLINK("https://elite.finviz.com/quote.ashx?t=PRCH&amp;ty=c&amp;p=d&amp;b=1", "PRCH")</f>
        <v>PRCH</v>
      </c>
      <c r="B295">
        <v>7</v>
      </c>
      <c r="C295">
        <v>138.38</v>
      </c>
      <c r="D295">
        <v>48.73</v>
      </c>
      <c r="E295" t="s">
        <v>6041</v>
      </c>
      <c r="F295" t="s">
        <v>67</v>
      </c>
      <c r="G295" t="s">
        <v>108</v>
      </c>
      <c r="H295" t="s">
        <v>136</v>
      </c>
      <c r="I295" t="s">
        <v>70</v>
      </c>
      <c r="J295" t="s">
        <v>321</v>
      </c>
      <c r="K295">
        <v>1792.52</v>
      </c>
      <c r="L295">
        <v>17.190000000000001</v>
      </c>
      <c r="M295" t="s">
        <v>5789</v>
      </c>
      <c r="N295">
        <v>400340</v>
      </c>
      <c r="O295">
        <v>37.049999999999997</v>
      </c>
      <c r="P295">
        <v>97.54</v>
      </c>
      <c r="R295">
        <v>4.12</v>
      </c>
      <c r="AA295">
        <v>0.46</v>
      </c>
      <c r="AB295" t="s">
        <v>6042</v>
      </c>
      <c r="AE295" t="s">
        <v>6043</v>
      </c>
      <c r="AF295" t="s">
        <v>6044</v>
      </c>
      <c r="AH295" t="s">
        <v>417</v>
      </c>
      <c r="AI295" t="s">
        <v>2325</v>
      </c>
      <c r="AJ295" t="s">
        <v>5000</v>
      </c>
      <c r="AK295" t="s">
        <v>4044</v>
      </c>
      <c r="AL295">
        <v>1.72</v>
      </c>
      <c r="AM295">
        <v>1.72</v>
      </c>
      <c r="AO295" t="s">
        <v>6045</v>
      </c>
      <c r="AP295" t="s">
        <v>1826</v>
      </c>
      <c r="AQ295" t="s">
        <v>293</v>
      </c>
      <c r="AR295" t="s">
        <v>2810</v>
      </c>
      <c r="AS295" t="s">
        <v>161</v>
      </c>
      <c r="AT295" t="s">
        <v>681</v>
      </c>
      <c r="AU295" t="s">
        <v>5122</v>
      </c>
      <c r="AV295" t="s">
        <v>6046</v>
      </c>
      <c r="AW295" t="s">
        <v>1450</v>
      </c>
      <c r="AX295" t="s">
        <v>6047</v>
      </c>
      <c r="AY295" t="s">
        <v>1450</v>
      </c>
      <c r="AZ295" t="s">
        <v>6048</v>
      </c>
      <c r="BA295">
        <v>1.25</v>
      </c>
      <c r="BB295">
        <v>2197.09</v>
      </c>
      <c r="BC295">
        <v>0.64</v>
      </c>
      <c r="BD295">
        <v>17.39</v>
      </c>
      <c r="BE295">
        <v>17.489999999999998</v>
      </c>
      <c r="BF295">
        <v>17.010000000000002</v>
      </c>
      <c r="BG295" t="s">
        <v>6049</v>
      </c>
      <c r="BH295" t="s">
        <v>6050</v>
      </c>
      <c r="BI295" t="s">
        <v>6051</v>
      </c>
      <c r="BJ295" t="s">
        <v>101</v>
      </c>
      <c r="BK295" t="s">
        <v>6052</v>
      </c>
      <c r="BL295" t="s">
        <v>6053</v>
      </c>
      <c r="BM295" t="s">
        <v>6054</v>
      </c>
      <c r="BN295" t="s">
        <v>4063</v>
      </c>
    </row>
    <row r="296" spans="1:66" x14ac:dyDescent="0.25">
      <c r="A296" t="str">
        <f>HYPERLINK("https://elite.finviz.com/quote.ashx?t=SYF&amp;ty=c&amp;p=d&amp;b=1", "SYF")</f>
        <v>SYF</v>
      </c>
      <c r="B296">
        <v>7</v>
      </c>
      <c r="C296">
        <v>138.38</v>
      </c>
      <c r="D296">
        <v>48.73</v>
      </c>
      <c r="E296" t="s">
        <v>6055</v>
      </c>
      <c r="F296" t="s">
        <v>195</v>
      </c>
      <c r="G296" t="s">
        <v>550</v>
      </c>
      <c r="H296" t="s">
        <v>3744</v>
      </c>
      <c r="I296" t="s">
        <v>70</v>
      </c>
      <c r="J296" t="s">
        <v>71</v>
      </c>
      <c r="K296">
        <v>27625.27</v>
      </c>
      <c r="L296">
        <v>74.25</v>
      </c>
      <c r="M296" t="s">
        <v>3227</v>
      </c>
      <c r="N296">
        <v>264595</v>
      </c>
      <c r="O296">
        <v>9.02</v>
      </c>
      <c r="P296">
        <v>8.08</v>
      </c>
      <c r="Q296">
        <v>0.56000000000000005</v>
      </c>
      <c r="R296">
        <v>1.42</v>
      </c>
      <c r="S296">
        <v>1.76</v>
      </c>
      <c r="T296" t="s">
        <v>6056</v>
      </c>
      <c r="U296">
        <v>1.1000000000000001</v>
      </c>
      <c r="V296" t="s">
        <v>6057</v>
      </c>
      <c r="W296" t="s">
        <v>2841</v>
      </c>
      <c r="X296" t="s">
        <v>3520</v>
      </c>
      <c r="Y296" t="s">
        <v>2473</v>
      </c>
      <c r="Z296" t="s">
        <v>1297</v>
      </c>
      <c r="AA296">
        <v>8.23</v>
      </c>
      <c r="AB296" t="s">
        <v>3758</v>
      </c>
      <c r="AC296" t="s">
        <v>1133</v>
      </c>
      <c r="AD296" t="s">
        <v>802</v>
      </c>
      <c r="AE296" t="s">
        <v>6058</v>
      </c>
      <c r="AF296" t="s">
        <v>112</v>
      </c>
      <c r="AG296" t="s">
        <v>4907</v>
      </c>
      <c r="AH296" t="s">
        <v>5725</v>
      </c>
      <c r="AI296" t="s">
        <v>6059</v>
      </c>
      <c r="AJ296" t="s">
        <v>6060</v>
      </c>
      <c r="AK296" t="s">
        <v>6061</v>
      </c>
      <c r="AL296">
        <v>2.48</v>
      </c>
      <c r="AM296">
        <v>2.48</v>
      </c>
      <c r="AN296">
        <v>0.94</v>
      </c>
      <c r="AO296" t="s">
        <v>6062</v>
      </c>
      <c r="AP296" t="s">
        <v>6063</v>
      </c>
      <c r="AQ296" t="s">
        <v>3009</v>
      </c>
      <c r="AR296" t="s">
        <v>3832</v>
      </c>
      <c r="AS296" t="s">
        <v>633</v>
      </c>
      <c r="AT296" t="s">
        <v>3172</v>
      </c>
      <c r="AU296" t="s">
        <v>2449</v>
      </c>
      <c r="AV296" t="s">
        <v>6064</v>
      </c>
      <c r="AW296" t="s">
        <v>4078</v>
      </c>
      <c r="AX296" t="s">
        <v>1603</v>
      </c>
      <c r="AY296" t="s">
        <v>4078</v>
      </c>
      <c r="AZ296" t="s">
        <v>6065</v>
      </c>
      <c r="BA296">
        <v>1.88</v>
      </c>
      <c r="BB296">
        <v>3253.67</v>
      </c>
      <c r="BC296">
        <v>0.28999999999999998</v>
      </c>
      <c r="BD296">
        <v>74.28</v>
      </c>
      <c r="BE296">
        <v>75.069999999999993</v>
      </c>
      <c r="BF296">
        <v>73.959999999999994</v>
      </c>
      <c r="BG296" t="s">
        <v>6066</v>
      </c>
      <c r="BH296" t="s">
        <v>4078</v>
      </c>
      <c r="BI296" t="s">
        <v>6067</v>
      </c>
      <c r="BJ296" t="s">
        <v>101</v>
      </c>
      <c r="BK296" t="s">
        <v>6068</v>
      </c>
      <c r="BL296" t="s">
        <v>6069</v>
      </c>
      <c r="BM296" t="s">
        <v>6070</v>
      </c>
      <c r="BN296" t="s">
        <v>4063</v>
      </c>
    </row>
    <row r="297" spans="1:66" x14ac:dyDescent="0.25">
      <c r="A297" t="str">
        <f>HYPERLINK("https://elite.finviz.com/quote.ashx?t=OHI&amp;ty=c&amp;p=d&amp;b=1", "OHI")</f>
        <v>OHI</v>
      </c>
      <c r="B297">
        <v>7</v>
      </c>
      <c r="C297">
        <v>138.38</v>
      </c>
      <c r="D297">
        <v>48.8</v>
      </c>
      <c r="E297" t="s">
        <v>6071</v>
      </c>
      <c r="F297" t="s">
        <v>107</v>
      </c>
      <c r="G297" t="s">
        <v>68</v>
      </c>
      <c r="H297" t="s">
        <v>6072</v>
      </c>
      <c r="I297" t="s">
        <v>70</v>
      </c>
      <c r="J297" t="s">
        <v>71</v>
      </c>
      <c r="K297">
        <v>12269.05</v>
      </c>
      <c r="L297">
        <v>41.59</v>
      </c>
      <c r="M297" t="s">
        <v>2646</v>
      </c>
      <c r="N297">
        <v>211438</v>
      </c>
      <c r="O297">
        <v>25.95</v>
      </c>
      <c r="P297">
        <v>22.87</v>
      </c>
      <c r="Q297">
        <v>3.94</v>
      </c>
      <c r="R297">
        <v>10.94</v>
      </c>
      <c r="S297">
        <v>2.44</v>
      </c>
      <c r="T297" t="s">
        <v>1474</v>
      </c>
      <c r="U297">
        <v>2.68</v>
      </c>
      <c r="V297" t="s">
        <v>4827</v>
      </c>
      <c r="W297" t="s">
        <v>164</v>
      </c>
      <c r="X297" t="s">
        <v>164</v>
      </c>
      <c r="Y297" t="s">
        <v>822</v>
      </c>
      <c r="Z297" t="s">
        <v>6073</v>
      </c>
      <c r="AA297">
        <v>1.6</v>
      </c>
      <c r="AB297" t="s">
        <v>6074</v>
      </c>
      <c r="AC297" t="s">
        <v>3486</v>
      </c>
      <c r="AD297" t="s">
        <v>6075</v>
      </c>
      <c r="AE297" t="s">
        <v>2724</v>
      </c>
      <c r="AF297" t="s">
        <v>2638</v>
      </c>
      <c r="AG297" t="s">
        <v>2496</v>
      </c>
      <c r="AH297" t="s">
        <v>6076</v>
      </c>
      <c r="AI297" t="s">
        <v>3228</v>
      </c>
      <c r="AJ297" t="s">
        <v>1564</v>
      </c>
      <c r="AK297" t="s">
        <v>6077</v>
      </c>
      <c r="AL297">
        <v>2.46</v>
      </c>
      <c r="AM297">
        <v>2.46</v>
      </c>
      <c r="AN297">
        <v>1</v>
      </c>
      <c r="AO297" t="s">
        <v>6078</v>
      </c>
      <c r="AP297" t="s">
        <v>5874</v>
      </c>
      <c r="AQ297" t="s">
        <v>6079</v>
      </c>
      <c r="AR297" t="s">
        <v>3350</v>
      </c>
      <c r="AS297" t="s">
        <v>1559</v>
      </c>
      <c r="AT297" t="s">
        <v>2856</v>
      </c>
      <c r="AU297" t="s">
        <v>4280</v>
      </c>
      <c r="AV297" t="s">
        <v>5726</v>
      </c>
      <c r="AW297" t="s">
        <v>6080</v>
      </c>
      <c r="AX297" t="s">
        <v>531</v>
      </c>
      <c r="AY297" t="s">
        <v>5567</v>
      </c>
      <c r="AZ297" t="s">
        <v>6081</v>
      </c>
      <c r="BA297">
        <v>2.19</v>
      </c>
      <c r="BB297">
        <v>2097.98</v>
      </c>
      <c r="BC297">
        <v>0.36</v>
      </c>
      <c r="BD297">
        <v>41.47</v>
      </c>
      <c r="BE297">
        <v>41.8</v>
      </c>
      <c r="BF297">
        <v>41.54</v>
      </c>
      <c r="BG297" t="s">
        <v>6082</v>
      </c>
      <c r="BH297" t="s">
        <v>5567</v>
      </c>
      <c r="BI297" t="s">
        <v>6083</v>
      </c>
      <c r="BJ297" t="s">
        <v>101</v>
      </c>
      <c r="BK297" t="s">
        <v>6084</v>
      </c>
      <c r="BL297" t="s">
        <v>6085</v>
      </c>
      <c r="BM297" t="s">
        <v>4881</v>
      </c>
      <c r="BN297" t="s">
        <v>4063</v>
      </c>
    </row>
    <row r="298" spans="1:66" x14ac:dyDescent="0.25">
      <c r="A298" t="str">
        <f>HYPERLINK("https://elite.finviz.com/quote.ashx?t=COMM&amp;ty=c&amp;p=d&amp;b=1", "COMM")</f>
        <v>COMM</v>
      </c>
      <c r="B298">
        <v>7</v>
      </c>
      <c r="C298">
        <v>138.38</v>
      </c>
      <c r="D298">
        <v>48.9</v>
      </c>
      <c r="E298" t="s">
        <v>6086</v>
      </c>
      <c r="F298" t="s">
        <v>67</v>
      </c>
      <c r="G298" t="s">
        <v>108</v>
      </c>
      <c r="H298" t="s">
        <v>1921</v>
      </c>
      <c r="I298" t="s">
        <v>70</v>
      </c>
      <c r="J298" t="s">
        <v>321</v>
      </c>
      <c r="K298">
        <v>3440.03</v>
      </c>
      <c r="L298">
        <v>15.53</v>
      </c>
      <c r="M298" t="s">
        <v>1820</v>
      </c>
      <c r="N298">
        <v>1141029</v>
      </c>
      <c r="P298">
        <v>12.6</v>
      </c>
      <c r="R298">
        <v>0.72</v>
      </c>
      <c r="AA298">
        <v>-0.66</v>
      </c>
      <c r="AB298" t="s">
        <v>6087</v>
      </c>
      <c r="AC298" t="s">
        <v>876</v>
      </c>
      <c r="AE298" t="s">
        <v>6088</v>
      </c>
      <c r="AF298" t="s">
        <v>924</v>
      </c>
      <c r="AG298" t="s">
        <v>817</v>
      </c>
      <c r="AH298" t="s">
        <v>1324</v>
      </c>
      <c r="AI298" t="s">
        <v>6089</v>
      </c>
      <c r="AJ298" t="s">
        <v>164</v>
      </c>
      <c r="AK298" t="s">
        <v>6090</v>
      </c>
      <c r="AL298">
        <v>2.1800000000000002</v>
      </c>
      <c r="AM298">
        <v>1.47</v>
      </c>
      <c r="AO298" t="s">
        <v>6091</v>
      </c>
      <c r="AP298" t="s">
        <v>340</v>
      </c>
      <c r="AQ298" t="s">
        <v>997</v>
      </c>
      <c r="AR298" t="s">
        <v>615</v>
      </c>
      <c r="AS298" t="s">
        <v>5111</v>
      </c>
      <c r="AT298" t="s">
        <v>6092</v>
      </c>
      <c r="AU298" t="s">
        <v>5404</v>
      </c>
      <c r="AV298" t="s">
        <v>6093</v>
      </c>
      <c r="AW298" t="s">
        <v>6094</v>
      </c>
      <c r="AX298" t="s">
        <v>6095</v>
      </c>
      <c r="AY298" t="s">
        <v>6094</v>
      </c>
      <c r="AZ298" t="s">
        <v>6096</v>
      </c>
      <c r="BA298">
        <v>1.6</v>
      </c>
      <c r="BB298">
        <v>7319.98</v>
      </c>
      <c r="BC298">
        <v>0.55000000000000004</v>
      </c>
      <c r="BD298">
        <v>15.69</v>
      </c>
      <c r="BE298">
        <v>15.79</v>
      </c>
      <c r="BF298">
        <v>15.42</v>
      </c>
      <c r="BG298" t="s">
        <v>6097</v>
      </c>
      <c r="BH298" t="s">
        <v>6098</v>
      </c>
      <c r="BI298" t="s">
        <v>6099</v>
      </c>
      <c r="BJ298" t="s">
        <v>101</v>
      </c>
      <c r="BK298" t="s">
        <v>689</v>
      </c>
      <c r="BL298" t="s">
        <v>6100</v>
      </c>
      <c r="BM298" t="s">
        <v>6101</v>
      </c>
      <c r="BN298" t="s">
        <v>4063</v>
      </c>
    </row>
    <row r="299" spans="1:66" x14ac:dyDescent="0.25">
      <c r="A299" t="str">
        <f>HYPERLINK("https://elite.finviz.com/quote.ashx?t=DYN&amp;ty=c&amp;p=d&amp;b=1", "DYN")</f>
        <v>DYN</v>
      </c>
      <c r="B299">
        <v>7</v>
      </c>
      <c r="C299">
        <v>138.38</v>
      </c>
      <c r="D299">
        <v>48.92</v>
      </c>
      <c r="E299" t="s">
        <v>6102</v>
      </c>
      <c r="F299" t="s">
        <v>67</v>
      </c>
      <c r="G299" t="s">
        <v>428</v>
      </c>
      <c r="H299" t="s">
        <v>429</v>
      </c>
      <c r="I299" t="s">
        <v>70</v>
      </c>
      <c r="J299" t="s">
        <v>321</v>
      </c>
      <c r="K299">
        <v>1818.13</v>
      </c>
      <c r="L299">
        <v>12.78</v>
      </c>
      <c r="M299" t="s">
        <v>2449</v>
      </c>
      <c r="N299">
        <v>297618</v>
      </c>
      <c r="S299">
        <v>2.56</v>
      </c>
      <c r="AA299">
        <v>-3.86</v>
      </c>
      <c r="AB299" t="s">
        <v>2076</v>
      </c>
      <c r="AC299" t="s">
        <v>6103</v>
      </c>
      <c r="AD299" t="s">
        <v>6104</v>
      </c>
      <c r="AI299" t="s">
        <v>6105</v>
      </c>
      <c r="AJ299" t="s">
        <v>439</v>
      </c>
      <c r="AK299" t="s">
        <v>3251</v>
      </c>
      <c r="AL299">
        <v>16.829999999999998</v>
      </c>
      <c r="AM299">
        <v>16.829999999999998</v>
      </c>
      <c r="AN299">
        <v>0.21</v>
      </c>
      <c r="AR299" t="s">
        <v>272</v>
      </c>
      <c r="AS299" t="s">
        <v>3981</v>
      </c>
      <c r="AT299" t="s">
        <v>405</v>
      </c>
      <c r="AU299" t="s">
        <v>6106</v>
      </c>
      <c r="AV299" t="s">
        <v>5606</v>
      </c>
      <c r="AW299" t="s">
        <v>6107</v>
      </c>
      <c r="AX299" t="s">
        <v>6108</v>
      </c>
      <c r="AY299" t="s">
        <v>6109</v>
      </c>
      <c r="AZ299" t="s">
        <v>6110</v>
      </c>
      <c r="BA299">
        <v>1.31</v>
      </c>
      <c r="BB299">
        <v>2934.89</v>
      </c>
      <c r="BC299">
        <v>0.36</v>
      </c>
      <c r="BD299">
        <v>12.58</v>
      </c>
      <c r="BE299">
        <v>12.98</v>
      </c>
      <c r="BF299">
        <v>12.59</v>
      </c>
      <c r="BG299" t="s">
        <v>6111</v>
      </c>
      <c r="BH299" t="s">
        <v>6112</v>
      </c>
      <c r="BI299" t="s">
        <v>6113</v>
      </c>
      <c r="BJ299" t="s">
        <v>101</v>
      </c>
      <c r="BK299" t="s">
        <v>6114</v>
      </c>
      <c r="BL299" t="s">
        <v>5528</v>
      </c>
      <c r="BM299" t="s">
        <v>6115</v>
      </c>
      <c r="BN299" t="s">
        <v>4063</v>
      </c>
    </row>
    <row r="300" spans="1:66" x14ac:dyDescent="0.25">
      <c r="A300" t="str">
        <f>HYPERLINK("https://elite.finviz.com/quote.ashx?t=GPC&amp;ty=c&amp;p=d&amp;b=1", "GPC")</f>
        <v>GPC</v>
      </c>
      <c r="B300">
        <v>7</v>
      </c>
      <c r="C300">
        <v>138.38</v>
      </c>
      <c r="D300">
        <v>48.94</v>
      </c>
      <c r="E300" t="s">
        <v>6116</v>
      </c>
      <c r="F300" t="s">
        <v>195</v>
      </c>
      <c r="G300" t="s">
        <v>813</v>
      </c>
      <c r="H300" t="s">
        <v>814</v>
      </c>
      <c r="I300" t="s">
        <v>70</v>
      </c>
      <c r="J300" t="s">
        <v>71</v>
      </c>
      <c r="K300">
        <v>19117.55</v>
      </c>
      <c r="L300">
        <v>137.44999999999999</v>
      </c>
      <c r="M300" t="s">
        <v>6117</v>
      </c>
      <c r="N300">
        <v>74290</v>
      </c>
      <c r="O300">
        <v>23.68</v>
      </c>
      <c r="P300">
        <v>16.23</v>
      </c>
      <c r="Q300">
        <v>5.49</v>
      </c>
      <c r="R300">
        <v>0.8</v>
      </c>
      <c r="S300">
        <v>4.07</v>
      </c>
      <c r="T300" t="s">
        <v>6118</v>
      </c>
      <c r="U300">
        <v>4.09</v>
      </c>
      <c r="V300" t="s">
        <v>4548</v>
      </c>
      <c r="W300" t="s">
        <v>3981</v>
      </c>
      <c r="X300" t="s">
        <v>2869</v>
      </c>
      <c r="Y300" t="s">
        <v>4697</v>
      </c>
      <c r="Z300" t="s">
        <v>1240</v>
      </c>
      <c r="AA300">
        <v>5.81</v>
      </c>
      <c r="AB300" t="s">
        <v>5745</v>
      </c>
      <c r="AC300" t="s">
        <v>1736</v>
      </c>
      <c r="AD300" t="s">
        <v>1449</v>
      </c>
      <c r="AE300" t="s">
        <v>213</v>
      </c>
      <c r="AF300" t="s">
        <v>2521</v>
      </c>
      <c r="AG300" t="s">
        <v>1886</v>
      </c>
      <c r="AH300" t="s">
        <v>4569</v>
      </c>
      <c r="AI300" t="s">
        <v>1439</v>
      </c>
      <c r="AJ300" t="s">
        <v>164</v>
      </c>
      <c r="AK300" t="s">
        <v>6119</v>
      </c>
      <c r="AL300">
        <v>1.1399999999999999</v>
      </c>
      <c r="AM300">
        <v>0.51</v>
      </c>
      <c r="AN300">
        <v>1.37</v>
      </c>
      <c r="AO300" t="s">
        <v>6120</v>
      </c>
      <c r="AP300" t="s">
        <v>2408</v>
      </c>
      <c r="AQ300" t="s">
        <v>6121</v>
      </c>
      <c r="AR300" t="s">
        <v>2219</v>
      </c>
      <c r="AS300" t="s">
        <v>910</v>
      </c>
      <c r="AT300" t="s">
        <v>3999</v>
      </c>
      <c r="AU300" t="s">
        <v>2630</v>
      </c>
      <c r="AV300" t="s">
        <v>6122</v>
      </c>
      <c r="AW300" t="s">
        <v>6123</v>
      </c>
      <c r="AX300" t="s">
        <v>6124</v>
      </c>
      <c r="AY300" t="s">
        <v>5264</v>
      </c>
      <c r="AZ300" t="s">
        <v>2077</v>
      </c>
      <c r="BA300">
        <v>2.4700000000000002</v>
      </c>
      <c r="BB300">
        <v>1226.1199999999999</v>
      </c>
      <c r="BC300">
        <v>0.21</v>
      </c>
      <c r="BD300">
        <v>136.26</v>
      </c>
      <c r="BE300">
        <v>137.58000000000001</v>
      </c>
      <c r="BF300">
        <v>135.97</v>
      </c>
      <c r="BG300" t="s">
        <v>6125</v>
      </c>
      <c r="BH300" t="s">
        <v>498</v>
      </c>
      <c r="BI300" t="s">
        <v>6126</v>
      </c>
      <c r="BJ300" t="s">
        <v>101</v>
      </c>
      <c r="BK300" t="s">
        <v>2711</v>
      </c>
      <c r="BL300" t="s">
        <v>3531</v>
      </c>
      <c r="BM300" t="s">
        <v>6127</v>
      </c>
      <c r="BN300" t="s">
        <v>4063</v>
      </c>
    </row>
    <row r="301" spans="1:66" x14ac:dyDescent="0.25">
      <c r="A301" t="str">
        <f>HYPERLINK("https://elite.finviz.com/quote.ashx?t=QDEL&amp;ty=c&amp;p=d&amp;b=1", "QDEL")</f>
        <v>QDEL</v>
      </c>
      <c r="B301">
        <v>7</v>
      </c>
      <c r="C301">
        <v>138.38</v>
      </c>
      <c r="D301">
        <v>49.12</v>
      </c>
      <c r="E301" t="s">
        <v>6128</v>
      </c>
      <c r="F301" t="s">
        <v>67</v>
      </c>
      <c r="G301" t="s">
        <v>428</v>
      </c>
      <c r="H301" t="s">
        <v>2051</v>
      </c>
      <c r="I301" t="s">
        <v>70</v>
      </c>
      <c r="J301" t="s">
        <v>321</v>
      </c>
      <c r="K301">
        <v>1877.45</v>
      </c>
      <c r="L301">
        <v>27.65</v>
      </c>
      <c r="M301" t="s">
        <v>5331</v>
      </c>
      <c r="N301">
        <v>247520</v>
      </c>
      <c r="P301">
        <v>8.98</v>
      </c>
      <c r="R301">
        <v>0.68</v>
      </c>
      <c r="S301">
        <v>0.67</v>
      </c>
      <c r="AA301">
        <v>-6.54</v>
      </c>
      <c r="AD301" t="s">
        <v>6129</v>
      </c>
      <c r="AE301" t="s">
        <v>6130</v>
      </c>
      <c r="AF301" t="s">
        <v>6131</v>
      </c>
      <c r="AG301" t="s">
        <v>6132</v>
      </c>
      <c r="AH301" t="s">
        <v>2136</v>
      </c>
      <c r="AI301" t="s">
        <v>6133</v>
      </c>
      <c r="AJ301" t="s">
        <v>164</v>
      </c>
      <c r="AK301" t="s">
        <v>6134</v>
      </c>
      <c r="AL301">
        <v>1.1200000000000001</v>
      </c>
      <c r="AM301">
        <v>0.62</v>
      </c>
      <c r="AN301">
        <v>1</v>
      </c>
      <c r="AO301" t="s">
        <v>6135</v>
      </c>
      <c r="AP301" t="s">
        <v>3025</v>
      </c>
      <c r="AQ301" t="s">
        <v>6136</v>
      </c>
      <c r="AR301" t="s">
        <v>2484</v>
      </c>
      <c r="AS301" t="s">
        <v>5885</v>
      </c>
      <c r="AT301" t="s">
        <v>6137</v>
      </c>
      <c r="AU301" t="s">
        <v>903</v>
      </c>
      <c r="AV301" t="s">
        <v>6138</v>
      </c>
      <c r="AW301" t="s">
        <v>6139</v>
      </c>
      <c r="AX301" t="s">
        <v>2334</v>
      </c>
      <c r="AY301" t="s">
        <v>6140</v>
      </c>
      <c r="AZ301" t="s">
        <v>2334</v>
      </c>
      <c r="BA301">
        <v>2.1</v>
      </c>
      <c r="BB301">
        <v>1491.95</v>
      </c>
      <c r="BC301">
        <v>0.57999999999999996</v>
      </c>
      <c r="BD301">
        <v>26.53</v>
      </c>
      <c r="BE301">
        <v>27.62</v>
      </c>
      <c r="BF301">
        <v>26.83</v>
      </c>
      <c r="BG301" t="s">
        <v>6141</v>
      </c>
      <c r="BH301" t="s">
        <v>6142</v>
      </c>
      <c r="BI301" t="s">
        <v>6143</v>
      </c>
      <c r="BJ301" t="s">
        <v>101</v>
      </c>
      <c r="BK301" t="s">
        <v>6092</v>
      </c>
      <c r="BL301" t="s">
        <v>6144</v>
      </c>
      <c r="BM301" t="s">
        <v>6145</v>
      </c>
      <c r="BN301" t="s">
        <v>4063</v>
      </c>
    </row>
    <row r="302" spans="1:66" x14ac:dyDescent="0.25">
      <c r="A302" t="str">
        <f>HYPERLINK("https://elite.finviz.com/quote.ashx?t=VZ&amp;ty=c&amp;p=d&amp;b=1", "VZ")</f>
        <v>VZ</v>
      </c>
      <c r="B302">
        <v>7</v>
      </c>
      <c r="C302">
        <v>138.38</v>
      </c>
      <c r="D302">
        <v>49.18</v>
      </c>
      <c r="E302" t="s">
        <v>6146</v>
      </c>
      <c r="F302" t="s">
        <v>1759</v>
      </c>
      <c r="G302" t="s">
        <v>598</v>
      </c>
      <c r="H302" t="s">
        <v>6147</v>
      </c>
      <c r="I302" t="s">
        <v>70</v>
      </c>
      <c r="J302" t="s">
        <v>71</v>
      </c>
      <c r="K302">
        <v>183726.37</v>
      </c>
      <c r="L302">
        <v>43.58</v>
      </c>
      <c r="M302" t="s">
        <v>4271</v>
      </c>
      <c r="N302">
        <v>3423868</v>
      </c>
      <c r="O302">
        <v>10.119999999999999</v>
      </c>
      <c r="P302">
        <v>8.9499999999999993</v>
      </c>
      <c r="Q302">
        <v>2.93</v>
      </c>
      <c r="R302">
        <v>1.34</v>
      </c>
      <c r="S302">
        <v>1.78</v>
      </c>
      <c r="T302" t="s">
        <v>414</v>
      </c>
      <c r="U302">
        <v>2.71</v>
      </c>
      <c r="V302" t="s">
        <v>5056</v>
      </c>
      <c r="W302" t="s">
        <v>1438</v>
      </c>
      <c r="X302" t="s">
        <v>3832</v>
      </c>
      <c r="Y302" t="s">
        <v>4256</v>
      </c>
      <c r="Z302" t="s">
        <v>6148</v>
      </c>
      <c r="AA302">
        <v>4.3</v>
      </c>
      <c r="AB302" t="s">
        <v>357</v>
      </c>
      <c r="AC302" t="s">
        <v>6149</v>
      </c>
      <c r="AD302" t="s">
        <v>6150</v>
      </c>
      <c r="AE302" t="s">
        <v>6151</v>
      </c>
      <c r="AF302" t="s">
        <v>2646</v>
      </c>
      <c r="AG302" t="s">
        <v>3112</v>
      </c>
      <c r="AH302" t="s">
        <v>2542</v>
      </c>
      <c r="AI302" t="s">
        <v>465</v>
      </c>
      <c r="AJ302" t="s">
        <v>6152</v>
      </c>
      <c r="AK302" t="s">
        <v>6153</v>
      </c>
      <c r="AL302">
        <v>0.59</v>
      </c>
      <c r="AM302">
        <v>0.55000000000000004</v>
      </c>
      <c r="AN302">
        <v>1.65</v>
      </c>
      <c r="AO302" t="s">
        <v>4441</v>
      </c>
      <c r="AP302" t="s">
        <v>6154</v>
      </c>
      <c r="AQ302" t="s">
        <v>3955</v>
      </c>
      <c r="AR302" t="s">
        <v>2610</v>
      </c>
      <c r="AS302" t="s">
        <v>6155</v>
      </c>
      <c r="AT302" t="s">
        <v>124</v>
      </c>
      <c r="AU302" t="s">
        <v>6156</v>
      </c>
      <c r="AV302" t="s">
        <v>4255</v>
      </c>
      <c r="AW302" t="s">
        <v>2076</v>
      </c>
      <c r="AX302" t="s">
        <v>906</v>
      </c>
      <c r="AY302" t="s">
        <v>6157</v>
      </c>
      <c r="AZ302" t="s">
        <v>874</v>
      </c>
      <c r="BA302">
        <v>2.3199999999999998</v>
      </c>
      <c r="BB302">
        <v>18027.560000000001</v>
      </c>
      <c r="BC302">
        <v>0.67</v>
      </c>
      <c r="BD302">
        <v>43.35</v>
      </c>
      <c r="BE302">
        <v>43.71</v>
      </c>
      <c r="BF302">
        <v>43.45</v>
      </c>
      <c r="BG302" t="s">
        <v>6158</v>
      </c>
      <c r="BH302" t="s">
        <v>6159</v>
      </c>
      <c r="BI302" t="s">
        <v>6160</v>
      </c>
      <c r="BJ302" t="s">
        <v>101</v>
      </c>
      <c r="BK302" t="s">
        <v>6118</v>
      </c>
      <c r="BL302" t="s">
        <v>6161</v>
      </c>
      <c r="BM302" t="s">
        <v>6162</v>
      </c>
      <c r="BN302" t="s">
        <v>4063</v>
      </c>
    </row>
    <row r="303" spans="1:66" x14ac:dyDescent="0.25">
      <c r="A303" t="str">
        <f>HYPERLINK("https://elite.finviz.com/quote.ashx?t=SVC&amp;ty=c&amp;p=d&amp;b=1", "SVC")</f>
        <v>SVC</v>
      </c>
      <c r="B303">
        <v>7</v>
      </c>
      <c r="C303">
        <v>138.38</v>
      </c>
      <c r="D303">
        <v>49.27</v>
      </c>
      <c r="E303" t="s">
        <v>6163</v>
      </c>
      <c r="F303" t="s">
        <v>67</v>
      </c>
      <c r="G303" t="s">
        <v>68</v>
      </c>
      <c r="H303" t="s">
        <v>4145</v>
      </c>
      <c r="I303" t="s">
        <v>70</v>
      </c>
      <c r="J303" t="s">
        <v>321</v>
      </c>
      <c r="K303">
        <v>458.25</v>
      </c>
      <c r="L303">
        <v>2.75</v>
      </c>
      <c r="M303" t="s">
        <v>5036</v>
      </c>
      <c r="N303">
        <v>174213</v>
      </c>
      <c r="R303">
        <v>0.24</v>
      </c>
      <c r="S303">
        <v>0.66</v>
      </c>
      <c r="T303" t="s">
        <v>907</v>
      </c>
      <c r="U303">
        <v>0.04</v>
      </c>
      <c r="V303" t="s">
        <v>6164</v>
      </c>
      <c r="W303" t="s">
        <v>6165</v>
      </c>
      <c r="X303" t="s">
        <v>4138</v>
      </c>
      <c r="Y303" t="s">
        <v>5300</v>
      </c>
      <c r="AA303">
        <v>-1.68</v>
      </c>
      <c r="AB303" t="s">
        <v>6166</v>
      </c>
      <c r="AE303" t="s">
        <v>2294</v>
      </c>
      <c r="AF303" t="s">
        <v>4128</v>
      </c>
      <c r="AG303" t="s">
        <v>2162</v>
      </c>
      <c r="AH303" t="s">
        <v>1444</v>
      </c>
      <c r="AI303" t="s">
        <v>840</v>
      </c>
      <c r="AJ303" t="s">
        <v>164</v>
      </c>
      <c r="AK303" t="s">
        <v>6167</v>
      </c>
      <c r="AL303">
        <v>49.17</v>
      </c>
      <c r="AM303">
        <v>49.17</v>
      </c>
      <c r="AN303">
        <v>8.2200000000000006</v>
      </c>
      <c r="AO303" t="s">
        <v>2946</v>
      </c>
      <c r="AP303" t="s">
        <v>6168</v>
      </c>
      <c r="AQ303" t="s">
        <v>487</v>
      </c>
      <c r="AR303" t="s">
        <v>2662</v>
      </c>
      <c r="AS303" t="s">
        <v>1302</v>
      </c>
      <c r="AT303" t="s">
        <v>1413</v>
      </c>
      <c r="AU303" t="s">
        <v>1338</v>
      </c>
      <c r="AV303" t="s">
        <v>5460</v>
      </c>
      <c r="AW303" t="s">
        <v>3610</v>
      </c>
      <c r="AX303" t="s">
        <v>6169</v>
      </c>
      <c r="AY303" t="s">
        <v>6170</v>
      </c>
      <c r="AZ303" t="s">
        <v>6171</v>
      </c>
      <c r="BA303">
        <v>3</v>
      </c>
      <c r="BB303">
        <v>1464.22</v>
      </c>
      <c r="BC303">
        <v>0.42</v>
      </c>
      <c r="BD303">
        <v>2.73</v>
      </c>
      <c r="BE303">
        <v>2.78</v>
      </c>
      <c r="BF303">
        <v>2.73</v>
      </c>
      <c r="BG303" t="s">
        <v>6172</v>
      </c>
      <c r="BH303" t="s">
        <v>6173</v>
      </c>
      <c r="BI303" t="s">
        <v>6171</v>
      </c>
      <c r="BJ303" t="s">
        <v>101</v>
      </c>
      <c r="BK303" t="s">
        <v>5539</v>
      </c>
      <c r="BL303" t="s">
        <v>4267</v>
      </c>
      <c r="BM303" t="s">
        <v>6174</v>
      </c>
      <c r="BN303" t="s">
        <v>4063</v>
      </c>
    </row>
    <row r="304" spans="1:66" x14ac:dyDescent="0.25">
      <c r="A304" t="str">
        <f>HYPERLINK("https://elite.finviz.com/quote.ashx?t=MXL&amp;ty=c&amp;p=d&amp;b=1", "MXL")</f>
        <v>MXL</v>
      </c>
      <c r="B304">
        <v>7</v>
      </c>
      <c r="C304">
        <v>138.38</v>
      </c>
      <c r="D304">
        <v>49.29</v>
      </c>
      <c r="E304" t="s">
        <v>6175</v>
      </c>
      <c r="F304" t="s">
        <v>67</v>
      </c>
      <c r="G304" t="s">
        <v>108</v>
      </c>
      <c r="H304" t="s">
        <v>1808</v>
      </c>
      <c r="I304" t="s">
        <v>70</v>
      </c>
      <c r="J304" t="s">
        <v>321</v>
      </c>
      <c r="K304">
        <v>1389.74</v>
      </c>
      <c r="L304">
        <v>15.96</v>
      </c>
      <c r="M304" t="s">
        <v>5242</v>
      </c>
      <c r="N304">
        <v>138390</v>
      </c>
      <c r="P304">
        <v>20.239999999999998</v>
      </c>
      <c r="R304">
        <v>3.68</v>
      </c>
      <c r="S304">
        <v>2.84</v>
      </c>
      <c r="AA304">
        <v>-2.48</v>
      </c>
      <c r="AC304" t="s">
        <v>6176</v>
      </c>
      <c r="AE304" t="s">
        <v>4580</v>
      </c>
      <c r="AF304" t="s">
        <v>6177</v>
      </c>
      <c r="AG304" t="s">
        <v>2742</v>
      </c>
      <c r="AH304" t="s">
        <v>5394</v>
      </c>
      <c r="AI304" t="s">
        <v>821</v>
      </c>
      <c r="AJ304" t="s">
        <v>5746</v>
      </c>
      <c r="AK304" t="s">
        <v>6178</v>
      </c>
      <c r="AL304">
        <v>1.55</v>
      </c>
      <c r="AM304">
        <v>1.1399999999999999</v>
      </c>
      <c r="AN304">
        <v>0.3</v>
      </c>
      <c r="AO304" t="s">
        <v>6179</v>
      </c>
      <c r="AP304" t="s">
        <v>6180</v>
      </c>
      <c r="AQ304" t="s">
        <v>6181</v>
      </c>
      <c r="AR304" t="s">
        <v>1950</v>
      </c>
      <c r="AS304" t="s">
        <v>3520</v>
      </c>
      <c r="AT304" t="s">
        <v>4273</v>
      </c>
      <c r="AU304" t="s">
        <v>6182</v>
      </c>
      <c r="AV304" t="s">
        <v>6183</v>
      </c>
      <c r="AW304" t="s">
        <v>3203</v>
      </c>
      <c r="AX304" t="s">
        <v>6184</v>
      </c>
      <c r="AY304" t="s">
        <v>5819</v>
      </c>
      <c r="AZ304" t="s">
        <v>6185</v>
      </c>
      <c r="BA304">
        <v>2.27</v>
      </c>
      <c r="BB304">
        <v>1473.95</v>
      </c>
      <c r="BC304">
        <v>0.33</v>
      </c>
      <c r="BD304">
        <v>15.96</v>
      </c>
      <c r="BE304">
        <v>15.96</v>
      </c>
      <c r="BF304">
        <v>15.77</v>
      </c>
      <c r="BG304" t="s">
        <v>6186</v>
      </c>
      <c r="BH304" t="s">
        <v>6187</v>
      </c>
      <c r="BI304" t="s">
        <v>6188</v>
      </c>
      <c r="BJ304" t="s">
        <v>101</v>
      </c>
      <c r="BK304" t="s">
        <v>2337</v>
      </c>
      <c r="BL304" t="s">
        <v>392</v>
      </c>
      <c r="BM304" t="s">
        <v>3127</v>
      </c>
      <c r="BN304" t="s">
        <v>4063</v>
      </c>
    </row>
    <row r="305" spans="1:66" x14ac:dyDescent="0.25">
      <c r="A305" t="str">
        <f>HYPERLINK("https://elite.finviz.com/quote.ashx?t=XPO&amp;ty=c&amp;p=d&amp;b=1", "XPO")</f>
        <v>XPO</v>
      </c>
      <c r="B305">
        <v>7</v>
      </c>
      <c r="C305">
        <v>138.38</v>
      </c>
      <c r="D305">
        <v>49.32</v>
      </c>
      <c r="E305" t="s">
        <v>6189</v>
      </c>
      <c r="F305" t="s">
        <v>107</v>
      </c>
      <c r="G305" t="s">
        <v>260</v>
      </c>
      <c r="H305" t="s">
        <v>6190</v>
      </c>
      <c r="I305" t="s">
        <v>70</v>
      </c>
      <c r="J305" t="s">
        <v>71</v>
      </c>
      <c r="K305">
        <v>15333.8</v>
      </c>
      <c r="L305">
        <v>130.21</v>
      </c>
      <c r="M305" t="s">
        <v>969</v>
      </c>
      <c r="N305">
        <v>52845</v>
      </c>
      <c r="O305">
        <v>45.04</v>
      </c>
      <c r="P305">
        <v>28.23</v>
      </c>
      <c r="Q305">
        <v>3.55</v>
      </c>
      <c r="R305">
        <v>1.91</v>
      </c>
      <c r="S305">
        <v>8.61</v>
      </c>
      <c r="Z305" t="s">
        <v>164</v>
      </c>
      <c r="AA305">
        <v>2.89</v>
      </c>
      <c r="AB305" t="s">
        <v>1769</v>
      </c>
      <c r="AC305" t="s">
        <v>4150</v>
      </c>
      <c r="AD305" t="s">
        <v>2622</v>
      </c>
      <c r="AE305" t="s">
        <v>4699</v>
      </c>
      <c r="AF305" t="s">
        <v>3170</v>
      </c>
      <c r="AG305" t="s">
        <v>6191</v>
      </c>
      <c r="AH305" t="s">
        <v>4237</v>
      </c>
      <c r="AI305" t="s">
        <v>3088</v>
      </c>
      <c r="AJ305" t="s">
        <v>6192</v>
      </c>
      <c r="AK305" t="s">
        <v>6193</v>
      </c>
      <c r="AL305">
        <v>1.02</v>
      </c>
      <c r="AM305">
        <v>1.02</v>
      </c>
      <c r="AN305">
        <v>2.34</v>
      </c>
      <c r="AO305" t="s">
        <v>5656</v>
      </c>
      <c r="AP305" t="s">
        <v>863</v>
      </c>
      <c r="AQ305" t="s">
        <v>3443</v>
      </c>
      <c r="AR305" t="s">
        <v>744</v>
      </c>
      <c r="AS305" t="s">
        <v>911</v>
      </c>
      <c r="AT305" t="s">
        <v>6194</v>
      </c>
      <c r="AU305" t="s">
        <v>149</v>
      </c>
      <c r="AV305" t="s">
        <v>3520</v>
      </c>
      <c r="AW305" t="s">
        <v>6195</v>
      </c>
      <c r="AX305" t="s">
        <v>6196</v>
      </c>
      <c r="AY305" t="s">
        <v>6197</v>
      </c>
      <c r="AZ305" t="s">
        <v>6198</v>
      </c>
      <c r="BA305">
        <v>1.59</v>
      </c>
      <c r="BB305">
        <v>1178.07</v>
      </c>
      <c r="BC305">
        <v>0.16</v>
      </c>
      <c r="BD305">
        <v>129.15</v>
      </c>
      <c r="BE305">
        <v>131.63999999999999</v>
      </c>
      <c r="BF305">
        <v>129.55000000000001</v>
      </c>
      <c r="BG305" t="s">
        <v>6199</v>
      </c>
      <c r="BH305" t="s">
        <v>6197</v>
      </c>
      <c r="BI305" t="s">
        <v>6200</v>
      </c>
      <c r="BJ305" t="s">
        <v>101</v>
      </c>
      <c r="BK305" t="s">
        <v>4891</v>
      </c>
      <c r="BL305" t="s">
        <v>6201</v>
      </c>
      <c r="BM305" t="s">
        <v>6202</v>
      </c>
      <c r="BN305" t="s">
        <v>4063</v>
      </c>
    </row>
    <row r="306" spans="1:66" x14ac:dyDescent="0.25">
      <c r="A306" t="str">
        <f>HYPERLINK("https://elite.finviz.com/quote.ashx?t=PHAT&amp;ty=c&amp;p=d&amp;b=1", "PHAT")</f>
        <v>PHAT</v>
      </c>
      <c r="B306">
        <v>7</v>
      </c>
      <c r="C306">
        <v>138.38</v>
      </c>
      <c r="D306">
        <v>49.32</v>
      </c>
      <c r="E306" t="s">
        <v>6203</v>
      </c>
      <c r="F306" t="s">
        <v>67</v>
      </c>
      <c r="G306" t="s">
        <v>428</v>
      </c>
      <c r="H306" t="s">
        <v>429</v>
      </c>
      <c r="I306" t="s">
        <v>70</v>
      </c>
      <c r="J306" t="s">
        <v>321</v>
      </c>
      <c r="K306">
        <v>806.27</v>
      </c>
      <c r="L306">
        <v>11.36</v>
      </c>
      <c r="M306" t="s">
        <v>6204</v>
      </c>
      <c r="N306">
        <v>255154</v>
      </c>
      <c r="R306">
        <v>7.07</v>
      </c>
      <c r="AA306">
        <v>-4.7300000000000004</v>
      </c>
      <c r="AB306" t="s">
        <v>6205</v>
      </c>
      <c r="AC306" t="s">
        <v>6206</v>
      </c>
      <c r="AE306" t="s">
        <v>6207</v>
      </c>
      <c r="AH306" t="s">
        <v>6208</v>
      </c>
      <c r="AI306" t="s">
        <v>1812</v>
      </c>
      <c r="AJ306" t="s">
        <v>1083</v>
      </c>
      <c r="AK306" t="s">
        <v>6209</v>
      </c>
      <c r="AL306">
        <v>2.38</v>
      </c>
      <c r="AM306">
        <v>2.35</v>
      </c>
      <c r="AO306" t="s">
        <v>6210</v>
      </c>
      <c r="AP306" t="s">
        <v>6211</v>
      </c>
      <c r="AQ306" t="s">
        <v>6212</v>
      </c>
      <c r="AR306" t="s">
        <v>713</v>
      </c>
      <c r="AS306" t="s">
        <v>1204</v>
      </c>
      <c r="AT306" t="s">
        <v>1149</v>
      </c>
      <c r="AU306" t="s">
        <v>3432</v>
      </c>
      <c r="AV306" t="s">
        <v>6213</v>
      </c>
      <c r="AW306" t="s">
        <v>6214</v>
      </c>
      <c r="AX306" t="s">
        <v>6215</v>
      </c>
      <c r="AY306" t="s">
        <v>6216</v>
      </c>
      <c r="AZ306" t="s">
        <v>6217</v>
      </c>
      <c r="BA306">
        <v>1.25</v>
      </c>
      <c r="BB306">
        <v>1100.67</v>
      </c>
      <c r="BC306">
        <v>0.82</v>
      </c>
      <c r="BD306">
        <v>11.66</v>
      </c>
      <c r="BE306">
        <v>11.95</v>
      </c>
      <c r="BF306">
        <v>11.31</v>
      </c>
      <c r="BG306" t="s">
        <v>6218</v>
      </c>
      <c r="BH306" t="s">
        <v>6219</v>
      </c>
      <c r="BI306" t="s">
        <v>6217</v>
      </c>
      <c r="BJ306" t="s">
        <v>101</v>
      </c>
      <c r="BK306" t="s">
        <v>5747</v>
      </c>
      <c r="BL306" t="s">
        <v>6220</v>
      </c>
      <c r="BM306" t="s">
        <v>6221</v>
      </c>
      <c r="BN306" t="s">
        <v>4063</v>
      </c>
    </row>
    <row r="307" spans="1:66" x14ac:dyDescent="0.25">
      <c r="A307" t="str">
        <f>HYPERLINK("https://elite.finviz.com/quote.ashx?t=HD&amp;ty=c&amp;p=d&amp;b=1", "HD")</f>
        <v>HD</v>
      </c>
      <c r="B307">
        <v>7</v>
      </c>
      <c r="C307">
        <v>138.38</v>
      </c>
      <c r="D307">
        <v>49.36</v>
      </c>
      <c r="E307" t="s">
        <v>6222</v>
      </c>
      <c r="F307" t="s">
        <v>1759</v>
      </c>
      <c r="G307" t="s">
        <v>813</v>
      </c>
      <c r="H307" t="s">
        <v>4265</v>
      </c>
      <c r="I307" t="s">
        <v>70</v>
      </c>
      <c r="J307" t="s">
        <v>71</v>
      </c>
      <c r="K307">
        <v>407028.52</v>
      </c>
      <c r="L307">
        <v>408.92</v>
      </c>
      <c r="M307" t="s">
        <v>2642</v>
      </c>
      <c r="N307">
        <v>550198</v>
      </c>
      <c r="O307">
        <v>27.78</v>
      </c>
      <c r="P307">
        <v>25.13</v>
      </c>
      <c r="Q307">
        <v>5.34</v>
      </c>
      <c r="R307">
        <v>2.4700000000000002</v>
      </c>
      <c r="S307">
        <v>38.15</v>
      </c>
      <c r="T307" t="s">
        <v>2868</v>
      </c>
      <c r="U307">
        <v>9.15</v>
      </c>
      <c r="V307" t="s">
        <v>6223</v>
      </c>
      <c r="W307" t="s">
        <v>1207</v>
      </c>
      <c r="X307" t="s">
        <v>4067</v>
      </c>
      <c r="Y307" t="s">
        <v>237</v>
      </c>
      <c r="Z307" t="s">
        <v>6224</v>
      </c>
      <c r="AA307">
        <v>14.72</v>
      </c>
      <c r="AB307" t="s">
        <v>1787</v>
      </c>
      <c r="AC307" t="s">
        <v>6225</v>
      </c>
      <c r="AD307" t="s">
        <v>6226</v>
      </c>
      <c r="AE307" t="s">
        <v>466</v>
      </c>
      <c r="AF307" t="s">
        <v>3925</v>
      </c>
      <c r="AG307" t="s">
        <v>327</v>
      </c>
      <c r="AH307" t="s">
        <v>5100</v>
      </c>
      <c r="AI307" t="s">
        <v>1067</v>
      </c>
      <c r="AJ307" t="s">
        <v>6227</v>
      </c>
      <c r="AK307" t="s">
        <v>6228</v>
      </c>
      <c r="AL307">
        <v>1.1499999999999999</v>
      </c>
      <c r="AM307">
        <v>0.34</v>
      </c>
      <c r="AN307">
        <v>5.75</v>
      </c>
      <c r="AO307" t="s">
        <v>6229</v>
      </c>
      <c r="AP307" t="s">
        <v>3430</v>
      </c>
      <c r="AQ307" t="s">
        <v>716</v>
      </c>
      <c r="AR307" t="s">
        <v>1417</v>
      </c>
      <c r="AS307" t="s">
        <v>4856</v>
      </c>
      <c r="AT307" t="s">
        <v>2826</v>
      </c>
      <c r="AU307" t="s">
        <v>387</v>
      </c>
      <c r="AV307" t="s">
        <v>2823</v>
      </c>
      <c r="AW307" t="s">
        <v>6080</v>
      </c>
      <c r="AX307" t="s">
        <v>6230</v>
      </c>
      <c r="AY307" t="s">
        <v>6231</v>
      </c>
      <c r="AZ307" t="s">
        <v>796</v>
      </c>
      <c r="BA307">
        <v>1.82</v>
      </c>
      <c r="BB307">
        <v>3616.22</v>
      </c>
      <c r="BC307">
        <v>0.54</v>
      </c>
      <c r="BD307">
        <v>407.45</v>
      </c>
      <c r="BE307">
        <v>410.42</v>
      </c>
      <c r="BF307">
        <v>405.84</v>
      </c>
      <c r="BG307" t="s">
        <v>6232</v>
      </c>
      <c r="BH307" t="s">
        <v>6231</v>
      </c>
      <c r="BI307" t="s">
        <v>6233</v>
      </c>
      <c r="BJ307" t="s">
        <v>101</v>
      </c>
      <c r="BK307" t="s">
        <v>6234</v>
      </c>
      <c r="BL307" t="s">
        <v>2724</v>
      </c>
      <c r="BM307" t="s">
        <v>5263</v>
      </c>
      <c r="BN307" t="s">
        <v>4063</v>
      </c>
    </row>
    <row r="308" spans="1:66" x14ac:dyDescent="0.25">
      <c r="A308" t="str">
        <f>HYPERLINK("https://elite.finviz.com/quote.ashx?t=S&amp;ty=c&amp;p=d&amp;b=1", "S")</f>
        <v>S</v>
      </c>
      <c r="B308">
        <v>7</v>
      </c>
      <c r="C308">
        <v>138.38</v>
      </c>
      <c r="D308">
        <v>49.37</v>
      </c>
      <c r="E308" t="s">
        <v>6235</v>
      </c>
      <c r="F308" t="s">
        <v>107</v>
      </c>
      <c r="G308" t="s">
        <v>108</v>
      </c>
      <c r="H308" t="s">
        <v>109</v>
      </c>
      <c r="I308" t="s">
        <v>70</v>
      </c>
      <c r="J308" t="s">
        <v>71</v>
      </c>
      <c r="K308">
        <v>6024.96</v>
      </c>
      <c r="L308">
        <v>18.059999999999999</v>
      </c>
      <c r="M308" t="s">
        <v>3486</v>
      </c>
      <c r="N308">
        <v>762170</v>
      </c>
      <c r="P308">
        <v>55.65</v>
      </c>
      <c r="R308">
        <v>6.64</v>
      </c>
      <c r="S308">
        <v>3.98</v>
      </c>
      <c r="AA308">
        <v>-1.32</v>
      </c>
      <c r="AB308" t="s">
        <v>5132</v>
      </c>
      <c r="AC308" t="s">
        <v>6236</v>
      </c>
      <c r="AD308" t="s">
        <v>6237</v>
      </c>
      <c r="AE308" t="s">
        <v>6238</v>
      </c>
      <c r="AF308" t="s">
        <v>6239</v>
      </c>
      <c r="AG308" t="s">
        <v>6240</v>
      </c>
      <c r="AH308" t="s">
        <v>3375</v>
      </c>
      <c r="AI308" t="s">
        <v>1724</v>
      </c>
      <c r="AJ308" t="s">
        <v>4595</v>
      </c>
      <c r="AK308" t="s">
        <v>6241</v>
      </c>
      <c r="AL308">
        <v>1.72</v>
      </c>
      <c r="AM308">
        <v>1.72</v>
      </c>
      <c r="AN308">
        <v>0.01</v>
      </c>
      <c r="AO308" t="s">
        <v>6242</v>
      </c>
      <c r="AP308" t="s">
        <v>6243</v>
      </c>
      <c r="AQ308" t="s">
        <v>6244</v>
      </c>
      <c r="AR308" t="s">
        <v>2495</v>
      </c>
      <c r="AS308" t="s">
        <v>2941</v>
      </c>
      <c r="AT308" t="s">
        <v>3967</v>
      </c>
      <c r="AU308" t="s">
        <v>6245</v>
      </c>
      <c r="AV308" t="s">
        <v>6246</v>
      </c>
      <c r="AW308" t="s">
        <v>6247</v>
      </c>
      <c r="AX308" t="s">
        <v>3490</v>
      </c>
      <c r="AY308" t="s">
        <v>6248</v>
      </c>
      <c r="AZ308" t="s">
        <v>6249</v>
      </c>
      <c r="BA308">
        <v>1.82</v>
      </c>
      <c r="BB308">
        <v>7092.21</v>
      </c>
      <c r="BC308">
        <v>0.38</v>
      </c>
      <c r="BD308">
        <v>18.14</v>
      </c>
      <c r="BE308">
        <v>18.170000000000002</v>
      </c>
      <c r="BF308">
        <v>17.95</v>
      </c>
      <c r="BG308" t="s">
        <v>6250</v>
      </c>
      <c r="BH308" t="s">
        <v>6251</v>
      </c>
      <c r="BI308" t="s">
        <v>6252</v>
      </c>
      <c r="BJ308" t="s">
        <v>101</v>
      </c>
      <c r="BK308" t="s">
        <v>102</v>
      </c>
      <c r="BL308" t="s">
        <v>6253</v>
      </c>
      <c r="BM308" t="s">
        <v>6254</v>
      </c>
      <c r="BN308" t="s">
        <v>4063</v>
      </c>
    </row>
    <row r="309" spans="1:66" x14ac:dyDescent="0.25">
      <c r="A309" t="str">
        <f>HYPERLINK("https://elite.finviz.com/quote.ashx?t=ADPT&amp;ty=c&amp;p=d&amp;b=1", "ADPT")</f>
        <v>ADPT</v>
      </c>
      <c r="B309">
        <v>7</v>
      </c>
      <c r="C309">
        <v>138.38</v>
      </c>
      <c r="D309">
        <v>49.44</v>
      </c>
      <c r="E309" t="s">
        <v>6255</v>
      </c>
      <c r="F309" t="s">
        <v>67</v>
      </c>
      <c r="G309" t="s">
        <v>428</v>
      </c>
      <c r="H309" t="s">
        <v>429</v>
      </c>
      <c r="I309" t="s">
        <v>70</v>
      </c>
      <c r="J309" t="s">
        <v>321</v>
      </c>
      <c r="K309">
        <v>1955.81</v>
      </c>
      <c r="L309">
        <v>12.84</v>
      </c>
      <c r="M309" t="s">
        <v>6256</v>
      </c>
      <c r="N309">
        <v>327009</v>
      </c>
      <c r="R309">
        <v>9.5299999999999994</v>
      </c>
      <c r="S309">
        <v>10.88</v>
      </c>
      <c r="AA309">
        <v>-0.81</v>
      </c>
      <c r="AB309" t="s">
        <v>1558</v>
      </c>
      <c r="AC309" t="s">
        <v>6257</v>
      </c>
      <c r="AD309" t="s">
        <v>6258</v>
      </c>
      <c r="AE309" t="s">
        <v>2885</v>
      </c>
      <c r="AF309" t="s">
        <v>2744</v>
      </c>
      <c r="AG309" t="s">
        <v>325</v>
      </c>
      <c r="AH309" t="s">
        <v>6259</v>
      </c>
      <c r="AI309" t="s">
        <v>6260</v>
      </c>
      <c r="AJ309" t="s">
        <v>2826</v>
      </c>
      <c r="AK309" t="s">
        <v>6261</v>
      </c>
      <c r="AL309">
        <v>2.84</v>
      </c>
      <c r="AM309">
        <v>2.75</v>
      </c>
      <c r="AN309">
        <v>1.21</v>
      </c>
      <c r="AO309" t="s">
        <v>6262</v>
      </c>
      <c r="AP309" t="s">
        <v>6263</v>
      </c>
      <c r="AQ309" t="s">
        <v>6264</v>
      </c>
      <c r="AR309" t="s">
        <v>1254</v>
      </c>
      <c r="AS309" t="s">
        <v>5591</v>
      </c>
      <c r="AT309" t="s">
        <v>6265</v>
      </c>
      <c r="AU309" t="s">
        <v>3343</v>
      </c>
      <c r="AV309" t="s">
        <v>839</v>
      </c>
      <c r="AW309" t="s">
        <v>6266</v>
      </c>
      <c r="AX309" t="s">
        <v>6267</v>
      </c>
      <c r="AY309" t="s">
        <v>6266</v>
      </c>
      <c r="AZ309" t="s">
        <v>6268</v>
      </c>
      <c r="BA309">
        <v>1.29</v>
      </c>
      <c r="BB309">
        <v>2091.7399999999998</v>
      </c>
      <c r="BC309">
        <v>0.55000000000000004</v>
      </c>
      <c r="BD309">
        <v>13.13</v>
      </c>
      <c r="BE309">
        <v>13.18</v>
      </c>
      <c r="BF309">
        <v>12.84</v>
      </c>
      <c r="BG309" t="s">
        <v>6269</v>
      </c>
      <c r="BH309" t="s">
        <v>6270</v>
      </c>
      <c r="BI309" t="s">
        <v>6271</v>
      </c>
      <c r="BJ309" t="s">
        <v>101</v>
      </c>
      <c r="BK309" t="s">
        <v>6272</v>
      </c>
      <c r="BL309" t="s">
        <v>6273</v>
      </c>
      <c r="BM309" t="s">
        <v>6274</v>
      </c>
      <c r="BN309" t="s">
        <v>4063</v>
      </c>
    </row>
    <row r="310" spans="1:66" x14ac:dyDescent="0.25">
      <c r="A310" t="str">
        <f>HYPERLINK("https://elite.finviz.com/quote.ashx?t=KOPN&amp;ty=c&amp;p=d&amp;b=1", "KOPN")</f>
        <v>KOPN</v>
      </c>
      <c r="B310">
        <v>7</v>
      </c>
      <c r="C310">
        <v>138.38</v>
      </c>
      <c r="D310">
        <v>49.47</v>
      </c>
      <c r="E310" t="s">
        <v>6275</v>
      </c>
      <c r="F310" t="s">
        <v>67</v>
      </c>
      <c r="G310" t="s">
        <v>108</v>
      </c>
      <c r="H310" t="s">
        <v>3346</v>
      </c>
      <c r="I310" t="s">
        <v>70</v>
      </c>
      <c r="J310" t="s">
        <v>321</v>
      </c>
      <c r="K310">
        <v>370.39</v>
      </c>
      <c r="L310">
        <v>2.2799999999999998</v>
      </c>
      <c r="M310" t="s">
        <v>6276</v>
      </c>
      <c r="N310">
        <v>771624</v>
      </c>
      <c r="R310">
        <v>7.89</v>
      </c>
      <c r="S310">
        <v>22.21</v>
      </c>
      <c r="AA310">
        <v>-0.09</v>
      </c>
      <c r="AB310" t="s">
        <v>6277</v>
      </c>
      <c r="AC310" t="s">
        <v>5420</v>
      </c>
      <c r="AE310" t="s">
        <v>6278</v>
      </c>
      <c r="AF310" t="s">
        <v>3636</v>
      </c>
      <c r="AG310" t="s">
        <v>483</v>
      </c>
      <c r="AH310" t="s">
        <v>6279</v>
      </c>
      <c r="AI310" t="s">
        <v>6280</v>
      </c>
      <c r="AJ310" t="s">
        <v>164</v>
      </c>
      <c r="AK310" t="s">
        <v>4625</v>
      </c>
      <c r="AL310">
        <v>1.27</v>
      </c>
      <c r="AM310">
        <v>1.1100000000000001</v>
      </c>
      <c r="AN310">
        <v>0.14000000000000001</v>
      </c>
      <c r="AO310" t="s">
        <v>2818</v>
      </c>
      <c r="AP310" t="s">
        <v>6281</v>
      </c>
      <c r="AQ310" t="s">
        <v>6282</v>
      </c>
      <c r="AR310" t="s">
        <v>224</v>
      </c>
      <c r="AS310" t="s">
        <v>1533</v>
      </c>
      <c r="AT310" t="s">
        <v>3328</v>
      </c>
      <c r="AU310" t="s">
        <v>4293</v>
      </c>
      <c r="AV310" t="s">
        <v>6283</v>
      </c>
      <c r="AW310" t="s">
        <v>6284</v>
      </c>
      <c r="AX310" t="s">
        <v>6285</v>
      </c>
      <c r="AY310" t="s">
        <v>6284</v>
      </c>
      <c r="AZ310" t="s">
        <v>6286</v>
      </c>
      <c r="BA310">
        <v>1</v>
      </c>
      <c r="BB310">
        <v>3833.24</v>
      </c>
      <c r="BC310">
        <v>0.71</v>
      </c>
      <c r="BD310">
        <v>2.34</v>
      </c>
      <c r="BE310">
        <v>2.37</v>
      </c>
      <c r="BF310">
        <v>2.25</v>
      </c>
      <c r="BG310" t="s">
        <v>6287</v>
      </c>
      <c r="BH310" t="s">
        <v>6288</v>
      </c>
      <c r="BI310" t="s">
        <v>6289</v>
      </c>
      <c r="BJ310" t="s">
        <v>101</v>
      </c>
      <c r="BK310" t="s">
        <v>5241</v>
      </c>
      <c r="BL310" t="s">
        <v>6290</v>
      </c>
      <c r="BM310" t="s">
        <v>6291</v>
      </c>
      <c r="BN310" t="s">
        <v>4063</v>
      </c>
    </row>
    <row r="311" spans="1:66" x14ac:dyDescent="0.25">
      <c r="A311" t="str">
        <f>HYPERLINK("https://elite.finviz.com/quote.ashx?t=IVVD&amp;ty=c&amp;p=d&amp;b=1", "IVVD")</f>
        <v>IVVD</v>
      </c>
      <c r="B311">
        <v>7</v>
      </c>
      <c r="C311">
        <v>138.38</v>
      </c>
      <c r="D311">
        <v>49.48</v>
      </c>
      <c r="E311" t="s">
        <v>6292</v>
      </c>
      <c r="F311" t="s">
        <v>107</v>
      </c>
      <c r="G311" t="s">
        <v>428</v>
      </c>
      <c r="H311" t="s">
        <v>429</v>
      </c>
      <c r="I311" t="s">
        <v>70</v>
      </c>
      <c r="J311" t="s">
        <v>321</v>
      </c>
      <c r="K311">
        <v>209.58</v>
      </c>
      <c r="L311">
        <v>1.08</v>
      </c>
      <c r="M311" t="s">
        <v>3859</v>
      </c>
      <c r="N311">
        <v>818656</v>
      </c>
      <c r="P311">
        <v>6.14</v>
      </c>
      <c r="R311">
        <v>4.54</v>
      </c>
      <c r="S311">
        <v>3.02</v>
      </c>
      <c r="AA311">
        <v>-0.92</v>
      </c>
      <c r="AB311" t="s">
        <v>6293</v>
      </c>
      <c r="AC311" t="s">
        <v>6294</v>
      </c>
      <c r="AE311" t="s">
        <v>6295</v>
      </c>
      <c r="AH311" t="s">
        <v>6296</v>
      </c>
      <c r="AI311" t="s">
        <v>6297</v>
      </c>
      <c r="AJ311" t="s">
        <v>6298</v>
      </c>
      <c r="AK311" t="s">
        <v>6299</v>
      </c>
      <c r="AL311">
        <v>1.33</v>
      </c>
      <c r="AM311">
        <v>1.32</v>
      </c>
      <c r="AN311">
        <v>7.0000000000000007E-2</v>
      </c>
      <c r="AO311" t="s">
        <v>6300</v>
      </c>
      <c r="AP311" t="s">
        <v>6301</v>
      </c>
      <c r="AQ311" t="s">
        <v>6302</v>
      </c>
      <c r="AR311" t="s">
        <v>6106</v>
      </c>
      <c r="AS311" t="s">
        <v>1549</v>
      </c>
      <c r="AT311" t="s">
        <v>6303</v>
      </c>
      <c r="AU311" t="s">
        <v>3103</v>
      </c>
      <c r="AV311" t="s">
        <v>6304</v>
      </c>
      <c r="AW311" t="s">
        <v>6305</v>
      </c>
      <c r="AX311" t="s">
        <v>6306</v>
      </c>
      <c r="AY311" t="s">
        <v>6307</v>
      </c>
      <c r="AZ311" t="s">
        <v>6308</v>
      </c>
      <c r="BA311">
        <v>1</v>
      </c>
      <c r="BB311">
        <v>5518.18</v>
      </c>
      <c r="BC311">
        <v>0.52</v>
      </c>
      <c r="BD311">
        <v>1.1399999999999999</v>
      </c>
      <c r="BE311">
        <v>1.1499999999999999</v>
      </c>
      <c r="BF311">
        <v>1.07</v>
      </c>
      <c r="BG311" t="s">
        <v>6309</v>
      </c>
      <c r="BH311" t="s">
        <v>6310</v>
      </c>
      <c r="BI311" t="s">
        <v>6308</v>
      </c>
      <c r="BJ311" t="s">
        <v>101</v>
      </c>
      <c r="BK311" t="s">
        <v>6311</v>
      </c>
      <c r="BL311" t="s">
        <v>6312</v>
      </c>
      <c r="BM311" t="s">
        <v>1510</v>
      </c>
      <c r="BN311" t="s">
        <v>4063</v>
      </c>
    </row>
    <row r="312" spans="1:66" x14ac:dyDescent="0.25">
      <c r="A312" t="str">
        <f>HYPERLINK("https://elite.finviz.com/quote.ashx?t=MODG&amp;ty=c&amp;p=d&amp;b=1", "MODG")</f>
        <v>MODG</v>
      </c>
      <c r="B312">
        <v>7</v>
      </c>
      <c r="C312">
        <v>138.38</v>
      </c>
      <c r="D312">
        <v>49.49</v>
      </c>
      <c r="E312" t="s">
        <v>6313</v>
      </c>
      <c r="F312" t="s">
        <v>67</v>
      </c>
      <c r="G312" t="s">
        <v>813</v>
      </c>
      <c r="H312" t="s">
        <v>5941</v>
      </c>
      <c r="I312" t="s">
        <v>70</v>
      </c>
      <c r="J312" t="s">
        <v>71</v>
      </c>
      <c r="K312">
        <v>1710.87</v>
      </c>
      <c r="L312">
        <v>9.31</v>
      </c>
      <c r="M312" t="s">
        <v>1279</v>
      </c>
      <c r="N312">
        <v>282473</v>
      </c>
      <c r="R312">
        <v>0.41</v>
      </c>
      <c r="S312">
        <v>0.69</v>
      </c>
      <c r="V312" t="s">
        <v>6314</v>
      </c>
      <c r="AA312">
        <v>-8.1300000000000008</v>
      </c>
      <c r="AE312" t="s">
        <v>1690</v>
      </c>
      <c r="AF312" t="s">
        <v>6315</v>
      </c>
      <c r="AG312" t="s">
        <v>6316</v>
      </c>
      <c r="AH312" t="s">
        <v>2288</v>
      </c>
      <c r="AI312" t="s">
        <v>6317</v>
      </c>
      <c r="AJ312" t="s">
        <v>907</v>
      </c>
      <c r="AK312" t="s">
        <v>6318</v>
      </c>
      <c r="AL312">
        <v>1.85</v>
      </c>
      <c r="AM312">
        <v>1.25</v>
      </c>
      <c r="AN312">
        <v>1.78</v>
      </c>
      <c r="AO312" t="s">
        <v>5417</v>
      </c>
      <c r="AP312" t="s">
        <v>3887</v>
      </c>
      <c r="AQ312" t="s">
        <v>6319</v>
      </c>
      <c r="AR312" t="s">
        <v>1391</v>
      </c>
      <c r="AS312" t="s">
        <v>2764</v>
      </c>
      <c r="AT312" t="s">
        <v>1445</v>
      </c>
      <c r="AU312" t="s">
        <v>4203</v>
      </c>
      <c r="AV312" t="s">
        <v>5970</v>
      </c>
      <c r="AW312" t="s">
        <v>2433</v>
      </c>
      <c r="AX312" t="s">
        <v>2737</v>
      </c>
      <c r="AY312" t="s">
        <v>6320</v>
      </c>
      <c r="AZ312" t="s">
        <v>6321</v>
      </c>
      <c r="BA312">
        <v>2.5</v>
      </c>
      <c r="BB312">
        <v>2594.08</v>
      </c>
      <c r="BC312">
        <v>0.38</v>
      </c>
      <c r="BD312">
        <v>9.1999999999999993</v>
      </c>
      <c r="BE312">
        <v>9.43</v>
      </c>
      <c r="BF312">
        <v>9.15</v>
      </c>
      <c r="BG312" t="s">
        <v>6322</v>
      </c>
      <c r="BH312" t="s">
        <v>6323</v>
      </c>
      <c r="BI312" t="s">
        <v>6324</v>
      </c>
      <c r="BJ312" t="s">
        <v>101</v>
      </c>
      <c r="BK312" t="s">
        <v>6184</v>
      </c>
      <c r="BL312" t="s">
        <v>6325</v>
      </c>
      <c r="BM312" t="s">
        <v>6326</v>
      </c>
      <c r="BN312" t="s">
        <v>4063</v>
      </c>
    </row>
    <row r="313" spans="1:66" x14ac:dyDescent="0.25">
      <c r="A313" t="str">
        <f>HYPERLINK("https://elite.finviz.com/quote.ashx?t=NNN&amp;ty=c&amp;p=d&amp;b=1", "NNN")</f>
        <v>NNN</v>
      </c>
      <c r="B313">
        <v>7</v>
      </c>
      <c r="C313">
        <v>138.38</v>
      </c>
      <c r="D313">
        <v>49.51</v>
      </c>
      <c r="E313" t="s">
        <v>6327</v>
      </c>
      <c r="F313" t="s">
        <v>107</v>
      </c>
      <c r="G313" t="s">
        <v>68</v>
      </c>
      <c r="H313" t="s">
        <v>160</v>
      </c>
      <c r="I313" t="s">
        <v>70</v>
      </c>
      <c r="J313" t="s">
        <v>71</v>
      </c>
      <c r="K313">
        <v>7986.23</v>
      </c>
      <c r="L313">
        <v>42.3</v>
      </c>
      <c r="M313" t="s">
        <v>5253</v>
      </c>
      <c r="N313">
        <v>210751</v>
      </c>
      <c r="O313">
        <v>20.11</v>
      </c>
      <c r="P313">
        <v>20.96</v>
      </c>
      <c r="R313">
        <v>8.93</v>
      </c>
      <c r="S313">
        <v>1.83</v>
      </c>
      <c r="T313" t="s">
        <v>892</v>
      </c>
      <c r="U313">
        <v>2.34</v>
      </c>
      <c r="V313" t="s">
        <v>5604</v>
      </c>
      <c r="W313" t="s">
        <v>1768</v>
      </c>
      <c r="X313" t="s">
        <v>307</v>
      </c>
      <c r="Y313" t="s">
        <v>4800</v>
      </c>
      <c r="Z313" t="s">
        <v>6328</v>
      </c>
      <c r="AA313">
        <v>2.1</v>
      </c>
      <c r="AB313" t="s">
        <v>6329</v>
      </c>
      <c r="AC313" t="s">
        <v>6330</v>
      </c>
      <c r="AD313" t="s">
        <v>4963</v>
      </c>
      <c r="AE313" t="s">
        <v>454</v>
      </c>
      <c r="AF313" t="s">
        <v>2776</v>
      </c>
      <c r="AG313" t="s">
        <v>3066</v>
      </c>
      <c r="AH313" t="s">
        <v>1872</v>
      </c>
      <c r="AI313" t="s">
        <v>6331</v>
      </c>
      <c r="AJ313" t="s">
        <v>5424</v>
      </c>
      <c r="AK313" t="s">
        <v>6332</v>
      </c>
      <c r="AL313">
        <v>0.1</v>
      </c>
      <c r="AM313">
        <v>0.1</v>
      </c>
      <c r="AN313">
        <v>1.07</v>
      </c>
      <c r="AO313" t="s">
        <v>6333</v>
      </c>
      <c r="AP313" t="s">
        <v>6334</v>
      </c>
      <c r="AQ313" t="s">
        <v>6335</v>
      </c>
      <c r="AR313" t="s">
        <v>5166</v>
      </c>
      <c r="AS313" t="s">
        <v>5692</v>
      </c>
      <c r="AT313" t="s">
        <v>1938</v>
      </c>
      <c r="AU313" t="s">
        <v>4539</v>
      </c>
      <c r="AV313" t="s">
        <v>6336</v>
      </c>
      <c r="AW313" t="s">
        <v>4698</v>
      </c>
      <c r="AX313" t="s">
        <v>5164</v>
      </c>
      <c r="AY313" t="s">
        <v>6337</v>
      </c>
      <c r="AZ313" t="s">
        <v>301</v>
      </c>
      <c r="BA313">
        <v>3</v>
      </c>
      <c r="BB313">
        <v>1311.14</v>
      </c>
      <c r="BC313">
        <v>0.56999999999999995</v>
      </c>
      <c r="BD313">
        <v>42.02</v>
      </c>
      <c r="BE313">
        <v>42.47</v>
      </c>
      <c r="BF313">
        <v>42.06</v>
      </c>
      <c r="BG313" t="s">
        <v>6338</v>
      </c>
      <c r="BH313" t="s">
        <v>1429</v>
      </c>
      <c r="BI313" t="s">
        <v>6339</v>
      </c>
      <c r="BJ313" t="s">
        <v>101</v>
      </c>
      <c r="BK313" t="s">
        <v>2826</v>
      </c>
      <c r="BL313" t="s">
        <v>5253</v>
      </c>
      <c r="BM313" t="s">
        <v>6340</v>
      </c>
      <c r="BN313" t="s">
        <v>4063</v>
      </c>
    </row>
    <row r="314" spans="1:66" x14ac:dyDescent="0.25">
      <c r="A314" t="str">
        <f>HYPERLINK("https://elite.finviz.com/quote.ashx?t=FR&amp;ty=c&amp;p=d&amp;b=1", "FR")</f>
        <v>FR</v>
      </c>
      <c r="B314">
        <v>7</v>
      </c>
      <c r="C314">
        <v>138.38</v>
      </c>
      <c r="D314">
        <v>49.52</v>
      </c>
      <c r="E314" t="s">
        <v>6341</v>
      </c>
      <c r="F314" t="s">
        <v>107</v>
      </c>
      <c r="G314" t="s">
        <v>68</v>
      </c>
      <c r="H314" t="s">
        <v>6342</v>
      </c>
      <c r="I314" t="s">
        <v>70</v>
      </c>
      <c r="J314" t="s">
        <v>71</v>
      </c>
      <c r="K314">
        <v>6998.85</v>
      </c>
      <c r="L314">
        <v>51.27</v>
      </c>
      <c r="M314" t="s">
        <v>6156</v>
      </c>
      <c r="N314">
        <v>54690</v>
      </c>
      <c r="O314">
        <v>25.07</v>
      </c>
      <c r="P314">
        <v>30.68</v>
      </c>
      <c r="R314">
        <v>9.99</v>
      </c>
      <c r="S314">
        <v>2.57</v>
      </c>
      <c r="T314" t="s">
        <v>2736</v>
      </c>
      <c r="U314">
        <v>1.24</v>
      </c>
      <c r="V314" t="s">
        <v>198</v>
      </c>
      <c r="W314" t="s">
        <v>6343</v>
      </c>
      <c r="X314" t="s">
        <v>3759</v>
      </c>
      <c r="Y314" t="s">
        <v>6344</v>
      </c>
      <c r="Z314" t="s">
        <v>6017</v>
      </c>
      <c r="AA314">
        <v>2.0499999999999998</v>
      </c>
      <c r="AB314" t="s">
        <v>5692</v>
      </c>
      <c r="AC314" t="s">
        <v>4687</v>
      </c>
      <c r="AD314" t="s">
        <v>6345</v>
      </c>
      <c r="AE314" t="s">
        <v>419</v>
      </c>
      <c r="AF314" t="s">
        <v>4068</v>
      </c>
      <c r="AG314" t="s">
        <v>684</v>
      </c>
      <c r="AH314" t="s">
        <v>3776</v>
      </c>
      <c r="AI314" t="s">
        <v>5653</v>
      </c>
      <c r="AJ314" t="s">
        <v>164</v>
      </c>
      <c r="AK314" t="s">
        <v>6346</v>
      </c>
      <c r="AL314">
        <v>0.6</v>
      </c>
      <c r="AM314">
        <v>0.6</v>
      </c>
      <c r="AN314">
        <v>0.91</v>
      </c>
      <c r="AO314" t="s">
        <v>1184</v>
      </c>
      <c r="AP314" t="s">
        <v>6347</v>
      </c>
      <c r="AQ314" t="s">
        <v>2238</v>
      </c>
      <c r="AR314" t="s">
        <v>5610</v>
      </c>
      <c r="AS314" t="s">
        <v>4946</v>
      </c>
      <c r="AT314" t="s">
        <v>4065</v>
      </c>
      <c r="AU314" t="s">
        <v>4275</v>
      </c>
      <c r="AV314" t="s">
        <v>2216</v>
      </c>
      <c r="AW314" t="s">
        <v>608</v>
      </c>
      <c r="AX314" t="s">
        <v>6348</v>
      </c>
      <c r="AY314" t="s">
        <v>6349</v>
      </c>
      <c r="AZ314" t="s">
        <v>6350</v>
      </c>
      <c r="BA314">
        <v>2.06</v>
      </c>
      <c r="BB314">
        <v>1132.1500000000001</v>
      </c>
      <c r="BC314">
        <v>0.17</v>
      </c>
      <c r="BD314">
        <v>51.19</v>
      </c>
      <c r="BE314">
        <v>51.7</v>
      </c>
      <c r="BF314">
        <v>51.26</v>
      </c>
      <c r="BG314" t="s">
        <v>6351</v>
      </c>
      <c r="BH314" t="s">
        <v>6352</v>
      </c>
      <c r="BI314" t="s">
        <v>6353</v>
      </c>
      <c r="BJ314" t="s">
        <v>101</v>
      </c>
      <c r="BK314" t="s">
        <v>215</v>
      </c>
      <c r="BL314" t="s">
        <v>6354</v>
      </c>
      <c r="BM314" t="s">
        <v>3729</v>
      </c>
      <c r="BN314" t="s">
        <v>4063</v>
      </c>
    </row>
    <row r="315" spans="1:66" x14ac:dyDescent="0.25">
      <c r="A315" t="str">
        <f>HYPERLINK("https://elite.finviz.com/quote.ashx?t=U&amp;ty=c&amp;p=d&amp;b=1", "U")</f>
        <v>U</v>
      </c>
      <c r="B315">
        <v>7</v>
      </c>
      <c r="C315">
        <v>138.38</v>
      </c>
      <c r="D315">
        <v>49.55</v>
      </c>
      <c r="E315" t="s">
        <v>6355</v>
      </c>
      <c r="F315" t="s">
        <v>107</v>
      </c>
      <c r="G315" t="s">
        <v>108</v>
      </c>
      <c r="H315" t="s">
        <v>136</v>
      </c>
      <c r="I315" t="s">
        <v>70</v>
      </c>
      <c r="J315" t="s">
        <v>71</v>
      </c>
      <c r="K315">
        <v>17758.43</v>
      </c>
      <c r="L315">
        <v>42.03</v>
      </c>
      <c r="M315" t="s">
        <v>1648</v>
      </c>
      <c r="N315">
        <v>3039734</v>
      </c>
      <c r="P315">
        <v>47.36</v>
      </c>
      <c r="R315">
        <v>9.98</v>
      </c>
      <c r="S315">
        <v>5.54</v>
      </c>
      <c r="AA315">
        <v>-1.06</v>
      </c>
      <c r="AB315" t="s">
        <v>1768</v>
      </c>
      <c r="AC315" t="s">
        <v>6356</v>
      </c>
      <c r="AD315" t="s">
        <v>2808</v>
      </c>
      <c r="AE315" t="s">
        <v>3010</v>
      </c>
      <c r="AF315" t="s">
        <v>6357</v>
      </c>
      <c r="AG315" t="s">
        <v>6358</v>
      </c>
      <c r="AH315" t="s">
        <v>6359</v>
      </c>
      <c r="AI315" t="s">
        <v>6360</v>
      </c>
      <c r="AJ315" t="s">
        <v>944</v>
      </c>
      <c r="AK315" t="s">
        <v>6361</v>
      </c>
      <c r="AL315">
        <v>2.72</v>
      </c>
      <c r="AM315">
        <v>2.72</v>
      </c>
      <c r="AN315">
        <v>0.73</v>
      </c>
      <c r="AO315" t="s">
        <v>2347</v>
      </c>
      <c r="AP315" t="s">
        <v>6362</v>
      </c>
      <c r="AQ315" t="s">
        <v>1301</v>
      </c>
      <c r="AR315" t="s">
        <v>5593</v>
      </c>
      <c r="AS315" t="s">
        <v>247</v>
      </c>
      <c r="AT315" t="s">
        <v>3586</v>
      </c>
      <c r="AU315" t="s">
        <v>5579</v>
      </c>
      <c r="AV315" t="s">
        <v>6363</v>
      </c>
      <c r="AW315" t="s">
        <v>5059</v>
      </c>
      <c r="AX315" t="s">
        <v>6364</v>
      </c>
      <c r="AY315" t="s">
        <v>5059</v>
      </c>
      <c r="AZ315" t="s">
        <v>6365</v>
      </c>
      <c r="BA315">
        <v>2.12</v>
      </c>
      <c r="BB315">
        <v>13610.56</v>
      </c>
      <c r="BC315">
        <v>0.79</v>
      </c>
      <c r="BD315">
        <v>42.11</v>
      </c>
      <c r="BE315">
        <v>42.15</v>
      </c>
      <c r="BF315">
        <v>41.22</v>
      </c>
      <c r="BG315" t="s">
        <v>6366</v>
      </c>
      <c r="BH315" t="s">
        <v>6367</v>
      </c>
      <c r="BI315" t="s">
        <v>6368</v>
      </c>
      <c r="BJ315" t="s">
        <v>101</v>
      </c>
      <c r="BK315" t="s">
        <v>6369</v>
      </c>
      <c r="BL315" t="s">
        <v>6370</v>
      </c>
      <c r="BM315" t="s">
        <v>6371</v>
      </c>
      <c r="BN315" t="s">
        <v>4063</v>
      </c>
    </row>
    <row r="316" spans="1:66" x14ac:dyDescent="0.25">
      <c r="A316" t="str">
        <f>HYPERLINK("https://elite.finviz.com/quote.ashx?t=MAPS&amp;ty=c&amp;p=d&amp;b=1", "MAPS")</f>
        <v>MAPS</v>
      </c>
      <c r="B316">
        <v>7</v>
      </c>
      <c r="C316">
        <v>138.38</v>
      </c>
      <c r="D316">
        <v>49.59</v>
      </c>
      <c r="E316" t="s">
        <v>6372</v>
      </c>
      <c r="F316" t="s">
        <v>67</v>
      </c>
      <c r="G316" t="s">
        <v>108</v>
      </c>
      <c r="H316" t="s">
        <v>136</v>
      </c>
      <c r="I316" t="s">
        <v>70</v>
      </c>
      <c r="J316" t="s">
        <v>321</v>
      </c>
      <c r="K316">
        <v>185.5</v>
      </c>
      <c r="L316">
        <v>1.18</v>
      </c>
      <c r="M316" t="s">
        <v>3257</v>
      </c>
      <c r="N316">
        <v>264746</v>
      </c>
      <c r="O316">
        <v>13.64</v>
      </c>
      <c r="P316">
        <v>8.14</v>
      </c>
      <c r="Q316">
        <v>0.48</v>
      </c>
      <c r="R316">
        <v>1.01</v>
      </c>
      <c r="S316">
        <v>2.4</v>
      </c>
      <c r="Z316" t="s">
        <v>164</v>
      </c>
      <c r="AA316">
        <v>0.09</v>
      </c>
      <c r="AC316" t="s">
        <v>6373</v>
      </c>
      <c r="AD316" t="s">
        <v>6374</v>
      </c>
      <c r="AE316" t="s">
        <v>4600</v>
      </c>
      <c r="AF316" t="s">
        <v>6257</v>
      </c>
      <c r="AH316" t="s">
        <v>3466</v>
      </c>
      <c r="AI316" t="s">
        <v>6375</v>
      </c>
      <c r="AJ316" t="s">
        <v>997</v>
      </c>
      <c r="AK316" t="s">
        <v>6376</v>
      </c>
      <c r="AL316">
        <v>2.4</v>
      </c>
      <c r="AM316">
        <v>2.4</v>
      </c>
      <c r="AN316">
        <v>0.54</v>
      </c>
      <c r="AO316" t="s">
        <v>6377</v>
      </c>
      <c r="AP316" t="s">
        <v>4223</v>
      </c>
      <c r="AQ316" t="s">
        <v>161</v>
      </c>
      <c r="AR316" t="s">
        <v>6378</v>
      </c>
      <c r="AS316" t="s">
        <v>892</v>
      </c>
      <c r="AT316" t="s">
        <v>6204</v>
      </c>
      <c r="AU316" t="s">
        <v>3115</v>
      </c>
      <c r="AV316" t="s">
        <v>4507</v>
      </c>
      <c r="AW316" t="s">
        <v>4229</v>
      </c>
      <c r="AX316" t="s">
        <v>6379</v>
      </c>
      <c r="AY316" t="s">
        <v>6380</v>
      </c>
      <c r="AZ316" t="s">
        <v>6381</v>
      </c>
      <c r="BA316">
        <v>2</v>
      </c>
      <c r="BB316">
        <v>1113.27</v>
      </c>
      <c r="BC316">
        <v>0.84</v>
      </c>
      <c r="BD316">
        <v>1.1599999999999999</v>
      </c>
      <c r="BE316">
        <v>1.18</v>
      </c>
      <c r="BF316">
        <v>1.1499999999999999</v>
      </c>
      <c r="BG316" t="s">
        <v>6382</v>
      </c>
      <c r="BH316" t="s">
        <v>6383</v>
      </c>
      <c r="BI316" t="s">
        <v>6384</v>
      </c>
      <c r="BJ316" t="s">
        <v>101</v>
      </c>
      <c r="BK316" t="s">
        <v>6385</v>
      </c>
      <c r="BL316" t="s">
        <v>2329</v>
      </c>
      <c r="BM316" t="s">
        <v>4311</v>
      </c>
      <c r="BN316" t="s">
        <v>4063</v>
      </c>
    </row>
    <row r="317" spans="1:66" x14ac:dyDescent="0.25">
      <c r="A317" t="str">
        <f>HYPERLINK("https://elite.finviz.com/quote.ashx?t=AIMD&amp;ty=c&amp;p=d&amp;b=1", "AIMD")</f>
        <v>AIMD</v>
      </c>
      <c r="B317">
        <v>7</v>
      </c>
      <c r="C317">
        <v>138.38</v>
      </c>
      <c r="D317">
        <v>49.62</v>
      </c>
      <c r="E317" t="s">
        <v>6386</v>
      </c>
      <c r="F317" t="s">
        <v>107</v>
      </c>
      <c r="G317" t="s">
        <v>428</v>
      </c>
      <c r="H317" t="s">
        <v>2051</v>
      </c>
      <c r="I317" t="s">
        <v>70</v>
      </c>
      <c r="J317" t="s">
        <v>321</v>
      </c>
      <c r="K317">
        <v>16.649999999999999</v>
      </c>
      <c r="L317">
        <v>3.5</v>
      </c>
      <c r="M317" t="s">
        <v>4703</v>
      </c>
      <c r="N317">
        <v>1592</v>
      </c>
      <c r="R317">
        <v>151.38999999999999</v>
      </c>
      <c r="S317">
        <v>1.31</v>
      </c>
      <c r="AA317">
        <v>-5.17</v>
      </c>
      <c r="AB317" t="s">
        <v>6387</v>
      </c>
      <c r="AC317" t="s">
        <v>6388</v>
      </c>
      <c r="AE317" t="s">
        <v>2860</v>
      </c>
      <c r="AF317" t="s">
        <v>4002</v>
      </c>
      <c r="AG317" t="s">
        <v>6388</v>
      </c>
      <c r="AJ317" t="s">
        <v>364</v>
      </c>
      <c r="AK317" t="s">
        <v>2275</v>
      </c>
      <c r="AL317">
        <v>2.88</v>
      </c>
      <c r="AM317">
        <v>2.61</v>
      </c>
      <c r="AN317">
        <v>0.96</v>
      </c>
      <c r="AO317" t="s">
        <v>6389</v>
      </c>
      <c r="AP317" t="s">
        <v>6390</v>
      </c>
      <c r="AQ317" t="s">
        <v>6391</v>
      </c>
      <c r="AR317" t="s">
        <v>327</v>
      </c>
      <c r="AS317" t="s">
        <v>6392</v>
      </c>
      <c r="AT317" t="s">
        <v>1180</v>
      </c>
      <c r="AU317" t="s">
        <v>2777</v>
      </c>
      <c r="AV317" t="s">
        <v>6393</v>
      </c>
      <c r="AW317" t="s">
        <v>6394</v>
      </c>
      <c r="AX317" t="s">
        <v>5644</v>
      </c>
      <c r="AY317" t="s">
        <v>6395</v>
      </c>
      <c r="AZ317" t="s">
        <v>6396</v>
      </c>
      <c r="BB317">
        <v>2302.12</v>
      </c>
      <c r="BC317">
        <v>0</v>
      </c>
      <c r="BD317">
        <v>3.51</v>
      </c>
      <c r="BE317">
        <v>3.54</v>
      </c>
      <c r="BF317">
        <v>3.52</v>
      </c>
      <c r="BG317" t="s">
        <v>6397</v>
      </c>
      <c r="BH317" t="s">
        <v>579</v>
      </c>
      <c r="BI317" t="s">
        <v>6396</v>
      </c>
      <c r="BJ317" t="s">
        <v>101</v>
      </c>
      <c r="BK317" t="s">
        <v>6398</v>
      </c>
      <c r="BL317" t="s">
        <v>6399</v>
      </c>
      <c r="BM317" t="s">
        <v>6400</v>
      </c>
      <c r="BN317" t="s">
        <v>4063</v>
      </c>
    </row>
    <row r="318" spans="1:66" x14ac:dyDescent="0.25">
      <c r="A318" t="str">
        <f>HYPERLINK("https://elite.finviz.com/quote.ashx?t=RF&amp;ty=c&amp;p=d&amp;b=1", "RF")</f>
        <v>RF</v>
      </c>
      <c r="B318">
        <v>7</v>
      </c>
      <c r="C318">
        <v>138.38</v>
      </c>
      <c r="D318">
        <v>49.8</v>
      </c>
      <c r="E318" t="s">
        <v>6401</v>
      </c>
      <c r="F318" t="s">
        <v>195</v>
      </c>
      <c r="G318" t="s">
        <v>550</v>
      </c>
      <c r="H318" t="s">
        <v>697</v>
      </c>
      <c r="I318" t="s">
        <v>70</v>
      </c>
      <c r="J318" t="s">
        <v>71</v>
      </c>
      <c r="K318">
        <v>23757.71</v>
      </c>
      <c r="L318">
        <v>26.62</v>
      </c>
      <c r="M318" t="s">
        <v>1324</v>
      </c>
      <c r="N318">
        <v>2789113</v>
      </c>
      <c r="O318">
        <v>12.41</v>
      </c>
      <c r="P318">
        <v>10.39</v>
      </c>
      <c r="Q318">
        <v>1.28</v>
      </c>
      <c r="R318">
        <v>2.5</v>
      </c>
      <c r="S318">
        <v>1.38</v>
      </c>
      <c r="T318" t="s">
        <v>162</v>
      </c>
      <c r="U318">
        <v>1.02</v>
      </c>
      <c r="V318" t="s">
        <v>2187</v>
      </c>
      <c r="W318" t="s">
        <v>4903</v>
      </c>
      <c r="X318" t="s">
        <v>4108</v>
      </c>
      <c r="Y318" t="s">
        <v>3901</v>
      </c>
      <c r="Z318" t="s">
        <v>6402</v>
      </c>
      <c r="AA318">
        <v>2.15</v>
      </c>
      <c r="AB318" t="s">
        <v>6403</v>
      </c>
      <c r="AC318" t="s">
        <v>6404</v>
      </c>
      <c r="AD318" t="s">
        <v>3581</v>
      </c>
      <c r="AE318" t="s">
        <v>4873</v>
      </c>
      <c r="AF318" t="s">
        <v>3079</v>
      </c>
      <c r="AG318" t="s">
        <v>906</v>
      </c>
      <c r="AH318" t="s">
        <v>954</v>
      </c>
      <c r="AI318" t="s">
        <v>3181</v>
      </c>
      <c r="AJ318" t="s">
        <v>3940</v>
      </c>
      <c r="AK318" t="s">
        <v>6405</v>
      </c>
      <c r="AL318">
        <v>0.15</v>
      </c>
      <c r="AN318">
        <v>0.28000000000000003</v>
      </c>
      <c r="AP318" t="s">
        <v>2090</v>
      </c>
      <c r="AQ318" t="s">
        <v>6406</v>
      </c>
      <c r="AR318" t="s">
        <v>5084</v>
      </c>
      <c r="AS318" t="s">
        <v>3118</v>
      </c>
      <c r="AT318" t="s">
        <v>6407</v>
      </c>
      <c r="AU318" t="s">
        <v>343</v>
      </c>
      <c r="AV318" t="s">
        <v>4258</v>
      </c>
      <c r="AW318" t="s">
        <v>3586</v>
      </c>
      <c r="AX318" t="s">
        <v>6408</v>
      </c>
      <c r="AY318" t="s">
        <v>3423</v>
      </c>
      <c r="AZ318" t="s">
        <v>6409</v>
      </c>
      <c r="BA318">
        <v>2.25</v>
      </c>
      <c r="BB318">
        <v>15660</v>
      </c>
      <c r="BC318">
        <v>0.63</v>
      </c>
      <c r="BD318">
        <v>26.6</v>
      </c>
      <c r="BE318">
        <v>26.98</v>
      </c>
      <c r="BF318">
        <v>26.59</v>
      </c>
      <c r="BG318" t="s">
        <v>6410</v>
      </c>
      <c r="BH318" t="s">
        <v>6411</v>
      </c>
      <c r="BI318" t="s">
        <v>6412</v>
      </c>
      <c r="BJ318" t="s">
        <v>101</v>
      </c>
      <c r="BK318" t="s">
        <v>6413</v>
      </c>
      <c r="BL318" t="s">
        <v>6414</v>
      </c>
      <c r="BM318" t="s">
        <v>6415</v>
      </c>
      <c r="BN318" t="s">
        <v>4063</v>
      </c>
    </row>
    <row r="319" spans="1:66" x14ac:dyDescent="0.25">
      <c r="A319" t="str">
        <f>HYPERLINK("https://elite.finviz.com/quote.ashx?t=TPR&amp;ty=c&amp;p=d&amp;b=1", "TPR")</f>
        <v>TPR</v>
      </c>
      <c r="B319">
        <v>7</v>
      </c>
      <c r="C319">
        <v>138.38</v>
      </c>
      <c r="D319">
        <v>49.83</v>
      </c>
      <c r="E319" t="s">
        <v>6416</v>
      </c>
      <c r="F319" t="s">
        <v>195</v>
      </c>
      <c r="G319" t="s">
        <v>813</v>
      </c>
      <c r="H319" t="s">
        <v>4185</v>
      </c>
      <c r="I319" t="s">
        <v>70</v>
      </c>
      <c r="J319" t="s">
        <v>71</v>
      </c>
      <c r="K319">
        <v>22406.59</v>
      </c>
      <c r="L319">
        <v>107.66</v>
      </c>
      <c r="M319" t="s">
        <v>1842</v>
      </c>
      <c r="N319">
        <v>619595</v>
      </c>
      <c r="O319">
        <v>170.03</v>
      </c>
      <c r="P319">
        <v>17.71</v>
      </c>
      <c r="Q319">
        <v>16.190000000000001</v>
      </c>
      <c r="R319">
        <v>3.2</v>
      </c>
      <c r="S319">
        <v>26.12</v>
      </c>
      <c r="T319" t="s">
        <v>3551</v>
      </c>
      <c r="U319">
        <v>1.45</v>
      </c>
      <c r="V319" t="s">
        <v>4548</v>
      </c>
      <c r="W319" t="s">
        <v>164</v>
      </c>
      <c r="X319" t="s">
        <v>4079</v>
      </c>
      <c r="Y319" t="s">
        <v>437</v>
      </c>
      <c r="Z319" t="s">
        <v>6417</v>
      </c>
      <c r="AA319">
        <v>0.63</v>
      </c>
      <c r="AB319" t="s">
        <v>6418</v>
      </c>
      <c r="AD319" t="s">
        <v>4996</v>
      </c>
      <c r="AE319" t="s">
        <v>6419</v>
      </c>
      <c r="AF319" t="s">
        <v>1760</v>
      </c>
      <c r="AG319" t="s">
        <v>6420</v>
      </c>
      <c r="AH319" t="s">
        <v>6421</v>
      </c>
      <c r="AI319" t="s">
        <v>3118</v>
      </c>
      <c r="AJ319" t="s">
        <v>3577</v>
      </c>
      <c r="AK319" t="s">
        <v>6422</v>
      </c>
      <c r="AL319">
        <v>1.87</v>
      </c>
      <c r="AM319">
        <v>1.31</v>
      </c>
      <c r="AN319">
        <v>4.55</v>
      </c>
      <c r="AO319" t="s">
        <v>6423</v>
      </c>
      <c r="AP319" t="s">
        <v>2871</v>
      </c>
      <c r="AQ319" t="s">
        <v>451</v>
      </c>
      <c r="AR319" t="s">
        <v>1391</v>
      </c>
      <c r="AS319" t="s">
        <v>205</v>
      </c>
      <c r="AT319" t="s">
        <v>4886</v>
      </c>
      <c r="AU319" t="s">
        <v>344</v>
      </c>
      <c r="AV319" t="s">
        <v>1875</v>
      </c>
      <c r="AW319" t="s">
        <v>6157</v>
      </c>
      <c r="AX319" t="s">
        <v>5239</v>
      </c>
      <c r="AY319" t="s">
        <v>6157</v>
      </c>
      <c r="AZ319" t="s">
        <v>6424</v>
      </c>
      <c r="BA319">
        <v>1.85</v>
      </c>
      <c r="BB319">
        <v>4245.2700000000004</v>
      </c>
      <c r="BC319">
        <v>0.51</v>
      </c>
      <c r="BD319">
        <v>107.8</v>
      </c>
      <c r="BE319">
        <v>108.67</v>
      </c>
      <c r="BF319">
        <v>107.18</v>
      </c>
      <c r="BG319" t="s">
        <v>6425</v>
      </c>
      <c r="BH319" t="s">
        <v>6157</v>
      </c>
      <c r="BI319" t="s">
        <v>6426</v>
      </c>
      <c r="BJ319" t="s">
        <v>101</v>
      </c>
      <c r="BK319" t="s">
        <v>4745</v>
      </c>
      <c r="BL319" t="s">
        <v>6427</v>
      </c>
      <c r="BM319" t="s">
        <v>6428</v>
      </c>
      <c r="BN319" t="s">
        <v>4063</v>
      </c>
    </row>
    <row r="320" spans="1:66" x14ac:dyDescent="0.25">
      <c r="A320" t="str">
        <f>HYPERLINK("https://elite.finviz.com/quote.ashx?t=OGN&amp;ty=c&amp;p=d&amp;b=1", "OGN")</f>
        <v>OGN</v>
      </c>
      <c r="B320">
        <v>7</v>
      </c>
      <c r="C320">
        <v>138.38</v>
      </c>
      <c r="D320">
        <v>49.84</v>
      </c>
      <c r="E320" t="s">
        <v>6429</v>
      </c>
      <c r="F320" t="s">
        <v>107</v>
      </c>
      <c r="G320" t="s">
        <v>428</v>
      </c>
      <c r="H320" t="s">
        <v>4701</v>
      </c>
      <c r="I320" t="s">
        <v>70</v>
      </c>
      <c r="J320" t="s">
        <v>71</v>
      </c>
      <c r="K320">
        <v>2628.25</v>
      </c>
      <c r="L320">
        <v>10.11</v>
      </c>
      <c r="M320" t="s">
        <v>2638</v>
      </c>
      <c r="N320">
        <v>622076</v>
      </c>
      <c r="O320">
        <v>3.76</v>
      </c>
      <c r="P320">
        <v>2.5</v>
      </c>
      <c r="Q320">
        <v>4.9400000000000004</v>
      </c>
      <c r="R320">
        <v>0.42</v>
      </c>
      <c r="S320">
        <v>3.59</v>
      </c>
      <c r="T320" t="s">
        <v>6430</v>
      </c>
      <c r="U320">
        <v>0.6</v>
      </c>
      <c r="V320" t="s">
        <v>3046</v>
      </c>
      <c r="W320" t="s">
        <v>164</v>
      </c>
      <c r="X320" t="s">
        <v>3397</v>
      </c>
      <c r="Z320" t="s">
        <v>2359</v>
      </c>
      <c r="AA320">
        <v>2.69</v>
      </c>
      <c r="AB320" t="s">
        <v>6431</v>
      </c>
      <c r="AC320" t="s">
        <v>6432</v>
      </c>
      <c r="AD320" t="s">
        <v>6245</v>
      </c>
      <c r="AE320" t="s">
        <v>1820</v>
      </c>
      <c r="AF320" t="s">
        <v>430</v>
      </c>
      <c r="AG320" t="s">
        <v>468</v>
      </c>
      <c r="AH320" t="s">
        <v>5312</v>
      </c>
      <c r="AI320" t="s">
        <v>5591</v>
      </c>
      <c r="AJ320" t="s">
        <v>712</v>
      </c>
      <c r="AK320" t="s">
        <v>6433</v>
      </c>
      <c r="AL320">
        <v>1.65</v>
      </c>
      <c r="AM320">
        <v>1.1299999999999999</v>
      </c>
      <c r="AN320">
        <v>12.14</v>
      </c>
      <c r="AO320" t="s">
        <v>6434</v>
      </c>
      <c r="AP320" t="s">
        <v>6414</v>
      </c>
      <c r="AQ320" t="s">
        <v>2656</v>
      </c>
      <c r="AR320" t="s">
        <v>2233</v>
      </c>
      <c r="AS320" t="s">
        <v>3334</v>
      </c>
      <c r="AT320" t="s">
        <v>5070</v>
      </c>
      <c r="AU320" t="s">
        <v>4394</v>
      </c>
      <c r="AV320" t="s">
        <v>6435</v>
      </c>
      <c r="AW320" t="s">
        <v>6436</v>
      </c>
      <c r="AX320" t="s">
        <v>6437</v>
      </c>
      <c r="AY320" t="s">
        <v>6438</v>
      </c>
      <c r="AZ320" t="s">
        <v>6439</v>
      </c>
      <c r="BA320">
        <v>3</v>
      </c>
      <c r="BB320">
        <v>4067.77</v>
      </c>
      <c r="BC320">
        <v>0.54</v>
      </c>
      <c r="BD320">
        <v>10.119999999999999</v>
      </c>
      <c r="BE320">
        <v>10.25</v>
      </c>
      <c r="BF320">
        <v>10.07</v>
      </c>
      <c r="BG320" t="s">
        <v>6440</v>
      </c>
      <c r="BH320" t="s">
        <v>6441</v>
      </c>
      <c r="BI320" t="s">
        <v>6439</v>
      </c>
      <c r="BJ320" t="s">
        <v>101</v>
      </c>
      <c r="BK320" t="s">
        <v>387</v>
      </c>
      <c r="BL320" t="s">
        <v>5030</v>
      </c>
      <c r="BM320" t="s">
        <v>6442</v>
      </c>
      <c r="BN320" t="s">
        <v>4063</v>
      </c>
    </row>
    <row r="321" spans="1:66" x14ac:dyDescent="0.25">
      <c r="A321" t="str">
        <f>HYPERLINK("https://elite.finviz.com/quote.ashx?t=INN&amp;ty=c&amp;p=d&amp;b=1", "INN")</f>
        <v>INN</v>
      </c>
      <c r="B321">
        <v>7</v>
      </c>
      <c r="C321">
        <v>138.38</v>
      </c>
      <c r="D321">
        <v>49.85</v>
      </c>
      <c r="E321" t="s">
        <v>6443</v>
      </c>
      <c r="F321" t="s">
        <v>67</v>
      </c>
      <c r="G321" t="s">
        <v>68</v>
      </c>
      <c r="H321" t="s">
        <v>4145</v>
      </c>
      <c r="I321" t="s">
        <v>70</v>
      </c>
      <c r="J321" t="s">
        <v>71</v>
      </c>
      <c r="K321">
        <v>682.79</v>
      </c>
      <c r="L321">
        <v>5.61</v>
      </c>
      <c r="M321" t="s">
        <v>439</v>
      </c>
      <c r="N321">
        <v>87450</v>
      </c>
      <c r="R321">
        <v>0.94</v>
      </c>
      <c r="S321">
        <v>0.68</v>
      </c>
      <c r="T321" t="s">
        <v>2205</v>
      </c>
      <c r="U321">
        <v>0.32</v>
      </c>
      <c r="V321" t="s">
        <v>3046</v>
      </c>
      <c r="W321" t="s">
        <v>5962</v>
      </c>
      <c r="Y321" t="s">
        <v>2872</v>
      </c>
      <c r="Z321" t="s">
        <v>6444</v>
      </c>
      <c r="AA321">
        <v>-0.12</v>
      </c>
      <c r="AC321" t="s">
        <v>6445</v>
      </c>
      <c r="AE321" t="s">
        <v>5765</v>
      </c>
      <c r="AF321" t="s">
        <v>6446</v>
      </c>
      <c r="AG321" t="s">
        <v>4254</v>
      </c>
      <c r="AH321" t="s">
        <v>4809</v>
      </c>
      <c r="AJ321" t="s">
        <v>6182</v>
      </c>
      <c r="AK321" t="s">
        <v>6447</v>
      </c>
      <c r="AL321">
        <v>0.2</v>
      </c>
      <c r="AM321">
        <v>0.2</v>
      </c>
      <c r="AN321">
        <v>1.62</v>
      </c>
      <c r="AO321" t="s">
        <v>3965</v>
      </c>
      <c r="AP321" t="s">
        <v>6448</v>
      </c>
      <c r="AQ321" t="s">
        <v>4938</v>
      </c>
      <c r="AR321" t="s">
        <v>92</v>
      </c>
      <c r="AS321" t="s">
        <v>3456</v>
      </c>
      <c r="AT321" t="s">
        <v>6449</v>
      </c>
      <c r="AU321" t="s">
        <v>4154</v>
      </c>
      <c r="AV321" t="s">
        <v>1303</v>
      </c>
      <c r="AW321" t="s">
        <v>6450</v>
      </c>
      <c r="AX321" t="s">
        <v>6451</v>
      </c>
      <c r="AY321" t="s">
        <v>627</v>
      </c>
      <c r="AZ321" t="s">
        <v>6452</v>
      </c>
      <c r="BA321">
        <v>2.4</v>
      </c>
      <c r="BB321">
        <v>1195.32</v>
      </c>
      <c r="BC321">
        <v>0.26</v>
      </c>
      <c r="BD321">
        <v>5.59</v>
      </c>
      <c r="BE321">
        <v>5.67</v>
      </c>
      <c r="BF321">
        <v>5.57</v>
      </c>
      <c r="BG321" t="s">
        <v>6453</v>
      </c>
      <c r="BH321" t="s">
        <v>6454</v>
      </c>
      <c r="BI321" t="s">
        <v>6455</v>
      </c>
      <c r="BJ321" t="s">
        <v>101</v>
      </c>
      <c r="BK321" t="s">
        <v>6456</v>
      </c>
      <c r="BL321" t="s">
        <v>2735</v>
      </c>
      <c r="BM321" t="s">
        <v>157</v>
      </c>
      <c r="BN321" t="s">
        <v>4063</v>
      </c>
    </row>
    <row r="322" spans="1:66" x14ac:dyDescent="0.25">
      <c r="A322" t="str">
        <f>HYPERLINK("https://elite.finviz.com/quote.ashx?t=OMC&amp;ty=c&amp;p=d&amp;b=1", "OMC")</f>
        <v>OMC</v>
      </c>
      <c r="B322">
        <v>7</v>
      </c>
      <c r="C322">
        <v>138.38</v>
      </c>
      <c r="D322">
        <v>49.9</v>
      </c>
      <c r="E322" t="s">
        <v>6457</v>
      </c>
      <c r="F322" t="s">
        <v>195</v>
      </c>
      <c r="G322" t="s">
        <v>598</v>
      </c>
      <c r="H322" t="s">
        <v>1020</v>
      </c>
      <c r="I322" t="s">
        <v>70</v>
      </c>
      <c r="J322" t="s">
        <v>71</v>
      </c>
      <c r="K322">
        <v>14811.86</v>
      </c>
      <c r="L322">
        <v>76.459999999999994</v>
      </c>
      <c r="M322" t="s">
        <v>6245</v>
      </c>
      <c r="N322">
        <v>377097</v>
      </c>
      <c r="O322">
        <v>10.97</v>
      </c>
      <c r="P322">
        <v>8.26</v>
      </c>
      <c r="Q322">
        <v>1.45</v>
      </c>
      <c r="R322">
        <v>0.93</v>
      </c>
      <c r="S322">
        <v>3.32</v>
      </c>
      <c r="T322" t="s">
        <v>4395</v>
      </c>
      <c r="U322">
        <v>2.8</v>
      </c>
      <c r="V322" t="s">
        <v>2187</v>
      </c>
      <c r="W322" t="s">
        <v>164</v>
      </c>
      <c r="X322" t="s">
        <v>164</v>
      </c>
      <c r="Y322" t="s">
        <v>3550</v>
      </c>
      <c r="Z322" t="s">
        <v>6458</v>
      </c>
      <c r="AA322">
        <v>6.97</v>
      </c>
      <c r="AB322" t="s">
        <v>6459</v>
      </c>
      <c r="AC322" t="s">
        <v>6460</v>
      </c>
      <c r="AD322" t="s">
        <v>2351</v>
      </c>
      <c r="AE322" t="s">
        <v>2542</v>
      </c>
      <c r="AF322" t="s">
        <v>4916</v>
      </c>
      <c r="AG322" t="s">
        <v>4759</v>
      </c>
      <c r="AH322" t="s">
        <v>5331</v>
      </c>
      <c r="AI322" t="s">
        <v>3349</v>
      </c>
      <c r="AJ322" t="s">
        <v>171</v>
      </c>
      <c r="AK322" t="s">
        <v>6461</v>
      </c>
      <c r="AL322">
        <v>0.92</v>
      </c>
      <c r="AM322">
        <v>0.92</v>
      </c>
      <c r="AN322">
        <v>1.58</v>
      </c>
      <c r="AO322" t="s">
        <v>6462</v>
      </c>
      <c r="AP322" t="s">
        <v>2660</v>
      </c>
      <c r="AQ322" t="s">
        <v>2428</v>
      </c>
      <c r="AR322" t="s">
        <v>5420</v>
      </c>
      <c r="AS322" t="s">
        <v>3544</v>
      </c>
      <c r="AT322" t="s">
        <v>4203</v>
      </c>
      <c r="AU322" t="s">
        <v>6463</v>
      </c>
      <c r="AV322" t="s">
        <v>6464</v>
      </c>
      <c r="AW322" t="s">
        <v>5742</v>
      </c>
      <c r="AX322" t="s">
        <v>848</v>
      </c>
      <c r="AY322" t="s">
        <v>6465</v>
      </c>
      <c r="AZ322" t="s">
        <v>6466</v>
      </c>
      <c r="BA322">
        <v>1.79</v>
      </c>
      <c r="BB322">
        <v>3803.46</v>
      </c>
      <c r="BC322">
        <v>0.35</v>
      </c>
      <c r="BD322">
        <v>75.88</v>
      </c>
      <c r="BE322">
        <v>76.84</v>
      </c>
      <c r="BF322">
        <v>75.709999999999994</v>
      </c>
      <c r="BG322" t="s">
        <v>6467</v>
      </c>
      <c r="BH322" t="s">
        <v>6465</v>
      </c>
      <c r="BI322" t="s">
        <v>6468</v>
      </c>
      <c r="BJ322" t="s">
        <v>101</v>
      </c>
      <c r="BK322" t="s">
        <v>1767</v>
      </c>
      <c r="BL322" t="s">
        <v>6469</v>
      </c>
      <c r="BM322" t="s">
        <v>4762</v>
      </c>
      <c r="BN322" t="s">
        <v>4063</v>
      </c>
    </row>
    <row r="323" spans="1:66" x14ac:dyDescent="0.25">
      <c r="A323" t="str">
        <f>HYPERLINK("https://elite.finviz.com/quote.ashx?t=VSAT&amp;ty=c&amp;p=d&amp;b=1", "VSAT")</f>
        <v>VSAT</v>
      </c>
      <c r="B323">
        <v>7</v>
      </c>
      <c r="C323">
        <v>138.38</v>
      </c>
      <c r="D323">
        <v>49.97</v>
      </c>
      <c r="E323" t="s">
        <v>6470</v>
      </c>
      <c r="F323" t="s">
        <v>67</v>
      </c>
      <c r="G323" t="s">
        <v>108</v>
      </c>
      <c r="H323" t="s">
        <v>1921</v>
      </c>
      <c r="I323" t="s">
        <v>70</v>
      </c>
      <c r="J323" t="s">
        <v>321</v>
      </c>
      <c r="K323">
        <v>3880.87</v>
      </c>
      <c r="L323">
        <v>28.91</v>
      </c>
      <c r="M323" t="s">
        <v>2642</v>
      </c>
      <c r="N323">
        <v>321782</v>
      </c>
      <c r="R323">
        <v>0.85</v>
      </c>
      <c r="S323">
        <v>0.85</v>
      </c>
      <c r="AA323">
        <v>-4.62</v>
      </c>
      <c r="AB323" t="s">
        <v>6471</v>
      </c>
      <c r="AC323" t="s">
        <v>6472</v>
      </c>
      <c r="AD323" t="s">
        <v>6473</v>
      </c>
      <c r="AE323" t="s">
        <v>3937</v>
      </c>
      <c r="AF323" t="s">
        <v>1267</v>
      </c>
      <c r="AG323" t="s">
        <v>6474</v>
      </c>
      <c r="AH323" t="s">
        <v>6475</v>
      </c>
      <c r="AI323" t="s">
        <v>1008</v>
      </c>
      <c r="AJ323" t="s">
        <v>4501</v>
      </c>
      <c r="AK323" t="s">
        <v>6476</v>
      </c>
      <c r="AL323">
        <v>2.11</v>
      </c>
      <c r="AM323">
        <v>1.87</v>
      </c>
      <c r="AN323">
        <v>1.55</v>
      </c>
      <c r="AO323" t="s">
        <v>6477</v>
      </c>
      <c r="AP323" t="s">
        <v>6478</v>
      </c>
      <c r="AQ323" t="s">
        <v>6479</v>
      </c>
      <c r="AR323" t="s">
        <v>322</v>
      </c>
      <c r="AS323" t="s">
        <v>6420</v>
      </c>
      <c r="AT323" t="s">
        <v>6480</v>
      </c>
      <c r="AU323" t="s">
        <v>3406</v>
      </c>
      <c r="AV323" t="s">
        <v>6481</v>
      </c>
      <c r="AW323" t="s">
        <v>6482</v>
      </c>
      <c r="AX323" t="s">
        <v>6483</v>
      </c>
      <c r="AY323" t="s">
        <v>6482</v>
      </c>
      <c r="AZ323" t="s">
        <v>6484</v>
      </c>
      <c r="BA323">
        <v>2.11</v>
      </c>
      <c r="BB323">
        <v>3919.1</v>
      </c>
      <c r="BC323">
        <v>0.28999999999999998</v>
      </c>
      <c r="BD323">
        <v>28.8</v>
      </c>
      <c r="BE323">
        <v>29.59</v>
      </c>
      <c r="BF323">
        <v>28.62</v>
      </c>
      <c r="BG323" t="s">
        <v>6485</v>
      </c>
      <c r="BH323" t="s">
        <v>6486</v>
      </c>
      <c r="BI323" t="s">
        <v>6487</v>
      </c>
      <c r="BJ323" t="s">
        <v>101</v>
      </c>
      <c r="BK323" t="s">
        <v>6488</v>
      </c>
      <c r="BL323" t="s">
        <v>6489</v>
      </c>
      <c r="BM323" t="s">
        <v>6490</v>
      </c>
      <c r="BN323" t="s">
        <v>4063</v>
      </c>
    </row>
    <row r="324" spans="1:66" x14ac:dyDescent="0.25">
      <c r="A324" t="str">
        <f>HYPERLINK("https://elite.finviz.com/quote.ashx?t=IPG&amp;ty=c&amp;p=d&amp;b=1", "IPG")</f>
        <v>IPG</v>
      </c>
      <c r="B324">
        <v>7</v>
      </c>
      <c r="C324">
        <v>138.38</v>
      </c>
      <c r="D324">
        <v>50</v>
      </c>
      <c r="E324" t="s">
        <v>6491</v>
      </c>
      <c r="F324" t="s">
        <v>195</v>
      </c>
      <c r="G324" t="s">
        <v>598</v>
      </c>
      <c r="H324" t="s">
        <v>1020</v>
      </c>
      <c r="I324" t="s">
        <v>70</v>
      </c>
      <c r="J324" t="s">
        <v>71</v>
      </c>
      <c r="K324">
        <v>9579.7000000000007</v>
      </c>
      <c r="L324">
        <v>26.16</v>
      </c>
      <c r="M324" t="s">
        <v>6117</v>
      </c>
      <c r="N324">
        <v>541769</v>
      </c>
      <c r="O324">
        <v>22.15</v>
      </c>
      <c r="P324">
        <v>8.3000000000000007</v>
      </c>
      <c r="Q324">
        <v>3.28</v>
      </c>
      <c r="R324">
        <v>0.93</v>
      </c>
      <c r="S324">
        <v>2.58</v>
      </c>
      <c r="T324" t="s">
        <v>1063</v>
      </c>
      <c r="U324">
        <v>1.32</v>
      </c>
      <c r="V324" t="s">
        <v>2187</v>
      </c>
      <c r="W324" t="s">
        <v>2232</v>
      </c>
      <c r="X324" t="s">
        <v>4999</v>
      </c>
      <c r="Y324" t="s">
        <v>4913</v>
      </c>
      <c r="Z324" t="s">
        <v>6492</v>
      </c>
      <c r="AA324">
        <v>1.18</v>
      </c>
      <c r="AB324" t="s">
        <v>4325</v>
      </c>
      <c r="AC324" t="s">
        <v>6493</v>
      </c>
      <c r="AD324" t="s">
        <v>437</v>
      </c>
      <c r="AE324" t="s">
        <v>6494</v>
      </c>
      <c r="AF324" t="s">
        <v>907</v>
      </c>
      <c r="AG324" t="s">
        <v>3493</v>
      </c>
      <c r="AH324" t="s">
        <v>677</v>
      </c>
      <c r="AI324" t="s">
        <v>6495</v>
      </c>
      <c r="AJ324" t="s">
        <v>164</v>
      </c>
      <c r="AK324" t="s">
        <v>6496</v>
      </c>
      <c r="AL324">
        <v>1.07</v>
      </c>
      <c r="AM324">
        <v>1.07</v>
      </c>
      <c r="AN324">
        <v>1.1299999999999999</v>
      </c>
      <c r="AO324" t="s">
        <v>6497</v>
      </c>
      <c r="AP324" t="s">
        <v>6498</v>
      </c>
      <c r="AQ324" t="s">
        <v>4744</v>
      </c>
      <c r="AR324" t="s">
        <v>4276</v>
      </c>
      <c r="AS324" t="s">
        <v>212</v>
      </c>
      <c r="AT324" t="s">
        <v>2197</v>
      </c>
      <c r="AU324" t="s">
        <v>2734</v>
      </c>
      <c r="AV324" t="s">
        <v>2641</v>
      </c>
      <c r="AW324" t="s">
        <v>6499</v>
      </c>
      <c r="AX324" t="s">
        <v>2887</v>
      </c>
      <c r="AY324" t="s">
        <v>6500</v>
      </c>
      <c r="AZ324" t="s">
        <v>6501</v>
      </c>
      <c r="BA324">
        <v>2.23</v>
      </c>
      <c r="BB324">
        <v>6332.12</v>
      </c>
      <c r="BC324">
        <v>0.3</v>
      </c>
      <c r="BD324">
        <v>25.93</v>
      </c>
      <c r="BE324">
        <v>26.28</v>
      </c>
      <c r="BF324">
        <v>25.92</v>
      </c>
      <c r="BG324" t="s">
        <v>6502</v>
      </c>
      <c r="BH324" t="s">
        <v>6503</v>
      </c>
      <c r="BI324" t="s">
        <v>6504</v>
      </c>
      <c r="BJ324" t="s">
        <v>101</v>
      </c>
      <c r="BK324" t="s">
        <v>1090</v>
      </c>
      <c r="BL324" t="s">
        <v>3950</v>
      </c>
      <c r="BM324" t="s">
        <v>6505</v>
      </c>
      <c r="BN324" t="s">
        <v>4063</v>
      </c>
    </row>
    <row r="325" spans="1:66" x14ac:dyDescent="0.25">
      <c r="A325" t="str">
        <f>HYPERLINK("https://elite.finviz.com/quote.ashx?t=RCAT&amp;ty=c&amp;p=d&amp;b=1", "RCAT")</f>
        <v>RCAT</v>
      </c>
      <c r="B325">
        <v>7</v>
      </c>
      <c r="C325">
        <v>138.38</v>
      </c>
      <c r="D325">
        <v>50.09</v>
      </c>
      <c r="E325" t="s">
        <v>6506</v>
      </c>
      <c r="F325" t="s">
        <v>67</v>
      </c>
      <c r="G325" t="s">
        <v>260</v>
      </c>
      <c r="H325" t="s">
        <v>4779</v>
      </c>
      <c r="I325" t="s">
        <v>70</v>
      </c>
      <c r="J325" t="s">
        <v>321</v>
      </c>
      <c r="K325">
        <v>1177.1500000000001</v>
      </c>
      <c r="L325">
        <v>9.98</v>
      </c>
      <c r="M325" t="s">
        <v>1866</v>
      </c>
      <c r="N325">
        <v>2989646</v>
      </c>
      <c r="P325">
        <v>230.21</v>
      </c>
      <c r="R325">
        <v>71.47</v>
      </c>
      <c r="S325">
        <v>10.28</v>
      </c>
      <c r="AA325">
        <v>-0.54</v>
      </c>
      <c r="AB325" t="s">
        <v>6507</v>
      </c>
      <c r="AC325" t="s">
        <v>6508</v>
      </c>
      <c r="AE325" t="s">
        <v>6509</v>
      </c>
      <c r="AF325" t="s">
        <v>3521</v>
      </c>
      <c r="AG325" t="s">
        <v>1898</v>
      </c>
      <c r="AH325" t="s">
        <v>6510</v>
      </c>
      <c r="AI325" t="s">
        <v>6511</v>
      </c>
      <c r="AJ325" t="s">
        <v>1313</v>
      </c>
      <c r="AK325" t="s">
        <v>6512</v>
      </c>
      <c r="AL325">
        <v>3.8</v>
      </c>
      <c r="AM325">
        <v>3.12</v>
      </c>
      <c r="AN325">
        <v>0.23</v>
      </c>
      <c r="AO325" t="s">
        <v>5551</v>
      </c>
      <c r="AP325" t="s">
        <v>6513</v>
      </c>
      <c r="AQ325" t="s">
        <v>6514</v>
      </c>
      <c r="AR325" t="s">
        <v>3003</v>
      </c>
      <c r="AS325" t="s">
        <v>1133</v>
      </c>
      <c r="AT325" t="s">
        <v>5253</v>
      </c>
      <c r="AU325" t="s">
        <v>1749</v>
      </c>
      <c r="AV325" t="s">
        <v>6515</v>
      </c>
      <c r="AW325" t="s">
        <v>6516</v>
      </c>
      <c r="AX325" t="s">
        <v>6517</v>
      </c>
      <c r="AY325" t="s">
        <v>6518</v>
      </c>
      <c r="AZ325" t="s">
        <v>6519</v>
      </c>
      <c r="BA325">
        <v>1</v>
      </c>
      <c r="BB325">
        <v>10077.26</v>
      </c>
      <c r="BC325">
        <v>1.05</v>
      </c>
      <c r="BD325">
        <v>10.17</v>
      </c>
      <c r="BE325">
        <v>10.4</v>
      </c>
      <c r="BF325">
        <v>9.8800000000000008</v>
      </c>
      <c r="BG325" t="s">
        <v>6520</v>
      </c>
      <c r="BH325" t="s">
        <v>3320</v>
      </c>
      <c r="BI325" t="s">
        <v>6521</v>
      </c>
      <c r="BJ325" t="s">
        <v>101</v>
      </c>
      <c r="BK325" t="s">
        <v>4625</v>
      </c>
      <c r="BL325" t="s">
        <v>6522</v>
      </c>
      <c r="BM325" t="s">
        <v>6523</v>
      </c>
      <c r="BN325" t="s">
        <v>4063</v>
      </c>
    </row>
    <row r="326" spans="1:66" x14ac:dyDescent="0.25">
      <c r="A326" t="str">
        <f>HYPERLINK("https://elite.finviz.com/quote.ashx?t=EPD&amp;ty=c&amp;p=d&amp;b=1", "EPD")</f>
        <v>EPD</v>
      </c>
      <c r="B326">
        <v>7</v>
      </c>
      <c r="C326">
        <v>138.38</v>
      </c>
      <c r="D326">
        <v>50.09</v>
      </c>
      <c r="E326" t="s">
        <v>6524</v>
      </c>
      <c r="F326" t="s">
        <v>107</v>
      </c>
      <c r="G326" t="s">
        <v>1048</v>
      </c>
      <c r="H326" t="s">
        <v>3915</v>
      </c>
      <c r="I326" t="s">
        <v>70</v>
      </c>
      <c r="J326" t="s">
        <v>71</v>
      </c>
      <c r="K326">
        <v>68551.740000000005</v>
      </c>
      <c r="L326">
        <v>31.66</v>
      </c>
      <c r="M326" t="s">
        <v>1765</v>
      </c>
      <c r="N326">
        <v>984893</v>
      </c>
      <c r="O326">
        <v>11.83</v>
      </c>
      <c r="P326">
        <v>10.99</v>
      </c>
      <c r="Q326">
        <v>2.96</v>
      </c>
      <c r="R326">
        <v>1.26</v>
      </c>
      <c r="S326">
        <v>2.36</v>
      </c>
      <c r="T326" t="s">
        <v>1691</v>
      </c>
      <c r="U326">
        <v>2.14</v>
      </c>
      <c r="V326" t="s">
        <v>5604</v>
      </c>
      <c r="W326" t="s">
        <v>6525</v>
      </c>
      <c r="X326" t="s">
        <v>912</v>
      </c>
      <c r="Y326" t="s">
        <v>2495</v>
      </c>
      <c r="Z326" t="s">
        <v>6526</v>
      </c>
      <c r="AA326">
        <v>2.68</v>
      </c>
      <c r="AB326" t="s">
        <v>864</v>
      </c>
      <c r="AC326" t="s">
        <v>6527</v>
      </c>
      <c r="AD326" t="s">
        <v>4142</v>
      </c>
      <c r="AE326" t="s">
        <v>1714</v>
      </c>
      <c r="AF326" t="s">
        <v>2794</v>
      </c>
      <c r="AG326" t="s">
        <v>6528</v>
      </c>
      <c r="AH326" t="s">
        <v>6529</v>
      </c>
      <c r="AI326" t="s">
        <v>4600</v>
      </c>
      <c r="AJ326" t="s">
        <v>164</v>
      </c>
      <c r="AK326" t="s">
        <v>3864</v>
      </c>
      <c r="AL326">
        <v>0.96</v>
      </c>
      <c r="AM326">
        <v>0.69</v>
      </c>
      <c r="AN326">
        <v>1.1399999999999999</v>
      </c>
      <c r="AO326" t="s">
        <v>6530</v>
      </c>
      <c r="AP326" t="s">
        <v>6531</v>
      </c>
      <c r="AQ326" t="s">
        <v>6532</v>
      </c>
      <c r="AR326" t="s">
        <v>1338</v>
      </c>
      <c r="AS326" t="s">
        <v>1488</v>
      </c>
      <c r="AT326" t="s">
        <v>2294</v>
      </c>
      <c r="AU326" t="s">
        <v>141</v>
      </c>
      <c r="AV326" t="s">
        <v>2374</v>
      </c>
      <c r="AW326" t="s">
        <v>6533</v>
      </c>
      <c r="AX326" t="s">
        <v>6121</v>
      </c>
      <c r="AY326" t="s">
        <v>6534</v>
      </c>
      <c r="AZ326" t="s">
        <v>3531</v>
      </c>
      <c r="BA326">
        <v>1.86</v>
      </c>
      <c r="BB326">
        <v>3971.45</v>
      </c>
      <c r="BC326">
        <v>0.87</v>
      </c>
      <c r="BD326">
        <v>31.53</v>
      </c>
      <c r="BE326">
        <v>31.86</v>
      </c>
      <c r="BF326">
        <v>31.61</v>
      </c>
      <c r="BG326" t="s">
        <v>6535</v>
      </c>
      <c r="BH326" t="s">
        <v>6432</v>
      </c>
      <c r="BI326" t="s">
        <v>6536</v>
      </c>
      <c r="BJ326" t="s">
        <v>101</v>
      </c>
      <c r="BK326" t="s">
        <v>3832</v>
      </c>
      <c r="BL326" t="s">
        <v>2252</v>
      </c>
      <c r="BM326" t="s">
        <v>5319</v>
      </c>
      <c r="BN326" t="s">
        <v>4063</v>
      </c>
    </row>
    <row r="327" spans="1:66" x14ac:dyDescent="0.25">
      <c r="A327" t="str">
        <f>HYPERLINK("https://elite.finviz.com/quote.ashx?t=CWD&amp;ty=c&amp;p=d&amp;b=1", "CWD")</f>
        <v>CWD</v>
      </c>
      <c r="B327">
        <v>7</v>
      </c>
      <c r="C327">
        <v>138.38</v>
      </c>
      <c r="D327">
        <v>50.12</v>
      </c>
      <c r="E327" t="s">
        <v>6537</v>
      </c>
      <c r="F327" t="s">
        <v>107</v>
      </c>
      <c r="G327" t="s">
        <v>550</v>
      </c>
      <c r="H327" t="s">
        <v>2597</v>
      </c>
      <c r="I327" t="s">
        <v>70</v>
      </c>
      <c r="J327" t="s">
        <v>321</v>
      </c>
      <c r="K327">
        <v>23.84</v>
      </c>
      <c r="L327">
        <v>5.28</v>
      </c>
      <c r="M327" t="s">
        <v>6538</v>
      </c>
      <c r="N327">
        <v>167193</v>
      </c>
      <c r="P327">
        <v>10.56</v>
      </c>
      <c r="R327">
        <v>0.74</v>
      </c>
      <c r="AA327">
        <v>-18</v>
      </c>
      <c r="AB327" t="s">
        <v>6539</v>
      </c>
      <c r="AE327" t="s">
        <v>6540</v>
      </c>
      <c r="AF327" t="s">
        <v>6541</v>
      </c>
      <c r="AG327" t="s">
        <v>1866</v>
      </c>
      <c r="AH327" t="s">
        <v>6542</v>
      </c>
      <c r="AI327" t="s">
        <v>6543</v>
      </c>
      <c r="AJ327" t="s">
        <v>82</v>
      </c>
      <c r="AK327" t="s">
        <v>211</v>
      </c>
      <c r="AL327">
        <v>0.66</v>
      </c>
      <c r="AM327">
        <v>0.66</v>
      </c>
      <c r="AO327" t="s">
        <v>3869</v>
      </c>
      <c r="AP327" t="s">
        <v>6544</v>
      </c>
      <c r="AQ327" t="s">
        <v>6545</v>
      </c>
      <c r="AR327" t="s">
        <v>2635</v>
      </c>
      <c r="AS327" t="s">
        <v>6546</v>
      </c>
      <c r="AT327" t="s">
        <v>1537</v>
      </c>
      <c r="AU327" t="s">
        <v>6547</v>
      </c>
      <c r="AV327" t="s">
        <v>6548</v>
      </c>
      <c r="AW327" t="s">
        <v>6549</v>
      </c>
      <c r="AX327" t="s">
        <v>6550</v>
      </c>
      <c r="AY327" t="s">
        <v>6549</v>
      </c>
      <c r="AZ327" t="s">
        <v>6550</v>
      </c>
      <c r="BA327">
        <v>1</v>
      </c>
      <c r="BB327">
        <v>7738.9</v>
      </c>
      <c r="BC327">
        <v>0.08</v>
      </c>
      <c r="BD327">
        <v>5.66</v>
      </c>
      <c r="BE327">
        <v>5.53</v>
      </c>
      <c r="BF327">
        <v>5.25</v>
      </c>
      <c r="BG327" t="s">
        <v>6551</v>
      </c>
      <c r="BH327" t="s">
        <v>6552</v>
      </c>
      <c r="BI327" t="s">
        <v>6550</v>
      </c>
      <c r="BJ327" t="s">
        <v>101</v>
      </c>
      <c r="BK327" t="s">
        <v>6553</v>
      </c>
      <c r="BL327" t="s">
        <v>6554</v>
      </c>
      <c r="BM327" t="s">
        <v>6555</v>
      </c>
      <c r="BN327" t="s">
        <v>4063</v>
      </c>
    </row>
    <row r="328" spans="1:66" x14ac:dyDescent="0.25">
      <c r="A328" t="str">
        <f>HYPERLINK("https://elite.finviz.com/quote.ashx?t=NEOG&amp;ty=c&amp;p=d&amp;b=1", "NEOG")</f>
        <v>NEOG</v>
      </c>
      <c r="B328">
        <v>7</v>
      </c>
      <c r="C328">
        <v>138.38</v>
      </c>
      <c r="D328">
        <v>50.12</v>
      </c>
      <c r="E328" t="s">
        <v>6556</v>
      </c>
      <c r="F328" t="s">
        <v>67</v>
      </c>
      <c r="G328" t="s">
        <v>428</v>
      </c>
      <c r="H328" t="s">
        <v>4202</v>
      </c>
      <c r="I328" t="s">
        <v>70</v>
      </c>
      <c r="J328" t="s">
        <v>321</v>
      </c>
      <c r="K328">
        <v>1200.06</v>
      </c>
      <c r="L328">
        <v>5.53</v>
      </c>
      <c r="M328" t="s">
        <v>5188</v>
      </c>
      <c r="N328">
        <v>769672</v>
      </c>
      <c r="R328">
        <v>1.34</v>
      </c>
      <c r="S328">
        <v>0.57999999999999996</v>
      </c>
      <c r="AA328">
        <v>-5.03</v>
      </c>
      <c r="AD328" t="s">
        <v>6557</v>
      </c>
      <c r="AE328" t="s">
        <v>1081</v>
      </c>
      <c r="AF328" t="s">
        <v>6558</v>
      </c>
      <c r="AG328" t="s">
        <v>5119</v>
      </c>
      <c r="AH328" t="s">
        <v>4404</v>
      </c>
      <c r="AI328" t="s">
        <v>6559</v>
      </c>
      <c r="AJ328" t="s">
        <v>231</v>
      </c>
      <c r="AK328" t="s">
        <v>6560</v>
      </c>
      <c r="AL328">
        <v>3.32</v>
      </c>
      <c r="AM328">
        <v>2.2200000000000002</v>
      </c>
      <c r="AN328">
        <v>0.44</v>
      </c>
      <c r="AO328" t="s">
        <v>6561</v>
      </c>
      <c r="AP328" t="s">
        <v>3035</v>
      </c>
      <c r="AQ328" t="s">
        <v>6562</v>
      </c>
      <c r="AR328" t="s">
        <v>3506</v>
      </c>
      <c r="AS328" t="s">
        <v>3958</v>
      </c>
      <c r="AT328" t="s">
        <v>1783</v>
      </c>
      <c r="AU328" t="s">
        <v>911</v>
      </c>
      <c r="AV328" t="s">
        <v>6563</v>
      </c>
      <c r="AW328" t="s">
        <v>6253</v>
      </c>
      <c r="AX328" t="s">
        <v>2441</v>
      </c>
      <c r="AY328" t="s">
        <v>6564</v>
      </c>
      <c r="AZ328" t="s">
        <v>6565</v>
      </c>
      <c r="BA328">
        <v>2.5</v>
      </c>
      <c r="BB328">
        <v>6075.6</v>
      </c>
      <c r="BC328">
        <v>0.45</v>
      </c>
      <c r="BD328">
        <v>5.36</v>
      </c>
      <c r="BE328">
        <v>5.57</v>
      </c>
      <c r="BF328">
        <v>5.32</v>
      </c>
      <c r="BG328" t="s">
        <v>6566</v>
      </c>
      <c r="BH328" t="s">
        <v>6567</v>
      </c>
      <c r="BI328" t="s">
        <v>6568</v>
      </c>
      <c r="BJ328" t="s">
        <v>101</v>
      </c>
      <c r="BK328" t="s">
        <v>6569</v>
      </c>
      <c r="BL328" t="s">
        <v>6248</v>
      </c>
      <c r="BM328" t="s">
        <v>5542</v>
      </c>
      <c r="BN328" t="s">
        <v>4063</v>
      </c>
    </row>
    <row r="329" spans="1:66" x14ac:dyDescent="0.25">
      <c r="A329" t="str">
        <f>HYPERLINK("https://elite.finviz.com/quote.ashx?t=MWYN&amp;ty=c&amp;p=d&amp;b=1", "MWYN")</f>
        <v>MWYN</v>
      </c>
      <c r="B329">
        <v>7</v>
      </c>
      <c r="C329">
        <v>138.38</v>
      </c>
      <c r="D329">
        <v>50.13</v>
      </c>
      <c r="E329" t="s">
        <v>6570</v>
      </c>
      <c r="F329" t="s">
        <v>107</v>
      </c>
      <c r="G329" t="s">
        <v>813</v>
      </c>
      <c r="H329" t="s">
        <v>3866</v>
      </c>
      <c r="I329" t="s">
        <v>70</v>
      </c>
      <c r="J329" t="s">
        <v>321</v>
      </c>
      <c r="K329">
        <v>19.43</v>
      </c>
      <c r="L329">
        <v>1.1399999999999999</v>
      </c>
      <c r="M329" t="s">
        <v>110</v>
      </c>
      <c r="N329">
        <v>14654</v>
      </c>
      <c r="S329">
        <v>8.52</v>
      </c>
      <c r="AF329" t="s">
        <v>3495</v>
      </c>
      <c r="AH329" t="s">
        <v>6571</v>
      </c>
      <c r="AJ329" t="s">
        <v>164</v>
      </c>
      <c r="AK329" t="s">
        <v>6572</v>
      </c>
      <c r="AL329">
        <v>1.1499999999999999</v>
      </c>
      <c r="AM329">
        <v>0.43</v>
      </c>
      <c r="AN329">
        <v>1.89</v>
      </c>
      <c r="AR329" t="s">
        <v>6573</v>
      </c>
      <c r="AS329" t="s">
        <v>6574</v>
      </c>
      <c r="AT329" t="s">
        <v>203</v>
      </c>
      <c r="AU329" t="s">
        <v>5151</v>
      </c>
      <c r="AV329" t="s">
        <v>6575</v>
      </c>
      <c r="AW329" t="s">
        <v>6576</v>
      </c>
      <c r="AX329" t="s">
        <v>6577</v>
      </c>
      <c r="AY329" t="s">
        <v>6578</v>
      </c>
      <c r="AZ329" t="s">
        <v>6577</v>
      </c>
      <c r="BB329">
        <v>3518.65</v>
      </c>
      <c r="BC329">
        <v>0.01</v>
      </c>
      <c r="BD329">
        <v>1.1499999999999999</v>
      </c>
      <c r="BE329">
        <v>1.1499999999999999</v>
      </c>
      <c r="BF329">
        <v>1.1499999999999999</v>
      </c>
      <c r="BG329" t="s">
        <v>6579</v>
      </c>
      <c r="BH329" t="s">
        <v>6578</v>
      </c>
      <c r="BI329" t="s">
        <v>6577</v>
      </c>
      <c r="BJ329" t="s">
        <v>101</v>
      </c>
      <c r="BK329" t="s">
        <v>6580</v>
      </c>
      <c r="BL329" t="s">
        <v>6581</v>
      </c>
      <c r="BN329" t="s">
        <v>4063</v>
      </c>
    </row>
    <row r="330" spans="1:66" x14ac:dyDescent="0.25">
      <c r="A330" t="str">
        <f>HYPERLINK("https://elite.finviz.com/quote.ashx?t=EFX&amp;ty=c&amp;p=d&amp;b=1", "EFX")</f>
        <v>EFX</v>
      </c>
      <c r="B330">
        <v>7</v>
      </c>
      <c r="C330">
        <v>138.38</v>
      </c>
      <c r="D330">
        <v>50.13</v>
      </c>
      <c r="E330" t="s">
        <v>6582</v>
      </c>
      <c r="F330" t="s">
        <v>195</v>
      </c>
      <c r="G330" t="s">
        <v>260</v>
      </c>
      <c r="H330" t="s">
        <v>2879</v>
      </c>
      <c r="I330" t="s">
        <v>70</v>
      </c>
      <c r="J330" t="s">
        <v>71</v>
      </c>
      <c r="K330">
        <v>31321.98</v>
      </c>
      <c r="L330">
        <v>253.01</v>
      </c>
      <c r="M330" t="s">
        <v>1657</v>
      </c>
      <c r="N330">
        <v>104379</v>
      </c>
      <c r="O330">
        <v>49.48</v>
      </c>
      <c r="P330">
        <v>27.96</v>
      </c>
      <c r="Q330">
        <v>3.24</v>
      </c>
      <c r="R330">
        <v>5.36</v>
      </c>
      <c r="S330">
        <v>6.14</v>
      </c>
      <c r="T330" t="s">
        <v>5036</v>
      </c>
      <c r="U330">
        <v>1.78</v>
      </c>
      <c r="V330" t="s">
        <v>2187</v>
      </c>
      <c r="W330" t="s">
        <v>164</v>
      </c>
      <c r="X330" t="s">
        <v>164</v>
      </c>
      <c r="Y330" t="s">
        <v>164</v>
      </c>
      <c r="Z330" t="s">
        <v>6583</v>
      </c>
      <c r="AA330">
        <v>5.1100000000000003</v>
      </c>
      <c r="AB330" t="s">
        <v>972</v>
      </c>
      <c r="AD330" t="s">
        <v>1788</v>
      </c>
      <c r="AE330" t="s">
        <v>6584</v>
      </c>
      <c r="AF330" t="s">
        <v>2107</v>
      </c>
      <c r="AG330" t="s">
        <v>3099</v>
      </c>
      <c r="AH330" t="s">
        <v>3746</v>
      </c>
      <c r="AI330" t="s">
        <v>2736</v>
      </c>
      <c r="AJ330" t="s">
        <v>2888</v>
      </c>
      <c r="AK330" t="s">
        <v>6585</v>
      </c>
      <c r="AL330">
        <v>0.77</v>
      </c>
      <c r="AM330">
        <v>0.77</v>
      </c>
      <c r="AN330">
        <v>0.96</v>
      </c>
      <c r="AO330" t="s">
        <v>6586</v>
      </c>
      <c r="AP330" t="s">
        <v>218</v>
      </c>
      <c r="AQ330" t="s">
        <v>6587</v>
      </c>
      <c r="AR330" t="s">
        <v>3842</v>
      </c>
      <c r="AS330" t="s">
        <v>4976</v>
      </c>
      <c r="AT330" t="s">
        <v>1083</v>
      </c>
      <c r="AU330" t="s">
        <v>2201</v>
      </c>
      <c r="AV330" t="s">
        <v>5242</v>
      </c>
      <c r="AW330" t="s">
        <v>6231</v>
      </c>
      <c r="AX330" t="s">
        <v>1927</v>
      </c>
      <c r="AY330" t="s">
        <v>5718</v>
      </c>
      <c r="AZ330" t="s">
        <v>4535</v>
      </c>
      <c r="BA330">
        <v>1.85</v>
      </c>
      <c r="BB330">
        <v>1048.47</v>
      </c>
      <c r="BC330">
        <v>0.35</v>
      </c>
      <c r="BD330">
        <v>251.77</v>
      </c>
      <c r="BE330">
        <v>252.47</v>
      </c>
      <c r="BF330">
        <v>250.62</v>
      </c>
      <c r="BG330" t="s">
        <v>6588</v>
      </c>
      <c r="BH330" t="s">
        <v>6589</v>
      </c>
      <c r="BI330" t="s">
        <v>6590</v>
      </c>
      <c r="BJ330" t="s">
        <v>101</v>
      </c>
      <c r="BK330" t="s">
        <v>1864</v>
      </c>
      <c r="BL330" t="s">
        <v>1100</v>
      </c>
      <c r="BM330" t="s">
        <v>6591</v>
      </c>
      <c r="BN330" t="s">
        <v>4063</v>
      </c>
    </row>
    <row r="331" spans="1:66" x14ac:dyDescent="0.25">
      <c r="A331" t="str">
        <f>HYPERLINK("https://elite.finviz.com/quote.ashx?t=COF&amp;ty=c&amp;p=d&amp;b=1", "COF")</f>
        <v>COF</v>
      </c>
      <c r="B331">
        <v>7</v>
      </c>
      <c r="C331">
        <v>138.38</v>
      </c>
      <c r="D331">
        <v>50.15</v>
      </c>
      <c r="E331" t="s">
        <v>6592</v>
      </c>
      <c r="F331" t="s">
        <v>195</v>
      </c>
      <c r="G331" t="s">
        <v>550</v>
      </c>
      <c r="H331" t="s">
        <v>3744</v>
      </c>
      <c r="I331" t="s">
        <v>70</v>
      </c>
      <c r="J331" t="s">
        <v>71</v>
      </c>
      <c r="K331">
        <v>142446.09</v>
      </c>
      <c r="L331">
        <v>222.74</v>
      </c>
      <c r="M331" t="s">
        <v>4494</v>
      </c>
      <c r="N331">
        <v>465567</v>
      </c>
      <c r="O331">
        <v>114.7</v>
      </c>
      <c r="P331">
        <v>11.22</v>
      </c>
      <c r="Q331">
        <v>5.57</v>
      </c>
      <c r="R331">
        <v>2.5</v>
      </c>
      <c r="S331">
        <v>1.28</v>
      </c>
      <c r="T331" t="s">
        <v>344</v>
      </c>
      <c r="U331">
        <v>2.4</v>
      </c>
      <c r="V331" t="s">
        <v>3046</v>
      </c>
      <c r="W331" t="s">
        <v>164</v>
      </c>
      <c r="X331" t="s">
        <v>6593</v>
      </c>
      <c r="Y331" t="s">
        <v>712</v>
      </c>
      <c r="Z331" t="s">
        <v>1876</v>
      </c>
      <c r="AA331">
        <v>1.94</v>
      </c>
      <c r="AB331" t="s">
        <v>6594</v>
      </c>
      <c r="AC331" t="s">
        <v>4759</v>
      </c>
      <c r="AD331" t="s">
        <v>1531</v>
      </c>
      <c r="AE331" t="s">
        <v>1228</v>
      </c>
      <c r="AF331" t="s">
        <v>6595</v>
      </c>
      <c r="AG331" t="s">
        <v>4965</v>
      </c>
      <c r="AH331" t="s">
        <v>3015</v>
      </c>
      <c r="AI331" t="s">
        <v>6596</v>
      </c>
      <c r="AJ331" t="s">
        <v>1086</v>
      </c>
      <c r="AK331" t="s">
        <v>5136</v>
      </c>
      <c r="AL331">
        <v>2.2000000000000002</v>
      </c>
      <c r="AN331">
        <v>0.47</v>
      </c>
      <c r="AP331" t="s">
        <v>6597</v>
      </c>
      <c r="AQ331" t="s">
        <v>6194</v>
      </c>
      <c r="AR331" t="s">
        <v>6493</v>
      </c>
      <c r="AS331" t="s">
        <v>5258</v>
      </c>
      <c r="AT331" t="s">
        <v>2197</v>
      </c>
      <c r="AU331" t="s">
        <v>2217</v>
      </c>
      <c r="AV331" t="s">
        <v>6598</v>
      </c>
      <c r="AW331" t="s">
        <v>6080</v>
      </c>
      <c r="AX331" t="s">
        <v>3212</v>
      </c>
      <c r="AY331" t="s">
        <v>6080</v>
      </c>
      <c r="AZ331" t="s">
        <v>6599</v>
      </c>
      <c r="BA331">
        <v>1.56</v>
      </c>
      <c r="BB331">
        <v>3488.54</v>
      </c>
      <c r="BC331">
        <v>0.47</v>
      </c>
      <c r="BD331">
        <v>222.46</v>
      </c>
      <c r="BE331">
        <v>225.37</v>
      </c>
      <c r="BF331">
        <v>222.09</v>
      </c>
      <c r="BG331" t="s">
        <v>6600</v>
      </c>
      <c r="BH331" t="s">
        <v>6080</v>
      </c>
      <c r="BI331" t="s">
        <v>6601</v>
      </c>
      <c r="BJ331" t="s">
        <v>101</v>
      </c>
      <c r="BK331" t="s">
        <v>892</v>
      </c>
      <c r="BL331" t="s">
        <v>6602</v>
      </c>
      <c r="BM331" t="s">
        <v>6603</v>
      </c>
      <c r="BN331" t="s">
        <v>4063</v>
      </c>
    </row>
    <row r="332" spans="1:66" x14ac:dyDescent="0.25">
      <c r="A332" t="str">
        <f>HYPERLINK("https://elite.finviz.com/quote.ashx?t=GCTK&amp;ty=c&amp;p=d&amp;b=1", "GCTK")</f>
        <v>GCTK</v>
      </c>
      <c r="B332">
        <v>7</v>
      </c>
      <c r="C332">
        <v>138.38</v>
      </c>
      <c r="D332">
        <v>50.17</v>
      </c>
      <c r="E332" t="s">
        <v>6604</v>
      </c>
      <c r="F332" t="s">
        <v>107</v>
      </c>
      <c r="G332" t="s">
        <v>428</v>
      </c>
      <c r="H332" t="s">
        <v>2161</v>
      </c>
      <c r="I332" t="s">
        <v>70</v>
      </c>
      <c r="J332" t="s">
        <v>321</v>
      </c>
      <c r="K332">
        <v>5.48</v>
      </c>
      <c r="L332">
        <v>6.1</v>
      </c>
      <c r="M332" t="s">
        <v>124</v>
      </c>
      <c r="N332">
        <v>21981</v>
      </c>
      <c r="S332">
        <v>0.8</v>
      </c>
      <c r="AA332">
        <v>-2446.08</v>
      </c>
      <c r="AB332" t="s">
        <v>6605</v>
      </c>
      <c r="AC332" t="s">
        <v>6606</v>
      </c>
      <c r="AJ332" t="s">
        <v>164</v>
      </c>
      <c r="AK332" t="s">
        <v>1764</v>
      </c>
      <c r="AL332">
        <v>3.27</v>
      </c>
      <c r="AM332">
        <v>3.27</v>
      </c>
      <c r="AN332">
        <v>0.04</v>
      </c>
      <c r="AR332" t="s">
        <v>6607</v>
      </c>
      <c r="AS332" t="s">
        <v>6608</v>
      </c>
      <c r="AT332" t="s">
        <v>3024</v>
      </c>
      <c r="AU332" t="s">
        <v>2145</v>
      </c>
      <c r="AV332" t="s">
        <v>5277</v>
      </c>
      <c r="AW332" t="s">
        <v>1605</v>
      </c>
      <c r="AX332" t="s">
        <v>6609</v>
      </c>
      <c r="AY332" t="s">
        <v>1969</v>
      </c>
      <c r="AZ332" t="s">
        <v>6609</v>
      </c>
      <c r="BB332">
        <v>1794.76</v>
      </c>
      <c r="BC332">
        <v>0.04</v>
      </c>
      <c r="BD332">
        <v>6.12</v>
      </c>
      <c r="BE332">
        <v>6.21</v>
      </c>
      <c r="BF332">
        <v>6.1</v>
      </c>
      <c r="BG332" t="s">
        <v>6610</v>
      </c>
      <c r="BH332" t="s">
        <v>579</v>
      </c>
      <c r="BI332" t="s">
        <v>6609</v>
      </c>
      <c r="BJ332" t="s">
        <v>101</v>
      </c>
      <c r="BK332" t="s">
        <v>3091</v>
      </c>
      <c r="BL332" t="s">
        <v>6611</v>
      </c>
      <c r="BM332" t="s">
        <v>3198</v>
      </c>
      <c r="BN332" t="s">
        <v>4063</v>
      </c>
    </row>
    <row r="333" spans="1:66" x14ac:dyDescent="0.25">
      <c r="A333" t="str">
        <f>HYPERLINK("https://elite.finviz.com/quote.ashx?t=RILY&amp;ty=c&amp;p=d&amp;b=1", "RILY")</f>
        <v>RILY</v>
      </c>
      <c r="B333">
        <v>7</v>
      </c>
      <c r="C333">
        <v>138.38</v>
      </c>
      <c r="D333">
        <v>50.22</v>
      </c>
      <c r="E333" t="s">
        <v>6612</v>
      </c>
      <c r="F333" t="s">
        <v>107</v>
      </c>
      <c r="G333" t="s">
        <v>550</v>
      </c>
      <c r="H333" t="s">
        <v>6613</v>
      </c>
      <c r="I333" t="s">
        <v>70</v>
      </c>
      <c r="J333" t="s">
        <v>321</v>
      </c>
      <c r="K333">
        <v>188.82</v>
      </c>
      <c r="L333">
        <v>6.17</v>
      </c>
      <c r="M333" t="s">
        <v>6614</v>
      </c>
      <c r="N333">
        <v>291074</v>
      </c>
      <c r="R333">
        <v>0.2</v>
      </c>
      <c r="V333" t="s">
        <v>6615</v>
      </c>
      <c r="AA333">
        <v>-25.42</v>
      </c>
      <c r="AE333" t="s">
        <v>6616</v>
      </c>
      <c r="AF333" t="s">
        <v>933</v>
      </c>
      <c r="AG333" t="s">
        <v>4760</v>
      </c>
      <c r="AH333" t="s">
        <v>6617</v>
      </c>
      <c r="AJ333" t="s">
        <v>164</v>
      </c>
      <c r="AK333" t="s">
        <v>4096</v>
      </c>
      <c r="AL333">
        <v>2.35</v>
      </c>
      <c r="AM333">
        <v>2.12</v>
      </c>
      <c r="AO333" t="s">
        <v>6618</v>
      </c>
      <c r="AP333" t="s">
        <v>6619</v>
      </c>
      <c r="AQ333" t="s">
        <v>6620</v>
      </c>
      <c r="AR333" t="s">
        <v>863</v>
      </c>
      <c r="AS333" t="s">
        <v>2748</v>
      </c>
      <c r="AT333" t="s">
        <v>2362</v>
      </c>
      <c r="AU333" t="s">
        <v>4641</v>
      </c>
      <c r="AV333" t="s">
        <v>6621</v>
      </c>
      <c r="AW333" t="s">
        <v>6622</v>
      </c>
      <c r="AX333" t="s">
        <v>6623</v>
      </c>
      <c r="AY333" t="s">
        <v>6622</v>
      </c>
      <c r="AZ333" t="s">
        <v>6624</v>
      </c>
      <c r="BB333">
        <v>1319.85</v>
      </c>
      <c r="BC333">
        <v>0.78</v>
      </c>
      <c r="BD333">
        <v>6.27</v>
      </c>
      <c r="BE333">
        <v>6.5</v>
      </c>
      <c r="BF333">
        <v>6.15</v>
      </c>
      <c r="BG333" t="s">
        <v>6625</v>
      </c>
      <c r="BH333" t="s">
        <v>6626</v>
      </c>
      <c r="BI333" t="s">
        <v>6627</v>
      </c>
      <c r="BJ333" t="s">
        <v>101</v>
      </c>
      <c r="BK333" t="s">
        <v>6628</v>
      </c>
      <c r="BL333" t="s">
        <v>6629</v>
      </c>
      <c r="BM333" t="s">
        <v>775</v>
      </c>
      <c r="BN333" t="s">
        <v>4063</v>
      </c>
    </row>
    <row r="334" spans="1:66" x14ac:dyDescent="0.25">
      <c r="A334" t="str">
        <f>HYPERLINK("https://elite.finviz.com/quote.ashx?t=STAA&amp;ty=c&amp;p=d&amp;b=1", "STAA")</f>
        <v>STAA</v>
      </c>
      <c r="B334">
        <v>7</v>
      </c>
      <c r="C334">
        <v>138.38</v>
      </c>
      <c r="D334">
        <v>50.23</v>
      </c>
      <c r="E334" t="s">
        <v>6630</v>
      </c>
      <c r="F334" t="s">
        <v>67</v>
      </c>
      <c r="G334" t="s">
        <v>428</v>
      </c>
      <c r="H334" t="s">
        <v>2161</v>
      </c>
      <c r="I334" t="s">
        <v>70</v>
      </c>
      <c r="J334" t="s">
        <v>321</v>
      </c>
      <c r="K334">
        <v>1328.87</v>
      </c>
      <c r="L334">
        <v>26.74</v>
      </c>
      <c r="M334" t="s">
        <v>3227</v>
      </c>
      <c r="N334">
        <v>93752</v>
      </c>
      <c r="P334">
        <v>112.59</v>
      </c>
      <c r="R334">
        <v>5.92</v>
      </c>
      <c r="S334">
        <v>3.92</v>
      </c>
      <c r="AA334">
        <v>-1.93</v>
      </c>
      <c r="AD334" t="s">
        <v>6631</v>
      </c>
      <c r="AE334" t="s">
        <v>6632</v>
      </c>
      <c r="AF334" t="s">
        <v>5839</v>
      </c>
      <c r="AG334" t="s">
        <v>6633</v>
      </c>
      <c r="AH334" t="s">
        <v>6634</v>
      </c>
      <c r="AI334" t="s">
        <v>5890</v>
      </c>
      <c r="AJ334" t="s">
        <v>6635</v>
      </c>
      <c r="AK334" t="s">
        <v>6636</v>
      </c>
      <c r="AL334">
        <v>4.9400000000000004</v>
      </c>
      <c r="AM334">
        <v>4.05</v>
      </c>
      <c r="AN334">
        <v>0.12</v>
      </c>
      <c r="AO334" t="s">
        <v>6637</v>
      </c>
      <c r="AP334" t="s">
        <v>6638</v>
      </c>
      <c r="AQ334" t="s">
        <v>6639</v>
      </c>
      <c r="AR334" t="s">
        <v>6493</v>
      </c>
      <c r="AS334" t="s">
        <v>3494</v>
      </c>
      <c r="AT334" t="s">
        <v>6640</v>
      </c>
      <c r="AU334" t="s">
        <v>5210</v>
      </c>
      <c r="AV334" t="s">
        <v>6641</v>
      </c>
      <c r="AW334" t="s">
        <v>851</v>
      </c>
      <c r="AX334" t="s">
        <v>6642</v>
      </c>
      <c r="AY334" t="s">
        <v>6643</v>
      </c>
      <c r="AZ334" t="s">
        <v>6644</v>
      </c>
      <c r="BA334">
        <v>3</v>
      </c>
      <c r="BB334">
        <v>1562.19</v>
      </c>
      <c r="BC334">
        <v>0.21</v>
      </c>
      <c r="BD334">
        <v>26.75</v>
      </c>
      <c r="BE334">
        <v>26.88</v>
      </c>
      <c r="BF334">
        <v>26.7</v>
      </c>
      <c r="BG334" t="s">
        <v>6645</v>
      </c>
      <c r="BH334" t="s">
        <v>6646</v>
      </c>
      <c r="BI334" t="s">
        <v>6647</v>
      </c>
      <c r="BJ334" t="s">
        <v>101</v>
      </c>
      <c r="BK334" t="s">
        <v>6648</v>
      </c>
      <c r="BL334" t="s">
        <v>4433</v>
      </c>
      <c r="BM334" t="s">
        <v>6649</v>
      </c>
      <c r="BN334" t="s">
        <v>4063</v>
      </c>
    </row>
    <row r="335" spans="1:66" x14ac:dyDescent="0.25">
      <c r="A335" t="str">
        <f>HYPERLINK("https://elite.finviz.com/quote.ashx?t=ATEC&amp;ty=c&amp;p=d&amp;b=1", "ATEC")</f>
        <v>ATEC</v>
      </c>
      <c r="B335">
        <v>7</v>
      </c>
      <c r="C335">
        <v>138.38</v>
      </c>
      <c r="D335">
        <v>50.24</v>
      </c>
      <c r="E335" t="s">
        <v>6650</v>
      </c>
      <c r="F335" t="s">
        <v>67</v>
      </c>
      <c r="G335" t="s">
        <v>428</v>
      </c>
      <c r="H335" t="s">
        <v>2051</v>
      </c>
      <c r="I335" t="s">
        <v>70</v>
      </c>
      <c r="J335" t="s">
        <v>321</v>
      </c>
      <c r="K335">
        <v>2262.67</v>
      </c>
      <c r="L335">
        <v>15.29</v>
      </c>
      <c r="M335" t="s">
        <v>2059</v>
      </c>
      <c r="N335">
        <v>136178</v>
      </c>
      <c r="P335">
        <v>78.28</v>
      </c>
      <c r="R335">
        <v>3.32</v>
      </c>
      <c r="S335">
        <v>94.58</v>
      </c>
      <c r="AA335">
        <v>-1.1299999999999999</v>
      </c>
      <c r="AB335" t="s">
        <v>4718</v>
      </c>
      <c r="AC335" t="s">
        <v>1226</v>
      </c>
      <c r="AE335" t="s">
        <v>6651</v>
      </c>
      <c r="AF335" t="s">
        <v>6652</v>
      </c>
      <c r="AG335" t="s">
        <v>6653</v>
      </c>
      <c r="AH335" t="s">
        <v>771</v>
      </c>
      <c r="AI335" t="s">
        <v>6654</v>
      </c>
      <c r="AJ335" t="s">
        <v>4113</v>
      </c>
      <c r="AK335" t="s">
        <v>6655</v>
      </c>
      <c r="AL335">
        <v>2.88</v>
      </c>
      <c r="AM335">
        <v>1.77</v>
      </c>
      <c r="AN335">
        <v>12.38</v>
      </c>
      <c r="AO335" t="s">
        <v>6656</v>
      </c>
      <c r="AP335" t="s">
        <v>6657</v>
      </c>
      <c r="AQ335" t="s">
        <v>6658</v>
      </c>
      <c r="AR335" t="s">
        <v>2146</v>
      </c>
      <c r="AS335" t="s">
        <v>2317</v>
      </c>
      <c r="AT335" t="s">
        <v>6659</v>
      </c>
      <c r="AU335" t="s">
        <v>1950</v>
      </c>
      <c r="AV335" t="s">
        <v>5429</v>
      </c>
      <c r="AW335" t="s">
        <v>6660</v>
      </c>
      <c r="AX335" t="s">
        <v>4175</v>
      </c>
      <c r="AY335" t="s">
        <v>6660</v>
      </c>
      <c r="AZ335" t="s">
        <v>6661</v>
      </c>
      <c r="BA335">
        <v>1.3</v>
      </c>
      <c r="BB335">
        <v>2179.23</v>
      </c>
      <c r="BC335">
        <v>0.22</v>
      </c>
      <c r="BD335">
        <v>15.39</v>
      </c>
      <c r="BE335">
        <v>15.49</v>
      </c>
      <c r="BF335">
        <v>15.27</v>
      </c>
      <c r="BG335" t="s">
        <v>6662</v>
      </c>
      <c r="BH335" t="s">
        <v>6663</v>
      </c>
      <c r="BI335" t="s">
        <v>6664</v>
      </c>
      <c r="BJ335" t="s">
        <v>101</v>
      </c>
      <c r="BK335" t="s">
        <v>2519</v>
      </c>
      <c r="BL335" t="s">
        <v>6665</v>
      </c>
      <c r="BM335" t="s">
        <v>6666</v>
      </c>
      <c r="BN335" t="s">
        <v>4063</v>
      </c>
    </row>
    <row r="336" spans="1:66" x14ac:dyDescent="0.25">
      <c r="A336" t="str">
        <f>HYPERLINK("https://elite.finviz.com/quote.ashx?t=ARRY&amp;ty=c&amp;p=d&amp;b=1", "ARRY")</f>
        <v>ARRY</v>
      </c>
      <c r="B336">
        <v>7</v>
      </c>
      <c r="C336">
        <v>138.38</v>
      </c>
      <c r="D336">
        <v>50.24</v>
      </c>
      <c r="E336" t="s">
        <v>6667</v>
      </c>
      <c r="F336" t="s">
        <v>67</v>
      </c>
      <c r="G336" t="s">
        <v>108</v>
      </c>
      <c r="H336" t="s">
        <v>2924</v>
      </c>
      <c r="I336" t="s">
        <v>70</v>
      </c>
      <c r="J336" t="s">
        <v>321</v>
      </c>
      <c r="K336">
        <v>1227.9100000000001</v>
      </c>
      <c r="L336">
        <v>8.0399999999999991</v>
      </c>
      <c r="M336" t="s">
        <v>6127</v>
      </c>
      <c r="N336">
        <v>834419</v>
      </c>
      <c r="P336">
        <v>9.1999999999999993</v>
      </c>
      <c r="R336">
        <v>1.05</v>
      </c>
      <c r="AA336">
        <v>-1.75</v>
      </c>
      <c r="AB336" t="s">
        <v>6668</v>
      </c>
      <c r="AD336" t="s">
        <v>1844</v>
      </c>
      <c r="AE336" t="s">
        <v>3777</v>
      </c>
      <c r="AF336" t="s">
        <v>4839</v>
      </c>
      <c r="AG336" t="s">
        <v>3688</v>
      </c>
      <c r="AH336" t="s">
        <v>6669</v>
      </c>
      <c r="AI336" t="s">
        <v>6670</v>
      </c>
      <c r="AJ336" t="s">
        <v>164</v>
      </c>
      <c r="AK336" t="s">
        <v>6671</v>
      </c>
      <c r="AL336">
        <v>2.2200000000000002</v>
      </c>
      <c r="AM336">
        <v>1.84</v>
      </c>
      <c r="AN336">
        <v>1.9</v>
      </c>
      <c r="AO336" t="s">
        <v>6672</v>
      </c>
      <c r="AP336" t="s">
        <v>5877</v>
      </c>
      <c r="AQ336" t="s">
        <v>6673</v>
      </c>
      <c r="AR336" t="s">
        <v>3982</v>
      </c>
      <c r="AS336" t="s">
        <v>6674</v>
      </c>
      <c r="AT336" t="s">
        <v>5778</v>
      </c>
      <c r="AU336" t="s">
        <v>636</v>
      </c>
      <c r="AV336" t="s">
        <v>6675</v>
      </c>
      <c r="AW336" t="s">
        <v>6676</v>
      </c>
      <c r="AX336" t="s">
        <v>6677</v>
      </c>
      <c r="AY336" t="s">
        <v>6676</v>
      </c>
      <c r="AZ336" t="s">
        <v>6678</v>
      </c>
      <c r="BA336">
        <v>2.12</v>
      </c>
      <c r="BB336">
        <v>8154.12</v>
      </c>
      <c r="BC336">
        <v>0.36</v>
      </c>
      <c r="BD336">
        <v>8.17</v>
      </c>
      <c r="BE336">
        <v>8.2899999999999991</v>
      </c>
      <c r="BF336">
        <v>7.89</v>
      </c>
      <c r="BG336" t="s">
        <v>6679</v>
      </c>
      <c r="BH336" t="s">
        <v>6680</v>
      </c>
      <c r="BI336" t="s">
        <v>6678</v>
      </c>
      <c r="BJ336" t="s">
        <v>101</v>
      </c>
      <c r="BK336" t="s">
        <v>6681</v>
      </c>
      <c r="BL336" t="s">
        <v>6682</v>
      </c>
      <c r="BM336" t="s">
        <v>3427</v>
      </c>
      <c r="BN336" t="s">
        <v>4063</v>
      </c>
    </row>
    <row r="337" spans="1:66" x14ac:dyDescent="0.25">
      <c r="A337" t="str">
        <f>HYPERLINK("https://elite.finviz.com/quote.ashx?t=ARE&amp;ty=c&amp;p=d&amp;b=1", "ARE")</f>
        <v>ARE</v>
      </c>
      <c r="B337">
        <v>7</v>
      </c>
      <c r="C337">
        <v>138.38</v>
      </c>
      <c r="D337">
        <v>50.32</v>
      </c>
      <c r="E337" t="s">
        <v>6683</v>
      </c>
      <c r="F337" t="s">
        <v>195</v>
      </c>
      <c r="G337" t="s">
        <v>68</v>
      </c>
      <c r="H337" t="s">
        <v>69</v>
      </c>
      <c r="I337" t="s">
        <v>70</v>
      </c>
      <c r="J337" t="s">
        <v>71</v>
      </c>
      <c r="K337">
        <v>14434.29</v>
      </c>
      <c r="L337">
        <v>83.46</v>
      </c>
      <c r="M337" t="s">
        <v>5424</v>
      </c>
      <c r="N337">
        <v>323783</v>
      </c>
      <c r="P337">
        <v>68.02</v>
      </c>
      <c r="R337">
        <v>4.66</v>
      </c>
      <c r="S337">
        <v>0.83</v>
      </c>
      <c r="T337" t="s">
        <v>6684</v>
      </c>
      <c r="U337">
        <v>5.26</v>
      </c>
      <c r="V337" t="s">
        <v>198</v>
      </c>
      <c r="W337" t="s">
        <v>5685</v>
      </c>
      <c r="X337" t="s">
        <v>5620</v>
      </c>
      <c r="Y337" t="s">
        <v>3957</v>
      </c>
      <c r="Z337" t="s">
        <v>6685</v>
      </c>
      <c r="AA337">
        <v>-0.13</v>
      </c>
      <c r="AB337" t="s">
        <v>6686</v>
      </c>
      <c r="AC337" t="s">
        <v>6687</v>
      </c>
      <c r="AD337" t="s">
        <v>6688</v>
      </c>
      <c r="AE337" t="s">
        <v>6104</v>
      </c>
      <c r="AF337" t="s">
        <v>6689</v>
      </c>
      <c r="AG337" t="s">
        <v>6690</v>
      </c>
      <c r="AH337" t="s">
        <v>1202</v>
      </c>
      <c r="AI337" t="s">
        <v>6691</v>
      </c>
      <c r="AJ337" t="s">
        <v>164</v>
      </c>
      <c r="AK337" t="s">
        <v>2349</v>
      </c>
      <c r="AL337">
        <v>3.27</v>
      </c>
      <c r="AM337">
        <v>3.27</v>
      </c>
      <c r="AN337">
        <v>0.8</v>
      </c>
      <c r="AO337" t="s">
        <v>2935</v>
      </c>
      <c r="AP337" t="s">
        <v>433</v>
      </c>
      <c r="AQ337" t="s">
        <v>6298</v>
      </c>
      <c r="AR337" t="s">
        <v>6493</v>
      </c>
      <c r="AS337" t="s">
        <v>6692</v>
      </c>
      <c r="AT337" t="s">
        <v>1787</v>
      </c>
      <c r="AU337" t="s">
        <v>2822</v>
      </c>
      <c r="AV337" t="s">
        <v>1863</v>
      </c>
      <c r="AW337" t="s">
        <v>6693</v>
      </c>
      <c r="AX337" t="s">
        <v>6694</v>
      </c>
      <c r="AY337" t="s">
        <v>6695</v>
      </c>
      <c r="AZ337" t="s">
        <v>6696</v>
      </c>
      <c r="BA337">
        <v>2.14</v>
      </c>
      <c r="BB337">
        <v>1501.7</v>
      </c>
      <c r="BC337">
        <v>0.76</v>
      </c>
      <c r="BD337">
        <v>84.16</v>
      </c>
      <c r="BE337">
        <v>85.14</v>
      </c>
      <c r="BF337">
        <v>83.39</v>
      </c>
      <c r="BG337" t="s">
        <v>6697</v>
      </c>
      <c r="BH337" t="s">
        <v>6698</v>
      </c>
      <c r="BI337" t="s">
        <v>6699</v>
      </c>
      <c r="BJ337" t="s">
        <v>101</v>
      </c>
      <c r="BK337" t="s">
        <v>2095</v>
      </c>
      <c r="BL337" t="s">
        <v>6700</v>
      </c>
      <c r="BM337" t="s">
        <v>6701</v>
      </c>
      <c r="BN337" t="s">
        <v>4063</v>
      </c>
    </row>
    <row r="338" spans="1:66" x14ac:dyDescent="0.25">
      <c r="A338" t="str">
        <f>HYPERLINK("https://elite.finviz.com/quote.ashx?t=RXST&amp;ty=c&amp;p=d&amp;b=1", "RXST")</f>
        <v>RXST</v>
      </c>
      <c r="B338">
        <v>7</v>
      </c>
      <c r="C338">
        <v>138.38</v>
      </c>
      <c r="D338">
        <v>50.35</v>
      </c>
      <c r="E338" t="s">
        <v>6702</v>
      </c>
      <c r="F338" t="s">
        <v>67</v>
      </c>
      <c r="G338" t="s">
        <v>428</v>
      </c>
      <c r="H338" t="s">
        <v>2051</v>
      </c>
      <c r="I338" t="s">
        <v>70</v>
      </c>
      <c r="J338" t="s">
        <v>321</v>
      </c>
      <c r="K338">
        <v>373.15</v>
      </c>
      <c r="L338">
        <v>9.1199999999999992</v>
      </c>
      <c r="M338" t="s">
        <v>3871</v>
      </c>
      <c r="N338">
        <v>95850</v>
      </c>
      <c r="R338">
        <v>2.54</v>
      </c>
      <c r="S338">
        <v>1.34</v>
      </c>
      <c r="AA338">
        <v>-0.8</v>
      </c>
      <c r="AB338" t="s">
        <v>6703</v>
      </c>
      <c r="AD338" t="s">
        <v>5409</v>
      </c>
      <c r="AE338" t="s">
        <v>6704</v>
      </c>
      <c r="AF338" t="s">
        <v>5505</v>
      </c>
      <c r="AG338" t="s">
        <v>6705</v>
      </c>
      <c r="AH338" t="s">
        <v>4927</v>
      </c>
      <c r="AI338" t="s">
        <v>5299</v>
      </c>
      <c r="AJ338" t="s">
        <v>164</v>
      </c>
      <c r="AK338" t="s">
        <v>6706</v>
      </c>
      <c r="AL338">
        <v>13.93</v>
      </c>
      <c r="AM338">
        <v>12.7</v>
      </c>
      <c r="AN338">
        <v>0.04</v>
      </c>
      <c r="AO338" t="s">
        <v>6707</v>
      </c>
      <c r="AP338" t="s">
        <v>6708</v>
      </c>
      <c r="AQ338" t="s">
        <v>6709</v>
      </c>
      <c r="AR338" t="s">
        <v>6404</v>
      </c>
      <c r="AS338" t="s">
        <v>204</v>
      </c>
      <c r="AT338" t="s">
        <v>530</v>
      </c>
      <c r="AU338" t="s">
        <v>5739</v>
      </c>
      <c r="AV338" t="s">
        <v>6710</v>
      </c>
      <c r="AW338" t="s">
        <v>3571</v>
      </c>
      <c r="AX338" t="s">
        <v>6711</v>
      </c>
      <c r="AY338" t="s">
        <v>6712</v>
      </c>
      <c r="AZ338" t="s">
        <v>6713</v>
      </c>
      <c r="BA338">
        <v>3.09</v>
      </c>
      <c r="BB338">
        <v>1416.66</v>
      </c>
      <c r="BC338">
        <v>0.24</v>
      </c>
      <c r="BD338">
        <v>9.06</v>
      </c>
      <c r="BE338">
        <v>9.19</v>
      </c>
      <c r="BF338">
        <v>8.9499999999999993</v>
      </c>
      <c r="BG338" t="s">
        <v>6714</v>
      </c>
      <c r="BH338" t="s">
        <v>6715</v>
      </c>
      <c r="BI338" t="s">
        <v>6713</v>
      </c>
      <c r="BJ338" t="s">
        <v>101</v>
      </c>
      <c r="BK338" t="s">
        <v>4156</v>
      </c>
      <c r="BL338" t="s">
        <v>6716</v>
      </c>
      <c r="BM338" t="s">
        <v>6717</v>
      </c>
      <c r="BN338" t="s">
        <v>4063</v>
      </c>
    </row>
    <row r="339" spans="1:66" x14ac:dyDescent="0.25">
      <c r="A339" t="str">
        <f>HYPERLINK("https://elite.finviz.com/quote.ashx?t=EXLS&amp;ty=c&amp;p=d&amp;b=1", "EXLS")</f>
        <v>EXLS</v>
      </c>
      <c r="B339">
        <v>7</v>
      </c>
      <c r="C339">
        <v>138.38</v>
      </c>
      <c r="D339">
        <v>50.35</v>
      </c>
      <c r="E339" t="s">
        <v>6718</v>
      </c>
      <c r="F339" t="s">
        <v>107</v>
      </c>
      <c r="G339" t="s">
        <v>108</v>
      </c>
      <c r="H339" t="s">
        <v>1322</v>
      </c>
      <c r="I339" t="s">
        <v>70</v>
      </c>
      <c r="J339" t="s">
        <v>321</v>
      </c>
      <c r="K339">
        <v>7008.06</v>
      </c>
      <c r="L339">
        <v>43.39</v>
      </c>
      <c r="M339" t="s">
        <v>6719</v>
      </c>
      <c r="N339">
        <v>183114</v>
      </c>
      <c r="O339">
        <v>30.03</v>
      </c>
      <c r="P339">
        <v>20.100000000000001</v>
      </c>
      <c r="Q339">
        <v>2.17</v>
      </c>
      <c r="R339">
        <v>3.56</v>
      </c>
      <c r="S339">
        <v>6.62</v>
      </c>
      <c r="Z339" t="s">
        <v>164</v>
      </c>
      <c r="AA339">
        <v>1.44</v>
      </c>
      <c r="AB339" t="s">
        <v>233</v>
      </c>
      <c r="AC339" t="s">
        <v>6720</v>
      </c>
      <c r="AD339" t="s">
        <v>4549</v>
      </c>
      <c r="AE339" t="s">
        <v>6721</v>
      </c>
      <c r="AF339" t="s">
        <v>6722</v>
      </c>
      <c r="AG339" t="s">
        <v>6723</v>
      </c>
      <c r="AH339" t="s">
        <v>2612</v>
      </c>
      <c r="AI339" t="s">
        <v>4128</v>
      </c>
      <c r="AJ339" t="s">
        <v>1226</v>
      </c>
      <c r="AK339" t="s">
        <v>6724</v>
      </c>
      <c r="AL339">
        <v>3.13</v>
      </c>
      <c r="AM339">
        <v>3.13</v>
      </c>
      <c r="AN339">
        <v>0.32</v>
      </c>
      <c r="AO339" t="s">
        <v>6725</v>
      </c>
      <c r="AP339" t="s">
        <v>6387</v>
      </c>
      <c r="AQ339" t="s">
        <v>1514</v>
      </c>
      <c r="AR339" t="s">
        <v>4256</v>
      </c>
      <c r="AS339" t="s">
        <v>6151</v>
      </c>
      <c r="AT339" t="s">
        <v>4955</v>
      </c>
      <c r="AU339" t="s">
        <v>4840</v>
      </c>
      <c r="AV339" t="s">
        <v>1074</v>
      </c>
      <c r="AW339" t="s">
        <v>5722</v>
      </c>
      <c r="AX339" t="s">
        <v>6726</v>
      </c>
      <c r="AY339" t="s">
        <v>6727</v>
      </c>
      <c r="AZ339" t="s">
        <v>3840</v>
      </c>
      <c r="BA339">
        <v>1.4</v>
      </c>
      <c r="BB339">
        <v>2142.0700000000002</v>
      </c>
      <c r="BC339">
        <v>0.3</v>
      </c>
      <c r="BD339">
        <v>43.22</v>
      </c>
      <c r="BE339">
        <v>43.47</v>
      </c>
      <c r="BF339">
        <v>42.83</v>
      </c>
      <c r="BG339" t="s">
        <v>6728</v>
      </c>
      <c r="BH339" t="s">
        <v>6727</v>
      </c>
      <c r="BI339" t="s">
        <v>6729</v>
      </c>
      <c r="BJ339" t="s">
        <v>101</v>
      </c>
      <c r="BK339" t="s">
        <v>1722</v>
      </c>
      <c r="BL339" t="s">
        <v>6730</v>
      </c>
      <c r="BM339" t="s">
        <v>4272</v>
      </c>
      <c r="BN339" t="s">
        <v>4063</v>
      </c>
    </row>
    <row r="340" spans="1:66" x14ac:dyDescent="0.25">
      <c r="A340" t="str">
        <f>HYPERLINK("https://elite.finviz.com/quote.ashx?t=CMA&amp;ty=c&amp;p=d&amp;b=1", "CMA")</f>
        <v>CMA</v>
      </c>
      <c r="B340">
        <v>7</v>
      </c>
      <c r="C340">
        <v>138.38</v>
      </c>
      <c r="D340">
        <v>50.36</v>
      </c>
      <c r="E340" t="s">
        <v>6731</v>
      </c>
      <c r="F340" t="s">
        <v>107</v>
      </c>
      <c r="G340" t="s">
        <v>550</v>
      </c>
      <c r="H340" t="s">
        <v>697</v>
      </c>
      <c r="I340" t="s">
        <v>70</v>
      </c>
      <c r="J340" t="s">
        <v>71</v>
      </c>
      <c r="K340">
        <v>8857.59</v>
      </c>
      <c r="L340">
        <v>68.92</v>
      </c>
      <c r="M340" t="s">
        <v>629</v>
      </c>
      <c r="N340">
        <v>116430</v>
      </c>
      <c r="O340">
        <v>13.25</v>
      </c>
      <c r="P340">
        <v>12.17</v>
      </c>
      <c r="Q340">
        <v>1.87</v>
      </c>
      <c r="R340">
        <v>1.89</v>
      </c>
      <c r="S340">
        <v>1.3</v>
      </c>
      <c r="T340" t="s">
        <v>4299</v>
      </c>
      <c r="U340">
        <v>2.84</v>
      </c>
      <c r="V340" t="s">
        <v>3833</v>
      </c>
      <c r="W340" t="s">
        <v>164</v>
      </c>
      <c r="X340" t="s">
        <v>907</v>
      </c>
      <c r="Y340" t="s">
        <v>6732</v>
      </c>
      <c r="Z340" t="s">
        <v>6733</v>
      </c>
      <c r="AA340">
        <v>5.2</v>
      </c>
      <c r="AB340" t="s">
        <v>6734</v>
      </c>
      <c r="AC340" t="s">
        <v>6139</v>
      </c>
      <c r="AD340" t="s">
        <v>2448</v>
      </c>
      <c r="AE340" t="s">
        <v>6735</v>
      </c>
      <c r="AF340" t="s">
        <v>6736</v>
      </c>
      <c r="AG340" t="s">
        <v>322</v>
      </c>
      <c r="AH340" t="s">
        <v>6074</v>
      </c>
      <c r="AI340" t="s">
        <v>6737</v>
      </c>
      <c r="AJ340" t="s">
        <v>6204</v>
      </c>
      <c r="AK340" t="s">
        <v>6738</v>
      </c>
      <c r="AL340">
        <v>0.23</v>
      </c>
      <c r="AN340">
        <v>1.27</v>
      </c>
      <c r="AP340" t="s">
        <v>2381</v>
      </c>
      <c r="AQ340" t="s">
        <v>1216</v>
      </c>
      <c r="AR340" t="s">
        <v>1439</v>
      </c>
      <c r="AS340" t="s">
        <v>4600</v>
      </c>
      <c r="AT340" t="s">
        <v>6298</v>
      </c>
      <c r="AU340" t="s">
        <v>6463</v>
      </c>
      <c r="AV340" t="s">
        <v>5788</v>
      </c>
      <c r="AW340" t="s">
        <v>6739</v>
      </c>
      <c r="AX340" t="s">
        <v>6740</v>
      </c>
      <c r="AY340" t="s">
        <v>6741</v>
      </c>
      <c r="AZ340" t="s">
        <v>6742</v>
      </c>
      <c r="BA340">
        <v>3.31</v>
      </c>
      <c r="BB340">
        <v>2055.98</v>
      </c>
      <c r="BC340">
        <v>0.2</v>
      </c>
      <c r="BD340">
        <v>68.89</v>
      </c>
      <c r="BE340">
        <v>70</v>
      </c>
      <c r="BF340">
        <v>68.900000000000006</v>
      </c>
      <c r="BG340" t="s">
        <v>6743</v>
      </c>
      <c r="BH340" t="s">
        <v>6744</v>
      </c>
      <c r="BI340" t="s">
        <v>6745</v>
      </c>
      <c r="BJ340" t="s">
        <v>101</v>
      </c>
      <c r="BK340" t="s">
        <v>6746</v>
      </c>
      <c r="BL340" t="s">
        <v>6747</v>
      </c>
      <c r="BM340" t="s">
        <v>6748</v>
      </c>
      <c r="BN340" t="s">
        <v>4063</v>
      </c>
    </row>
    <row r="341" spans="1:66" x14ac:dyDescent="0.25">
      <c r="A341" t="str">
        <f>HYPERLINK("https://elite.finviz.com/quote.ashx?t=SHC&amp;ty=c&amp;p=d&amp;b=1", "SHC")</f>
        <v>SHC</v>
      </c>
      <c r="B341">
        <v>7</v>
      </c>
      <c r="C341">
        <v>138.38</v>
      </c>
      <c r="D341">
        <v>50.38</v>
      </c>
      <c r="E341" t="s">
        <v>6749</v>
      </c>
      <c r="F341" t="s">
        <v>107</v>
      </c>
      <c r="G341" t="s">
        <v>428</v>
      </c>
      <c r="H341" t="s">
        <v>4202</v>
      </c>
      <c r="I341" t="s">
        <v>70</v>
      </c>
      <c r="J341" t="s">
        <v>321</v>
      </c>
      <c r="K341">
        <v>4431.12</v>
      </c>
      <c r="L341">
        <v>15.6</v>
      </c>
      <c r="M341" t="s">
        <v>6719</v>
      </c>
      <c r="N341">
        <v>154800</v>
      </c>
      <c r="O341">
        <v>186.38</v>
      </c>
      <c r="P341">
        <v>17.63</v>
      </c>
      <c r="Q341">
        <v>15.72</v>
      </c>
      <c r="R341">
        <v>3.94</v>
      </c>
      <c r="S341">
        <v>8.67</v>
      </c>
      <c r="Z341" t="s">
        <v>164</v>
      </c>
      <c r="AA341">
        <v>0.08</v>
      </c>
      <c r="AB341" t="s">
        <v>6750</v>
      </c>
      <c r="AD341" t="s">
        <v>6751</v>
      </c>
      <c r="AE341" t="s">
        <v>4710</v>
      </c>
      <c r="AF341" t="s">
        <v>2064</v>
      </c>
      <c r="AG341" t="s">
        <v>3688</v>
      </c>
      <c r="AH341" t="s">
        <v>4742</v>
      </c>
      <c r="AI341" t="s">
        <v>6752</v>
      </c>
      <c r="AJ341" t="s">
        <v>5915</v>
      </c>
      <c r="AK341" t="s">
        <v>6753</v>
      </c>
      <c r="AL341">
        <v>2.4700000000000002</v>
      </c>
      <c r="AM341">
        <v>2.21</v>
      </c>
      <c r="AN341">
        <v>4.5999999999999996</v>
      </c>
      <c r="AO341" t="s">
        <v>6754</v>
      </c>
      <c r="AP341" t="s">
        <v>1366</v>
      </c>
      <c r="AQ341" t="s">
        <v>212</v>
      </c>
      <c r="AR341" t="s">
        <v>2356</v>
      </c>
      <c r="AS341" t="s">
        <v>3500</v>
      </c>
      <c r="AT341" t="s">
        <v>2190</v>
      </c>
      <c r="AU341" t="s">
        <v>274</v>
      </c>
      <c r="AV341" t="s">
        <v>4424</v>
      </c>
      <c r="AW341" t="s">
        <v>6755</v>
      </c>
      <c r="AX341" t="s">
        <v>6756</v>
      </c>
      <c r="AY341" t="s">
        <v>6757</v>
      </c>
      <c r="AZ341" t="s">
        <v>6758</v>
      </c>
      <c r="BA341">
        <v>1.88</v>
      </c>
      <c r="BB341">
        <v>1735.61</v>
      </c>
      <c r="BC341">
        <v>0.31</v>
      </c>
      <c r="BD341">
        <v>15.54</v>
      </c>
      <c r="BE341">
        <v>15.69</v>
      </c>
      <c r="BF341">
        <v>15.49</v>
      </c>
      <c r="BG341" t="s">
        <v>6759</v>
      </c>
      <c r="BH341" t="s">
        <v>6760</v>
      </c>
      <c r="BI341" t="s">
        <v>6761</v>
      </c>
      <c r="BJ341" t="s">
        <v>101</v>
      </c>
      <c r="BK341" t="s">
        <v>6762</v>
      </c>
      <c r="BL341" t="s">
        <v>6763</v>
      </c>
      <c r="BM341" t="s">
        <v>2335</v>
      </c>
      <c r="BN341" t="s">
        <v>4063</v>
      </c>
    </row>
    <row r="342" spans="1:66" x14ac:dyDescent="0.25">
      <c r="A342" t="str">
        <f>HYPERLINK("https://elite.finviz.com/quote.ashx?t=OLN&amp;ty=c&amp;p=d&amp;b=1", "OLN")</f>
        <v>OLN</v>
      </c>
      <c r="B342">
        <v>7</v>
      </c>
      <c r="C342">
        <v>138.38</v>
      </c>
      <c r="D342">
        <v>50.41</v>
      </c>
      <c r="E342" t="s">
        <v>6764</v>
      </c>
      <c r="F342" t="s">
        <v>107</v>
      </c>
      <c r="G342" t="s">
        <v>355</v>
      </c>
      <c r="H342" t="s">
        <v>5130</v>
      </c>
      <c r="I342" t="s">
        <v>70</v>
      </c>
      <c r="J342" t="s">
        <v>71</v>
      </c>
      <c r="K342">
        <v>2715.86</v>
      </c>
      <c r="L342">
        <v>23.69</v>
      </c>
      <c r="M342" t="s">
        <v>1050</v>
      </c>
      <c r="N342">
        <v>705019</v>
      </c>
      <c r="P342">
        <v>18.420000000000002</v>
      </c>
      <c r="R342">
        <v>0.41</v>
      </c>
      <c r="S342">
        <v>1.39</v>
      </c>
      <c r="T342" t="s">
        <v>4569</v>
      </c>
      <c r="U342">
        <v>0.8</v>
      </c>
      <c r="V342" t="s">
        <v>6765</v>
      </c>
      <c r="W342" t="s">
        <v>164</v>
      </c>
      <c r="X342" t="s">
        <v>164</v>
      </c>
      <c r="Y342" t="s">
        <v>164</v>
      </c>
      <c r="Z342" t="s">
        <v>6766</v>
      </c>
      <c r="AA342">
        <v>-0.12</v>
      </c>
      <c r="AB342" t="s">
        <v>6767</v>
      </c>
      <c r="AD342" t="s">
        <v>4075</v>
      </c>
      <c r="AE342" t="s">
        <v>3550</v>
      </c>
      <c r="AF342" t="s">
        <v>1884</v>
      </c>
      <c r="AG342" t="s">
        <v>4856</v>
      </c>
      <c r="AH342" t="s">
        <v>2585</v>
      </c>
      <c r="AI342" t="s">
        <v>6768</v>
      </c>
      <c r="AJ342" t="s">
        <v>451</v>
      </c>
      <c r="AK342" t="s">
        <v>6769</v>
      </c>
      <c r="AL342">
        <v>1.48</v>
      </c>
      <c r="AM342">
        <v>0.88</v>
      </c>
      <c r="AN342">
        <v>1.68</v>
      </c>
      <c r="AO342" t="s">
        <v>3146</v>
      </c>
      <c r="AP342" t="s">
        <v>6770</v>
      </c>
      <c r="AQ342" t="s">
        <v>2468</v>
      </c>
      <c r="AR342" t="s">
        <v>4323</v>
      </c>
      <c r="AS342" t="s">
        <v>4690</v>
      </c>
      <c r="AT342" t="s">
        <v>2149</v>
      </c>
      <c r="AU342" t="s">
        <v>3389</v>
      </c>
      <c r="AV342" t="s">
        <v>1727</v>
      </c>
      <c r="AW342" t="s">
        <v>6214</v>
      </c>
      <c r="AX342" t="s">
        <v>6771</v>
      </c>
      <c r="AY342" t="s">
        <v>6772</v>
      </c>
      <c r="AZ342" t="s">
        <v>6773</v>
      </c>
      <c r="BA342">
        <v>2.56</v>
      </c>
      <c r="BB342">
        <v>2615.29</v>
      </c>
      <c r="BC342">
        <v>0.95</v>
      </c>
      <c r="BD342">
        <v>22.84</v>
      </c>
      <c r="BE342">
        <v>24.05</v>
      </c>
      <c r="BF342">
        <v>22.91</v>
      </c>
      <c r="BG342" t="s">
        <v>6774</v>
      </c>
      <c r="BH342" t="s">
        <v>6545</v>
      </c>
      <c r="BI342" t="s">
        <v>5544</v>
      </c>
      <c r="BJ342" t="s">
        <v>101</v>
      </c>
      <c r="BK342" t="s">
        <v>4188</v>
      </c>
      <c r="BL342" t="s">
        <v>6775</v>
      </c>
      <c r="BM342" t="s">
        <v>6776</v>
      </c>
      <c r="BN342" t="s">
        <v>4063</v>
      </c>
    </row>
    <row r="343" spans="1:66" x14ac:dyDescent="0.25">
      <c r="A343" t="str">
        <f>HYPERLINK("https://elite.finviz.com/quote.ashx?t=LFST&amp;ty=c&amp;p=d&amp;b=1", "LFST")</f>
        <v>LFST</v>
      </c>
      <c r="B343">
        <v>7</v>
      </c>
      <c r="C343">
        <v>138.38</v>
      </c>
      <c r="D343">
        <v>50.43</v>
      </c>
      <c r="E343" t="s">
        <v>6777</v>
      </c>
      <c r="F343" t="s">
        <v>67</v>
      </c>
      <c r="G343" t="s">
        <v>428</v>
      </c>
      <c r="H343" t="s">
        <v>3160</v>
      </c>
      <c r="I343" t="s">
        <v>70</v>
      </c>
      <c r="J343" t="s">
        <v>321</v>
      </c>
      <c r="K343">
        <v>2047.75</v>
      </c>
      <c r="L343">
        <v>5.26</v>
      </c>
      <c r="M343" t="s">
        <v>2757</v>
      </c>
      <c r="N343">
        <v>93748</v>
      </c>
      <c r="P343">
        <v>146.86000000000001</v>
      </c>
      <c r="R343">
        <v>1.56</v>
      </c>
      <c r="S343">
        <v>1.39</v>
      </c>
      <c r="AA343">
        <v>-0.04</v>
      </c>
      <c r="AB343" t="s">
        <v>6778</v>
      </c>
      <c r="AC343" t="s">
        <v>2785</v>
      </c>
      <c r="AE343" t="s">
        <v>6779</v>
      </c>
      <c r="AF343" t="s">
        <v>5437</v>
      </c>
      <c r="AG343" t="s">
        <v>6780</v>
      </c>
      <c r="AH343" t="s">
        <v>5738</v>
      </c>
      <c r="AI343" t="s">
        <v>6781</v>
      </c>
      <c r="AJ343" t="s">
        <v>6195</v>
      </c>
      <c r="AK343" t="s">
        <v>6782</v>
      </c>
      <c r="AL343">
        <v>1.48</v>
      </c>
      <c r="AM343">
        <v>1.48</v>
      </c>
      <c r="AN343">
        <v>0.32</v>
      </c>
      <c r="AO343" t="s">
        <v>2781</v>
      </c>
      <c r="AP343" t="s">
        <v>4237</v>
      </c>
      <c r="AQ343" t="s">
        <v>2007</v>
      </c>
      <c r="AR343" t="s">
        <v>5111</v>
      </c>
      <c r="AS343" t="s">
        <v>3482</v>
      </c>
      <c r="AT343" t="s">
        <v>2741</v>
      </c>
      <c r="AU343" t="s">
        <v>4760</v>
      </c>
      <c r="AV343" t="s">
        <v>6734</v>
      </c>
      <c r="AW343" t="s">
        <v>6783</v>
      </c>
      <c r="AX343" t="s">
        <v>6784</v>
      </c>
      <c r="AY343" t="s">
        <v>6785</v>
      </c>
      <c r="AZ343" t="s">
        <v>6784</v>
      </c>
      <c r="BA343">
        <v>1.22</v>
      </c>
      <c r="BB343">
        <v>2607.89</v>
      </c>
      <c r="BC343">
        <v>0.13</v>
      </c>
      <c r="BD343">
        <v>5.26</v>
      </c>
      <c r="BE343">
        <v>5.3</v>
      </c>
      <c r="BF343">
        <v>5.23</v>
      </c>
      <c r="BG343" t="s">
        <v>6786</v>
      </c>
      <c r="BH343" t="s">
        <v>6787</v>
      </c>
      <c r="BI343" t="s">
        <v>6784</v>
      </c>
      <c r="BJ343" t="s">
        <v>101</v>
      </c>
      <c r="BK343" t="s">
        <v>2868</v>
      </c>
      <c r="BL343" t="s">
        <v>6788</v>
      </c>
      <c r="BM343" t="s">
        <v>6789</v>
      </c>
      <c r="BN343" t="s">
        <v>4063</v>
      </c>
    </row>
    <row r="344" spans="1:66" x14ac:dyDescent="0.25">
      <c r="A344" t="str">
        <f>HYPERLINK("https://elite.finviz.com/quote.ashx?t=NET&amp;ty=c&amp;p=d&amp;b=1", "NET")</f>
        <v>NET</v>
      </c>
      <c r="B344">
        <v>7</v>
      </c>
      <c r="C344">
        <v>138.38</v>
      </c>
      <c r="D344">
        <v>50.43</v>
      </c>
      <c r="E344" t="s">
        <v>6790</v>
      </c>
      <c r="F344" t="s">
        <v>107</v>
      </c>
      <c r="G344" t="s">
        <v>108</v>
      </c>
      <c r="H344" t="s">
        <v>109</v>
      </c>
      <c r="I344" t="s">
        <v>70</v>
      </c>
      <c r="J344" t="s">
        <v>71</v>
      </c>
      <c r="K344">
        <v>74979.12</v>
      </c>
      <c r="L344">
        <v>215.16</v>
      </c>
      <c r="M344" t="s">
        <v>4938</v>
      </c>
      <c r="N344">
        <v>434978</v>
      </c>
      <c r="P344">
        <v>193.8</v>
      </c>
      <c r="R344">
        <v>39.85</v>
      </c>
      <c r="S344">
        <v>60.47</v>
      </c>
      <c r="AA344">
        <v>-0.34</v>
      </c>
      <c r="AB344" t="s">
        <v>4684</v>
      </c>
      <c r="AC344" t="s">
        <v>6791</v>
      </c>
      <c r="AD344" t="s">
        <v>6792</v>
      </c>
      <c r="AE344" t="s">
        <v>6793</v>
      </c>
      <c r="AF344" t="s">
        <v>6794</v>
      </c>
      <c r="AG344" t="s">
        <v>3287</v>
      </c>
      <c r="AH344" t="s">
        <v>5931</v>
      </c>
      <c r="AI344" t="s">
        <v>6795</v>
      </c>
      <c r="AJ344" t="s">
        <v>5368</v>
      </c>
      <c r="AK344" t="s">
        <v>6796</v>
      </c>
      <c r="AL344">
        <v>5.14</v>
      </c>
      <c r="AM344">
        <v>5.14</v>
      </c>
      <c r="AN344">
        <v>2.79</v>
      </c>
      <c r="AO344" t="s">
        <v>6797</v>
      </c>
      <c r="AP344" t="s">
        <v>6798</v>
      </c>
      <c r="AQ344" t="s">
        <v>2665</v>
      </c>
      <c r="AR344" t="s">
        <v>891</v>
      </c>
      <c r="AS344" t="s">
        <v>2822</v>
      </c>
      <c r="AT344" t="s">
        <v>1510</v>
      </c>
      <c r="AU344" t="s">
        <v>2764</v>
      </c>
      <c r="AV344" t="s">
        <v>5601</v>
      </c>
      <c r="AW344" t="s">
        <v>2336</v>
      </c>
      <c r="AX344" t="s">
        <v>6799</v>
      </c>
      <c r="AY344" t="s">
        <v>2336</v>
      </c>
      <c r="AZ344" t="s">
        <v>6800</v>
      </c>
      <c r="BA344">
        <v>2.14</v>
      </c>
      <c r="BB344">
        <v>2784.55</v>
      </c>
      <c r="BC344">
        <v>0.55000000000000004</v>
      </c>
      <c r="BD344">
        <v>218.2</v>
      </c>
      <c r="BE344">
        <v>220</v>
      </c>
      <c r="BF344">
        <v>214.71</v>
      </c>
      <c r="BG344" t="s">
        <v>6801</v>
      </c>
      <c r="BH344" t="s">
        <v>2336</v>
      </c>
      <c r="BI344" t="s">
        <v>6802</v>
      </c>
      <c r="BJ344" t="s">
        <v>101</v>
      </c>
      <c r="BK344" t="s">
        <v>537</v>
      </c>
      <c r="BL344" t="s">
        <v>6803</v>
      </c>
      <c r="BM344" t="s">
        <v>6804</v>
      </c>
      <c r="BN344" t="s">
        <v>4063</v>
      </c>
    </row>
    <row r="345" spans="1:66" x14ac:dyDescent="0.25">
      <c r="A345" t="str">
        <f>HYPERLINK("https://elite.finviz.com/quote.ashx?t=CODX&amp;ty=c&amp;p=d&amp;b=1", "CODX")</f>
        <v>CODX</v>
      </c>
      <c r="B345">
        <v>7</v>
      </c>
      <c r="C345">
        <v>138.38</v>
      </c>
      <c r="D345">
        <v>50.7</v>
      </c>
      <c r="E345" t="s">
        <v>6805</v>
      </c>
      <c r="F345" t="s">
        <v>107</v>
      </c>
      <c r="G345" t="s">
        <v>428</v>
      </c>
      <c r="H345" t="s">
        <v>2051</v>
      </c>
      <c r="I345" t="s">
        <v>70</v>
      </c>
      <c r="J345" t="s">
        <v>321</v>
      </c>
      <c r="K345">
        <v>17.88</v>
      </c>
      <c r="L345">
        <v>0.37</v>
      </c>
      <c r="M345" t="s">
        <v>3113</v>
      </c>
      <c r="N345">
        <v>803123</v>
      </c>
      <c r="R345">
        <v>31.36</v>
      </c>
      <c r="S345">
        <v>0.33</v>
      </c>
      <c r="AA345">
        <v>-1.1200000000000001</v>
      </c>
      <c r="AC345" t="s">
        <v>448</v>
      </c>
      <c r="AD345" t="s">
        <v>6806</v>
      </c>
      <c r="AE345" t="s">
        <v>6807</v>
      </c>
      <c r="AF345" t="s">
        <v>6808</v>
      </c>
      <c r="AG345" t="s">
        <v>6809</v>
      </c>
      <c r="AH345" t="s">
        <v>4902</v>
      </c>
      <c r="AI345" t="s">
        <v>238</v>
      </c>
      <c r="AJ345" t="s">
        <v>164</v>
      </c>
      <c r="AK345" t="s">
        <v>6810</v>
      </c>
      <c r="AL345">
        <v>4.12</v>
      </c>
      <c r="AM345">
        <v>3.83</v>
      </c>
      <c r="AN345">
        <v>0.04</v>
      </c>
      <c r="AO345" t="s">
        <v>6811</v>
      </c>
      <c r="AP345" t="s">
        <v>6812</v>
      </c>
      <c r="AQ345" t="s">
        <v>6813</v>
      </c>
      <c r="AR345" t="s">
        <v>2517</v>
      </c>
      <c r="AS345" t="s">
        <v>6814</v>
      </c>
      <c r="AT345" t="s">
        <v>3896</v>
      </c>
      <c r="AU345" t="s">
        <v>6815</v>
      </c>
      <c r="AV345" t="s">
        <v>6816</v>
      </c>
      <c r="AW345" t="s">
        <v>6817</v>
      </c>
      <c r="AX345" t="s">
        <v>6648</v>
      </c>
      <c r="AY345" t="s">
        <v>6818</v>
      </c>
      <c r="AZ345" t="s">
        <v>6819</v>
      </c>
      <c r="BA345">
        <v>2</v>
      </c>
      <c r="BB345">
        <v>6549.23</v>
      </c>
      <c r="BC345">
        <v>0.44</v>
      </c>
      <c r="BD345">
        <v>0.38</v>
      </c>
      <c r="BE345">
        <v>0.4</v>
      </c>
      <c r="BF345">
        <v>0.36</v>
      </c>
      <c r="BG345" t="s">
        <v>6820</v>
      </c>
      <c r="BH345" t="s">
        <v>6821</v>
      </c>
      <c r="BI345" t="s">
        <v>6819</v>
      </c>
      <c r="BJ345" t="s">
        <v>101</v>
      </c>
      <c r="BK345" t="s">
        <v>1874</v>
      </c>
      <c r="BL345" t="s">
        <v>6822</v>
      </c>
      <c r="BM345" t="s">
        <v>6823</v>
      </c>
      <c r="BN345" t="s">
        <v>4063</v>
      </c>
    </row>
    <row r="346" spans="1:66" x14ac:dyDescent="0.25">
      <c r="A346" t="str">
        <f>HYPERLINK("https://elite.finviz.com/quote.ashx?t=PFGC&amp;ty=c&amp;p=d&amp;b=1", "PFGC")</f>
        <v>PFGC</v>
      </c>
      <c r="B346">
        <v>7</v>
      </c>
      <c r="C346">
        <v>138.38</v>
      </c>
      <c r="D346">
        <v>50.79</v>
      </c>
      <c r="E346" t="s">
        <v>6824</v>
      </c>
      <c r="F346" t="s">
        <v>107</v>
      </c>
      <c r="G346" t="s">
        <v>2244</v>
      </c>
      <c r="H346" t="s">
        <v>6825</v>
      </c>
      <c r="I346" t="s">
        <v>70</v>
      </c>
      <c r="J346" t="s">
        <v>71</v>
      </c>
      <c r="K346">
        <v>16243.4</v>
      </c>
      <c r="L346">
        <v>103.78</v>
      </c>
      <c r="M346" t="s">
        <v>6245</v>
      </c>
      <c r="N346">
        <v>207713</v>
      </c>
      <c r="O346">
        <v>47.72</v>
      </c>
      <c r="P346">
        <v>16.350000000000001</v>
      </c>
      <c r="Q346">
        <v>2.57</v>
      </c>
      <c r="R346">
        <v>0.26</v>
      </c>
      <c r="S346">
        <v>3.59</v>
      </c>
      <c r="Z346" t="s">
        <v>164</v>
      </c>
      <c r="AA346">
        <v>2.17</v>
      </c>
      <c r="AB346" t="s">
        <v>6826</v>
      </c>
      <c r="AD346" t="s">
        <v>705</v>
      </c>
      <c r="AE346" t="s">
        <v>2487</v>
      </c>
      <c r="AF346" t="s">
        <v>1495</v>
      </c>
      <c r="AG346" t="s">
        <v>948</v>
      </c>
      <c r="AH346" t="s">
        <v>330</v>
      </c>
      <c r="AI346" t="s">
        <v>2065</v>
      </c>
      <c r="AJ346" t="s">
        <v>6827</v>
      </c>
      <c r="AK346" t="s">
        <v>6828</v>
      </c>
      <c r="AL346">
        <v>1.58</v>
      </c>
      <c r="AM346">
        <v>0.72</v>
      </c>
      <c r="AN346">
        <v>1.79</v>
      </c>
      <c r="AO346" t="s">
        <v>2786</v>
      </c>
      <c r="AP346" t="s">
        <v>6829</v>
      </c>
      <c r="AQ346" t="s">
        <v>4901</v>
      </c>
      <c r="AR346" t="s">
        <v>5258</v>
      </c>
      <c r="AS346" t="s">
        <v>4493</v>
      </c>
      <c r="AT346" t="s">
        <v>1820</v>
      </c>
      <c r="AU346" t="s">
        <v>2307</v>
      </c>
      <c r="AV346" t="s">
        <v>6830</v>
      </c>
      <c r="AW346" t="s">
        <v>5246</v>
      </c>
      <c r="AX346" t="s">
        <v>712</v>
      </c>
      <c r="AY346" t="s">
        <v>5246</v>
      </c>
      <c r="AZ346" t="s">
        <v>6831</v>
      </c>
      <c r="BA346">
        <v>1.47</v>
      </c>
      <c r="BB346">
        <v>1757.24</v>
      </c>
      <c r="BC346">
        <v>0.42</v>
      </c>
      <c r="BD346">
        <v>103</v>
      </c>
      <c r="BE346">
        <v>104.64</v>
      </c>
      <c r="BF346">
        <v>103.18</v>
      </c>
      <c r="BG346" t="s">
        <v>6832</v>
      </c>
      <c r="BH346" t="s">
        <v>5246</v>
      </c>
      <c r="BI346" t="s">
        <v>6833</v>
      </c>
      <c r="BJ346" t="s">
        <v>101</v>
      </c>
      <c r="BK346" t="s">
        <v>6834</v>
      </c>
      <c r="BL346" t="s">
        <v>6835</v>
      </c>
      <c r="BM346" t="s">
        <v>263</v>
      </c>
      <c r="BN346" t="s">
        <v>4063</v>
      </c>
    </row>
    <row r="347" spans="1:66" x14ac:dyDescent="0.25">
      <c r="A347" t="str">
        <f>HYPERLINK("https://elite.finviz.com/quote.ashx?t=HOUR&amp;ty=c&amp;p=d&amp;b=1", "HOUR")</f>
        <v>HOUR</v>
      </c>
      <c r="B347">
        <v>7</v>
      </c>
      <c r="C347">
        <v>138.38</v>
      </c>
      <c r="D347">
        <v>50.81</v>
      </c>
      <c r="E347" t="s">
        <v>6836</v>
      </c>
      <c r="F347" t="s">
        <v>107</v>
      </c>
      <c r="G347" t="s">
        <v>813</v>
      </c>
      <c r="H347" t="s">
        <v>4388</v>
      </c>
      <c r="I347" t="s">
        <v>70</v>
      </c>
      <c r="J347" t="s">
        <v>321</v>
      </c>
      <c r="K347">
        <v>96.72</v>
      </c>
      <c r="L347">
        <v>2.75</v>
      </c>
      <c r="M347" t="s">
        <v>2662</v>
      </c>
      <c r="N347">
        <v>31362</v>
      </c>
      <c r="O347">
        <v>125</v>
      </c>
      <c r="R347">
        <v>0.7</v>
      </c>
      <c r="S347">
        <v>13.5</v>
      </c>
      <c r="Z347" t="s">
        <v>164</v>
      </c>
      <c r="AA347">
        <v>0.02</v>
      </c>
      <c r="AB347" t="s">
        <v>6837</v>
      </c>
      <c r="AE347" t="s">
        <v>6838</v>
      </c>
      <c r="AF347" t="s">
        <v>6839</v>
      </c>
      <c r="AG347" t="s">
        <v>6840</v>
      </c>
      <c r="AH347" t="s">
        <v>1779</v>
      </c>
      <c r="AJ347" t="s">
        <v>164</v>
      </c>
      <c r="AK347" t="s">
        <v>497</v>
      </c>
      <c r="AL347">
        <v>1.42</v>
      </c>
      <c r="AM347">
        <v>7.0000000000000007E-2</v>
      </c>
      <c r="AN347">
        <v>0.9</v>
      </c>
      <c r="AO347" t="s">
        <v>6841</v>
      </c>
      <c r="AP347" t="s">
        <v>2571</v>
      </c>
      <c r="AQ347" t="s">
        <v>6842</v>
      </c>
      <c r="AR347" t="s">
        <v>6392</v>
      </c>
      <c r="AS347" t="s">
        <v>2652</v>
      </c>
      <c r="AT347" t="s">
        <v>3408</v>
      </c>
      <c r="AU347" t="s">
        <v>6843</v>
      </c>
      <c r="AV347" t="s">
        <v>6844</v>
      </c>
      <c r="AW347" t="s">
        <v>6845</v>
      </c>
      <c r="AX347" t="s">
        <v>6846</v>
      </c>
      <c r="AY347" t="s">
        <v>6847</v>
      </c>
      <c r="AZ347" t="s">
        <v>1588</v>
      </c>
      <c r="BA347">
        <v>3</v>
      </c>
      <c r="BB347">
        <v>4758.82</v>
      </c>
      <c r="BC347">
        <v>0.02</v>
      </c>
      <c r="BD347">
        <v>2.66</v>
      </c>
      <c r="BE347">
        <v>2.79</v>
      </c>
      <c r="BF347">
        <v>2.71</v>
      </c>
      <c r="BG347" t="s">
        <v>6848</v>
      </c>
      <c r="BH347" t="s">
        <v>6849</v>
      </c>
      <c r="BI347" t="s">
        <v>6850</v>
      </c>
      <c r="BJ347" t="s">
        <v>101</v>
      </c>
      <c r="BK347" t="s">
        <v>6851</v>
      </c>
      <c r="BL347" t="s">
        <v>6852</v>
      </c>
      <c r="BM347" t="s">
        <v>6853</v>
      </c>
      <c r="BN347" t="s">
        <v>4063</v>
      </c>
    </row>
    <row r="348" spans="1:66" x14ac:dyDescent="0.25">
      <c r="A348" t="str">
        <f>HYPERLINK("https://elite.finviz.com/quote.ashx?t=BEEM&amp;ty=c&amp;p=d&amp;b=1", "BEEM")</f>
        <v>BEEM</v>
      </c>
      <c r="B348">
        <v>7</v>
      </c>
      <c r="C348">
        <v>138.38</v>
      </c>
      <c r="D348">
        <v>50.83</v>
      </c>
      <c r="E348" t="s">
        <v>6854</v>
      </c>
      <c r="F348" t="s">
        <v>107</v>
      </c>
      <c r="G348" t="s">
        <v>108</v>
      </c>
      <c r="H348" t="s">
        <v>2924</v>
      </c>
      <c r="I348" t="s">
        <v>70</v>
      </c>
      <c r="J348" t="s">
        <v>321</v>
      </c>
      <c r="K348">
        <v>46.39</v>
      </c>
      <c r="L348">
        <v>2.63</v>
      </c>
      <c r="M348" t="s">
        <v>240</v>
      </c>
      <c r="N348">
        <v>90525</v>
      </c>
      <c r="R348">
        <v>1.39</v>
      </c>
      <c r="S348">
        <v>1.65</v>
      </c>
      <c r="AA348">
        <v>-1.54</v>
      </c>
      <c r="AB348" t="s">
        <v>1783</v>
      </c>
      <c r="AC348" t="s">
        <v>451</v>
      </c>
      <c r="AD348" t="s">
        <v>5963</v>
      </c>
      <c r="AE348" t="s">
        <v>5440</v>
      </c>
      <c r="AF348" t="s">
        <v>6855</v>
      </c>
      <c r="AG348" t="s">
        <v>6856</v>
      </c>
      <c r="AH348" t="s">
        <v>6772</v>
      </c>
      <c r="AI348" t="s">
        <v>3746</v>
      </c>
      <c r="AJ348" t="s">
        <v>3940</v>
      </c>
      <c r="AK348" t="s">
        <v>5010</v>
      </c>
      <c r="AL348">
        <v>1.77</v>
      </c>
      <c r="AM348">
        <v>0.76</v>
      </c>
      <c r="AN348">
        <v>7.0000000000000007E-2</v>
      </c>
      <c r="AO348" t="s">
        <v>6608</v>
      </c>
      <c r="AP348" t="s">
        <v>6857</v>
      </c>
      <c r="AQ348" t="s">
        <v>6858</v>
      </c>
      <c r="AR348" t="s">
        <v>2517</v>
      </c>
      <c r="AS348" t="s">
        <v>6859</v>
      </c>
      <c r="AT348" t="s">
        <v>3013</v>
      </c>
      <c r="AU348" t="s">
        <v>2619</v>
      </c>
      <c r="AV348" t="s">
        <v>6860</v>
      </c>
      <c r="AW348" t="s">
        <v>6861</v>
      </c>
      <c r="AX348" t="s">
        <v>6862</v>
      </c>
      <c r="AY348" t="s">
        <v>6863</v>
      </c>
      <c r="AZ348" t="s">
        <v>6864</v>
      </c>
      <c r="BA348">
        <v>1.4</v>
      </c>
      <c r="BB348">
        <v>1212.8900000000001</v>
      </c>
      <c r="BC348">
        <v>0.27</v>
      </c>
      <c r="BD348">
        <v>2.65</v>
      </c>
      <c r="BE348">
        <v>2.72</v>
      </c>
      <c r="BF348">
        <v>2.61</v>
      </c>
      <c r="BG348" t="s">
        <v>6865</v>
      </c>
      <c r="BH348" t="s">
        <v>6866</v>
      </c>
      <c r="BI348" t="s">
        <v>6864</v>
      </c>
      <c r="BJ348" t="s">
        <v>101</v>
      </c>
      <c r="BK348" t="s">
        <v>6867</v>
      </c>
      <c r="BL348" t="s">
        <v>6868</v>
      </c>
      <c r="BM348" t="s">
        <v>6869</v>
      </c>
      <c r="BN348" t="s">
        <v>4063</v>
      </c>
    </row>
    <row r="349" spans="1:66" x14ac:dyDescent="0.25">
      <c r="A349" t="str">
        <f>HYPERLINK("https://elite.finviz.com/quote.ashx?t=LDI&amp;ty=c&amp;p=d&amp;b=1", "LDI")</f>
        <v>LDI</v>
      </c>
      <c r="B349">
        <v>7</v>
      </c>
      <c r="C349">
        <v>138.38</v>
      </c>
      <c r="D349">
        <v>50.85</v>
      </c>
      <c r="E349" t="s">
        <v>6870</v>
      </c>
      <c r="F349" t="s">
        <v>67</v>
      </c>
      <c r="G349" t="s">
        <v>550</v>
      </c>
      <c r="H349" t="s">
        <v>3699</v>
      </c>
      <c r="I349" t="s">
        <v>70</v>
      </c>
      <c r="J349" t="s">
        <v>71</v>
      </c>
      <c r="K349">
        <v>1055.6500000000001</v>
      </c>
      <c r="L349">
        <v>3.19</v>
      </c>
      <c r="M349" t="s">
        <v>6871</v>
      </c>
      <c r="N349">
        <v>2694772</v>
      </c>
      <c r="P349">
        <v>25.6</v>
      </c>
      <c r="R349">
        <v>0.98</v>
      </c>
      <c r="S349">
        <v>2.4500000000000002</v>
      </c>
      <c r="V349" t="s">
        <v>6872</v>
      </c>
      <c r="AA349">
        <v>-0.34</v>
      </c>
      <c r="AE349" t="s">
        <v>1254</v>
      </c>
      <c r="AF349" t="s">
        <v>6873</v>
      </c>
      <c r="AG349" t="s">
        <v>478</v>
      </c>
      <c r="AH349" t="s">
        <v>2317</v>
      </c>
      <c r="AI349" t="s">
        <v>6874</v>
      </c>
      <c r="AJ349" t="s">
        <v>5197</v>
      </c>
      <c r="AK349" t="s">
        <v>3490</v>
      </c>
      <c r="AL349">
        <v>0.22</v>
      </c>
      <c r="AM349">
        <v>0.22</v>
      </c>
      <c r="AN349">
        <v>16.57</v>
      </c>
      <c r="AO349" t="s">
        <v>285</v>
      </c>
      <c r="AP349" t="s">
        <v>6875</v>
      </c>
      <c r="AQ349" t="s">
        <v>2665</v>
      </c>
      <c r="AR349" t="s">
        <v>6876</v>
      </c>
      <c r="AS349" t="s">
        <v>1055</v>
      </c>
      <c r="AT349" t="s">
        <v>798</v>
      </c>
      <c r="AU349" t="s">
        <v>6877</v>
      </c>
      <c r="AV349" t="s">
        <v>6878</v>
      </c>
      <c r="AW349" t="s">
        <v>6879</v>
      </c>
      <c r="AX349" t="s">
        <v>6880</v>
      </c>
      <c r="AY349" t="s">
        <v>6879</v>
      </c>
      <c r="AZ349" t="s">
        <v>6881</v>
      </c>
      <c r="BA349">
        <v>3.6</v>
      </c>
      <c r="BB349">
        <v>7283.85</v>
      </c>
      <c r="BC349">
        <v>1.3</v>
      </c>
      <c r="BD349">
        <v>3.2</v>
      </c>
      <c r="BE349">
        <v>3.36</v>
      </c>
      <c r="BF349">
        <v>3.16</v>
      </c>
      <c r="BG349" t="s">
        <v>6882</v>
      </c>
      <c r="BH349" t="s">
        <v>6883</v>
      </c>
      <c r="BI349" t="s">
        <v>6881</v>
      </c>
      <c r="BJ349" t="s">
        <v>101</v>
      </c>
      <c r="BK349" t="s">
        <v>6884</v>
      </c>
      <c r="BL349" t="s">
        <v>6885</v>
      </c>
      <c r="BM349" t="s">
        <v>1150</v>
      </c>
      <c r="BN349" t="s">
        <v>4063</v>
      </c>
    </row>
    <row r="350" spans="1:66" x14ac:dyDescent="0.25">
      <c r="A350" t="str">
        <f>HYPERLINK("https://elite.finviz.com/quote.ashx?t=SYM&amp;ty=c&amp;p=d&amp;b=1", "SYM")</f>
        <v>SYM</v>
      </c>
      <c r="B350">
        <v>7</v>
      </c>
      <c r="C350">
        <v>138.38</v>
      </c>
      <c r="D350">
        <v>50.86</v>
      </c>
      <c r="E350" t="s">
        <v>6886</v>
      </c>
      <c r="F350" t="s">
        <v>107</v>
      </c>
      <c r="G350" t="s">
        <v>260</v>
      </c>
      <c r="H350" t="s">
        <v>261</v>
      </c>
      <c r="I350" t="s">
        <v>70</v>
      </c>
      <c r="J350" t="s">
        <v>321</v>
      </c>
      <c r="K350">
        <v>30332.11</v>
      </c>
      <c r="L350">
        <v>51.37</v>
      </c>
      <c r="M350" t="s">
        <v>2263</v>
      </c>
      <c r="N350">
        <v>245096</v>
      </c>
      <c r="P350">
        <v>152.07</v>
      </c>
      <c r="R350">
        <v>13.75</v>
      </c>
      <c r="S350">
        <v>26.87</v>
      </c>
      <c r="AA350">
        <v>-0.08</v>
      </c>
      <c r="AB350" t="s">
        <v>6887</v>
      </c>
      <c r="AC350" t="s">
        <v>6888</v>
      </c>
      <c r="AD350" t="s">
        <v>6889</v>
      </c>
      <c r="AE350" t="s">
        <v>6794</v>
      </c>
      <c r="AH350" t="s">
        <v>116</v>
      </c>
      <c r="AI350" t="s">
        <v>6890</v>
      </c>
      <c r="AJ350" t="s">
        <v>1998</v>
      </c>
      <c r="AK350" t="s">
        <v>4566</v>
      </c>
      <c r="AL350">
        <v>1.06</v>
      </c>
      <c r="AM350">
        <v>0.95</v>
      </c>
      <c r="AN350">
        <v>0.13</v>
      </c>
      <c r="AO350" t="s">
        <v>3834</v>
      </c>
      <c r="AP350" t="s">
        <v>133</v>
      </c>
      <c r="AQ350" t="s">
        <v>1564</v>
      </c>
      <c r="AR350" t="s">
        <v>6028</v>
      </c>
      <c r="AS350" t="s">
        <v>4551</v>
      </c>
      <c r="AT350" t="s">
        <v>2868</v>
      </c>
      <c r="AU350" t="s">
        <v>2423</v>
      </c>
      <c r="AV350" t="s">
        <v>1919</v>
      </c>
      <c r="AW350" t="s">
        <v>6891</v>
      </c>
      <c r="AX350" t="s">
        <v>6892</v>
      </c>
      <c r="AY350" t="s">
        <v>6891</v>
      </c>
      <c r="AZ350" t="s">
        <v>6893</v>
      </c>
      <c r="BA350">
        <v>2.5</v>
      </c>
      <c r="BB350">
        <v>2360.92</v>
      </c>
      <c r="BC350">
        <v>0.37</v>
      </c>
      <c r="BD350">
        <v>51.55</v>
      </c>
      <c r="BE350">
        <v>51.97</v>
      </c>
      <c r="BF350">
        <v>51</v>
      </c>
      <c r="BG350" t="s">
        <v>6894</v>
      </c>
      <c r="BH350" t="s">
        <v>6891</v>
      </c>
      <c r="BI350" t="s">
        <v>6895</v>
      </c>
      <c r="BJ350" t="s">
        <v>101</v>
      </c>
      <c r="BK350" t="s">
        <v>6896</v>
      </c>
      <c r="BL350" t="s">
        <v>6897</v>
      </c>
      <c r="BM350" t="s">
        <v>6898</v>
      </c>
      <c r="BN350" t="s">
        <v>4063</v>
      </c>
    </row>
    <row r="351" spans="1:66" x14ac:dyDescent="0.25">
      <c r="A351" t="str">
        <f>HYPERLINK("https://elite.finviz.com/quote.ashx?t=MRP&amp;ty=c&amp;p=d&amp;b=1", "MRP")</f>
        <v>MRP</v>
      </c>
      <c r="B351">
        <v>7</v>
      </c>
      <c r="C351">
        <v>138.38</v>
      </c>
      <c r="D351">
        <v>50.9</v>
      </c>
      <c r="E351" t="s">
        <v>6899</v>
      </c>
      <c r="F351" t="s">
        <v>107</v>
      </c>
      <c r="G351" t="s">
        <v>68</v>
      </c>
      <c r="H351" t="s">
        <v>5671</v>
      </c>
      <c r="I351" t="s">
        <v>70</v>
      </c>
      <c r="J351" t="s">
        <v>71</v>
      </c>
      <c r="K351">
        <v>5257.67</v>
      </c>
      <c r="L351">
        <v>34.1</v>
      </c>
      <c r="M351" t="s">
        <v>1820</v>
      </c>
      <c r="N351">
        <v>90522</v>
      </c>
      <c r="O351">
        <v>40.18</v>
      </c>
      <c r="R351">
        <v>14.79</v>
      </c>
      <c r="S351">
        <v>0.96</v>
      </c>
      <c r="T351" t="s">
        <v>911</v>
      </c>
      <c r="U351">
        <v>1.07</v>
      </c>
      <c r="V351" t="s">
        <v>4105</v>
      </c>
      <c r="AA351">
        <v>0.85</v>
      </c>
      <c r="AI351" t="s">
        <v>6092</v>
      </c>
      <c r="AJ351" t="s">
        <v>580</v>
      </c>
      <c r="AK351" t="s">
        <v>6900</v>
      </c>
      <c r="AL351">
        <v>8.56</v>
      </c>
      <c r="AM351">
        <v>0.14000000000000001</v>
      </c>
      <c r="AN351">
        <v>0.17</v>
      </c>
      <c r="AP351" t="s">
        <v>6901</v>
      </c>
      <c r="AQ351" t="s">
        <v>6902</v>
      </c>
      <c r="AR351" t="s">
        <v>3832</v>
      </c>
      <c r="AS351" t="s">
        <v>2421</v>
      </c>
      <c r="AT351" t="s">
        <v>3484</v>
      </c>
      <c r="AU351" t="s">
        <v>4569</v>
      </c>
      <c r="AV351" t="s">
        <v>6903</v>
      </c>
      <c r="AW351" t="s">
        <v>1052</v>
      </c>
      <c r="AX351" t="s">
        <v>683</v>
      </c>
      <c r="AY351" t="s">
        <v>1052</v>
      </c>
      <c r="AZ351" t="s">
        <v>6904</v>
      </c>
      <c r="BA351">
        <v>1</v>
      </c>
      <c r="BB351">
        <v>1116.93</v>
      </c>
      <c r="BC351">
        <v>0.28999999999999998</v>
      </c>
      <c r="BD351">
        <v>34.450000000000003</v>
      </c>
      <c r="BE351">
        <v>34.5</v>
      </c>
      <c r="BF351">
        <v>34.03</v>
      </c>
      <c r="BG351" t="s">
        <v>6905</v>
      </c>
      <c r="BH351" t="s">
        <v>1052</v>
      </c>
      <c r="BI351" t="s">
        <v>6904</v>
      </c>
      <c r="BJ351" t="s">
        <v>101</v>
      </c>
      <c r="BK351" t="s">
        <v>347</v>
      </c>
      <c r="BL351" t="s">
        <v>6809</v>
      </c>
      <c r="BN351" t="s">
        <v>4063</v>
      </c>
    </row>
    <row r="352" spans="1:66" x14ac:dyDescent="0.25">
      <c r="A352" t="str">
        <f>HYPERLINK("https://elite.finviz.com/quote.ashx?t=SNDX&amp;ty=c&amp;p=d&amp;b=1", "SNDX")</f>
        <v>SNDX</v>
      </c>
      <c r="B352">
        <v>7</v>
      </c>
      <c r="C352">
        <v>138.38</v>
      </c>
      <c r="D352">
        <v>50.93</v>
      </c>
      <c r="E352" t="s">
        <v>6906</v>
      </c>
      <c r="F352" t="s">
        <v>67</v>
      </c>
      <c r="G352" t="s">
        <v>428</v>
      </c>
      <c r="H352" t="s">
        <v>429</v>
      </c>
      <c r="I352" t="s">
        <v>70</v>
      </c>
      <c r="J352" t="s">
        <v>321</v>
      </c>
      <c r="K352">
        <v>1301.17</v>
      </c>
      <c r="L352">
        <v>15.1</v>
      </c>
      <c r="M352" t="s">
        <v>3336</v>
      </c>
      <c r="N352">
        <v>387485</v>
      </c>
      <c r="R352">
        <v>16.64</v>
      </c>
      <c r="S352">
        <v>8.26</v>
      </c>
      <c r="AA352">
        <v>-3.9</v>
      </c>
      <c r="AC352" t="s">
        <v>6907</v>
      </c>
      <c r="AD352" t="s">
        <v>6908</v>
      </c>
      <c r="AE352" t="s">
        <v>6909</v>
      </c>
      <c r="AF352" t="s">
        <v>6910</v>
      </c>
      <c r="AG352" t="s">
        <v>6911</v>
      </c>
      <c r="AH352" t="s">
        <v>6912</v>
      </c>
      <c r="AI352" t="s">
        <v>5024</v>
      </c>
      <c r="AJ352" t="s">
        <v>137</v>
      </c>
      <c r="AK352" t="s">
        <v>6913</v>
      </c>
      <c r="AL352">
        <v>4.71</v>
      </c>
      <c r="AM352">
        <v>4.55</v>
      </c>
      <c r="AN352">
        <v>2.19</v>
      </c>
      <c r="AO352" t="s">
        <v>6914</v>
      </c>
      <c r="AP352" t="s">
        <v>6915</v>
      </c>
      <c r="AQ352" t="s">
        <v>6916</v>
      </c>
      <c r="AR352" t="s">
        <v>4299</v>
      </c>
      <c r="AS352" t="s">
        <v>585</v>
      </c>
      <c r="AT352" t="s">
        <v>799</v>
      </c>
      <c r="AU352" t="s">
        <v>5864</v>
      </c>
      <c r="AV352" t="s">
        <v>6917</v>
      </c>
      <c r="AW352" t="s">
        <v>6918</v>
      </c>
      <c r="AX352" t="s">
        <v>1036</v>
      </c>
      <c r="AY352" t="s">
        <v>6744</v>
      </c>
      <c r="AZ352" t="s">
        <v>6919</v>
      </c>
      <c r="BA352">
        <v>1.08</v>
      </c>
      <c r="BB352">
        <v>2250.6799999999998</v>
      </c>
      <c r="BC352">
        <v>0.61</v>
      </c>
      <c r="BD352">
        <v>15.03</v>
      </c>
      <c r="BE352">
        <v>15.43</v>
      </c>
      <c r="BF352">
        <v>14.89</v>
      </c>
      <c r="BG352" t="s">
        <v>6920</v>
      </c>
      <c r="BH352" t="s">
        <v>6921</v>
      </c>
      <c r="BI352" t="s">
        <v>6922</v>
      </c>
      <c r="BJ352" t="s">
        <v>101</v>
      </c>
      <c r="BK352" t="s">
        <v>1658</v>
      </c>
      <c r="BL352" t="s">
        <v>6923</v>
      </c>
      <c r="BM352" t="s">
        <v>6924</v>
      </c>
      <c r="BN352" t="s">
        <v>4063</v>
      </c>
    </row>
    <row r="353" spans="1:66" x14ac:dyDescent="0.25">
      <c r="A353" t="str">
        <f>HYPERLINK("https://elite.finviz.com/quote.ashx?t=VBTX&amp;ty=c&amp;p=d&amp;b=1", "VBTX")</f>
        <v>VBTX</v>
      </c>
      <c r="B353">
        <v>7</v>
      </c>
      <c r="C353">
        <v>138.38</v>
      </c>
      <c r="D353">
        <v>50.94</v>
      </c>
      <c r="E353" t="s">
        <v>6925</v>
      </c>
      <c r="F353" t="s">
        <v>67</v>
      </c>
      <c r="G353" t="s">
        <v>550</v>
      </c>
      <c r="H353" t="s">
        <v>697</v>
      </c>
      <c r="I353" t="s">
        <v>70</v>
      </c>
      <c r="J353" t="s">
        <v>321</v>
      </c>
      <c r="K353">
        <v>1842.24</v>
      </c>
      <c r="L353">
        <v>33.630000000000003</v>
      </c>
      <c r="M353" t="s">
        <v>5549</v>
      </c>
      <c r="N353">
        <v>277464</v>
      </c>
      <c r="O353">
        <v>15.96</v>
      </c>
      <c r="P353">
        <v>14.15</v>
      </c>
      <c r="R353">
        <v>2.37</v>
      </c>
      <c r="S353">
        <v>1.1100000000000001</v>
      </c>
      <c r="T353" t="s">
        <v>2742</v>
      </c>
      <c r="U353">
        <v>1.06</v>
      </c>
      <c r="V353" t="s">
        <v>5925</v>
      </c>
      <c r="W353" t="s">
        <v>164</v>
      </c>
      <c r="X353" t="s">
        <v>2643</v>
      </c>
      <c r="Y353" t="s">
        <v>1066</v>
      </c>
      <c r="Z353" t="s">
        <v>143</v>
      </c>
      <c r="AA353">
        <v>2.11</v>
      </c>
      <c r="AB353" t="s">
        <v>1828</v>
      </c>
      <c r="AC353" t="s">
        <v>2735</v>
      </c>
      <c r="AE353" t="s">
        <v>6449</v>
      </c>
      <c r="AF353" t="s">
        <v>6926</v>
      </c>
      <c r="AG353" t="s">
        <v>3490</v>
      </c>
      <c r="AH353" t="s">
        <v>2101</v>
      </c>
      <c r="AI353" t="s">
        <v>1902</v>
      </c>
      <c r="AJ353" t="s">
        <v>1862</v>
      </c>
      <c r="AK353" t="s">
        <v>6927</v>
      </c>
      <c r="AL353">
        <v>0.3</v>
      </c>
      <c r="AN353">
        <v>0.2</v>
      </c>
      <c r="AP353" t="s">
        <v>955</v>
      </c>
      <c r="AQ353" t="s">
        <v>2699</v>
      </c>
      <c r="AR353" t="s">
        <v>6336</v>
      </c>
      <c r="AS353" t="s">
        <v>4493</v>
      </c>
      <c r="AT353" t="s">
        <v>4938</v>
      </c>
      <c r="AU353" t="s">
        <v>2421</v>
      </c>
      <c r="AV353" t="s">
        <v>235</v>
      </c>
      <c r="AW353" t="s">
        <v>3005</v>
      </c>
      <c r="AX353" t="s">
        <v>6928</v>
      </c>
      <c r="AY353" t="s">
        <v>3005</v>
      </c>
      <c r="AZ353" t="s">
        <v>6929</v>
      </c>
      <c r="BA353">
        <v>2.2000000000000002</v>
      </c>
      <c r="BB353">
        <v>1059.71</v>
      </c>
      <c r="BC353">
        <v>0.92</v>
      </c>
      <c r="BD353">
        <v>33.619999999999997</v>
      </c>
      <c r="BE353">
        <v>34.03</v>
      </c>
      <c r="BF353">
        <v>33.58</v>
      </c>
      <c r="BG353" t="s">
        <v>6930</v>
      </c>
      <c r="BH353" t="s">
        <v>6305</v>
      </c>
      <c r="BI353" t="s">
        <v>6931</v>
      </c>
      <c r="BJ353" t="s">
        <v>101</v>
      </c>
      <c r="BK353" t="s">
        <v>6932</v>
      </c>
      <c r="BL353" t="s">
        <v>6933</v>
      </c>
      <c r="BM353" t="s">
        <v>6934</v>
      </c>
      <c r="BN353" t="s">
        <v>4063</v>
      </c>
    </row>
    <row r="354" spans="1:66" x14ac:dyDescent="0.25">
      <c r="A354" t="str">
        <f>HYPERLINK("https://elite.finviz.com/quote.ashx?t=KEY&amp;ty=c&amp;p=d&amp;b=1", "KEY")</f>
        <v>KEY</v>
      </c>
      <c r="B354">
        <v>7</v>
      </c>
      <c r="C354">
        <v>138.38</v>
      </c>
      <c r="D354">
        <v>50.98</v>
      </c>
      <c r="E354" t="s">
        <v>6935</v>
      </c>
      <c r="F354" t="s">
        <v>195</v>
      </c>
      <c r="G354" t="s">
        <v>550</v>
      </c>
      <c r="H354" t="s">
        <v>697</v>
      </c>
      <c r="I354" t="s">
        <v>70</v>
      </c>
      <c r="J354" t="s">
        <v>71</v>
      </c>
      <c r="K354">
        <v>20641.91</v>
      </c>
      <c r="L354">
        <v>18.829999999999998</v>
      </c>
      <c r="M354" t="s">
        <v>4539</v>
      </c>
      <c r="N354">
        <v>6145733</v>
      </c>
      <c r="P354">
        <v>10.82</v>
      </c>
      <c r="R354">
        <v>2.21</v>
      </c>
      <c r="S354">
        <v>1.23</v>
      </c>
      <c r="T354" t="s">
        <v>6936</v>
      </c>
      <c r="U354">
        <v>0.82</v>
      </c>
      <c r="V354" t="s">
        <v>2187</v>
      </c>
      <c r="W354" t="s">
        <v>164</v>
      </c>
      <c r="X354" t="s">
        <v>2543</v>
      </c>
      <c r="Y354" t="s">
        <v>6937</v>
      </c>
      <c r="AA354">
        <v>-7.0000000000000007E-2</v>
      </c>
      <c r="AD354" t="s">
        <v>6938</v>
      </c>
      <c r="AE354" t="s">
        <v>6939</v>
      </c>
      <c r="AF354" t="s">
        <v>1243</v>
      </c>
      <c r="AG354" t="s">
        <v>2108</v>
      </c>
      <c r="AH354" t="s">
        <v>5111</v>
      </c>
      <c r="AI354" t="s">
        <v>5166</v>
      </c>
      <c r="AJ354" t="s">
        <v>2593</v>
      </c>
      <c r="AK354" t="s">
        <v>6940</v>
      </c>
      <c r="AL354">
        <v>0.5</v>
      </c>
      <c r="AN354">
        <v>0.76</v>
      </c>
      <c r="AP354" t="s">
        <v>3550</v>
      </c>
      <c r="AQ354" t="s">
        <v>141</v>
      </c>
      <c r="AR354" t="s">
        <v>4493</v>
      </c>
      <c r="AS354" t="s">
        <v>4256</v>
      </c>
      <c r="AT354" t="s">
        <v>240</v>
      </c>
      <c r="AU354" t="s">
        <v>6829</v>
      </c>
      <c r="AV354" t="s">
        <v>3505</v>
      </c>
      <c r="AW354" t="s">
        <v>5309</v>
      </c>
      <c r="AX354" t="s">
        <v>4223</v>
      </c>
      <c r="AY354" t="s">
        <v>1892</v>
      </c>
      <c r="AZ354" t="s">
        <v>6941</v>
      </c>
      <c r="BA354">
        <v>2.12</v>
      </c>
      <c r="BB354">
        <v>27751.89</v>
      </c>
      <c r="BC354">
        <v>0.78</v>
      </c>
      <c r="BD354">
        <v>18.809999999999999</v>
      </c>
      <c r="BE354">
        <v>19.079999999999998</v>
      </c>
      <c r="BF354">
        <v>18.8</v>
      </c>
      <c r="BG354" t="s">
        <v>6942</v>
      </c>
      <c r="BH354" t="s">
        <v>6943</v>
      </c>
      <c r="BI354" t="s">
        <v>6944</v>
      </c>
      <c r="BJ354" t="s">
        <v>101</v>
      </c>
      <c r="BK354" t="s">
        <v>6945</v>
      </c>
      <c r="BL354" t="s">
        <v>1150</v>
      </c>
      <c r="BM354" t="s">
        <v>6946</v>
      </c>
      <c r="BN354" t="s">
        <v>4063</v>
      </c>
    </row>
    <row r="355" spans="1:66" x14ac:dyDescent="0.25">
      <c r="A355" t="str">
        <f>HYPERLINK("https://elite.finviz.com/quote.ashx?t=NUVB&amp;ty=c&amp;p=d&amp;b=1", "NUVB")</f>
        <v>NUVB</v>
      </c>
      <c r="B355">
        <v>7</v>
      </c>
      <c r="C355">
        <v>138.38</v>
      </c>
      <c r="D355">
        <v>50.98</v>
      </c>
      <c r="E355" t="s">
        <v>6947</v>
      </c>
      <c r="F355" t="s">
        <v>67</v>
      </c>
      <c r="G355" t="s">
        <v>428</v>
      </c>
      <c r="H355" t="s">
        <v>429</v>
      </c>
      <c r="I355" t="s">
        <v>70</v>
      </c>
      <c r="J355" t="s">
        <v>71</v>
      </c>
      <c r="K355">
        <v>1069.29</v>
      </c>
      <c r="L355">
        <v>3.12</v>
      </c>
      <c r="M355" t="s">
        <v>4093</v>
      </c>
      <c r="N355">
        <v>1480577</v>
      </c>
      <c r="R355">
        <v>74.459999999999994</v>
      </c>
      <c r="S355">
        <v>2.82</v>
      </c>
      <c r="AA355">
        <v>-0.63</v>
      </c>
      <c r="AB355" t="s">
        <v>6948</v>
      </c>
      <c r="AC355" t="s">
        <v>6949</v>
      </c>
      <c r="AD355" t="s">
        <v>6950</v>
      </c>
      <c r="AE355" t="s">
        <v>6951</v>
      </c>
      <c r="AH355" t="s">
        <v>6952</v>
      </c>
      <c r="AI355" t="s">
        <v>164</v>
      </c>
      <c r="AJ355" t="s">
        <v>2644</v>
      </c>
      <c r="AK355" t="s">
        <v>641</v>
      </c>
      <c r="AL355">
        <v>9.39</v>
      </c>
      <c r="AM355">
        <v>9.3800000000000008</v>
      </c>
      <c r="AN355">
        <v>0.55000000000000004</v>
      </c>
      <c r="AO355" t="s">
        <v>6953</v>
      </c>
      <c r="AP355" t="s">
        <v>6954</v>
      </c>
      <c r="AQ355" t="s">
        <v>6955</v>
      </c>
      <c r="AR355" t="s">
        <v>6956</v>
      </c>
      <c r="AS355" t="s">
        <v>327</v>
      </c>
      <c r="AT355" t="s">
        <v>3853</v>
      </c>
      <c r="AU355" t="s">
        <v>2019</v>
      </c>
      <c r="AV355" t="s">
        <v>6957</v>
      </c>
      <c r="AW355" t="s">
        <v>6958</v>
      </c>
      <c r="AX355" t="s">
        <v>6959</v>
      </c>
      <c r="AY355" t="s">
        <v>6958</v>
      </c>
      <c r="AZ355" t="s">
        <v>1504</v>
      </c>
      <c r="BA355">
        <v>1</v>
      </c>
      <c r="BB355">
        <v>5859.92</v>
      </c>
      <c r="BC355">
        <v>0.89</v>
      </c>
      <c r="BD355">
        <v>3.01</v>
      </c>
      <c r="BE355">
        <v>3.13</v>
      </c>
      <c r="BF355">
        <v>2.99</v>
      </c>
      <c r="BG355" t="s">
        <v>6960</v>
      </c>
      <c r="BH355" t="s">
        <v>6961</v>
      </c>
      <c r="BI355" t="s">
        <v>6962</v>
      </c>
      <c r="BJ355" t="s">
        <v>101</v>
      </c>
      <c r="BK355" t="s">
        <v>6963</v>
      </c>
      <c r="BL355" t="s">
        <v>6964</v>
      </c>
      <c r="BM355" t="s">
        <v>6965</v>
      </c>
      <c r="BN355" t="s">
        <v>4063</v>
      </c>
    </row>
    <row r="356" spans="1:66" x14ac:dyDescent="0.25">
      <c r="A356" t="str">
        <f>HYPERLINK("https://elite.finviz.com/quote.ashx?t=SSB&amp;ty=c&amp;p=d&amp;b=1", "SSB")</f>
        <v>SSB</v>
      </c>
      <c r="B356">
        <v>7</v>
      </c>
      <c r="C356">
        <v>138.38</v>
      </c>
      <c r="D356">
        <v>50.99</v>
      </c>
      <c r="E356" t="s">
        <v>6966</v>
      </c>
      <c r="F356" t="s">
        <v>107</v>
      </c>
      <c r="G356" t="s">
        <v>550</v>
      </c>
      <c r="H356" t="s">
        <v>697</v>
      </c>
      <c r="I356" t="s">
        <v>70</v>
      </c>
      <c r="J356" t="s">
        <v>71</v>
      </c>
      <c r="K356">
        <v>10163.51</v>
      </c>
      <c r="L356">
        <v>100.42</v>
      </c>
      <c r="M356" t="s">
        <v>3446</v>
      </c>
      <c r="N356">
        <v>59544</v>
      </c>
      <c r="O356">
        <v>14.93</v>
      </c>
      <c r="P356">
        <v>10.74</v>
      </c>
      <c r="Q356">
        <v>1.08</v>
      </c>
      <c r="R356">
        <v>3.57</v>
      </c>
      <c r="S356">
        <v>1.1599999999999999</v>
      </c>
      <c r="T356" t="s">
        <v>2808</v>
      </c>
      <c r="U356">
        <v>2.2200000000000002</v>
      </c>
      <c r="V356" t="s">
        <v>1762</v>
      </c>
      <c r="W356" t="s">
        <v>4395</v>
      </c>
      <c r="X356" t="s">
        <v>3542</v>
      </c>
      <c r="Y356" t="s">
        <v>585</v>
      </c>
      <c r="Z356" t="s">
        <v>4724</v>
      </c>
      <c r="AA356">
        <v>6.73</v>
      </c>
      <c r="AB356" t="s">
        <v>5745</v>
      </c>
      <c r="AC356" t="s">
        <v>896</v>
      </c>
      <c r="AD356" t="s">
        <v>6967</v>
      </c>
      <c r="AE356" t="s">
        <v>6968</v>
      </c>
      <c r="AF356" t="s">
        <v>6969</v>
      </c>
      <c r="AG356" t="s">
        <v>6970</v>
      </c>
      <c r="AH356" t="s">
        <v>6971</v>
      </c>
      <c r="AI356" t="s">
        <v>1476</v>
      </c>
      <c r="AJ356" t="s">
        <v>1564</v>
      </c>
      <c r="AK356" t="s">
        <v>6972</v>
      </c>
      <c r="AL356">
        <v>0.12</v>
      </c>
      <c r="AN356">
        <v>0.25</v>
      </c>
      <c r="AP356" t="s">
        <v>6973</v>
      </c>
      <c r="AQ356" t="s">
        <v>6974</v>
      </c>
      <c r="AR356" t="s">
        <v>2307</v>
      </c>
      <c r="AS356" t="s">
        <v>6975</v>
      </c>
      <c r="AT356" t="s">
        <v>1820</v>
      </c>
      <c r="AU356" t="s">
        <v>2087</v>
      </c>
      <c r="AV356" t="s">
        <v>6527</v>
      </c>
      <c r="AW356" t="s">
        <v>6976</v>
      </c>
      <c r="AX356" t="s">
        <v>4672</v>
      </c>
      <c r="AY356" t="s">
        <v>6977</v>
      </c>
      <c r="AZ356" t="s">
        <v>6978</v>
      </c>
      <c r="BA356">
        <v>1.38</v>
      </c>
      <c r="BB356">
        <v>1077.74</v>
      </c>
      <c r="BC356">
        <v>0.19</v>
      </c>
      <c r="BD356">
        <v>100.1</v>
      </c>
      <c r="BE356">
        <v>101.65</v>
      </c>
      <c r="BF356">
        <v>100.34</v>
      </c>
      <c r="BG356" t="s">
        <v>6979</v>
      </c>
      <c r="BH356" t="s">
        <v>6977</v>
      </c>
      <c r="BI356" t="s">
        <v>6980</v>
      </c>
      <c r="BJ356" t="s">
        <v>101</v>
      </c>
      <c r="BK356" t="s">
        <v>6981</v>
      </c>
      <c r="BL356" t="s">
        <v>1243</v>
      </c>
      <c r="BM356" t="s">
        <v>2356</v>
      </c>
      <c r="BN356" t="s">
        <v>4063</v>
      </c>
    </row>
    <row r="357" spans="1:66" x14ac:dyDescent="0.25">
      <c r="A357" t="str">
        <f>HYPERLINK("https://elite.finviz.com/quote.ashx?t=AAP&amp;ty=c&amp;p=d&amp;b=1", "AAP")</f>
        <v>AAP</v>
      </c>
      <c r="B357">
        <v>7</v>
      </c>
      <c r="C357">
        <v>138.38</v>
      </c>
      <c r="D357">
        <v>51</v>
      </c>
      <c r="E357" t="s">
        <v>6982</v>
      </c>
      <c r="F357" t="s">
        <v>67</v>
      </c>
      <c r="G357" t="s">
        <v>813</v>
      </c>
      <c r="H357" t="s">
        <v>814</v>
      </c>
      <c r="I357" t="s">
        <v>70</v>
      </c>
      <c r="J357" t="s">
        <v>71</v>
      </c>
      <c r="K357">
        <v>3620.63</v>
      </c>
      <c r="L357">
        <v>60.36</v>
      </c>
      <c r="M357" t="s">
        <v>458</v>
      </c>
      <c r="N357">
        <v>153266</v>
      </c>
      <c r="P357">
        <v>21.23</v>
      </c>
      <c r="R357">
        <v>0.41</v>
      </c>
      <c r="S357">
        <v>1.64</v>
      </c>
      <c r="T357" t="s">
        <v>3494</v>
      </c>
      <c r="U357">
        <v>1</v>
      </c>
      <c r="V357" t="s">
        <v>5056</v>
      </c>
      <c r="W357" t="s">
        <v>6983</v>
      </c>
      <c r="X357" t="s">
        <v>1075</v>
      </c>
      <c r="Y357" t="s">
        <v>6984</v>
      </c>
      <c r="AA357">
        <v>-6.4</v>
      </c>
      <c r="AE357" t="s">
        <v>5915</v>
      </c>
      <c r="AF357" t="s">
        <v>6985</v>
      </c>
      <c r="AG357" t="s">
        <v>4953</v>
      </c>
      <c r="AH357" t="s">
        <v>6986</v>
      </c>
      <c r="AI357" t="s">
        <v>6154</v>
      </c>
      <c r="AJ357" t="s">
        <v>4699</v>
      </c>
      <c r="AK357" t="s">
        <v>6987</v>
      </c>
      <c r="AL357">
        <v>1.27</v>
      </c>
      <c r="AM357">
        <v>0.49</v>
      </c>
      <c r="AN357">
        <v>1.66</v>
      </c>
      <c r="AO357" t="s">
        <v>6988</v>
      </c>
      <c r="AP357" t="s">
        <v>2586</v>
      </c>
      <c r="AQ357" t="s">
        <v>6989</v>
      </c>
      <c r="AR357" t="s">
        <v>756</v>
      </c>
      <c r="AS357" t="s">
        <v>5736</v>
      </c>
      <c r="AT357" t="s">
        <v>148</v>
      </c>
      <c r="AU357" t="s">
        <v>6990</v>
      </c>
      <c r="AV357" t="s">
        <v>5948</v>
      </c>
      <c r="AW357" t="s">
        <v>6991</v>
      </c>
      <c r="AX357" t="s">
        <v>5119</v>
      </c>
      <c r="AY357" t="s">
        <v>6991</v>
      </c>
      <c r="AZ357" t="s">
        <v>6992</v>
      </c>
      <c r="BA357">
        <v>3.17</v>
      </c>
      <c r="BB357">
        <v>2285.5</v>
      </c>
      <c r="BC357">
        <v>0.24</v>
      </c>
      <c r="BD357">
        <v>59.83</v>
      </c>
      <c r="BE357">
        <v>60.46</v>
      </c>
      <c r="BF357">
        <v>59.34</v>
      </c>
      <c r="BG357" t="s">
        <v>6993</v>
      </c>
      <c r="BH357" t="s">
        <v>6994</v>
      </c>
      <c r="BI357" t="s">
        <v>6995</v>
      </c>
      <c r="BJ357" t="s">
        <v>101</v>
      </c>
      <c r="BK357" t="s">
        <v>6996</v>
      </c>
      <c r="BL357" t="s">
        <v>6997</v>
      </c>
      <c r="BM357" t="s">
        <v>6998</v>
      </c>
      <c r="BN357" t="s">
        <v>4063</v>
      </c>
    </row>
    <row r="358" spans="1:66" x14ac:dyDescent="0.25">
      <c r="A358" t="str">
        <f>HYPERLINK("https://elite.finviz.com/quote.ashx?t=CTRA&amp;ty=c&amp;p=d&amp;b=1", "CTRA")</f>
        <v>CTRA</v>
      </c>
      <c r="B358">
        <v>7</v>
      </c>
      <c r="C358">
        <v>138.38</v>
      </c>
      <c r="D358">
        <v>51.02</v>
      </c>
      <c r="E358" t="s">
        <v>6999</v>
      </c>
      <c r="F358" t="s">
        <v>195</v>
      </c>
      <c r="G358" t="s">
        <v>1048</v>
      </c>
      <c r="H358" t="s">
        <v>1049</v>
      </c>
      <c r="I358" t="s">
        <v>70</v>
      </c>
      <c r="J358" t="s">
        <v>71</v>
      </c>
      <c r="K358">
        <v>18342.07</v>
      </c>
      <c r="L358">
        <v>24.03</v>
      </c>
      <c r="M358" t="s">
        <v>2554</v>
      </c>
      <c r="N358">
        <v>1770449</v>
      </c>
      <c r="O358">
        <v>11.52</v>
      </c>
      <c r="P358">
        <v>8.11</v>
      </c>
      <c r="Q358">
        <v>0.41</v>
      </c>
      <c r="R358">
        <v>2.83</v>
      </c>
      <c r="S358">
        <v>1.26</v>
      </c>
      <c r="T358" t="s">
        <v>4765</v>
      </c>
      <c r="U358">
        <v>0.87</v>
      </c>
      <c r="V358" t="s">
        <v>2708</v>
      </c>
      <c r="W358" t="s">
        <v>7000</v>
      </c>
      <c r="X358" t="s">
        <v>2364</v>
      </c>
      <c r="Y358" t="s">
        <v>7001</v>
      </c>
      <c r="Z358" t="s">
        <v>7002</v>
      </c>
      <c r="AA358">
        <v>2.09</v>
      </c>
      <c r="AB358" t="s">
        <v>6479</v>
      </c>
      <c r="AC358" t="s">
        <v>3172</v>
      </c>
      <c r="AD358" t="s">
        <v>3868</v>
      </c>
      <c r="AE358" t="s">
        <v>830</v>
      </c>
      <c r="AF358" t="s">
        <v>3789</v>
      </c>
      <c r="AG358" t="s">
        <v>3537</v>
      </c>
      <c r="AH358" t="s">
        <v>7003</v>
      </c>
      <c r="AI358" t="s">
        <v>3115</v>
      </c>
      <c r="AJ358" t="s">
        <v>196</v>
      </c>
      <c r="AK358" t="s">
        <v>7004</v>
      </c>
      <c r="AL358">
        <v>1.1299999999999999</v>
      </c>
      <c r="AM358">
        <v>1.08</v>
      </c>
      <c r="AN358">
        <v>0.3</v>
      </c>
      <c r="AO358" t="s">
        <v>7005</v>
      </c>
      <c r="AP358" t="s">
        <v>7006</v>
      </c>
      <c r="AQ358" t="s">
        <v>7007</v>
      </c>
      <c r="AR358" t="s">
        <v>4255</v>
      </c>
      <c r="AS358" t="s">
        <v>3671</v>
      </c>
      <c r="AT358" t="s">
        <v>3752</v>
      </c>
      <c r="AU358" t="s">
        <v>1765</v>
      </c>
      <c r="AV358" t="s">
        <v>7008</v>
      </c>
      <c r="AW358" t="s">
        <v>4408</v>
      </c>
      <c r="AX358" t="s">
        <v>322</v>
      </c>
      <c r="AY358" t="s">
        <v>7009</v>
      </c>
      <c r="AZ358" t="s">
        <v>7010</v>
      </c>
      <c r="BA358">
        <v>1.59</v>
      </c>
      <c r="BB358">
        <v>6585.37</v>
      </c>
      <c r="BC358">
        <v>0.95</v>
      </c>
      <c r="BD358">
        <v>23.7</v>
      </c>
      <c r="BE358">
        <v>24.21</v>
      </c>
      <c r="BF358">
        <v>23.55</v>
      </c>
      <c r="BG358" t="s">
        <v>7011</v>
      </c>
      <c r="BH358" t="s">
        <v>7012</v>
      </c>
      <c r="BI358" t="s">
        <v>7013</v>
      </c>
      <c r="BJ358" t="s">
        <v>101</v>
      </c>
      <c r="BK358" t="s">
        <v>5359</v>
      </c>
      <c r="BL358" t="s">
        <v>7014</v>
      </c>
      <c r="BM358" t="s">
        <v>5166</v>
      </c>
      <c r="BN358" t="s">
        <v>4063</v>
      </c>
    </row>
    <row r="359" spans="1:66" x14ac:dyDescent="0.25">
      <c r="A359" t="str">
        <f>HYPERLINK("https://elite.finviz.com/quote.ashx?t=NVAX&amp;ty=c&amp;p=d&amp;b=1", "NVAX")</f>
        <v>NVAX</v>
      </c>
      <c r="B359">
        <v>7</v>
      </c>
      <c r="C359">
        <v>138.38</v>
      </c>
      <c r="D359">
        <v>51.03</v>
      </c>
      <c r="E359" t="s">
        <v>7015</v>
      </c>
      <c r="F359" t="s">
        <v>67</v>
      </c>
      <c r="G359" t="s">
        <v>428</v>
      </c>
      <c r="H359" t="s">
        <v>429</v>
      </c>
      <c r="I359" t="s">
        <v>70</v>
      </c>
      <c r="J359" t="s">
        <v>321</v>
      </c>
      <c r="K359">
        <v>1341.61</v>
      </c>
      <c r="L359">
        <v>8.26</v>
      </c>
      <c r="M359" t="s">
        <v>3634</v>
      </c>
      <c r="N359">
        <v>783719</v>
      </c>
      <c r="O359">
        <v>3.66</v>
      </c>
      <c r="Q359">
        <v>0.1</v>
      </c>
      <c r="R359">
        <v>1.24</v>
      </c>
      <c r="S359">
        <v>35.6</v>
      </c>
      <c r="V359" t="s">
        <v>7016</v>
      </c>
      <c r="AA359">
        <v>2.2599999999999998</v>
      </c>
      <c r="AB359" t="s">
        <v>7017</v>
      </c>
      <c r="AC359" t="s">
        <v>3750</v>
      </c>
      <c r="AD359" t="s">
        <v>7018</v>
      </c>
      <c r="AE359" t="s">
        <v>7019</v>
      </c>
      <c r="AF359" t="s">
        <v>2575</v>
      </c>
      <c r="AG359" t="s">
        <v>7020</v>
      </c>
      <c r="AH359" t="s">
        <v>7021</v>
      </c>
      <c r="AI359" t="s">
        <v>7022</v>
      </c>
      <c r="AJ359" t="s">
        <v>164</v>
      </c>
      <c r="AK359" t="s">
        <v>7023</v>
      </c>
      <c r="AL359">
        <v>2.36</v>
      </c>
      <c r="AM359">
        <v>2.34</v>
      </c>
      <c r="AN359">
        <v>6.07</v>
      </c>
      <c r="AO359" t="s">
        <v>7024</v>
      </c>
      <c r="AP359" t="s">
        <v>5086</v>
      </c>
      <c r="AQ359" t="s">
        <v>7025</v>
      </c>
      <c r="AR359" t="s">
        <v>162</v>
      </c>
      <c r="AS359" t="s">
        <v>1872</v>
      </c>
      <c r="AT359" t="s">
        <v>1559</v>
      </c>
      <c r="AU359" t="s">
        <v>2108</v>
      </c>
      <c r="AV359" t="s">
        <v>1889</v>
      </c>
      <c r="AW359" t="s">
        <v>1335</v>
      </c>
      <c r="AX359" t="s">
        <v>7026</v>
      </c>
      <c r="AY359" t="s">
        <v>7027</v>
      </c>
      <c r="AZ359" t="s">
        <v>7028</v>
      </c>
      <c r="BA359">
        <v>2.62</v>
      </c>
      <c r="BB359">
        <v>6253.93</v>
      </c>
      <c r="BC359">
        <v>0.44</v>
      </c>
      <c r="BD359">
        <v>8.34</v>
      </c>
      <c r="BE359">
        <v>8.34</v>
      </c>
      <c r="BF359">
        <v>8.16</v>
      </c>
      <c r="BG359" t="s">
        <v>7029</v>
      </c>
      <c r="BH359" t="s">
        <v>7030</v>
      </c>
      <c r="BI359" t="s">
        <v>7031</v>
      </c>
      <c r="BJ359" t="s">
        <v>101</v>
      </c>
      <c r="BK359" t="s">
        <v>7032</v>
      </c>
      <c r="BL359" t="s">
        <v>7033</v>
      </c>
      <c r="BM359" t="s">
        <v>7034</v>
      </c>
      <c r="BN359" t="s">
        <v>4063</v>
      </c>
    </row>
    <row r="360" spans="1:66" x14ac:dyDescent="0.25">
      <c r="A360" t="str">
        <f>HYPERLINK("https://elite.finviz.com/quote.ashx?t=WOOF&amp;ty=c&amp;p=d&amp;b=1", "WOOF")</f>
        <v>WOOF</v>
      </c>
      <c r="B360">
        <v>7</v>
      </c>
      <c r="C360">
        <v>138.38</v>
      </c>
      <c r="D360">
        <v>51.03</v>
      </c>
      <c r="E360" t="s">
        <v>7035</v>
      </c>
      <c r="F360" t="s">
        <v>67</v>
      </c>
      <c r="G360" t="s">
        <v>813</v>
      </c>
      <c r="H360" t="s">
        <v>2262</v>
      </c>
      <c r="I360" t="s">
        <v>70</v>
      </c>
      <c r="J360" t="s">
        <v>321</v>
      </c>
      <c r="K360">
        <v>976.7</v>
      </c>
      <c r="L360">
        <v>3.48</v>
      </c>
      <c r="M360" t="s">
        <v>4689</v>
      </c>
      <c r="N360">
        <v>570058</v>
      </c>
      <c r="P360">
        <v>20.28</v>
      </c>
      <c r="R360">
        <v>0.16</v>
      </c>
      <c r="S360">
        <v>0.86</v>
      </c>
      <c r="AA360">
        <v>-0.1</v>
      </c>
      <c r="AC360" t="s">
        <v>148</v>
      </c>
      <c r="AE360" t="s">
        <v>2673</v>
      </c>
      <c r="AF360" t="s">
        <v>2195</v>
      </c>
      <c r="AG360" t="s">
        <v>521</v>
      </c>
      <c r="AH360" t="s">
        <v>7036</v>
      </c>
      <c r="AI360" t="s">
        <v>7037</v>
      </c>
      <c r="AJ360" t="s">
        <v>3018</v>
      </c>
      <c r="AK360" t="s">
        <v>7038</v>
      </c>
      <c r="AL360">
        <v>0.89</v>
      </c>
      <c r="AM360">
        <v>0.31</v>
      </c>
      <c r="AN360">
        <v>2.58</v>
      </c>
      <c r="AO360" t="s">
        <v>2568</v>
      </c>
      <c r="AP360" t="s">
        <v>3494</v>
      </c>
      <c r="AQ360" t="s">
        <v>2426</v>
      </c>
      <c r="AR360" t="s">
        <v>4526</v>
      </c>
      <c r="AS360" t="s">
        <v>636</v>
      </c>
      <c r="AT360" t="s">
        <v>7039</v>
      </c>
      <c r="AU360" t="s">
        <v>2202</v>
      </c>
      <c r="AV360" t="s">
        <v>3115</v>
      </c>
      <c r="AW360" t="s">
        <v>178</v>
      </c>
      <c r="AX360" t="s">
        <v>7040</v>
      </c>
      <c r="AY360" t="s">
        <v>7041</v>
      </c>
      <c r="AZ360" t="s">
        <v>7042</v>
      </c>
      <c r="BA360">
        <v>3.08</v>
      </c>
      <c r="BB360">
        <v>3856.23</v>
      </c>
      <c r="BC360">
        <v>0.52</v>
      </c>
      <c r="BD360">
        <v>3.45</v>
      </c>
      <c r="BE360">
        <v>3.55</v>
      </c>
      <c r="BF360">
        <v>3.44</v>
      </c>
      <c r="BG360" t="s">
        <v>7043</v>
      </c>
      <c r="BH360" t="s">
        <v>5599</v>
      </c>
      <c r="BI360" t="s">
        <v>7044</v>
      </c>
      <c r="BJ360" t="s">
        <v>101</v>
      </c>
      <c r="BK360" t="s">
        <v>7045</v>
      </c>
      <c r="BL360" t="s">
        <v>4815</v>
      </c>
      <c r="BM360" t="s">
        <v>7046</v>
      </c>
      <c r="BN360" t="s">
        <v>4063</v>
      </c>
    </row>
    <row r="361" spans="1:66" x14ac:dyDescent="0.25">
      <c r="A361" t="str">
        <f>HYPERLINK("https://elite.finviz.com/quote.ashx?t=OCUL&amp;ty=c&amp;p=d&amp;b=1", "OCUL")</f>
        <v>OCUL</v>
      </c>
      <c r="B361">
        <v>7</v>
      </c>
      <c r="C361">
        <v>138.38</v>
      </c>
      <c r="D361">
        <v>51.07</v>
      </c>
      <c r="E361" t="s">
        <v>7047</v>
      </c>
      <c r="F361" t="s">
        <v>67</v>
      </c>
      <c r="G361" t="s">
        <v>428</v>
      </c>
      <c r="H361" t="s">
        <v>429</v>
      </c>
      <c r="I361" t="s">
        <v>70</v>
      </c>
      <c r="J361" t="s">
        <v>321</v>
      </c>
      <c r="K361">
        <v>2169.7199999999998</v>
      </c>
      <c r="L361">
        <v>12.47</v>
      </c>
      <c r="M361" t="s">
        <v>910</v>
      </c>
      <c r="N361">
        <v>406239</v>
      </c>
      <c r="R361">
        <v>38.29</v>
      </c>
      <c r="S361">
        <v>7.05</v>
      </c>
      <c r="AA361">
        <v>-1.28</v>
      </c>
      <c r="AB361" t="s">
        <v>3051</v>
      </c>
      <c r="AC361" t="s">
        <v>1736</v>
      </c>
      <c r="AD361" t="s">
        <v>3976</v>
      </c>
      <c r="AE361" t="s">
        <v>3266</v>
      </c>
      <c r="AF361" t="s">
        <v>3259</v>
      </c>
      <c r="AG361" t="s">
        <v>7048</v>
      </c>
      <c r="AH361" t="s">
        <v>1094</v>
      </c>
      <c r="AI361" t="s">
        <v>7049</v>
      </c>
      <c r="AJ361" t="s">
        <v>4191</v>
      </c>
      <c r="AK361" t="s">
        <v>4351</v>
      </c>
      <c r="AL361">
        <v>10.09</v>
      </c>
      <c r="AM361">
        <v>10.02</v>
      </c>
      <c r="AN361">
        <v>0.25</v>
      </c>
      <c r="AO361" t="s">
        <v>7050</v>
      </c>
      <c r="AP361" t="s">
        <v>7051</v>
      </c>
      <c r="AQ361" t="s">
        <v>7052</v>
      </c>
      <c r="AR361" t="s">
        <v>995</v>
      </c>
      <c r="AS361" t="s">
        <v>3545</v>
      </c>
      <c r="AT361" t="s">
        <v>3999</v>
      </c>
      <c r="AU361" t="s">
        <v>1559</v>
      </c>
      <c r="AV361" t="s">
        <v>7053</v>
      </c>
      <c r="AW361" t="s">
        <v>7054</v>
      </c>
      <c r="AX361" t="s">
        <v>7055</v>
      </c>
      <c r="AY361" t="s">
        <v>7054</v>
      </c>
      <c r="AZ361" t="s">
        <v>7056</v>
      </c>
      <c r="BA361">
        <v>1.08</v>
      </c>
      <c r="BB361">
        <v>2267.21</v>
      </c>
      <c r="BC361">
        <v>0.63</v>
      </c>
      <c r="BD361">
        <v>12.24</v>
      </c>
      <c r="BE361">
        <v>12.49</v>
      </c>
      <c r="BF361">
        <v>12.13</v>
      </c>
      <c r="BG361" t="s">
        <v>7057</v>
      </c>
      <c r="BH361" t="s">
        <v>7058</v>
      </c>
      <c r="BI361" t="s">
        <v>7059</v>
      </c>
      <c r="BJ361" t="s">
        <v>101</v>
      </c>
      <c r="BK361" t="s">
        <v>1818</v>
      </c>
      <c r="BL361" t="s">
        <v>7060</v>
      </c>
      <c r="BM361" t="s">
        <v>7061</v>
      </c>
      <c r="BN361" t="s">
        <v>4063</v>
      </c>
    </row>
    <row r="362" spans="1:66" x14ac:dyDescent="0.25">
      <c r="A362" t="str">
        <f>HYPERLINK("https://elite.finviz.com/quote.ashx?t=SUI&amp;ty=c&amp;p=d&amp;b=1", "SUI")</f>
        <v>SUI</v>
      </c>
      <c r="B362">
        <v>7</v>
      </c>
      <c r="C362">
        <v>138.38</v>
      </c>
      <c r="D362">
        <v>51.08</v>
      </c>
      <c r="E362" t="s">
        <v>7062</v>
      </c>
      <c r="F362" t="s">
        <v>107</v>
      </c>
      <c r="G362" t="s">
        <v>68</v>
      </c>
      <c r="H362" t="s">
        <v>5671</v>
      </c>
      <c r="I362" t="s">
        <v>70</v>
      </c>
      <c r="J362" t="s">
        <v>71</v>
      </c>
      <c r="K362">
        <v>16028.03</v>
      </c>
      <c r="L362">
        <v>128.07</v>
      </c>
      <c r="M362" t="s">
        <v>3358</v>
      </c>
      <c r="N362">
        <v>59157</v>
      </c>
      <c r="O362">
        <v>12.52</v>
      </c>
      <c r="P362">
        <v>46.85</v>
      </c>
      <c r="Q362">
        <v>0.19</v>
      </c>
      <c r="R362">
        <v>5.72</v>
      </c>
      <c r="S362">
        <v>2.1800000000000002</v>
      </c>
      <c r="T362" t="s">
        <v>2386</v>
      </c>
      <c r="U362">
        <v>3.34</v>
      </c>
      <c r="V362" t="s">
        <v>198</v>
      </c>
      <c r="W362" t="s">
        <v>344</v>
      </c>
      <c r="X362" t="s">
        <v>3519</v>
      </c>
      <c r="Y362" t="s">
        <v>4659</v>
      </c>
      <c r="Z362" t="s">
        <v>7063</v>
      </c>
      <c r="AA362">
        <v>10.23</v>
      </c>
      <c r="AB362" t="s">
        <v>7064</v>
      </c>
      <c r="AC362" t="s">
        <v>7065</v>
      </c>
      <c r="AD362" t="s">
        <v>7066</v>
      </c>
      <c r="AE362" t="s">
        <v>7067</v>
      </c>
      <c r="AF362" t="s">
        <v>7068</v>
      </c>
      <c r="AG362" t="s">
        <v>1876</v>
      </c>
      <c r="AH362" t="s">
        <v>7069</v>
      </c>
      <c r="AI362" t="s">
        <v>7070</v>
      </c>
      <c r="AJ362" t="s">
        <v>4266</v>
      </c>
      <c r="AK362" t="s">
        <v>7071</v>
      </c>
      <c r="AL362">
        <v>2.84</v>
      </c>
      <c r="AM362">
        <v>2.6</v>
      </c>
      <c r="AN362">
        <v>0.57999999999999996</v>
      </c>
      <c r="AO362" t="s">
        <v>3529</v>
      </c>
      <c r="AP362" t="s">
        <v>7072</v>
      </c>
      <c r="AQ362" t="s">
        <v>7073</v>
      </c>
      <c r="AR362" t="s">
        <v>4280</v>
      </c>
      <c r="AS362" t="s">
        <v>2449</v>
      </c>
      <c r="AT362" t="s">
        <v>4703</v>
      </c>
      <c r="AU362" t="s">
        <v>5610</v>
      </c>
      <c r="AV362" t="s">
        <v>4956</v>
      </c>
      <c r="AW362" t="s">
        <v>4113</v>
      </c>
      <c r="AX362" t="s">
        <v>5839</v>
      </c>
      <c r="AY362" t="s">
        <v>7074</v>
      </c>
      <c r="AZ362" t="s">
        <v>4466</v>
      </c>
      <c r="BA362">
        <v>2.2000000000000002</v>
      </c>
      <c r="BB362">
        <v>1012.56</v>
      </c>
      <c r="BC362">
        <v>0.21</v>
      </c>
      <c r="BD362">
        <v>127.89</v>
      </c>
      <c r="BE362">
        <v>129.22999999999999</v>
      </c>
      <c r="BF362">
        <v>127.57</v>
      </c>
      <c r="BG362" t="s">
        <v>7075</v>
      </c>
      <c r="BH362" t="s">
        <v>7076</v>
      </c>
      <c r="BI362" t="s">
        <v>7077</v>
      </c>
      <c r="BJ362" t="s">
        <v>101</v>
      </c>
      <c r="BK362" t="s">
        <v>273</v>
      </c>
      <c r="BL362" t="s">
        <v>5593</v>
      </c>
      <c r="BM362" t="s">
        <v>4274</v>
      </c>
      <c r="BN362" t="s">
        <v>4063</v>
      </c>
    </row>
    <row r="363" spans="1:66" x14ac:dyDescent="0.25">
      <c r="A363" t="str">
        <f>HYPERLINK("https://elite.finviz.com/quote.ashx?t=YOU&amp;ty=c&amp;p=d&amp;b=1", "YOU")</f>
        <v>YOU</v>
      </c>
      <c r="B363">
        <v>7</v>
      </c>
      <c r="C363">
        <v>138.38</v>
      </c>
      <c r="D363">
        <v>51.12</v>
      </c>
      <c r="E363" t="s">
        <v>7078</v>
      </c>
      <c r="F363" t="s">
        <v>67</v>
      </c>
      <c r="G363" t="s">
        <v>108</v>
      </c>
      <c r="H363" t="s">
        <v>136</v>
      </c>
      <c r="I363" t="s">
        <v>70</v>
      </c>
      <c r="J363" t="s">
        <v>71</v>
      </c>
      <c r="K363">
        <v>4801.28</v>
      </c>
      <c r="L363">
        <v>36.119999999999997</v>
      </c>
      <c r="M363" t="s">
        <v>1226</v>
      </c>
      <c r="N363">
        <v>122315</v>
      </c>
      <c r="O363">
        <v>19.350000000000001</v>
      </c>
      <c r="P363">
        <v>24.57</v>
      </c>
      <c r="Q363">
        <v>16.829999999999998</v>
      </c>
      <c r="R363">
        <v>5.75</v>
      </c>
      <c r="S363">
        <v>28.08</v>
      </c>
      <c r="T363" t="s">
        <v>1025</v>
      </c>
      <c r="U363">
        <v>0.5</v>
      </c>
      <c r="V363" t="s">
        <v>5717</v>
      </c>
      <c r="W363" t="s">
        <v>7079</v>
      </c>
      <c r="Z363" t="s">
        <v>1162</v>
      </c>
      <c r="AA363">
        <v>1.87</v>
      </c>
      <c r="AD363" t="s">
        <v>1488</v>
      </c>
      <c r="AE363" t="s">
        <v>3596</v>
      </c>
      <c r="AF363" t="s">
        <v>7080</v>
      </c>
      <c r="AG363" t="s">
        <v>7081</v>
      </c>
      <c r="AH363" t="s">
        <v>7082</v>
      </c>
      <c r="AI363" t="s">
        <v>7083</v>
      </c>
      <c r="AJ363" t="s">
        <v>5980</v>
      </c>
      <c r="AK363" t="s">
        <v>7084</v>
      </c>
      <c r="AL363">
        <v>0.87</v>
      </c>
      <c r="AM363">
        <v>0.87</v>
      </c>
      <c r="AN363">
        <v>0.95</v>
      </c>
      <c r="AO363" t="s">
        <v>7085</v>
      </c>
      <c r="AP363" t="s">
        <v>7086</v>
      </c>
      <c r="AQ363" t="s">
        <v>7087</v>
      </c>
      <c r="AR363" t="s">
        <v>2356</v>
      </c>
      <c r="AS363" t="s">
        <v>7088</v>
      </c>
      <c r="AT363" t="s">
        <v>7089</v>
      </c>
      <c r="AU363" t="s">
        <v>7090</v>
      </c>
      <c r="AV363" t="s">
        <v>5867</v>
      </c>
      <c r="AW363" t="s">
        <v>7091</v>
      </c>
      <c r="AX363" t="s">
        <v>7092</v>
      </c>
      <c r="AY363" t="s">
        <v>7091</v>
      </c>
      <c r="AZ363" t="s">
        <v>7093</v>
      </c>
      <c r="BA363">
        <v>2.4</v>
      </c>
      <c r="BB363">
        <v>1649.39</v>
      </c>
      <c r="BC363">
        <v>0.26</v>
      </c>
      <c r="BD363">
        <v>36.4</v>
      </c>
      <c r="BE363">
        <v>36.56</v>
      </c>
      <c r="BF363">
        <v>35.979999999999997</v>
      </c>
      <c r="BG363" t="s">
        <v>7094</v>
      </c>
      <c r="BH363" t="s">
        <v>7095</v>
      </c>
      <c r="BI363" t="s">
        <v>7096</v>
      </c>
      <c r="BJ363" t="s">
        <v>101</v>
      </c>
      <c r="BK363" t="s">
        <v>7097</v>
      </c>
      <c r="BL363" t="s">
        <v>3174</v>
      </c>
      <c r="BM363" t="s">
        <v>177</v>
      </c>
      <c r="BN363" t="s">
        <v>4063</v>
      </c>
    </row>
    <row r="364" spans="1:66" x14ac:dyDescent="0.25">
      <c r="A364" t="str">
        <f>HYPERLINK("https://elite.finviz.com/quote.ashx?t=SITC&amp;ty=c&amp;p=d&amp;b=1", "SITC")</f>
        <v>SITC</v>
      </c>
      <c r="B364">
        <v>7</v>
      </c>
      <c r="C364">
        <v>138.38</v>
      </c>
      <c r="D364">
        <v>51.15</v>
      </c>
      <c r="E364" t="s">
        <v>7098</v>
      </c>
      <c r="F364" t="s">
        <v>67</v>
      </c>
      <c r="G364" t="s">
        <v>68</v>
      </c>
      <c r="H364" t="s">
        <v>160</v>
      </c>
      <c r="I364" t="s">
        <v>70</v>
      </c>
      <c r="J364" t="s">
        <v>71</v>
      </c>
      <c r="K364">
        <v>463</v>
      </c>
      <c r="L364">
        <v>8.83</v>
      </c>
      <c r="M364" t="s">
        <v>273</v>
      </c>
      <c r="N364">
        <v>127668</v>
      </c>
      <c r="O364">
        <v>1.31</v>
      </c>
      <c r="R364">
        <v>2.2999999999999998</v>
      </c>
      <c r="S364">
        <v>0.95</v>
      </c>
      <c r="T364" t="s">
        <v>488</v>
      </c>
      <c r="V364" t="s">
        <v>2187</v>
      </c>
      <c r="Z364" t="s">
        <v>4104</v>
      </c>
      <c r="AA364">
        <v>6.76</v>
      </c>
      <c r="AB364" t="s">
        <v>7099</v>
      </c>
      <c r="AC364" t="s">
        <v>6677</v>
      </c>
      <c r="AE364" t="s">
        <v>2904</v>
      </c>
      <c r="AF364" t="s">
        <v>7100</v>
      </c>
      <c r="AG364" t="s">
        <v>7101</v>
      </c>
      <c r="AH364" t="s">
        <v>7102</v>
      </c>
      <c r="AI364" t="s">
        <v>7103</v>
      </c>
      <c r="AJ364" t="s">
        <v>164</v>
      </c>
      <c r="AK364" t="s">
        <v>7104</v>
      </c>
      <c r="AL364">
        <v>1.66</v>
      </c>
      <c r="AM364">
        <v>1.66</v>
      </c>
      <c r="AN364">
        <v>0.61</v>
      </c>
      <c r="AO364" t="s">
        <v>7105</v>
      </c>
      <c r="AP364" t="s">
        <v>7106</v>
      </c>
      <c r="AQ364" t="s">
        <v>7107</v>
      </c>
      <c r="AR364" t="s">
        <v>1560</v>
      </c>
      <c r="AS364" t="s">
        <v>451</v>
      </c>
      <c r="AT364" t="s">
        <v>4828</v>
      </c>
      <c r="AU364" t="s">
        <v>92</v>
      </c>
      <c r="AV364" t="s">
        <v>3832</v>
      </c>
      <c r="AW364" t="s">
        <v>4259</v>
      </c>
      <c r="AX364" t="s">
        <v>7108</v>
      </c>
      <c r="AY364" t="s">
        <v>7109</v>
      </c>
      <c r="AZ364" t="s">
        <v>210</v>
      </c>
      <c r="BA364">
        <v>2.5</v>
      </c>
      <c r="BB364">
        <v>1492.18</v>
      </c>
      <c r="BC364">
        <v>0.3</v>
      </c>
      <c r="BD364">
        <v>8.73</v>
      </c>
      <c r="BE364">
        <v>8.84</v>
      </c>
      <c r="BF364">
        <v>8.7200000000000006</v>
      </c>
      <c r="BG364" t="s">
        <v>7110</v>
      </c>
      <c r="BH364" t="s">
        <v>7111</v>
      </c>
      <c r="BI364" t="s">
        <v>7112</v>
      </c>
      <c r="BJ364" t="s">
        <v>101</v>
      </c>
      <c r="BK364" t="s">
        <v>4299</v>
      </c>
      <c r="BL364" t="s">
        <v>229</v>
      </c>
      <c r="BM364" t="s">
        <v>6694</v>
      </c>
      <c r="BN364" t="s">
        <v>4063</v>
      </c>
    </row>
    <row r="365" spans="1:66" x14ac:dyDescent="0.25">
      <c r="A365" t="str">
        <f>HYPERLINK("https://elite.finviz.com/quote.ashx?t=EBAY&amp;ty=c&amp;p=d&amp;b=1", "EBAY")</f>
        <v>EBAY</v>
      </c>
      <c r="B365">
        <v>7</v>
      </c>
      <c r="C365">
        <v>138.38</v>
      </c>
      <c r="D365">
        <v>51.15</v>
      </c>
      <c r="E365" t="s">
        <v>7113</v>
      </c>
      <c r="F365" t="s">
        <v>195</v>
      </c>
      <c r="G365" t="s">
        <v>813</v>
      </c>
      <c r="H365" t="s">
        <v>4388</v>
      </c>
      <c r="I365" t="s">
        <v>70</v>
      </c>
      <c r="J365" t="s">
        <v>321</v>
      </c>
      <c r="K365">
        <v>42033.67</v>
      </c>
      <c r="L365">
        <v>91.98</v>
      </c>
      <c r="M365" t="s">
        <v>1864</v>
      </c>
      <c r="N365">
        <v>1577026</v>
      </c>
      <c r="O365">
        <v>20.329999999999998</v>
      </c>
      <c r="P365">
        <v>15.39</v>
      </c>
      <c r="Q365">
        <v>1.97</v>
      </c>
      <c r="R365">
        <v>4</v>
      </c>
      <c r="S365">
        <v>8.89</v>
      </c>
      <c r="T365" t="s">
        <v>3350</v>
      </c>
      <c r="U365">
        <v>1.1399999999999999</v>
      </c>
      <c r="V365" t="s">
        <v>4882</v>
      </c>
      <c r="W365" t="s">
        <v>238</v>
      </c>
      <c r="X365" t="s">
        <v>5699</v>
      </c>
      <c r="Y365" t="s">
        <v>7114</v>
      </c>
      <c r="Z365" t="s">
        <v>7115</v>
      </c>
      <c r="AA365">
        <v>4.53</v>
      </c>
      <c r="AC365" t="s">
        <v>7116</v>
      </c>
      <c r="AD365" t="s">
        <v>3526</v>
      </c>
      <c r="AE365" t="s">
        <v>1769</v>
      </c>
      <c r="AF365" t="s">
        <v>2426</v>
      </c>
      <c r="AG365" t="s">
        <v>7117</v>
      </c>
      <c r="AH365" t="s">
        <v>2777</v>
      </c>
      <c r="AI365" t="s">
        <v>7118</v>
      </c>
      <c r="AJ365" t="s">
        <v>7119</v>
      </c>
      <c r="AK365" t="s">
        <v>7120</v>
      </c>
      <c r="AL365">
        <v>1</v>
      </c>
      <c r="AM365">
        <v>1</v>
      </c>
      <c r="AN365">
        <v>1.51</v>
      </c>
      <c r="AO365" t="s">
        <v>7121</v>
      </c>
      <c r="AP365" t="s">
        <v>7122</v>
      </c>
      <c r="AQ365" t="s">
        <v>7123</v>
      </c>
      <c r="AR365" t="s">
        <v>2640</v>
      </c>
      <c r="AS365" t="s">
        <v>5660</v>
      </c>
      <c r="AT365" t="s">
        <v>3871</v>
      </c>
      <c r="AU365" t="s">
        <v>7124</v>
      </c>
      <c r="AV365" t="s">
        <v>7125</v>
      </c>
      <c r="AW365" t="s">
        <v>5559</v>
      </c>
      <c r="AX365" t="s">
        <v>5230</v>
      </c>
      <c r="AY365" t="s">
        <v>5559</v>
      </c>
      <c r="AZ365" t="s">
        <v>7126</v>
      </c>
      <c r="BA365">
        <v>2.69</v>
      </c>
      <c r="BB365">
        <v>5771.36</v>
      </c>
      <c r="BC365">
        <v>0.96</v>
      </c>
      <c r="BD365">
        <v>93.11</v>
      </c>
      <c r="BE365">
        <v>93.11</v>
      </c>
      <c r="BF365">
        <v>90.8</v>
      </c>
      <c r="BG365" t="s">
        <v>7127</v>
      </c>
      <c r="BH365" t="s">
        <v>5559</v>
      </c>
      <c r="BI365" t="s">
        <v>7128</v>
      </c>
      <c r="BJ365" t="s">
        <v>101</v>
      </c>
      <c r="BK365" t="s">
        <v>3931</v>
      </c>
      <c r="BL365" t="s">
        <v>7129</v>
      </c>
      <c r="BM365" t="s">
        <v>7130</v>
      </c>
      <c r="BN365" t="s">
        <v>4063</v>
      </c>
    </row>
    <row r="366" spans="1:66" x14ac:dyDescent="0.25">
      <c r="A366" t="str">
        <f>HYPERLINK("https://elite.finviz.com/quote.ashx?t=GCT&amp;ty=c&amp;p=d&amp;b=1", "GCT")</f>
        <v>GCT</v>
      </c>
      <c r="B366">
        <v>7</v>
      </c>
      <c r="C366">
        <v>138.38</v>
      </c>
      <c r="D366">
        <v>51.16</v>
      </c>
      <c r="E366" t="s">
        <v>7131</v>
      </c>
      <c r="F366" t="s">
        <v>67</v>
      </c>
      <c r="G366" t="s">
        <v>108</v>
      </c>
      <c r="H366" t="s">
        <v>109</v>
      </c>
      <c r="I366" t="s">
        <v>70</v>
      </c>
      <c r="J366" t="s">
        <v>321</v>
      </c>
      <c r="K366">
        <v>1085.9100000000001</v>
      </c>
      <c r="L366">
        <v>28.83</v>
      </c>
      <c r="M366" t="s">
        <v>2638</v>
      </c>
      <c r="N366">
        <v>164126</v>
      </c>
      <c r="O366">
        <v>8.68</v>
      </c>
      <c r="P366">
        <v>9.09</v>
      </c>
      <c r="R366">
        <v>0.91</v>
      </c>
      <c r="S366">
        <v>2.52</v>
      </c>
      <c r="Z366" t="s">
        <v>164</v>
      </c>
      <c r="AA366">
        <v>3.32</v>
      </c>
      <c r="AB366" t="s">
        <v>7132</v>
      </c>
      <c r="AC366" t="s">
        <v>7133</v>
      </c>
      <c r="AE366" t="s">
        <v>7134</v>
      </c>
      <c r="AF366" t="s">
        <v>143</v>
      </c>
      <c r="AG366" t="s">
        <v>7135</v>
      </c>
      <c r="AH366" t="s">
        <v>2108</v>
      </c>
      <c r="AI366" t="s">
        <v>7136</v>
      </c>
      <c r="AJ366" t="s">
        <v>7137</v>
      </c>
      <c r="AK366" t="s">
        <v>7138</v>
      </c>
      <c r="AL366">
        <v>2.11</v>
      </c>
      <c r="AM366">
        <v>1.43</v>
      </c>
      <c r="AN366">
        <v>1.0900000000000001</v>
      </c>
      <c r="AO366" t="s">
        <v>7139</v>
      </c>
      <c r="AP366" t="s">
        <v>821</v>
      </c>
      <c r="AQ366" t="s">
        <v>5459</v>
      </c>
      <c r="AR366" t="s">
        <v>1950</v>
      </c>
      <c r="AS366" t="s">
        <v>5969</v>
      </c>
      <c r="AT366" t="s">
        <v>2418</v>
      </c>
      <c r="AU366" t="s">
        <v>2932</v>
      </c>
      <c r="AV366" t="s">
        <v>1278</v>
      </c>
      <c r="AW366" t="s">
        <v>5002</v>
      </c>
      <c r="AX366" t="s">
        <v>7140</v>
      </c>
      <c r="AY366" t="s">
        <v>5002</v>
      </c>
      <c r="AZ366" t="s">
        <v>7141</v>
      </c>
      <c r="BA366">
        <v>1.5</v>
      </c>
      <c r="BB366">
        <v>1016.82</v>
      </c>
      <c r="BC366">
        <v>0.56999999999999995</v>
      </c>
      <c r="BD366">
        <v>28.86</v>
      </c>
      <c r="BE366">
        <v>29.02</v>
      </c>
      <c r="BF366">
        <v>28.5</v>
      </c>
      <c r="BG366" t="s">
        <v>7142</v>
      </c>
      <c r="BH366" t="s">
        <v>7143</v>
      </c>
      <c r="BI366" t="s">
        <v>7144</v>
      </c>
      <c r="BJ366" t="s">
        <v>101</v>
      </c>
      <c r="BK366" t="s">
        <v>7145</v>
      </c>
      <c r="BL366" t="s">
        <v>7146</v>
      </c>
      <c r="BM366" t="s">
        <v>7147</v>
      </c>
      <c r="BN366" t="s">
        <v>4063</v>
      </c>
    </row>
    <row r="367" spans="1:66" x14ac:dyDescent="0.25">
      <c r="A367" t="str">
        <f>HYPERLINK("https://elite.finviz.com/quote.ashx?t=HOLX&amp;ty=c&amp;p=d&amp;b=1", "HOLX")</f>
        <v>HOLX</v>
      </c>
      <c r="B367">
        <v>7</v>
      </c>
      <c r="C367">
        <v>138.38</v>
      </c>
      <c r="D367">
        <v>51.2</v>
      </c>
      <c r="E367" t="s">
        <v>7148</v>
      </c>
      <c r="F367" t="s">
        <v>195</v>
      </c>
      <c r="G367" t="s">
        <v>428</v>
      </c>
      <c r="H367" t="s">
        <v>2161</v>
      </c>
      <c r="I367" t="s">
        <v>70</v>
      </c>
      <c r="J367" t="s">
        <v>321</v>
      </c>
      <c r="K367">
        <v>14857.6</v>
      </c>
      <c r="L367">
        <v>66.8</v>
      </c>
      <c r="M367" t="s">
        <v>2572</v>
      </c>
      <c r="N367">
        <v>341035</v>
      </c>
      <c r="O367">
        <v>27.72</v>
      </c>
      <c r="P367">
        <v>14.81</v>
      </c>
      <c r="Q367">
        <v>4.0599999999999996</v>
      </c>
      <c r="R367">
        <v>3.68</v>
      </c>
      <c r="S367">
        <v>3.07</v>
      </c>
      <c r="Z367" t="s">
        <v>164</v>
      </c>
      <c r="AA367">
        <v>2.41</v>
      </c>
      <c r="AB367" t="s">
        <v>7149</v>
      </c>
      <c r="AD367" t="s">
        <v>7150</v>
      </c>
      <c r="AE367" t="s">
        <v>5158</v>
      </c>
      <c r="AF367" t="s">
        <v>7151</v>
      </c>
      <c r="AG367" t="s">
        <v>2494</v>
      </c>
      <c r="AH367" t="s">
        <v>343</v>
      </c>
      <c r="AI367" t="s">
        <v>3349</v>
      </c>
      <c r="AJ367" t="s">
        <v>5567</v>
      </c>
      <c r="AK367" t="s">
        <v>7152</v>
      </c>
      <c r="AL367">
        <v>3.55</v>
      </c>
      <c r="AM367">
        <v>2.81</v>
      </c>
      <c r="AN367">
        <v>0.52</v>
      </c>
      <c r="AO367" t="s">
        <v>7153</v>
      </c>
      <c r="AP367" t="s">
        <v>3926</v>
      </c>
      <c r="AQ367" t="s">
        <v>5743</v>
      </c>
      <c r="AR367" t="s">
        <v>891</v>
      </c>
      <c r="AS367" t="s">
        <v>2743</v>
      </c>
      <c r="AT367" t="s">
        <v>4865</v>
      </c>
      <c r="AU367" t="s">
        <v>6156</v>
      </c>
      <c r="AV367" t="s">
        <v>7154</v>
      </c>
      <c r="AW367" t="s">
        <v>1258</v>
      </c>
      <c r="AX367" t="s">
        <v>2064</v>
      </c>
      <c r="AY367" t="s">
        <v>7155</v>
      </c>
      <c r="AZ367" t="s">
        <v>7156</v>
      </c>
      <c r="BA367">
        <v>2.2999999999999998</v>
      </c>
      <c r="BB367">
        <v>1967.11</v>
      </c>
      <c r="BC367">
        <v>0.61</v>
      </c>
      <c r="BD367">
        <v>65.790000000000006</v>
      </c>
      <c r="BE367">
        <v>66.989999999999995</v>
      </c>
      <c r="BF367">
        <v>65.87</v>
      </c>
      <c r="BG367" t="s">
        <v>7157</v>
      </c>
      <c r="BH367" t="s">
        <v>7158</v>
      </c>
      <c r="BI367" t="s">
        <v>7159</v>
      </c>
      <c r="BJ367" t="s">
        <v>101</v>
      </c>
      <c r="BK367" t="s">
        <v>2743</v>
      </c>
      <c r="BL367" t="s">
        <v>3432</v>
      </c>
      <c r="BM367" t="s">
        <v>7160</v>
      </c>
      <c r="BN367" t="s">
        <v>4063</v>
      </c>
    </row>
    <row r="368" spans="1:66" x14ac:dyDescent="0.25">
      <c r="A368" t="str">
        <f>HYPERLINK("https://elite.finviz.com/quote.ashx?t=ESRT&amp;ty=c&amp;p=d&amp;b=1", "ESRT")</f>
        <v>ESRT</v>
      </c>
      <c r="B368">
        <v>7</v>
      </c>
      <c r="C368">
        <v>138.38</v>
      </c>
      <c r="D368">
        <v>51.25</v>
      </c>
      <c r="E368" t="s">
        <v>7161</v>
      </c>
      <c r="F368" t="s">
        <v>67</v>
      </c>
      <c r="G368" t="s">
        <v>68</v>
      </c>
      <c r="H368" t="s">
        <v>4656</v>
      </c>
      <c r="I368" t="s">
        <v>70</v>
      </c>
      <c r="J368" t="s">
        <v>71</v>
      </c>
      <c r="K368">
        <v>1299.24</v>
      </c>
      <c r="L368">
        <v>7.66</v>
      </c>
      <c r="M368" t="s">
        <v>2864</v>
      </c>
      <c r="N368">
        <v>266486</v>
      </c>
      <c r="O368">
        <v>32.020000000000003</v>
      </c>
      <c r="R368">
        <v>1.69</v>
      </c>
      <c r="S368">
        <v>1.25</v>
      </c>
      <c r="T368" t="s">
        <v>2424</v>
      </c>
      <c r="U368">
        <v>0.14000000000000001</v>
      </c>
      <c r="V368" t="s">
        <v>3833</v>
      </c>
      <c r="W368" t="s">
        <v>164</v>
      </c>
      <c r="X368" t="s">
        <v>4079</v>
      </c>
      <c r="Y368" t="s">
        <v>5828</v>
      </c>
      <c r="Z368" t="s">
        <v>7162</v>
      </c>
      <c r="AA368">
        <v>0.24</v>
      </c>
      <c r="AC368" t="s">
        <v>3112</v>
      </c>
      <c r="AE368" t="s">
        <v>3757</v>
      </c>
      <c r="AF368" t="s">
        <v>6420</v>
      </c>
      <c r="AG368" t="s">
        <v>5055</v>
      </c>
      <c r="AH368" t="s">
        <v>3493</v>
      </c>
      <c r="AJ368" t="s">
        <v>164</v>
      </c>
      <c r="AK368" t="s">
        <v>7163</v>
      </c>
      <c r="AL368">
        <v>3.96</v>
      </c>
      <c r="AM368">
        <v>3.96</v>
      </c>
      <c r="AN368">
        <v>2.0299999999999998</v>
      </c>
      <c r="AO368" t="s">
        <v>2972</v>
      </c>
      <c r="AP368" t="s">
        <v>850</v>
      </c>
      <c r="AQ368" t="s">
        <v>3981</v>
      </c>
      <c r="AR368" t="s">
        <v>3456</v>
      </c>
      <c r="AS368" t="s">
        <v>248</v>
      </c>
      <c r="AT368" t="s">
        <v>2003</v>
      </c>
      <c r="AU368" t="s">
        <v>2082</v>
      </c>
      <c r="AV368" t="s">
        <v>7164</v>
      </c>
      <c r="AW368" t="s">
        <v>7165</v>
      </c>
      <c r="AX368" t="s">
        <v>2678</v>
      </c>
      <c r="AY368" t="s">
        <v>7166</v>
      </c>
      <c r="AZ368" t="s">
        <v>7167</v>
      </c>
      <c r="BA368">
        <v>2.57</v>
      </c>
      <c r="BB368">
        <v>1663.79</v>
      </c>
      <c r="BC368">
        <v>0.56000000000000005</v>
      </c>
      <c r="BD368">
        <v>7.59</v>
      </c>
      <c r="BE368">
        <v>7.72</v>
      </c>
      <c r="BF368">
        <v>7.57</v>
      </c>
      <c r="BG368" t="s">
        <v>7168</v>
      </c>
      <c r="BH368" t="s">
        <v>7169</v>
      </c>
      <c r="BI368" t="s">
        <v>7170</v>
      </c>
      <c r="BJ368" t="s">
        <v>101</v>
      </c>
      <c r="BK368" t="s">
        <v>6345</v>
      </c>
      <c r="BL368" t="s">
        <v>405</v>
      </c>
      <c r="BM368" t="s">
        <v>7171</v>
      </c>
      <c r="BN368" t="s">
        <v>4063</v>
      </c>
    </row>
    <row r="369" spans="1:66" x14ac:dyDescent="0.25">
      <c r="A369" t="str">
        <f>HYPERLINK("https://elite.finviz.com/quote.ashx?t=SERV&amp;ty=c&amp;p=d&amp;b=1", "SERV")</f>
        <v>SERV</v>
      </c>
      <c r="B369">
        <v>7</v>
      </c>
      <c r="C369">
        <v>138.38</v>
      </c>
      <c r="D369">
        <v>51.29</v>
      </c>
      <c r="E369" t="s">
        <v>7172</v>
      </c>
      <c r="F369" t="s">
        <v>67</v>
      </c>
      <c r="G369" t="s">
        <v>260</v>
      </c>
      <c r="H369" t="s">
        <v>261</v>
      </c>
      <c r="I369" t="s">
        <v>70</v>
      </c>
      <c r="J369" t="s">
        <v>321</v>
      </c>
      <c r="K369">
        <v>707.8</v>
      </c>
      <c r="L369">
        <v>11.82</v>
      </c>
      <c r="M369" t="s">
        <v>600</v>
      </c>
      <c r="N369">
        <v>2262795</v>
      </c>
      <c r="R369">
        <v>478.24</v>
      </c>
      <c r="S369">
        <v>3.38</v>
      </c>
      <c r="AA369">
        <v>-1.1399999999999999</v>
      </c>
      <c r="AB369" t="s">
        <v>7173</v>
      </c>
      <c r="AD369" t="s">
        <v>3456</v>
      </c>
      <c r="AE369" t="s">
        <v>4516</v>
      </c>
      <c r="AH369" t="s">
        <v>7174</v>
      </c>
      <c r="AI369" t="s">
        <v>7175</v>
      </c>
      <c r="AJ369" t="s">
        <v>7176</v>
      </c>
      <c r="AK369" t="s">
        <v>7177</v>
      </c>
      <c r="AL369">
        <v>32.79</v>
      </c>
      <c r="AM369">
        <v>32.79</v>
      </c>
      <c r="AN369">
        <v>0.01</v>
      </c>
      <c r="AO369" t="s">
        <v>7178</v>
      </c>
      <c r="AP369" t="s">
        <v>7179</v>
      </c>
      <c r="AQ369" t="s">
        <v>7180</v>
      </c>
      <c r="AR369" t="s">
        <v>292</v>
      </c>
      <c r="AS369" t="s">
        <v>1133</v>
      </c>
      <c r="AT369" t="s">
        <v>907</v>
      </c>
      <c r="AU369" t="s">
        <v>4114</v>
      </c>
      <c r="AV369" t="s">
        <v>3949</v>
      </c>
      <c r="AW369" t="s">
        <v>7181</v>
      </c>
      <c r="AX369" t="s">
        <v>1610</v>
      </c>
      <c r="AY369" t="s">
        <v>5225</v>
      </c>
      <c r="AZ369" t="s">
        <v>7182</v>
      </c>
      <c r="BA369">
        <v>1.29</v>
      </c>
      <c r="BB369">
        <v>7214.46</v>
      </c>
      <c r="BC369">
        <v>1.1000000000000001</v>
      </c>
      <c r="BD369">
        <v>12</v>
      </c>
      <c r="BE369">
        <v>12.19</v>
      </c>
      <c r="BF369">
        <v>11.7</v>
      </c>
      <c r="BG369" t="s">
        <v>7183</v>
      </c>
      <c r="BH369" t="s">
        <v>395</v>
      </c>
      <c r="BI369" t="s">
        <v>7184</v>
      </c>
      <c r="BJ369" t="s">
        <v>101</v>
      </c>
      <c r="BK369" t="s">
        <v>4677</v>
      </c>
      <c r="BL369" t="s">
        <v>7185</v>
      </c>
      <c r="BM369" t="s">
        <v>7186</v>
      </c>
      <c r="BN369" t="s">
        <v>4063</v>
      </c>
    </row>
    <row r="370" spans="1:66" x14ac:dyDescent="0.25">
      <c r="A370" t="str">
        <f>HYPERLINK("https://elite.finviz.com/quote.ashx?t=SOAR&amp;ty=c&amp;p=d&amp;b=1", "SOAR")</f>
        <v>SOAR</v>
      </c>
      <c r="B370">
        <v>7</v>
      </c>
      <c r="C370">
        <v>138.38</v>
      </c>
      <c r="D370">
        <v>51.31</v>
      </c>
      <c r="E370" t="s">
        <v>7187</v>
      </c>
      <c r="F370" t="s">
        <v>107</v>
      </c>
      <c r="G370" t="s">
        <v>260</v>
      </c>
      <c r="H370" t="s">
        <v>7188</v>
      </c>
      <c r="I370" t="s">
        <v>70</v>
      </c>
      <c r="J370" t="s">
        <v>383</v>
      </c>
      <c r="K370">
        <v>9.65</v>
      </c>
      <c r="L370">
        <v>1.62</v>
      </c>
      <c r="M370" t="s">
        <v>164</v>
      </c>
      <c r="N370">
        <v>81284</v>
      </c>
      <c r="R370">
        <v>0.1</v>
      </c>
      <c r="AA370">
        <v>-3.93</v>
      </c>
      <c r="AB370" t="s">
        <v>7189</v>
      </c>
      <c r="AE370" t="s">
        <v>7190</v>
      </c>
      <c r="AH370" t="s">
        <v>7191</v>
      </c>
      <c r="AJ370" t="s">
        <v>5312</v>
      </c>
      <c r="AK370" t="s">
        <v>3336</v>
      </c>
      <c r="AL370">
        <v>0.53</v>
      </c>
      <c r="AM370">
        <v>0.53</v>
      </c>
      <c r="AO370" t="s">
        <v>7192</v>
      </c>
      <c r="AP370" t="s">
        <v>715</v>
      </c>
      <c r="AQ370" t="s">
        <v>7193</v>
      </c>
      <c r="AR370" t="s">
        <v>2403</v>
      </c>
      <c r="AS370" t="s">
        <v>4378</v>
      </c>
      <c r="AT370" t="s">
        <v>6117</v>
      </c>
      <c r="AU370" t="s">
        <v>170</v>
      </c>
      <c r="AV370" t="s">
        <v>7194</v>
      </c>
      <c r="AW370" t="s">
        <v>7195</v>
      </c>
      <c r="AX370" t="s">
        <v>7196</v>
      </c>
      <c r="AY370" t="s">
        <v>7197</v>
      </c>
      <c r="AZ370" t="s">
        <v>4164</v>
      </c>
      <c r="BB370">
        <v>1440.31</v>
      </c>
      <c r="BC370">
        <v>0.2</v>
      </c>
      <c r="BD370">
        <v>1.62</v>
      </c>
      <c r="BE370">
        <v>1.66</v>
      </c>
      <c r="BF370">
        <v>1.61</v>
      </c>
      <c r="BG370" t="s">
        <v>7198</v>
      </c>
      <c r="BH370" t="s">
        <v>961</v>
      </c>
      <c r="BI370" t="s">
        <v>4164</v>
      </c>
      <c r="BJ370" t="s">
        <v>101</v>
      </c>
      <c r="BK370" t="s">
        <v>7199</v>
      </c>
      <c r="BL370" t="s">
        <v>7200</v>
      </c>
      <c r="BM370" t="s">
        <v>7201</v>
      </c>
      <c r="BN370" t="s">
        <v>4063</v>
      </c>
    </row>
    <row r="371" spans="1:66" x14ac:dyDescent="0.25">
      <c r="A371" t="str">
        <f>HYPERLINK("https://elite.finviz.com/quote.ashx?t=XHR&amp;ty=c&amp;p=d&amp;b=1", "XHR")</f>
        <v>XHR</v>
      </c>
      <c r="B371">
        <v>7</v>
      </c>
      <c r="C371">
        <v>138.38</v>
      </c>
      <c r="D371">
        <v>51.31</v>
      </c>
      <c r="E371" t="s">
        <v>7202</v>
      </c>
      <c r="F371" t="s">
        <v>67</v>
      </c>
      <c r="G371" t="s">
        <v>68</v>
      </c>
      <c r="H371" t="s">
        <v>4145</v>
      </c>
      <c r="I371" t="s">
        <v>70</v>
      </c>
      <c r="J371" t="s">
        <v>71</v>
      </c>
      <c r="K371">
        <v>1366.78</v>
      </c>
      <c r="L371">
        <v>14.27</v>
      </c>
      <c r="M371" t="s">
        <v>497</v>
      </c>
      <c r="N371">
        <v>46605</v>
      </c>
      <c r="O371">
        <v>22.47</v>
      </c>
      <c r="P371">
        <v>71.349999999999994</v>
      </c>
      <c r="R371">
        <v>1.27</v>
      </c>
      <c r="S371">
        <v>1.1200000000000001</v>
      </c>
      <c r="T371" t="s">
        <v>2108</v>
      </c>
      <c r="U371">
        <v>0.52</v>
      </c>
      <c r="V371" t="s">
        <v>198</v>
      </c>
      <c r="W371" t="s">
        <v>1746</v>
      </c>
      <c r="Y371" t="s">
        <v>7203</v>
      </c>
      <c r="Z371" t="s">
        <v>7204</v>
      </c>
      <c r="AA371">
        <v>0.64</v>
      </c>
      <c r="AC371" t="s">
        <v>7205</v>
      </c>
      <c r="AE371" t="s">
        <v>121</v>
      </c>
      <c r="AF371" t="s">
        <v>7206</v>
      </c>
      <c r="AG371" t="s">
        <v>4431</v>
      </c>
      <c r="AH371" t="s">
        <v>2580</v>
      </c>
      <c r="AI371" t="s">
        <v>7207</v>
      </c>
      <c r="AJ371" t="s">
        <v>164</v>
      </c>
      <c r="AK371" t="s">
        <v>7208</v>
      </c>
      <c r="AL371">
        <v>2.59</v>
      </c>
      <c r="AM371">
        <v>2.59</v>
      </c>
      <c r="AN371">
        <v>1.18</v>
      </c>
      <c r="AO371" t="s">
        <v>6723</v>
      </c>
      <c r="AP371" t="s">
        <v>7209</v>
      </c>
      <c r="AQ371" t="s">
        <v>7210</v>
      </c>
      <c r="AR371" t="s">
        <v>2175</v>
      </c>
      <c r="AS371" t="s">
        <v>212</v>
      </c>
      <c r="AT371" t="s">
        <v>7089</v>
      </c>
      <c r="AU371" t="s">
        <v>3521</v>
      </c>
      <c r="AV371" t="s">
        <v>4518</v>
      </c>
      <c r="AW371" t="s">
        <v>6499</v>
      </c>
      <c r="AX371" t="s">
        <v>7211</v>
      </c>
      <c r="AY371" t="s">
        <v>7212</v>
      </c>
      <c r="AZ371" t="s">
        <v>6333</v>
      </c>
      <c r="BA371">
        <v>2</v>
      </c>
      <c r="BB371">
        <v>1075.3399999999999</v>
      </c>
      <c r="BC371">
        <v>0.15</v>
      </c>
      <c r="BD371">
        <v>14.24</v>
      </c>
      <c r="BE371">
        <v>14.39</v>
      </c>
      <c r="BF371">
        <v>14.16</v>
      </c>
      <c r="BG371" t="s">
        <v>7213</v>
      </c>
      <c r="BH371" t="s">
        <v>7214</v>
      </c>
      <c r="BI371" t="s">
        <v>7215</v>
      </c>
      <c r="BJ371" t="s">
        <v>101</v>
      </c>
      <c r="BK371" t="s">
        <v>7216</v>
      </c>
      <c r="BL371" t="s">
        <v>7217</v>
      </c>
      <c r="BM371" t="s">
        <v>2336</v>
      </c>
      <c r="BN371" t="s">
        <v>4063</v>
      </c>
    </row>
    <row r="372" spans="1:66" x14ac:dyDescent="0.25">
      <c r="A372" t="str">
        <f>HYPERLINK("https://elite.finviz.com/quote.ashx?t=NWS&amp;ty=c&amp;p=d&amp;b=1", "NWS")</f>
        <v>NWS</v>
      </c>
      <c r="B372">
        <v>7</v>
      </c>
      <c r="C372">
        <v>138.38</v>
      </c>
      <c r="D372">
        <v>51.32</v>
      </c>
      <c r="E372" t="s">
        <v>7218</v>
      </c>
      <c r="F372" t="s">
        <v>195</v>
      </c>
      <c r="G372" t="s">
        <v>598</v>
      </c>
      <c r="H372" t="s">
        <v>4247</v>
      </c>
      <c r="I372" t="s">
        <v>70</v>
      </c>
      <c r="J372" t="s">
        <v>321</v>
      </c>
      <c r="K372">
        <v>17744.64</v>
      </c>
      <c r="L372">
        <v>33.57</v>
      </c>
      <c r="M372" t="s">
        <v>1657</v>
      </c>
      <c r="N372">
        <v>158138</v>
      </c>
      <c r="O372">
        <v>41.26</v>
      </c>
      <c r="P372">
        <v>27.75</v>
      </c>
      <c r="Q372">
        <v>2.69</v>
      </c>
      <c r="R372">
        <v>1.99</v>
      </c>
      <c r="S372">
        <v>2.16</v>
      </c>
      <c r="T372" t="s">
        <v>306</v>
      </c>
      <c r="U372">
        <v>0.2</v>
      </c>
      <c r="V372" t="s">
        <v>5717</v>
      </c>
      <c r="W372" t="s">
        <v>164</v>
      </c>
      <c r="X372" t="s">
        <v>164</v>
      </c>
      <c r="Y372" t="s">
        <v>164</v>
      </c>
      <c r="Z372" t="s">
        <v>3570</v>
      </c>
      <c r="AA372">
        <v>0.81</v>
      </c>
      <c r="AB372" t="s">
        <v>4868</v>
      </c>
      <c r="AD372" t="s">
        <v>6387</v>
      </c>
      <c r="AE372" t="s">
        <v>2536</v>
      </c>
      <c r="AF372" t="s">
        <v>7219</v>
      </c>
      <c r="AG372" t="s">
        <v>3484</v>
      </c>
      <c r="AH372" t="s">
        <v>7220</v>
      </c>
      <c r="AI372" t="s">
        <v>3625</v>
      </c>
      <c r="AJ372" t="s">
        <v>1537</v>
      </c>
      <c r="AK372" t="s">
        <v>7221</v>
      </c>
      <c r="AL372">
        <v>1.84</v>
      </c>
      <c r="AM372">
        <v>1.72</v>
      </c>
      <c r="AN372">
        <v>0.34</v>
      </c>
      <c r="AO372" t="s">
        <v>7222</v>
      </c>
      <c r="AP372" t="s">
        <v>3326</v>
      </c>
      <c r="AQ372" t="s">
        <v>5395</v>
      </c>
      <c r="AR372" t="s">
        <v>3494</v>
      </c>
      <c r="AS372" t="s">
        <v>4256</v>
      </c>
      <c r="AT372" t="s">
        <v>1488</v>
      </c>
      <c r="AU372" t="s">
        <v>1547</v>
      </c>
      <c r="AV372" t="s">
        <v>289</v>
      </c>
      <c r="AW372" t="s">
        <v>3509</v>
      </c>
      <c r="AX372" t="s">
        <v>4476</v>
      </c>
      <c r="AY372" t="s">
        <v>3509</v>
      </c>
      <c r="AZ372" t="s">
        <v>1299</v>
      </c>
      <c r="BA372">
        <v>2</v>
      </c>
      <c r="BB372">
        <v>1030.32</v>
      </c>
      <c r="BC372">
        <v>0.54</v>
      </c>
      <c r="BD372">
        <v>33.409999999999997</v>
      </c>
      <c r="BE372">
        <v>33.85</v>
      </c>
      <c r="BF372">
        <v>33.36</v>
      </c>
      <c r="BG372" t="s">
        <v>7223</v>
      </c>
      <c r="BH372" t="s">
        <v>3509</v>
      </c>
      <c r="BI372" t="s">
        <v>7224</v>
      </c>
      <c r="BJ372" t="s">
        <v>101</v>
      </c>
      <c r="BK372" t="s">
        <v>2899</v>
      </c>
      <c r="BL372" t="s">
        <v>6587</v>
      </c>
      <c r="BM372" t="s">
        <v>7225</v>
      </c>
      <c r="BN372" t="s">
        <v>4063</v>
      </c>
    </row>
    <row r="373" spans="1:66" x14ac:dyDescent="0.25">
      <c r="A373" t="str">
        <f>HYPERLINK("https://elite.finviz.com/quote.ashx?t=DLR&amp;ty=c&amp;p=d&amp;b=1", "DLR")</f>
        <v>DLR</v>
      </c>
      <c r="B373">
        <v>7</v>
      </c>
      <c r="C373">
        <v>138.38</v>
      </c>
      <c r="D373">
        <v>51.32</v>
      </c>
      <c r="E373" t="s">
        <v>7226</v>
      </c>
      <c r="F373" t="s">
        <v>195</v>
      </c>
      <c r="G373" t="s">
        <v>68</v>
      </c>
      <c r="H373" t="s">
        <v>7227</v>
      </c>
      <c r="I373" t="s">
        <v>70</v>
      </c>
      <c r="J373" t="s">
        <v>71</v>
      </c>
      <c r="K373">
        <v>58355.43</v>
      </c>
      <c r="L373">
        <v>171.1</v>
      </c>
      <c r="M373" t="s">
        <v>1998</v>
      </c>
      <c r="N373">
        <v>135481</v>
      </c>
      <c r="O373">
        <v>44.84</v>
      </c>
      <c r="P373">
        <v>106.57</v>
      </c>
      <c r="Q373">
        <v>4.5999999999999996</v>
      </c>
      <c r="R373">
        <v>10.119999999999999</v>
      </c>
      <c r="S373">
        <v>2.63</v>
      </c>
      <c r="T373" t="s">
        <v>2146</v>
      </c>
      <c r="U373">
        <v>4.88</v>
      </c>
      <c r="V373" t="s">
        <v>3833</v>
      </c>
      <c r="W373" t="s">
        <v>164</v>
      </c>
      <c r="X373" t="s">
        <v>908</v>
      </c>
      <c r="Y373" t="s">
        <v>2789</v>
      </c>
      <c r="Z373" t="s">
        <v>7228</v>
      </c>
      <c r="AA373">
        <v>3.82</v>
      </c>
      <c r="AB373" t="s">
        <v>7229</v>
      </c>
      <c r="AC373" t="s">
        <v>7230</v>
      </c>
      <c r="AD373" t="s">
        <v>1809</v>
      </c>
      <c r="AE373" t="s">
        <v>7231</v>
      </c>
      <c r="AF373" t="s">
        <v>4416</v>
      </c>
      <c r="AG373" t="s">
        <v>6196</v>
      </c>
      <c r="AH373" t="s">
        <v>7232</v>
      </c>
      <c r="AI373" t="s">
        <v>7233</v>
      </c>
      <c r="AJ373" t="s">
        <v>7234</v>
      </c>
      <c r="AK373" t="s">
        <v>7235</v>
      </c>
      <c r="AL373">
        <v>3.48</v>
      </c>
      <c r="AM373">
        <v>3.48</v>
      </c>
      <c r="AN373">
        <v>0.86</v>
      </c>
      <c r="AO373" t="s">
        <v>5938</v>
      </c>
      <c r="AP373" t="s">
        <v>1563</v>
      </c>
      <c r="AQ373" t="s">
        <v>2779</v>
      </c>
      <c r="AR373" t="s">
        <v>1303</v>
      </c>
      <c r="AS373" t="s">
        <v>3856</v>
      </c>
      <c r="AT373" t="s">
        <v>458</v>
      </c>
      <c r="AU373" t="s">
        <v>2880</v>
      </c>
      <c r="AV373" t="s">
        <v>5121</v>
      </c>
      <c r="AW373" t="s">
        <v>2206</v>
      </c>
      <c r="AX373" t="s">
        <v>7236</v>
      </c>
      <c r="AY373" t="s">
        <v>7237</v>
      </c>
      <c r="AZ373" t="s">
        <v>393</v>
      </c>
      <c r="BA373">
        <v>1.76</v>
      </c>
      <c r="BB373">
        <v>1618.95</v>
      </c>
      <c r="BC373">
        <v>0.28999999999999998</v>
      </c>
      <c r="BD373">
        <v>171.36</v>
      </c>
      <c r="BE373">
        <v>171.99</v>
      </c>
      <c r="BF373">
        <v>170.65</v>
      </c>
      <c r="BG373" t="s">
        <v>7238</v>
      </c>
      <c r="BH373" t="s">
        <v>7237</v>
      </c>
      <c r="BI373" t="s">
        <v>7239</v>
      </c>
      <c r="BJ373" t="s">
        <v>101</v>
      </c>
      <c r="BK373" t="s">
        <v>1998</v>
      </c>
      <c r="BL373" t="s">
        <v>1843</v>
      </c>
      <c r="BM373" t="s">
        <v>1871</v>
      </c>
      <c r="BN373" t="s">
        <v>4063</v>
      </c>
    </row>
    <row r="374" spans="1:66" x14ac:dyDescent="0.25">
      <c r="A374" t="str">
        <f>HYPERLINK("https://elite.finviz.com/quote.ashx?t=AHR&amp;ty=c&amp;p=d&amp;b=1", "AHR")</f>
        <v>AHR</v>
      </c>
      <c r="B374">
        <v>7</v>
      </c>
      <c r="C374">
        <v>138.38</v>
      </c>
      <c r="D374">
        <v>51.37</v>
      </c>
      <c r="E374" t="s">
        <v>7240</v>
      </c>
      <c r="F374" t="s">
        <v>67</v>
      </c>
      <c r="G374" t="s">
        <v>68</v>
      </c>
      <c r="H374" t="s">
        <v>6072</v>
      </c>
      <c r="I374" t="s">
        <v>70</v>
      </c>
      <c r="J374" t="s">
        <v>71</v>
      </c>
      <c r="K374">
        <v>7178.84</v>
      </c>
      <c r="L374">
        <v>42.08</v>
      </c>
      <c r="M374" t="s">
        <v>3493</v>
      </c>
      <c r="N374">
        <v>138269</v>
      </c>
      <c r="P374">
        <v>52.6</v>
      </c>
      <c r="R374">
        <v>3.34</v>
      </c>
      <c r="S374">
        <v>2.86</v>
      </c>
      <c r="T374" t="s">
        <v>744</v>
      </c>
      <c r="U374">
        <v>1</v>
      </c>
      <c r="V374" t="s">
        <v>198</v>
      </c>
      <c r="AA374">
        <v>-0.22</v>
      </c>
      <c r="AB374" t="s">
        <v>4122</v>
      </c>
      <c r="AC374" t="s">
        <v>82</v>
      </c>
      <c r="AE374" t="s">
        <v>5318</v>
      </c>
      <c r="AF374" t="s">
        <v>1099</v>
      </c>
      <c r="AG374" t="s">
        <v>7241</v>
      </c>
      <c r="AH374" t="s">
        <v>262</v>
      </c>
      <c r="AI374" t="s">
        <v>7242</v>
      </c>
      <c r="AJ374" t="s">
        <v>1358</v>
      </c>
      <c r="AK374" t="s">
        <v>7050</v>
      </c>
      <c r="AL374">
        <v>1.52</v>
      </c>
      <c r="AM374">
        <v>1.52</v>
      </c>
      <c r="AN374">
        <v>0.71</v>
      </c>
      <c r="AO374" t="s">
        <v>1115</v>
      </c>
      <c r="AP374" t="s">
        <v>3181</v>
      </c>
      <c r="AQ374" t="s">
        <v>7243</v>
      </c>
      <c r="AR374" t="s">
        <v>2339</v>
      </c>
      <c r="AS374" t="s">
        <v>6493</v>
      </c>
      <c r="AT374" t="s">
        <v>110</v>
      </c>
      <c r="AU374" t="s">
        <v>2743</v>
      </c>
      <c r="AV374" t="s">
        <v>7244</v>
      </c>
      <c r="AW374" t="s">
        <v>5574</v>
      </c>
      <c r="AX374" t="s">
        <v>2722</v>
      </c>
      <c r="AY374" t="s">
        <v>5574</v>
      </c>
      <c r="AZ374" t="s">
        <v>7245</v>
      </c>
      <c r="BA374">
        <v>1.27</v>
      </c>
      <c r="BB374">
        <v>1451.66</v>
      </c>
      <c r="BC374">
        <v>0.34</v>
      </c>
      <c r="BD374">
        <v>41.71</v>
      </c>
      <c r="BE374">
        <v>42.33</v>
      </c>
      <c r="BF374">
        <v>41.78</v>
      </c>
      <c r="BG374" t="s">
        <v>7246</v>
      </c>
      <c r="BH374" t="s">
        <v>5574</v>
      </c>
      <c r="BI374" t="s">
        <v>7247</v>
      </c>
      <c r="BJ374" t="s">
        <v>101</v>
      </c>
      <c r="BK374" t="s">
        <v>5747</v>
      </c>
      <c r="BL374" t="s">
        <v>7248</v>
      </c>
      <c r="BM374" t="s">
        <v>7249</v>
      </c>
      <c r="BN374" t="s">
        <v>4063</v>
      </c>
    </row>
    <row r="375" spans="1:66" x14ac:dyDescent="0.25">
      <c r="A375" t="str">
        <f>HYPERLINK("https://elite.finviz.com/quote.ashx?t=NTAP&amp;ty=c&amp;p=d&amp;b=1", "NTAP")</f>
        <v>NTAP</v>
      </c>
      <c r="B375">
        <v>7</v>
      </c>
      <c r="C375">
        <v>138.38</v>
      </c>
      <c r="D375">
        <v>51.38</v>
      </c>
      <c r="E375" t="s">
        <v>7250</v>
      </c>
      <c r="F375" t="s">
        <v>195</v>
      </c>
      <c r="G375" t="s">
        <v>108</v>
      </c>
      <c r="H375" t="s">
        <v>109</v>
      </c>
      <c r="I375" t="s">
        <v>70</v>
      </c>
      <c r="J375" t="s">
        <v>321</v>
      </c>
      <c r="K375">
        <v>23884.34</v>
      </c>
      <c r="L375">
        <v>119.65</v>
      </c>
      <c r="M375" t="s">
        <v>5721</v>
      </c>
      <c r="N375">
        <v>142307</v>
      </c>
      <c r="O375">
        <v>21.14</v>
      </c>
      <c r="P375">
        <v>13.99</v>
      </c>
      <c r="Q375">
        <v>2.31</v>
      </c>
      <c r="R375">
        <v>3.62</v>
      </c>
      <c r="S375">
        <v>24.54</v>
      </c>
      <c r="T375" t="s">
        <v>4946</v>
      </c>
      <c r="U375">
        <v>2.08</v>
      </c>
      <c r="V375" t="s">
        <v>4105</v>
      </c>
      <c r="W375" t="s">
        <v>3433</v>
      </c>
      <c r="X375" t="s">
        <v>4881</v>
      </c>
      <c r="Y375" t="s">
        <v>6990</v>
      </c>
      <c r="Z375" t="s">
        <v>7251</v>
      </c>
      <c r="AA375">
        <v>5.66</v>
      </c>
      <c r="AB375" t="s">
        <v>330</v>
      </c>
      <c r="AC375" t="s">
        <v>7232</v>
      </c>
      <c r="AD375" t="s">
        <v>5557</v>
      </c>
      <c r="AE375" t="s">
        <v>6150</v>
      </c>
      <c r="AF375" t="s">
        <v>5158</v>
      </c>
      <c r="AG375" t="s">
        <v>6475</v>
      </c>
      <c r="AH375" t="s">
        <v>2610</v>
      </c>
      <c r="AI375" t="s">
        <v>6572</v>
      </c>
      <c r="AJ375" t="s">
        <v>4764</v>
      </c>
      <c r="AK375" t="s">
        <v>7252</v>
      </c>
      <c r="AL375">
        <v>1.3</v>
      </c>
      <c r="AM375">
        <v>1.26</v>
      </c>
      <c r="AN375">
        <v>2.82</v>
      </c>
      <c r="AO375" t="s">
        <v>7253</v>
      </c>
      <c r="AP375" t="s">
        <v>7254</v>
      </c>
      <c r="AQ375" t="s">
        <v>7255</v>
      </c>
      <c r="AR375" t="s">
        <v>3349</v>
      </c>
      <c r="AS375" t="s">
        <v>1776</v>
      </c>
      <c r="AT375" t="s">
        <v>2741</v>
      </c>
      <c r="AU375" t="s">
        <v>2196</v>
      </c>
      <c r="AV375" t="s">
        <v>953</v>
      </c>
      <c r="AW375" t="s">
        <v>7256</v>
      </c>
      <c r="AX375" t="s">
        <v>4599</v>
      </c>
      <c r="AY375" t="s">
        <v>2754</v>
      </c>
      <c r="AZ375" t="s">
        <v>7257</v>
      </c>
      <c r="BA375">
        <v>2.52</v>
      </c>
      <c r="BB375">
        <v>1894.87</v>
      </c>
      <c r="BC375">
        <v>0.26</v>
      </c>
      <c r="BD375">
        <v>120.78</v>
      </c>
      <c r="BE375">
        <v>120.95</v>
      </c>
      <c r="BF375">
        <v>119.47</v>
      </c>
      <c r="BG375" t="s">
        <v>7258</v>
      </c>
      <c r="BH375" t="s">
        <v>7259</v>
      </c>
      <c r="BI375" t="s">
        <v>7260</v>
      </c>
      <c r="BJ375" t="s">
        <v>101</v>
      </c>
      <c r="BK375" t="s">
        <v>604</v>
      </c>
      <c r="BL375" t="s">
        <v>7261</v>
      </c>
      <c r="BM375" t="s">
        <v>7262</v>
      </c>
      <c r="BN375" t="s">
        <v>4063</v>
      </c>
    </row>
    <row r="376" spans="1:66" x14ac:dyDescent="0.25">
      <c r="A376" t="str">
        <f>HYPERLINK("https://elite.finviz.com/quote.ashx?t=OSCR&amp;ty=c&amp;p=d&amp;b=1", "OSCR")</f>
        <v>OSCR</v>
      </c>
      <c r="B376">
        <v>7</v>
      </c>
      <c r="C376">
        <v>138.38</v>
      </c>
      <c r="D376">
        <v>51.38</v>
      </c>
      <c r="E376" t="s">
        <v>7263</v>
      </c>
      <c r="F376" t="s">
        <v>67</v>
      </c>
      <c r="G376" t="s">
        <v>428</v>
      </c>
      <c r="H376" t="s">
        <v>7264</v>
      </c>
      <c r="I376" t="s">
        <v>70</v>
      </c>
      <c r="J376" t="s">
        <v>71</v>
      </c>
      <c r="K376">
        <v>4673.4399999999996</v>
      </c>
      <c r="L376">
        <v>18.079999999999998</v>
      </c>
      <c r="M376" t="s">
        <v>1547</v>
      </c>
      <c r="N376">
        <v>4109787</v>
      </c>
      <c r="R376">
        <v>0.44</v>
      </c>
      <c r="S376">
        <v>4.03</v>
      </c>
      <c r="Z376" t="s">
        <v>164</v>
      </c>
      <c r="AA376">
        <v>-0.82</v>
      </c>
      <c r="AD376" t="s">
        <v>7265</v>
      </c>
      <c r="AE376" t="s">
        <v>7266</v>
      </c>
      <c r="AF376" t="s">
        <v>7267</v>
      </c>
      <c r="AG376" t="s">
        <v>7268</v>
      </c>
      <c r="AH376" t="s">
        <v>3306</v>
      </c>
      <c r="AI376" t="s">
        <v>7269</v>
      </c>
      <c r="AJ376" t="s">
        <v>7270</v>
      </c>
      <c r="AK376" t="s">
        <v>7271</v>
      </c>
      <c r="AL376">
        <v>0.88</v>
      </c>
      <c r="AN376">
        <v>0.26</v>
      </c>
      <c r="AP376" t="s">
        <v>2518</v>
      </c>
      <c r="AQ376" t="s">
        <v>600</v>
      </c>
      <c r="AR376" t="s">
        <v>2985</v>
      </c>
      <c r="AS376" t="s">
        <v>6183</v>
      </c>
      <c r="AT376" t="s">
        <v>7272</v>
      </c>
      <c r="AU376" t="s">
        <v>3305</v>
      </c>
      <c r="AV376" t="s">
        <v>7273</v>
      </c>
      <c r="AW376" t="s">
        <v>303</v>
      </c>
      <c r="AX376" t="s">
        <v>7130</v>
      </c>
      <c r="AY376" t="s">
        <v>7274</v>
      </c>
      <c r="AZ376" t="s">
        <v>7275</v>
      </c>
      <c r="BA376">
        <v>3.78</v>
      </c>
      <c r="BB376">
        <v>25444.31</v>
      </c>
      <c r="BC376">
        <v>0.56999999999999995</v>
      </c>
      <c r="BD376">
        <v>18.09</v>
      </c>
      <c r="BE376">
        <v>18.43</v>
      </c>
      <c r="BF376">
        <v>17.77</v>
      </c>
      <c r="BG376" t="s">
        <v>7276</v>
      </c>
      <c r="BH376" t="s">
        <v>7277</v>
      </c>
      <c r="BI376" t="s">
        <v>7278</v>
      </c>
      <c r="BJ376" t="s">
        <v>101</v>
      </c>
      <c r="BK376" t="s">
        <v>7279</v>
      </c>
      <c r="BL376" t="s">
        <v>7280</v>
      </c>
      <c r="BM376" t="s">
        <v>4770</v>
      </c>
      <c r="BN376" t="s">
        <v>4063</v>
      </c>
    </row>
    <row r="377" spans="1:66" x14ac:dyDescent="0.25">
      <c r="A377" t="str">
        <f>HYPERLINK("https://elite.finviz.com/quote.ashx?t=WSM&amp;ty=c&amp;p=d&amp;b=1", "WSM")</f>
        <v>WSM</v>
      </c>
      <c r="B377">
        <v>7</v>
      </c>
      <c r="C377">
        <v>138.38</v>
      </c>
      <c r="D377">
        <v>51.41</v>
      </c>
      <c r="E377" t="s">
        <v>7281</v>
      </c>
      <c r="F377" t="s">
        <v>195</v>
      </c>
      <c r="G377" t="s">
        <v>813</v>
      </c>
      <c r="H377" t="s">
        <v>2262</v>
      </c>
      <c r="I377" t="s">
        <v>70</v>
      </c>
      <c r="J377" t="s">
        <v>71</v>
      </c>
      <c r="K377">
        <v>24210.7</v>
      </c>
      <c r="L377">
        <v>198.79</v>
      </c>
      <c r="M377" t="s">
        <v>4312</v>
      </c>
      <c r="N377">
        <v>269846</v>
      </c>
      <c r="O377">
        <v>21.85</v>
      </c>
      <c r="P377">
        <v>21.59</v>
      </c>
      <c r="Q377">
        <v>4.8899999999999997</v>
      </c>
      <c r="R377">
        <v>3.09</v>
      </c>
      <c r="S377">
        <v>11.26</v>
      </c>
      <c r="T377" t="s">
        <v>4881</v>
      </c>
      <c r="U377">
        <v>2.46</v>
      </c>
      <c r="V377" t="s">
        <v>3662</v>
      </c>
      <c r="W377" t="s">
        <v>7282</v>
      </c>
      <c r="X377" t="s">
        <v>3735</v>
      </c>
      <c r="Y377" t="s">
        <v>7283</v>
      </c>
      <c r="Z377" t="s">
        <v>116</v>
      </c>
      <c r="AA377">
        <v>9.1</v>
      </c>
      <c r="AB377" t="s">
        <v>370</v>
      </c>
      <c r="AC377" t="s">
        <v>5167</v>
      </c>
      <c r="AD377" t="s">
        <v>5045</v>
      </c>
      <c r="AE377" t="s">
        <v>7284</v>
      </c>
      <c r="AF377" t="s">
        <v>1356</v>
      </c>
      <c r="AG377" t="s">
        <v>1475</v>
      </c>
      <c r="AH377" t="s">
        <v>2496</v>
      </c>
      <c r="AI377" t="s">
        <v>1110</v>
      </c>
      <c r="AJ377" t="s">
        <v>7285</v>
      </c>
      <c r="AK377" t="s">
        <v>1899</v>
      </c>
      <c r="AL377">
        <v>1.5</v>
      </c>
      <c r="AM377">
        <v>0.68</v>
      </c>
      <c r="AN377">
        <v>0.65</v>
      </c>
      <c r="AO377" t="s">
        <v>7286</v>
      </c>
      <c r="AP377" t="s">
        <v>7287</v>
      </c>
      <c r="AQ377" t="s">
        <v>3434</v>
      </c>
      <c r="AR377" t="s">
        <v>2868</v>
      </c>
      <c r="AS377" t="s">
        <v>2080</v>
      </c>
      <c r="AT377" t="s">
        <v>406</v>
      </c>
      <c r="AU377" t="s">
        <v>3550</v>
      </c>
      <c r="AV377" t="s">
        <v>7288</v>
      </c>
      <c r="AW377" t="s">
        <v>7289</v>
      </c>
      <c r="AX377" t="s">
        <v>7290</v>
      </c>
      <c r="AY377" t="s">
        <v>7234</v>
      </c>
      <c r="AZ377" t="s">
        <v>7291</v>
      </c>
      <c r="BA377">
        <v>2.48</v>
      </c>
      <c r="BB377">
        <v>1314.43</v>
      </c>
      <c r="BC377">
        <v>0.72</v>
      </c>
      <c r="BD377">
        <v>201.11</v>
      </c>
      <c r="BE377">
        <v>202.12</v>
      </c>
      <c r="BF377">
        <v>196</v>
      </c>
      <c r="BG377" t="s">
        <v>7292</v>
      </c>
      <c r="BH377" t="s">
        <v>7234</v>
      </c>
      <c r="BI377" t="s">
        <v>7293</v>
      </c>
      <c r="BJ377" t="s">
        <v>101</v>
      </c>
      <c r="BK377" t="s">
        <v>7294</v>
      </c>
      <c r="BL377" t="s">
        <v>7295</v>
      </c>
      <c r="BM377" t="s">
        <v>3767</v>
      </c>
      <c r="BN377" t="s">
        <v>4063</v>
      </c>
    </row>
    <row r="378" spans="1:66" x14ac:dyDescent="0.25">
      <c r="A378" t="str">
        <f>HYPERLINK("https://elite.finviz.com/quote.ashx?t=AVGO&amp;ty=c&amp;p=d&amp;b=1", "AVGO")</f>
        <v>AVGO</v>
      </c>
      <c r="B378">
        <v>7</v>
      </c>
      <c r="C378">
        <v>138.38</v>
      </c>
      <c r="D378">
        <v>51.42</v>
      </c>
      <c r="E378" t="s">
        <v>7296</v>
      </c>
      <c r="F378" t="s">
        <v>319</v>
      </c>
      <c r="G378" t="s">
        <v>108</v>
      </c>
      <c r="H378" t="s">
        <v>1808</v>
      </c>
      <c r="I378" t="s">
        <v>70</v>
      </c>
      <c r="J378" t="s">
        <v>321</v>
      </c>
      <c r="K378">
        <v>1570119.86</v>
      </c>
      <c r="L378">
        <v>332.49</v>
      </c>
      <c r="M378" t="s">
        <v>575</v>
      </c>
      <c r="N378">
        <v>5841984</v>
      </c>
      <c r="O378">
        <v>84.94</v>
      </c>
      <c r="P378">
        <v>35.83</v>
      </c>
      <c r="Q378">
        <v>2.5</v>
      </c>
      <c r="R378">
        <v>26.2</v>
      </c>
      <c r="S378">
        <v>21.43</v>
      </c>
      <c r="T378" t="s">
        <v>4865</v>
      </c>
      <c r="U378">
        <v>2.36</v>
      </c>
      <c r="V378" t="s">
        <v>4676</v>
      </c>
      <c r="W378" t="s">
        <v>7297</v>
      </c>
      <c r="X378" t="s">
        <v>7298</v>
      </c>
      <c r="Y378" t="s">
        <v>3405</v>
      </c>
      <c r="Z378" t="s">
        <v>7299</v>
      </c>
      <c r="AA378">
        <v>3.91</v>
      </c>
      <c r="AB378" t="s">
        <v>7300</v>
      </c>
      <c r="AC378" t="s">
        <v>7301</v>
      </c>
      <c r="AD378" t="s">
        <v>7302</v>
      </c>
      <c r="AE378" t="s">
        <v>823</v>
      </c>
      <c r="AF378" t="s">
        <v>5464</v>
      </c>
      <c r="AG378" t="s">
        <v>4944</v>
      </c>
      <c r="AH378" t="s">
        <v>7303</v>
      </c>
      <c r="AI378" t="s">
        <v>908</v>
      </c>
      <c r="AJ378" t="s">
        <v>1444</v>
      </c>
      <c r="AK378" t="s">
        <v>7304</v>
      </c>
      <c r="AL378">
        <v>1.5</v>
      </c>
      <c r="AM378">
        <v>1.37</v>
      </c>
      <c r="AN378">
        <v>0.88</v>
      </c>
      <c r="AO378" t="s">
        <v>7305</v>
      </c>
      <c r="AP378" t="s">
        <v>7306</v>
      </c>
      <c r="AQ378" t="s">
        <v>5115</v>
      </c>
      <c r="AR378" t="s">
        <v>2273</v>
      </c>
      <c r="AS378" t="s">
        <v>2941</v>
      </c>
      <c r="AT378" t="s">
        <v>6265</v>
      </c>
      <c r="AU378" t="s">
        <v>5455</v>
      </c>
      <c r="AV378" t="s">
        <v>271</v>
      </c>
      <c r="AW378" t="s">
        <v>7307</v>
      </c>
      <c r="AX378" t="s">
        <v>7308</v>
      </c>
      <c r="AY378" t="s">
        <v>7307</v>
      </c>
      <c r="AZ378" t="s">
        <v>7309</v>
      </c>
      <c r="BA378">
        <v>1.33</v>
      </c>
      <c r="BB378">
        <v>21933.040000000001</v>
      </c>
      <c r="BC378">
        <v>0.94</v>
      </c>
      <c r="BD378">
        <v>336.1</v>
      </c>
      <c r="BE378">
        <v>339.08</v>
      </c>
      <c r="BF378">
        <v>330.67</v>
      </c>
      <c r="BG378" t="s">
        <v>7310</v>
      </c>
      <c r="BH378" t="s">
        <v>7307</v>
      </c>
      <c r="BI378" t="s">
        <v>7311</v>
      </c>
      <c r="BJ378" t="s">
        <v>101</v>
      </c>
      <c r="BK378" t="s">
        <v>6843</v>
      </c>
      <c r="BL378" t="s">
        <v>7312</v>
      </c>
      <c r="BM378" t="s">
        <v>7313</v>
      </c>
      <c r="BN378" t="s">
        <v>4063</v>
      </c>
    </row>
    <row r="379" spans="1:66" x14ac:dyDescent="0.25">
      <c r="A379" t="str">
        <f>HYPERLINK("https://elite.finviz.com/quote.ashx?t=LUV&amp;ty=c&amp;p=d&amp;b=1", "LUV")</f>
        <v>LUV</v>
      </c>
      <c r="B379">
        <v>7</v>
      </c>
      <c r="C379">
        <v>138.38</v>
      </c>
      <c r="D379">
        <v>51.42</v>
      </c>
      <c r="E379" t="s">
        <v>7314</v>
      </c>
      <c r="F379" t="s">
        <v>195</v>
      </c>
      <c r="G379" t="s">
        <v>260</v>
      </c>
      <c r="H379" t="s">
        <v>5362</v>
      </c>
      <c r="I379" t="s">
        <v>70</v>
      </c>
      <c r="J379" t="s">
        <v>71</v>
      </c>
      <c r="K379">
        <v>16955.68</v>
      </c>
      <c r="L379">
        <v>32.28</v>
      </c>
      <c r="M379" t="s">
        <v>3018</v>
      </c>
      <c r="N379">
        <v>1347996</v>
      </c>
      <c r="O379">
        <v>48.55</v>
      </c>
      <c r="P379">
        <v>13.76</v>
      </c>
      <c r="Q379">
        <v>0.96</v>
      </c>
      <c r="R379">
        <v>0.62</v>
      </c>
      <c r="S379">
        <v>2.12</v>
      </c>
      <c r="T379" t="s">
        <v>2876</v>
      </c>
      <c r="U379">
        <v>0.72</v>
      </c>
      <c r="V379" t="s">
        <v>7315</v>
      </c>
      <c r="W379" t="s">
        <v>164</v>
      </c>
      <c r="Y379" t="s">
        <v>2216</v>
      </c>
      <c r="Z379" t="s">
        <v>7316</v>
      </c>
      <c r="AA379">
        <v>0.67</v>
      </c>
      <c r="AB379" t="s">
        <v>7317</v>
      </c>
      <c r="AC379" t="s">
        <v>7318</v>
      </c>
      <c r="AD379" t="s">
        <v>7319</v>
      </c>
      <c r="AE379" t="s">
        <v>3487</v>
      </c>
      <c r="AF379" t="s">
        <v>7320</v>
      </c>
      <c r="AG379" t="s">
        <v>4526</v>
      </c>
      <c r="AH379" t="s">
        <v>600</v>
      </c>
      <c r="AI379" t="s">
        <v>6688</v>
      </c>
      <c r="AJ379" t="s">
        <v>914</v>
      </c>
      <c r="AK379" t="s">
        <v>4830</v>
      </c>
      <c r="AL379">
        <v>0.56000000000000005</v>
      </c>
      <c r="AM379">
        <v>0.49</v>
      </c>
      <c r="AN379">
        <v>0.67</v>
      </c>
      <c r="AO379" t="s">
        <v>7321</v>
      </c>
      <c r="AP379" t="s">
        <v>7322</v>
      </c>
      <c r="AQ379" t="s">
        <v>907</v>
      </c>
      <c r="AR379" t="s">
        <v>2892</v>
      </c>
      <c r="AS379" t="s">
        <v>304</v>
      </c>
      <c r="AT379" t="s">
        <v>2125</v>
      </c>
      <c r="AU379" t="s">
        <v>2734</v>
      </c>
      <c r="AV379" t="s">
        <v>1439</v>
      </c>
      <c r="AW379" t="s">
        <v>4213</v>
      </c>
      <c r="AX379" t="s">
        <v>1532</v>
      </c>
      <c r="AY379" t="s">
        <v>4213</v>
      </c>
      <c r="AZ379" t="s">
        <v>7323</v>
      </c>
      <c r="BA379">
        <v>3</v>
      </c>
      <c r="BB379">
        <v>10303.209999999999</v>
      </c>
      <c r="BC379">
        <v>0.46</v>
      </c>
      <c r="BD379">
        <v>31.93</v>
      </c>
      <c r="BE379">
        <v>32.590000000000003</v>
      </c>
      <c r="BF379">
        <v>32</v>
      </c>
      <c r="BG379" t="s">
        <v>7324</v>
      </c>
      <c r="BH379" t="s">
        <v>7325</v>
      </c>
      <c r="BI379" t="s">
        <v>7326</v>
      </c>
      <c r="BJ379" t="s">
        <v>101</v>
      </c>
      <c r="BK379" t="s">
        <v>6719</v>
      </c>
      <c r="BL379" t="s">
        <v>2329</v>
      </c>
      <c r="BM379" t="s">
        <v>466</v>
      </c>
      <c r="BN379" t="s">
        <v>4063</v>
      </c>
    </row>
    <row r="380" spans="1:66" x14ac:dyDescent="0.25">
      <c r="A380" t="str">
        <f>HYPERLINK("https://elite.finviz.com/quote.ashx?t=HLIT&amp;ty=c&amp;p=d&amp;b=1", "HLIT")</f>
        <v>HLIT</v>
      </c>
      <c r="B380">
        <v>7</v>
      </c>
      <c r="C380">
        <v>138.38</v>
      </c>
      <c r="D380">
        <v>51.46</v>
      </c>
      <c r="E380" t="s">
        <v>7327</v>
      </c>
      <c r="F380" t="s">
        <v>67</v>
      </c>
      <c r="G380" t="s">
        <v>108</v>
      </c>
      <c r="H380" t="s">
        <v>1921</v>
      </c>
      <c r="I380" t="s">
        <v>70</v>
      </c>
      <c r="J380" t="s">
        <v>321</v>
      </c>
      <c r="K380">
        <v>1121.67</v>
      </c>
      <c r="L380">
        <v>9.86</v>
      </c>
      <c r="M380" t="s">
        <v>2486</v>
      </c>
      <c r="N380">
        <v>53483</v>
      </c>
      <c r="O380">
        <v>16.850000000000001</v>
      </c>
      <c r="P380">
        <v>13.34</v>
      </c>
      <c r="Q380">
        <v>2.98</v>
      </c>
      <c r="R380">
        <v>1.63</v>
      </c>
      <c r="S380">
        <v>2.5</v>
      </c>
      <c r="Z380" t="s">
        <v>164</v>
      </c>
      <c r="AA380">
        <v>0.57999999999999996</v>
      </c>
      <c r="AB380" t="s">
        <v>7328</v>
      </c>
      <c r="AD380" t="s">
        <v>5210</v>
      </c>
      <c r="AE380" t="s">
        <v>5344</v>
      </c>
      <c r="AF380" t="s">
        <v>3468</v>
      </c>
      <c r="AG380" t="s">
        <v>5265</v>
      </c>
      <c r="AH380" t="s">
        <v>4809</v>
      </c>
      <c r="AI380" t="s">
        <v>7329</v>
      </c>
      <c r="AJ380" t="s">
        <v>822</v>
      </c>
      <c r="AK380" t="s">
        <v>7330</v>
      </c>
      <c r="AL380">
        <v>1.99</v>
      </c>
      <c r="AM380">
        <v>1.58</v>
      </c>
      <c r="AN380">
        <v>0.34</v>
      </c>
      <c r="AO380" t="s">
        <v>7331</v>
      </c>
      <c r="AP380" t="s">
        <v>1680</v>
      </c>
      <c r="AQ380" t="s">
        <v>1064</v>
      </c>
      <c r="AR380" t="s">
        <v>1776</v>
      </c>
      <c r="AS380" t="s">
        <v>2643</v>
      </c>
      <c r="AT380" t="s">
        <v>4312</v>
      </c>
      <c r="AU380" t="s">
        <v>6525</v>
      </c>
      <c r="AV380" t="s">
        <v>7332</v>
      </c>
      <c r="AW380" t="s">
        <v>6985</v>
      </c>
      <c r="AX380" t="s">
        <v>5571</v>
      </c>
      <c r="AY380" t="s">
        <v>7333</v>
      </c>
      <c r="AZ380" t="s">
        <v>5571</v>
      </c>
      <c r="BA380">
        <v>2.29</v>
      </c>
      <c r="BB380">
        <v>1176.07</v>
      </c>
      <c r="BC380">
        <v>0.16</v>
      </c>
      <c r="BD380">
        <v>9.9</v>
      </c>
      <c r="BE380">
        <v>9.9</v>
      </c>
      <c r="BF380">
        <v>9.84</v>
      </c>
      <c r="BG380" t="s">
        <v>7334</v>
      </c>
      <c r="BH380" t="s">
        <v>7335</v>
      </c>
      <c r="BI380" t="s">
        <v>7336</v>
      </c>
      <c r="BJ380" t="s">
        <v>101</v>
      </c>
      <c r="BK380" t="s">
        <v>2838</v>
      </c>
      <c r="BL380" t="s">
        <v>2864</v>
      </c>
      <c r="BM380" t="s">
        <v>5206</v>
      </c>
      <c r="BN380" t="s">
        <v>4063</v>
      </c>
    </row>
    <row r="381" spans="1:66" x14ac:dyDescent="0.25">
      <c r="A381" t="str">
        <f>HYPERLINK("https://elite.finviz.com/quote.ashx?t=LVS&amp;ty=c&amp;p=d&amp;b=1", "LVS")</f>
        <v>LVS</v>
      </c>
      <c r="B381">
        <v>7</v>
      </c>
      <c r="C381">
        <v>138.38</v>
      </c>
      <c r="D381">
        <v>51.46</v>
      </c>
      <c r="E381" t="s">
        <v>7337</v>
      </c>
      <c r="F381" t="s">
        <v>195</v>
      </c>
      <c r="G381" t="s">
        <v>813</v>
      </c>
      <c r="H381" t="s">
        <v>2763</v>
      </c>
      <c r="I381" t="s">
        <v>70</v>
      </c>
      <c r="J381" t="s">
        <v>71</v>
      </c>
      <c r="K381">
        <v>36900.32</v>
      </c>
      <c r="L381">
        <v>53.76</v>
      </c>
      <c r="M381" t="s">
        <v>1559</v>
      </c>
      <c r="N381">
        <v>797409</v>
      </c>
      <c r="O381">
        <v>27.14</v>
      </c>
      <c r="P381">
        <v>18.28</v>
      </c>
      <c r="Q381">
        <v>1.95</v>
      </c>
      <c r="R381">
        <v>3.18</v>
      </c>
      <c r="S381">
        <v>18.55</v>
      </c>
      <c r="T381" t="s">
        <v>7338</v>
      </c>
      <c r="U381">
        <v>0.95</v>
      </c>
      <c r="V381" t="s">
        <v>6057</v>
      </c>
      <c r="W381" t="s">
        <v>1647</v>
      </c>
      <c r="Y381" t="s">
        <v>7339</v>
      </c>
      <c r="Z381" t="s">
        <v>7340</v>
      </c>
      <c r="AA381">
        <v>1.98</v>
      </c>
      <c r="AC381" t="s">
        <v>7341</v>
      </c>
      <c r="AD381" t="s">
        <v>7301</v>
      </c>
      <c r="AE381" t="s">
        <v>2186</v>
      </c>
      <c r="AF381" t="s">
        <v>7342</v>
      </c>
      <c r="AG381" t="s">
        <v>308</v>
      </c>
      <c r="AH381" t="s">
        <v>1342</v>
      </c>
      <c r="AI381" t="s">
        <v>7343</v>
      </c>
      <c r="AJ381" t="s">
        <v>1249</v>
      </c>
      <c r="AK381" t="s">
        <v>7061</v>
      </c>
      <c r="AL381">
        <v>1.22</v>
      </c>
      <c r="AM381">
        <v>1.21</v>
      </c>
      <c r="AN381">
        <v>7.95</v>
      </c>
      <c r="AO381" t="s">
        <v>7344</v>
      </c>
      <c r="AP381" t="s">
        <v>4075</v>
      </c>
      <c r="AQ381" t="s">
        <v>7345</v>
      </c>
      <c r="AR381" t="s">
        <v>6003</v>
      </c>
      <c r="AS381" t="s">
        <v>3671</v>
      </c>
      <c r="AT381" t="s">
        <v>7346</v>
      </c>
      <c r="AU381" t="s">
        <v>3169</v>
      </c>
      <c r="AV381" t="s">
        <v>4272</v>
      </c>
      <c r="AW381" t="s">
        <v>7347</v>
      </c>
      <c r="AX381" t="s">
        <v>6388</v>
      </c>
      <c r="AY381" t="s">
        <v>7347</v>
      </c>
      <c r="AZ381" t="s">
        <v>7348</v>
      </c>
      <c r="BA381">
        <v>1.77</v>
      </c>
      <c r="BB381">
        <v>4963.45</v>
      </c>
      <c r="BC381">
        <v>0.56999999999999995</v>
      </c>
      <c r="BD381">
        <v>53.06</v>
      </c>
      <c r="BE381">
        <v>54.46</v>
      </c>
      <c r="BF381">
        <v>52.99</v>
      </c>
      <c r="BG381" t="s">
        <v>7349</v>
      </c>
      <c r="BH381" t="s">
        <v>7350</v>
      </c>
      <c r="BI381" t="s">
        <v>7351</v>
      </c>
      <c r="BJ381" t="s">
        <v>101</v>
      </c>
      <c r="BK381" t="s">
        <v>7352</v>
      </c>
      <c r="BL381" t="s">
        <v>7353</v>
      </c>
      <c r="BM381" t="s">
        <v>5793</v>
      </c>
      <c r="BN381" t="s">
        <v>4063</v>
      </c>
    </row>
    <row r="382" spans="1:66" x14ac:dyDescent="0.25">
      <c r="A382" t="str">
        <f>HYPERLINK("https://elite.finviz.com/quote.ashx?t=ORBS&amp;ty=c&amp;p=d&amp;b=1", "ORBS")</f>
        <v>ORBS</v>
      </c>
      <c r="B382">
        <v>7</v>
      </c>
      <c r="C382">
        <v>138.38</v>
      </c>
      <c r="D382">
        <v>51.47</v>
      </c>
      <c r="E382" t="s">
        <v>7354</v>
      </c>
      <c r="F382" t="s">
        <v>107</v>
      </c>
      <c r="G382" t="s">
        <v>813</v>
      </c>
      <c r="H382" t="s">
        <v>7355</v>
      </c>
      <c r="I382" t="s">
        <v>70</v>
      </c>
      <c r="J382" t="s">
        <v>321</v>
      </c>
      <c r="K382">
        <v>35.909999999999997</v>
      </c>
      <c r="L382">
        <v>11.8</v>
      </c>
      <c r="M382" t="s">
        <v>7356</v>
      </c>
      <c r="N382">
        <v>378934</v>
      </c>
      <c r="R382">
        <v>0.89</v>
      </c>
      <c r="S382">
        <v>4.03</v>
      </c>
      <c r="Z382" t="s">
        <v>164</v>
      </c>
      <c r="AA382">
        <v>-4</v>
      </c>
      <c r="AB382" t="s">
        <v>7357</v>
      </c>
      <c r="AE382" t="s">
        <v>7358</v>
      </c>
      <c r="AF382" t="s">
        <v>7359</v>
      </c>
      <c r="AH382" t="s">
        <v>238</v>
      </c>
      <c r="AJ382" t="s">
        <v>7360</v>
      </c>
      <c r="AL382">
        <v>0.3</v>
      </c>
      <c r="AM382">
        <v>7.0000000000000007E-2</v>
      </c>
      <c r="AN382">
        <v>3.55</v>
      </c>
      <c r="AO382" t="s">
        <v>7361</v>
      </c>
      <c r="AP382" t="s">
        <v>7362</v>
      </c>
      <c r="AQ382" t="s">
        <v>7363</v>
      </c>
      <c r="AR382" t="s">
        <v>7298</v>
      </c>
      <c r="AS382" t="s">
        <v>7364</v>
      </c>
      <c r="AT382" t="s">
        <v>7365</v>
      </c>
      <c r="AU382" t="s">
        <v>834</v>
      </c>
      <c r="AV382" t="s">
        <v>7366</v>
      </c>
      <c r="AW382" t="s">
        <v>1271</v>
      </c>
      <c r="AX382" t="s">
        <v>7367</v>
      </c>
      <c r="AY382" t="s">
        <v>1271</v>
      </c>
      <c r="AZ382" t="s">
        <v>7368</v>
      </c>
      <c r="BB382">
        <v>5494.31</v>
      </c>
      <c r="BC382">
        <v>0.24</v>
      </c>
      <c r="BD382">
        <v>12.13</v>
      </c>
      <c r="BE382">
        <v>12.08</v>
      </c>
      <c r="BF382">
        <v>11.5</v>
      </c>
      <c r="BG382" t="s">
        <v>7369</v>
      </c>
      <c r="BH382" t="s">
        <v>7370</v>
      </c>
      <c r="BI382" t="s">
        <v>7368</v>
      </c>
      <c r="BJ382" t="s">
        <v>101</v>
      </c>
      <c r="BK382" t="s">
        <v>7367</v>
      </c>
      <c r="BL382" t="s">
        <v>7367</v>
      </c>
      <c r="BM382" t="s">
        <v>7371</v>
      </c>
      <c r="BN382" t="s">
        <v>4063</v>
      </c>
    </row>
    <row r="383" spans="1:66" x14ac:dyDescent="0.25">
      <c r="A383" t="str">
        <f>HYPERLINK("https://elite.finviz.com/quote.ashx?t=ABT&amp;ty=c&amp;p=d&amp;b=1", "ABT")</f>
        <v>ABT</v>
      </c>
      <c r="B383">
        <v>7</v>
      </c>
      <c r="C383">
        <v>138.38</v>
      </c>
      <c r="D383">
        <v>51.52</v>
      </c>
      <c r="E383" t="s">
        <v>7372</v>
      </c>
      <c r="F383" t="s">
        <v>195</v>
      </c>
      <c r="G383" t="s">
        <v>428</v>
      </c>
      <c r="H383" t="s">
        <v>2051</v>
      </c>
      <c r="I383" t="s">
        <v>70</v>
      </c>
      <c r="J383" t="s">
        <v>71</v>
      </c>
      <c r="K383">
        <v>232194.64</v>
      </c>
      <c r="L383">
        <v>133.41</v>
      </c>
      <c r="M383" t="s">
        <v>4539</v>
      </c>
      <c r="N383">
        <v>1027483</v>
      </c>
      <c r="O383">
        <v>16.68</v>
      </c>
      <c r="P383">
        <v>23.52</v>
      </c>
      <c r="Q383">
        <v>1.62</v>
      </c>
      <c r="R383">
        <v>5.39</v>
      </c>
      <c r="S383">
        <v>4.59</v>
      </c>
      <c r="T383" t="s">
        <v>2201</v>
      </c>
      <c r="U383">
        <v>2.3199999999999998</v>
      </c>
      <c r="V383" t="s">
        <v>7373</v>
      </c>
      <c r="W383" t="s">
        <v>2698</v>
      </c>
      <c r="X383" t="s">
        <v>3688</v>
      </c>
      <c r="Y383" t="s">
        <v>1454</v>
      </c>
      <c r="Z383" t="s">
        <v>7374</v>
      </c>
      <c r="AA383">
        <v>8</v>
      </c>
      <c r="AB383" t="s">
        <v>7375</v>
      </c>
      <c r="AC383" t="s">
        <v>7376</v>
      </c>
      <c r="AD383" t="s">
        <v>2579</v>
      </c>
      <c r="AE383" t="s">
        <v>4133</v>
      </c>
      <c r="AF383" t="s">
        <v>2694</v>
      </c>
      <c r="AG383" t="s">
        <v>3983</v>
      </c>
      <c r="AH383" t="s">
        <v>5383</v>
      </c>
      <c r="AI383" t="s">
        <v>2290</v>
      </c>
      <c r="AJ383" t="s">
        <v>171</v>
      </c>
      <c r="AK383" t="s">
        <v>7377</v>
      </c>
      <c r="AL383">
        <v>1.82</v>
      </c>
      <c r="AM383">
        <v>1.3</v>
      </c>
      <c r="AN383">
        <v>0.27</v>
      </c>
      <c r="AO383" t="s">
        <v>7378</v>
      </c>
      <c r="AP383" t="s">
        <v>7379</v>
      </c>
      <c r="AQ383" t="s">
        <v>4449</v>
      </c>
      <c r="AR383" t="s">
        <v>6151</v>
      </c>
      <c r="AS383" t="s">
        <v>2339</v>
      </c>
      <c r="AT383" t="s">
        <v>6156</v>
      </c>
      <c r="AU383" t="s">
        <v>910</v>
      </c>
      <c r="AV383" t="s">
        <v>2234</v>
      </c>
      <c r="AW383" t="s">
        <v>4408</v>
      </c>
      <c r="AX383" t="s">
        <v>6923</v>
      </c>
      <c r="AY383" t="s">
        <v>7380</v>
      </c>
      <c r="AZ383" t="s">
        <v>7381</v>
      </c>
      <c r="BA383">
        <v>1.91</v>
      </c>
      <c r="BB383">
        <v>6285.95</v>
      </c>
      <c r="BC383">
        <v>0.57999999999999996</v>
      </c>
      <c r="BD383">
        <v>133.31</v>
      </c>
      <c r="BE383">
        <v>134.13999999999999</v>
      </c>
      <c r="BF383">
        <v>133.30000000000001</v>
      </c>
      <c r="BG383" t="s">
        <v>7382</v>
      </c>
      <c r="BH383" t="s">
        <v>7383</v>
      </c>
      <c r="BI383" t="s">
        <v>7384</v>
      </c>
      <c r="BJ383" t="s">
        <v>101</v>
      </c>
      <c r="BK383" t="s">
        <v>4086</v>
      </c>
      <c r="BL383" t="s">
        <v>2720</v>
      </c>
      <c r="BM383" t="s">
        <v>672</v>
      </c>
      <c r="BN383" t="s">
        <v>4063</v>
      </c>
    </row>
    <row r="384" spans="1:66" x14ac:dyDescent="0.25">
      <c r="A384" t="str">
        <f>HYPERLINK("https://elite.finviz.com/quote.ashx?t=REYN&amp;ty=c&amp;p=d&amp;b=1", "REYN")</f>
        <v>REYN</v>
      </c>
      <c r="B384">
        <v>7</v>
      </c>
      <c r="C384">
        <v>138.38</v>
      </c>
      <c r="D384">
        <v>51.57</v>
      </c>
      <c r="E384" t="s">
        <v>7385</v>
      </c>
      <c r="F384" t="s">
        <v>107</v>
      </c>
      <c r="G384" t="s">
        <v>813</v>
      </c>
      <c r="H384" t="s">
        <v>7355</v>
      </c>
      <c r="I384" t="s">
        <v>70</v>
      </c>
      <c r="J384" t="s">
        <v>321</v>
      </c>
      <c r="K384">
        <v>4861.66</v>
      </c>
      <c r="L384">
        <v>23.11</v>
      </c>
      <c r="M384" t="s">
        <v>747</v>
      </c>
      <c r="N384">
        <v>120041</v>
      </c>
      <c r="O384">
        <v>15.65</v>
      </c>
      <c r="P384">
        <v>13.98</v>
      </c>
      <c r="Q384">
        <v>12.93</v>
      </c>
      <c r="R384">
        <v>1.32</v>
      </c>
      <c r="S384">
        <v>2.2599999999999998</v>
      </c>
      <c r="T384" t="s">
        <v>6475</v>
      </c>
      <c r="U384">
        <v>0.92</v>
      </c>
      <c r="V384" t="s">
        <v>3046</v>
      </c>
      <c r="W384" t="s">
        <v>164</v>
      </c>
      <c r="X384" t="s">
        <v>164</v>
      </c>
      <c r="Z384" t="s">
        <v>7386</v>
      </c>
      <c r="AA384">
        <v>1.48</v>
      </c>
      <c r="AB384" t="s">
        <v>648</v>
      </c>
      <c r="AC384" t="s">
        <v>7387</v>
      </c>
      <c r="AD384" t="s">
        <v>6155</v>
      </c>
      <c r="AE384" t="s">
        <v>4273</v>
      </c>
      <c r="AF384" t="s">
        <v>6478</v>
      </c>
      <c r="AG384" t="s">
        <v>926</v>
      </c>
      <c r="AH384" t="s">
        <v>7388</v>
      </c>
      <c r="AI384" t="s">
        <v>2356</v>
      </c>
      <c r="AJ384" t="s">
        <v>2560</v>
      </c>
      <c r="AK384" t="s">
        <v>7389</v>
      </c>
      <c r="AL384">
        <v>1.85</v>
      </c>
      <c r="AM384">
        <v>0.75</v>
      </c>
      <c r="AN384">
        <v>0.81</v>
      </c>
      <c r="AO384" t="s">
        <v>7390</v>
      </c>
      <c r="AP384" t="s">
        <v>7079</v>
      </c>
      <c r="AQ384" t="s">
        <v>3664</v>
      </c>
      <c r="AR384" t="s">
        <v>5660</v>
      </c>
      <c r="AS384" t="s">
        <v>6692</v>
      </c>
      <c r="AT384" t="s">
        <v>6192</v>
      </c>
      <c r="AU384" t="s">
        <v>4780</v>
      </c>
      <c r="AV384" t="s">
        <v>7391</v>
      </c>
      <c r="AW384" t="s">
        <v>7392</v>
      </c>
      <c r="AX384" t="s">
        <v>1676</v>
      </c>
      <c r="AY384" t="s">
        <v>7393</v>
      </c>
      <c r="AZ384" t="s">
        <v>3071</v>
      </c>
      <c r="BA384">
        <v>2.33</v>
      </c>
      <c r="BB384">
        <v>1439.74</v>
      </c>
      <c r="BC384">
        <v>0.28999999999999998</v>
      </c>
      <c r="BD384">
        <v>22.93</v>
      </c>
      <c r="BE384">
        <v>23.22</v>
      </c>
      <c r="BF384">
        <v>22.9</v>
      </c>
      <c r="BG384" t="s">
        <v>7394</v>
      </c>
      <c r="BH384" t="s">
        <v>7395</v>
      </c>
      <c r="BI384" t="s">
        <v>3071</v>
      </c>
      <c r="BJ384" t="s">
        <v>101</v>
      </c>
      <c r="BK384" t="s">
        <v>466</v>
      </c>
      <c r="BL384" t="s">
        <v>6105</v>
      </c>
      <c r="BM384" t="s">
        <v>7396</v>
      </c>
      <c r="BN384" t="s">
        <v>4063</v>
      </c>
    </row>
    <row r="385" spans="1:66" x14ac:dyDescent="0.25">
      <c r="A385" t="str">
        <f>HYPERLINK("https://elite.finviz.com/quote.ashx?t=HSY&amp;ty=c&amp;p=d&amp;b=1", "HSY")</f>
        <v>HSY</v>
      </c>
      <c r="B385">
        <v>7</v>
      </c>
      <c r="C385">
        <v>138.38</v>
      </c>
      <c r="D385">
        <v>51.59</v>
      </c>
      <c r="E385" t="s">
        <v>7397</v>
      </c>
      <c r="F385" t="s">
        <v>195</v>
      </c>
      <c r="G385" t="s">
        <v>2244</v>
      </c>
      <c r="H385" t="s">
        <v>7398</v>
      </c>
      <c r="I385" t="s">
        <v>70</v>
      </c>
      <c r="J385" t="s">
        <v>71</v>
      </c>
      <c r="K385">
        <v>37965.230000000003</v>
      </c>
      <c r="L385">
        <v>187.27</v>
      </c>
      <c r="M385" t="s">
        <v>581</v>
      </c>
      <c r="N385">
        <v>158846</v>
      </c>
      <c r="O385">
        <v>24.89</v>
      </c>
      <c r="P385">
        <v>27.63</v>
      </c>
      <c r="R385">
        <v>3.36</v>
      </c>
      <c r="S385">
        <v>8.41</v>
      </c>
      <c r="T385" t="s">
        <v>6937</v>
      </c>
      <c r="U385">
        <v>5.48</v>
      </c>
      <c r="V385" t="s">
        <v>3046</v>
      </c>
      <c r="W385" t="s">
        <v>1458</v>
      </c>
      <c r="X385" t="s">
        <v>7399</v>
      </c>
      <c r="Y385" t="s">
        <v>584</v>
      </c>
      <c r="Z385" t="s">
        <v>4477</v>
      </c>
      <c r="AA385">
        <v>7.53</v>
      </c>
      <c r="AB385" t="s">
        <v>7400</v>
      </c>
      <c r="AC385" t="s">
        <v>7401</v>
      </c>
      <c r="AD385" t="s">
        <v>7402</v>
      </c>
      <c r="AE385" t="s">
        <v>1560</v>
      </c>
      <c r="AF385" t="s">
        <v>7403</v>
      </c>
      <c r="AG385" t="s">
        <v>7010</v>
      </c>
      <c r="AH385" t="s">
        <v>7404</v>
      </c>
      <c r="AI385" t="s">
        <v>4664</v>
      </c>
      <c r="AJ385" t="s">
        <v>2294</v>
      </c>
      <c r="AK385" t="s">
        <v>7405</v>
      </c>
      <c r="AL385">
        <v>1.53</v>
      </c>
      <c r="AM385">
        <v>0.89</v>
      </c>
      <c r="AN385">
        <v>1.33</v>
      </c>
      <c r="AO385" t="s">
        <v>5029</v>
      </c>
      <c r="AP385" t="s">
        <v>7406</v>
      </c>
      <c r="AQ385" t="s">
        <v>5390</v>
      </c>
      <c r="AR385" t="s">
        <v>714</v>
      </c>
      <c r="AS385" t="s">
        <v>2087</v>
      </c>
      <c r="AT385" t="s">
        <v>2906</v>
      </c>
      <c r="AU385" t="s">
        <v>5610</v>
      </c>
      <c r="AV385" t="s">
        <v>7407</v>
      </c>
      <c r="AW385" t="s">
        <v>402</v>
      </c>
      <c r="AX385" t="s">
        <v>4258</v>
      </c>
      <c r="AY385" t="s">
        <v>7408</v>
      </c>
      <c r="AZ385" t="s">
        <v>7409</v>
      </c>
      <c r="BA385">
        <v>2.88</v>
      </c>
      <c r="BB385">
        <v>1628.61</v>
      </c>
      <c r="BC385">
        <v>0.34</v>
      </c>
      <c r="BD385">
        <v>185.26</v>
      </c>
      <c r="BE385">
        <v>188.4</v>
      </c>
      <c r="BF385">
        <v>185</v>
      </c>
      <c r="BG385" t="s">
        <v>7410</v>
      </c>
      <c r="BH385" t="s">
        <v>7411</v>
      </c>
      <c r="BI385" t="s">
        <v>7412</v>
      </c>
      <c r="BJ385" t="s">
        <v>101</v>
      </c>
      <c r="BK385" t="s">
        <v>5282</v>
      </c>
      <c r="BL385" t="s">
        <v>3776</v>
      </c>
      <c r="BM385" t="s">
        <v>7413</v>
      </c>
      <c r="BN385" t="s">
        <v>4063</v>
      </c>
    </row>
    <row r="386" spans="1:66" x14ac:dyDescent="0.25">
      <c r="A386" t="str">
        <f>HYPERLINK("https://elite.finviz.com/quote.ashx?t=AIFF&amp;ty=c&amp;p=d&amp;b=1", "AIFF")</f>
        <v>AIFF</v>
      </c>
      <c r="B386">
        <v>7</v>
      </c>
      <c r="C386">
        <v>138.38</v>
      </c>
      <c r="D386">
        <v>51.61</v>
      </c>
      <c r="E386" t="s">
        <v>7414</v>
      </c>
      <c r="F386" t="s">
        <v>107</v>
      </c>
      <c r="G386" t="s">
        <v>108</v>
      </c>
      <c r="H386" t="s">
        <v>136</v>
      </c>
      <c r="I386" t="s">
        <v>70</v>
      </c>
      <c r="J386" t="s">
        <v>321</v>
      </c>
      <c r="K386">
        <v>38.04</v>
      </c>
      <c r="L386">
        <v>2.84</v>
      </c>
      <c r="M386" t="s">
        <v>5746</v>
      </c>
      <c r="N386">
        <v>43817</v>
      </c>
      <c r="R386">
        <v>88.47</v>
      </c>
      <c r="S386">
        <v>3.12</v>
      </c>
      <c r="AA386">
        <v>-2.94</v>
      </c>
      <c r="AB386" t="s">
        <v>325</v>
      </c>
      <c r="AC386" t="s">
        <v>1088</v>
      </c>
      <c r="AE386" t="s">
        <v>7415</v>
      </c>
      <c r="AF386" t="s">
        <v>7416</v>
      </c>
      <c r="AG386" t="s">
        <v>7417</v>
      </c>
      <c r="AH386" t="s">
        <v>7418</v>
      </c>
      <c r="AJ386" t="s">
        <v>164</v>
      </c>
      <c r="AK386" t="s">
        <v>7419</v>
      </c>
      <c r="AL386">
        <v>2.69</v>
      </c>
      <c r="AM386">
        <v>2.65</v>
      </c>
      <c r="AN386">
        <v>0</v>
      </c>
      <c r="AO386" t="s">
        <v>7420</v>
      </c>
      <c r="AP386" t="s">
        <v>7421</v>
      </c>
      <c r="AQ386" t="s">
        <v>7422</v>
      </c>
      <c r="AR386" t="s">
        <v>353</v>
      </c>
      <c r="AS386" t="s">
        <v>4269</v>
      </c>
      <c r="AT386" t="s">
        <v>7423</v>
      </c>
      <c r="AU386" t="s">
        <v>4267</v>
      </c>
      <c r="AV386" t="s">
        <v>4746</v>
      </c>
      <c r="AW386" t="s">
        <v>7424</v>
      </c>
      <c r="AX386" t="s">
        <v>4314</v>
      </c>
      <c r="AY386" t="s">
        <v>7425</v>
      </c>
      <c r="AZ386" t="s">
        <v>4369</v>
      </c>
      <c r="BB386">
        <v>2108.86</v>
      </c>
      <c r="BC386">
        <v>7.0000000000000007E-2</v>
      </c>
      <c r="BD386">
        <v>2.89</v>
      </c>
      <c r="BE386">
        <v>2.9</v>
      </c>
      <c r="BF386">
        <v>2.84</v>
      </c>
      <c r="BG386" t="s">
        <v>7426</v>
      </c>
      <c r="BH386" t="s">
        <v>7427</v>
      </c>
      <c r="BI386" t="s">
        <v>7428</v>
      </c>
      <c r="BJ386" t="s">
        <v>101</v>
      </c>
      <c r="BK386" t="s">
        <v>7429</v>
      </c>
      <c r="BL386" t="s">
        <v>5030</v>
      </c>
      <c r="BM386" t="s">
        <v>7430</v>
      </c>
      <c r="BN386" t="s">
        <v>4063</v>
      </c>
    </row>
    <row r="387" spans="1:66" x14ac:dyDescent="0.25">
      <c r="A387" t="str">
        <f>HYPERLINK("https://elite.finviz.com/quote.ashx?t=ARCO&amp;ty=c&amp;p=d&amp;b=1", "ARCO")</f>
        <v>ARCO</v>
      </c>
      <c r="B387">
        <v>7</v>
      </c>
      <c r="C387">
        <v>138.38</v>
      </c>
      <c r="D387">
        <v>51.66</v>
      </c>
      <c r="E387" t="s">
        <v>7431</v>
      </c>
      <c r="F387" t="s">
        <v>107</v>
      </c>
      <c r="G387" t="s">
        <v>813</v>
      </c>
      <c r="H387" t="s">
        <v>2285</v>
      </c>
      <c r="I387" t="s">
        <v>70</v>
      </c>
      <c r="J387" t="s">
        <v>71</v>
      </c>
      <c r="K387">
        <v>1475.69</v>
      </c>
      <c r="L387">
        <v>7.01</v>
      </c>
      <c r="M387" t="s">
        <v>3336</v>
      </c>
      <c r="N387">
        <v>126246</v>
      </c>
      <c r="O387">
        <v>11.34</v>
      </c>
      <c r="P387">
        <v>9.73</v>
      </c>
      <c r="Q387">
        <v>1.61</v>
      </c>
      <c r="R387">
        <v>0.33</v>
      </c>
      <c r="S387">
        <v>2.54</v>
      </c>
      <c r="T387" t="s">
        <v>1934</v>
      </c>
      <c r="U387">
        <v>0.24</v>
      </c>
      <c r="V387" t="s">
        <v>7432</v>
      </c>
      <c r="W387" t="s">
        <v>7433</v>
      </c>
      <c r="Y387" t="s">
        <v>2631</v>
      </c>
      <c r="Z387" t="s">
        <v>7302</v>
      </c>
      <c r="AA387">
        <v>0.62</v>
      </c>
      <c r="AB387" t="s">
        <v>7434</v>
      </c>
      <c r="AC387" t="s">
        <v>7435</v>
      </c>
      <c r="AD387" t="s">
        <v>3127</v>
      </c>
      <c r="AE387" t="s">
        <v>1324</v>
      </c>
      <c r="AF387" t="s">
        <v>816</v>
      </c>
      <c r="AG387" t="s">
        <v>7436</v>
      </c>
      <c r="AH387" t="s">
        <v>7437</v>
      </c>
      <c r="AI387" t="s">
        <v>5051</v>
      </c>
      <c r="AJ387" t="s">
        <v>164</v>
      </c>
      <c r="AK387" t="s">
        <v>7438</v>
      </c>
      <c r="AL387">
        <v>0.8</v>
      </c>
      <c r="AM387">
        <v>0.73</v>
      </c>
      <c r="AN387">
        <v>3.49</v>
      </c>
      <c r="AO387" t="s">
        <v>5676</v>
      </c>
      <c r="AP387" t="s">
        <v>1474</v>
      </c>
      <c r="AQ387" t="s">
        <v>2892</v>
      </c>
      <c r="AR387" t="s">
        <v>465</v>
      </c>
      <c r="AS387" t="s">
        <v>2643</v>
      </c>
      <c r="AT387" t="s">
        <v>3019</v>
      </c>
      <c r="AU387" t="s">
        <v>183</v>
      </c>
      <c r="AV387" t="s">
        <v>4282</v>
      </c>
      <c r="AW387" t="s">
        <v>7439</v>
      </c>
      <c r="AX387" t="s">
        <v>2698</v>
      </c>
      <c r="AY387" t="s">
        <v>4861</v>
      </c>
      <c r="AZ387" t="s">
        <v>2698</v>
      </c>
      <c r="BA387">
        <v>1.4</v>
      </c>
      <c r="BB387">
        <v>1438.34</v>
      </c>
      <c r="BC387">
        <v>0.31</v>
      </c>
      <c r="BD387">
        <v>6.97</v>
      </c>
      <c r="BE387">
        <v>7.03</v>
      </c>
      <c r="BF387">
        <v>6.94</v>
      </c>
      <c r="BG387" t="s">
        <v>7440</v>
      </c>
      <c r="BH387" t="s">
        <v>7441</v>
      </c>
      <c r="BI387" t="s">
        <v>7442</v>
      </c>
      <c r="BJ387" t="s">
        <v>101</v>
      </c>
      <c r="BK387" t="s">
        <v>7054</v>
      </c>
      <c r="BL387" t="s">
        <v>7443</v>
      </c>
      <c r="BM387" t="s">
        <v>7444</v>
      </c>
      <c r="BN387" t="s">
        <v>4063</v>
      </c>
    </row>
    <row r="388" spans="1:66" x14ac:dyDescent="0.25">
      <c r="A388" t="str">
        <f>HYPERLINK("https://elite.finviz.com/quote.ashx?t=VFC&amp;ty=c&amp;p=d&amp;b=1", "VFC")</f>
        <v>VFC</v>
      </c>
      <c r="B388">
        <v>7</v>
      </c>
      <c r="C388">
        <v>138.38</v>
      </c>
      <c r="D388">
        <v>51.7</v>
      </c>
      <c r="E388" t="s">
        <v>7445</v>
      </c>
      <c r="F388" t="s">
        <v>107</v>
      </c>
      <c r="G388" t="s">
        <v>813</v>
      </c>
      <c r="H388" t="s">
        <v>7446</v>
      </c>
      <c r="I388" t="s">
        <v>70</v>
      </c>
      <c r="J388" t="s">
        <v>71</v>
      </c>
      <c r="K388">
        <v>5680.66</v>
      </c>
      <c r="L388">
        <v>14.54</v>
      </c>
      <c r="M388" t="s">
        <v>3552</v>
      </c>
      <c r="N388">
        <v>929565</v>
      </c>
      <c r="O388">
        <v>66.959999999999994</v>
      </c>
      <c r="P388">
        <v>14.26</v>
      </c>
      <c r="Q388">
        <v>2.98</v>
      </c>
      <c r="R388">
        <v>0.6</v>
      </c>
      <c r="S388">
        <v>4.4000000000000004</v>
      </c>
      <c r="T388" t="s">
        <v>2333</v>
      </c>
      <c r="U388">
        <v>0.36</v>
      </c>
      <c r="V388" t="s">
        <v>5717</v>
      </c>
      <c r="W388" t="s">
        <v>7447</v>
      </c>
      <c r="X388" t="s">
        <v>5987</v>
      </c>
      <c r="Y388" t="s">
        <v>7448</v>
      </c>
      <c r="AA388">
        <v>0.22</v>
      </c>
      <c r="AD388" t="s">
        <v>5238</v>
      </c>
      <c r="AE388" t="s">
        <v>6043</v>
      </c>
      <c r="AF388" t="s">
        <v>972</v>
      </c>
      <c r="AG388" t="s">
        <v>1866</v>
      </c>
      <c r="AH388" t="s">
        <v>7449</v>
      </c>
      <c r="AI388" t="s">
        <v>7450</v>
      </c>
      <c r="AJ388" t="s">
        <v>6245</v>
      </c>
      <c r="AK388" t="s">
        <v>7451</v>
      </c>
      <c r="AL388">
        <v>1.27</v>
      </c>
      <c r="AM388">
        <v>0.65</v>
      </c>
      <c r="AN388">
        <v>4.3899999999999997</v>
      </c>
      <c r="AO388" t="s">
        <v>7452</v>
      </c>
      <c r="AP388" t="s">
        <v>7453</v>
      </c>
      <c r="AQ388" t="s">
        <v>3344</v>
      </c>
      <c r="AR388" t="s">
        <v>3469</v>
      </c>
      <c r="AS388" t="s">
        <v>3020</v>
      </c>
      <c r="AT388" t="s">
        <v>3811</v>
      </c>
      <c r="AU388" t="s">
        <v>2772</v>
      </c>
      <c r="AV388" t="s">
        <v>7454</v>
      </c>
      <c r="AW388" t="s">
        <v>7455</v>
      </c>
      <c r="AX388" t="s">
        <v>3971</v>
      </c>
      <c r="AY388" t="s">
        <v>7456</v>
      </c>
      <c r="AZ388" t="s">
        <v>7457</v>
      </c>
      <c r="BA388">
        <v>2.83</v>
      </c>
      <c r="BB388">
        <v>8567.2800000000007</v>
      </c>
      <c r="BC388">
        <v>0.38</v>
      </c>
      <c r="BD388">
        <v>14.39</v>
      </c>
      <c r="BE388">
        <v>14.56</v>
      </c>
      <c r="BF388">
        <v>14.36</v>
      </c>
      <c r="BG388" t="s">
        <v>7458</v>
      </c>
      <c r="BH388" t="s">
        <v>7459</v>
      </c>
      <c r="BI388" t="s">
        <v>7460</v>
      </c>
      <c r="BJ388" t="s">
        <v>101</v>
      </c>
      <c r="BK388" t="s">
        <v>2769</v>
      </c>
      <c r="BL388" t="s">
        <v>508</v>
      </c>
      <c r="BM388" t="s">
        <v>7461</v>
      </c>
      <c r="BN388" t="s">
        <v>4063</v>
      </c>
    </row>
    <row r="389" spans="1:66" x14ac:dyDescent="0.25">
      <c r="A389" t="str">
        <f>HYPERLINK("https://elite.finviz.com/quote.ashx?t=DKS&amp;ty=c&amp;p=d&amp;b=1", "DKS")</f>
        <v>DKS</v>
      </c>
      <c r="B389">
        <v>7</v>
      </c>
      <c r="C389">
        <v>138.38</v>
      </c>
      <c r="D389">
        <v>51.7</v>
      </c>
      <c r="E389" t="s">
        <v>7462</v>
      </c>
      <c r="F389" t="s">
        <v>107</v>
      </c>
      <c r="G389" t="s">
        <v>813</v>
      </c>
      <c r="H389" t="s">
        <v>2262</v>
      </c>
      <c r="I389" t="s">
        <v>70</v>
      </c>
      <c r="J389" t="s">
        <v>71</v>
      </c>
      <c r="K389">
        <v>20107.310000000001</v>
      </c>
      <c r="L389">
        <v>224.22</v>
      </c>
      <c r="M389" t="s">
        <v>2203</v>
      </c>
      <c r="N389">
        <v>247040</v>
      </c>
      <c r="O389">
        <v>15.65</v>
      </c>
      <c r="P389">
        <v>14.71</v>
      </c>
      <c r="Q389">
        <v>3.02</v>
      </c>
      <c r="R389">
        <v>1.46</v>
      </c>
      <c r="S389">
        <v>5.29</v>
      </c>
      <c r="T389" t="s">
        <v>4891</v>
      </c>
      <c r="U389">
        <v>4.74</v>
      </c>
      <c r="V389" t="s">
        <v>2620</v>
      </c>
      <c r="W389" t="s">
        <v>3962</v>
      </c>
      <c r="X389" t="s">
        <v>2282</v>
      </c>
      <c r="Y389" t="s">
        <v>7463</v>
      </c>
      <c r="Z389" t="s">
        <v>4400</v>
      </c>
      <c r="AA389">
        <v>14.33</v>
      </c>
      <c r="AB389" t="s">
        <v>7464</v>
      </c>
      <c r="AC389" t="s">
        <v>7465</v>
      </c>
      <c r="AD389" t="s">
        <v>3303</v>
      </c>
      <c r="AE389" t="s">
        <v>648</v>
      </c>
      <c r="AF389" t="s">
        <v>2543</v>
      </c>
      <c r="AG389" t="s">
        <v>5911</v>
      </c>
      <c r="AH389" t="s">
        <v>4824</v>
      </c>
      <c r="AI389" t="s">
        <v>2202</v>
      </c>
      <c r="AJ389" t="s">
        <v>2402</v>
      </c>
      <c r="AK389" t="s">
        <v>7466</v>
      </c>
      <c r="AL389">
        <v>1.7</v>
      </c>
      <c r="AM389">
        <v>0.55000000000000004</v>
      </c>
      <c r="AN389">
        <v>1.37</v>
      </c>
      <c r="AO389" t="s">
        <v>7467</v>
      </c>
      <c r="AP389" t="s">
        <v>1009</v>
      </c>
      <c r="AQ389" t="s">
        <v>466</v>
      </c>
      <c r="AR389" t="s">
        <v>90</v>
      </c>
      <c r="AS389" t="s">
        <v>6121</v>
      </c>
      <c r="AT389" t="s">
        <v>2734</v>
      </c>
      <c r="AU389" t="s">
        <v>1439</v>
      </c>
      <c r="AV389" t="s">
        <v>4999</v>
      </c>
      <c r="AW389" t="s">
        <v>7468</v>
      </c>
      <c r="AX389" t="s">
        <v>5788</v>
      </c>
      <c r="AY389" t="s">
        <v>7469</v>
      </c>
      <c r="AZ389" t="s">
        <v>7470</v>
      </c>
      <c r="BA389">
        <v>2.2999999999999998</v>
      </c>
      <c r="BB389">
        <v>1684.61</v>
      </c>
      <c r="BC389">
        <v>0.52</v>
      </c>
      <c r="BD389">
        <v>225.23</v>
      </c>
      <c r="BE389">
        <v>225.26</v>
      </c>
      <c r="BF389">
        <v>222.93</v>
      </c>
      <c r="BG389" t="s">
        <v>7471</v>
      </c>
      <c r="BH389" t="s">
        <v>7469</v>
      </c>
      <c r="BI389" t="s">
        <v>7472</v>
      </c>
      <c r="BJ389" t="s">
        <v>101</v>
      </c>
      <c r="BK389" t="s">
        <v>3071</v>
      </c>
      <c r="BL389" t="s">
        <v>2945</v>
      </c>
      <c r="BM389" t="s">
        <v>3542</v>
      </c>
      <c r="BN389" t="s">
        <v>4063</v>
      </c>
    </row>
    <row r="390" spans="1:66" x14ac:dyDescent="0.25">
      <c r="A390" t="str">
        <f>HYPERLINK("https://elite.finviz.com/quote.ashx?t=RBLX&amp;ty=c&amp;p=d&amp;b=1", "RBLX")</f>
        <v>RBLX</v>
      </c>
      <c r="B390">
        <v>7</v>
      </c>
      <c r="C390">
        <v>138.38</v>
      </c>
      <c r="D390">
        <v>51.71</v>
      </c>
      <c r="E390" t="s">
        <v>7473</v>
      </c>
      <c r="F390" t="s">
        <v>107</v>
      </c>
      <c r="G390" t="s">
        <v>598</v>
      </c>
      <c r="H390" t="s">
        <v>7474</v>
      </c>
      <c r="I390" t="s">
        <v>70</v>
      </c>
      <c r="J390" t="s">
        <v>71</v>
      </c>
      <c r="K390">
        <v>91009.47</v>
      </c>
      <c r="L390">
        <v>131.28</v>
      </c>
      <c r="M390" t="s">
        <v>1086</v>
      </c>
      <c r="N390">
        <v>982253</v>
      </c>
      <c r="R390">
        <v>22.62</v>
      </c>
      <c r="S390">
        <v>257.62</v>
      </c>
      <c r="AA390">
        <v>-1.43</v>
      </c>
      <c r="AB390" t="s">
        <v>7475</v>
      </c>
      <c r="AC390" t="s">
        <v>7476</v>
      </c>
      <c r="AD390" t="s">
        <v>7477</v>
      </c>
      <c r="AE390" t="s">
        <v>7478</v>
      </c>
      <c r="AF390" t="s">
        <v>7479</v>
      </c>
      <c r="AG390" t="s">
        <v>5560</v>
      </c>
      <c r="AH390" t="s">
        <v>3649</v>
      </c>
      <c r="AI390" t="s">
        <v>7480</v>
      </c>
      <c r="AJ390" t="s">
        <v>6094</v>
      </c>
      <c r="AK390" t="s">
        <v>7481</v>
      </c>
      <c r="AL390">
        <v>0.8</v>
      </c>
      <c r="AM390">
        <v>0.8</v>
      </c>
      <c r="AN390">
        <v>5.05</v>
      </c>
      <c r="AO390" t="s">
        <v>3961</v>
      </c>
      <c r="AP390" t="s">
        <v>7482</v>
      </c>
      <c r="AQ390" t="s">
        <v>7483</v>
      </c>
      <c r="AR390" t="s">
        <v>7484</v>
      </c>
      <c r="AS390" t="s">
        <v>323</v>
      </c>
      <c r="AT390" t="s">
        <v>530</v>
      </c>
      <c r="AU390" t="s">
        <v>5188</v>
      </c>
      <c r="AV390" t="s">
        <v>7485</v>
      </c>
      <c r="AW390" t="s">
        <v>6012</v>
      </c>
      <c r="AX390" t="s">
        <v>7486</v>
      </c>
      <c r="AY390" t="s">
        <v>6012</v>
      </c>
      <c r="AZ390" t="s">
        <v>7487</v>
      </c>
      <c r="BA390">
        <v>1.94</v>
      </c>
      <c r="BB390">
        <v>8629.67</v>
      </c>
      <c r="BC390">
        <v>0.4</v>
      </c>
      <c r="BD390">
        <v>132.04</v>
      </c>
      <c r="BE390">
        <v>132.69</v>
      </c>
      <c r="BF390">
        <v>130.66999999999999</v>
      </c>
      <c r="BG390" t="s">
        <v>7488</v>
      </c>
      <c r="BH390" t="s">
        <v>6012</v>
      </c>
      <c r="BI390" t="s">
        <v>7489</v>
      </c>
      <c r="BJ390" t="s">
        <v>101</v>
      </c>
      <c r="BK390" t="s">
        <v>7490</v>
      </c>
      <c r="BL390" t="s">
        <v>7491</v>
      </c>
      <c r="BM390" t="s">
        <v>7492</v>
      </c>
      <c r="BN390" t="s">
        <v>4063</v>
      </c>
    </row>
    <row r="391" spans="1:66" x14ac:dyDescent="0.25">
      <c r="A391" t="str">
        <f>HYPERLINK("https://elite.finviz.com/quote.ashx?t=EXPI&amp;ty=c&amp;p=d&amp;b=1", "EXPI")</f>
        <v>EXPI</v>
      </c>
      <c r="B391">
        <v>7</v>
      </c>
      <c r="C391">
        <v>138.38</v>
      </c>
      <c r="D391">
        <v>51.81</v>
      </c>
      <c r="E391" t="s">
        <v>7493</v>
      </c>
      <c r="F391" t="s">
        <v>67</v>
      </c>
      <c r="G391" t="s">
        <v>68</v>
      </c>
      <c r="H391" t="s">
        <v>7494</v>
      </c>
      <c r="I391" t="s">
        <v>70</v>
      </c>
      <c r="J391" t="s">
        <v>321</v>
      </c>
      <c r="K391">
        <v>1731.91</v>
      </c>
      <c r="L391">
        <v>11.02</v>
      </c>
      <c r="M391" t="s">
        <v>822</v>
      </c>
      <c r="N391">
        <v>130446</v>
      </c>
      <c r="P391">
        <v>71.06</v>
      </c>
      <c r="R391">
        <v>0.38</v>
      </c>
      <c r="S391">
        <v>7.93</v>
      </c>
      <c r="T391" t="s">
        <v>1303</v>
      </c>
      <c r="U391">
        <v>0.2</v>
      </c>
      <c r="V391" t="s">
        <v>3046</v>
      </c>
      <c r="W391" t="s">
        <v>3981</v>
      </c>
      <c r="X391" t="s">
        <v>7495</v>
      </c>
      <c r="AA391">
        <v>-0.2</v>
      </c>
      <c r="AC391" t="s">
        <v>7496</v>
      </c>
      <c r="AD391" t="s">
        <v>7497</v>
      </c>
      <c r="AE391" t="s">
        <v>2234</v>
      </c>
      <c r="AF391" t="s">
        <v>1254</v>
      </c>
      <c r="AG391" t="s">
        <v>7498</v>
      </c>
      <c r="AH391" t="s">
        <v>3447</v>
      </c>
      <c r="AI391" t="s">
        <v>7499</v>
      </c>
      <c r="AJ391" t="s">
        <v>3890</v>
      </c>
      <c r="AK391" t="s">
        <v>7500</v>
      </c>
      <c r="AL391">
        <v>1.31</v>
      </c>
      <c r="AM391">
        <v>1.31</v>
      </c>
      <c r="AN391">
        <v>0</v>
      </c>
      <c r="AO391" t="s">
        <v>3181</v>
      </c>
      <c r="AP391" t="s">
        <v>2213</v>
      </c>
      <c r="AQ391" t="s">
        <v>2965</v>
      </c>
      <c r="AR391" t="s">
        <v>1088</v>
      </c>
      <c r="AS391" t="s">
        <v>1926</v>
      </c>
      <c r="AT391" t="s">
        <v>2486</v>
      </c>
      <c r="AU391" t="s">
        <v>1768</v>
      </c>
      <c r="AV391" t="s">
        <v>1927</v>
      </c>
      <c r="AW391" t="s">
        <v>6450</v>
      </c>
      <c r="AX391" t="s">
        <v>7501</v>
      </c>
      <c r="AY391" t="s">
        <v>7502</v>
      </c>
      <c r="AZ391" t="s">
        <v>3681</v>
      </c>
      <c r="BA391">
        <v>2</v>
      </c>
      <c r="BB391">
        <v>1056.03</v>
      </c>
      <c r="BC391">
        <v>0.44</v>
      </c>
      <c r="BD391">
        <v>10.99</v>
      </c>
      <c r="BE391">
        <v>11.15</v>
      </c>
      <c r="BF391">
        <v>10.91</v>
      </c>
      <c r="BG391" t="s">
        <v>7503</v>
      </c>
      <c r="BH391" t="s">
        <v>7504</v>
      </c>
      <c r="BI391" t="s">
        <v>7505</v>
      </c>
      <c r="BJ391" t="s">
        <v>101</v>
      </c>
      <c r="BK391" t="s">
        <v>7211</v>
      </c>
      <c r="BL391" t="s">
        <v>2521</v>
      </c>
      <c r="BM391" t="s">
        <v>7506</v>
      </c>
      <c r="BN391" t="s">
        <v>4063</v>
      </c>
    </row>
    <row r="392" spans="1:66" x14ac:dyDescent="0.25">
      <c r="A392" t="str">
        <f>HYPERLINK("https://elite.finviz.com/quote.ashx?t=D&amp;ty=c&amp;p=d&amp;b=1", "D")</f>
        <v>D</v>
      </c>
      <c r="B392">
        <v>7</v>
      </c>
      <c r="C392">
        <v>138.38</v>
      </c>
      <c r="D392">
        <v>51.82</v>
      </c>
      <c r="E392" t="s">
        <v>7507</v>
      </c>
      <c r="F392" t="s">
        <v>195</v>
      </c>
      <c r="G392" t="s">
        <v>287</v>
      </c>
      <c r="H392" t="s">
        <v>676</v>
      </c>
      <c r="I392" t="s">
        <v>70</v>
      </c>
      <c r="J392" t="s">
        <v>71</v>
      </c>
      <c r="K392">
        <v>51321.23</v>
      </c>
      <c r="L392">
        <v>60.13</v>
      </c>
      <c r="M392" t="s">
        <v>3169</v>
      </c>
      <c r="N392">
        <v>438899</v>
      </c>
      <c r="O392">
        <v>20.78</v>
      </c>
      <c r="P392">
        <v>16.73</v>
      </c>
      <c r="Q392">
        <v>1.8</v>
      </c>
      <c r="R392">
        <v>3.38</v>
      </c>
      <c r="S392">
        <v>1.96</v>
      </c>
      <c r="T392" t="s">
        <v>2810</v>
      </c>
      <c r="U392">
        <v>2.67</v>
      </c>
      <c r="V392" t="s">
        <v>4548</v>
      </c>
      <c r="W392" t="s">
        <v>164</v>
      </c>
      <c r="X392" t="s">
        <v>2087</v>
      </c>
      <c r="Y392" t="s">
        <v>5355</v>
      </c>
      <c r="Z392" t="s">
        <v>7508</v>
      </c>
      <c r="AA392">
        <v>2.89</v>
      </c>
      <c r="AB392" t="s">
        <v>7509</v>
      </c>
      <c r="AC392" t="s">
        <v>2446</v>
      </c>
      <c r="AD392" t="s">
        <v>7510</v>
      </c>
      <c r="AE392" t="s">
        <v>929</v>
      </c>
      <c r="AF392" t="s">
        <v>3493</v>
      </c>
      <c r="AG392" t="s">
        <v>2275</v>
      </c>
      <c r="AH392" t="s">
        <v>7511</v>
      </c>
      <c r="AI392" t="s">
        <v>7512</v>
      </c>
      <c r="AJ392" t="s">
        <v>141</v>
      </c>
      <c r="AK392" t="s">
        <v>6389</v>
      </c>
      <c r="AL392">
        <v>0.67</v>
      </c>
      <c r="AM392">
        <v>0.49</v>
      </c>
      <c r="AN392">
        <v>1.7</v>
      </c>
      <c r="AO392" t="s">
        <v>7513</v>
      </c>
      <c r="AP392" t="s">
        <v>7514</v>
      </c>
      <c r="AQ392" t="s">
        <v>2912</v>
      </c>
      <c r="AR392" t="s">
        <v>1129</v>
      </c>
      <c r="AS392" t="s">
        <v>7423</v>
      </c>
      <c r="AT392" t="s">
        <v>458</v>
      </c>
      <c r="AU392" t="s">
        <v>3736</v>
      </c>
      <c r="AV392" t="s">
        <v>1310</v>
      </c>
      <c r="AW392" t="s">
        <v>1904</v>
      </c>
      <c r="AX392" t="s">
        <v>1826</v>
      </c>
      <c r="AY392" t="s">
        <v>1904</v>
      </c>
      <c r="AZ392" t="s">
        <v>7515</v>
      </c>
      <c r="BA392">
        <v>3</v>
      </c>
      <c r="BB392">
        <v>4871.78</v>
      </c>
      <c r="BC392">
        <v>0.32</v>
      </c>
      <c r="BD392">
        <v>59.67</v>
      </c>
      <c r="BE392">
        <v>60.42</v>
      </c>
      <c r="BF392">
        <v>59.7</v>
      </c>
      <c r="BG392" t="s">
        <v>7516</v>
      </c>
      <c r="BH392" t="s">
        <v>7517</v>
      </c>
      <c r="BI392" t="s">
        <v>7518</v>
      </c>
      <c r="BJ392" t="s">
        <v>101</v>
      </c>
      <c r="BK392" t="s">
        <v>267</v>
      </c>
      <c r="BL392" t="s">
        <v>702</v>
      </c>
      <c r="BM392" t="s">
        <v>5090</v>
      </c>
      <c r="BN392" t="s">
        <v>4063</v>
      </c>
    </row>
    <row r="393" spans="1:66" x14ac:dyDescent="0.25">
      <c r="A393" t="str">
        <f>HYPERLINK("https://elite.finviz.com/quote.ashx?t=ALKT&amp;ty=c&amp;p=d&amp;b=1", "ALKT")</f>
        <v>ALKT</v>
      </c>
      <c r="B393">
        <v>7</v>
      </c>
      <c r="C393">
        <v>138.38</v>
      </c>
      <c r="D393">
        <v>51.82</v>
      </c>
      <c r="E393" t="s">
        <v>7519</v>
      </c>
      <c r="F393" t="s">
        <v>67</v>
      </c>
      <c r="G393" t="s">
        <v>108</v>
      </c>
      <c r="H393" t="s">
        <v>136</v>
      </c>
      <c r="I393" t="s">
        <v>70</v>
      </c>
      <c r="J393" t="s">
        <v>321</v>
      </c>
      <c r="K393">
        <v>2642.68</v>
      </c>
      <c r="L393">
        <v>25.39</v>
      </c>
      <c r="M393" t="s">
        <v>193</v>
      </c>
      <c r="N393">
        <v>86423</v>
      </c>
      <c r="P393">
        <v>28.18</v>
      </c>
      <c r="R393">
        <v>6.86</v>
      </c>
      <c r="S393">
        <v>7.68</v>
      </c>
      <c r="AA393">
        <v>-0.38</v>
      </c>
      <c r="AB393" t="s">
        <v>438</v>
      </c>
      <c r="AC393" t="s">
        <v>3519</v>
      </c>
      <c r="AD393" t="s">
        <v>7520</v>
      </c>
      <c r="AE393" t="s">
        <v>7006</v>
      </c>
      <c r="AF393" t="s">
        <v>7521</v>
      </c>
      <c r="AG393" t="s">
        <v>5654</v>
      </c>
      <c r="AH393" t="s">
        <v>6670</v>
      </c>
      <c r="AI393" t="s">
        <v>7522</v>
      </c>
      <c r="AJ393" t="s">
        <v>1243</v>
      </c>
      <c r="AK393" t="s">
        <v>7523</v>
      </c>
      <c r="AL393">
        <v>2.46</v>
      </c>
      <c r="AM393">
        <v>2.46</v>
      </c>
      <c r="AN393">
        <v>1.17</v>
      </c>
      <c r="AO393" t="s">
        <v>7524</v>
      </c>
      <c r="AP393" t="s">
        <v>7525</v>
      </c>
      <c r="AQ393" t="s">
        <v>7269</v>
      </c>
      <c r="AR393" t="s">
        <v>2170</v>
      </c>
      <c r="AS393" t="s">
        <v>203</v>
      </c>
      <c r="AT393" t="s">
        <v>3227</v>
      </c>
      <c r="AU393" t="s">
        <v>305</v>
      </c>
      <c r="AV393" t="s">
        <v>7526</v>
      </c>
      <c r="AW393" t="s">
        <v>7527</v>
      </c>
      <c r="AX393" t="s">
        <v>6358</v>
      </c>
      <c r="AY393" t="s">
        <v>4348</v>
      </c>
      <c r="AZ393" t="s">
        <v>6358</v>
      </c>
      <c r="BA393">
        <v>1.4</v>
      </c>
      <c r="BB393">
        <v>1415.05</v>
      </c>
      <c r="BC393">
        <v>0.22</v>
      </c>
      <c r="BD393">
        <v>25.32</v>
      </c>
      <c r="BE393">
        <v>25.57</v>
      </c>
      <c r="BF393">
        <v>25.21</v>
      </c>
      <c r="BG393" t="s">
        <v>7528</v>
      </c>
      <c r="BH393" t="s">
        <v>7529</v>
      </c>
      <c r="BI393" t="s">
        <v>7530</v>
      </c>
      <c r="BJ393" t="s">
        <v>101</v>
      </c>
      <c r="BK393" t="s">
        <v>7531</v>
      </c>
      <c r="BL393" t="s">
        <v>7532</v>
      </c>
      <c r="BM393" t="s">
        <v>7533</v>
      </c>
      <c r="BN393" t="s">
        <v>4063</v>
      </c>
    </row>
    <row r="394" spans="1:66" x14ac:dyDescent="0.25">
      <c r="A394" t="str">
        <f>HYPERLINK("https://elite.finviz.com/quote.ashx?t=MRVI&amp;ty=c&amp;p=d&amp;b=1", "MRVI")</f>
        <v>MRVI</v>
      </c>
      <c r="B394">
        <v>7</v>
      </c>
      <c r="C394">
        <v>138.38</v>
      </c>
      <c r="D394">
        <v>51.83</v>
      </c>
      <c r="E394" t="s">
        <v>7534</v>
      </c>
      <c r="F394" t="s">
        <v>67</v>
      </c>
      <c r="G394" t="s">
        <v>428</v>
      </c>
      <c r="H394" t="s">
        <v>429</v>
      </c>
      <c r="I394" t="s">
        <v>70</v>
      </c>
      <c r="J394" t="s">
        <v>321</v>
      </c>
      <c r="K394">
        <v>679.51</v>
      </c>
      <c r="L394">
        <v>2.66</v>
      </c>
      <c r="M394" t="s">
        <v>575</v>
      </c>
      <c r="N394">
        <v>124505</v>
      </c>
      <c r="R394">
        <v>3.15</v>
      </c>
      <c r="S394">
        <v>1.45</v>
      </c>
      <c r="AA394">
        <v>-1.37</v>
      </c>
      <c r="AC394" t="s">
        <v>7535</v>
      </c>
      <c r="AD394" t="s">
        <v>4086</v>
      </c>
      <c r="AE394" t="s">
        <v>974</v>
      </c>
      <c r="AF394" t="s">
        <v>7536</v>
      </c>
      <c r="AG394" t="s">
        <v>6329</v>
      </c>
      <c r="AH394" t="s">
        <v>7537</v>
      </c>
      <c r="AI394" t="s">
        <v>5594</v>
      </c>
      <c r="AJ394" t="s">
        <v>164</v>
      </c>
      <c r="AK394" t="s">
        <v>7538</v>
      </c>
      <c r="AL394">
        <v>5.16</v>
      </c>
      <c r="AM394">
        <v>4.49</v>
      </c>
      <c r="AN394">
        <v>1.4</v>
      </c>
      <c r="AO394" t="s">
        <v>7539</v>
      </c>
      <c r="AP394" t="s">
        <v>3123</v>
      </c>
      <c r="AQ394" t="s">
        <v>7540</v>
      </c>
      <c r="AR394" t="s">
        <v>7541</v>
      </c>
      <c r="AS394" t="s">
        <v>7542</v>
      </c>
      <c r="AT394" t="s">
        <v>3344</v>
      </c>
      <c r="AU394" t="s">
        <v>4133</v>
      </c>
      <c r="AV394" t="s">
        <v>3700</v>
      </c>
      <c r="AW394" t="s">
        <v>7543</v>
      </c>
      <c r="AX394" t="s">
        <v>7544</v>
      </c>
      <c r="AY394" t="s">
        <v>7545</v>
      </c>
      <c r="AZ394" t="s">
        <v>7546</v>
      </c>
      <c r="BA394">
        <v>2</v>
      </c>
      <c r="BB394">
        <v>1525.05</v>
      </c>
      <c r="BC394">
        <v>0.28999999999999998</v>
      </c>
      <c r="BD394">
        <v>2.69</v>
      </c>
      <c r="BE394">
        <v>2.72</v>
      </c>
      <c r="BF394">
        <v>2.64</v>
      </c>
      <c r="BG394" t="s">
        <v>7547</v>
      </c>
      <c r="BH394" t="s">
        <v>7548</v>
      </c>
      <c r="BI394" t="s">
        <v>7546</v>
      </c>
      <c r="BJ394" t="s">
        <v>101</v>
      </c>
      <c r="BK394" t="s">
        <v>5552</v>
      </c>
      <c r="BL394" t="s">
        <v>2709</v>
      </c>
      <c r="BM394" t="s">
        <v>7549</v>
      </c>
      <c r="BN394" t="s">
        <v>4063</v>
      </c>
    </row>
    <row r="395" spans="1:66" x14ac:dyDescent="0.25">
      <c r="A395" t="str">
        <f>HYPERLINK("https://elite.finviz.com/quote.ashx?t=VST&amp;ty=c&amp;p=d&amp;b=1", "VST")</f>
        <v>VST</v>
      </c>
      <c r="B395">
        <v>7</v>
      </c>
      <c r="C395">
        <v>138.38</v>
      </c>
      <c r="D395">
        <v>51.89</v>
      </c>
      <c r="E395" t="s">
        <v>7550</v>
      </c>
      <c r="F395" t="s">
        <v>195</v>
      </c>
      <c r="G395" t="s">
        <v>287</v>
      </c>
      <c r="H395" t="s">
        <v>7551</v>
      </c>
      <c r="I395" t="s">
        <v>70</v>
      </c>
      <c r="J395" t="s">
        <v>71</v>
      </c>
      <c r="K395">
        <v>69154.92</v>
      </c>
      <c r="L395">
        <v>204.1</v>
      </c>
      <c r="M395" t="s">
        <v>343</v>
      </c>
      <c r="N395">
        <v>705723</v>
      </c>
      <c r="O395">
        <v>32.380000000000003</v>
      </c>
      <c r="P395">
        <v>23.34</v>
      </c>
      <c r="Q395">
        <v>2.2599999999999998</v>
      </c>
      <c r="R395">
        <v>3.12</v>
      </c>
      <c r="S395">
        <v>29.49</v>
      </c>
      <c r="T395" t="s">
        <v>4801</v>
      </c>
      <c r="U395">
        <v>0.9</v>
      </c>
      <c r="V395" t="s">
        <v>7552</v>
      </c>
      <c r="W395" t="s">
        <v>6183</v>
      </c>
      <c r="X395" t="s">
        <v>7553</v>
      </c>
      <c r="Y395" t="s">
        <v>2629</v>
      </c>
      <c r="Z395" t="s">
        <v>4462</v>
      </c>
      <c r="AA395">
        <v>6.3</v>
      </c>
      <c r="AC395" t="s">
        <v>7554</v>
      </c>
      <c r="AD395" t="s">
        <v>7555</v>
      </c>
      <c r="AE395" t="s">
        <v>5385</v>
      </c>
      <c r="AF395" t="s">
        <v>6946</v>
      </c>
      <c r="AG395" t="s">
        <v>7556</v>
      </c>
      <c r="AH395" t="s">
        <v>7419</v>
      </c>
      <c r="AI395" t="s">
        <v>7557</v>
      </c>
      <c r="AJ395" t="s">
        <v>7558</v>
      </c>
      <c r="AK395" t="s">
        <v>7559</v>
      </c>
      <c r="AL395">
        <v>0.9</v>
      </c>
      <c r="AM395">
        <v>0.8</v>
      </c>
      <c r="AN395">
        <v>3.74</v>
      </c>
      <c r="AO395" t="s">
        <v>187</v>
      </c>
      <c r="AP395" t="s">
        <v>7409</v>
      </c>
      <c r="AQ395" t="s">
        <v>230</v>
      </c>
      <c r="AR395" t="s">
        <v>5467</v>
      </c>
      <c r="AS395" t="s">
        <v>162</v>
      </c>
      <c r="AT395" t="s">
        <v>2185</v>
      </c>
      <c r="AU395" t="s">
        <v>206</v>
      </c>
      <c r="AV395" t="s">
        <v>3034</v>
      </c>
      <c r="AW395" t="s">
        <v>4635</v>
      </c>
      <c r="AX395" t="s">
        <v>1549</v>
      </c>
      <c r="AY395" t="s">
        <v>4635</v>
      </c>
      <c r="AZ395" t="s">
        <v>7560</v>
      </c>
      <c r="BA395">
        <v>1.67</v>
      </c>
      <c r="BB395">
        <v>4688.96</v>
      </c>
      <c r="BC395">
        <v>0.53</v>
      </c>
      <c r="BD395">
        <v>201.62</v>
      </c>
      <c r="BE395">
        <v>205.62</v>
      </c>
      <c r="BF395">
        <v>200.98</v>
      </c>
      <c r="BG395" t="s">
        <v>7561</v>
      </c>
      <c r="BH395" t="s">
        <v>4635</v>
      </c>
      <c r="BI395" t="s">
        <v>7562</v>
      </c>
      <c r="BJ395" t="s">
        <v>101</v>
      </c>
      <c r="BK395" t="s">
        <v>2809</v>
      </c>
      <c r="BL395" t="s">
        <v>7563</v>
      </c>
      <c r="BM395" t="s">
        <v>7564</v>
      </c>
      <c r="BN395" t="s">
        <v>4063</v>
      </c>
    </row>
    <row r="396" spans="1:66" x14ac:dyDescent="0.25">
      <c r="A396" t="str">
        <f>HYPERLINK("https://elite.finviz.com/quote.ashx?t=ZION&amp;ty=c&amp;p=d&amp;b=1", "ZION")</f>
        <v>ZION</v>
      </c>
      <c r="B396">
        <v>7</v>
      </c>
      <c r="C396">
        <v>138.38</v>
      </c>
      <c r="D396">
        <v>51.91</v>
      </c>
      <c r="E396" t="s">
        <v>7565</v>
      </c>
      <c r="F396" t="s">
        <v>107</v>
      </c>
      <c r="G396" t="s">
        <v>550</v>
      </c>
      <c r="H396" t="s">
        <v>697</v>
      </c>
      <c r="I396" t="s">
        <v>70</v>
      </c>
      <c r="J396" t="s">
        <v>321</v>
      </c>
      <c r="K396">
        <v>8435.2199999999993</v>
      </c>
      <c r="L396">
        <v>57.14</v>
      </c>
      <c r="M396" t="s">
        <v>4703</v>
      </c>
      <c r="N396">
        <v>269339</v>
      </c>
      <c r="O396">
        <v>10.42</v>
      </c>
      <c r="P396">
        <v>9.7200000000000006</v>
      </c>
      <c r="Q396">
        <v>1.33</v>
      </c>
      <c r="R396">
        <v>1.7</v>
      </c>
      <c r="S396">
        <v>1.29</v>
      </c>
      <c r="T396" t="s">
        <v>1769</v>
      </c>
      <c r="U396">
        <v>1.74</v>
      </c>
      <c r="V396" t="s">
        <v>2708</v>
      </c>
      <c r="W396" t="s">
        <v>4552</v>
      </c>
      <c r="X396" t="s">
        <v>4872</v>
      </c>
      <c r="Y396" t="s">
        <v>4428</v>
      </c>
      <c r="Z396" t="s">
        <v>6495</v>
      </c>
      <c r="AA396">
        <v>5.48</v>
      </c>
      <c r="AB396" t="s">
        <v>7269</v>
      </c>
      <c r="AC396" t="s">
        <v>3205</v>
      </c>
      <c r="AD396" t="s">
        <v>7566</v>
      </c>
      <c r="AE396" t="s">
        <v>4154</v>
      </c>
      <c r="AF396" t="s">
        <v>3843</v>
      </c>
      <c r="AG396" t="s">
        <v>7567</v>
      </c>
      <c r="AH396" t="s">
        <v>7568</v>
      </c>
      <c r="AI396" t="s">
        <v>7569</v>
      </c>
      <c r="AJ396" t="s">
        <v>3598</v>
      </c>
      <c r="AK396" t="s">
        <v>7570</v>
      </c>
      <c r="AL396">
        <v>0.13</v>
      </c>
      <c r="AN396">
        <v>1.1000000000000001</v>
      </c>
      <c r="AP396" t="s">
        <v>4838</v>
      </c>
      <c r="AQ396" t="s">
        <v>3840</v>
      </c>
      <c r="AR396" t="s">
        <v>1776</v>
      </c>
      <c r="AS396" t="s">
        <v>4547</v>
      </c>
      <c r="AT396" t="s">
        <v>2965</v>
      </c>
      <c r="AU396" t="s">
        <v>901</v>
      </c>
      <c r="AV396" t="s">
        <v>2625</v>
      </c>
      <c r="AW396" t="s">
        <v>3005</v>
      </c>
      <c r="AX396" t="s">
        <v>1489</v>
      </c>
      <c r="AY396" t="s">
        <v>7571</v>
      </c>
      <c r="AZ396" t="s">
        <v>7572</v>
      </c>
      <c r="BA396">
        <v>2.78</v>
      </c>
      <c r="BB396">
        <v>1518.66</v>
      </c>
      <c r="BC396">
        <v>0.62</v>
      </c>
      <c r="BD396">
        <v>57.3</v>
      </c>
      <c r="BE396">
        <v>58.14</v>
      </c>
      <c r="BF396">
        <v>57.03</v>
      </c>
      <c r="BG396" t="s">
        <v>7573</v>
      </c>
      <c r="BH396" t="s">
        <v>7012</v>
      </c>
      <c r="BI396" t="s">
        <v>7574</v>
      </c>
      <c r="BJ396" t="s">
        <v>101</v>
      </c>
      <c r="BK396" t="s">
        <v>847</v>
      </c>
      <c r="BL396" t="s">
        <v>7575</v>
      </c>
      <c r="BM396" t="s">
        <v>1990</v>
      </c>
      <c r="BN396" t="s">
        <v>4063</v>
      </c>
    </row>
    <row r="397" spans="1:66" x14ac:dyDescent="0.25">
      <c r="A397" t="str">
        <f>HYPERLINK("https://elite.finviz.com/quote.ashx?t=ANET&amp;ty=c&amp;p=d&amp;b=1", "ANET")</f>
        <v>ANET</v>
      </c>
      <c r="B397">
        <v>7</v>
      </c>
      <c r="C397">
        <v>138.38</v>
      </c>
      <c r="D397">
        <v>51.94</v>
      </c>
      <c r="E397" t="s">
        <v>7576</v>
      </c>
      <c r="F397" t="s">
        <v>195</v>
      </c>
      <c r="G397" t="s">
        <v>108</v>
      </c>
      <c r="H397" t="s">
        <v>496</v>
      </c>
      <c r="I397" t="s">
        <v>70</v>
      </c>
      <c r="J397" t="s">
        <v>71</v>
      </c>
      <c r="K397">
        <v>178016.11</v>
      </c>
      <c r="L397">
        <v>141.63</v>
      </c>
      <c r="M397" t="s">
        <v>3999</v>
      </c>
      <c r="N397">
        <v>1612743</v>
      </c>
      <c r="O397">
        <v>55.7</v>
      </c>
      <c r="P397">
        <v>43.04</v>
      </c>
      <c r="Q397">
        <v>2.7</v>
      </c>
      <c r="R397">
        <v>22.39</v>
      </c>
      <c r="S397">
        <v>16.329999999999998</v>
      </c>
      <c r="Z397" t="s">
        <v>164</v>
      </c>
      <c r="AA397">
        <v>2.54</v>
      </c>
      <c r="AB397" t="s">
        <v>7577</v>
      </c>
      <c r="AC397" t="s">
        <v>7578</v>
      </c>
      <c r="AD397" t="s">
        <v>7579</v>
      </c>
      <c r="AE397" t="s">
        <v>4962</v>
      </c>
      <c r="AF397" t="s">
        <v>7580</v>
      </c>
      <c r="AG397" t="s">
        <v>7581</v>
      </c>
      <c r="AH397" t="s">
        <v>4724</v>
      </c>
      <c r="AI397" t="s">
        <v>5405</v>
      </c>
      <c r="AJ397" t="s">
        <v>7582</v>
      </c>
      <c r="AK397" t="s">
        <v>7583</v>
      </c>
      <c r="AL397">
        <v>3.33</v>
      </c>
      <c r="AM397">
        <v>2.82</v>
      </c>
      <c r="AN397">
        <v>0</v>
      </c>
      <c r="AO397" t="s">
        <v>7584</v>
      </c>
      <c r="AP397" t="s">
        <v>7585</v>
      </c>
      <c r="AQ397" t="s">
        <v>7586</v>
      </c>
      <c r="AR397" t="s">
        <v>5929</v>
      </c>
      <c r="AS397" t="s">
        <v>1926</v>
      </c>
      <c r="AT397" t="s">
        <v>7568</v>
      </c>
      <c r="AU397" t="s">
        <v>3204</v>
      </c>
      <c r="AV397" t="s">
        <v>6042</v>
      </c>
      <c r="AW397" t="s">
        <v>7587</v>
      </c>
      <c r="AX397" t="s">
        <v>7588</v>
      </c>
      <c r="AY397" t="s">
        <v>7587</v>
      </c>
      <c r="AZ397" t="s">
        <v>7589</v>
      </c>
      <c r="BA397">
        <v>1.45</v>
      </c>
      <c r="BB397">
        <v>9392.83</v>
      </c>
      <c r="BC397">
        <v>0.6</v>
      </c>
      <c r="BD397">
        <v>143.06</v>
      </c>
      <c r="BE397">
        <v>144.4</v>
      </c>
      <c r="BF397">
        <v>140.84</v>
      </c>
      <c r="BG397" t="s">
        <v>7590</v>
      </c>
      <c r="BH397" t="s">
        <v>7587</v>
      </c>
      <c r="BI397" t="s">
        <v>7591</v>
      </c>
      <c r="BJ397" t="s">
        <v>101</v>
      </c>
      <c r="BK397" t="s">
        <v>4821</v>
      </c>
      <c r="BL397" t="s">
        <v>7592</v>
      </c>
      <c r="BM397" t="s">
        <v>7593</v>
      </c>
      <c r="BN397" t="s">
        <v>4063</v>
      </c>
    </row>
    <row r="398" spans="1:66" x14ac:dyDescent="0.25">
      <c r="A398" t="str">
        <f>HYPERLINK("https://elite.finviz.com/quote.ashx?t=NBY&amp;ty=c&amp;p=d&amp;b=1", "NBY")</f>
        <v>NBY</v>
      </c>
      <c r="B398">
        <v>7</v>
      </c>
      <c r="C398">
        <v>138.38</v>
      </c>
      <c r="D398">
        <v>51.95</v>
      </c>
      <c r="E398" t="s">
        <v>7594</v>
      </c>
      <c r="F398" t="s">
        <v>107</v>
      </c>
      <c r="G398" t="s">
        <v>428</v>
      </c>
      <c r="H398" t="s">
        <v>429</v>
      </c>
      <c r="I398" t="s">
        <v>70</v>
      </c>
      <c r="J398" t="s">
        <v>383</v>
      </c>
      <c r="K398">
        <v>12.62</v>
      </c>
      <c r="L398">
        <v>2.1</v>
      </c>
      <c r="M398" t="s">
        <v>5257</v>
      </c>
      <c r="N398">
        <v>82333</v>
      </c>
      <c r="R398">
        <v>2.66</v>
      </c>
      <c r="S398">
        <v>2.89</v>
      </c>
      <c r="V398" t="s">
        <v>198</v>
      </c>
      <c r="AA398">
        <v>-1.86</v>
      </c>
      <c r="AB398" t="s">
        <v>7595</v>
      </c>
      <c r="AC398" t="s">
        <v>7596</v>
      </c>
      <c r="AE398" t="s">
        <v>7597</v>
      </c>
      <c r="AF398" t="s">
        <v>7598</v>
      </c>
      <c r="AG398" t="s">
        <v>3672</v>
      </c>
      <c r="AH398" t="s">
        <v>579</v>
      </c>
      <c r="AI398" t="s">
        <v>7599</v>
      </c>
      <c r="AJ398" t="s">
        <v>7600</v>
      </c>
      <c r="AK398" t="s">
        <v>7601</v>
      </c>
      <c r="AL398">
        <v>2.85</v>
      </c>
      <c r="AM398">
        <v>2.63</v>
      </c>
      <c r="AN398">
        <v>0.24</v>
      </c>
      <c r="AO398" t="s">
        <v>7602</v>
      </c>
      <c r="AP398" t="s">
        <v>7603</v>
      </c>
      <c r="AQ398" t="s">
        <v>7604</v>
      </c>
      <c r="AR398" t="s">
        <v>7605</v>
      </c>
      <c r="AS398" t="s">
        <v>1508</v>
      </c>
      <c r="AT398" t="s">
        <v>3010</v>
      </c>
      <c r="AU398" t="s">
        <v>3134</v>
      </c>
      <c r="AV398" t="s">
        <v>7606</v>
      </c>
      <c r="AW398" t="s">
        <v>7607</v>
      </c>
      <c r="AX398" t="s">
        <v>3608</v>
      </c>
      <c r="AY398" t="s">
        <v>7607</v>
      </c>
      <c r="AZ398" t="s">
        <v>7608</v>
      </c>
      <c r="BA398">
        <v>1</v>
      </c>
      <c r="BB398">
        <v>6864.11</v>
      </c>
      <c r="BC398">
        <v>0.04</v>
      </c>
      <c r="BD398">
        <v>2.14</v>
      </c>
      <c r="BE398">
        <v>2.15</v>
      </c>
      <c r="BF398">
        <v>2.0699999999999998</v>
      </c>
      <c r="BG398" t="s">
        <v>7609</v>
      </c>
      <c r="BH398" t="s">
        <v>579</v>
      </c>
      <c r="BI398" t="s">
        <v>7610</v>
      </c>
      <c r="BJ398" t="s">
        <v>101</v>
      </c>
      <c r="BK398" t="s">
        <v>7611</v>
      </c>
      <c r="BL398" t="s">
        <v>7612</v>
      </c>
      <c r="BM398" t="s">
        <v>7613</v>
      </c>
      <c r="BN398" t="s">
        <v>4063</v>
      </c>
    </row>
    <row r="399" spans="1:66" x14ac:dyDescent="0.25">
      <c r="A399" t="str">
        <f>HYPERLINK("https://elite.finviz.com/quote.ashx?t=OLLI&amp;ty=c&amp;p=d&amp;b=1", "OLLI")</f>
        <v>OLLI</v>
      </c>
      <c r="B399">
        <v>7</v>
      </c>
      <c r="C399">
        <v>138.38</v>
      </c>
      <c r="D399">
        <v>51.95</v>
      </c>
      <c r="E399" t="s">
        <v>7614</v>
      </c>
      <c r="F399" t="s">
        <v>107</v>
      </c>
      <c r="G399" t="s">
        <v>2244</v>
      </c>
      <c r="H399" t="s">
        <v>7615</v>
      </c>
      <c r="I399" t="s">
        <v>70</v>
      </c>
      <c r="J399" t="s">
        <v>321</v>
      </c>
      <c r="K399">
        <v>8233.65</v>
      </c>
      <c r="L399">
        <v>134.29</v>
      </c>
      <c r="M399" t="s">
        <v>4801</v>
      </c>
      <c r="N399">
        <v>133984</v>
      </c>
      <c r="O399">
        <v>38.92</v>
      </c>
      <c r="P399">
        <v>30.13</v>
      </c>
      <c r="Q399">
        <v>2.5099999999999998</v>
      </c>
      <c r="R399">
        <v>3.37</v>
      </c>
      <c r="S399">
        <v>4.6100000000000003</v>
      </c>
      <c r="Z399" t="s">
        <v>164</v>
      </c>
      <c r="AA399">
        <v>3.45</v>
      </c>
      <c r="AB399" t="s">
        <v>6876</v>
      </c>
      <c r="AC399" t="s">
        <v>7616</v>
      </c>
      <c r="AD399" t="s">
        <v>7617</v>
      </c>
      <c r="AE399" t="s">
        <v>4852</v>
      </c>
      <c r="AF399" t="s">
        <v>3648</v>
      </c>
      <c r="AG399" t="s">
        <v>6876</v>
      </c>
      <c r="AH399" t="s">
        <v>7618</v>
      </c>
      <c r="AI399" t="s">
        <v>954</v>
      </c>
      <c r="AJ399" t="s">
        <v>7619</v>
      </c>
      <c r="AK399" t="s">
        <v>7620</v>
      </c>
      <c r="AL399">
        <v>2.63</v>
      </c>
      <c r="AM399">
        <v>0.9</v>
      </c>
      <c r="AN399">
        <v>0.37</v>
      </c>
      <c r="AO399" t="s">
        <v>803</v>
      </c>
      <c r="AP399" t="s">
        <v>5127</v>
      </c>
      <c r="AQ399" t="s">
        <v>776</v>
      </c>
      <c r="AR399" t="s">
        <v>2361</v>
      </c>
      <c r="AS399" t="s">
        <v>3542</v>
      </c>
      <c r="AT399" t="s">
        <v>4552</v>
      </c>
      <c r="AU399" t="s">
        <v>822</v>
      </c>
      <c r="AV399" t="s">
        <v>2169</v>
      </c>
      <c r="AW399" t="s">
        <v>7621</v>
      </c>
      <c r="AX399" t="s">
        <v>7622</v>
      </c>
      <c r="AY399" t="s">
        <v>7621</v>
      </c>
      <c r="AZ399" t="s">
        <v>4249</v>
      </c>
      <c r="BA399">
        <v>1.71</v>
      </c>
      <c r="BB399">
        <v>1031.6500000000001</v>
      </c>
      <c r="BC399">
        <v>0.46</v>
      </c>
      <c r="BD399">
        <v>133.65</v>
      </c>
      <c r="BE399">
        <v>134.36000000000001</v>
      </c>
      <c r="BF399">
        <v>132.55000000000001</v>
      </c>
      <c r="BG399" t="s">
        <v>7623</v>
      </c>
      <c r="BH399" t="s">
        <v>7621</v>
      </c>
      <c r="BI399" t="s">
        <v>7624</v>
      </c>
      <c r="BJ399" t="s">
        <v>101</v>
      </c>
      <c r="BK399" t="s">
        <v>273</v>
      </c>
      <c r="BL399" t="s">
        <v>7625</v>
      </c>
      <c r="BM399" t="s">
        <v>7626</v>
      </c>
      <c r="BN399" t="s">
        <v>4063</v>
      </c>
    </row>
    <row r="400" spans="1:66" x14ac:dyDescent="0.25">
      <c r="A400" t="str">
        <f>HYPERLINK("https://elite.finviz.com/quote.ashx?t=DLO&amp;ty=c&amp;p=d&amp;b=1", "DLO")</f>
        <v>DLO</v>
      </c>
      <c r="B400">
        <v>7</v>
      </c>
      <c r="C400">
        <v>138.38</v>
      </c>
      <c r="D400">
        <v>51.98</v>
      </c>
      <c r="E400" t="s">
        <v>7627</v>
      </c>
      <c r="F400" t="s">
        <v>107</v>
      </c>
      <c r="G400" t="s">
        <v>108</v>
      </c>
      <c r="H400" t="s">
        <v>109</v>
      </c>
      <c r="I400" t="s">
        <v>70</v>
      </c>
      <c r="J400" t="s">
        <v>321</v>
      </c>
      <c r="K400">
        <v>4232.63</v>
      </c>
      <c r="L400">
        <v>14.17</v>
      </c>
      <c r="M400" t="s">
        <v>5809</v>
      </c>
      <c r="N400">
        <v>621056</v>
      </c>
      <c r="O400">
        <v>27.91</v>
      </c>
      <c r="P400">
        <v>17.11</v>
      </c>
      <c r="Q400">
        <v>0.74</v>
      </c>
      <c r="R400">
        <v>4.9000000000000004</v>
      </c>
      <c r="S400">
        <v>9.0299999999999994</v>
      </c>
      <c r="T400" t="s">
        <v>2424</v>
      </c>
      <c r="V400" t="s">
        <v>7628</v>
      </c>
      <c r="Z400" t="s">
        <v>164</v>
      </c>
      <c r="AA400">
        <v>0.51</v>
      </c>
      <c r="AB400" t="s">
        <v>7629</v>
      </c>
      <c r="AC400" t="s">
        <v>4175</v>
      </c>
      <c r="AD400" t="s">
        <v>6711</v>
      </c>
      <c r="AE400" t="s">
        <v>3533</v>
      </c>
      <c r="AF400" t="s">
        <v>564</v>
      </c>
      <c r="AG400" t="s">
        <v>7630</v>
      </c>
      <c r="AH400" t="s">
        <v>413</v>
      </c>
      <c r="AI400" t="s">
        <v>7631</v>
      </c>
      <c r="AJ400" t="s">
        <v>164</v>
      </c>
      <c r="AK400" t="s">
        <v>2629</v>
      </c>
      <c r="AL400">
        <v>1.46</v>
      </c>
      <c r="AM400">
        <v>1.46</v>
      </c>
      <c r="AN400">
        <v>0.14000000000000001</v>
      </c>
      <c r="AO400" t="s">
        <v>7632</v>
      </c>
      <c r="AP400" t="s">
        <v>2825</v>
      </c>
      <c r="AQ400" t="s">
        <v>3199</v>
      </c>
      <c r="AR400" t="s">
        <v>1981</v>
      </c>
      <c r="AS400" t="s">
        <v>4795</v>
      </c>
      <c r="AT400" t="s">
        <v>3752</v>
      </c>
      <c r="AU400" t="s">
        <v>2093</v>
      </c>
      <c r="AV400" t="s">
        <v>7633</v>
      </c>
      <c r="AW400" t="s">
        <v>7634</v>
      </c>
      <c r="AX400" t="s">
        <v>7635</v>
      </c>
      <c r="AY400" t="s">
        <v>7634</v>
      </c>
      <c r="AZ400" t="s">
        <v>7636</v>
      </c>
      <c r="BA400">
        <v>2.2000000000000002</v>
      </c>
      <c r="BB400">
        <v>2390.35</v>
      </c>
      <c r="BC400">
        <v>0.92</v>
      </c>
      <c r="BD400">
        <v>14.51</v>
      </c>
      <c r="BE400">
        <v>14.74</v>
      </c>
      <c r="BF400">
        <v>14</v>
      </c>
      <c r="BG400" t="s">
        <v>7637</v>
      </c>
      <c r="BH400" t="s">
        <v>7638</v>
      </c>
      <c r="BI400" t="s">
        <v>7639</v>
      </c>
      <c r="BJ400" t="s">
        <v>101</v>
      </c>
      <c r="BK400" t="s">
        <v>7640</v>
      </c>
      <c r="BL400" t="s">
        <v>5412</v>
      </c>
      <c r="BM400" t="s">
        <v>7641</v>
      </c>
      <c r="BN400" t="s">
        <v>4063</v>
      </c>
    </row>
    <row r="401" spans="1:66" x14ac:dyDescent="0.25">
      <c r="A401" t="str">
        <f>HYPERLINK("https://elite.finviz.com/quote.ashx?t=MO&amp;ty=c&amp;p=d&amp;b=1", "MO")</f>
        <v>MO</v>
      </c>
      <c r="B401">
        <v>7</v>
      </c>
      <c r="C401">
        <v>138.38</v>
      </c>
      <c r="D401">
        <v>51.98</v>
      </c>
      <c r="E401" t="s">
        <v>7642</v>
      </c>
      <c r="F401" t="s">
        <v>195</v>
      </c>
      <c r="G401" t="s">
        <v>2244</v>
      </c>
      <c r="H401" t="s">
        <v>7643</v>
      </c>
      <c r="I401" t="s">
        <v>70</v>
      </c>
      <c r="J401" t="s">
        <v>71</v>
      </c>
      <c r="K401">
        <v>109990.86</v>
      </c>
      <c r="L401">
        <v>65.47</v>
      </c>
      <c r="M401" t="s">
        <v>3112</v>
      </c>
      <c r="N401">
        <v>1497753</v>
      </c>
      <c r="O401">
        <v>12.65</v>
      </c>
      <c r="P401">
        <v>11.69</v>
      </c>
      <c r="Q401">
        <v>2.94</v>
      </c>
      <c r="R401">
        <v>5.43</v>
      </c>
      <c r="T401" t="s">
        <v>6684</v>
      </c>
      <c r="U401">
        <v>4.12</v>
      </c>
      <c r="V401" t="s">
        <v>3833</v>
      </c>
      <c r="W401" t="s">
        <v>2841</v>
      </c>
      <c r="X401" t="s">
        <v>3520</v>
      </c>
      <c r="Y401" t="s">
        <v>3469</v>
      </c>
      <c r="Z401" t="s">
        <v>7644</v>
      </c>
      <c r="AA401">
        <v>5.17</v>
      </c>
      <c r="AB401" t="s">
        <v>7645</v>
      </c>
      <c r="AD401" t="s">
        <v>1449</v>
      </c>
      <c r="AE401" t="s">
        <v>2906</v>
      </c>
      <c r="AF401" t="s">
        <v>7646</v>
      </c>
      <c r="AG401" t="s">
        <v>227</v>
      </c>
      <c r="AH401" t="s">
        <v>4266</v>
      </c>
      <c r="AI401" t="s">
        <v>122</v>
      </c>
      <c r="AJ401" t="s">
        <v>164</v>
      </c>
      <c r="AK401" t="s">
        <v>7647</v>
      </c>
      <c r="AL401">
        <v>0.39</v>
      </c>
      <c r="AM401">
        <v>0.24</v>
      </c>
      <c r="AO401" t="s">
        <v>7648</v>
      </c>
      <c r="AP401" t="s">
        <v>7649</v>
      </c>
      <c r="AQ401" t="s">
        <v>1117</v>
      </c>
      <c r="AR401" t="s">
        <v>6336</v>
      </c>
      <c r="AS401" t="s">
        <v>3551</v>
      </c>
      <c r="AT401" t="s">
        <v>124</v>
      </c>
      <c r="AU401" t="s">
        <v>3257</v>
      </c>
      <c r="AV401" t="s">
        <v>2891</v>
      </c>
      <c r="AW401" t="s">
        <v>4274</v>
      </c>
      <c r="AX401" t="s">
        <v>7650</v>
      </c>
      <c r="AY401" t="s">
        <v>4274</v>
      </c>
      <c r="AZ401" t="s">
        <v>363</v>
      </c>
      <c r="BA401">
        <v>2.82</v>
      </c>
      <c r="BB401">
        <v>8599.4599999999991</v>
      </c>
      <c r="BC401">
        <v>0.61</v>
      </c>
      <c r="BD401">
        <v>65.19</v>
      </c>
      <c r="BE401">
        <v>65.819999999999993</v>
      </c>
      <c r="BF401">
        <v>65.239999999999995</v>
      </c>
      <c r="BG401" t="s">
        <v>7651</v>
      </c>
      <c r="BH401" t="s">
        <v>7652</v>
      </c>
      <c r="BI401" t="s">
        <v>7653</v>
      </c>
      <c r="BJ401" t="s">
        <v>101</v>
      </c>
      <c r="BK401" t="s">
        <v>7654</v>
      </c>
      <c r="BL401" t="s">
        <v>7655</v>
      </c>
      <c r="BM401" t="s">
        <v>7656</v>
      </c>
      <c r="BN401" t="s">
        <v>4063</v>
      </c>
    </row>
    <row r="402" spans="1:66" x14ac:dyDescent="0.25">
      <c r="A402" t="str">
        <f>HYPERLINK("https://elite.finviz.com/quote.ashx?t=JEF&amp;ty=c&amp;p=d&amp;b=1", "JEF")</f>
        <v>JEF</v>
      </c>
      <c r="B402">
        <v>7</v>
      </c>
      <c r="C402">
        <v>138.38</v>
      </c>
      <c r="D402">
        <v>52</v>
      </c>
      <c r="E402" t="s">
        <v>7657</v>
      </c>
      <c r="F402" t="s">
        <v>107</v>
      </c>
      <c r="G402" t="s">
        <v>550</v>
      </c>
      <c r="H402" t="s">
        <v>551</v>
      </c>
      <c r="I402" t="s">
        <v>70</v>
      </c>
      <c r="J402" t="s">
        <v>71</v>
      </c>
      <c r="K402">
        <v>13550.54</v>
      </c>
      <c r="L402">
        <v>65.69</v>
      </c>
      <c r="M402" t="s">
        <v>1445</v>
      </c>
      <c r="N402">
        <v>210994</v>
      </c>
      <c r="O402">
        <v>24.9</v>
      </c>
      <c r="P402">
        <v>15.37</v>
      </c>
      <c r="Q402">
        <v>1.04</v>
      </c>
      <c r="R402">
        <v>1.5</v>
      </c>
      <c r="S402">
        <v>1.31</v>
      </c>
      <c r="T402" t="s">
        <v>4547</v>
      </c>
      <c r="U402">
        <v>1.55</v>
      </c>
      <c r="V402" t="s">
        <v>1440</v>
      </c>
      <c r="W402" t="s">
        <v>5658</v>
      </c>
      <c r="X402" t="s">
        <v>1470</v>
      </c>
      <c r="Y402" t="s">
        <v>729</v>
      </c>
      <c r="Z402" t="s">
        <v>7658</v>
      </c>
      <c r="AA402">
        <v>2.64</v>
      </c>
      <c r="AB402" t="s">
        <v>2588</v>
      </c>
      <c r="AC402" t="s">
        <v>386</v>
      </c>
      <c r="AD402" t="s">
        <v>7659</v>
      </c>
      <c r="AE402" t="s">
        <v>1457</v>
      </c>
      <c r="AF402" t="s">
        <v>3334</v>
      </c>
      <c r="AG402" t="s">
        <v>5057</v>
      </c>
      <c r="AH402" t="s">
        <v>2353</v>
      </c>
      <c r="AI402" t="s">
        <v>2632</v>
      </c>
      <c r="AJ402" t="s">
        <v>164</v>
      </c>
      <c r="AK402" t="s">
        <v>1118</v>
      </c>
      <c r="AL402">
        <v>1.55</v>
      </c>
      <c r="AM402">
        <v>1.55</v>
      </c>
      <c r="AN402">
        <v>3.32</v>
      </c>
      <c r="AO402" t="s">
        <v>4974</v>
      </c>
      <c r="AP402" t="s">
        <v>7222</v>
      </c>
      <c r="AQ402" t="s">
        <v>2772</v>
      </c>
      <c r="AR402" t="s">
        <v>2522</v>
      </c>
      <c r="AS402" t="s">
        <v>648</v>
      </c>
      <c r="AT402" t="s">
        <v>530</v>
      </c>
      <c r="AU402" t="s">
        <v>3733</v>
      </c>
      <c r="AV402" t="s">
        <v>223</v>
      </c>
      <c r="AW402" t="s">
        <v>6757</v>
      </c>
      <c r="AX402" t="s">
        <v>5691</v>
      </c>
      <c r="AY402" t="s">
        <v>5629</v>
      </c>
      <c r="AZ402" t="s">
        <v>7660</v>
      </c>
      <c r="BA402">
        <v>2.6</v>
      </c>
      <c r="BB402">
        <v>1601.81</v>
      </c>
      <c r="BC402">
        <v>0.46</v>
      </c>
      <c r="BD402">
        <v>65.930000000000007</v>
      </c>
      <c r="BE402">
        <v>66.849999999999994</v>
      </c>
      <c r="BF402">
        <v>65.63</v>
      </c>
      <c r="BG402" t="s">
        <v>7661</v>
      </c>
      <c r="BH402" t="s">
        <v>5629</v>
      </c>
      <c r="BI402" t="s">
        <v>7662</v>
      </c>
      <c r="BJ402" t="s">
        <v>101</v>
      </c>
      <c r="BK402" t="s">
        <v>7663</v>
      </c>
      <c r="BL402" t="s">
        <v>3373</v>
      </c>
      <c r="BM402" t="s">
        <v>2316</v>
      </c>
      <c r="BN402" t="s">
        <v>4063</v>
      </c>
    </row>
    <row r="403" spans="1:66" x14ac:dyDescent="0.25">
      <c r="A403" t="str">
        <f>HYPERLINK("https://elite.finviz.com/quote.ashx?t=ACRS&amp;ty=c&amp;p=d&amp;b=1", "ACRS")</f>
        <v>ACRS</v>
      </c>
      <c r="B403">
        <v>7</v>
      </c>
      <c r="C403">
        <v>138.38</v>
      </c>
      <c r="D403">
        <v>52.02</v>
      </c>
      <c r="E403" t="s">
        <v>7664</v>
      </c>
      <c r="F403" t="s">
        <v>67</v>
      </c>
      <c r="G403" t="s">
        <v>428</v>
      </c>
      <c r="H403" t="s">
        <v>429</v>
      </c>
      <c r="I403" t="s">
        <v>70</v>
      </c>
      <c r="J403" t="s">
        <v>321</v>
      </c>
      <c r="K403">
        <v>205.91</v>
      </c>
      <c r="L403">
        <v>1.9</v>
      </c>
      <c r="M403" t="s">
        <v>3487</v>
      </c>
      <c r="N403">
        <v>183610</v>
      </c>
      <c r="R403">
        <v>12.26</v>
      </c>
      <c r="S403">
        <v>1.56</v>
      </c>
      <c r="AA403">
        <v>-1.37</v>
      </c>
      <c r="AB403" t="s">
        <v>6256</v>
      </c>
      <c r="AC403" t="s">
        <v>2415</v>
      </c>
      <c r="AD403" t="s">
        <v>6374</v>
      </c>
      <c r="AE403" t="s">
        <v>7665</v>
      </c>
      <c r="AF403" t="s">
        <v>5314</v>
      </c>
      <c r="AG403" t="s">
        <v>7666</v>
      </c>
      <c r="AH403" t="s">
        <v>7667</v>
      </c>
      <c r="AI403" t="s">
        <v>3544</v>
      </c>
      <c r="AJ403" t="s">
        <v>164</v>
      </c>
      <c r="AK403" t="s">
        <v>7668</v>
      </c>
      <c r="AL403">
        <v>3.88</v>
      </c>
      <c r="AM403">
        <v>3.88</v>
      </c>
      <c r="AN403">
        <v>0.02</v>
      </c>
      <c r="AO403" t="s">
        <v>7669</v>
      </c>
      <c r="AP403" t="s">
        <v>7670</v>
      </c>
      <c r="AQ403" t="s">
        <v>7671</v>
      </c>
      <c r="AR403" t="s">
        <v>4742</v>
      </c>
      <c r="AS403" t="s">
        <v>1496</v>
      </c>
      <c r="AT403" t="s">
        <v>3315</v>
      </c>
      <c r="AU403" t="s">
        <v>2777</v>
      </c>
      <c r="AV403" t="s">
        <v>170</v>
      </c>
      <c r="AW403" t="s">
        <v>7672</v>
      </c>
      <c r="AX403" t="s">
        <v>7673</v>
      </c>
      <c r="AY403" t="s">
        <v>7674</v>
      </c>
      <c r="AZ403" t="s">
        <v>7675</v>
      </c>
      <c r="BA403">
        <v>1.29</v>
      </c>
      <c r="BB403">
        <v>1200.5999999999999</v>
      </c>
      <c r="BC403">
        <v>0.54</v>
      </c>
      <c r="BD403">
        <v>1.87</v>
      </c>
      <c r="BE403">
        <v>1.95</v>
      </c>
      <c r="BF403">
        <v>1.89</v>
      </c>
      <c r="BG403" t="s">
        <v>7676</v>
      </c>
      <c r="BH403" t="s">
        <v>7677</v>
      </c>
      <c r="BI403" t="s">
        <v>7678</v>
      </c>
      <c r="BJ403" t="s">
        <v>101</v>
      </c>
      <c r="BK403" t="s">
        <v>2165</v>
      </c>
      <c r="BL403" t="s">
        <v>1005</v>
      </c>
      <c r="BM403" t="s">
        <v>7679</v>
      </c>
      <c r="BN403" t="s">
        <v>4063</v>
      </c>
    </row>
    <row r="404" spans="1:66" x14ac:dyDescent="0.25">
      <c r="A404" t="str">
        <f>HYPERLINK("https://elite.finviz.com/quote.ashx?t=CRH&amp;ty=c&amp;p=d&amp;b=1", "CRH")</f>
        <v>CRH</v>
      </c>
      <c r="B404">
        <v>7</v>
      </c>
      <c r="C404">
        <v>138.38</v>
      </c>
      <c r="D404">
        <v>52.02</v>
      </c>
      <c r="E404" t="s">
        <v>7680</v>
      </c>
      <c r="F404" t="s">
        <v>107</v>
      </c>
      <c r="G404" t="s">
        <v>355</v>
      </c>
      <c r="H404" t="s">
        <v>7681</v>
      </c>
      <c r="I404" t="s">
        <v>70</v>
      </c>
      <c r="J404" t="s">
        <v>71</v>
      </c>
      <c r="K404">
        <v>75248.25</v>
      </c>
      <c r="L404">
        <v>111.87</v>
      </c>
      <c r="M404" t="s">
        <v>4539</v>
      </c>
      <c r="N404">
        <v>906133</v>
      </c>
      <c r="O404">
        <v>23.38</v>
      </c>
      <c r="P404">
        <v>18.02</v>
      </c>
      <c r="Q404">
        <v>2.85</v>
      </c>
      <c r="R404">
        <v>2.0699999999999998</v>
      </c>
      <c r="S404">
        <v>3.37</v>
      </c>
      <c r="T404" t="s">
        <v>5692</v>
      </c>
      <c r="U404">
        <v>1.46</v>
      </c>
      <c r="V404" t="s">
        <v>4186</v>
      </c>
      <c r="W404" t="s">
        <v>5980</v>
      </c>
      <c r="X404" t="s">
        <v>7682</v>
      </c>
      <c r="Y404" t="s">
        <v>2093</v>
      </c>
      <c r="Z404" t="s">
        <v>5891</v>
      </c>
      <c r="AA404">
        <v>4.78</v>
      </c>
      <c r="AB404" t="s">
        <v>7683</v>
      </c>
      <c r="AC404" t="s">
        <v>7684</v>
      </c>
      <c r="AD404" t="s">
        <v>2861</v>
      </c>
      <c r="AE404" t="s">
        <v>4324</v>
      </c>
      <c r="AF404" t="s">
        <v>506</v>
      </c>
      <c r="AG404" t="s">
        <v>1950</v>
      </c>
      <c r="AH404" t="s">
        <v>7685</v>
      </c>
      <c r="AI404" t="s">
        <v>1083</v>
      </c>
      <c r="AJ404" t="s">
        <v>6162</v>
      </c>
      <c r="AK404" t="s">
        <v>7686</v>
      </c>
      <c r="AL404">
        <v>1.74</v>
      </c>
      <c r="AM404">
        <v>1.1599999999999999</v>
      </c>
      <c r="AN404">
        <v>0.77</v>
      </c>
      <c r="AO404" t="s">
        <v>7687</v>
      </c>
      <c r="AP404" t="s">
        <v>1161</v>
      </c>
      <c r="AQ404" t="s">
        <v>7567</v>
      </c>
      <c r="AR404" t="s">
        <v>4276</v>
      </c>
      <c r="AS404" t="s">
        <v>4267</v>
      </c>
      <c r="AT404" t="s">
        <v>1714</v>
      </c>
      <c r="AU404" t="s">
        <v>2493</v>
      </c>
      <c r="AV404" t="s">
        <v>7688</v>
      </c>
      <c r="AW404" t="s">
        <v>7689</v>
      </c>
      <c r="AX404" t="s">
        <v>2999</v>
      </c>
      <c r="AY404" t="s">
        <v>7689</v>
      </c>
      <c r="AZ404" t="s">
        <v>7690</v>
      </c>
      <c r="BA404">
        <v>1.48</v>
      </c>
      <c r="BB404">
        <v>4084.4</v>
      </c>
      <c r="BC404">
        <v>0.78</v>
      </c>
      <c r="BD404">
        <v>111.78</v>
      </c>
      <c r="BE404">
        <v>113.38</v>
      </c>
      <c r="BF404">
        <v>111.62</v>
      </c>
      <c r="BG404" t="s">
        <v>7691</v>
      </c>
      <c r="BH404" t="s">
        <v>7689</v>
      </c>
      <c r="BI404" t="s">
        <v>7692</v>
      </c>
      <c r="BJ404" t="s">
        <v>101</v>
      </c>
      <c r="BK404" t="s">
        <v>5614</v>
      </c>
      <c r="BL404" t="s">
        <v>6414</v>
      </c>
      <c r="BM404" t="s">
        <v>7693</v>
      </c>
      <c r="BN404" t="s">
        <v>4063</v>
      </c>
    </row>
    <row r="405" spans="1:66" x14ac:dyDescent="0.25">
      <c r="A405" t="str">
        <f>HYPERLINK("https://elite.finviz.com/quote.ashx?t=RYN&amp;ty=c&amp;p=d&amp;b=1", "RYN")</f>
        <v>RYN</v>
      </c>
      <c r="B405">
        <v>7</v>
      </c>
      <c r="C405">
        <v>138.38</v>
      </c>
      <c r="D405">
        <v>52.03</v>
      </c>
      <c r="E405" t="s">
        <v>7694</v>
      </c>
      <c r="F405" t="s">
        <v>107</v>
      </c>
      <c r="G405" t="s">
        <v>68</v>
      </c>
      <c r="H405" t="s">
        <v>7227</v>
      </c>
      <c r="I405" t="s">
        <v>70</v>
      </c>
      <c r="J405" t="s">
        <v>71</v>
      </c>
      <c r="K405">
        <v>4022.09</v>
      </c>
      <c r="L405">
        <v>26.09</v>
      </c>
      <c r="M405" t="s">
        <v>2571</v>
      </c>
      <c r="N405">
        <v>89148</v>
      </c>
      <c r="O405">
        <v>11.14</v>
      </c>
      <c r="P405">
        <v>50.17</v>
      </c>
      <c r="Q405">
        <v>1.19</v>
      </c>
      <c r="R405">
        <v>3.62</v>
      </c>
      <c r="S405">
        <v>1.75</v>
      </c>
      <c r="T405" t="s">
        <v>454</v>
      </c>
      <c r="U405">
        <v>0.82</v>
      </c>
      <c r="V405" t="s">
        <v>5925</v>
      </c>
      <c r="W405" t="s">
        <v>164</v>
      </c>
      <c r="X405" t="s">
        <v>1303</v>
      </c>
      <c r="Y405" t="s">
        <v>581</v>
      </c>
      <c r="Z405" t="s">
        <v>7695</v>
      </c>
      <c r="AA405">
        <v>2.34</v>
      </c>
      <c r="AB405" t="s">
        <v>7696</v>
      </c>
      <c r="AC405" t="s">
        <v>7697</v>
      </c>
      <c r="AD405" t="s">
        <v>3146</v>
      </c>
      <c r="AE405" t="s">
        <v>7698</v>
      </c>
      <c r="AF405" t="s">
        <v>7699</v>
      </c>
      <c r="AG405" t="s">
        <v>709</v>
      </c>
      <c r="AH405" t="s">
        <v>7700</v>
      </c>
      <c r="AI405" t="s">
        <v>5155</v>
      </c>
      <c r="AJ405" t="s">
        <v>164</v>
      </c>
      <c r="AK405" t="s">
        <v>7701</v>
      </c>
      <c r="AL405">
        <v>3.5</v>
      </c>
      <c r="AM405">
        <v>3.04</v>
      </c>
      <c r="AN405">
        <v>0.46</v>
      </c>
      <c r="AO405" t="s">
        <v>7702</v>
      </c>
      <c r="AP405" t="s">
        <v>7703</v>
      </c>
      <c r="AQ405" t="s">
        <v>785</v>
      </c>
      <c r="AR405" t="s">
        <v>7423</v>
      </c>
      <c r="AS405" t="s">
        <v>7338</v>
      </c>
      <c r="AT405" t="s">
        <v>171</v>
      </c>
      <c r="AU405" t="s">
        <v>5420</v>
      </c>
      <c r="AV405" t="s">
        <v>2892</v>
      </c>
      <c r="AW405" t="s">
        <v>815</v>
      </c>
      <c r="AX405" t="s">
        <v>1959</v>
      </c>
      <c r="AY405" t="s">
        <v>7704</v>
      </c>
      <c r="AZ405" t="s">
        <v>5540</v>
      </c>
      <c r="BA405">
        <v>2.5</v>
      </c>
      <c r="BB405">
        <v>1129.7</v>
      </c>
      <c r="BC405">
        <v>0.28000000000000003</v>
      </c>
      <c r="BD405">
        <v>25.94</v>
      </c>
      <c r="BE405">
        <v>26.23</v>
      </c>
      <c r="BF405">
        <v>25.96</v>
      </c>
      <c r="BG405" t="s">
        <v>7705</v>
      </c>
      <c r="BH405" t="s">
        <v>4338</v>
      </c>
      <c r="BI405" t="s">
        <v>7706</v>
      </c>
      <c r="BJ405" t="s">
        <v>101</v>
      </c>
      <c r="BK405" t="s">
        <v>2663</v>
      </c>
      <c r="BL405" t="s">
        <v>7300</v>
      </c>
      <c r="BM405" t="s">
        <v>7707</v>
      </c>
      <c r="BN405" t="s">
        <v>4063</v>
      </c>
    </row>
    <row r="406" spans="1:66" x14ac:dyDescent="0.25">
      <c r="A406" t="str">
        <f>HYPERLINK("https://elite.finviz.com/quote.ashx?t=REXR&amp;ty=c&amp;p=d&amp;b=1", "REXR")</f>
        <v>REXR</v>
      </c>
      <c r="B406">
        <v>7</v>
      </c>
      <c r="C406">
        <v>138.38</v>
      </c>
      <c r="D406">
        <v>52.05</v>
      </c>
      <c r="E406" t="s">
        <v>7708</v>
      </c>
      <c r="F406" t="s">
        <v>107</v>
      </c>
      <c r="G406" t="s">
        <v>68</v>
      </c>
      <c r="H406" t="s">
        <v>6342</v>
      </c>
      <c r="I406" t="s">
        <v>70</v>
      </c>
      <c r="J406" t="s">
        <v>71</v>
      </c>
      <c r="K406">
        <v>9840.82</v>
      </c>
      <c r="L406">
        <v>41.58</v>
      </c>
      <c r="M406" t="s">
        <v>7709</v>
      </c>
      <c r="N406">
        <v>199954</v>
      </c>
      <c r="O406">
        <v>30.93</v>
      </c>
      <c r="P406">
        <v>35.6</v>
      </c>
      <c r="Q406">
        <v>6.71</v>
      </c>
      <c r="R406">
        <v>10.01</v>
      </c>
      <c r="S406">
        <v>1.1299999999999999</v>
      </c>
      <c r="T406" t="s">
        <v>2484</v>
      </c>
      <c r="U406">
        <v>1.69</v>
      </c>
      <c r="V406" t="s">
        <v>198</v>
      </c>
      <c r="W406" t="s">
        <v>7288</v>
      </c>
      <c r="X406" t="s">
        <v>7710</v>
      </c>
      <c r="Y406" t="s">
        <v>7711</v>
      </c>
      <c r="Z406" t="s">
        <v>7712</v>
      </c>
      <c r="AA406">
        <v>1.34</v>
      </c>
      <c r="AB406" t="s">
        <v>4108</v>
      </c>
      <c r="AC406" t="s">
        <v>4554</v>
      </c>
      <c r="AD406" t="s">
        <v>1872</v>
      </c>
      <c r="AE406" t="s">
        <v>2338</v>
      </c>
      <c r="AF406" t="s">
        <v>7713</v>
      </c>
      <c r="AG406" t="s">
        <v>4928</v>
      </c>
      <c r="AH406" t="s">
        <v>3343</v>
      </c>
      <c r="AI406" t="s">
        <v>7714</v>
      </c>
      <c r="AJ406" t="s">
        <v>3704</v>
      </c>
      <c r="AK406" t="s">
        <v>7715</v>
      </c>
      <c r="AL406">
        <v>1.1000000000000001</v>
      </c>
      <c r="AM406">
        <v>1.1000000000000001</v>
      </c>
      <c r="AN406">
        <v>0.39</v>
      </c>
      <c r="AO406" t="s">
        <v>5784</v>
      </c>
      <c r="AP406" t="s">
        <v>7716</v>
      </c>
      <c r="AQ406" t="s">
        <v>7717</v>
      </c>
      <c r="AR406" t="s">
        <v>5116</v>
      </c>
      <c r="AS406" t="s">
        <v>910</v>
      </c>
      <c r="AT406" t="s">
        <v>5895</v>
      </c>
      <c r="AU406" t="s">
        <v>5969</v>
      </c>
      <c r="AV406" t="s">
        <v>5557</v>
      </c>
      <c r="AW406" t="s">
        <v>3577</v>
      </c>
      <c r="AX406" t="s">
        <v>7718</v>
      </c>
      <c r="AY406" t="s">
        <v>7719</v>
      </c>
      <c r="AZ406" t="s">
        <v>7720</v>
      </c>
      <c r="BA406">
        <v>2.35</v>
      </c>
      <c r="BB406">
        <v>2847.49</v>
      </c>
      <c r="BC406">
        <v>0.25</v>
      </c>
      <c r="BD406">
        <v>41.59</v>
      </c>
      <c r="BE406">
        <v>41.88</v>
      </c>
      <c r="BF406">
        <v>41.53</v>
      </c>
      <c r="BG406" t="s">
        <v>7721</v>
      </c>
      <c r="BH406" t="s">
        <v>7722</v>
      </c>
      <c r="BI406" t="s">
        <v>7723</v>
      </c>
      <c r="BJ406" t="s">
        <v>101</v>
      </c>
      <c r="BK406" t="s">
        <v>7724</v>
      </c>
      <c r="BL406" t="s">
        <v>4690</v>
      </c>
      <c r="BM406" t="s">
        <v>638</v>
      </c>
      <c r="BN406" t="s">
        <v>4063</v>
      </c>
    </row>
    <row r="407" spans="1:66" x14ac:dyDescent="0.25">
      <c r="A407" t="str">
        <f>HYPERLINK("https://elite.finviz.com/quote.ashx?t=DOCN&amp;ty=c&amp;p=d&amp;b=1", "DOCN")</f>
        <v>DOCN</v>
      </c>
      <c r="B407">
        <v>7</v>
      </c>
      <c r="C407">
        <v>138.38</v>
      </c>
      <c r="D407">
        <v>52.09</v>
      </c>
      <c r="E407" t="s">
        <v>7725</v>
      </c>
      <c r="F407" t="s">
        <v>67</v>
      </c>
      <c r="G407" t="s">
        <v>108</v>
      </c>
      <c r="H407" t="s">
        <v>109</v>
      </c>
      <c r="I407" t="s">
        <v>70</v>
      </c>
      <c r="J407" t="s">
        <v>71</v>
      </c>
      <c r="K407">
        <v>3177.21</v>
      </c>
      <c r="L407">
        <v>34.9</v>
      </c>
      <c r="M407" t="s">
        <v>2059</v>
      </c>
      <c r="N407">
        <v>679760</v>
      </c>
      <c r="O407">
        <v>27.41</v>
      </c>
      <c r="P407">
        <v>16.420000000000002</v>
      </c>
      <c r="Q407">
        <v>3.2</v>
      </c>
      <c r="R407">
        <v>3.82</v>
      </c>
      <c r="Z407" t="s">
        <v>164</v>
      </c>
      <c r="AA407">
        <v>1.27</v>
      </c>
      <c r="AD407" t="s">
        <v>2053</v>
      </c>
      <c r="AE407" t="s">
        <v>973</v>
      </c>
      <c r="AF407" t="s">
        <v>7726</v>
      </c>
      <c r="AG407" t="s">
        <v>7244</v>
      </c>
      <c r="AH407" t="s">
        <v>7727</v>
      </c>
      <c r="AI407" t="s">
        <v>7728</v>
      </c>
      <c r="AJ407" t="s">
        <v>2226</v>
      </c>
      <c r="AK407" t="s">
        <v>846</v>
      </c>
      <c r="AL407">
        <v>2.27</v>
      </c>
      <c r="AM407">
        <v>2.27</v>
      </c>
      <c r="AO407" t="s">
        <v>7729</v>
      </c>
      <c r="AP407" t="s">
        <v>1552</v>
      </c>
      <c r="AQ407" t="s">
        <v>2018</v>
      </c>
      <c r="AR407" t="s">
        <v>5497</v>
      </c>
      <c r="AS407" t="s">
        <v>5467</v>
      </c>
      <c r="AT407" t="s">
        <v>2402</v>
      </c>
      <c r="AU407" t="s">
        <v>7511</v>
      </c>
      <c r="AV407" t="s">
        <v>2721</v>
      </c>
      <c r="AW407" t="s">
        <v>503</v>
      </c>
      <c r="AX407" t="s">
        <v>1093</v>
      </c>
      <c r="AY407" t="s">
        <v>1978</v>
      </c>
      <c r="AZ407" t="s">
        <v>5601</v>
      </c>
      <c r="BA407">
        <v>1.92</v>
      </c>
      <c r="BB407">
        <v>2619.67</v>
      </c>
      <c r="BC407">
        <v>0.91</v>
      </c>
      <c r="BD407">
        <v>35.130000000000003</v>
      </c>
      <c r="BE407">
        <v>35.29</v>
      </c>
      <c r="BF407">
        <v>34.74</v>
      </c>
      <c r="BG407" t="s">
        <v>7730</v>
      </c>
      <c r="BH407" t="s">
        <v>7731</v>
      </c>
      <c r="BI407" t="s">
        <v>7732</v>
      </c>
      <c r="BJ407" t="s">
        <v>101</v>
      </c>
      <c r="BK407" t="s">
        <v>7733</v>
      </c>
      <c r="BL407" t="s">
        <v>789</v>
      </c>
      <c r="BM407" t="s">
        <v>6482</v>
      </c>
      <c r="BN407" t="s">
        <v>4063</v>
      </c>
    </row>
    <row r="408" spans="1:66" x14ac:dyDescent="0.25">
      <c r="A408" t="str">
        <f>HYPERLINK("https://elite.finviz.com/quote.ashx?t=PLD&amp;ty=c&amp;p=d&amp;b=1", "PLD")</f>
        <v>PLD</v>
      </c>
      <c r="B408">
        <v>7</v>
      </c>
      <c r="C408">
        <v>138.38</v>
      </c>
      <c r="D408">
        <v>52.14</v>
      </c>
      <c r="E408" t="s">
        <v>7734</v>
      </c>
      <c r="F408" t="s">
        <v>195</v>
      </c>
      <c r="G408" t="s">
        <v>68</v>
      </c>
      <c r="H408" t="s">
        <v>6342</v>
      </c>
      <c r="I408" t="s">
        <v>70</v>
      </c>
      <c r="J408" t="s">
        <v>71</v>
      </c>
      <c r="K408">
        <v>107419.17</v>
      </c>
      <c r="L408">
        <v>113.01</v>
      </c>
      <c r="M408" t="s">
        <v>2906</v>
      </c>
      <c r="N408">
        <v>335960</v>
      </c>
      <c r="O408">
        <v>30.79</v>
      </c>
      <c r="P408">
        <v>38.65</v>
      </c>
      <c r="R408">
        <v>12.55</v>
      </c>
      <c r="S408">
        <v>1.99</v>
      </c>
      <c r="T408" t="s">
        <v>975</v>
      </c>
      <c r="U408">
        <v>3.99</v>
      </c>
      <c r="V408" t="s">
        <v>5925</v>
      </c>
      <c r="W408" t="s">
        <v>4288</v>
      </c>
      <c r="X408" t="s">
        <v>7735</v>
      </c>
      <c r="Y408" t="s">
        <v>5224</v>
      </c>
      <c r="Z408" t="s">
        <v>7736</v>
      </c>
      <c r="AA408">
        <v>3.67</v>
      </c>
      <c r="AB408" t="s">
        <v>6829</v>
      </c>
      <c r="AC408" t="s">
        <v>7512</v>
      </c>
      <c r="AD408" t="s">
        <v>4234</v>
      </c>
      <c r="AE408" t="s">
        <v>3468</v>
      </c>
      <c r="AF408" t="s">
        <v>767</v>
      </c>
      <c r="AG408" t="s">
        <v>3413</v>
      </c>
      <c r="AH408" t="s">
        <v>2192</v>
      </c>
      <c r="AI408" t="s">
        <v>7737</v>
      </c>
      <c r="AJ408" t="s">
        <v>3999</v>
      </c>
      <c r="AK408" t="s">
        <v>7738</v>
      </c>
      <c r="AL408">
        <v>0.35</v>
      </c>
      <c r="AM408">
        <v>0.35</v>
      </c>
      <c r="AN408">
        <v>0.67</v>
      </c>
      <c r="AO408" t="s">
        <v>7739</v>
      </c>
      <c r="AP408" t="s">
        <v>7740</v>
      </c>
      <c r="AQ408" t="s">
        <v>7741</v>
      </c>
      <c r="AR408" t="s">
        <v>1760</v>
      </c>
      <c r="AS408" t="s">
        <v>4267</v>
      </c>
      <c r="AT408" t="s">
        <v>6871</v>
      </c>
      <c r="AU408" t="s">
        <v>1776</v>
      </c>
      <c r="AV408" t="s">
        <v>862</v>
      </c>
      <c r="AW408" t="s">
        <v>7742</v>
      </c>
      <c r="AX408" t="s">
        <v>2886</v>
      </c>
      <c r="AY408" t="s">
        <v>2375</v>
      </c>
      <c r="AZ408" t="s">
        <v>2476</v>
      </c>
      <c r="BA408">
        <v>1.88</v>
      </c>
      <c r="BB408">
        <v>3862.52</v>
      </c>
      <c r="BC408">
        <v>0.31</v>
      </c>
      <c r="BD408">
        <v>113.21</v>
      </c>
      <c r="BE408">
        <v>113.79</v>
      </c>
      <c r="BF408">
        <v>112.9</v>
      </c>
      <c r="BG408" t="s">
        <v>7743</v>
      </c>
      <c r="BH408" t="s">
        <v>7744</v>
      </c>
      <c r="BI408" t="s">
        <v>7745</v>
      </c>
      <c r="BJ408" t="s">
        <v>101</v>
      </c>
      <c r="BK408" t="s">
        <v>7010</v>
      </c>
      <c r="BL408" t="s">
        <v>5968</v>
      </c>
      <c r="BM408" t="s">
        <v>7746</v>
      </c>
      <c r="BN408" t="s">
        <v>4063</v>
      </c>
    </row>
    <row r="409" spans="1:66" x14ac:dyDescent="0.25">
      <c r="A409" t="str">
        <f>HYPERLINK("https://elite.finviz.com/quote.ashx?t=GTN&amp;ty=c&amp;p=d&amp;b=1", "GTN")</f>
        <v>GTN</v>
      </c>
      <c r="B409">
        <v>7</v>
      </c>
      <c r="C409">
        <v>138.38</v>
      </c>
      <c r="D409">
        <v>52.16</v>
      </c>
      <c r="E409" t="s">
        <v>7747</v>
      </c>
      <c r="F409" t="s">
        <v>67</v>
      </c>
      <c r="G409" t="s">
        <v>598</v>
      </c>
      <c r="H409" t="s">
        <v>4546</v>
      </c>
      <c r="I409" t="s">
        <v>70</v>
      </c>
      <c r="J409" t="s">
        <v>71</v>
      </c>
      <c r="K409">
        <v>626.59</v>
      </c>
      <c r="L409">
        <v>5.76</v>
      </c>
      <c r="M409" t="s">
        <v>6192</v>
      </c>
      <c r="N409">
        <v>219454</v>
      </c>
      <c r="O409">
        <v>3.82</v>
      </c>
      <c r="P409">
        <v>2.3199999999999998</v>
      </c>
      <c r="R409">
        <v>0.18</v>
      </c>
      <c r="S409">
        <v>0.27</v>
      </c>
      <c r="T409" t="s">
        <v>892</v>
      </c>
      <c r="U409">
        <v>0.32</v>
      </c>
      <c r="V409" t="s">
        <v>3833</v>
      </c>
      <c r="W409" t="s">
        <v>164</v>
      </c>
      <c r="X409" t="s">
        <v>164</v>
      </c>
      <c r="Z409" t="s">
        <v>2200</v>
      </c>
      <c r="AA409">
        <v>1.51</v>
      </c>
      <c r="AB409" t="s">
        <v>7748</v>
      </c>
      <c r="AC409" t="s">
        <v>7749</v>
      </c>
      <c r="AE409" t="s">
        <v>4913</v>
      </c>
      <c r="AF409" t="s">
        <v>6184</v>
      </c>
      <c r="AG409" t="s">
        <v>1532</v>
      </c>
      <c r="AH409" t="s">
        <v>7750</v>
      </c>
      <c r="AI409" t="s">
        <v>7751</v>
      </c>
      <c r="AJ409" t="s">
        <v>3227</v>
      </c>
      <c r="AK409" t="s">
        <v>7752</v>
      </c>
      <c r="AL409">
        <v>0.87</v>
      </c>
      <c r="AM409">
        <v>0.86</v>
      </c>
      <c r="AN409">
        <v>2</v>
      </c>
      <c r="AO409" t="s">
        <v>1860</v>
      </c>
      <c r="AP409" t="s">
        <v>2556</v>
      </c>
      <c r="AQ409" t="s">
        <v>2841</v>
      </c>
      <c r="AR409" t="s">
        <v>5331</v>
      </c>
      <c r="AS409" t="s">
        <v>3443</v>
      </c>
      <c r="AT409" t="s">
        <v>530</v>
      </c>
      <c r="AU409" t="s">
        <v>6527</v>
      </c>
      <c r="AV409" t="s">
        <v>7753</v>
      </c>
      <c r="AW409" t="s">
        <v>7754</v>
      </c>
      <c r="AX409" t="s">
        <v>7755</v>
      </c>
      <c r="AY409" t="s">
        <v>7754</v>
      </c>
      <c r="AZ409" t="s">
        <v>7756</v>
      </c>
      <c r="BA409">
        <v>2</v>
      </c>
      <c r="BB409">
        <v>1476.29</v>
      </c>
      <c r="BC409">
        <v>0.52</v>
      </c>
      <c r="BD409">
        <v>5.76</v>
      </c>
      <c r="BE409">
        <v>5.83</v>
      </c>
      <c r="BF409">
        <v>5.71</v>
      </c>
      <c r="BG409" t="s">
        <v>7757</v>
      </c>
      <c r="BH409" t="s">
        <v>7758</v>
      </c>
      <c r="BI409" t="s">
        <v>7759</v>
      </c>
      <c r="BJ409" t="s">
        <v>101</v>
      </c>
      <c r="BK409" t="s">
        <v>1045</v>
      </c>
      <c r="BL409" t="s">
        <v>4418</v>
      </c>
      <c r="BM409" t="s">
        <v>7760</v>
      </c>
      <c r="BN409" t="s">
        <v>4063</v>
      </c>
    </row>
    <row r="410" spans="1:66" x14ac:dyDescent="0.25">
      <c r="A410" t="str">
        <f>HYPERLINK("https://elite.finviz.com/quote.ashx?t=NXDR&amp;ty=c&amp;p=d&amp;b=1", "NXDR")</f>
        <v>NXDR</v>
      </c>
      <c r="B410">
        <v>7</v>
      </c>
      <c r="C410">
        <v>138.38</v>
      </c>
      <c r="D410">
        <v>52.22</v>
      </c>
      <c r="E410" t="s">
        <v>7761</v>
      </c>
      <c r="F410" t="s">
        <v>67</v>
      </c>
      <c r="G410" t="s">
        <v>598</v>
      </c>
      <c r="H410" t="s">
        <v>599</v>
      </c>
      <c r="I410" t="s">
        <v>70</v>
      </c>
      <c r="J410" t="s">
        <v>71</v>
      </c>
      <c r="K410">
        <v>819.05</v>
      </c>
      <c r="L410">
        <v>2.12</v>
      </c>
      <c r="M410" t="s">
        <v>2760</v>
      </c>
      <c r="N410">
        <v>194890</v>
      </c>
      <c r="R410">
        <v>3.27</v>
      </c>
      <c r="S410">
        <v>1.89</v>
      </c>
      <c r="AA410">
        <v>-0.17</v>
      </c>
      <c r="AB410" t="s">
        <v>5312</v>
      </c>
      <c r="AC410" t="s">
        <v>5976</v>
      </c>
      <c r="AD410" t="s">
        <v>3522</v>
      </c>
      <c r="AE410" t="s">
        <v>3305</v>
      </c>
      <c r="AF410" t="s">
        <v>2192</v>
      </c>
      <c r="AG410" t="s">
        <v>7762</v>
      </c>
      <c r="AH410" t="s">
        <v>205</v>
      </c>
      <c r="AI410" t="s">
        <v>7763</v>
      </c>
      <c r="AJ410" t="s">
        <v>3752</v>
      </c>
      <c r="AK410" t="s">
        <v>2702</v>
      </c>
      <c r="AL410">
        <v>13.66</v>
      </c>
      <c r="AM410">
        <v>13.66</v>
      </c>
      <c r="AN410">
        <v>0.09</v>
      </c>
      <c r="AO410" t="s">
        <v>7764</v>
      </c>
      <c r="AP410" t="s">
        <v>7765</v>
      </c>
      <c r="AQ410" t="s">
        <v>7766</v>
      </c>
      <c r="AR410" t="s">
        <v>169</v>
      </c>
      <c r="AS410" t="s">
        <v>5554</v>
      </c>
      <c r="AT410" t="s">
        <v>4699</v>
      </c>
      <c r="AU410" t="s">
        <v>7767</v>
      </c>
      <c r="AV410" t="s">
        <v>7387</v>
      </c>
      <c r="AW410" t="s">
        <v>2454</v>
      </c>
      <c r="AX410" t="s">
        <v>7768</v>
      </c>
      <c r="AY410" t="s">
        <v>5971</v>
      </c>
      <c r="AZ410" t="s">
        <v>1248</v>
      </c>
      <c r="BA410">
        <v>3</v>
      </c>
      <c r="BB410">
        <v>2289.38</v>
      </c>
      <c r="BC410">
        <v>0.3</v>
      </c>
      <c r="BD410">
        <v>2.12</v>
      </c>
      <c r="BE410">
        <v>2.16</v>
      </c>
      <c r="BF410">
        <v>2.11</v>
      </c>
      <c r="BG410" t="s">
        <v>7769</v>
      </c>
      <c r="BH410" t="s">
        <v>7770</v>
      </c>
      <c r="BI410" t="s">
        <v>7771</v>
      </c>
      <c r="BJ410" t="s">
        <v>101</v>
      </c>
      <c r="BK410" t="s">
        <v>7772</v>
      </c>
      <c r="BL410" t="s">
        <v>7773</v>
      </c>
      <c r="BM410" t="s">
        <v>7065</v>
      </c>
      <c r="BN410" t="s">
        <v>4063</v>
      </c>
    </row>
    <row r="411" spans="1:66" x14ac:dyDescent="0.25">
      <c r="A411" t="str">
        <f>HYPERLINK("https://elite.finviz.com/quote.ashx?t=TFC&amp;ty=c&amp;p=d&amp;b=1", "TFC")</f>
        <v>TFC</v>
      </c>
      <c r="B411">
        <v>7</v>
      </c>
      <c r="C411">
        <v>138.38</v>
      </c>
      <c r="D411">
        <v>52.4</v>
      </c>
      <c r="E411" t="s">
        <v>7774</v>
      </c>
      <c r="F411" t="s">
        <v>195</v>
      </c>
      <c r="G411" t="s">
        <v>550</v>
      </c>
      <c r="H411" t="s">
        <v>697</v>
      </c>
      <c r="I411" t="s">
        <v>70</v>
      </c>
      <c r="J411" t="s">
        <v>71</v>
      </c>
      <c r="K411">
        <v>58901.4</v>
      </c>
      <c r="L411">
        <v>45.68</v>
      </c>
      <c r="M411" t="s">
        <v>1842</v>
      </c>
      <c r="N411">
        <v>818761</v>
      </c>
      <c r="O411">
        <v>12.41</v>
      </c>
      <c r="P411">
        <v>10.34</v>
      </c>
      <c r="Q411">
        <v>0.92</v>
      </c>
      <c r="R411">
        <v>1.93</v>
      </c>
      <c r="S411">
        <v>1</v>
      </c>
      <c r="T411" t="s">
        <v>4052</v>
      </c>
      <c r="U411">
        <v>2.08</v>
      </c>
      <c r="V411" t="s">
        <v>1762</v>
      </c>
      <c r="W411" t="s">
        <v>164</v>
      </c>
      <c r="X411" t="s">
        <v>756</v>
      </c>
      <c r="Y411" t="s">
        <v>3433</v>
      </c>
      <c r="AA411">
        <v>3.68</v>
      </c>
      <c r="AD411" t="s">
        <v>7775</v>
      </c>
      <c r="AE411" t="s">
        <v>7776</v>
      </c>
      <c r="AF411" t="s">
        <v>2424</v>
      </c>
      <c r="AG411" t="s">
        <v>7777</v>
      </c>
      <c r="AH411" t="s">
        <v>7778</v>
      </c>
      <c r="AI411" t="s">
        <v>5195</v>
      </c>
      <c r="AJ411" t="s">
        <v>4886</v>
      </c>
      <c r="AK411" t="s">
        <v>7779</v>
      </c>
      <c r="AL411">
        <v>0.51</v>
      </c>
      <c r="AN411">
        <v>0.96</v>
      </c>
      <c r="AP411" t="s">
        <v>4424</v>
      </c>
      <c r="AQ411" t="s">
        <v>1305</v>
      </c>
      <c r="AR411" t="s">
        <v>1129</v>
      </c>
      <c r="AS411" t="s">
        <v>2424</v>
      </c>
      <c r="AT411" t="s">
        <v>1648</v>
      </c>
      <c r="AU411" t="s">
        <v>7780</v>
      </c>
      <c r="AV411" t="s">
        <v>2839</v>
      </c>
      <c r="AW411" t="s">
        <v>1269</v>
      </c>
      <c r="AX411" t="s">
        <v>7781</v>
      </c>
      <c r="AY411" t="s">
        <v>7782</v>
      </c>
      <c r="AZ411" t="s">
        <v>7783</v>
      </c>
      <c r="BA411">
        <v>2.38</v>
      </c>
      <c r="BB411">
        <v>7721.84</v>
      </c>
      <c r="BC411">
        <v>0.37</v>
      </c>
      <c r="BD411">
        <v>45.74</v>
      </c>
      <c r="BE411">
        <v>46.37</v>
      </c>
      <c r="BF411">
        <v>45.64</v>
      </c>
      <c r="BG411" t="s">
        <v>7784</v>
      </c>
      <c r="BH411" t="s">
        <v>7785</v>
      </c>
      <c r="BI411" t="s">
        <v>7786</v>
      </c>
      <c r="BJ411" t="s">
        <v>101</v>
      </c>
      <c r="BK411" t="s">
        <v>1507</v>
      </c>
      <c r="BL411" t="s">
        <v>4288</v>
      </c>
      <c r="BM411" t="s">
        <v>7781</v>
      </c>
      <c r="BN411" t="s">
        <v>4063</v>
      </c>
    </row>
    <row r="412" spans="1:66" x14ac:dyDescent="0.25">
      <c r="A412" t="str">
        <f>HYPERLINK("https://elite.finviz.com/quote.ashx?t=CIVI&amp;ty=c&amp;p=d&amp;b=1", "CIVI")</f>
        <v>CIVI</v>
      </c>
      <c r="B412">
        <v>7</v>
      </c>
      <c r="C412">
        <v>138.38</v>
      </c>
      <c r="D412">
        <v>52.42</v>
      </c>
      <c r="E412" t="s">
        <v>7787</v>
      </c>
      <c r="F412" t="s">
        <v>107</v>
      </c>
      <c r="G412" t="s">
        <v>1048</v>
      </c>
      <c r="H412" t="s">
        <v>1049</v>
      </c>
      <c r="I412" t="s">
        <v>70</v>
      </c>
      <c r="J412" t="s">
        <v>71</v>
      </c>
      <c r="K412">
        <v>3105.96</v>
      </c>
      <c r="L412">
        <v>33.520000000000003</v>
      </c>
      <c r="M412" t="s">
        <v>5084</v>
      </c>
      <c r="N412">
        <v>438499</v>
      </c>
      <c r="O412">
        <v>4.24</v>
      </c>
      <c r="P412">
        <v>6.91</v>
      </c>
      <c r="R412">
        <v>0.64</v>
      </c>
      <c r="S412">
        <v>0.46</v>
      </c>
      <c r="T412" t="s">
        <v>4742</v>
      </c>
      <c r="U412">
        <v>2</v>
      </c>
      <c r="V412" t="s">
        <v>7788</v>
      </c>
      <c r="W412" t="s">
        <v>164</v>
      </c>
      <c r="X412" t="s">
        <v>7789</v>
      </c>
      <c r="Z412" t="s">
        <v>7790</v>
      </c>
      <c r="AA412">
        <v>7.9</v>
      </c>
      <c r="AB412" t="s">
        <v>5664</v>
      </c>
      <c r="AC412" t="s">
        <v>3437</v>
      </c>
      <c r="AD412" t="s">
        <v>6002</v>
      </c>
      <c r="AE412" t="s">
        <v>6182</v>
      </c>
      <c r="AF412" t="s">
        <v>7791</v>
      </c>
      <c r="AG412" t="s">
        <v>7792</v>
      </c>
      <c r="AH412" t="s">
        <v>7793</v>
      </c>
      <c r="AI412" t="s">
        <v>7794</v>
      </c>
      <c r="AJ412" t="s">
        <v>3013</v>
      </c>
      <c r="AK412" t="s">
        <v>7795</v>
      </c>
      <c r="AL412">
        <v>0.62</v>
      </c>
      <c r="AM412">
        <v>0.62</v>
      </c>
      <c r="AN412">
        <v>0.79</v>
      </c>
      <c r="AO412" t="s">
        <v>7796</v>
      </c>
      <c r="AP412" t="s">
        <v>7797</v>
      </c>
      <c r="AQ412" t="s">
        <v>4153</v>
      </c>
      <c r="AR412" t="s">
        <v>4659</v>
      </c>
      <c r="AS412" t="s">
        <v>4530</v>
      </c>
      <c r="AT412" t="s">
        <v>7709</v>
      </c>
      <c r="AU412" t="s">
        <v>4499</v>
      </c>
      <c r="AV412" t="s">
        <v>4888</v>
      </c>
      <c r="AW412" t="s">
        <v>7798</v>
      </c>
      <c r="AX412" t="s">
        <v>6968</v>
      </c>
      <c r="AY412" t="s">
        <v>7799</v>
      </c>
      <c r="AZ412" t="s">
        <v>7800</v>
      </c>
      <c r="BA412">
        <v>2.16</v>
      </c>
      <c r="BB412">
        <v>2525.8000000000002</v>
      </c>
      <c r="BC412">
        <v>0.61</v>
      </c>
      <c r="BD412">
        <v>32.94</v>
      </c>
      <c r="BE412">
        <v>33.92</v>
      </c>
      <c r="BF412">
        <v>32.57</v>
      </c>
      <c r="BG412" t="s">
        <v>7801</v>
      </c>
      <c r="BH412" t="s">
        <v>7802</v>
      </c>
      <c r="BI412" t="s">
        <v>7803</v>
      </c>
      <c r="BJ412" t="s">
        <v>101</v>
      </c>
      <c r="BK412" t="s">
        <v>7804</v>
      </c>
      <c r="BL412" t="s">
        <v>6499</v>
      </c>
      <c r="BM412" t="s">
        <v>7805</v>
      </c>
      <c r="BN412" t="s">
        <v>4063</v>
      </c>
    </row>
    <row r="413" spans="1:66" x14ac:dyDescent="0.25">
      <c r="A413" t="str">
        <f>HYPERLINK("https://elite.finviz.com/quote.ashx?t=CHWY&amp;ty=c&amp;p=d&amp;b=1", "CHWY")</f>
        <v>CHWY</v>
      </c>
      <c r="B413">
        <v>7</v>
      </c>
      <c r="C413">
        <v>138.38</v>
      </c>
      <c r="D413">
        <v>52.45</v>
      </c>
      <c r="E413" t="s">
        <v>7806</v>
      </c>
      <c r="F413" t="s">
        <v>107</v>
      </c>
      <c r="G413" t="s">
        <v>813</v>
      </c>
      <c r="H413" t="s">
        <v>4388</v>
      </c>
      <c r="I413" t="s">
        <v>70</v>
      </c>
      <c r="J413" t="s">
        <v>71</v>
      </c>
      <c r="K413">
        <v>16252.65</v>
      </c>
      <c r="L413">
        <v>39.18</v>
      </c>
      <c r="M413" t="s">
        <v>203</v>
      </c>
      <c r="N413">
        <v>1963413</v>
      </c>
      <c r="O413">
        <v>110.55</v>
      </c>
      <c r="P413">
        <v>51.54</v>
      </c>
      <c r="Q413">
        <v>36.369999999999997</v>
      </c>
      <c r="R413">
        <v>1.32</v>
      </c>
      <c r="S413">
        <v>41.65</v>
      </c>
      <c r="Z413" t="s">
        <v>164</v>
      </c>
      <c r="AA413">
        <v>0.35</v>
      </c>
      <c r="AD413" t="s">
        <v>2624</v>
      </c>
      <c r="AE413" t="s">
        <v>1960</v>
      </c>
      <c r="AF413" t="s">
        <v>2085</v>
      </c>
      <c r="AG413" t="s">
        <v>7807</v>
      </c>
      <c r="AH413" t="s">
        <v>7616</v>
      </c>
      <c r="AI413" t="s">
        <v>7808</v>
      </c>
      <c r="AJ413" t="s">
        <v>5403</v>
      </c>
      <c r="AK413" t="s">
        <v>7809</v>
      </c>
      <c r="AL413">
        <v>0.81</v>
      </c>
      <c r="AM413">
        <v>0.41</v>
      </c>
      <c r="AN413">
        <v>1.36</v>
      </c>
      <c r="AO413" t="s">
        <v>7810</v>
      </c>
      <c r="AP413" t="s">
        <v>5692</v>
      </c>
      <c r="AQ413" t="s">
        <v>4552</v>
      </c>
      <c r="AR413" t="s">
        <v>4093</v>
      </c>
      <c r="AS413" t="s">
        <v>4956</v>
      </c>
      <c r="AT413" t="s">
        <v>1279</v>
      </c>
      <c r="AU413" t="s">
        <v>1761</v>
      </c>
      <c r="AV413" t="s">
        <v>4125</v>
      </c>
      <c r="AW413" t="s">
        <v>7811</v>
      </c>
      <c r="AX413" t="s">
        <v>3058</v>
      </c>
      <c r="AY413" t="s">
        <v>4740</v>
      </c>
      <c r="AZ413" t="s">
        <v>7812</v>
      </c>
      <c r="BA413">
        <v>1.62</v>
      </c>
      <c r="BB413">
        <v>7588.67</v>
      </c>
      <c r="BC413">
        <v>0.91</v>
      </c>
      <c r="BD413">
        <v>37.950000000000003</v>
      </c>
      <c r="BE413">
        <v>39.53</v>
      </c>
      <c r="BF413">
        <v>38.04</v>
      </c>
      <c r="BG413" t="s">
        <v>7813</v>
      </c>
      <c r="BH413" t="s">
        <v>7814</v>
      </c>
      <c r="BI413" t="s">
        <v>7815</v>
      </c>
      <c r="BJ413" t="s">
        <v>101</v>
      </c>
      <c r="BK413" t="s">
        <v>2488</v>
      </c>
      <c r="BL413" t="s">
        <v>3596</v>
      </c>
      <c r="BM413" t="s">
        <v>7816</v>
      </c>
      <c r="BN413" t="s">
        <v>4063</v>
      </c>
    </row>
    <row r="414" spans="1:66" x14ac:dyDescent="0.25">
      <c r="A414" t="str">
        <f>HYPERLINK("https://elite.finviz.com/quote.ashx?t=LWLG&amp;ty=c&amp;p=d&amp;b=1", "LWLG")</f>
        <v>LWLG</v>
      </c>
      <c r="B414">
        <v>7</v>
      </c>
      <c r="C414">
        <v>138.38</v>
      </c>
      <c r="D414">
        <v>52.46</v>
      </c>
      <c r="E414" t="s">
        <v>7817</v>
      </c>
      <c r="F414" t="s">
        <v>107</v>
      </c>
      <c r="G414" t="s">
        <v>355</v>
      </c>
      <c r="H414" t="s">
        <v>1147</v>
      </c>
      <c r="I414" t="s">
        <v>70</v>
      </c>
      <c r="J414" t="s">
        <v>321</v>
      </c>
      <c r="K414">
        <v>454.34</v>
      </c>
      <c r="L414">
        <v>3.51</v>
      </c>
      <c r="M414" t="s">
        <v>3995</v>
      </c>
      <c r="N414">
        <v>1137708</v>
      </c>
      <c r="R414">
        <v>5048.17</v>
      </c>
      <c r="S414">
        <v>15.39</v>
      </c>
      <c r="AA414">
        <v>-0.17</v>
      </c>
      <c r="AB414" t="s">
        <v>6597</v>
      </c>
      <c r="AC414" t="s">
        <v>7818</v>
      </c>
      <c r="AE414" t="s">
        <v>6459</v>
      </c>
      <c r="AH414" t="s">
        <v>7819</v>
      </c>
      <c r="AJ414" t="s">
        <v>164</v>
      </c>
      <c r="AK414" t="s">
        <v>2862</v>
      </c>
      <c r="AL414">
        <v>20.72</v>
      </c>
      <c r="AM414">
        <v>20.72</v>
      </c>
      <c r="AN414">
        <v>0.09</v>
      </c>
      <c r="AO414" t="s">
        <v>7820</v>
      </c>
      <c r="AP414" t="s">
        <v>7821</v>
      </c>
      <c r="AQ414" t="s">
        <v>7822</v>
      </c>
      <c r="AR414" t="s">
        <v>3798</v>
      </c>
      <c r="AS414" t="s">
        <v>5676</v>
      </c>
      <c r="AT414" t="s">
        <v>3112</v>
      </c>
      <c r="AU414" t="s">
        <v>6512</v>
      </c>
      <c r="AV414" t="s">
        <v>7823</v>
      </c>
      <c r="AW414" t="s">
        <v>7824</v>
      </c>
      <c r="AX414" t="s">
        <v>7825</v>
      </c>
      <c r="AY414" t="s">
        <v>7824</v>
      </c>
      <c r="AZ414" t="s">
        <v>7826</v>
      </c>
      <c r="BB414">
        <v>2287.08</v>
      </c>
      <c r="BC414">
        <v>1.75</v>
      </c>
      <c r="BD414">
        <v>3.93</v>
      </c>
      <c r="BE414">
        <v>4.0599999999999996</v>
      </c>
      <c r="BF414">
        <v>3.46</v>
      </c>
      <c r="BG414" t="s">
        <v>7827</v>
      </c>
      <c r="BH414" t="s">
        <v>7828</v>
      </c>
      <c r="BI414" t="s">
        <v>7829</v>
      </c>
      <c r="BJ414" t="s">
        <v>101</v>
      </c>
      <c r="BK414" t="s">
        <v>7830</v>
      </c>
      <c r="BL414" t="s">
        <v>7831</v>
      </c>
      <c r="BM414" t="s">
        <v>3840</v>
      </c>
      <c r="BN414" t="s">
        <v>4063</v>
      </c>
    </row>
    <row r="415" spans="1:66" x14ac:dyDescent="0.25">
      <c r="A415" t="str">
        <f>HYPERLINK("https://elite.finviz.com/quote.ashx?t=ATOS&amp;ty=c&amp;p=d&amp;b=1", "ATOS")</f>
        <v>ATOS</v>
      </c>
      <c r="B415">
        <v>7</v>
      </c>
      <c r="C415">
        <v>138.38</v>
      </c>
      <c r="D415">
        <v>52.48</v>
      </c>
      <c r="E415" t="s">
        <v>7832</v>
      </c>
      <c r="F415" t="s">
        <v>107</v>
      </c>
      <c r="G415" t="s">
        <v>428</v>
      </c>
      <c r="H415" t="s">
        <v>429</v>
      </c>
      <c r="I415" t="s">
        <v>70</v>
      </c>
      <c r="J415" t="s">
        <v>321</v>
      </c>
      <c r="K415">
        <v>106.36</v>
      </c>
      <c r="L415">
        <v>0.82</v>
      </c>
      <c r="M415" t="s">
        <v>969</v>
      </c>
      <c r="N415">
        <v>137666</v>
      </c>
      <c r="S415">
        <v>1.84</v>
      </c>
      <c r="AA415">
        <v>-0.22</v>
      </c>
      <c r="AB415" t="s">
        <v>5294</v>
      </c>
      <c r="AC415" t="s">
        <v>4560</v>
      </c>
      <c r="AD415" t="s">
        <v>7014</v>
      </c>
      <c r="AI415" t="s">
        <v>2930</v>
      </c>
      <c r="AJ415" t="s">
        <v>7833</v>
      </c>
      <c r="AK415" t="s">
        <v>7834</v>
      </c>
      <c r="AL415">
        <v>9.17</v>
      </c>
      <c r="AM415">
        <v>9.17</v>
      </c>
      <c r="AN415">
        <v>0</v>
      </c>
      <c r="AR415" t="s">
        <v>6459</v>
      </c>
      <c r="AS415" t="s">
        <v>2108</v>
      </c>
      <c r="AT415" t="s">
        <v>5692</v>
      </c>
      <c r="AU415" t="s">
        <v>4256</v>
      </c>
      <c r="AV415" t="s">
        <v>240</v>
      </c>
      <c r="AW415" t="s">
        <v>7835</v>
      </c>
      <c r="AX415" t="s">
        <v>920</v>
      </c>
      <c r="AY415" t="s">
        <v>7836</v>
      </c>
      <c r="AZ415" t="s">
        <v>7837</v>
      </c>
      <c r="BA415">
        <v>1</v>
      </c>
      <c r="BB415">
        <v>1075.32</v>
      </c>
      <c r="BC415">
        <v>0.45</v>
      </c>
      <c r="BD415">
        <v>0.82</v>
      </c>
      <c r="BE415">
        <v>0.83</v>
      </c>
      <c r="BF415">
        <v>0.81</v>
      </c>
      <c r="BG415" t="s">
        <v>7838</v>
      </c>
      <c r="BH415" t="s">
        <v>1194</v>
      </c>
      <c r="BI415" t="s">
        <v>7839</v>
      </c>
      <c r="BJ415" t="s">
        <v>101</v>
      </c>
      <c r="BK415" t="s">
        <v>4888</v>
      </c>
      <c r="BL415" t="s">
        <v>7055</v>
      </c>
      <c r="BM415" t="s">
        <v>7840</v>
      </c>
      <c r="BN415" t="s">
        <v>4063</v>
      </c>
    </row>
    <row r="416" spans="1:66" x14ac:dyDescent="0.25">
      <c r="A416" t="str">
        <f>HYPERLINK("https://elite.finviz.com/quote.ashx?t=EA&amp;ty=c&amp;p=d&amp;b=1", "EA")</f>
        <v>EA</v>
      </c>
      <c r="B416">
        <v>7</v>
      </c>
      <c r="C416">
        <v>138.38</v>
      </c>
      <c r="D416">
        <v>52.51</v>
      </c>
      <c r="E416" t="s">
        <v>7841</v>
      </c>
      <c r="F416" t="s">
        <v>319</v>
      </c>
      <c r="G416" t="s">
        <v>598</v>
      </c>
      <c r="H416" t="s">
        <v>7474</v>
      </c>
      <c r="I416" t="s">
        <v>70</v>
      </c>
      <c r="J416" t="s">
        <v>321</v>
      </c>
      <c r="K416">
        <v>42802.96</v>
      </c>
      <c r="L416">
        <v>171.07</v>
      </c>
      <c r="M416" t="s">
        <v>7423</v>
      </c>
      <c r="N416">
        <v>545999</v>
      </c>
      <c r="O416">
        <v>42.95</v>
      </c>
      <c r="P416">
        <v>18.71</v>
      </c>
      <c r="Q416">
        <v>3.17</v>
      </c>
      <c r="R416">
        <v>5.74</v>
      </c>
      <c r="S416">
        <v>7.06</v>
      </c>
      <c r="T416" t="s">
        <v>3000</v>
      </c>
      <c r="U416">
        <v>0.76</v>
      </c>
      <c r="V416" t="s">
        <v>7842</v>
      </c>
      <c r="W416" t="s">
        <v>164</v>
      </c>
      <c r="X416" t="s">
        <v>2108</v>
      </c>
      <c r="Z416" t="s">
        <v>3834</v>
      </c>
      <c r="AA416">
        <v>3.98</v>
      </c>
      <c r="AB416" t="s">
        <v>7843</v>
      </c>
      <c r="AC416" t="s">
        <v>7844</v>
      </c>
      <c r="AD416" t="s">
        <v>3259</v>
      </c>
      <c r="AE416" t="s">
        <v>4976</v>
      </c>
      <c r="AF416" t="s">
        <v>6151</v>
      </c>
      <c r="AG416" t="s">
        <v>463</v>
      </c>
      <c r="AH416" t="s">
        <v>3344</v>
      </c>
      <c r="AI416" t="s">
        <v>7845</v>
      </c>
      <c r="AJ416" t="s">
        <v>2003</v>
      </c>
      <c r="AK416" t="s">
        <v>6940</v>
      </c>
      <c r="AL416">
        <v>0.84</v>
      </c>
      <c r="AM416">
        <v>0.84</v>
      </c>
      <c r="AN416">
        <v>0.32</v>
      </c>
      <c r="AO416" t="s">
        <v>4574</v>
      </c>
      <c r="AP416" t="s">
        <v>7846</v>
      </c>
      <c r="AQ416" t="s">
        <v>1161</v>
      </c>
      <c r="AR416" t="s">
        <v>5420</v>
      </c>
      <c r="AS416" t="s">
        <v>1439</v>
      </c>
      <c r="AT416" t="s">
        <v>182</v>
      </c>
      <c r="AU416" t="s">
        <v>1933</v>
      </c>
      <c r="AV416" t="s">
        <v>7847</v>
      </c>
      <c r="AW416" t="s">
        <v>1929</v>
      </c>
      <c r="AX416" t="s">
        <v>2589</v>
      </c>
      <c r="AY416" t="s">
        <v>1929</v>
      </c>
      <c r="AZ416" t="s">
        <v>7848</v>
      </c>
      <c r="BA416">
        <v>2.23</v>
      </c>
      <c r="BB416">
        <v>2778.19</v>
      </c>
      <c r="BC416">
        <v>0.69</v>
      </c>
      <c r="BD416">
        <v>168.32</v>
      </c>
      <c r="BE416">
        <v>173</v>
      </c>
      <c r="BF416">
        <v>170.08</v>
      </c>
      <c r="BG416" t="s">
        <v>7849</v>
      </c>
      <c r="BH416" t="s">
        <v>1929</v>
      </c>
      <c r="BI416" t="s">
        <v>7850</v>
      </c>
      <c r="BJ416" t="s">
        <v>101</v>
      </c>
      <c r="BK416" t="s">
        <v>712</v>
      </c>
      <c r="BL416" t="s">
        <v>7851</v>
      </c>
      <c r="BM416" t="s">
        <v>7123</v>
      </c>
      <c r="BN416" t="s">
        <v>4063</v>
      </c>
    </row>
    <row r="417" spans="1:66" x14ac:dyDescent="0.25">
      <c r="A417" t="str">
        <f>HYPERLINK("https://elite.finviz.com/quote.ashx?t=EXPD&amp;ty=c&amp;p=d&amp;b=1", "EXPD")</f>
        <v>EXPD</v>
      </c>
      <c r="B417">
        <v>7</v>
      </c>
      <c r="C417">
        <v>138.38</v>
      </c>
      <c r="D417">
        <v>52.53</v>
      </c>
      <c r="E417" t="s">
        <v>7852</v>
      </c>
      <c r="F417" t="s">
        <v>195</v>
      </c>
      <c r="G417" t="s">
        <v>260</v>
      </c>
      <c r="H417" t="s">
        <v>7853</v>
      </c>
      <c r="I417" t="s">
        <v>70</v>
      </c>
      <c r="J417" t="s">
        <v>71</v>
      </c>
      <c r="K417">
        <v>16535.95</v>
      </c>
      <c r="L417">
        <v>121.84</v>
      </c>
      <c r="M417" t="s">
        <v>3336</v>
      </c>
      <c r="N417">
        <v>107786</v>
      </c>
      <c r="O417">
        <v>19.88</v>
      </c>
      <c r="P417">
        <v>21.69</v>
      </c>
      <c r="Q417">
        <v>12.35</v>
      </c>
      <c r="R417">
        <v>1.47</v>
      </c>
      <c r="S417">
        <v>7.5</v>
      </c>
      <c r="T417" t="s">
        <v>2650</v>
      </c>
      <c r="U417">
        <v>1.5</v>
      </c>
      <c r="V417" t="s">
        <v>3448</v>
      </c>
      <c r="W417" t="s">
        <v>3036</v>
      </c>
      <c r="X417" t="s">
        <v>7854</v>
      </c>
      <c r="Y417" t="s">
        <v>1090</v>
      </c>
      <c r="Z417" t="s">
        <v>7855</v>
      </c>
      <c r="AA417">
        <v>6.13</v>
      </c>
      <c r="AB417" t="s">
        <v>7856</v>
      </c>
      <c r="AC417" t="s">
        <v>847</v>
      </c>
      <c r="AD417" t="s">
        <v>6990</v>
      </c>
      <c r="AE417" t="s">
        <v>7139</v>
      </c>
      <c r="AF417" t="s">
        <v>7857</v>
      </c>
      <c r="AG417" t="s">
        <v>3066</v>
      </c>
      <c r="AH417" t="s">
        <v>7858</v>
      </c>
      <c r="AI417" t="s">
        <v>2816</v>
      </c>
      <c r="AJ417" t="s">
        <v>2109</v>
      </c>
      <c r="AK417" t="s">
        <v>7859</v>
      </c>
      <c r="AL417">
        <v>1.58</v>
      </c>
      <c r="AM417">
        <v>1.58</v>
      </c>
      <c r="AN417">
        <v>0.27</v>
      </c>
      <c r="AO417" t="s">
        <v>1629</v>
      </c>
      <c r="AP417" t="s">
        <v>7407</v>
      </c>
      <c r="AQ417" t="s">
        <v>2521</v>
      </c>
      <c r="AR417" t="s">
        <v>2201</v>
      </c>
      <c r="AS417" t="s">
        <v>5084</v>
      </c>
      <c r="AT417" t="s">
        <v>3752</v>
      </c>
      <c r="AU417" t="s">
        <v>5263</v>
      </c>
      <c r="AV417" t="s">
        <v>2064</v>
      </c>
      <c r="AW417" t="s">
        <v>6080</v>
      </c>
      <c r="AX417" t="s">
        <v>797</v>
      </c>
      <c r="AY417" t="s">
        <v>6043</v>
      </c>
      <c r="AZ417" t="s">
        <v>7601</v>
      </c>
      <c r="BA417">
        <v>3.78</v>
      </c>
      <c r="BB417">
        <v>1228.5899999999999</v>
      </c>
      <c r="BC417">
        <v>0.31</v>
      </c>
      <c r="BD417">
        <v>121.23</v>
      </c>
      <c r="BE417">
        <v>122.85</v>
      </c>
      <c r="BF417">
        <v>121.52</v>
      </c>
      <c r="BG417" t="s">
        <v>7860</v>
      </c>
      <c r="BH417" t="s">
        <v>7861</v>
      </c>
      <c r="BI417" t="s">
        <v>7862</v>
      </c>
      <c r="BJ417" t="s">
        <v>101</v>
      </c>
      <c r="BK417" t="s">
        <v>1496</v>
      </c>
      <c r="BL417" t="s">
        <v>2509</v>
      </c>
      <c r="BM417" t="s">
        <v>4893</v>
      </c>
      <c r="BN417" t="s">
        <v>4063</v>
      </c>
    </row>
    <row r="418" spans="1:66" x14ac:dyDescent="0.25">
      <c r="A418" t="str">
        <f>HYPERLINK("https://elite.finviz.com/quote.ashx?t=FHN&amp;ty=c&amp;p=d&amp;b=1", "FHN")</f>
        <v>FHN</v>
      </c>
      <c r="B418">
        <v>7</v>
      </c>
      <c r="C418">
        <v>138.38</v>
      </c>
      <c r="D418">
        <v>52.54</v>
      </c>
      <c r="E418" t="s">
        <v>7863</v>
      </c>
      <c r="F418" t="s">
        <v>107</v>
      </c>
      <c r="G418" t="s">
        <v>550</v>
      </c>
      <c r="H418" t="s">
        <v>697</v>
      </c>
      <c r="I418" t="s">
        <v>70</v>
      </c>
      <c r="J418" t="s">
        <v>71</v>
      </c>
      <c r="K418">
        <v>11506.02</v>
      </c>
      <c r="L418">
        <v>22.66</v>
      </c>
      <c r="M418" t="s">
        <v>164</v>
      </c>
      <c r="N418">
        <v>2060823</v>
      </c>
      <c r="O418">
        <v>14.62</v>
      </c>
      <c r="P418">
        <v>11.98</v>
      </c>
      <c r="Q418">
        <v>1.41</v>
      </c>
      <c r="R418">
        <v>2.35</v>
      </c>
      <c r="S418">
        <v>1.35</v>
      </c>
      <c r="T418" t="s">
        <v>213</v>
      </c>
      <c r="U418">
        <v>0.6</v>
      </c>
      <c r="V418" t="s">
        <v>2620</v>
      </c>
      <c r="W418" t="s">
        <v>164</v>
      </c>
      <c r="X418" t="s">
        <v>164</v>
      </c>
      <c r="Y418" t="s">
        <v>5058</v>
      </c>
      <c r="Z418" t="s">
        <v>7864</v>
      </c>
      <c r="AA418">
        <v>1.55</v>
      </c>
      <c r="AB418" t="s">
        <v>500</v>
      </c>
      <c r="AC418" t="s">
        <v>6871</v>
      </c>
      <c r="AD418" t="s">
        <v>2312</v>
      </c>
      <c r="AE418" t="s">
        <v>7865</v>
      </c>
      <c r="AF418" t="s">
        <v>7866</v>
      </c>
      <c r="AG418" t="s">
        <v>7486</v>
      </c>
      <c r="AH418" t="s">
        <v>1000</v>
      </c>
      <c r="AI418" t="s">
        <v>5389</v>
      </c>
      <c r="AJ418" t="s">
        <v>7867</v>
      </c>
      <c r="AK418" t="s">
        <v>7868</v>
      </c>
      <c r="AL418">
        <v>0.21</v>
      </c>
      <c r="AN418">
        <v>0.54</v>
      </c>
      <c r="AP418" t="s">
        <v>7869</v>
      </c>
      <c r="AQ418" t="s">
        <v>1001</v>
      </c>
      <c r="AR418" t="s">
        <v>1952</v>
      </c>
      <c r="AS418" t="s">
        <v>5263</v>
      </c>
      <c r="AT418" t="s">
        <v>183</v>
      </c>
      <c r="AU418" t="s">
        <v>3487</v>
      </c>
      <c r="AV418" t="s">
        <v>4852</v>
      </c>
      <c r="AW418" t="s">
        <v>7193</v>
      </c>
      <c r="AX418" t="s">
        <v>712</v>
      </c>
      <c r="AY418" t="s">
        <v>7193</v>
      </c>
      <c r="AZ418" t="s">
        <v>7870</v>
      </c>
      <c r="BA418">
        <v>2</v>
      </c>
      <c r="BB418">
        <v>9868.43</v>
      </c>
      <c r="BC418">
        <v>0.74</v>
      </c>
      <c r="BD418">
        <v>22.66</v>
      </c>
      <c r="BE418">
        <v>22.94</v>
      </c>
      <c r="BF418">
        <v>22.62</v>
      </c>
      <c r="BG418" t="s">
        <v>7871</v>
      </c>
      <c r="BH418" t="s">
        <v>7872</v>
      </c>
      <c r="BI418" t="s">
        <v>7873</v>
      </c>
      <c r="BJ418" t="s">
        <v>101</v>
      </c>
      <c r="BK418" t="s">
        <v>2450</v>
      </c>
      <c r="BL418" t="s">
        <v>7874</v>
      </c>
      <c r="BM418" t="s">
        <v>7875</v>
      </c>
      <c r="BN418" t="s">
        <v>4063</v>
      </c>
    </row>
    <row r="419" spans="1:66" x14ac:dyDescent="0.25">
      <c r="A419" t="str">
        <f>HYPERLINK("https://elite.finviz.com/quote.ashx?t=PRM&amp;ty=c&amp;p=d&amp;b=1", "PRM")</f>
        <v>PRM</v>
      </c>
      <c r="B419">
        <v>7</v>
      </c>
      <c r="C419">
        <v>138.38</v>
      </c>
      <c r="D419">
        <v>52.6</v>
      </c>
      <c r="E419" t="s">
        <v>7876</v>
      </c>
      <c r="F419" t="s">
        <v>67</v>
      </c>
      <c r="G419" t="s">
        <v>355</v>
      </c>
      <c r="H419" t="s">
        <v>1147</v>
      </c>
      <c r="I419" t="s">
        <v>70</v>
      </c>
      <c r="J419" t="s">
        <v>71</v>
      </c>
      <c r="K419">
        <v>3134.54</v>
      </c>
      <c r="L419">
        <v>21.4</v>
      </c>
      <c r="M419" t="s">
        <v>3112</v>
      </c>
      <c r="N419">
        <v>112008</v>
      </c>
      <c r="O419">
        <v>50.38</v>
      </c>
      <c r="P419">
        <v>17.87</v>
      </c>
      <c r="Q419">
        <v>12.14</v>
      </c>
      <c r="R419">
        <v>5.14</v>
      </c>
      <c r="S419">
        <v>2.65</v>
      </c>
      <c r="AA419">
        <v>0.42</v>
      </c>
      <c r="AB419" t="s">
        <v>7877</v>
      </c>
      <c r="AC419" t="s">
        <v>7878</v>
      </c>
      <c r="AD419" t="s">
        <v>4526</v>
      </c>
      <c r="AE419" t="s">
        <v>7879</v>
      </c>
      <c r="AF419" t="s">
        <v>5408</v>
      </c>
      <c r="AG419" t="s">
        <v>264</v>
      </c>
      <c r="AH419" t="s">
        <v>7880</v>
      </c>
      <c r="AI419" t="s">
        <v>7881</v>
      </c>
      <c r="AJ419" t="s">
        <v>3509</v>
      </c>
      <c r="AK419" t="s">
        <v>7882</v>
      </c>
      <c r="AL419">
        <v>4.04</v>
      </c>
      <c r="AM419">
        <v>2.6</v>
      </c>
      <c r="AN419">
        <v>0.7</v>
      </c>
      <c r="AO419" t="s">
        <v>1702</v>
      </c>
      <c r="AP419" t="s">
        <v>2291</v>
      </c>
      <c r="AQ419" t="s">
        <v>7883</v>
      </c>
      <c r="AR419" t="s">
        <v>4873</v>
      </c>
      <c r="AS419" t="s">
        <v>5369</v>
      </c>
      <c r="AT419" t="s">
        <v>7884</v>
      </c>
      <c r="AU419" t="s">
        <v>2210</v>
      </c>
      <c r="AV419" t="s">
        <v>7885</v>
      </c>
      <c r="AW419" t="s">
        <v>7886</v>
      </c>
      <c r="AX419" t="s">
        <v>7887</v>
      </c>
      <c r="AY419" t="s">
        <v>7886</v>
      </c>
      <c r="AZ419" t="s">
        <v>7888</v>
      </c>
      <c r="BA419">
        <v>1</v>
      </c>
      <c r="BB419">
        <v>1260.75</v>
      </c>
      <c r="BC419">
        <v>0.31</v>
      </c>
      <c r="BD419">
        <v>21.31</v>
      </c>
      <c r="BE419">
        <v>21.57</v>
      </c>
      <c r="BF419">
        <v>21.25</v>
      </c>
      <c r="BG419" t="s">
        <v>7889</v>
      </c>
      <c r="BH419" t="s">
        <v>7886</v>
      </c>
      <c r="BI419" t="s">
        <v>7890</v>
      </c>
      <c r="BJ419" t="s">
        <v>101</v>
      </c>
      <c r="BK419" t="s">
        <v>7891</v>
      </c>
      <c r="BL419" t="s">
        <v>7892</v>
      </c>
      <c r="BM419" t="s">
        <v>7893</v>
      </c>
      <c r="BN419" t="s">
        <v>4063</v>
      </c>
    </row>
    <row r="420" spans="1:66" x14ac:dyDescent="0.25">
      <c r="A420" t="str">
        <f>HYPERLINK("https://elite.finviz.com/quote.ashx?t=CADE&amp;ty=c&amp;p=d&amp;b=1", "CADE")</f>
        <v>CADE</v>
      </c>
      <c r="B420">
        <v>7</v>
      </c>
      <c r="C420">
        <v>138.38</v>
      </c>
      <c r="D420">
        <v>52.6</v>
      </c>
      <c r="E420" t="s">
        <v>7894</v>
      </c>
      <c r="F420" t="s">
        <v>67</v>
      </c>
      <c r="G420" t="s">
        <v>550</v>
      </c>
      <c r="H420" t="s">
        <v>697</v>
      </c>
      <c r="I420" t="s">
        <v>70</v>
      </c>
      <c r="J420" t="s">
        <v>71</v>
      </c>
      <c r="K420">
        <v>6792.95</v>
      </c>
      <c r="L420">
        <v>37.17</v>
      </c>
      <c r="M420" t="s">
        <v>580</v>
      </c>
      <c r="N420">
        <v>144999</v>
      </c>
      <c r="O420">
        <v>13.19</v>
      </c>
      <c r="P420">
        <v>10.56</v>
      </c>
      <c r="Q420">
        <v>0.99</v>
      </c>
      <c r="R420">
        <v>2.2999999999999998</v>
      </c>
      <c r="S420">
        <v>1.2</v>
      </c>
      <c r="T420" t="s">
        <v>2383</v>
      </c>
      <c r="U420">
        <v>1.08</v>
      </c>
      <c r="V420" t="s">
        <v>3833</v>
      </c>
      <c r="W420" t="s">
        <v>4476</v>
      </c>
      <c r="X420" t="s">
        <v>5864</v>
      </c>
      <c r="Y420" t="s">
        <v>906</v>
      </c>
      <c r="Z420" t="s">
        <v>7467</v>
      </c>
      <c r="AA420">
        <v>2.82</v>
      </c>
      <c r="AB420" t="s">
        <v>3291</v>
      </c>
      <c r="AC420" t="s">
        <v>2108</v>
      </c>
      <c r="AD420" t="s">
        <v>2685</v>
      </c>
      <c r="AE420" t="s">
        <v>1643</v>
      </c>
      <c r="AF420" t="s">
        <v>7895</v>
      </c>
      <c r="AG420" t="s">
        <v>5238</v>
      </c>
      <c r="AH420" t="s">
        <v>7270</v>
      </c>
      <c r="AI420" t="s">
        <v>1279</v>
      </c>
      <c r="AJ420" t="s">
        <v>164</v>
      </c>
      <c r="AK420" t="s">
        <v>7896</v>
      </c>
      <c r="AL420">
        <v>0.05</v>
      </c>
      <c r="AN420">
        <v>0.51</v>
      </c>
      <c r="AP420" t="s">
        <v>7897</v>
      </c>
      <c r="AQ420" t="s">
        <v>1325</v>
      </c>
      <c r="AR420" t="s">
        <v>6336</v>
      </c>
      <c r="AS420" t="s">
        <v>1129</v>
      </c>
      <c r="AT420" t="s">
        <v>1938</v>
      </c>
      <c r="AU420" t="s">
        <v>4800</v>
      </c>
      <c r="AV420" t="s">
        <v>5387</v>
      </c>
      <c r="AW420" t="s">
        <v>5061</v>
      </c>
      <c r="AX420" t="s">
        <v>7898</v>
      </c>
      <c r="AY420" t="s">
        <v>6757</v>
      </c>
      <c r="AZ420" t="s">
        <v>7899</v>
      </c>
      <c r="BA420">
        <v>1.75</v>
      </c>
      <c r="BB420">
        <v>1975.03</v>
      </c>
      <c r="BC420">
        <v>0.26</v>
      </c>
      <c r="BD420">
        <v>37.15</v>
      </c>
      <c r="BE420">
        <v>37.65</v>
      </c>
      <c r="BF420">
        <v>37.119999999999997</v>
      </c>
      <c r="BG420" t="s">
        <v>7900</v>
      </c>
      <c r="BH420" t="s">
        <v>6757</v>
      </c>
      <c r="BI420" t="s">
        <v>7901</v>
      </c>
      <c r="BJ420" t="s">
        <v>101</v>
      </c>
      <c r="BK420" t="s">
        <v>583</v>
      </c>
      <c r="BL420" t="s">
        <v>7902</v>
      </c>
      <c r="BM420" t="s">
        <v>7903</v>
      </c>
      <c r="BN420" t="s">
        <v>4063</v>
      </c>
    </row>
    <row r="421" spans="1:66" x14ac:dyDescent="0.25">
      <c r="A421" t="str">
        <f>HYPERLINK("https://elite.finviz.com/quote.ashx?t=FTAI&amp;ty=c&amp;p=d&amp;b=1", "FTAI")</f>
        <v>FTAI</v>
      </c>
      <c r="B421">
        <v>7</v>
      </c>
      <c r="C421">
        <v>138.38</v>
      </c>
      <c r="D421">
        <v>52.64</v>
      </c>
      <c r="E421" t="s">
        <v>7904</v>
      </c>
      <c r="F421" t="s">
        <v>107</v>
      </c>
      <c r="G421" t="s">
        <v>260</v>
      </c>
      <c r="H421" t="s">
        <v>7905</v>
      </c>
      <c r="I421" t="s">
        <v>70</v>
      </c>
      <c r="J421" t="s">
        <v>321</v>
      </c>
      <c r="K421">
        <v>17005.689999999999</v>
      </c>
      <c r="L421">
        <v>165.79</v>
      </c>
      <c r="M421" t="s">
        <v>2617</v>
      </c>
      <c r="N421">
        <v>273594</v>
      </c>
      <c r="O421">
        <v>41.12</v>
      </c>
      <c r="P421">
        <v>22.42</v>
      </c>
      <c r="R421">
        <v>7.89</v>
      </c>
      <c r="S421">
        <v>103.13</v>
      </c>
      <c r="T421" t="s">
        <v>3871</v>
      </c>
      <c r="U421">
        <v>1.2</v>
      </c>
      <c r="V421" t="s">
        <v>7906</v>
      </c>
      <c r="W421" t="s">
        <v>164</v>
      </c>
      <c r="X421" t="s">
        <v>7907</v>
      </c>
      <c r="Y421" t="s">
        <v>7808</v>
      </c>
      <c r="AA421">
        <v>4.03</v>
      </c>
      <c r="AB421" t="s">
        <v>7908</v>
      </c>
      <c r="AE421" t="s">
        <v>7909</v>
      </c>
      <c r="AF421" t="s">
        <v>7910</v>
      </c>
      <c r="AG421" t="s">
        <v>3623</v>
      </c>
      <c r="AH421" t="s">
        <v>4519</v>
      </c>
      <c r="AI421" t="s">
        <v>3514</v>
      </c>
      <c r="AJ421" t="s">
        <v>3047</v>
      </c>
      <c r="AK421" t="s">
        <v>7911</v>
      </c>
      <c r="AL421">
        <v>5.01</v>
      </c>
      <c r="AM421">
        <v>2.87</v>
      </c>
      <c r="AN421">
        <v>20.88</v>
      </c>
      <c r="AO421" t="s">
        <v>4208</v>
      </c>
      <c r="AP421" t="s">
        <v>7912</v>
      </c>
      <c r="AQ421" t="s">
        <v>7913</v>
      </c>
      <c r="AR421" t="s">
        <v>4658</v>
      </c>
      <c r="AS421" t="s">
        <v>2317</v>
      </c>
      <c r="AT421" t="s">
        <v>2826</v>
      </c>
      <c r="AU421" t="s">
        <v>2820</v>
      </c>
      <c r="AV421" t="s">
        <v>7914</v>
      </c>
      <c r="AW421" t="s">
        <v>7915</v>
      </c>
      <c r="AX421" t="s">
        <v>610</v>
      </c>
      <c r="AY421" t="s">
        <v>7915</v>
      </c>
      <c r="AZ421" t="s">
        <v>7916</v>
      </c>
      <c r="BA421">
        <v>1.27</v>
      </c>
      <c r="BB421">
        <v>1604.56</v>
      </c>
      <c r="BC421">
        <v>0.6</v>
      </c>
      <c r="BD421">
        <v>170.28</v>
      </c>
      <c r="BE421">
        <v>172.26</v>
      </c>
      <c r="BF421">
        <v>163.76</v>
      </c>
      <c r="BG421" t="s">
        <v>7917</v>
      </c>
      <c r="BH421" t="s">
        <v>7915</v>
      </c>
      <c r="BI421" t="s">
        <v>7918</v>
      </c>
      <c r="BJ421" t="s">
        <v>101</v>
      </c>
      <c r="BK421" t="s">
        <v>7919</v>
      </c>
      <c r="BL421" t="s">
        <v>7080</v>
      </c>
      <c r="BM421" t="s">
        <v>3580</v>
      </c>
      <c r="BN421" t="s">
        <v>4063</v>
      </c>
    </row>
    <row r="422" spans="1:66" x14ac:dyDescent="0.25">
      <c r="A422" t="str">
        <f>HYPERLINK("https://elite.finviz.com/quote.ashx?t=GXAI&amp;ty=c&amp;p=d&amp;b=1", "GXAI")</f>
        <v>GXAI</v>
      </c>
      <c r="B422">
        <v>7</v>
      </c>
      <c r="C422">
        <v>138.38</v>
      </c>
      <c r="D422">
        <v>52.66</v>
      </c>
      <c r="E422" t="s">
        <v>7920</v>
      </c>
      <c r="F422" t="s">
        <v>107</v>
      </c>
      <c r="G422" t="s">
        <v>598</v>
      </c>
      <c r="H422" t="s">
        <v>7474</v>
      </c>
      <c r="I422" t="s">
        <v>70</v>
      </c>
      <c r="J422" t="s">
        <v>321</v>
      </c>
      <c r="K422">
        <v>12.32</v>
      </c>
      <c r="L422">
        <v>1.73</v>
      </c>
      <c r="M422" t="s">
        <v>3896</v>
      </c>
      <c r="N422">
        <v>161697</v>
      </c>
      <c r="R422">
        <v>61.59</v>
      </c>
      <c r="S422">
        <v>0.82</v>
      </c>
      <c r="AA422">
        <v>-1</v>
      </c>
      <c r="AB422" t="s">
        <v>7921</v>
      </c>
      <c r="AE422" t="s">
        <v>7922</v>
      </c>
      <c r="AJ422" t="s">
        <v>164</v>
      </c>
      <c r="AK422" t="s">
        <v>710</v>
      </c>
      <c r="AL422">
        <v>28.68</v>
      </c>
      <c r="AM422">
        <v>28.68</v>
      </c>
      <c r="AN422">
        <v>0</v>
      </c>
      <c r="AO422" t="s">
        <v>7923</v>
      </c>
      <c r="AP422" t="s">
        <v>7924</v>
      </c>
      <c r="AQ422" t="s">
        <v>7925</v>
      </c>
      <c r="AR422" t="s">
        <v>3549</v>
      </c>
      <c r="AS422" t="s">
        <v>3171</v>
      </c>
      <c r="AT422" t="s">
        <v>2810</v>
      </c>
      <c r="AU422" t="s">
        <v>1511</v>
      </c>
      <c r="AV422" t="s">
        <v>2886</v>
      </c>
      <c r="AW422" t="s">
        <v>7926</v>
      </c>
      <c r="AX422" t="s">
        <v>7927</v>
      </c>
      <c r="AY422" t="s">
        <v>7928</v>
      </c>
      <c r="AZ422" t="s">
        <v>7929</v>
      </c>
      <c r="BB422">
        <v>4928.87</v>
      </c>
      <c r="BC422">
        <v>0.12</v>
      </c>
      <c r="BD422">
        <v>1.74</v>
      </c>
      <c r="BE422">
        <v>1.78</v>
      </c>
      <c r="BF422">
        <v>1.66</v>
      </c>
      <c r="BG422" t="s">
        <v>7930</v>
      </c>
      <c r="BH422" t="s">
        <v>7931</v>
      </c>
      <c r="BI422" t="s">
        <v>7929</v>
      </c>
      <c r="BJ422" t="s">
        <v>101</v>
      </c>
      <c r="BK422" t="s">
        <v>4664</v>
      </c>
      <c r="BL422" t="s">
        <v>7932</v>
      </c>
      <c r="BM422" t="s">
        <v>6732</v>
      </c>
      <c r="BN422" t="s">
        <v>4063</v>
      </c>
    </row>
    <row r="423" spans="1:66" x14ac:dyDescent="0.25">
      <c r="A423" t="str">
        <f>HYPERLINK("https://elite.finviz.com/quote.ashx?t=WMG&amp;ty=c&amp;p=d&amp;b=1", "WMG")</f>
        <v>WMG</v>
      </c>
      <c r="B423">
        <v>7</v>
      </c>
      <c r="C423">
        <v>138.38</v>
      </c>
      <c r="D423">
        <v>52.7</v>
      </c>
      <c r="E423" t="s">
        <v>7933</v>
      </c>
      <c r="F423" t="s">
        <v>107</v>
      </c>
      <c r="G423" t="s">
        <v>598</v>
      </c>
      <c r="H423" t="s">
        <v>4247</v>
      </c>
      <c r="I423" t="s">
        <v>70</v>
      </c>
      <c r="J423" t="s">
        <v>321</v>
      </c>
      <c r="K423">
        <v>17337.32</v>
      </c>
      <c r="L423">
        <v>33.26</v>
      </c>
      <c r="M423" t="s">
        <v>6192</v>
      </c>
      <c r="N423">
        <v>229786</v>
      </c>
      <c r="O423">
        <v>58.85</v>
      </c>
      <c r="P423">
        <v>22.65</v>
      </c>
      <c r="Q423">
        <v>8.1999999999999993</v>
      </c>
      <c r="R423">
        <v>2.68</v>
      </c>
      <c r="S423">
        <v>29.44</v>
      </c>
      <c r="T423" t="s">
        <v>2876</v>
      </c>
      <c r="U423">
        <v>0.73</v>
      </c>
      <c r="V423" t="s">
        <v>5737</v>
      </c>
      <c r="W423" t="s">
        <v>4686</v>
      </c>
      <c r="X423" t="s">
        <v>6315</v>
      </c>
      <c r="Z423" t="s">
        <v>7934</v>
      </c>
      <c r="AA423">
        <v>0.56999999999999995</v>
      </c>
      <c r="AB423" t="s">
        <v>3857</v>
      </c>
      <c r="AC423" t="s">
        <v>3071</v>
      </c>
      <c r="AD423" t="s">
        <v>3121</v>
      </c>
      <c r="AE423" t="s">
        <v>4280</v>
      </c>
      <c r="AF423" t="s">
        <v>7935</v>
      </c>
      <c r="AG423" t="s">
        <v>262</v>
      </c>
      <c r="AH423" t="s">
        <v>346</v>
      </c>
      <c r="AI423" t="s">
        <v>7936</v>
      </c>
      <c r="AJ423" t="s">
        <v>5242</v>
      </c>
      <c r="AK423" t="s">
        <v>4300</v>
      </c>
      <c r="AL423">
        <v>0.66</v>
      </c>
      <c r="AM423">
        <v>0.64</v>
      </c>
      <c r="AN423">
        <v>7.84</v>
      </c>
      <c r="AO423" t="s">
        <v>7937</v>
      </c>
      <c r="AP423" t="s">
        <v>1205</v>
      </c>
      <c r="AQ423" t="s">
        <v>169</v>
      </c>
      <c r="AR423" t="s">
        <v>2145</v>
      </c>
      <c r="AS423" t="s">
        <v>5071</v>
      </c>
      <c r="AT423" t="s">
        <v>2486</v>
      </c>
      <c r="AU423" t="s">
        <v>305</v>
      </c>
      <c r="AV423" t="s">
        <v>7938</v>
      </c>
      <c r="AW423" t="s">
        <v>1779</v>
      </c>
      <c r="AX423" t="s">
        <v>976</v>
      </c>
      <c r="AY423" t="s">
        <v>6326</v>
      </c>
      <c r="AZ423" t="s">
        <v>7939</v>
      </c>
      <c r="BA423">
        <v>2</v>
      </c>
      <c r="BB423">
        <v>1990.39</v>
      </c>
      <c r="BC423">
        <v>0.41</v>
      </c>
      <c r="BD423">
        <v>33.29</v>
      </c>
      <c r="BE423">
        <v>33.47</v>
      </c>
      <c r="BF423">
        <v>33.33</v>
      </c>
      <c r="BG423" t="s">
        <v>7940</v>
      </c>
      <c r="BH423" t="s">
        <v>7941</v>
      </c>
      <c r="BI423" t="s">
        <v>6213</v>
      </c>
      <c r="BJ423" t="s">
        <v>101</v>
      </c>
      <c r="BK423" t="s">
        <v>1414</v>
      </c>
      <c r="BL423" t="s">
        <v>1932</v>
      </c>
      <c r="BM423" t="s">
        <v>7942</v>
      </c>
      <c r="BN423" t="s">
        <v>4063</v>
      </c>
    </row>
    <row r="424" spans="1:66" x14ac:dyDescent="0.25">
      <c r="A424" t="str">
        <f>HYPERLINK("https://elite.finviz.com/quote.ashx?t=PNC&amp;ty=c&amp;p=d&amp;b=1", "PNC")</f>
        <v>PNC</v>
      </c>
      <c r="B424">
        <v>7</v>
      </c>
      <c r="C424">
        <v>138.38</v>
      </c>
      <c r="D424">
        <v>52.72</v>
      </c>
      <c r="E424" t="s">
        <v>7943</v>
      </c>
      <c r="F424" t="s">
        <v>195</v>
      </c>
      <c r="G424" t="s">
        <v>550</v>
      </c>
      <c r="H424" t="s">
        <v>697</v>
      </c>
      <c r="I424" t="s">
        <v>70</v>
      </c>
      <c r="J424" t="s">
        <v>71</v>
      </c>
      <c r="K424">
        <v>79849.33</v>
      </c>
      <c r="L424">
        <v>202.76</v>
      </c>
      <c r="M424" t="s">
        <v>406</v>
      </c>
      <c r="N424">
        <v>155630</v>
      </c>
      <c r="O424">
        <v>13.85</v>
      </c>
      <c r="P424">
        <v>11.53</v>
      </c>
      <c r="Q424">
        <v>1.1100000000000001</v>
      </c>
      <c r="R424">
        <v>2.36</v>
      </c>
      <c r="S424">
        <v>1.54</v>
      </c>
      <c r="T424" t="s">
        <v>4499</v>
      </c>
      <c r="U424">
        <v>6.5</v>
      </c>
      <c r="V424" t="s">
        <v>7944</v>
      </c>
      <c r="W424" t="s">
        <v>7284</v>
      </c>
      <c r="X424" t="s">
        <v>7945</v>
      </c>
      <c r="Y424" t="s">
        <v>712</v>
      </c>
      <c r="Z424" t="s">
        <v>3129</v>
      </c>
      <c r="AA424">
        <v>14.64</v>
      </c>
      <c r="AB424" t="s">
        <v>4216</v>
      </c>
      <c r="AC424" t="s">
        <v>122</v>
      </c>
      <c r="AD424" t="s">
        <v>3918</v>
      </c>
      <c r="AE424" t="s">
        <v>2233</v>
      </c>
      <c r="AF424" t="s">
        <v>7381</v>
      </c>
      <c r="AG424" t="s">
        <v>3141</v>
      </c>
      <c r="AH424" t="s">
        <v>2523</v>
      </c>
      <c r="AI424" t="s">
        <v>1927</v>
      </c>
      <c r="AJ424" t="s">
        <v>6257</v>
      </c>
      <c r="AK424" t="s">
        <v>7946</v>
      </c>
      <c r="AL424">
        <v>0.17</v>
      </c>
      <c r="AN424">
        <v>1.07</v>
      </c>
      <c r="AP424" t="s">
        <v>7947</v>
      </c>
      <c r="AQ424" t="s">
        <v>2976</v>
      </c>
      <c r="AR424" t="s">
        <v>907</v>
      </c>
      <c r="AS424" t="s">
        <v>3487</v>
      </c>
      <c r="AT424" t="s">
        <v>4809</v>
      </c>
      <c r="AU424" t="s">
        <v>342</v>
      </c>
      <c r="AV424" t="s">
        <v>6272</v>
      </c>
      <c r="AW424" t="s">
        <v>7948</v>
      </c>
      <c r="AX424" t="s">
        <v>2627</v>
      </c>
      <c r="AY424" t="s">
        <v>703</v>
      </c>
      <c r="AZ424" t="s">
        <v>7949</v>
      </c>
      <c r="BA424">
        <v>1.89</v>
      </c>
      <c r="BB424">
        <v>1964.03</v>
      </c>
      <c r="BC424">
        <v>0.28000000000000003</v>
      </c>
      <c r="BD424">
        <v>202.74</v>
      </c>
      <c r="BE424">
        <v>205.47</v>
      </c>
      <c r="BF424">
        <v>202.69</v>
      </c>
      <c r="BG424" t="s">
        <v>7950</v>
      </c>
      <c r="BH424" t="s">
        <v>7951</v>
      </c>
      <c r="BI424" t="s">
        <v>7952</v>
      </c>
      <c r="BJ424" t="s">
        <v>101</v>
      </c>
      <c r="BK424" t="s">
        <v>1423</v>
      </c>
      <c r="BL424" t="s">
        <v>4846</v>
      </c>
      <c r="BM424" t="s">
        <v>3335</v>
      </c>
      <c r="BN424" t="s">
        <v>4063</v>
      </c>
    </row>
    <row r="425" spans="1:66" x14ac:dyDescent="0.25">
      <c r="A425" t="str">
        <f>HYPERLINK("https://elite.finviz.com/quote.ashx?t=AKR&amp;ty=c&amp;p=d&amp;b=1", "AKR")</f>
        <v>AKR</v>
      </c>
      <c r="B425">
        <v>7</v>
      </c>
      <c r="C425">
        <v>138.38</v>
      </c>
      <c r="D425">
        <v>52.74</v>
      </c>
      <c r="E425" t="s">
        <v>7953</v>
      </c>
      <c r="F425" t="s">
        <v>67</v>
      </c>
      <c r="G425" t="s">
        <v>68</v>
      </c>
      <c r="H425" t="s">
        <v>160</v>
      </c>
      <c r="I425" t="s">
        <v>70</v>
      </c>
      <c r="J425" t="s">
        <v>71</v>
      </c>
      <c r="K425">
        <v>2658.58</v>
      </c>
      <c r="L425">
        <v>19.98</v>
      </c>
      <c r="M425" t="s">
        <v>5777</v>
      </c>
      <c r="N425">
        <v>147276</v>
      </c>
      <c r="O425">
        <v>119.71</v>
      </c>
      <c r="P425">
        <v>63.65</v>
      </c>
      <c r="Q425">
        <v>5.41</v>
      </c>
      <c r="R425">
        <v>6.89</v>
      </c>
      <c r="S425">
        <v>1.1499999999999999</v>
      </c>
      <c r="T425" t="s">
        <v>3334</v>
      </c>
      <c r="U425">
        <v>0.78</v>
      </c>
      <c r="V425" t="s">
        <v>198</v>
      </c>
      <c r="W425" t="s">
        <v>5780</v>
      </c>
      <c r="X425" t="s">
        <v>1653</v>
      </c>
      <c r="Y425" t="s">
        <v>7954</v>
      </c>
      <c r="Z425" t="s">
        <v>7955</v>
      </c>
      <c r="AA425">
        <v>0.17</v>
      </c>
      <c r="AB425" t="s">
        <v>7956</v>
      </c>
      <c r="AC425" t="s">
        <v>7957</v>
      </c>
      <c r="AD425" t="s">
        <v>7501</v>
      </c>
      <c r="AE425" t="s">
        <v>906</v>
      </c>
      <c r="AF425" t="s">
        <v>5114</v>
      </c>
      <c r="AG425" t="s">
        <v>289</v>
      </c>
      <c r="AH425" t="s">
        <v>3058</v>
      </c>
      <c r="AI425" t="s">
        <v>3118</v>
      </c>
      <c r="AJ425" t="s">
        <v>4367</v>
      </c>
      <c r="AK425" t="s">
        <v>5183</v>
      </c>
      <c r="AL425">
        <v>1.05</v>
      </c>
      <c r="AM425">
        <v>1.05</v>
      </c>
      <c r="AN425">
        <v>0.87</v>
      </c>
      <c r="AO425" t="s">
        <v>7958</v>
      </c>
      <c r="AP425" t="s">
        <v>3663</v>
      </c>
      <c r="AQ425" t="s">
        <v>4824</v>
      </c>
      <c r="AR425" t="s">
        <v>5610</v>
      </c>
      <c r="AS425" t="s">
        <v>4946</v>
      </c>
      <c r="AT425" t="s">
        <v>3752</v>
      </c>
      <c r="AU425" t="s">
        <v>5929</v>
      </c>
      <c r="AV425" t="s">
        <v>1727</v>
      </c>
      <c r="AW425" t="s">
        <v>7959</v>
      </c>
      <c r="AX425" t="s">
        <v>4852</v>
      </c>
      <c r="AY425" t="s">
        <v>7960</v>
      </c>
      <c r="AZ425" t="s">
        <v>1791</v>
      </c>
      <c r="BA425">
        <v>1.57</v>
      </c>
      <c r="BB425">
        <v>1594.33</v>
      </c>
      <c r="BC425">
        <v>0.33</v>
      </c>
      <c r="BD425">
        <v>20.079999999999998</v>
      </c>
      <c r="BE425">
        <v>20.22</v>
      </c>
      <c r="BF425">
        <v>19.96</v>
      </c>
      <c r="BG425" t="s">
        <v>7961</v>
      </c>
      <c r="BH425" t="s">
        <v>7962</v>
      </c>
      <c r="BI425" t="s">
        <v>7963</v>
      </c>
      <c r="BJ425" t="s">
        <v>101</v>
      </c>
      <c r="BK425" t="s">
        <v>6674</v>
      </c>
      <c r="BL425" t="s">
        <v>7964</v>
      </c>
      <c r="BM425" t="s">
        <v>2901</v>
      </c>
      <c r="BN425" t="s">
        <v>4063</v>
      </c>
    </row>
    <row r="426" spans="1:66" x14ac:dyDescent="0.25">
      <c r="A426" t="str">
        <f>HYPERLINK("https://elite.finviz.com/quote.ashx?t=GTM&amp;ty=c&amp;p=d&amp;b=1", "GTM")</f>
        <v>GTM</v>
      </c>
      <c r="B426">
        <v>7</v>
      </c>
      <c r="C426">
        <v>138.38</v>
      </c>
      <c r="D426">
        <v>52.77</v>
      </c>
      <c r="E426" t="s">
        <v>7965</v>
      </c>
      <c r="F426" t="s">
        <v>107</v>
      </c>
      <c r="G426" t="s">
        <v>108</v>
      </c>
      <c r="H426" t="s">
        <v>136</v>
      </c>
      <c r="I426" t="s">
        <v>70</v>
      </c>
      <c r="J426" t="s">
        <v>321</v>
      </c>
      <c r="K426">
        <v>3636.41</v>
      </c>
      <c r="L426">
        <v>11.41</v>
      </c>
      <c r="M426" t="s">
        <v>2418</v>
      </c>
      <c r="N426">
        <v>415499</v>
      </c>
      <c r="O426">
        <v>43.61</v>
      </c>
      <c r="P426">
        <v>10.86</v>
      </c>
      <c r="Q426">
        <v>7.76</v>
      </c>
      <c r="R426">
        <v>2.97</v>
      </c>
      <c r="S426">
        <v>2.36</v>
      </c>
      <c r="Z426" t="s">
        <v>164</v>
      </c>
      <c r="AA426">
        <v>0.26</v>
      </c>
      <c r="AB426" t="s">
        <v>7966</v>
      </c>
      <c r="AD426" t="s">
        <v>3949</v>
      </c>
      <c r="AE426" t="s">
        <v>1938</v>
      </c>
      <c r="AF426" t="s">
        <v>5038</v>
      </c>
      <c r="AG426" t="s">
        <v>5500</v>
      </c>
      <c r="AH426" t="s">
        <v>2542</v>
      </c>
      <c r="AI426" t="s">
        <v>1736</v>
      </c>
      <c r="AJ426" t="s">
        <v>2638</v>
      </c>
      <c r="AK426" t="s">
        <v>7967</v>
      </c>
      <c r="AL426">
        <v>0.71</v>
      </c>
      <c r="AM426">
        <v>0.71</v>
      </c>
      <c r="AN426">
        <v>1</v>
      </c>
      <c r="AO426" t="s">
        <v>7968</v>
      </c>
      <c r="AP426" t="s">
        <v>7969</v>
      </c>
      <c r="AQ426" t="s">
        <v>7970</v>
      </c>
      <c r="AR426" t="s">
        <v>2838</v>
      </c>
      <c r="AS426" t="s">
        <v>2841</v>
      </c>
      <c r="AT426" t="s">
        <v>2881</v>
      </c>
      <c r="AU426" t="s">
        <v>7971</v>
      </c>
      <c r="AV426" t="s">
        <v>1603</v>
      </c>
      <c r="AW426" t="s">
        <v>7972</v>
      </c>
      <c r="AX426" t="s">
        <v>1569</v>
      </c>
      <c r="AY426" t="s">
        <v>7973</v>
      </c>
      <c r="AZ426" t="s">
        <v>3391</v>
      </c>
      <c r="BA426">
        <v>3.04</v>
      </c>
      <c r="BB426">
        <v>4536.58</v>
      </c>
      <c r="BC426">
        <v>0.32</v>
      </c>
      <c r="BD426">
        <v>11.35</v>
      </c>
      <c r="BE426">
        <v>11.51</v>
      </c>
      <c r="BF426">
        <v>11.18</v>
      </c>
      <c r="BG426" t="s">
        <v>7974</v>
      </c>
      <c r="BH426" t="s">
        <v>7975</v>
      </c>
      <c r="BI426" t="s">
        <v>3391</v>
      </c>
      <c r="BJ426" t="s">
        <v>101</v>
      </c>
      <c r="BK426" t="s">
        <v>2947</v>
      </c>
      <c r="BL426" t="s">
        <v>4697</v>
      </c>
      <c r="BM426" t="s">
        <v>7976</v>
      </c>
      <c r="BN426" t="s">
        <v>4063</v>
      </c>
    </row>
    <row r="427" spans="1:66" x14ac:dyDescent="0.25">
      <c r="A427" t="str">
        <f>HYPERLINK("https://elite.finviz.com/quote.ashx?t=CTOR&amp;ty=c&amp;p=d&amp;b=1", "CTOR")</f>
        <v>CTOR</v>
      </c>
      <c r="B427">
        <v>7</v>
      </c>
      <c r="C427">
        <v>138.38</v>
      </c>
      <c r="D427">
        <v>52.79</v>
      </c>
      <c r="E427" t="s">
        <v>7977</v>
      </c>
      <c r="F427" t="s">
        <v>107</v>
      </c>
      <c r="G427" t="s">
        <v>428</v>
      </c>
      <c r="H427" t="s">
        <v>1296</v>
      </c>
      <c r="I427" t="s">
        <v>70</v>
      </c>
      <c r="J427" t="s">
        <v>321</v>
      </c>
      <c r="K427">
        <v>159.51</v>
      </c>
      <c r="L427">
        <v>1.91</v>
      </c>
      <c r="M427" t="s">
        <v>7978</v>
      </c>
      <c r="N427">
        <v>115466</v>
      </c>
      <c r="S427">
        <v>4.22</v>
      </c>
      <c r="AA427">
        <v>-0.19</v>
      </c>
      <c r="AB427" t="s">
        <v>7979</v>
      </c>
      <c r="AI427" t="s">
        <v>7980</v>
      </c>
      <c r="AJ427" t="s">
        <v>164</v>
      </c>
      <c r="AK427" t="s">
        <v>439</v>
      </c>
      <c r="AL427">
        <v>0.35</v>
      </c>
      <c r="AM427">
        <v>0.02</v>
      </c>
      <c r="AN427">
        <v>0.12</v>
      </c>
      <c r="AR427" t="s">
        <v>1468</v>
      </c>
      <c r="AS427" t="s">
        <v>4193</v>
      </c>
      <c r="AT427" t="s">
        <v>5263</v>
      </c>
      <c r="AU427" t="s">
        <v>5132</v>
      </c>
      <c r="AV427" t="s">
        <v>7981</v>
      </c>
      <c r="AW427" t="s">
        <v>4979</v>
      </c>
      <c r="AX427" t="s">
        <v>7521</v>
      </c>
      <c r="AY427" t="s">
        <v>7982</v>
      </c>
      <c r="AZ427" t="s">
        <v>7983</v>
      </c>
      <c r="BA427">
        <v>1</v>
      </c>
      <c r="BB427">
        <v>1204.56</v>
      </c>
      <c r="BC427">
        <v>0.34</v>
      </c>
      <c r="BD427">
        <v>1.82</v>
      </c>
      <c r="BE427">
        <v>1.92</v>
      </c>
      <c r="BF427">
        <v>1.84</v>
      </c>
      <c r="BG427" t="s">
        <v>7984</v>
      </c>
      <c r="BH427" t="s">
        <v>7985</v>
      </c>
      <c r="BI427" t="s">
        <v>7983</v>
      </c>
      <c r="BJ427" t="s">
        <v>101</v>
      </c>
      <c r="BK427" t="s">
        <v>7986</v>
      </c>
      <c r="BL427" t="s">
        <v>7987</v>
      </c>
      <c r="BM427" t="s">
        <v>6084</v>
      </c>
      <c r="BN427" t="s">
        <v>4063</v>
      </c>
    </row>
    <row r="428" spans="1:66" x14ac:dyDescent="0.25">
      <c r="A428" t="str">
        <f>HYPERLINK("https://elite.finviz.com/quote.ashx?t=NE&amp;ty=c&amp;p=d&amp;b=1", "NE")</f>
        <v>NE</v>
      </c>
      <c r="B428">
        <v>7</v>
      </c>
      <c r="C428">
        <v>138.38</v>
      </c>
      <c r="D428">
        <v>52.82</v>
      </c>
      <c r="E428" t="s">
        <v>7988</v>
      </c>
      <c r="F428" t="s">
        <v>67</v>
      </c>
      <c r="G428" t="s">
        <v>1048</v>
      </c>
      <c r="H428" t="s">
        <v>7989</v>
      </c>
      <c r="I428" t="s">
        <v>70</v>
      </c>
      <c r="J428" t="s">
        <v>71</v>
      </c>
      <c r="K428">
        <v>4669.6099999999997</v>
      </c>
      <c r="L428">
        <v>29.4</v>
      </c>
      <c r="M428" t="s">
        <v>1025</v>
      </c>
      <c r="N428">
        <v>409675</v>
      </c>
      <c r="O428">
        <v>15.25</v>
      </c>
      <c r="P428">
        <v>27.28</v>
      </c>
      <c r="R428">
        <v>1.35</v>
      </c>
      <c r="S428">
        <v>1.01</v>
      </c>
      <c r="T428" t="s">
        <v>906</v>
      </c>
      <c r="U428">
        <v>2</v>
      </c>
      <c r="V428" t="s">
        <v>6223</v>
      </c>
      <c r="W428" t="s">
        <v>7990</v>
      </c>
      <c r="Z428" t="s">
        <v>7991</v>
      </c>
      <c r="AA428">
        <v>1.93</v>
      </c>
      <c r="AB428" t="s">
        <v>7992</v>
      </c>
      <c r="AD428" t="s">
        <v>7346</v>
      </c>
      <c r="AE428" t="s">
        <v>5487</v>
      </c>
      <c r="AF428" t="s">
        <v>7993</v>
      </c>
      <c r="AG428" t="s">
        <v>731</v>
      </c>
      <c r="AH428" t="s">
        <v>5238</v>
      </c>
      <c r="AI428" t="s">
        <v>7994</v>
      </c>
      <c r="AJ428" t="s">
        <v>2213</v>
      </c>
      <c r="AK428" t="s">
        <v>4738</v>
      </c>
      <c r="AL428">
        <v>1.8</v>
      </c>
      <c r="AM428">
        <v>1.8</v>
      </c>
      <c r="AN428">
        <v>0.43</v>
      </c>
      <c r="AO428" t="s">
        <v>7995</v>
      </c>
      <c r="AP428" t="s">
        <v>5192</v>
      </c>
      <c r="AQ428" t="s">
        <v>5912</v>
      </c>
      <c r="AR428" t="s">
        <v>2472</v>
      </c>
      <c r="AS428" t="s">
        <v>3482</v>
      </c>
      <c r="AT428" t="s">
        <v>4955</v>
      </c>
      <c r="AU428" t="s">
        <v>5467</v>
      </c>
      <c r="AV428" t="s">
        <v>3687</v>
      </c>
      <c r="AW428" t="s">
        <v>7996</v>
      </c>
      <c r="AX428" t="s">
        <v>3009</v>
      </c>
      <c r="AY428" t="s">
        <v>7997</v>
      </c>
      <c r="AZ428" t="s">
        <v>7998</v>
      </c>
      <c r="BA428">
        <v>2.25</v>
      </c>
      <c r="BB428">
        <v>2607.0300000000002</v>
      </c>
      <c r="BC428">
        <v>0.55000000000000004</v>
      </c>
      <c r="BD428">
        <v>29</v>
      </c>
      <c r="BE428">
        <v>30.03</v>
      </c>
      <c r="BF428">
        <v>29.03</v>
      </c>
      <c r="BG428" t="s">
        <v>7999</v>
      </c>
      <c r="BH428" t="s">
        <v>6869</v>
      </c>
      <c r="BI428" t="s">
        <v>7998</v>
      </c>
      <c r="BJ428" t="s">
        <v>101</v>
      </c>
      <c r="BK428" t="s">
        <v>3335</v>
      </c>
      <c r="BL428" t="s">
        <v>718</v>
      </c>
      <c r="BM428" t="s">
        <v>4389</v>
      </c>
      <c r="BN428" t="s">
        <v>4063</v>
      </c>
    </row>
    <row r="429" spans="1:66" x14ac:dyDescent="0.25">
      <c r="A429" t="str">
        <f>HYPERLINK("https://elite.finviz.com/quote.ashx?t=ALLR&amp;ty=c&amp;p=d&amp;b=1", "ALLR")</f>
        <v>ALLR</v>
      </c>
      <c r="B429">
        <v>7</v>
      </c>
      <c r="C429">
        <v>138.38</v>
      </c>
      <c r="D429">
        <v>52.84</v>
      </c>
      <c r="E429" t="s">
        <v>8000</v>
      </c>
      <c r="F429" t="s">
        <v>107</v>
      </c>
      <c r="G429" t="s">
        <v>428</v>
      </c>
      <c r="H429" t="s">
        <v>429</v>
      </c>
      <c r="I429" t="s">
        <v>70</v>
      </c>
      <c r="J429" t="s">
        <v>321</v>
      </c>
      <c r="K429">
        <v>23.24</v>
      </c>
      <c r="L429">
        <v>1.59</v>
      </c>
      <c r="M429" t="s">
        <v>7484</v>
      </c>
      <c r="N429">
        <v>185447</v>
      </c>
      <c r="S429">
        <v>1.91</v>
      </c>
      <c r="AA429">
        <v>-9.1300000000000008</v>
      </c>
      <c r="AB429" t="s">
        <v>8001</v>
      </c>
      <c r="AC429" t="s">
        <v>8002</v>
      </c>
      <c r="AI429" t="s">
        <v>8003</v>
      </c>
      <c r="AJ429" t="s">
        <v>164</v>
      </c>
      <c r="AK429" t="s">
        <v>5692</v>
      </c>
      <c r="AL429">
        <v>2.31</v>
      </c>
      <c r="AM429">
        <v>2.31</v>
      </c>
      <c r="AN429">
        <v>0.11</v>
      </c>
      <c r="AR429" t="s">
        <v>341</v>
      </c>
      <c r="AS429" t="s">
        <v>7898</v>
      </c>
      <c r="AT429" t="s">
        <v>8004</v>
      </c>
      <c r="AU429" t="s">
        <v>8005</v>
      </c>
      <c r="AV429" t="s">
        <v>7497</v>
      </c>
      <c r="AW429" t="s">
        <v>5854</v>
      </c>
      <c r="AX429" t="s">
        <v>8006</v>
      </c>
      <c r="AY429" t="s">
        <v>5854</v>
      </c>
      <c r="AZ429" t="s">
        <v>8007</v>
      </c>
      <c r="BA429">
        <v>1</v>
      </c>
      <c r="BB429">
        <v>7064.58</v>
      </c>
      <c r="BC429">
        <v>0.09</v>
      </c>
      <c r="BD429">
        <v>1.54</v>
      </c>
      <c r="BE429">
        <v>1.62</v>
      </c>
      <c r="BF429">
        <v>1.52</v>
      </c>
      <c r="BG429" t="s">
        <v>8008</v>
      </c>
      <c r="BH429" t="s">
        <v>579</v>
      </c>
      <c r="BI429" t="s">
        <v>8007</v>
      </c>
      <c r="BJ429" t="s">
        <v>101</v>
      </c>
      <c r="BK429" t="s">
        <v>8009</v>
      </c>
      <c r="BL429" t="s">
        <v>8010</v>
      </c>
      <c r="BM429" t="s">
        <v>8011</v>
      </c>
      <c r="BN429" t="s">
        <v>4063</v>
      </c>
    </row>
    <row r="430" spans="1:66" x14ac:dyDescent="0.25">
      <c r="A430" t="str">
        <f>HYPERLINK("https://elite.finviz.com/quote.ashx?t=SYY&amp;ty=c&amp;p=d&amp;b=1", "SYY")</f>
        <v>SYY</v>
      </c>
      <c r="B430">
        <v>7</v>
      </c>
      <c r="C430">
        <v>138.38</v>
      </c>
      <c r="D430">
        <v>52.92</v>
      </c>
      <c r="E430" t="s">
        <v>8012</v>
      </c>
      <c r="F430" t="s">
        <v>195</v>
      </c>
      <c r="G430" t="s">
        <v>2244</v>
      </c>
      <c r="H430" t="s">
        <v>6825</v>
      </c>
      <c r="I430" t="s">
        <v>70</v>
      </c>
      <c r="J430" t="s">
        <v>71</v>
      </c>
      <c r="K430">
        <v>39046.04</v>
      </c>
      <c r="L430">
        <v>81.650000000000006</v>
      </c>
      <c r="M430" t="s">
        <v>227</v>
      </c>
      <c r="N430">
        <v>610656</v>
      </c>
      <c r="O430">
        <v>21.87</v>
      </c>
      <c r="P430">
        <v>16.2</v>
      </c>
      <c r="Q430">
        <v>3.05</v>
      </c>
      <c r="R430">
        <v>0.48</v>
      </c>
      <c r="S430">
        <v>21.3</v>
      </c>
      <c r="T430" t="s">
        <v>4154</v>
      </c>
      <c r="U430">
        <v>2.0699999999999998</v>
      </c>
      <c r="V430" t="s">
        <v>4105</v>
      </c>
      <c r="W430" t="s">
        <v>6118</v>
      </c>
      <c r="X430" t="s">
        <v>4687</v>
      </c>
      <c r="Y430" t="s">
        <v>2822</v>
      </c>
      <c r="Z430" t="s">
        <v>782</v>
      </c>
      <c r="AA430">
        <v>3.73</v>
      </c>
      <c r="AB430" t="s">
        <v>6068</v>
      </c>
      <c r="AC430" t="s">
        <v>2207</v>
      </c>
      <c r="AD430" t="s">
        <v>3688</v>
      </c>
      <c r="AE430" t="s">
        <v>8013</v>
      </c>
      <c r="AF430" t="s">
        <v>3733</v>
      </c>
      <c r="AG430" t="s">
        <v>2887</v>
      </c>
      <c r="AH430" t="s">
        <v>7437</v>
      </c>
      <c r="AI430" t="s">
        <v>291</v>
      </c>
      <c r="AJ430" t="s">
        <v>2268</v>
      </c>
      <c r="AK430" t="s">
        <v>8014</v>
      </c>
      <c r="AL430">
        <v>1.21</v>
      </c>
      <c r="AM430">
        <v>0.7</v>
      </c>
      <c r="AN430">
        <v>7.92</v>
      </c>
      <c r="AO430" t="s">
        <v>8015</v>
      </c>
      <c r="AP430" t="s">
        <v>3521</v>
      </c>
      <c r="AQ430" t="s">
        <v>8016</v>
      </c>
      <c r="AR430" t="s">
        <v>2720</v>
      </c>
      <c r="AS430" t="s">
        <v>908</v>
      </c>
      <c r="AT430" t="s">
        <v>2646</v>
      </c>
      <c r="AU430" t="s">
        <v>3976</v>
      </c>
      <c r="AV430" t="s">
        <v>1515</v>
      </c>
      <c r="AW430" t="s">
        <v>5365</v>
      </c>
      <c r="AX430" t="s">
        <v>5552</v>
      </c>
      <c r="AY430" t="s">
        <v>5365</v>
      </c>
      <c r="AZ430" t="s">
        <v>3291</v>
      </c>
      <c r="BA430">
        <v>2.1</v>
      </c>
      <c r="BB430">
        <v>3027.48</v>
      </c>
      <c r="BC430">
        <v>0.71</v>
      </c>
      <c r="BD430">
        <v>81.12</v>
      </c>
      <c r="BE430">
        <v>82.07</v>
      </c>
      <c r="BF430">
        <v>81.02</v>
      </c>
      <c r="BG430" t="s">
        <v>8017</v>
      </c>
      <c r="BH430" t="s">
        <v>7746</v>
      </c>
      <c r="BI430" t="s">
        <v>8018</v>
      </c>
      <c r="BJ430" t="s">
        <v>101</v>
      </c>
      <c r="BK430" t="s">
        <v>2000</v>
      </c>
      <c r="BL430" t="s">
        <v>797</v>
      </c>
      <c r="BM430" t="s">
        <v>6584</v>
      </c>
      <c r="BN430" t="s">
        <v>4063</v>
      </c>
    </row>
    <row r="431" spans="1:66" x14ac:dyDescent="0.25">
      <c r="A431" t="str">
        <f>HYPERLINK("https://elite.finviz.com/quote.ashx?t=BKSY&amp;ty=c&amp;p=d&amp;b=1", "BKSY")</f>
        <v>BKSY</v>
      </c>
      <c r="B431">
        <v>7</v>
      </c>
      <c r="C431">
        <v>138.38</v>
      </c>
      <c r="D431">
        <v>52.92</v>
      </c>
      <c r="E431" t="s">
        <v>8019</v>
      </c>
      <c r="F431" t="s">
        <v>67</v>
      </c>
      <c r="G431" t="s">
        <v>260</v>
      </c>
      <c r="H431" t="s">
        <v>1077</v>
      </c>
      <c r="I431" t="s">
        <v>70</v>
      </c>
      <c r="J431" t="s">
        <v>71</v>
      </c>
      <c r="K431">
        <v>691.2</v>
      </c>
      <c r="L431">
        <v>19.489999999999998</v>
      </c>
      <c r="M431" t="s">
        <v>2372</v>
      </c>
      <c r="N431">
        <v>313899</v>
      </c>
      <c r="R431">
        <v>6.6</v>
      </c>
      <c r="S431">
        <v>7.78</v>
      </c>
      <c r="AA431">
        <v>-3.35</v>
      </c>
      <c r="AB431" t="s">
        <v>8020</v>
      </c>
      <c r="AC431" t="s">
        <v>8021</v>
      </c>
      <c r="AD431" t="s">
        <v>8022</v>
      </c>
      <c r="AE431" t="s">
        <v>2518</v>
      </c>
      <c r="AF431" t="s">
        <v>1397</v>
      </c>
      <c r="AH431" t="s">
        <v>8023</v>
      </c>
      <c r="AI431" t="s">
        <v>8024</v>
      </c>
      <c r="AJ431" t="s">
        <v>7646</v>
      </c>
      <c r="AK431" t="s">
        <v>8025</v>
      </c>
      <c r="AL431">
        <v>3.71</v>
      </c>
      <c r="AM431">
        <v>3.71</v>
      </c>
      <c r="AN431">
        <v>1.5</v>
      </c>
      <c r="AO431" t="s">
        <v>5908</v>
      </c>
      <c r="AP431" t="s">
        <v>8026</v>
      </c>
      <c r="AQ431" t="s">
        <v>8027</v>
      </c>
      <c r="AR431" t="s">
        <v>6272</v>
      </c>
      <c r="AS431" t="s">
        <v>3121</v>
      </c>
      <c r="AT431" t="s">
        <v>3496</v>
      </c>
      <c r="AU431" t="s">
        <v>2732</v>
      </c>
      <c r="AV431" t="s">
        <v>8028</v>
      </c>
      <c r="AW431" t="s">
        <v>8029</v>
      </c>
      <c r="AX431" t="s">
        <v>8030</v>
      </c>
      <c r="AY431" t="s">
        <v>8029</v>
      </c>
      <c r="AZ431" t="s">
        <v>8031</v>
      </c>
      <c r="BA431">
        <v>1.29</v>
      </c>
      <c r="BB431">
        <v>2066.2399999999998</v>
      </c>
      <c r="BC431">
        <v>0.54</v>
      </c>
      <c r="BD431">
        <v>19.829999999999998</v>
      </c>
      <c r="BE431">
        <v>20.190000000000001</v>
      </c>
      <c r="BF431">
        <v>19.399999999999999</v>
      </c>
      <c r="BG431" t="s">
        <v>8032</v>
      </c>
      <c r="BH431" t="s">
        <v>1739</v>
      </c>
      <c r="BI431" t="s">
        <v>8033</v>
      </c>
      <c r="BJ431" t="s">
        <v>101</v>
      </c>
      <c r="BK431" t="s">
        <v>164</v>
      </c>
      <c r="BL431" t="s">
        <v>8034</v>
      </c>
      <c r="BM431" t="s">
        <v>8035</v>
      </c>
      <c r="BN431" t="s">
        <v>4063</v>
      </c>
    </row>
    <row r="432" spans="1:66" x14ac:dyDescent="0.25">
      <c r="A432" t="str">
        <f>HYPERLINK("https://elite.finviz.com/quote.ashx?t=SQFT&amp;ty=c&amp;p=d&amp;b=1", "SQFT")</f>
        <v>SQFT</v>
      </c>
      <c r="B432">
        <v>7</v>
      </c>
      <c r="C432">
        <v>138.38</v>
      </c>
      <c r="D432">
        <v>52.93</v>
      </c>
      <c r="E432" t="s">
        <v>8036</v>
      </c>
      <c r="F432" t="s">
        <v>107</v>
      </c>
      <c r="G432" t="s">
        <v>68</v>
      </c>
      <c r="H432" t="s">
        <v>4656</v>
      </c>
      <c r="I432" t="s">
        <v>70</v>
      </c>
      <c r="J432" t="s">
        <v>321</v>
      </c>
      <c r="K432">
        <v>9.0399999999999991</v>
      </c>
      <c r="L432">
        <v>6.23</v>
      </c>
      <c r="M432" t="s">
        <v>4093</v>
      </c>
      <c r="N432">
        <v>6774</v>
      </c>
      <c r="R432">
        <v>0.49</v>
      </c>
      <c r="S432">
        <v>0.32</v>
      </c>
      <c r="V432" t="s">
        <v>8037</v>
      </c>
      <c r="AA432">
        <v>-11.55</v>
      </c>
      <c r="AB432" t="s">
        <v>8038</v>
      </c>
      <c r="AC432" t="s">
        <v>8039</v>
      </c>
      <c r="AE432" t="s">
        <v>3976</v>
      </c>
      <c r="AF432" t="s">
        <v>6194</v>
      </c>
      <c r="AG432" t="s">
        <v>6783</v>
      </c>
      <c r="AH432" t="s">
        <v>4653</v>
      </c>
      <c r="AJ432" t="s">
        <v>4394</v>
      </c>
      <c r="AK432" t="s">
        <v>4279</v>
      </c>
      <c r="AL432">
        <v>0.59</v>
      </c>
      <c r="AM432">
        <v>0.59</v>
      </c>
      <c r="AN432">
        <v>4.49</v>
      </c>
      <c r="AO432" t="s">
        <v>5550</v>
      </c>
      <c r="AP432" t="s">
        <v>3527</v>
      </c>
      <c r="AQ432" t="s">
        <v>8040</v>
      </c>
      <c r="AR432" t="s">
        <v>8041</v>
      </c>
      <c r="AS432" t="s">
        <v>2794</v>
      </c>
      <c r="AT432" t="s">
        <v>2796</v>
      </c>
      <c r="AU432" t="s">
        <v>3745</v>
      </c>
      <c r="AV432" t="s">
        <v>2880</v>
      </c>
      <c r="AW432" t="s">
        <v>8042</v>
      </c>
      <c r="AX432" t="s">
        <v>8043</v>
      </c>
      <c r="AY432" t="s">
        <v>8044</v>
      </c>
      <c r="AZ432" t="s">
        <v>8045</v>
      </c>
      <c r="BA432">
        <v>3</v>
      </c>
      <c r="BB432">
        <v>1147.3900000000001</v>
      </c>
      <c r="BC432">
        <v>0.02</v>
      </c>
      <c r="BD432">
        <v>6.02</v>
      </c>
      <c r="BE432">
        <v>6.49</v>
      </c>
      <c r="BF432">
        <v>6.03</v>
      </c>
      <c r="BG432" t="s">
        <v>8046</v>
      </c>
      <c r="BH432" t="s">
        <v>8047</v>
      </c>
      <c r="BI432" t="s">
        <v>8045</v>
      </c>
      <c r="BJ432" t="s">
        <v>101</v>
      </c>
      <c r="BK432" t="s">
        <v>7115</v>
      </c>
      <c r="BL432" t="s">
        <v>2429</v>
      </c>
      <c r="BM432" t="s">
        <v>8048</v>
      </c>
      <c r="BN432" t="s">
        <v>4063</v>
      </c>
    </row>
    <row r="433" spans="1:66" x14ac:dyDescent="0.25">
      <c r="A433" t="str">
        <f>HYPERLINK("https://elite.finviz.com/quote.ashx?t=ADI&amp;ty=c&amp;p=d&amp;b=1", "ADI")</f>
        <v>ADI</v>
      </c>
      <c r="B433">
        <v>7</v>
      </c>
      <c r="C433">
        <v>138.38</v>
      </c>
      <c r="D433">
        <v>52.96</v>
      </c>
      <c r="E433" t="s">
        <v>8049</v>
      </c>
      <c r="F433" t="s">
        <v>319</v>
      </c>
      <c r="G433" t="s">
        <v>108</v>
      </c>
      <c r="H433" t="s">
        <v>1808</v>
      </c>
      <c r="I433" t="s">
        <v>70</v>
      </c>
      <c r="J433" t="s">
        <v>321</v>
      </c>
      <c r="K433">
        <v>121394.92</v>
      </c>
      <c r="L433">
        <v>246.76</v>
      </c>
      <c r="M433" t="s">
        <v>6871</v>
      </c>
      <c r="N433">
        <v>447743</v>
      </c>
      <c r="O433">
        <v>62.78</v>
      </c>
      <c r="P433">
        <v>26.32</v>
      </c>
      <c r="Q433">
        <v>3.24</v>
      </c>
      <c r="R433">
        <v>11.69</v>
      </c>
      <c r="S433">
        <v>3.56</v>
      </c>
      <c r="T433" t="s">
        <v>2449</v>
      </c>
      <c r="U433">
        <v>3.89</v>
      </c>
      <c r="V433" t="s">
        <v>2187</v>
      </c>
      <c r="W433" t="s">
        <v>8050</v>
      </c>
      <c r="X433" t="s">
        <v>702</v>
      </c>
      <c r="Y433" t="s">
        <v>8051</v>
      </c>
      <c r="Z433" t="s">
        <v>8052</v>
      </c>
      <c r="AA433">
        <v>3.93</v>
      </c>
      <c r="AB433" t="s">
        <v>8053</v>
      </c>
      <c r="AC433" t="s">
        <v>708</v>
      </c>
      <c r="AD433" t="s">
        <v>4331</v>
      </c>
      <c r="AE433" t="s">
        <v>8054</v>
      </c>
      <c r="AF433" t="s">
        <v>7781</v>
      </c>
      <c r="AG433" t="s">
        <v>7945</v>
      </c>
      <c r="AH433" t="s">
        <v>1628</v>
      </c>
      <c r="AI433" t="s">
        <v>3496</v>
      </c>
      <c r="AJ433" t="s">
        <v>8055</v>
      </c>
      <c r="AK433" t="s">
        <v>8056</v>
      </c>
      <c r="AL433">
        <v>2.3199999999999998</v>
      </c>
      <c r="AM433">
        <v>1.79</v>
      </c>
      <c r="AN433">
        <v>0.25</v>
      </c>
      <c r="AO433" t="s">
        <v>1447</v>
      </c>
      <c r="AP433" t="s">
        <v>7390</v>
      </c>
      <c r="AQ433" t="s">
        <v>8057</v>
      </c>
      <c r="AR433" t="s">
        <v>1952</v>
      </c>
      <c r="AS433" t="s">
        <v>2424</v>
      </c>
      <c r="AT433" t="s">
        <v>770</v>
      </c>
      <c r="AU433" t="s">
        <v>6118</v>
      </c>
      <c r="AV433" t="s">
        <v>5128</v>
      </c>
      <c r="AW433" t="s">
        <v>8058</v>
      </c>
      <c r="AX433" t="s">
        <v>8059</v>
      </c>
      <c r="AY433" t="s">
        <v>8058</v>
      </c>
      <c r="AZ433" t="s">
        <v>8060</v>
      </c>
      <c r="BA433">
        <v>1.75</v>
      </c>
      <c r="BB433">
        <v>3364.84</v>
      </c>
      <c r="BC433">
        <v>0.47</v>
      </c>
      <c r="BD433">
        <v>247.53</v>
      </c>
      <c r="BE433">
        <v>248.99</v>
      </c>
      <c r="BF433">
        <v>245.76</v>
      </c>
      <c r="BG433" t="s">
        <v>8061</v>
      </c>
      <c r="BH433" t="s">
        <v>8058</v>
      </c>
      <c r="BI433" t="s">
        <v>8062</v>
      </c>
      <c r="BJ433" t="s">
        <v>101</v>
      </c>
      <c r="BK433" t="s">
        <v>2484</v>
      </c>
      <c r="BL433" t="s">
        <v>8063</v>
      </c>
      <c r="BM433" t="s">
        <v>637</v>
      </c>
      <c r="BN433" t="s">
        <v>4063</v>
      </c>
    </row>
    <row r="434" spans="1:66" x14ac:dyDescent="0.25">
      <c r="A434" t="str">
        <f>HYPERLINK("https://elite.finviz.com/quote.ashx?t=DBRG&amp;ty=c&amp;p=d&amp;b=1", "DBRG")</f>
        <v>DBRG</v>
      </c>
      <c r="B434">
        <v>7</v>
      </c>
      <c r="C434">
        <v>138.38</v>
      </c>
      <c r="D434">
        <v>52.98</v>
      </c>
      <c r="E434" t="s">
        <v>8064</v>
      </c>
      <c r="F434" t="s">
        <v>67</v>
      </c>
      <c r="G434" t="s">
        <v>550</v>
      </c>
      <c r="H434" t="s">
        <v>2597</v>
      </c>
      <c r="I434" t="s">
        <v>70</v>
      </c>
      <c r="J434" t="s">
        <v>71</v>
      </c>
      <c r="K434">
        <v>2242.0700000000002</v>
      </c>
      <c r="L434">
        <v>11.82</v>
      </c>
      <c r="M434" t="s">
        <v>4538</v>
      </c>
      <c r="N434">
        <v>883875</v>
      </c>
      <c r="P434">
        <v>85.65</v>
      </c>
      <c r="R434">
        <v>7.48</v>
      </c>
      <c r="S434">
        <v>1.75</v>
      </c>
      <c r="T434" t="s">
        <v>3736</v>
      </c>
      <c r="U434">
        <v>0.04</v>
      </c>
      <c r="V434" t="s">
        <v>198</v>
      </c>
      <c r="W434" t="s">
        <v>164</v>
      </c>
      <c r="Y434" t="s">
        <v>8065</v>
      </c>
      <c r="Z434" t="s">
        <v>8066</v>
      </c>
      <c r="AA434">
        <v>-0.03</v>
      </c>
      <c r="AD434" t="s">
        <v>8067</v>
      </c>
      <c r="AE434" t="s">
        <v>8068</v>
      </c>
      <c r="AF434" t="s">
        <v>2178</v>
      </c>
      <c r="AG434" t="s">
        <v>1024</v>
      </c>
      <c r="AH434" t="s">
        <v>8069</v>
      </c>
      <c r="AI434" t="s">
        <v>8070</v>
      </c>
      <c r="AJ434" t="s">
        <v>164</v>
      </c>
      <c r="AK434" t="s">
        <v>1900</v>
      </c>
      <c r="AL434">
        <v>1675.62</v>
      </c>
      <c r="AM434">
        <v>1675.62</v>
      </c>
      <c r="AN434">
        <v>0.17</v>
      </c>
      <c r="AO434" t="s">
        <v>8071</v>
      </c>
      <c r="AP434" t="s">
        <v>8072</v>
      </c>
      <c r="AQ434" t="s">
        <v>5895</v>
      </c>
      <c r="AR434" t="s">
        <v>162</v>
      </c>
      <c r="AS434" t="s">
        <v>2736</v>
      </c>
      <c r="AT434" t="s">
        <v>1763</v>
      </c>
      <c r="AU434" t="s">
        <v>3545</v>
      </c>
      <c r="AV434" t="s">
        <v>5224</v>
      </c>
      <c r="AW434" t="s">
        <v>8073</v>
      </c>
      <c r="AX434" t="s">
        <v>420</v>
      </c>
      <c r="AY434" t="s">
        <v>8074</v>
      </c>
      <c r="AZ434" t="s">
        <v>8075</v>
      </c>
      <c r="BA434">
        <v>1.22</v>
      </c>
      <c r="BB434">
        <v>2116.42</v>
      </c>
      <c r="BC434">
        <v>1.47</v>
      </c>
      <c r="BD434">
        <v>11.85</v>
      </c>
      <c r="BE434">
        <v>12.27</v>
      </c>
      <c r="BF434">
        <v>11.8</v>
      </c>
      <c r="BG434" t="s">
        <v>8076</v>
      </c>
      <c r="BH434" t="s">
        <v>8077</v>
      </c>
      <c r="BI434" t="s">
        <v>2382</v>
      </c>
      <c r="BJ434" t="s">
        <v>101</v>
      </c>
      <c r="BK434" t="s">
        <v>8078</v>
      </c>
      <c r="BL434" t="s">
        <v>8079</v>
      </c>
      <c r="BM434" t="s">
        <v>8080</v>
      </c>
      <c r="BN434" t="s">
        <v>4063</v>
      </c>
    </row>
    <row r="435" spans="1:66" x14ac:dyDescent="0.25">
      <c r="A435" t="str">
        <f>HYPERLINK("https://elite.finviz.com/quote.ashx?t=SVRA&amp;ty=c&amp;p=d&amp;b=1", "SVRA")</f>
        <v>SVRA</v>
      </c>
      <c r="B435">
        <v>7</v>
      </c>
      <c r="C435">
        <v>138.38</v>
      </c>
      <c r="D435">
        <v>53.01</v>
      </c>
      <c r="E435" t="s">
        <v>8081</v>
      </c>
      <c r="F435" t="s">
        <v>67</v>
      </c>
      <c r="G435" t="s">
        <v>428</v>
      </c>
      <c r="H435" t="s">
        <v>429</v>
      </c>
      <c r="I435" t="s">
        <v>70</v>
      </c>
      <c r="J435" t="s">
        <v>321</v>
      </c>
      <c r="K435">
        <v>595.41999999999996</v>
      </c>
      <c r="L435">
        <v>3.44</v>
      </c>
      <c r="M435" t="s">
        <v>4086</v>
      </c>
      <c r="N435">
        <v>128257</v>
      </c>
      <c r="S435">
        <v>4.9400000000000004</v>
      </c>
      <c r="AA435">
        <v>-0.51</v>
      </c>
      <c r="AB435" t="s">
        <v>4194</v>
      </c>
      <c r="AC435" t="s">
        <v>8082</v>
      </c>
      <c r="AD435" t="s">
        <v>8083</v>
      </c>
      <c r="AI435" t="s">
        <v>8084</v>
      </c>
      <c r="AJ435" t="s">
        <v>822</v>
      </c>
      <c r="AK435" t="s">
        <v>8085</v>
      </c>
      <c r="AL435">
        <v>11.08</v>
      </c>
      <c r="AM435">
        <v>11.08</v>
      </c>
      <c r="AN435">
        <v>0.25</v>
      </c>
      <c r="AR435" t="s">
        <v>5779</v>
      </c>
      <c r="AS435" t="s">
        <v>1872</v>
      </c>
      <c r="AT435" t="s">
        <v>4529</v>
      </c>
      <c r="AU435" t="s">
        <v>8086</v>
      </c>
      <c r="AV435" t="s">
        <v>8087</v>
      </c>
      <c r="AW435" t="s">
        <v>779</v>
      </c>
      <c r="AX435" t="s">
        <v>476</v>
      </c>
      <c r="AY435" t="s">
        <v>8088</v>
      </c>
      <c r="AZ435" t="s">
        <v>8089</v>
      </c>
      <c r="BA435">
        <v>1</v>
      </c>
      <c r="BB435">
        <v>1422.43</v>
      </c>
      <c r="BC435">
        <v>0.32</v>
      </c>
      <c r="BD435">
        <v>3.47</v>
      </c>
      <c r="BE435">
        <v>3.47</v>
      </c>
      <c r="BF435">
        <v>3.37</v>
      </c>
      <c r="BG435" t="s">
        <v>8090</v>
      </c>
      <c r="BH435" t="s">
        <v>5233</v>
      </c>
      <c r="BI435" t="s">
        <v>8091</v>
      </c>
      <c r="BJ435" t="s">
        <v>101</v>
      </c>
      <c r="BK435" t="s">
        <v>8092</v>
      </c>
      <c r="BL435" t="s">
        <v>8093</v>
      </c>
      <c r="BM435" t="s">
        <v>8094</v>
      </c>
      <c r="BN435" t="s">
        <v>4063</v>
      </c>
    </row>
    <row r="436" spans="1:66" x14ac:dyDescent="0.25">
      <c r="A436" t="str">
        <f>HYPERLINK("https://elite.finviz.com/quote.ashx?t=COOP&amp;ty=c&amp;p=d&amp;b=1", "COOP")</f>
        <v>COOP</v>
      </c>
      <c r="B436">
        <v>7</v>
      </c>
      <c r="C436">
        <v>138.38</v>
      </c>
      <c r="D436">
        <v>53.03</v>
      </c>
      <c r="E436" t="s">
        <v>8095</v>
      </c>
      <c r="F436" t="s">
        <v>107</v>
      </c>
      <c r="G436" t="s">
        <v>550</v>
      </c>
      <c r="H436" t="s">
        <v>3699</v>
      </c>
      <c r="I436" t="s">
        <v>70</v>
      </c>
      <c r="J436" t="s">
        <v>321</v>
      </c>
      <c r="K436">
        <v>13301.64</v>
      </c>
      <c r="L436">
        <v>207.86</v>
      </c>
      <c r="M436" t="s">
        <v>6156</v>
      </c>
      <c r="N436">
        <v>219976</v>
      </c>
      <c r="O436">
        <v>23.77</v>
      </c>
      <c r="P436">
        <v>13.82</v>
      </c>
      <c r="Q436">
        <v>1.32</v>
      </c>
      <c r="R436">
        <v>6.3</v>
      </c>
      <c r="S436">
        <v>2.61</v>
      </c>
      <c r="V436" t="s">
        <v>2598</v>
      </c>
      <c r="Z436" t="s">
        <v>164</v>
      </c>
      <c r="AA436">
        <v>8.75</v>
      </c>
      <c r="AB436" t="s">
        <v>8096</v>
      </c>
      <c r="AC436" t="s">
        <v>8097</v>
      </c>
      <c r="AD436" t="s">
        <v>2949</v>
      </c>
      <c r="AE436" t="s">
        <v>6003</v>
      </c>
      <c r="AF436" t="s">
        <v>8098</v>
      </c>
      <c r="AG436" t="s">
        <v>8013</v>
      </c>
      <c r="AH436" t="s">
        <v>5763</v>
      </c>
      <c r="AI436" t="s">
        <v>2101</v>
      </c>
      <c r="AJ436" t="s">
        <v>3822</v>
      </c>
      <c r="AK436" t="s">
        <v>8099</v>
      </c>
      <c r="AL436">
        <v>0.62</v>
      </c>
      <c r="AM436">
        <v>0.62</v>
      </c>
      <c r="AN436">
        <v>2.39</v>
      </c>
      <c r="AP436" t="s">
        <v>803</v>
      </c>
      <c r="AQ436" t="s">
        <v>3038</v>
      </c>
      <c r="AR436" t="s">
        <v>6475</v>
      </c>
      <c r="AS436" t="s">
        <v>247</v>
      </c>
      <c r="AT436" t="s">
        <v>1783</v>
      </c>
      <c r="AU436" t="s">
        <v>7436</v>
      </c>
      <c r="AV436" t="s">
        <v>3176</v>
      </c>
      <c r="AW436" t="s">
        <v>2537</v>
      </c>
      <c r="AX436" t="s">
        <v>8100</v>
      </c>
      <c r="AY436" t="s">
        <v>2537</v>
      </c>
      <c r="AZ436" t="s">
        <v>8101</v>
      </c>
      <c r="BA436">
        <v>2.38</v>
      </c>
      <c r="BB436">
        <v>1131.9000000000001</v>
      </c>
      <c r="BC436">
        <v>0.68</v>
      </c>
      <c r="BD436">
        <v>207.52</v>
      </c>
      <c r="BE436">
        <v>215.12</v>
      </c>
      <c r="BF436">
        <v>206.24</v>
      </c>
      <c r="BG436" t="s">
        <v>8102</v>
      </c>
      <c r="BH436" t="s">
        <v>2537</v>
      </c>
      <c r="BI436" t="s">
        <v>8103</v>
      </c>
      <c r="BJ436" t="s">
        <v>101</v>
      </c>
      <c r="BK436" t="s">
        <v>6376</v>
      </c>
      <c r="BL436" t="s">
        <v>8104</v>
      </c>
      <c r="BM436" t="s">
        <v>8105</v>
      </c>
      <c r="BN436" t="s">
        <v>4063</v>
      </c>
    </row>
    <row r="437" spans="1:66" x14ac:dyDescent="0.25">
      <c r="A437" t="str">
        <f>HYPERLINK("https://elite.finviz.com/quote.ashx?t=DNOW&amp;ty=c&amp;p=d&amp;b=1", "DNOW")</f>
        <v>DNOW</v>
      </c>
      <c r="B437">
        <v>7</v>
      </c>
      <c r="C437">
        <v>138.38</v>
      </c>
      <c r="D437">
        <v>53.03</v>
      </c>
      <c r="E437" t="s">
        <v>8106</v>
      </c>
      <c r="F437" t="s">
        <v>67</v>
      </c>
      <c r="G437" t="s">
        <v>260</v>
      </c>
      <c r="H437" t="s">
        <v>8107</v>
      </c>
      <c r="I437" t="s">
        <v>70</v>
      </c>
      <c r="J437" t="s">
        <v>71</v>
      </c>
      <c r="K437">
        <v>1670.21</v>
      </c>
      <c r="L437">
        <v>15.59</v>
      </c>
      <c r="M437" t="s">
        <v>2449</v>
      </c>
      <c r="N437">
        <v>292094</v>
      </c>
      <c r="O437">
        <v>20.28</v>
      </c>
      <c r="P437">
        <v>16.41</v>
      </c>
      <c r="Q437">
        <v>3.88</v>
      </c>
      <c r="R437">
        <v>0.69</v>
      </c>
      <c r="S437">
        <v>1.42</v>
      </c>
      <c r="Z437" t="s">
        <v>164</v>
      </c>
      <c r="AA437">
        <v>0.77</v>
      </c>
      <c r="AB437" t="s">
        <v>8108</v>
      </c>
      <c r="AD437" t="s">
        <v>4173</v>
      </c>
      <c r="AE437" t="s">
        <v>5780</v>
      </c>
      <c r="AF437" t="s">
        <v>973</v>
      </c>
      <c r="AG437" t="s">
        <v>8109</v>
      </c>
      <c r="AH437" t="s">
        <v>1067</v>
      </c>
      <c r="AI437" t="s">
        <v>8110</v>
      </c>
      <c r="AJ437" t="s">
        <v>164</v>
      </c>
      <c r="AK437" t="s">
        <v>8111</v>
      </c>
      <c r="AL437">
        <v>2.37</v>
      </c>
      <c r="AM437">
        <v>1.53</v>
      </c>
      <c r="AN437">
        <v>0.04</v>
      </c>
      <c r="AO437" t="s">
        <v>3161</v>
      </c>
      <c r="AP437" t="s">
        <v>3949</v>
      </c>
      <c r="AQ437" t="s">
        <v>4495</v>
      </c>
      <c r="AR437" t="s">
        <v>2333</v>
      </c>
      <c r="AS437" t="s">
        <v>89</v>
      </c>
      <c r="AT437" t="s">
        <v>914</v>
      </c>
      <c r="AU437" t="s">
        <v>2339</v>
      </c>
      <c r="AV437" t="s">
        <v>3613</v>
      </c>
      <c r="AW437" t="s">
        <v>7392</v>
      </c>
      <c r="AX437" t="s">
        <v>2338</v>
      </c>
      <c r="AY437" t="s">
        <v>5980</v>
      </c>
      <c r="AZ437" t="s">
        <v>5572</v>
      </c>
      <c r="BA437">
        <v>2</v>
      </c>
      <c r="BB437">
        <v>1308.53</v>
      </c>
      <c r="BC437">
        <v>0.79</v>
      </c>
      <c r="BD437">
        <v>15.35</v>
      </c>
      <c r="BE437">
        <v>15.75</v>
      </c>
      <c r="BF437">
        <v>15.35</v>
      </c>
      <c r="BG437" t="s">
        <v>8112</v>
      </c>
      <c r="BH437" t="s">
        <v>8113</v>
      </c>
      <c r="BI437" t="s">
        <v>8114</v>
      </c>
      <c r="BJ437" t="s">
        <v>101</v>
      </c>
      <c r="BK437" t="s">
        <v>2856</v>
      </c>
      <c r="BL437" t="s">
        <v>8115</v>
      </c>
      <c r="BM437" t="s">
        <v>5933</v>
      </c>
      <c r="BN437" t="s">
        <v>4063</v>
      </c>
    </row>
    <row r="438" spans="1:66" x14ac:dyDescent="0.25">
      <c r="A438" t="str">
        <f>HYPERLINK("https://elite.finviz.com/quote.ashx?t=KSS&amp;ty=c&amp;p=d&amp;b=1", "KSS")</f>
        <v>KSS</v>
      </c>
      <c r="B438">
        <v>7</v>
      </c>
      <c r="C438">
        <v>138.38</v>
      </c>
      <c r="D438">
        <v>53.1</v>
      </c>
      <c r="E438" t="s">
        <v>8116</v>
      </c>
      <c r="F438" t="s">
        <v>67</v>
      </c>
      <c r="G438" t="s">
        <v>813</v>
      </c>
      <c r="H438" t="s">
        <v>8117</v>
      </c>
      <c r="I438" t="s">
        <v>70</v>
      </c>
      <c r="J438" t="s">
        <v>71</v>
      </c>
      <c r="K438">
        <v>1803.34</v>
      </c>
      <c r="L438">
        <v>16.09</v>
      </c>
      <c r="M438" t="s">
        <v>4266</v>
      </c>
      <c r="N438">
        <v>1461308</v>
      </c>
      <c r="O438">
        <v>8.7799999999999994</v>
      </c>
      <c r="P438">
        <v>22.99</v>
      </c>
      <c r="R438">
        <v>0.11</v>
      </c>
      <c r="S438">
        <v>0.46</v>
      </c>
      <c r="T438" t="s">
        <v>5188</v>
      </c>
      <c r="U438">
        <v>0.88</v>
      </c>
      <c r="V438" t="s">
        <v>5717</v>
      </c>
      <c r="W438" t="s">
        <v>164</v>
      </c>
      <c r="X438" t="s">
        <v>3397</v>
      </c>
      <c r="Y438" t="s">
        <v>1821</v>
      </c>
      <c r="Z438" t="s">
        <v>8118</v>
      </c>
      <c r="AA438">
        <v>1.83</v>
      </c>
      <c r="AB438" t="s">
        <v>577</v>
      </c>
      <c r="AC438" t="s">
        <v>8119</v>
      </c>
      <c r="AD438" t="s">
        <v>8120</v>
      </c>
      <c r="AE438" t="s">
        <v>3300</v>
      </c>
      <c r="AF438" t="s">
        <v>2220</v>
      </c>
      <c r="AG438" t="s">
        <v>4078</v>
      </c>
      <c r="AH438" t="s">
        <v>8121</v>
      </c>
      <c r="AI438" t="s">
        <v>8122</v>
      </c>
      <c r="AJ438" t="s">
        <v>1722</v>
      </c>
      <c r="AK438" t="s">
        <v>8123</v>
      </c>
      <c r="AL438">
        <v>1.36</v>
      </c>
      <c r="AM438">
        <v>0.19</v>
      </c>
      <c r="AN438">
        <v>1.75</v>
      </c>
      <c r="AO438" t="s">
        <v>8124</v>
      </c>
      <c r="AP438" t="s">
        <v>7284</v>
      </c>
      <c r="AQ438" t="s">
        <v>1559</v>
      </c>
      <c r="AR438" t="s">
        <v>4172</v>
      </c>
      <c r="AS438" t="s">
        <v>8125</v>
      </c>
      <c r="AT438" t="s">
        <v>1863</v>
      </c>
      <c r="AU438" t="s">
        <v>3186</v>
      </c>
      <c r="AV438" t="s">
        <v>8126</v>
      </c>
      <c r="AW438" t="s">
        <v>8127</v>
      </c>
      <c r="AX438" t="s">
        <v>8128</v>
      </c>
      <c r="AY438" t="s">
        <v>8127</v>
      </c>
      <c r="AZ438" t="s">
        <v>8129</v>
      </c>
      <c r="BA438">
        <v>3.56</v>
      </c>
      <c r="BB438">
        <v>12008.37</v>
      </c>
      <c r="BC438">
        <v>0.43</v>
      </c>
      <c r="BD438">
        <v>16.05</v>
      </c>
      <c r="BE438">
        <v>16.329999999999998</v>
      </c>
      <c r="BF438">
        <v>15.93</v>
      </c>
      <c r="BG438" t="s">
        <v>8130</v>
      </c>
      <c r="BH438" t="s">
        <v>8131</v>
      </c>
      <c r="BI438" t="s">
        <v>8132</v>
      </c>
      <c r="BJ438" t="s">
        <v>101</v>
      </c>
      <c r="BK438" t="s">
        <v>8133</v>
      </c>
      <c r="BL438" t="s">
        <v>8134</v>
      </c>
      <c r="BM438" t="s">
        <v>8135</v>
      </c>
      <c r="BN438" t="s">
        <v>4063</v>
      </c>
    </row>
    <row r="439" spans="1:66" x14ac:dyDescent="0.25">
      <c r="A439" t="str">
        <f>HYPERLINK("https://elite.finviz.com/quote.ashx?t=ELV&amp;ty=c&amp;p=d&amp;b=1", "ELV")</f>
        <v>ELV</v>
      </c>
      <c r="B439">
        <v>7</v>
      </c>
      <c r="C439">
        <v>138.38</v>
      </c>
      <c r="D439">
        <v>53.1</v>
      </c>
      <c r="E439" t="s">
        <v>8136</v>
      </c>
      <c r="F439" t="s">
        <v>195</v>
      </c>
      <c r="G439" t="s">
        <v>428</v>
      </c>
      <c r="H439" t="s">
        <v>7264</v>
      </c>
      <c r="I439" t="s">
        <v>70</v>
      </c>
      <c r="J439" t="s">
        <v>71</v>
      </c>
      <c r="K439">
        <v>71516.63</v>
      </c>
      <c r="L439">
        <v>317.60000000000002</v>
      </c>
      <c r="M439" t="s">
        <v>193</v>
      </c>
      <c r="N439">
        <v>292379</v>
      </c>
      <c r="O439">
        <v>13.52</v>
      </c>
      <c r="P439">
        <v>10.09</v>
      </c>
      <c r="Q439">
        <v>4.4000000000000004</v>
      </c>
      <c r="R439">
        <v>0.38</v>
      </c>
      <c r="S439">
        <v>1.63</v>
      </c>
      <c r="T439" t="s">
        <v>212</v>
      </c>
      <c r="U439">
        <v>6.76</v>
      </c>
      <c r="V439" t="s">
        <v>5717</v>
      </c>
      <c r="W439" t="s">
        <v>4852</v>
      </c>
      <c r="X439" t="s">
        <v>2463</v>
      </c>
      <c r="Y439" t="s">
        <v>6230</v>
      </c>
      <c r="Z439" t="s">
        <v>6238</v>
      </c>
      <c r="AA439">
        <v>23.49</v>
      </c>
      <c r="AB439" t="s">
        <v>80</v>
      </c>
      <c r="AC439" t="s">
        <v>5642</v>
      </c>
      <c r="AD439" t="s">
        <v>1902</v>
      </c>
      <c r="AE439" t="s">
        <v>7669</v>
      </c>
      <c r="AF439" t="s">
        <v>3664</v>
      </c>
      <c r="AG439" t="s">
        <v>5865</v>
      </c>
      <c r="AH439" t="s">
        <v>7114</v>
      </c>
      <c r="AI439" t="s">
        <v>241</v>
      </c>
      <c r="AJ439" t="s">
        <v>581</v>
      </c>
      <c r="AK439" t="s">
        <v>8137</v>
      </c>
      <c r="AL439">
        <v>1.44</v>
      </c>
      <c r="AN439">
        <v>0.69</v>
      </c>
      <c r="AP439" t="s">
        <v>5554</v>
      </c>
      <c r="AQ439" t="s">
        <v>7437</v>
      </c>
      <c r="AR439" t="s">
        <v>4216</v>
      </c>
      <c r="AS439" t="s">
        <v>2742</v>
      </c>
      <c r="AT439" t="s">
        <v>7388</v>
      </c>
      <c r="AU439" t="s">
        <v>2744</v>
      </c>
      <c r="AV439" t="s">
        <v>8138</v>
      </c>
      <c r="AW439" t="s">
        <v>8139</v>
      </c>
      <c r="AX439" t="s">
        <v>325</v>
      </c>
      <c r="AY439" t="s">
        <v>8140</v>
      </c>
      <c r="AZ439" t="s">
        <v>325</v>
      </c>
      <c r="BA439">
        <v>1.96</v>
      </c>
      <c r="BB439">
        <v>2491.31</v>
      </c>
      <c r="BC439">
        <v>0.41</v>
      </c>
      <c r="BD439">
        <v>316.7</v>
      </c>
      <c r="BE439">
        <v>319.55</v>
      </c>
      <c r="BF439">
        <v>316.27999999999997</v>
      </c>
      <c r="BG439" t="s">
        <v>8141</v>
      </c>
      <c r="BH439" t="s">
        <v>8142</v>
      </c>
      <c r="BI439" t="s">
        <v>8143</v>
      </c>
      <c r="BJ439" t="s">
        <v>101</v>
      </c>
      <c r="BK439" t="s">
        <v>8144</v>
      </c>
      <c r="BL439" t="s">
        <v>8145</v>
      </c>
      <c r="BM439" t="s">
        <v>8146</v>
      </c>
      <c r="BN439" t="s">
        <v>4063</v>
      </c>
    </row>
    <row r="440" spans="1:66" x14ac:dyDescent="0.25">
      <c r="A440" t="str">
        <f>HYPERLINK("https://elite.finviz.com/quote.ashx?t=AA&amp;ty=c&amp;p=d&amp;b=1", "AA")</f>
        <v>AA</v>
      </c>
      <c r="B440">
        <v>7</v>
      </c>
      <c r="C440">
        <v>138.38</v>
      </c>
      <c r="D440">
        <v>53.11</v>
      </c>
      <c r="E440" t="s">
        <v>8147</v>
      </c>
      <c r="F440" t="s">
        <v>107</v>
      </c>
      <c r="G440" t="s">
        <v>355</v>
      </c>
      <c r="H440" t="s">
        <v>8148</v>
      </c>
      <c r="I440" t="s">
        <v>70</v>
      </c>
      <c r="J440" t="s">
        <v>71</v>
      </c>
      <c r="K440">
        <v>8335.76</v>
      </c>
      <c r="L440">
        <v>32.19</v>
      </c>
      <c r="M440" t="s">
        <v>4600</v>
      </c>
      <c r="N440">
        <v>1434296</v>
      </c>
      <c r="O440">
        <v>8.26</v>
      </c>
      <c r="P440">
        <v>12.08</v>
      </c>
      <c r="Q440">
        <v>0.23</v>
      </c>
      <c r="R440">
        <v>0.64</v>
      </c>
      <c r="S440">
        <v>1.36</v>
      </c>
      <c r="T440" t="s">
        <v>2650</v>
      </c>
      <c r="U440">
        <v>0.4</v>
      </c>
      <c r="V440" t="s">
        <v>7906</v>
      </c>
      <c r="W440" t="s">
        <v>164</v>
      </c>
      <c r="X440" t="s">
        <v>8149</v>
      </c>
      <c r="Z440" t="s">
        <v>8150</v>
      </c>
      <c r="AA440">
        <v>3.9</v>
      </c>
      <c r="AB440" t="s">
        <v>8151</v>
      </c>
      <c r="AD440" t="s">
        <v>8152</v>
      </c>
      <c r="AE440" t="s">
        <v>8153</v>
      </c>
      <c r="AF440" t="s">
        <v>2965</v>
      </c>
      <c r="AG440" t="s">
        <v>2735</v>
      </c>
      <c r="AH440" t="s">
        <v>4324</v>
      </c>
      <c r="AI440" t="s">
        <v>1035</v>
      </c>
      <c r="AJ440" t="s">
        <v>164</v>
      </c>
      <c r="AK440" t="s">
        <v>8154</v>
      </c>
      <c r="AL440">
        <v>1.65</v>
      </c>
      <c r="AM440">
        <v>0.97</v>
      </c>
      <c r="AN440">
        <v>0.43</v>
      </c>
      <c r="AO440" t="s">
        <v>4492</v>
      </c>
      <c r="AP440" t="s">
        <v>6814</v>
      </c>
      <c r="AQ440" t="s">
        <v>8155</v>
      </c>
      <c r="AR440" t="s">
        <v>4093</v>
      </c>
      <c r="AS440" t="s">
        <v>903</v>
      </c>
      <c r="AT440" t="s">
        <v>1765</v>
      </c>
      <c r="AU440" t="s">
        <v>1391</v>
      </c>
      <c r="AV440" t="s">
        <v>2202</v>
      </c>
      <c r="AW440" t="s">
        <v>8156</v>
      </c>
      <c r="AX440" t="s">
        <v>3815</v>
      </c>
      <c r="AY440" t="s">
        <v>8157</v>
      </c>
      <c r="AZ440" t="s">
        <v>8158</v>
      </c>
      <c r="BA440">
        <v>2.19</v>
      </c>
      <c r="BB440">
        <v>6006.6</v>
      </c>
      <c r="BC440">
        <v>0.84</v>
      </c>
      <c r="BD440">
        <v>31.45</v>
      </c>
      <c r="BE440">
        <v>32.299999999999997</v>
      </c>
      <c r="BF440">
        <v>31.45</v>
      </c>
      <c r="BG440" t="s">
        <v>8159</v>
      </c>
      <c r="BH440" t="s">
        <v>8160</v>
      </c>
      <c r="BI440" t="s">
        <v>8161</v>
      </c>
      <c r="BJ440" t="s">
        <v>101</v>
      </c>
      <c r="BK440" t="s">
        <v>4258</v>
      </c>
      <c r="BL440" t="s">
        <v>4782</v>
      </c>
      <c r="BM440" t="s">
        <v>8162</v>
      </c>
      <c r="BN440" t="s">
        <v>4063</v>
      </c>
    </row>
    <row r="441" spans="1:66" x14ac:dyDescent="0.25">
      <c r="A441" t="str">
        <f>HYPERLINK("https://elite.finviz.com/quote.ashx?t=STI&amp;ty=c&amp;p=d&amp;b=1", "STI")</f>
        <v>STI</v>
      </c>
      <c r="B441">
        <v>7</v>
      </c>
      <c r="C441">
        <v>138.38</v>
      </c>
      <c r="D441">
        <v>53.12</v>
      </c>
      <c r="E441" t="s">
        <v>8163</v>
      </c>
      <c r="F441" t="s">
        <v>107</v>
      </c>
      <c r="G441" t="s">
        <v>260</v>
      </c>
      <c r="H441" t="s">
        <v>1128</v>
      </c>
      <c r="I441" t="s">
        <v>70</v>
      </c>
      <c r="J441" t="s">
        <v>321</v>
      </c>
      <c r="K441">
        <v>13.29</v>
      </c>
      <c r="L441">
        <v>4.79</v>
      </c>
      <c r="M441" t="s">
        <v>8164</v>
      </c>
      <c r="N441">
        <v>26061</v>
      </c>
      <c r="AA441">
        <v>-5.0999999999999996</v>
      </c>
      <c r="AB441" t="s">
        <v>8165</v>
      </c>
      <c r="AJ441" t="s">
        <v>8166</v>
      </c>
      <c r="AK441" t="s">
        <v>2810</v>
      </c>
      <c r="AL441">
        <v>7.0000000000000007E-2</v>
      </c>
      <c r="AM441">
        <v>7.0000000000000007E-2</v>
      </c>
      <c r="AO441" t="s">
        <v>8167</v>
      </c>
      <c r="AP441" t="s">
        <v>8168</v>
      </c>
      <c r="AQ441" t="s">
        <v>8169</v>
      </c>
      <c r="AR441" t="s">
        <v>5653</v>
      </c>
      <c r="AS441" t="s">
        <v>7724</v>
      </c>
      <c r="AT441" t="s">
        <v>4698</v>
      </c>
      <c r="AU441" t="s">
        <v>3789</v>
      </c>
      <c r="AV441" t="s">
        <v>8170</v>
      </c>
      <c r="AW441" t="s">
        <v>2942</v>
      </c>
      <c r="AX441" t="s">
        <v>8171</v>
      </c>
      <c r="AY441" t="s">
        <v>8172</v>
      </c>
      <c r="AZ441" t="s">
        <v>8173</v>
      </c>
      <c r="BB441">
        <v>1558.33</v>
      </c>
      <c r="BC441">
        <v>0.06</v>
      </c>
      <c r="BD441">
        <v>4.5199999999999996</v>
      </c>
      <c r="BE441">
        <v>4.8</v>
      </c>
      <c r="BF441">
        <v>4.53</v>
      </c>
      <c r="BG441" t="s">
        <v>8174</v>
      </c>
      <c r="BH441" t="s">
        <v>8175</v>
      </c>
      <c r="BI441" t="s">
        <v>8173</v>
      </c>
      <c r="BJ441" t="s">
        <v>101</v>
      </c>
      <c r="BK441" t="s">
        <v>5719</v>
      </c>
      <c r="BL441" t="s">
        <v>4156</v>
      </c>
      <c r="BM441" t="s">
        <v>8176</v>
      </c>
      <c r="BN441" t="s">
        <v>4063</v>
      </c>
    </row>
    <row r="442" spans="1:66" x14ac:dyDescent="0.25">
      <c r="A442" t="str">
        <f>HYPERLINK("https://elite.finviz.com/quote.ashx?t=MTB&amp;ty=c&amp;p=d&amp;b=1", "MTB")</f>
        <v>MTB</v>
      </c>
      <c r="B442">
        <v>7</v>
      </c>
      <c r="C442">
        <v>138.38</v>
      </c>
      <c r="D442">
        <v>53.12</v>
      </c>
      <c r="E442" t="s">
        <v>8177</v>
      </c>
      <c r="F442" t="s">
        <v>195</v>
      </c>
      <c r="G442" t="s">
        <v>550</v>
      </c>
      <c r="H442" t="s">
        <v>697</v>
      </c>
      <c r="I442" t="s">
        <v>70</v>
      </c>
      <c r="J442" t="s">
        <v>71</v>
      </c>
      <c r="K442">
        <v>31162.78</v>
      </c>
      <c r="L442">
        <v>199.4</v>
      </c>
      <c r="M442" t="s">
        <v>698</v>
      </c>
      <c r="N442">
        <v>104395</v>
      </c>
      <c r="O442">
        <v>12.92</v>
      </c>
      <c r="P442">
        <v>10.61</v>
      </c>
      <c r="Q442">
        <v>1.04</v>
      </c>
      <c r="R442">
        <v>2.36</v>
      </c>
      <c r="S442">
        <v>1.19</v>
      </c>
      <c r="T442" t="s">
        <v>5780</v>
      </c>
      <c r="U442">
        <v>5.55</v>
      </c>
      <c r="V442" t="s">
        <v>2187</v>
      </c>
      <c r="W442" t="s">
        <v>5425</v>
      </c>
      <c r="X442" t="s">
        <v>755</v>
      </c>
      <c r="Y442" t="s">
        <v>272</v>
      </c>
      <c r="Z442" t="s">
        <v>8178</v>
      </c>
      <c r="AA442">
        <v>15.44</v>
      </c>
      <c r="AB442" t="s">
        <v>3856</v>
      </c>
      <c r="AC442" t="s">
        <v>3350</v>
      </c>
      <c r="AD442" t="s">
        <v>4593</v>
      </c>
      <c r="AE442" t="s">
        <v>8179</v>
      </c>
      <c r="AF442" t="s">
        <v>8180</v>
      </c>
      <c r="AG442" t="s">
        <v>8181</v>
      </c>
      <c r="AH442" t="s">
        <v>4155</v>
      </c>
      <c r="AI442" t="s">
        <v>6684</v>
      </c>
      <c r="AJ442" t="s">
        <v>8182</v>
      </c>
      <c r="AK442" t="s">
        <v>8183</v>
      </c>
      <c r="AL442">
        <v>0.43</v>
      </c>
      <c r="AN442">
        <v>0.51</v>
      </c>
      <c r="AP442" t="s">
        <v>3961</v>
      </c>
      <c r="AQ442" t="s">
        <v>2862</v>
      </c>
      <c r="AR442" t="s">
        <v>3118</v>
      </c>
      <c r="AS442" t="s">
        <v>2339</v>
      </c>
      <c r="AT442" t="s">
        <v>4539</v>
      </c>
      <c r="AU442" t="s">
        <v>6975</v>
      </c>
      <c r="AV442" t="s">
        <v>6183</v>
      </c>
      <c r="AW442" t="s">
        <v>3811</v>
      </c>
      <c r="AX442" t="s">
        <v>1006</v>
      </c>
      <c r="AY442" t="s">
        <v>8184</v>
      </c>
      <c r="AZ442" t="s">
        <v>8185</v>
      </c>
      <c r="BA442">
        <v>1.96</v>
      </c>
      <c r="BB442">
        <v>1038.92</v>
      </c>
      <c r="BC442">
        <v>0.35</v>
      </c>
      <c r="BD442">
        <v>198.79</v>
      </c>
      <c r="BE442">
        <v>201.64</v>
      </c>
      <c r="BF442">
        <v>199.15</v>
      </c>
      <c r="BG442" t="s">
        <v>8186</v>
      </c>
      <c r="BH442" t="s">
        <v>8184</v>
      </c>
      <c r="BI442" t="s">
        <v>8187</v>
      </c>
      <c r="BJ442" t="s">
        <v>101</v>
      </c>
      <c r="BK442" t="s">
        <v>4687</v>
      </c>
      <c r="BL442" t="s">
        <v>8188</v>
      </c>
      <c r="BM442" t="s">
        <v>2711</v>
      </c>
      <c r="BN442" t="s">
        <v>4063</v>
      </c>
    </row>
    <row r="443" spans="1:66" x14ac:dyDescent="0.25">
      <c r="A443" t="str">
        <f>HYPERLINK("https://elite.finviz.com/quote.ashx?t=AIRE&amp;ty=c&amp;p=d&amp;b=1", "AIRE")</f>
        <v>AIRE</v>
      </c>
      <c r="B443">
        <v>7</v>
      </c>
      <c r="C443">
        <v>138.38</v>
      </c>
      <c r="D443">
        <v>53.12</v>
      </c>
      <c r="E443" t="s">
        <v>8189</v>
      </c>
      <c r="F443" t="s">
        <v>107</v>
      </c>
      <c r="G443" t="s">
        <v>68</v>
      </c>
      <c r="H443" t="s">
        <v>7494</v>
      </c>
      <c r="I443" t="s">
        <v>70</v>
      </c>
      <c r="J443" t="s">
        <v>321</v>
      </c>
      <c r="K443">
        <v>77.739999999999995</v>
      </c>
      <c r="L443">
        <v>0.86</v>
      </c>
      <c r="M443" t="s">
        <v>8190</v>
      </c>
      <c r="N443">
        <v>6286556</v>
      </c>
      <c r="R443">
        <v>25.57</v>
      </c>
      <c r="AA443">
        <v>-0.65</v>
      </c>
      <c r="AD443" t="s">
        <v>5451</v>
      </c>
      <c r="AH443" t="s">
        <v>8191</v>
      </c>
      <c r="AI443" t="s">
        <v>8192</v>
      </c>
      <c r="AJ443" t="s">
        <v>164</v>
      </c>
      <c r="AK443" t="s">
        <v>6336</v>
      </c>
      <c r="AL443">
        <v>0.53</v>
      </c>
      <c r="AM443">
        <v>0.53</v>
      </c>
      <c r="AO443" t="s">
        <v>8193</v>
      </c>
      <c r="AP443" t="s">
        <v>8194</v>
      </c>
      <c r="AQ443" t="s">
        <v>8195</v>
      </c>
      <c r="AR443" t="s">
        <v>2359</v>
      </c>
      <c r="AS443" t="s">
        <v>8196</v>
      </c>
      <c r="AT443" t="s">
        <v>2495</v>
      </c>
      <c r="AU443" t="s">
        <v>8197</v>
      </c>
      <c r="AV443" t="s">
        <v>3705</v>
      </c>
      <c r="AW443" t="s">
        <v>8198</v>
      </c>
      <c r="AX443" t="s">
        <v>8199</v>
      </c>
      <c r="AY443" t="s">
        <v>8200</v>
      </c>
      <c r="AZ443" t="s">
        <v>8199</v>
      </c>
      <c r="BA443">
        <v>3</v>
      </c>
      <c r="BB443">
        <v>33960.46</v>
      </c>
      <c r="BC443">
        <v>0.65</v>
      </c>
      <c r="BD443">
        <v>0.91</v>
      </c>
      <c r="BE443">
        <v>0.95</v>
      </c>
      <c r="BF443">
        <v>0.82</v>
      </c>
      <c r="BG443" t="s">
        <v>8201</v>
      </c>
      <c r="BH443" t="s">
        <v>1432</v>
      </c>
      <c r="BI443" t="s">
        <v>8199</v>
      </c>
      <c r="BJ443" t="s">
        <v>101</v>
      </c>
      <c r="BK443" t="s">
        <v>8202</v>
      </c>
      <c r="BL443" t="s">
        <v>8203</v>
      </c>
      <c r="BM443" t="s">
        <v>8204</v>
      </c>
      <c r="BN443" t="s">
        <v>4063</v>
      </c>
    </row>
    <row r="444" spans="1:66" x14ac:dyDescent="0.25">
      <c r="A444" t="str">
        <f>HYPERLINK("https://elite.finviz.com/quote.ashx?t=SAIL&amp;ty=c&amp;p=d&amp;b=1", "SAIL")</f>
        <v>SAIL</v>
      </c>
      <c r="B444">
        <v>7</v>
      </c>
      <c r="C444">
        <v>138.38</v>
      </c>
      <c r="D444">
        <v>53.12</v>
      </c>
      <c r="E444" t="s">
        <v>8205</v>
      </c>
      <c r="F444" t="s">
        <v>107</v>
      </c>
      <c r="G444" t="s">
        <v>108</v>
      </c>
      <c r="H444" t="s">
        <v>109</v>
      </c>
      <c r="I444" t="s">
        <v>70</v>
      </c>
      <c r="J444" t="s">
        <v>321</v>
      </c>
      <c r="K444">
        <v>12154.14</v>
      </c>
      <c r="L444">
        <v>21.83</v>
      </c>
      <c r="M444" t="s">
        <v>3388</v>
      </c>
      <c r="N444">
        <v>426875</v>
      </c>
      <c r="P444">
        <v>76.28</v>
      </c>
      <c r="R444">
        <v>12.53</v>
      </c>
      <c r="S444">
        <v>1.78</v>
      </c>
      <c r="AA444">
        <v>-1.18</v>
      </c>
      <c r="AB444" t="s">
        <v>8206</v>
      </c>
      <c r="AE444" t="s">
        <v>3397</v>
      </c>
      <c r="AF444" t="s">
        <v>8207</v>
      </c>
      <c r="AH444" t="s">
        <v>8208</v>
      </c>
      <c r="AI444" t="s">
        <v>7647</v>
      </c>
      <c r="AJ444" t="s">
        <v>164</v>
      </c>
      <c r="AK444" t="s">
        <v>8209</v>
      </c>
      <c r="AL444">
        <v>1.17</v>
      </c>
      <c r="AM444">
        <v>1.17</v>
      </c>
      <c r="AN444">
        <v>0</v>
      </c>
      <c r="AO444" t="s">
        <v>8210</v>
      </c>
      <c r="AP444" t="s">
        <v>8211</v>
      </c>
      <c r="AQ444" t="s">
        <v>4002</v>
      </c>
      <c r="AR444" t="s">
        <v>6936</v>
      </c>
      <c r="AS444" t="s">
        <v>5370</v>
      </c>
      <c r="AT444" t="s">
        <v>581</v>
      </c>
      <c r="AU444" t="s">
        <v>5969</v>
      </c>
      <c r="AV444" t="s">
        <v>1207</v>
      </c>
      <c r="AW444" t="s">
        <v>6231</v>
      </c>
      <c r="AX444" t="s">
        <v>8212</v>
      </c>
      <c r="AY444" t="s">
        <v>4368</v>
      </c>
      <c r="AZ444" t="s">
        <v>8213</v>
      </c>
      <c r="BA444">
        <v>1.58</v>
      </c>
      <c r="BB444">
        <v>2476.89</v>
      </c>
      <c r="BC444">
        <v>0.61</v>
      </c>
      <c r="BD444">
        <v>21.92</v>
      </c>
      <c r="BE444">
        <v>22.21</v>
      </c>
      <c r="BF444">
        <v>21.66</v>
      </c>
      <c r="BG444" t="s">
        <v>8214</v>
      </c>
      <c r="BH444" t="s">
        <v>4368</v>
      </c>
      <c r="BI444" t="s">
        <v>8213</v>
      </c>
      <c r="BJ444" t="s">
        <v>101</v>
      </c>
      <c r="BK444" t="s">
        <v>5650</v>
      </c>
      <c r="BL444" t="s">
        <v>3115</v>
      </c>
      <c r="BN444" t="s">
        <v>4063</v>
      </c>
    </row>
    <row r="445" spans="1:66" x14ac:dyDescent="0.25">
      <c r="A445" t="str">
        <f>HYPERLINK("https://elite.finviz.com/quote.ashx?t=PTEN&amp;ty=c&amp;p=d&amp;b=1", "PTEN")</f>
        <v>PTEN</v>
      </c>
      <c r="B445">
        <v>7</v>
      </c>
      <c r="C445">
        <v>138.38</v>
      </c>
      <c r="D445">
        <v>53.14</v>
      </c>
      <c r="E445" t="s">
        <v>8215</v>
      </c>
      <c r="F445" t="s">
        <v>67</v>
      </c>
      <c r="G445" t="s">
        <v>1048</v>
      </c>
      <c r="H445" t="s">
        <v>7989</v>
      </c>
      <c r="I445" t="s">
        <v>70</v>
      </c>
      <c r="J445" t="s">
        <v>321</v>
      </c>
      <c r="K445">
        <v>2178.12</v>
      </c>
      <c r="L445">
        <v>5.66</v>
      </c>
      <c r="M445" t="s">
        <v>465</v>
      </c>
      <c r="N445">
        <v>1366639</v>
      </c>
      <c r="R445">
        <v>0.43</v>
      </c>
      <c r="S445">
        <v>0.65</v>
      </c>
      <c r="T445" t="s">
        <v>5210</v>
      </c>
      <c r="U445">
        <v>0.32</v>
      </c>
      <c r="V445" t="s">
        <v>2187</v>
      </c>
      <c r="W445" t="s">
        <v>164</v>
      </c>
      <c r="X445" t="s">
        <v>8149</v>
      </c>
      <c r="Y445" t="s">
        <v>1561</v>
      </c>
      <c r="AA445">
        <v>-2.76</v>
      </c>
      <c r="AB445" t="s">
        <v>3099</v>
      </c>
      <c r="AC445" t="s">
        <v>8216</v>
      </c>
      <c r="AD445" t="s">
        <v>5693</v>
      </c>
      <c r="AE445" t="s">
        <v>6157</v>
      </c>
      <c r="AF445" t="s">
        <v>8217</v>
      </c>
      <c r="AG445" t="s">
        <v>4601</v>
      </c>
      <c r="AH445" t="s">
        <v>2301</v>
      </c>
      <c r="AI445" t="s">
        <v>8218</v>
      </c>
      <c r="AJ445" t="s">
        <v>2468</v>
      </c>
      <c r="AK445" t="s">
        <v>8219</v>
      </c>
      <c r="AL445">
        <v>1.73</v>
      </c>
      <c r="AM445">
        <v>1.5</v>
      </c>
      <c r="AN445">
        <v>0.39</v>
      </c>
      <c r="AO445" t="s">
        <v>4216</v>
      </c>
      <c r="AP445" t="s">
        <v>2968</v>
      </c>
      <c r="AQ445" t="s">
        <v>8220</v>
      </c>
      <c r="AR445" t="s">
        <v>6460</v>
      </c>
      <c r="AS445" t="s">
        <v>6378</v>
      </c>
      <c r="AT445" t="s">
        <v>908</v>
      </c>
      <c r="AU445" t="s">
        <v>497</v>
      </c>
      <c r="AV445" t="s">
        <v>8084</v>
      </c>
      <c r="AW445" t="s">
        <v>7365</v>
      </c>
      <c r="AX445" t="s">
        <v>607</v>
      </c>
      <c r="AY445" t="s">
        <v>8221</v>
      </c>
      <c r="AZ445" t="s">
        <v>1110</v>
      </c>
      <c r="BA445">
        <v>2.12</v>
      </c>
      <c r="BB445">
        <v>8733.4500000000007</v>
      </c>
      <c r="BC445">
        <v>0.55000000000000004</v>
      </c>
      <c r="BD445">
        <v>5.5</v>
      </c>
      <c r="BE445">
        <v>5.71</v>
      </c>
      <c r="BF445">
        <v>5.49</v>
      </c>
      <c r="BG445" t="s">
        <v>8222</v>
      </c>
      <c r="BH445" t="s">
        <v>8223</v>
      </c>
      <c r="BI445" t="s">
        <v>8224</v>
      </c>
      <c r="BJ445" t="s">
        <v>101</v>
      </c>
      <c r="BK445" t="s">
        <v>8225</v>
      </c>
      <c r="BL445" t="s">
        <v>8226</v>
      </c>
      <c r="BM445" t="s">
        <v>2295</v>
      </c>
      <c r="BN445" t="s">
        <v>4063</v>
      </c>
    </row>
    <row r="446" spans="1:66" x14ac:dyDescent="0.25">
      <c r="A446" t="str">
        <f>HYPERLINK("https://elite.finviz.com/quote.ashx?t=CEG&amp;ty=c&amp;p=d&amp;b=1", "CEG")</f>
        <v>CEG</v>
      </c>
      <c r="B446">
        <v>7</v>
      </c>
      <c r="C446">
        <v>138.38</v>
      </c>
      <c r="D446">
        <v>53.17</v>
      </c>
      <c r="E446" t="s">
        <v>8227</v>
      </c>
      <c r="F446" t="s">
        <v>319</v>
      </c>
      <c r="G446" t="s">
        <v>287</v>
      </c>
      <c r="H446" t="s">
        <v>288</v>
      </c>
      <c r="I446" t="s">
        <v>70</v>
      </c>
      <c r="J446" t="s">
        <v>321</v>
      </c>
      <c r="K446">
        <v>102751.76</v>
      </c>
      <c r="L446">
        <v>328.9</v>
      </c>
      <c r="M446" t="s">
        <v>6463</v>
      </c>
      <c r="N446">
        <v>383362</v>
      </c>
      <c r="O446">
        <v>34.32</v>
      </c>
      <c r="P446">
        <v>27.95</v>
      </c>
      <c r="Q446">
        <v>2.41</v>
      </c>
      <c r="R446">
        <v>4.08</v>
      </c>
      <c r="S446">
        <v>7.64</v>
      </c>
      <c r="T446" t="s">
        <v>8228</v>
      </c>
      <c r="U446">
        <v>1.52</v>
      </c>
      <c r="V446" t="s">
        <v>1440</v>
      </c>
      <c r="W446" t="s">
        <v>4714</v>
      </c>
      <c r="Z446" t="s">
        <v>2819</v>
      </c>
      <c r="AA446">
        <v>9.58</v>
      </c>
      <c r="AC446" t="s">
        <v>2781</v>
      </c>
      <c r="AD446" t="s">
        <v>1716</v>
      </c>
      <c r="AE446" t="s">
        <v>3002</v>
      </c>
      <c r="AF446" t="s">
        <v>414</v>
      </c>
      <c r="AG446" t="s">
        <v>8229</v>
      </c>
      <c r="AH446" t="s">
        <v>3231</v>
      </c>
      <c r="AI446" t="s">
        <v>2494</v>
      </c>
      <c r="AJ446" t="s">
        <v>164</v>
      </c>
      <c r="AK446" t="s">
        <v>5555</v>
      </c>
      <c r="AL446">
        <v>1.48</v>
      </c>
      <c r="AM446">
        <v>1.22</v>
      </c>
      <c r="AN446">
        <v>0.62</v>
      </c>
      <c r="AO446" t="s">
        <v>1383</v>
      </c>
      <c r="AP446" t="s">
        <v>1788</v>
      </c>
      <c r="AQ446" t="s">
        <v>3644</v>
      </c>
      <c r="AR446" t="s">
        <v>3433</v>
      </c>
      <c r="AS446" t="s">
        <v>4394</v>
      </c>
      <c r="AT446" t="s">
        <v>2743</v>
      </c>
      <c r="AU446" t="s">
        <v>5058</v>
      </c>
      <c r="AV446" t="s">
        <v>2866</v>
      </c>
      <c r="AW446" t="s">
        <v>8230</v>
      </c>
      <c r="AX446" t="s">
        <v>2715</v>
      </c>
      <c r="AY446" t="s">
        <v>8230</v>
      </c>
      <c r="AZ446" t="s">
        <v>8231</v>
      </c>
      <c r="BA446">
        <v>1.75</v>
      </c>
      <c r="BB446">
        <v>2306.36</v>
      </c>
      <c r="BC446">
        <v>0.59</v>
      </c>
      <c r="BD446">
        <v>326.33</v>
      </c>
      <c r="BE446">
        <v>332.5</v>
      </c>
      <c r="BF446">
        <v>326.51</v>
      </c>
      <c r="BG446" t="s">
        <v>8232</v>
      </c>
      <c r="BH446" t="s">
        <v>8230</v>
      </c>
      <c r="BI446" t="s">
        <v>8233</v>
      </c>
      <c r="BJ446" t="s">
        <v>101</v>
      </c>
      <c r="BK446" t="s">
        <v>2361</v>
      </c>
      <c r="BL446" t="s">
        <v>8234</v>
      </c>
      <c r="BM446" t="s">
        <v>7773</v>
      </c>
      <c r="BN446" t="s">
        <v>4063</v>
      </c>
    </row>
    <row r="447" spans="1:66" x14ac:dyDescent="0.25">
      <c r="A447" t="str">
        <f>HYPERLINK("https://elite.finviz.com/quote.ashx?t=HPE&amp;ty=c&amp;p=d&amp;b=1", "HPE")</f>
        <v>HPE</v>
      </c>
      <c r="B447">
        <v>7</v>
      </c>
      <c r="C447">
        <v>138.38</v>
      </c>
      <c r="D447">
        <v>53.21</v>
      </c>
      <c r="E447" t="s">
        <v>8235</v>
      </c>
      <c r="F447" t="s">
        <v>195</v>
      </c>
      <c r="G447" t="s">
        <v>108</v>
      </c>
      <c r="H447" t="s">
        <v>1921</v>
      </c>
      <c r="I447" t="s">
        <v>70</v>
      </c>
      <c r="J447" t="s">
        <v>71</v>
      </c>
      <c r="K447">
        <v>31567.84</v>
      </c>
      <c r="L447">
        <v>23.92</v>
      </c>
      <c r="M447" t="s">
        <v>6407</v>
      </c>
      <c r="N447">
        <v>4381173</v>
      </c>
      <c r="O447">
        <v>30.22</v>
      </c>
      <c r="P447">
        <v>9.8800000000000008</v>
      </c>
      <c r="Q447">
        <v>2.95</v>
      </c>
      <c r="R447">
        <v>0.95</v>
      </c>
      <c r="S447">
        <v>1.29</v>
      </c>
      <c r="T447" t="s">
        <v>8016</v>
      </c>
      <c r="U447">
        <v>0.52</v>
      </c>
      <c r="V447" t="s">
        <v>8236</v>
      </c>
      <c r="W447" t="s">
        <v>5658</v>
      </c>
      <c r="X447" t="s">
        <v>648</v>
      </c>
      <c r="Y447" t="s">
        <v>307</v>
      </c>
      <c r="Z447" t="s">
        <v>8237</v>
      </c>
      <c r="AA447">
        <v>0.79</v>
      </c>
      <c r="AB447" t="s">
        <v>8238</v>
      </c>
      <c r="AC447" t="s">
        <v>8239</v>
      </c>
      <c r="AD447" t="s">
        <v>8240</v>
      </c>
      <c r="AE447" t="s">
        <v>1549</v>
      </c>
      <c r="AF447" t="s">
        <v>248</v>
      </c>
      <c r="AG447" t="s">
        <v>6463</v>
      </c>
      <c r="AH447" t="s">
        <v>8241</v>
      </c>
      <c r="AI447" t="s">
        <v>4995</v>
      </c>
      <c r="AJ447" t="s">
        <v>8242</v>
      </c>
      <c r="AK447" t="s">
        <v>8243</v>
      </c>
      <c r="AL447">
        <v>0.95</v>
      </c>
      <c r="AM447">
        <v>0.68</v>
      </c>
      <c r="AN447">
        <v>0.97</v>
      </c>
      <c r="AO447" t="s">
        <v>8244</v>
      </c>
      <c r="AP447" t="s">
        <v>2776</v>
      </c>
      <c r="AQ447" t="s">
        <v>2736</v>
      </c>
      <c r="AR447" t="s">
        <v>4891</v>
      </c>
      <c r="AS447" t="s">
        <v>4976</v>
      </c>
      <c r="AT447" t="s">
        <v>110</v>
      </c>
      <c r="AU447" t="s">
        <v>5114</v>
      </c>
      <c r="AV447" t="s">
        <v>6892</v>
      </c>
      <c r="AW447" t="s">
        <v>3509</v>
      </c>
      <c r="AX447" t="s">
        <v>4771</v>
      </c>
      <c r="AY447" t="s">
        <v>3509</v>
      </c>
      <c r="AZ447" t="s">
        <v>2478</v>
      </c>
      <c r="BA447">
        <v>2.09</v>
      </c>
      <c r="BB447">
        <v>20477.650000000001</v>
      </c>
      <c r="BC447">
        <v>0.75</v>
      </c>
      <c r="BD447">
        <v>24.21</v>
      </c>
      <c r="BE447">
        <v>24.15</v>
      </c>
      <c r="BF447">
        <v>23.81</v>
      </c>
      <c r="BG447" t="s">
        <v>8245</v>
      </c>
      <c r="BH447" t="s">
        <v>3509</v>
      </c>
      <c r="BI447" t="s">
        <v>8246</v>
      </c>
      <c r="BJ447" t="s">
        <v>101</v>
      </c>
      <c r="BK447" t="s">
        <v>8247</v>
      </c>
      <c r="BL447" t="s">
        <v>7577</v>
      </c>
      <c r="BM447" t="s">
        <v>8248</v>
      </c>
      <c r="BN447" t="s">
        <v>4063</v>
      </c>
    </row>
    <row r="448" spans="1:66" x14ac:dyDescent="0.25">
      <c r="A448" t="str">
        <f>HYPERLINK("https://elite.finviz.com/quote.ashx?t=BTBD&amp;ty=c&amp;p=d&amp;b=1", "BTBD")</f>
        <v>BTBD</v>
      </c>
      <c r="B448">
        <v>7</v>
      </c>
      <c r="C448">
        <v>138.38</v>
      </c>
      <c r="D448">
        <v>53.22</v>
      </c>
      <c r="E448" t="s">
        <v>8249</v>
      </c>
      <c r="F448" t="s">
        <v>107</v>
      </c>
      <c r="G448" t="s">
        <v>813</v>
      </c>
      <c r="H448" t="s">
        <v>2285</v>
      </c>
      <c r="I448" t="s">
        <v>70</v>
      </c>
      <c r="J448" t="s">
        <v>321</v>
      </c>
      <c r="K448">
        <v>11.31</v>
      </c>
      <c r="L448">
        <v>1.9</v>
      </c>
      <c r="M448" t="s">
        <v>4742</v>
      </c>
      <c r="N448">
        <v>99252</v>
      </c>
      <c r="R448">
        <v>0.78</v>
      </c>
      <c r="S448">
        <v>1.73</v>
      </c>
      <c r="AA448">
        <v>-0.34</v>
      </c>
      <c r="AC448" t="s">
        <v>8250</v>
      </c>
      <c r="AE448" t="s">
        <v>2449</v>
      </c>
      <c r="AF448" t="s">
        <v>5691</v>
      </c>
      <c r="AG448" t="s">
        <v>2544</v>
      </c>
      <c r="AH448" t="s">
        <v>8251</v>
      </c>
      <c r="AJ448" t="s">
        <v>164</v>
      </c>
      <c r="AK448" t="s">
        <v>1488</v>
      </c>
      <c r="AL448">
        <v>4.67</v>
      </c>
      <c r="AM448">
        <v>4.22</v>
      </c>
      <c r="AN448">
        <v>0.53</v>
      </c>
      <c r="AO448" t="s">
        <v>903</v>
      </c>
      <c r="AP448" t="s">
        <v>1137</v>
      </c>
      <c r="AQ448" t="s">
        <v>8252</v>
      </c>
      <c r="AR448" t="s">
        <v>1423</v>
      </c>
      <c r="AS448" t="s">
        <v>1788</v>
      </c>
      <c r="AT448" t="s">
        <v>1324</v>
      </c>
      <c r="AU448" t="s">
        <v>3745</v>
      </c>
      <c r="AV448" t="s">
        <v>8253</v>
      </c>
      <c r="AW448" t="s">
        <v>8254</v>
      </c>
      <c r="AX448" t="s">
        <v>8255</v>
      </c>
      <c r="AY448" t="s">
        <v>8254</v>
      </c>
      <c r="AZ448" t="s">
        <v>8256</v>
      </c>
      <c r="BB448">
        <v>4067.2</v>
      </c>
      <c r="BC448">
        <v>0.09</v>
      </c>
      <c r="BD448">
        <v>1.79</v>
      </c>
      <c r="BE448">
        <v>1.91</v>
      </c>
      <c r="BF448">
        <v>1.76</v>
      </c>
      <c r="BG448" t="s">
        <v>8257</v>
      </c>
      <c r="BH448" t="s">
        <v>8254</v>
      </c>
      <c r="BI448" t="s">
        <v>8256</v>
      </c>
      <c r="BJ448" t="s">
        <v>101</v>
      </c>
      <c r="BK448" t="s">
        <v>6852</v>
      </c>
      <c r="BL448" t="s">
        <v>2767</v>
      </c>
      <c r="BM448" t="s">
        <v>8258</v>
      </c>
      <c r="BN448" t="s">
        <v>4063</v>
      </c>
    </row>
    <row r="449" spans="1:66" x14ac:dyDescent="0.25">
      <c r="A449" t="str">
        <f>HYPERLINK("https://elite.finviz.com/quote.ashx?t=FNKO&amp;ty=c&amp;p=d&amp;b=1", "FNKO")</f>
        <v>FNKO</v>
      </c>
      <c r="B449">
        <v>7</v>
      </c>
      <c r="C449">
        <v>138.38</v>
      </c>
      <c r="D449">
        <v>53.26</v>
      </c>
      <c r="E449" t="s">
        <v>8259</v>
      </c>
      <c r="F449" t="s">
        <v>67</v>
      </c>
      <c r="G449" t="s">
        <v>813</v>
      </c>
      <c r="H449" t="s">
        <v>5941</v>
      </c>
      <c r="I449" t="s">
        <v>70</v>
      </c>
      <c r="J449" t="s">
        <v>321</v>
      </c>
      <c r="K449">
        <v>203.23</v>
      </c>
      <c r="L449">
        <v>3.67</v>
      </c>
      <c r="M449" t="s">
        <v>3051</v>
      </c>
      <c r="N449">
        <v>377813</v>
      </c>
      <c r="R449">
        <v>0.21</v>
      </c>
      <c r="S449">
        <v>1.1000000000000001</v>
      </c>
      <c r="AA449">
        <v>-1.21</v>
      </c>
      <c r="AD449" t="s">
        <v>5968</v>
      </c>
      <c r="AE449" t="s">
        <v>5559</v>
      </c>
      <c r="AF449" t="s">
        <v>1022</v>
      </c>
      <c r="AG449" t="s">
        <v>7685</v>
      </c>
      <c r="AH449" t="s">
        <v>6622</v>
      </c>
      <c r="AI449" t="s">
        <v>8260</v>
      </c>
      <c r="AJ449" t="s">
        <v>1364</v>
      </c>
      <c r="AK449" t="s">
        <v>8261</v>
      </c>
      <c r="AL449">
        <v>0.64</v>
      </c>
      <c r="AM449">
        <v>0.41</v>
      </c>
      <c r="AN449">
        <v>1.83</v>
      </c>
      <c r="AO449" t="s">
        <v>7895</v>
      </c>
      <c r="AP449" t="s">
        <v>4432</v>
      </c>
      <c r="AQ449" t="s">
        <v>8262</v>
      </c>
      <c r="AR449" t="s">
        <v>5150</v>
      </c>
      <c r="AS449" t="s">
        <v>3053</v>
      </c>
      <c r="AT449" t="s">
        <v>215</v>
      </c>
      <c r="AU449" t="s">
        <v>372</v>
      </c>
      <c r="AV449" t="s">
        <v>8263</v>
      </c>
      <c r="AW449" t="s">
        <v>4156</v>
      </c>
      <c r="AX449" t="s">
        <v>8264</v>
      </c>
      <c r="AY449" t="s">
        <v>8265</v>
      </c>
      <c r="AZ449" t="s">
        <v>8264</v>
      </c>
      <c r="BA449">
        <v>1.67</v>
      </c>
      <c r="BB449">
        <v>1466.52</v>
      </c>
      <c r="BC449">
        <v>0.91</v>
      </c>
      <c r="BD449">
        <v>3.98</v>
      </c>
      <c r="BE449">
        <v>4.01</v>
      </c>
      <c r="BF449">
        <v>3.67</v>
      </c>
      <c r="BG449" t="s">
        <v>8266</v>
      </c>
      <c r="BH449" t="s">
        <v>8267</v>
      </c>
      <c r="BI449" t="s">
        <v>8264</v>
      </c>
      <c r="BJ449" t="s">
        <v>101</v>
      </c>
      <c r="BK449" t="s">
        <v>8268</v>
      </c>
      <c r="BL449" t="s">
        <v>8269</v>
      </c>
      <c r="BM449" t="s">
        <v>8270</v>
      </c>
      <c r="BN449" t="s">
        <v>4063</v>
      </c>
    </row>
    <row r="450" spans="1:66" x14ac:dyDescent="0.25">
      <c r="A450" t="str">
        <f>HYPERLINK("https://elite.finviz.com/quote.ashx?t=ADT&amp;ty=c&amp;p=d&amp;b=1", "ADT")</f>
        <v>ADT</v>
      </c>
      <c r="B450">
        <v>7</v>
      </c>
      <c r="C450">
        <v>138.38</v>
      </c>
      <c r="D450">
        <v>53.3</v>
      </c>
      <c r="E450" t="s">
        <v>8271</v>
      </c>
      <c r="F450" t="s">
        <v>107</v>
      </c>
      <c r="G450" t="s">
        <v>260</v>
      </c>
      <c r="H450" t="s">
        <v>4162</v>
      </c>
      <c r="I450" t="s">
        <v>70</v>
      </c>
      <c r="J450" t="s">
        <v>71</v>
      </c>
      <c r="K450">
        <v>7252.84</v>
      </c>
      <c r="L450">
        <v>8.73</v>
      </c>
      <c r="M450" t="s">
        <v>907</v>
      </c>
      <c r="N450">
        <v>1556315</v>
      </c>
      <c r="O450">
        <v>13.07</v>
      </c>
      <c r="P450">
        <v>9</v>
      </c>
      <c r="Q450">
        <v>0.96</v>
      </c>
      <c r="R450">
        <v>1.43</v>
      </c>
      <c r="S450">
        <v>1.99</v>
      </c>
      <c r="T450" t="s">
        <v>92</v>
      </c>
      <c r="U450">
        <v>0.22</v>
      </c>
      <c r="V450" t="s">
        <v>7788</v>
      </c>
      <c r="W450" t="s">
        <v>8272</v>
      </c>
      <c r="X450" t="s">
        <v>8273</v>
      </c>
      <c r="Y450" t="s">
        <v>8274</v>
      </c>
      <c r="Z450" t="s">
        <v>8275</v>
      </c>
      <c r="AA450">
        <v>0.67</v>
      </c>
      <c r="AD450" t="s">
        <v>1253</v>
      </c>
      <c r="AE450" t="s">
        <v>756</v>
      </c>
      <c r="AF450" t="s">
        <v>3328</v>
      </c>
      <c r="AG450" t="s">
        <v>110</v>
      </c>
      <c r="AH450" t="s">
        <v>8276</v>
      </c>
      <c r="AI450" t="s">
        <v>3270</v>
      </c>
      <c r="AJ450" t="s">
        <v>8277</v>
      </c>
      <c r="AK450" t="s">
        <v>8278</v>
      </c>
      <c r="AL450">
        <v>0.46</v>
      </c>
      <c r="AM450">
        <v>0.37</v>
      </c>
      <c r="AN450">
        <v>2.16</v>
      </c>
      <c r="AO450" t="s">
        <v>8279</v>
      </c>
      <c r="AP450" t="s">
        <v>8280</v>
      </c>
      <c r="AQ450" t="s">
        <v>7655</v>
      </c>
      <c r="AR450" t="s">
        <v>2202</v>
      </c>
      <c r="AS450" t="s">
        <v>7338</v>
      </c>
      <c r="AT450" t="s">
        <v>2216</v>
      </c>
      <c r="AU450" t="s">
        <v>5610</v>
      </c>
      <c r="AV450" t="s">
        <v>2192</v>
      </c>
      <c r="AW450" t="s">
        <v>1690</v>
      </c>
      <c r="AX450" t="s">
        <v>2869</v>
      </c>
      <c r="AY450" t="s">
        <v>1690</v>
      </c>
      <c r="AZ450" t="s">
        <v>8281</v>
      </c>
      <c r="BA450">
        <v>2.33</v>
      </c>
      <c r="BB450">
        <v>11717.89</v>
      </c>
      <c r="BC450">
        <v>0.47</v>
      </c>
      <c r="BD450">
        <v>8.6</v>
      </c>
      <c r="BE450">
        <v>8.81</v>
      </c>
      <c r="BF450">
        <v>8.6199999999999992</v>
      </c>
      <c r="BG450" t="s">
        <v>8282</v>
      </c>
      <c r="BH450" t="s">
        <v>8283</v>
      </c>
      <c r="BI450" t="s">
        <v>8284</v>
      </c>
      <c r="BJ450" t="s">
        <v>101</v>
      </c>
      <c r="BK450" t="s">
        <v>2700</v>
      </c>
      <c r="BL450" t="s">
        <v>370</v>
      </c>
      <c r="BM450" t="s">
        <v>7381</v>
      </c>
      <c r="BN450" t="s">
        <v>4063</v>
      </c>
    </row>
    <row r="451" spans="1:66" x14ac:dyDescent="0.25">
      <c r="A451" t="str">
        <f>HYPERLINK("https://elite.finviz.com/quote.ashx?t=UWMC&amp;ty=c&amp;p=d&amp;b=1", "UWMC")</f>
        <v>UWMC</v>
      </c>
      <c r="B451">
        <v>7</v>
      </c>
      <c r="C451">
        <v>138.38</v>
      </c>
      <c r="D451">
        <v>53.36</v>
      </c>
      <c r="E451" t="s">
        <v>8285</v>
      </c>
      <c r="F451" t="s">
        <v>107</v>
      </c>
      <c r="G451" t="s">
        <v>550</v>
      </c>
      <c r="H451" t="s">
        <v>3699</v>
      </c>
      <c r="I451" t="s">
        <v>70</v>
      </c>
      <c r="J451" t="s">
        <v>71</v>
      </c>
      <c r="K451">
        <v>9949.36</v>
      </c>
      <c r="L451">
        <v>6.22</v>
      </c>
      <c r="M451" t="s">
        <v>770</v>
      </c>
      <c r="N451">
        <v>1050499</v>
      </c>
      <c r="P451">
        <v>14.2</v>
      </c>
      <c r="R451">
        <v>3.83</v>
      </c>
      <c r="S451">
        <v>7.27</v>
      </c>
      <c r="T451" t="s">
        <v>8286</v>
      </c>
      <c r="U451">
        <v>0.4</v>
      </c>
      <c r="V451" t="s">
        <v>8236</v>
      </c>
      <c r="W451" t="s">
        <v>164</v>
      </c>
      <c r="X451" t="s">
        <v>164</v>
      </c>
      <c r="Z451" t="s">
        <v>8287</v>
      </c>
      <c r="AA451">
        <v>-7.0000000000000007E-2</v>
      </c>
      <c r="AB451" t="s">
        <v>8288</v>
      </c>
      <c r="AD451" t="s">
        <v>8289</v>
      </c>
      <c r="AE451" t="s">
        <v>2392</v>
      </c>
      <c r="AF451" t="s">
        <v>7861</v>
      </c>
      <c r="AH451" t="s">
        <v>8290</v>
      </c>
      <c r="AI451" t="s">
        <v>8291</v>
      </c>
      <c r="AJ451" t="s">
        <v>8292</v>
      </c>
      <c r="AK451" t="s">
        <v>1587</v>
      </c>
      <c r="AL451">
        <v>0.2</v>
      </c>
      <c r="AM451">
        <v>0.2</v>
      </c>
      <c r="AN451">
        <v>63.8</v>
      </c>
      <c r="AO451" t="s">
        <v>6927</v>
      </c>
      <c r="AP451" t="s">
        <v>264</v>
      </c>
      <c r="AQ451" t="s">
        <v>8228</v>
      </c>
      <c r="AR451" t="s">
        <v>4125</v>
      </c>
      <c r="AS451" t="s">
        <v>323</v>
      </c>
      <c r="AT451" t="s">
        <v>8293</v>
      </c>
      <c r="AU451" t="s">
        <v>6748</v>
      </c>
      <c r="AV451" t="s">
        <v>6131</v>
      </c>
      <c r="AW451" t="s">
        <v>8294</v>
      </c>
      <c r="AX451" t="s">
        <v>8295</v>
      </c>
      <c r="AY451" t="s">
        <v>566</v>
      </c>
      <c r="AZ451" t="s">
        <v>8296</v>
      </c>
      <c r="BA451">
        <v>2.44</v>
      </c>
      <c r="BB451">
        <v>8524.34</v>
      </c>
      <c r="BC451">
        <v>0.43</v>
      </c>
      <c r="BD451">
        <v>6.23</v>
      </c>
      <c r="BE451">
        <v>6.38</v>
      </c>
      <c r="BF451">
        <v>6.21</v>
      </c>
      <c r="BG451" t="s">
        <v>8297</v>
      </c>
      <c r="BH451" t="s">
        <v>8298</v>
      </c>
      <c r="BI451" t="s">
        <v>8299</v>
      </c>
      <c r="BJ451" t="s">
        <v>101</v>
      </c>
      <c r="BK451" t="s">
        <v>6831</v>
      </c>
      <c r="BL451" t="s">
        <v>3146</v>
      </c>
      <c r="BM451" t="s">
        <v>8300</v>
      </c>
      <c r="BN451" t="s">
        <v>4063</v>
      </c>
    </row>
    <row r="452" spans="1:66" x14ac:dyDescent="0.25">
      <c r="A452" t="str">
        <f>HYPERLINK("https://elite.finviz.com/quote.ashx?t=ALT&amp;ty=c&amp;p=d&amp;b=1", "ALT")</f>
        <v>ALT</v>
      </c>
      <c r="B452">
        <v>7</v>
      </c>
      <c r="C452">
        <v>138.38</v>
      </c>
      <c r="D452">
        <v>53.36</v>
      </c>
      <c r="E452" t="s">
        <v>8301</v>
      </c>
      <c r="F452" t="s">
        <v>67</v>
      </c>
      <c r="G452" t="s">
        <v>428</v>
      </c>
      <c r="H452" t="s">
        <v>429</v>
      </c>
      <c r="I452" t="s">
        <v>70</v>
      </c>
      <c r="J452" t="s">
        <v>321</v>
      </c>
      <c r="K452">
        <v>341.18</v>
      </c>
      <c r="L452">
        <v>3.87</v>
      </c>
      <c r="M452" t="s">
        <v>4938</v>
      </c>
      <c r="N452">
        <v>762646</v>
      </c>
      <c r="R452">
        <v>17058.88</v>
      </c>
      <c r="S452">
        <v>2.04</v>
      </c>
      <c r="AA452">
        <v>-1.18</v>
      </c>
      <c r="AB452" t="s">
        <v>8302</v>
      </c>
      <c r="AC452" t="s">
        <v>903</v>
      </c>
      <c r="AD452" t="s">
        <v>272</v>
      </c>
      <c r="AE452" t="s">
        <v>8303</v>
      </c>
      <c r="AF452" t="s">
        <v>8304</v>
      </c>
      <c r="AG452" t="s">
        <v>8305</v>
      </c>
      <c r="AH452" t="s">
        <v>164</v>
      </c>
      <c r="AI452" t="s">
        <v>2636</v>
      </c>
      <c r="AJ452" t="s">
        <v>164</v>
      </c>
      <c r="AK452" t="s">
        <v>8306</v>
      </c>
      <c r="AL452">
        <v>20.41</v>
      </c>
      <c r="AM452">
        <v>20.41</v>
      </c>
      <c r="AN452">
        <v>0.1</v>
      </c>
      <c r="AO452" t="s">
        <v>8307</v>
      </c>
      <c r="AP452" t="s">
        <v>8308</v>
      </c>
      <c r="AQ452" t="s">
        <v>8309</v>
      </c>
      <c r="AR452" t="s">
        <v>713</v>
      </c>
      <c r="AS452" t="s">
        <v>4995</v>
      </c>
      <c r="AT452" t="s">
        <v>1932</v>
      </c>
      <c r="AU452" t="s">
        <v>2233</v>
      </c>
      <c r="AV452" t="s">
        <v>8310</v>
      </c>
      <c r="AW452" t="s">
        <v>8311</v>
      </c>
      <c r="AX452" t="s">
        <v>5702</v>
      </c>
      <c r="AY452" t="s">
        <v>8312</v>
      </c>
      <c r="AZ452" t="s">
        <v>4793</v>
      </c>
      <c r="BA452">
        <v>1.6</v>
      </c>
      <c r="BB452">
        <v>5257.2</v>
      </c>
      <c r="BC452">
        <v>0.51</v>
      </c>
      <c r="BD452">
        <v>3.92</v>
      </c>
      <c r="BE452">
        <v>3.92</v>
      </c>
      <c r="BF452">
        <v>3.79</v>
      </c>
      <c r="BG452" t="s">
        <v>8313</v>
      </c>
      <c r="BH452" t="s">
        <v>8314</v>
      </c>
      <c r="BI452" t="s">
        <v>8315</v>
      </c>
      <c r="BJ452" t="s">
        <v>101</v>
      </c>
      <c r="BK452" t="s">
        <v>1110</v>
      </c>
      <c r="BL452" t="s">
        <v>8316</v>
      </c>
      <c r="BM452" t="s">
        <v>8317</v>
      </c>
      <c r="BN452" t="s">
        <v>4063</v>
      </c>
    </row>
    <row r="453" spans="1:66" x14ac:dyDescent="0.25">
      <c r="A453" t="str">
        <f>HYPERLINK("https://elite.finviz.com/quote.ashx?t=LZ&amp;ty=c&amp;p=d&amp;b=1", "LZ")</f>
        <v>LZ</v>
      </c>
      <c r="B453">
        <v>7</v>
      </c>
      <c r="C453">
        <v>138.38</v>
      </c>
      <c r="D453">
        <v>53.37</v>
      </c>
      <c r="E453" t="s">
        <v>8318</v>
      </c>
      <c r="F453" t="s">
        <v>67</v>
      </c>
      <c r="G453" t="s">
        <v>260</v>
      </c>
      <c r="H453" t="s">
        <v>1077</v>
      </c>
      <c r="I453" t="s">
        <v>70</v>
      </c>
      <c r="J453" t="s">
        <v>321</v>
      </c>
      <c r="K453">
        <v>1933.35</v>
      </c>
      <c r="L453">
        <v>10.73</v>
      </c>
      <c r="M453" t="s">
        <v>5380</v>
      </c>
      <c r="N453">
        <v>274162</v>
      </c>
      <c r="O453">
        <v>65.84</v>
      </c>
      <c r="P453">
        <v>13.86</v>
      </c>
      <c r="Q453">
        <v>4</v>
      </c>
      <c r="R453">
        <v>2.74</v>
      </c>
      <c r="S453">
        <v>9.9499999999999993</v>
      </c>
      <c r="Z453" t="s">
        <v>164</v>
      </c>
      <c r="AA453">
        <v>0.16</v>
      </c>
      <c r="AC453" t="s">
        <v>4419</v>
      </c>
      <c r="AD453" t="s">
        <v>4594</v>
      </c>
      <c r="AE453" t="s">
        <v>2721</v>
      </c>
      <c r="AF453" t="s">
        <v>3733</v>
      </c>
      <c r="AG453" t="s">
        <v>8319</v>
      </c>
      <c r="AH453" t="s">
        <v>5607</v>
      </c>
      <c r="AI453" t="s">
        <v>133</v>
      </c>
      <c r="AJ453" t="s">
        <v>2906</v>
      </c>
      <c r="AK453" t="s">
        <v>8320</v>
      </c>
      <c r="AL453">
        <v>0.77</v>
      </c>
      <c r="AM453">
        <v>0.77</v>
      </c>
      <c r="AN453">
        <v>7.0000000000000007E-2</v>
      </c>
      <c r="AO453" t="s">
        <v>8321</v>
      </c>
      <c r="AP453" t="s">
        <v>323</v>
      </c>
      <c r="AQ453" t="s">
        <v>5164</v>
      </c>
      <c r="AR453" t="s">
        <v>4873</v>
      </c>
      <c r="AS453" t="s">
        <v>3500</v>
      </c>
      <c r="AT453" t="s">
        <v>4849</v>
      </c>
      <c r="AU453" t="s">
        <v>4428</v>
      </c>
      <c r="AV453" t="s">
        <v>8322</v>
      </c>
      <c r="AW453" t="s">
        <v>4048</v>
      </c>
      <c r="AX453" t="s">
        <v>5487</v>
      </c>
      <c r="AY453" t="s">
        <v>4048</v>
      </c>
      <c r="AZ453" t="s">
        <v>8323</v>
      </c>
      <c r="BA453">
        <v>2.6</v>
      </c>
      <c r="BB453">
        <v>2272.27</v>
      </c>
      <c r="BC453">
        <v>0.43</v>
      </c>
      <c r="BD453">
        <v>10.6</v>
      </c>
      <c r="BE453">
        <v>10.78</v>
      </c>
      <c r="BF453">
        <v>10.61</v>
      </c>
      <c r="BG453" t="s">
        <v>8324</v>
      </c>
      <c r="BH453" t="s">
        <v>8325</v>
      </c>
      <c r="BI453" t="s">
        <v>8326</v>
      </c>
      <c r="BJ453" t="s">
        <v>101</v>
      </c>
      <c r="BK453" t="s">
        <v>8327</v>
      </c>
      <c r="BL453" t="s">
        <v>928</v>
      </c>
      <c r="BM453" t="s">
        <v>5278</v>
      </c>
      <c r="BN453" t="s">
        <v>4063</v>
      </c>
    </row>
    <row r="454" spans="1:66" x14ac:dyDescent="0.25">
      <c r="A454" t="str">
        <f>HYPERLINK("https://elite.finviz.com/quote.ashx?t=PCVX&amp;ty=c&amp;p=d&amp;b=1", "PCVX")</f>
        <v>PCVX</v>
      </c>
      <c r="B454">
        <v>7</v>
      </c>
      <c r="C454">
        <v>138.38</v>
      </c>
      <c r="D454">
        <v>53.38</v>
      </c>
      <c r="E454" t="s">
        <v>8328</v>
      </c>
      <c r="F454" t="s">
        <v>67</v>
      </c>
      <c r="G454" t="s">
        <v>428</v>
      </c>
      <c r="H454" t="s">
        <v>429</v>
      </c>
      <c r="I454" t="s">
        <v>70</v>
      </c>
      <c r="J454" t="s">
        <v>321</v>
      </c>
      <c r="K454">
        <v>4272.8900000000003</v>
      </c>
      <c r="L454">
        <v>32.909999999999997</v>
      </c>
      <c r="M454" t="s">
        <v>92</v>
      </c>
      <c r="N454">
        <v>277360</v>
      </c>
      <c r="S454">
        <v>1.39</v>
      </c>
      <c r="AA454">
        <v>-4.1900000000000004</v>
      </c>
      <c r="AB454" t="s">
        <v>8329</v>
      </c>
      <c r="AC454" t="s">
        <v>4926</v>
      </c>
      <c r="AD454" t="s">
        <v>8330</v>
      </c>
      <c r="AI454" t="s">
        <v>6469</v>
      </c>
      <c r="AJ454" t="s">
        <v>164</v>
      </c>
      <c r="AK454" t="s">
        <v>8331</v>
      </c>
      <c r="AL454">
        <v>11.11</v>
      </c>
      <c r="AM454">
        <v>11.11</v>
      </c>
      <c r="AN454">
        <v>0.03</v>
      </c>
      <c r="AR454" t="s">
        <v>4052</v>
      </c>
      <c r="AS454" t="s">
        <v>3520</v>
      </c>
      <c r="AT454" t="s">
        <v>2868</v>
      </c>
      <c r="AU454" t="s">
        <v>2881</v>
      </c>
      <c r="AV454" t="s">
        <v>8332</v>
      </c>
      <c r="AW454" t="s">
        <v>8333</v>
      </c>
      <c r="AX454" t="s">
        <v>604</v>
      </c>
      <c r="AY454" t="s">
        <v>8334</v>
      </c>
      <c r="AZ454" t="s">
        <v>4599</v>
      </c>
      <c r="BA454">
        <v>1.18</v>
      </c>
      <c r="BB454">
        <v>1590.72</v>
      </c>
      <c r="BC454">
        <v>0.61</v>
      </c>
      <c r="BD454">
        <v>32.14</v>
      </c>
      <c r="BE454">
        <v>32.880000000000003</v>
      </c>
      <c r="BF454">
        <v>31.99</v>
      </c>
      <c r="BG454" t="s">
        <v>8335</v>
      </c>
      <c r="BH454" t="s">
        <v>8336</v>
      </c>
      <c r="BI454" t="s">
        <v>8337</v>
      </c>
      <c r="BJ454" t="s">
        <v>101</v>
      </c>
      <c r="BK454" t="s">
        <v>5577</v>
      </c>
      <c r="BL454" t="s">
        <v>8338</v>
      </c>
      <c r="BM454" t="s">
        <v>8339</v>
      </c>
      <c r="BN454" t="s">
        <v>4063</v>
      </c>
    </row>
    <row r="455" spans="1:66" x14ac:dyDescent="0.25">
      <c r="A455" t="str">
        <f>HYPERLINK("https://elite.finviz.com/quote.ashx?t=MRC&amp;ty=c&amp;p=d&amp;b=1", "MRC")</f>
        <v>MRC</v>
      </c>
      <c r="B455">
        <v>7</v>
      </c>
      <c r="C455">
        <v>138.38</v>
      </c>
      <c r="D455">
        <v>53.39</v>
      </c>
      <c r="E455" t="s">
        <v>8340</v>
      </c>
      <c r="F455" t="s">
        <v>67</v>
      </c>
      <c r="G455" t="s">
        <v>1048</v>
      </c>
      <c r="H455" t="s">
        <v>8341</v>
      </c>
      <c r="I455" t="s">
        <v>70</v>
      </c>
      <c r="J455" t="s">
        <v>71</v>
      </c>
      <c r="K455">
        <v>1253.3</v>
      </c>
      <c r="L455">
        <v>14.73</v>
      </c>
      <c r="M455" t="s">
        <v>3349</v>
      </c>
      <c r="N455">
        <v>74021</v>
      </c>
      <c r="P455">
        <v>13.27</v>
      </c>
      <c r="R455">
        <v>0.42</v>
      </c>
      <c r="S455">
        <v>2.34</v>
      </c>
      <c r="Z455" t="s">
        <v>164</v>
      </c>
      <c r="AA455">
        <v>-0.24</v>
      </c>
      <c r="AC455" t="s">
        <v>5551</v>
      </c>
      <c r="AD455" t="s">
        <v>8342</v>
      </c>
      <c r="AE455" t="s">
        <v>8343</v>
      </c>
      <c r="AF455" t="s">
        <v>2484</v>
      </c>
      <c r="AG455" t="s">
        <v>308</v>
      </c>
      <c r="AH455" t="s">
        <v>2288</v>
      </c>
      <c r="AI455" t="s">
        <v>2743</v>
      </c>
      <c r="AJ455" t="s">
        <v>164</v>
      </c>
      <c r="AK455" t="s">
        <v>8344</v>
      </c>
      <c r="AL455">
        <v>1.84</v>
      </c>
      <c r="AM455">
        <v>1</v>
      </c>
      <c r="AN455">
        <v>1.1599999999999999</v>
      </c>
      <c r="AO455" t="s">
        <v>3258</v>
      </c>
      <c r="AP455" t="s">
        <v>4499</v>
      </c>
      <c r="AQ455" t="s">
        <v>3495</v>
      </c>
      <c r="AR455" t="s">
        <v>4976</v>
      </c>
      <c r="AS455" t="s">
        <v>2643</v>
      </c>
      <c r="AT455" t="s">
        <v>7464</v>
      </c>
      <c r="AU455" t="s">
        <v>910</v>
      </c>
      <c r="AV455" t="s">
        <v>8345</v>
      </c>
      <c r="AW455" t="s">
        <v>5189</v>
      </c>
      <c r="AX455" t="s">
        <v>6967</v>
      </c>
      <c r="AY455" t="s">
        <v>8346</v>
      </c>
      <c r="AZ455" t="s">
        <v>8347</v>
      </c>
      <c r="BA455">
        <v>1</v>
      </c>
      <c r="BB455">
        <v>1084.23</v>
      </c>
      <c r="BC455">
        <v>0.24</v>
      </c>
      <c r="BD455">
        <v>14.51</v>
      </c>
      <c r="BE455">
        <v>14.86</v>
      </c>
      <c r="BF455">
        <v>14.57</v>
      </c>
      <c r="BG455" t="s">
        <v>8348</v>
      </c>
      <c r="BH455" t="s">
        <v>8349</v>
      </c>
      <c r="BI455" t="s">
        <v>8350</v>
      </c>
      <c r="BJ455" t="s">
        <v>101</v>
      </c>
      <c r="BK455" t="s">
        <v>4065</v>
      </c>
      <c r="BL455" t="s">
        <v>8351</v>
      </c>
      <c r="BM455" t="s">
        <v>1626</v>
      </c>
      <c r="BN455" t="s">
        <v>4063</v>
      </c>
    </row>
    <row r="456" spans="1:66" x14ac:dyDescent="0.25">
      <c r="A456" t="str">
        <f>HYPERLINK("https://elite.finviz.com/quote.ashx?t=VLY&amp;ty=c&amp;p=d&amp;b=1", "VLY")</f>
        <v>VLY</v>
      </c>
      <c r="B456">
        <v>7</v>
      </c>
      <c r="C456">
        <v>138.38</v>
      </c>
      <c r="D456">
        <v>53.4</v>
      </c>
      <c r="E456" t="s">
        <v>8352</v>
      </c>
      <c r="F456" t="s">
        <v>67</v>
      </c>
      <c r="G456" t="s">
        <v>550</v>
      </c>
      <c r="H456" t="s">
        <v>697</v>
      </c>
      <c r="I456" t="s">
        <v>70</v>
      </c>
      <c r="J456" t="s">
        <v>321</v>
      </c>
      <c r="K456">
        <v>5941.44</v>
      </c>
      <c r="L456">
        <v>10.61</v>
      </c>
      <c r="M456" t="s">
        <v>124</v>
      </c>
      <c r="N456">
        <v>1233117</v>
      </c>
      <c r="O456">
        <v>13.59</v>
      </c>
      <c r="P456">
        <v>9.02</v>
      </c>
      <c r="Q456">
        <v>0.47</v>
      </c>
      <c r="R456">
        <v>1.69</v>
      </c>
      <c r="S456">
        <v>0.82</v>
      </c>
      <c r="T456" t="s">
        <v>4526</v>
      </c>
      <c r="U456">
        <v>0.44</v>
      </c>
      <c r="V456" t="s">
        <v>3833</v>
      </c>
      <c r="W456" t="s">
        <v>164</v>
      </c>
      <c r="X456" t="s">
        <v>164</v>
      </c>
      <c r="Y456" t="s">
        <v>164</v>
      </c>
      <c r="Z456" t="s">
        <v>8353</v>
      </c>
      <c r="AA456">
        <v>0.78</v>
      </c>
      <c r="AB456" t="s">
        <v>7704</v>
      </c>
      <c r="AC456" t="s">
        <v>4653</v>
      </c>
      <c r="AD456" t="s">
        <v>2270</v>
      </c>
      <c r="AE456" t="s">
        <v>1083</v>
      </c>
      <c r="AF456" t="s">
        <v>8354</v>
      </c>
      <c r="AG456" t="s">
        <v>5759</v>
      </c>
      <c r="AH456" t="s">
        <v>3967</v>
      </c>
      <c r="AI456" t="s">
        <v>414</v>
      </c>
      <c r="AJ456" t="s">
        <v>164</v>
      </c>
      <c r="AK456" t="s">
        <v>8355</v>
      </c>
      <c r="AL456">
        <v>7.0000000000000007E-2</v>
      </c>
      <c r="AN456">
        <v>0.46</v>
      </c>
      <c r="AP456" t="s">
        <v>7735</v>
      </c>
      <c r="AQ456" t="s">
        <v>8356</v>
      </c>
      <c r="AR456" t="s">
        <v>3208</v>
      </c>
      <c r="AS456" t="s">
        <v>180</v>
      </c>
      <c r="AT456" t="s">
        <v>8357</v>
      </c>
      <c r="AU456" t="s">
        <v>5395</v>
      </c>
      <c r="AV456" t="s">
        <v>7883</v>
      </c>
      <c r="AW456" t="s">
        <v>8358</v>
      </c>
      <c r="AX456" t="s">
        <v>8359</v>
      </c>
      <c r="AY456" t="s">
        <v>8358</v>
      </c>
      <c r="AZ456" t="s">
        <v>8360</v>
      </c>
      <c r="BA456">
        <v>1.43</v>
      </c>
      <c r="BB456">
        <v>8639.08</v>
      </c>
      <c r="BC456">
        <v>0.5</v>
      </c>
      <c r="BD456">
        <v>10.65</v>
      </c>
      <c r="BE456">
        <v>10.8</v>
      </c>
      <c r="BF456">
        <v>10.6</v>
      </c>
      <c r="BG456" t="s">
        <v>8361</v>
      </c>
      <c r="BH456" t="s">
        <v>8362</v>
      </c>
      <c r="BI456" t="s">
        <v>8363</v>
      </c>
      <c r="BJ456" t="s">
        <v>101</v>
      </c>
      <c r="BK456" t="s">
        <v>4904</v>
      </c>
      <c r="BL456" t="s">
        <v>8364</v>
      </c>
      <c r="BM456" t="s">
        <v>8365</v>
      </c>
      <c r="BN456" t="s">
        <v>4063</v>
      </c>
    </row>
    <row r="457" spans="1:66" x14ac:dyDescent="0.25">
      <c r="A457" t="str">
        <f>HYPERLINK("https://elite.finviz.com/quote.ashx?t=SKX&amp;ty=c&amp;p=d&amp;b=1", "SKX")</f>
        <v>SKX</v>
      </c>
      <c r="B457">
        <v>7</v>
      </c>
      <c r="C457">
        <v>138.38</v>
      </c>
      <c r="D457">
        <v>53.4</v>
      </c>
      <c r="E457" t="s">
        <v>8366</v>
      </c>
      <c r="F457" t="s">
        <v>107</v>
      </c>
      <c r="G457" t="s">
        <v>813</v>
      </c>
      <c r="H457" t="s">
        <v>4043</v>
      </c>
      <c r="I457" t="s">
        <v>70</v>
      </c>
      <c r="J457" t="s">
        <v>71</v>
      </c>
      <c r="K457">
        <v>9487.18</v>
      </c>
      <c r="L457">
        <v>63.13</v>
      </c>
      <c r="M457" t="s">
        <v>164</v>
      </c>
      <c r="N457">
        <v>0</v>
      </c>
      <c r="O457">
        <v>14.44</v>
      </c>
      <c r="P457">
        <v>16.71</v>
      </c>
      <c r="R457">
        <v>1.01</v>
      </c>
      <c r="S457">
        <v>1.99</v>
      </c>
      <c r="Z457" t="s">
        <v>164</v>
      </c>
      <c r="AA457">
        <v>4.37</v>
      </c>
      <c r="AB457" t="s">
        <v>6123</v>
      </c>
      <c r="AC457" t="s">
        <v>4258</v>
      </c>
      <c r="AE457" t="s">
        <v>231</v>
      </c>
      <c r="AF457" t="s">
        <v>4829</v>
      </c>
      <c r="AG457" t="s">
        <v>6331</v>
      </c>
      <c r="AH457" t="s">
        <v>3430</v>
      </c>
      <c r="AI457" t="s">
        <v>8367</v>
      </c>
      <c r="AJ457" t="s">
        <v>164</v>
      </c>
      <c r="AK457" t="s">
        <v>8368</v>
      </c>
      <c r="AL457">
        <v>2.09</v>
      </c>
      <c r="AM457">
        <v>1.29</v>
      </c>
      <c r="AN457">
        <v>0.47</v>
      </c>
      <c r="AO457" t="s">
        <v>8369</v>
      </c>
      <c r="AP457" t="s">
        <v>1133</v>
      </c>
      <c r="AQ457" t="s">
        <v>2448</v>
      </c>
      <c r="AR457" t="s">
        <v>2560</v>
      </c>
      <c r="AS457" t="s">
        <v>2880</v>
      </c>
      <c r="AT457" t="s">
        <v>4507</v>
      </c>
      <c r="AU457" t="s">
        <v>5549</v>
      </c>
      <c r="AV457" t="s">
        <v>1457</v>
      </c>
      <c r="AW457" t="s">
        <v>337</v>
      </c>
      <c r="AX457" t="s">
        <v>4308</v>
      </c>
      <c r="AY457" t="s">
        <v>6891</v>
      </c>
      <c r="AZ457" t="s">
        <v>1726</v>
      </c>
      <c r="BA457">
        <v>3</v>
      </c>
      <c r="BB457">
        <v>4014.68</v>
      </c>
      <c r="BC457">
        <v>0</v>
      </c>
      <c r="BD457">
        <v>63.13</v>
      </c>
      <c r="BE457">
        <v>63.13</v>
      </c>
      <c r="BF457">
        <v>63.13</v>
      </c>
      <c r="BG457" t="s">
        <v>8370</v>
      </c>
      <c r="BH457" t="s">
        <v>6891</v>
      </c>
      <c r="BI457" t="s">
        <v>8371</v>
      </c>
      <c r="BJ457" t="s">
        <v>101</v>
      </c>
      <c r="BK457" t="s">
        <v>458</v>
      </c>
      <c r="BL457" t="s">
        <v>8372</v>
      </c>
      <c r="BM457" t="s">
        <v>4528</v>
      </c>
      <c r="BN457" t="s">
        <v>4063</v>
      </c>
    </row>
    <row r="458" spans="1:66" x14ac:dyDescent="0.25">
      <c r="A458" t="str">
        <f>HYPERLINK("https://elite.finviz.com/quote.ashx?t=VRT&amp;ty=c&amp;p=d&amp;b=1", "VRT")</f>
        <v>VRT</v>
      </c>
      <c r="B458">
        <v>7</v>
      </c>
      <c r="C458">
        <v>138.38</v>
      </c>
      <c r="D458">
        <v>53.47</v>
      </c>
      <c r="E458" t="s">
        <v>8373</v>
      </c>
      <c r="F458" t="s">
        <v>107</v>
      </c>
      <c r="G458" t="s">
        <v>260</v>
      </c>
      <c r="H458" t="s">
        <v>1128</v>
      </c>
      <c r="I458" t="s">
        <v>70</v>
      </c>
      <c r="J458" t="s">
        <v>71</v>
      </c>
      <c r="K458">
        <v>53039.38</v>
      </c>
      <c r="L458">
        <v>138.9</v>
      </c>
      <c r="M458" t="s">
        <v>8374</v>
      </c>
      <c r="N458">
        <v>1044779</v>
      </c>
      <c r="O458">
        <v>66.36</v>
      </c>
      <c r="P458">
        <v>29.24</v>
      </c>
      <c r="Q458">
        <v>2.5099999999999998</v>
      </c>
      <c r="R458">
        <v>5.83</v>
      </c>
      <c r="S458">
        <v>16.97</v>
      </c>
      <c r="T458" t="s">
        <v>1324</v>
      </c>
      <c r="U458">
        <v>0.15</v>
      </c>
      <c r="V458" t="s">
        <v>3833</v>
      </c>
      <c r="W458" t="s">
        <v>8375</v>
      </c>
      <c r="X458" t="s">
        <v>8376</v>
      </c>
      <c r="Z458" t="s">
        <v>147</v>
      </c>
      <c r="AA458">
        <v>2.09</v>
      </c>
      <c r="AB458" t="s">
        <v>6434</v>
      </c>
      <c r="AD458" t="s">
        <v>8377</v>
      </c>
      <c r="AE458" t="s">
        <v>8378</v>
      </c>
      <c r="AF458" t="s">
        <v>5337</v>
      </c>
      <c r="AG458" t="s">
        <v>8379</v>
      </c>
      <c r="AH458" t="s">
        <v>2568</v>
      </c>
      <c r="AI458" t="s">
        <v>3789</v>
      </c>
      <c r="AJ458" t="s">
        <v>8380</v>
      </c>
      <c r="AK458" t="s">
        <v>736</v>
      </c>
      <c r="AL458">
        <v>1.74</v>
      </c>
      <c r="AM458">
        <v>1.35</v>
      </c>
      <c r="AN458">
        <v>1.02</v>
      </c>
      <c r="AO458" t="s">
        <v>8381</v>
      </c>
      <c r="AP458" t="s">
        <v>5758</v>
      </c>
      <c r="AQ458" t="s">
        <v>4193</v>
      </c>
      <c r="AR458" t="s">
        <v>2408</v>
      </c>
      <c r="AS458" t="s">
        <v>4104</v>
      </c>
      <c r="AT458" t="s">
        <v>7088</v>
      </c>
      <c r="AU458" t="s">
        <v>3500</v>
      </c>
      <c r="AV458" t="s">
        <v>6973</v>
      </c>
      <c r="AW458" t="s">
        <v>8382</v>
      </c>
      <c r="AX458" t="s">
        <v>8383</v>
      </c>
      <c r="AY458" t="s">
        <v>8292</v>
      </c>
      <c r="AZ458" t="s">
        <v>8384</v>
      </c>
      <c r="BA458">
        <v>1.59</v>
      </c>
      <c r="BB458">
        <v>7319.46</v>
      </c>
      <c r="BC458">
        <v>0.5</v>
      </c>
      <c r="BD458">
        <v>139.77000000000001</v>
      </c>
      <c r="BE458">
        <v>140.97999999999999</v>
      </c>
      <c r="BF458">
        <v>137.75</v>
      </c>
      <c r="BG458" t="s">
        <v>8385</v>
      </c>
      <c r="BH458" t="s">
        <v>8292</v>
      </c>
      <c r="BI458" t="s">
        <v>8386</v>
      </c>
      <c r="BJ458" t="s">
        <v>101</v>
      </c>
      <c r="BK458" t="s">
        <v>2237</v>
      </c>
      <c r="BL458" t="s">
        <v>8387</v>
      </c>
      <c r="BM458" t="s">
        <v>8388</v>
      </c>
      <c r="BN458" t="s">
        <v>4063</v>
      </c>
    </row>
    <row r="459" spans="1:66" x14ac:dyDescent="0.25">
      <c r="A459" t="str">
        <f>HYPERLINK("https://elite.finviz.com/quote.ashx?t=AES&amp;ty=c&amp;p=d&amp;b=1", "AES")</f>
        <v>AES</v>
      </c>
      <c r="B459">
        <v>7</v>
      </c>
      <c r="C459">
        <v>138.38</v>
      </c>
      <c r="D459">
        <v>53.48</v>
      </c>
      <c r="E459" t="s">
        <v>8389</v>
      </c>
      <c r="F459" t="s">
        <v>195</v>
      </c>
      <c r="G459" t="s">
        <v>287</v>
      </c>
      <c r="H459" t="s">
        <v>3479</v>
      </c>
      <c r="I459" t="s">
        <v>70</v>
      </c>
      <c r="J459" t="s">
        <v>71</v>
      </c>
      <c r="K459">
        <v>9388.3799999999992</v>
      </c>
      <c r="L459">
        <v>13.19</v>
      </c>
      <c r="M459" t="s">
        <v>5380</v>
      </c>
      <c r="N459">
        <v>1463480</v>
      </c>
      <c r="O459">
        <v>9.31</v>
      </c>
      <c r="P459">
        <v>5.75</v>
      </c>
      <c r="Q459">
        <v>3.06</v>
      </c>
      <c r="R459">
        <v>0.78</v>
      </c>
      <c r="S459">
        <v>2.79</v>
      </c>
      <c r="T459" t="s">
        <v>3066</v>
      </c>
      <c r="U459">
        <v>0.7</v>
      </c>
      <c r="V459" t="s">
        <v>4066</v>
      </c>
      <c r="W459" t="s">
        <v>6118</v>
      </c>
      <c r="X459" t="s">
        <v>2721</v>
      </c>
      <c r="Y459" t="s">
        <v>5685</v>
      </c>
      <c r="Z459" t="s">
        <v>7374</v>
      </c>
      <c r="AA459">
        <v>1.42</v>
      </c>
      <c r="AC459" t="s">
        <v>8390</v>
      </c>
      <c r="AD459" t="s">
        <v>2624</v>
      </c>
      <c r="AE459" t="s">
        <v>3554</v>
      </c>
      <c r="AF459" t="s">
        <v>5593</v>
      </c>
      <c r="AG459" t="s">
        <v>756</v>
      </c>
      <c r="AH459" t="s">
        <v>6105</v>
      </c>
      <c r="AI459" t="s">
        <v>5760</v>
      </c>
      <c r="AJ459" t="s">
        <v>164</v>
      </c>
      <c r="AK459" t="s">
        <v>8391</v>
      </c>
      <c r="AL459">
        <v>0.82</v>
      </c>
      <c r="AM459">
        <v>0.74</v>
      </c>
      <c r="AN459">
        <v>5.46</v>
      </c>
      <c r="AO459" t="s">
        <v>7629</v>
      </c>
      <c r="AP459" t="s">
        <v>1511</v>
      </c>
      <c r="AQ459" t="s">
        <v>224</v>
      </c>
      <c r="AR459" t="s">
        <v>4658</v>
      </c>
      <c r="AS459" t="s">
        <v>3456</v>
      </c>
      <c r="AT459" t="s">
        <v>3024</v>
      </c>
      <c r="AU459" t="s">
        <v>1324</v>
      </c>
      <c r="AV459" t="s">
        <v>6076</v>
      </c>
      <c r="AW459" t="s">
        <v>2934</v>
      </c>
      <c r="AX459" t="s">
        <v>1215</v>
      </c>
      <c r="AY459" t="s">
        <v>8392</v>
      </c>
      <c r="AZ459" t="s">
        <v>8393</v>
      </c>
      <c r="BA459">
        <v>2.38</v>
      </c>
      <c r="BB459">
        <v>12367.17</v>
      </c>
      <c r="BC459">
        <v>0.42</v>
      </c>
      <c r="BD459">
        <v>13.03</v>
      </c>
      <c r="BE459">
        <v>13.41</v>
      </c>
      <c r="BF459">
        <v>13.12</v>
      </c>
      <c r="BG459" t="s">
        <v>8394</v>
      </c>
      <c r="BH459" t="s">
        <v>8395</v>
      </c>
      <c r="BI459" t="s">
        <v>8396</v>
      </c>
      <c r="BJ459" t="s">
        <v>101</v>
      </c>
      <c r="BK459" t="s">
        <v>1065</v>
      </c>
      <c r="BL459" t="s">
        <v>7541</v>
      </c>
      <c r="BM459" t="s">
        <v>8397</v>
      </c>
      <c r="BN459" t="s">
        <v>4063</v>
      </c>
    </row>
    <row r="460" spans="1:66" x14ac:dyDescent="0.25">
      <c r="A460" t="str">
        <f>HYPERLINK("https://elite.finviz.com/quote.ashx?t=XYL&amp;ty=c&amp;p=d&amp;b=1", "XYL")</f>
        <v>XYL</v>
      </c>
      <c r="B460">
        <v>7</v>
      </c>
      <c r="C460">
        <v>138.38</v>
      </c>
      <c r="D460">
        <v>53.52</v>
      </c>
      <c r="E460" t="s">
        <v>8398</v>
      </c>
      <c r="F460" t="s">
        <v>195</v>
      </c>
      <c r="G460" t="s">
        <v>260</v>
      </c>
      <c r="H460" t="s">
        <v>261</v>
      </c>
      <c r="I460" t="s">
        <v>70</v>
      </c>
      <c r="J460" t="s">
        <v>71</v>
      </c>
      <c r="K460">
        <v>34590.949999999997</v>
      </c>
      <c r="L460">
        <v>142.11000000000001</v>
      </c>
      <c r="M460" t="s">
        <v>149</v>
      </c>
      <c r="N460">
        <v>120768</v>
      </c>
      <c r="O460">
        <v>36.94</v>
      </c>
      <c r="P460">
        <v>26.35</v>
      </c>
      <c r="Q460">
        <v>3.1</v>
      </c>
      <c r="R460">
        <v>3.96</v>
      </c>
      <c r="S460">
        <v>3.12</v>
      </c>
      <c r="T460" t="s">
        <v>4689</v>
      </c>
      <c r="U460">
        <v>1.56</v>
      </c>
      <c r="V460" t="s">
        <v>6765</v>
      </c>
      <c r="W460" t="s">
        <v>290</v>
      </c>
      <c r="X460" t="s">
        <v>776</v>
      </c>
      <c r="Y460" t="s">
        <v>712</v>
      </c>
      <c r="Z460" t="s">
        <v>8399</v>
      </c>
      <c r="AA460">
        <v>3.85</v>
      </c>
      <c r="AB460" t="s">
        <v>8400</v>
      </c>
      <c r="AC460" t="s">
        <v>3071</v>
      </c>
      <c r="AD460" t="s">
        <v>2891</v>
      </c>
      <c r="AE460" t="s">
        <v>1148</v>
      </c>
      <c r="AF460" t="s">
        <v>8063</v>
      </c>
      <c r="AG460" t="s">
        <v>8401</v>
      </c>
      <c r="AH460" t="s">
        <v>2839</v>
      </c>
      <c r="AI460" t="s">
        <v>1809</v>
      </c>
      <c r="AJ460" t="s">
        <v>8402</v>
      </c>
      <c r="AK460" t="s">
        <v>5678</v>
      </c>
      <c r="AL460">
        <v>1.9</v>
      </c>
      <c r="AM460">
        <v>1.43</v>
      </c>
      <c r="AN460">
        <v>0.19</v>
      </c>
      <c r="AO460" t="s">
        <v>8403</v>
      </c>
      <c r="AP460" t="s">
        <v>6737</v>
      </c>
      <c r="AQ460" t="s">
        <v>6532</v>
      </c>
      <c r="AR460" t="s">
        <v>6829</v>
      </c>
      <c r="AS460" t="s">
        <v>1760</v>
      </c>
      <c r="AT460" t="s">
        <v>5253</v>
      </c>
      <c r="AU460" t="s">
        <v>1025</v>
      </c>
      <c r="AV460" t="s">
        <v>1297</v>
      </c>
      <c r="AW460" t="s">
        <v>5444</v>
      </c>
      <c r="AX460" t="s">
        <v>5404</v>
      </c>
      <c r="AY460" t="s">
        <v>5444</v>
      </c>
      <c r="AZ460" t="s">
        <v>666</v>
      </c>
      <c r="BA460">
        <v>1.88</v>
      </c>
      <c r="BB460">
        <v>1202.0899999999999</v>
      </c>
      <c r="BC460">
        <v>0.35</v>
      </c>
      <c r="BD460">
        <v>141.44999999999999</v>
      </c>
      <c r="BE460">
        <v>142.85</v>
      </c>
      <c r="BF460">
        <v>141.65</v>
      </c>
      <c r="BG460" t="s">
        <v>8404</v>
      </c>
      <c r="BH460" t="s">
        <v>2968</v>
      </c>
      <c r="BI460" t="s">
        <v>8405</v>
      </c>
      <c r="BJ460" t="s">
        <v>101</v>
      </c>
      <c r="BK460" t="s">
        <v>7512</v>
      </c>
      <c r="BL460" t="s">
        <v>4594</v>
      </c>
      <c r="BM460" t="s">
        <v>3126</v>
      </c>
      <c r="BN460" t="s">
        <v>4063</v>
      </c>
    </row>
    <row r="461" spans="1:66" x14ac:dyDescent="0.25">
      <c r="A461" t="str">
        <f>HYPERLINK("https://elite.finviz.com/quote.ashx?t=SNOW&amp;ty=c&amp;p=d&amp;b=1", "SNOW")</f>
        <v>SNOW</v>
      </c>
      <c r="B461">
        <v>7</v>
      </c>
      <c r="C461">
        <v>138.38</v>
      </c>
      <c r="D461">
        <v>53.53</v>
      </c>
      <c r="E461" t="s">
        <v>8406</v>
      </c>
      <c r="F461" t="s">
        <v>107</v>
      </c>
      <c r="G461" t="s">
        <v>108</v>
      </c>
      <c r="H461" t="s">
        <v>136</v>
      </c>
      <c r="I461" t="s">
        <v>70</v>
      </c>
      <c r="J461" t="s">
        <v>71</v>
      </c>
      <c r="K461">
        <v>75720.27</v>
      </c>
      <c r="L461">
        <v>223.5</v>
      </c>
      <c r="M461" t="s">
        <v>7388</v>
      </c>
      <c r="N461">
        <v>963077</v>
      </c>
      <c r="P461">
        <v>135.5</v>
      </c>
      <c r="R461">
        <v>18.399999999999999</v>
      </c>
      <c r="S461">
        <v>31.91</v>
      </c>
      <c r="AA461">
        <v>-4.1500000000000004</v>
      </c>
      <c r="AB461" t="s">
        <v>8407</v>
      </c>
      <c r="AC461" t="s">
        <v>3395</v>
      </c>
      <c r="AD461" t="s">
        <v>8408</v>
      </c>
      <c r="AE461" t="s">
        <v>2818</v>
      </c>
      <c r="AF461" t="s">
        <v>8409</v>
      </c>
      <c r="AG461" t="s">
        <v>8410</v>
      </c>
      <c r="AH461" t="s">
        <v>3778</v>
      </c>
      <c r="AI461" t="s">
        <v>8411</v>
      </c>
      <c r="AJ461" t="s">
        <v>3498</v>
      </c>
      <c r="AK461" t="s">
        <v>8412</v>
      </c>
      <c r="AL461">
        <v>1.44</v>
      </c>
      <c r="AM461">
        <v>1.44</v>
      </c>
      <c r="AN461">
        <v>1.1299999999999999</v>
      </c>
      <c r="AO461" t="s">
        <v>8413</v>
      </c>
      <c r="AP461" t="s">
        <v>8414</v>
      </c>
      <c r="AQ461" t="s">
        <v>1232</v>
      </c>
      <c r="AR461" t="s">
        <v>5369</v>
      </c>
      <c r="AS461" t="s">
        <v>903</v>
      </c>
      <c r="AT461" t="s">
        <v>1067</v>
      </c>
      <c r="AU461" t="s">
        <v>169</v>
      </c>
      <c r="AV461" t="s">
        <v>8415</v>
      </c>
      <c r="AW461" t="s">
        <v>8416</v>
      </c>
      <c r="AX461" t="s">
        <v>8417</v>
      </c>
      <c r="AY461" t="s">
        <v>8416</v>
      </c>
      <c r="AZ461" t="s">
        <v>8418</v>
      </c>
      <c r="BA461">
        <v>1.5</v>
      </c>
      <c r="BB461">
        <v>5153.6400000000003</v>
      </c>
      <c r="BC461">
        <v>0.66</v>
      </c>
      <c r="BD461">
        <v>221.6</v>
      </c>
      <c r="BE461">
        <v>225.85</v>
      </c>
      <c r="BF461">
        <v>220.29</v>
      </c>
      <c r="BG461" t="s">
        <v>8419</v>
      </c>
      <c r="BH461" t="s">
        <v>8420</v>
      </c>
      <c r="BI461" t="s">
        <v>8421</v>
      </c>
      <c r="BJ461" t="s">
        <v>101</v>
      </c>
      <c r="BK461" t="s">
        <v>2423</v>
      </c>
      <c r="BL461" t="s">
        <v>8422</v>
      </c>
      <c r="BM461" t="s">
        <v>8423</v>
      </c>
      <c r="BN461" t="s">
        <v>4063</v>
      </c>
    </row>
    <row r="462" spans="1:66" x14ac:dyDescent="0.25">
      <c r="A462" t="str">
        <f>HYPERLINK("https://elite.finviz.com/quote.ashx?t=BANC&amp;ty=c&amp;p=d&amp;b=1", "BANC")</f>
        <v>BANC</v>
      </c>
      <c r="B462">
        <v>7</v>
      </c>
      <c r="C462">
        <v>138.38</v>
      </c>
      <c r="D462">
        <v>53.55</v>
      </c>
      <c r="E462" t="s">
        <v>8424</v>
      </c>
      <c r="F462" t="s">
        <v>67</v>
      </c>
      <c r="G462" t="s">
        <v>550</v>
      </c>
      <c r="H462" t="s">
        <v>697</v>
      </c>
      <c r="I462" t="s">
        <v>70</v>
      </c>
      <c r="J462" t="s">
        <v>71</v>
      </c>
      <c r="K462">
        <v>2610.13</v>
      </c>
      <c r="L462">
        <v>16.57</v>
      </c>
      <c r="M462" t="s">
        <v>8425</v>
      </c>
      <c r="N462">
        <v>250107</v>
      </c>
      <c r="O462">
        <v>25.65</v>
      </c>
      <c r="P462">
        <v>10.029999999999999</v>
      </c>
      <c r="Q462">
        <v>0.46</v>
      </c>
      <c r="R462">
        <v>1.47</v>
      </c>
      <c r="S462">
        <v>0.89</v>
      </c>
      <c r="T462" t="s">
        <v>92</v>
      </c>
      <c r="U462">
        <v>0.4</v>
      </c>
      <c r="V462" t="s">
        <v>3833</v>
      </c>
      <c r="W462" t="s">
        <v>164</v>
      </c>
      <c r="X462" t="s">
        <v>731</v>
      </c>
      <c r="Y462" t="s">
        <v>3758</v>
      </c>
      <c r="Z462" t="s">
        <v>8426</v>
      </c>
      <c r="AA462">
        <v>0.65</v>
      </c>
      <c r="AB462" t="s">
        <v>6606</v>
      </c>
      <c r="AC462" t="s">
        <v>8427</v>
      </c>
      <c r="AD462" t="s">
        <v>7271</v>
      </c>
      <c r="AE462" t="s">
        <v>8428</v>
      </c>
      <c r="AF462" t="s">
        <v>8429</v>
      </c>
      <c r="AG462" t="s">
        <v>8430</v>
      </c>
      <c r="AH462" t="s">
        <v>2587</v>
      </c>
      <c r="AI462" t="s">
        <v>8431</v>
      </c>
      <c r="AJ462" t="s">
        <v>8432</v>
      </c>
      <c r="AK462" t="s">
        <v>2142</v>
      </c>
      <c r="AL462">
        <v>0.15</v>
      </c>
      <c r="AN462">
        <v>0.84</v>
      </c>
      <c r="AP462" t="s">
        <v>7106</v>
      </c>
      <c r="AQ462" t="s">
        <v>7541</v>
      </c>
      <c r="AR462" t="s">
        <v>2609</v>
      </c>
      <c r="AS462" t="s">
        <v>3856</v>
      </c>
      <c r="AT462" t="s">
        <v>110</v>
      </c>
      <c r="AU462" t="s">
        <v>169</v>
      </c>
      <c r="AV462" t="s">
        <v>3920</v>
      </c>
      <c r="AW462" t="s">
        <v>3005</v>
      </c>
      <c r="AX462" t="s">
        <v>8433</v>
      </c>
      <c r="AY462" t="s">
        <v>1219</v>
      </c>
      <c r="AZ462" t="s">
        <v>8434</v>
      </c>
      <c r="BA462">
        <v>1.73</v>
      </c>
      <c r="BB462">
        <v>2296.6</v>
      </c>
      <c r="BC462">
        <v>0.38</v>
      </c>
      <c r="BD462">
        <v>16.61</v>
      </c>
      <c r="BE462">
        <v>16.84</v>
      </c>
      <c r="BF462">
        <v>16.55</v>
      </c>
      <c r="BG462" t="s">
        <v>8435</v>
      </c>
      <c r="BH462" t="s">
        <v>8317</v>
      </c>
      <c r="BI462" t="s">
        <v>8436</v>
      </c>
      <c r="BJ462" t="s">
        <v>101</v>
      </c>
      <c r="BK462" t="s">
        <v>7321</v>
      </c>
      <c r="BL462" t="s">
        <v>8437</v>
      </c>
      <c r="BM462" t="s">
        <v>7669</v>
      </c>
      <c r="BN462" t="s">
        <v>4063</v>
      </c>
    </row>
    <row r="463" spans="1:66" x14ac:dyDescent="0.25">
      <c r="A463" t="str">
        <f>HYPERLINK("https://elite.finviz.com/quote.ashx?t=NEO&amp;ty=c&amp;p=d&amp;b=1", "NEO")</f>
        <v>NEO</v>
      </c>
      <c r="B463">
        <v>7</v>
      </c>
      <c r="C463">
        <v>138.38</v>
      </c>
      <c r="D463">
        <v>53.55</v>
      </c>
      <c r="E463" t="s">
        <v>8438</v>
      </c>
      <c r="F463" t="s">
        <v>67</v>
      </c>
      <c r="G463" t="s">
        <v>428</v>
      </c>
      <c r="H463" t="s">
        <v>4202</v>
      </c>
      <c r="I463" t="s">
        <v>70</v>
      </c>
      <c r="J463" t="s">
        <v>321</v>
      </c>
      <c r="K463">
        <v>1025.1099999999999</v>
      </c>
      <c r="L463">
        <v>7.94</v>
      </c>
      <c r="M463" t="s">
        <v>3493</v>
      </c>
      <c r="N463">
        <v>245340</v>
      </c>
      <c r="P463">
        <v>44.02</v>
      </c>
      <c r="R463">
        <v>1.49</v>
      </c>
      <c r="S463">
        <v>1.2</v>
      </c>
      <c r="AA463">
        <v>-0.82</v>
      </c>
      <c r="AB463" t="s">
        <v>8439</v>
      </c>
      <c r="AD463" t="s">
        <v>8440</v>
      </c>
      <c r="AE463" t="s">
        <v>2635</v>
      </c>
      <c r="AF463" t="s">
        <v>6234</v>
      </c>
      <c r="AG463" t="s">
        <v>8441</v>
      </c>
      <c r="AH463" t="s">
        <v>8240</v>
      </c>
      <c r="AI463" t="s">
        <v>8442</v>
      </c>
      <c r="AJ463" t="s">
        <v>465</v>
      </c>
      <c r="AK463" t="s">
        <v>8443</v>
      </c>
      <c r="AL463">
        <v>3.92</v>
      </c>
      <c r="AM463">
        <v>3.58</v>
      </c>
      <c r="AN463">
        <v>0.48</v>
      </c>
      <c r="AO463" t="s">
        <v>7702</v>
      </c>
      <c r="AP463" t="s">
        <v>1450</v>
      </c>
      <c r="AQ463" t="s">
        <v>7509</v>
      </c>
      <c r="AR463" t="s">
        <v>3334</v>
      </c>
      <c r="AS463" t="s">
        <v>5527</v>
      </c>
      <c r="AT463" t="s">
        <v>7193</v>
      </c>
      <c r="AU463" t="s">
        <v>1216</v>
      </c>
      <c r="AV463" t="s">
        <v>8444</v>
      </c>
      <c r="AW463" t="s">
        <v>1905</v>
      </c>
      <c r="AX463" t="s">
        <v>8445</v>
      </c>
      <c r="AY463" t="s">
        <v>8446</v>
      </c>
      <c r="AZ463" t="s">
        <v>8445</v>
      </c>
      <c r="BA463">
        <v>2.33</v>
      </c>
      <c r="BB463">
        <v>2452.3200000000002</v>
      </c>
      <c r="BC463">
        <v>0.35</v>
      </c>
      <c r="BD463">
        <v>7.86</v>
      </c>
      <c r="BE463">
        <v>7.96</v>
      </c>
      <c r="BF463">
        <v>7.78</v>
      </c>
      <c r="BG463" t="s">
        <v>8447</v>
      </c>
      <c r="BH463" t="s">
        <v>8448</v>
      </c>
      <c r="BI463" t="s">
        <v>8449</v>
      </c>
      <c r="BJ463" t="s">
        <v>101</v>
      </c>
      <c r="BK463" t="s">
        <v>2795</v>
      </c>
      <c r="BL463" t="s">
        <v>8450</v>
      </c>
      <c r="BM463" t="s">
        <v>8451</v>
      </c>
      <c r="BN463" t="s">
        <v>4063</v>
      </c>
    </row>
    <row r="464" spans="1:66" x14ac:dyDescent="0.25">
      <c r="A464" t="str">
        <f>HYPERLINK("https://elite.finviz.com/quote.ashx?t=DUK&amp;ty=c&amp;p=d&amp;b=1", "DUK")</f>
        <v>DUK</v>
      </c>
      <c r="B464">
        <v>7</v>
      </c>
      <c r="C464">
        <v>138.38</v>
      </c>
      <c r="D464">
        <v>53.58</v>
      </c>
      <c r="E464" t="s">
        <v>8452</v>
      </c>
      <c r="F464" t="s">
        <v>195</v>
      </c>
      <c r="G464" t="s">
        <v>287</v>
      </c>
      <c r="H464" t="s">
        <v>676</v>
      </c>
      <c r="I464" t="s">
        <v>70</v>
      </c>
      <c r="J464" t="s">
        <v>71</v>
      </c>
      <c r="K464">
        <v>95418.41</v>
      </c>
      <c r="L464">
        <v>122.71</v>
      </c>
      <c r="M464" t="s">
        <v>698</v>
      </c>
      <c r="N464">
        <v>654201</v>
      </c>
      <c r="O464">
        <v>20.059999999999999</v>
      </c>
      <c r="P464">
        <v>18.27</v>
      </c>
      <c r="Q464">
        <v>2.99</v>
      </c>
      <c r="R464">
        <v>3.05</v>
      </c>
      <c r="S464">
        <v>1.91</v>
      </c>
      <c r="T464" t="s">
        <v>903</v>
      </c>
      <c r="U464">
        <v>4.2</v>
      </c>
      <c r="V464" t="s">
        <v>3046</v>
      </c>
      <c r="W464" t="s">
        <v>4256</v>
      </c>
      <c r="X464" t="s">
        <v>2307</v>
      </c>
      <c r="Y464" t="s">
        <v>1439</v>
      </c>
      <c r="Z464" t="s">
        <v>8453</v>
      </c>
      <c r="AA464">
        <v>6.12</v>
      </c>
      <c r="AB464" t="s">
        <v>995</v>
      </c>
      <c r="AC464" t="s">
        <v>8016</v>
      </c>
      <c r="AD464" t="s">
        <v>3372</v>
      </c>
      <c r="AE464" t="s">
        <v>5164</v>
      </c>
      <c r="AF464" t="s">
        <v>297</v>
      </c>
      <c r="AG464" t="s">
        <v>162</v>
      </c>
      <c r="AH464" t="s">
        <v>2235</v>
      </c>
      <c r="AI464" t="s">
        <v>3777</v>
      </c>
      <c r="AJ464" t="s">
        <v>1722</v>
      </c>
      <c r="AK464" t="s">
        <v>8454</v>
      </c>
      <c r="AL464">
        <v>0.66</v>
      </c>
      <c r="AM464">
        <v>0.42</v>
      </c>
      <c r="AN464">
        <v>1.74</v>
      </c>
      <c r="AO464" t="s">
        <v>8455</v>
      </c>
      <c r="AP464" t="s">
        <v>2189</v>
      </c>
      <c r="AQ464" t="s">
        <v>8456</v>
      </c>
      <c r="AR464" t="s">
        <v>4280</v>
      </c>
      <c r="AS464" t="s">
        <v>102</v>
      </c>
      <c r="AT464" t="s">
        <v>3344</v>
      </c>
      <c r="AU464" t="s">
        <v>1409</v>
      </c>
      <c r="AV464" t="s">
        <v>454</v>
      </c>
      <c r="AW464" t="s">
        <v>1373</v>
      </c>
      <c r="AX464" t="s">
        <v>2107</v>
      </c>
      <c r="AY464" t="s">
        <v>1373</v>
      </c>
      <c r="AZ464" t="s">
        <v>6694</v>
      </c>
      <c r="BA464">
        <v>2.4500000000000002</v>
      </c>
      <c r="BB464">
        <v>2875.97</v>
      </c>
      <c r="BC464">
        <v>0.8</v>
      </c>
      <c r="BD464">
        <v>122.32</v>
      </c>
      <c r="BE464">
        <v>123.43</v>
      </c>
      <c r="BF464">
        <v>122.04</v>
      </c>
      <c r="BG464" t="s">
        <v>8457</v>
      </c>
      <c r="BH464" t="s">
        <v>1373</v>
      </c>
      <c r="BI464" t="s">
        <v>8458</v>
      </c>
      <c r="BJ464" t="s">
        <v>101</v>
      </c>
      <c r="BK464" t="s">
        <v>7978</v>
      </c>
      <c r="BL464" t="s">
        <v>3025</v>
      </c>
      <c r="BM464" t="s">
        <v>3036</v>
      </c>
      <c r="BN464" t="s">
        <v>4063</v>
      </c>
    </row>
    <row r="465" spans="1:66" x14ac:dyDescent="0.25">
      <c r="A465" t="str">
        <f>HYPERLINK("https://elite.finviz.com/quote.ashx?t=AUB&amp;ty=c&amp;p=d&amp;b=1", "AUB")</f>
        <v>AUB</v>
      </c>
      <c r="B465">
        <v>7</v>
      </c>
      <c r="C465">
        <v>138.38</v>
      </c>
      <c r="D465">
        <v>53.58</v>
      </c>
      <c r="E465" t="s">
        <v>8459</v>
      </c>
      <c r="F465" t="s">
        <v>67</v>
      </c>
      <c r="G465" t="s">
        <v>550</v>
      </c>
      <c r="H465" t="s">
        <v>697</v>
      </c>
      <c r="I465" t="s">
        <v>70</v>
      </c>
      <c r="J465" t="s">
        <v>71</v>
      </c>
      <c r="K465">
        <v>5054.87</v>
      </c>
      <c r="L465">
        <v>35.47</v>
      </c>
      <c r="M465" t="s">
        <v>2203</v>
      </c>
      <c r="N465">
        <v>89693</v>
      </c>
      <c r="O465">
        <v>17.25</v>
      </c>
      <c r="P465">
        <v>9.3699999999999992</v>
      </c>
      <c r="Q465">
        <v>1.19</v>
      </c>
      <c r="R465">
        <v>3.08</v>
      </c>
      <c r="S465">
        <v>1.04</v>
      </c>
      <c r="T465" t="s">
        <v>7117</v>
      </c>
      <c r="U465">
        <v>1.36</v>
      </c>
      <c r="V465" t="s">
        <v>4827</v>
      </c>
      <c r="W465" t="s">
        <v>2124</v>
      </c>
      <c r="X465" t="s">
        <v>8460</v>
      </c>
      <c r="Y465" t="s">
        <v>229</v>
      </c>
      <c r="Z465" t="s">
        <v>8461</v>
      </c>
      <c r="AA465">
        <v>2.06</v>
      </c>
      <c r="AB465" t="s">
        <v>8098</v>
      </c>
      <c r="AC465" t="s">
        <v>3937</v>
      </c>
      <c r="AD465" t="s">
        <v>5699</v>
      </c>
      <c r="AE465" t="s">
        <v>4644</v>
      </c>
      <c r="AF465" t="s">
        <v>8462</v>
      </c>
      <c r="AG465" t="s">
        <v>3505</v>
      </c>
      <c r="AH465" t="s">
        <v>8463</v>
      </c>
      <c r="AI465" t="s">
        <v>8464</v>
      </c>
      <c r="AJ465" t="s">
        <v>1303</v>
      </c>
      <c r="AK465" t="s">
        <v>8465</v>
      </c>
      <c r="AL465">
        <v>0.08</v>
      </c>
      <c r="AN465">
        <v>0.21</v>
      </c>
      <c r="AP465" t="s">
        <v>8466</v>
      </c>
      <c r="AQ465" t="s">
        <v>1089</v>
      </c>
      <c r="AR465" t="s">
        <v>5258</v>
      </c>
      <c r="AS465" t="s">
        <v>212</v>
      </c>
      <c r="AT465" t="s">
        <v>124</v>
      </c>
      <c r="AU465" t="s">
        <v>3481</v>
      </c>
      <c r="AV465" t="s">
        <v>3429</v>
      </c>
      <c r="AW465" t="s">
        <v>5574</v>
      </c>
      <c r="AX465" t="s">
        <v>1562</v>
      </c>
      <c r="AY465" t="s">
        <v>7992</v>
      </c>
      <c r="AZ465" t="s">
        <v>8467</v>
      </c>
      <c r="BA465">
        <v>1.5</v>
      </c>
      <c r="BB465">
        <v>1153.4100000000001</v>
      </c>
      <c r="BC465">
        <v>0.27</v>
      </c>
      <c r="BD465">
        <v>35.630000000000003</v>
      </c>
      <c r="BE465">
        <v>36.049999999999997</v>
      </c>
      <c r="BF465">
        <v>35.4</v>
      </c>
      <c r="BG465" t="s">
        <v>8468</v>
      </c>
      <c r="BH465" t="s">
        <v>7992</v>
      </c>
      <c r="BI465" t="s">
        <v>8469</v>
      </c>
      <c r="BJ465" t="s">
        <v>101</v>
      </c>
      <c r="BK465" t="s">
        <v>1455</v>
      </c>
      <c r="BL465" t="s">
        <v>6531</v>
      </c>
      <c r="BM465" t="s">
        <v>8470</v>
      </c>
      <c r="BN465" t="s">
        <v>4063</v>
      </c>
    </row>
    <row r="466" spans="1:66" x14ac:dyDescent="0.25">
      <c r="A466" t="str">
        <f>HYPERLINK("https://elite.finviz.com/quote.ashx?t=TRVI&amp;ty=c&amp;p=d&amp;b=1", "TRVI")</f>
        <v>TRVI</v>
      </c>
      <c r="B466">
        <v>7</v>
      </c>
      <c r="C466">
        <v>138.38</v>
      </c>
      <c r="D466">
        <v>53.59</v>
      </c>
      <c r="E466" t="s">
        <v>8471</v>
      </c>
      <c r="F466" t="s">
        <v>67</v>
      </c>
      <c r="G466" t="s">
        <v>428</v>
      </c>
      <c r="H466" t="s">
        <v>429</v>
      </c>
      <c r="I466" t="s">
        <v>70</v>
      </c>
      <c r="J466" t="s">
        <v>321</v>
      </c>
      <c r="K466">
        <v>1011.96</v>
      </c>
      <c r="L466">
        <v>8.31</v>
      </c>
      <c r="M466" t="s">
        <v>789</v>
      </c>
      <c r="N466">
        <v>172840</v>
      </c>
      <c r="S466">
        <v>5.0999999999999996</v>
      </c>
      <c r="AA466">
        <v>-0.42</v>
      </c>
      <c r="AB466" t="s">
        <v>2358</v>
      </c>
      <c r="AC466" t="s">
        <v>4943</v>
      </c>
      <c r="AD466" t="s">
        <v>3822</v>
      </c>
      <c r="AI466" t="s">
        <v>6087</v>
      </c>
      <c r="AJ466" t="s">
        <v>1249</v>
      </c>
      <c r="AK466" t="s">
        <v>8472</v>
      </c>
      <c r="AL466">
        <v>22.42</v>
      </c>
      <c r="AM466">
        <v>22.42</v>
      </c>
      <c r="AN466">
        <v>0</v>
      </c>
      <c r="AR466" t="s">
        <v>3066</v>
      </c>
      <c r="AS466" t="s">
        <v>1927</v>
      </c>
      <c r="AT466" t="s">
        <v>180</v>
      </c>
      <c r="AU466" t="s">
        <v>7566</v>
      </c>
      <c r="AV466" t="s">
        <v>8473</v>
      </c>
      <c r="AW466" t="s">
        <v>1530</v>
      </c>
      <c r="AX466" t="s">
        <v>8474</v>
      </c>
      <c r="AY466" t="s">
        <v>1530</v>
      </c>
      <c r="AZ466" t="s">
        <v>8475</v>
      </c>
      <c r="BA466">
        <v>1</v>
      </c>
      <c r="BB466">
        <v>2206.39</v>
      </c>
      <c r="BC466">
        <v>0.28000000000000003</v>
      </c>
      <c r="BD466">
        <v>8.4600000000000009</v>
      </c>
      <c r="BE466">
        <v>8.5</v>
      </c>
      <c r="BF466">
        <v>8.24</v>
      </c>
      <c r="BG466" t="s">
        <v>8476</v>
      </c>
      <c r="BH466" t="s">
        <v>8477</v>
      </c>
      <c r="BI466" t="s">
        <v>8478</v>
      </c>
      <c r="BJ466" t="s">
        <v>101</v>
      </c>
      <c r="BK466" t="s">
        <v>8479</v>
      </c>
      <c r="BL466" t="s">
        <v>3683</v>
      </c>
      <c r="BM466" t="s">
        <v>8480</v>
      </c>
      <c r="BN466" t="s">
        <v>4063</v>
      </c>
    </row>
    <row r="467" spans="1:66" x14ac:dyDescent="0.25">
      <c r="A467" t="str">
        <f>HYPERLINK("https://elite.finviz.com/quote.ashx?t=SONN&amp;ty=c&amp;p=d&amp;b=1", "SONN")</f>
        <v>SONN</v>
      </c>
      <c r="B467">
        <v>7</v>
      </c>
      <c r="C467">
        <v>138.38</v>
      </c>
      <c r="D467">
        <v>53.6</v>
      </c>
      <c r="E467" t="s">
        <v>8481</v>
      </c>
      <c r="F467" t="s">
        <v>107</v>
      </c>
      <c r="G467" t="s">
        <v>428</v>
      </c>
      <c r="H467" t="s">
        <v>429</v>
      </c>
      <c r="I467" t="s">
        <v>70</v>
      </c>
      <c r="J467" t="s">
        <v>321</v>
      </c>
      <c r="K467">
        <v>36.25</v>
      </c>
      <c r="L467">
        <v>5.31</v>
      </c>
      <c r="M467" t="s">
        <v>1564</v>
      </c>
      <c r="N467">
        <v>310794</v>
      </c>
      <c r="R467">
        <v>36.25</v>
      </c>
      <c r="AA467">
        <v>-8.2200000000000006</v>
      </c>
      <c r="AB467" t="s">
        <v>8482</v>
      </c>
      <c r="AC467" t="s">
        <v>8483</v>
      </c>
      <c r="AE467" t="s">
        <v>8484</v>
      </c>
      <c r="AF467" t="s">
        <v>8485</v>
      </c>
      <c r="AG467" t="s">
        <v>8486</v>
      </c>
      <c r="AI467" t="s">
        <v>8487</v>
      </c>
      <c r="AJ467" t="s">
        <v>164</v>
      </c>
      <c r="AK467" t="s">
        <v>4154</v>
      </c>
      <c r="AL467">
        <v>0.26</v>
      </c>
      <c r="AM467">
        <v>0.26</v>
      </c>
      <c r="AO467" t="s">
        <v>8488</v>
      </c>
      <c r="AP467" t="s">
        <v>8489</v>
      </c>
      <c r="AQ467" t="s">
        <v>8490</v>
      </c>
      <c r="AR467" t="s">
        <v>7399</v>
      </c>
      <c r="AS467" t="s">
        <v>8491</v>
      </c>
      <c r="AT467" t="s">
        <v>5404</v>
      </c>
      <c r="AU467" t="s">
        <v>375</v>
      </c>
      <c r="AV467" t="s">
        <v>8492</v>
      </c>
      <c r="AW467" t="s">
        <v>8493</v>
      </c>
      <c r="AX467" t="s">
        <v>8494</v>
      </c>
      <c r="AY467" t="s">
        <v>8495</v>
      </c>
      <c r="AZ467" t="s">
        <v>8496</v>
      </c>
      <c r="BA467">
        <v>1</v>
      </c>
      <c r="BB467">
        <v>4397.6000000000004</v>
      </c>
      <c r="BC467">
        <v>0.25</v>
      </c>
      <c r="BD467">
        <v>5.33</v>
      </c>
      <c r="BE467">
        <v>5.59</v>
      </c>
      <c r="BF467">
        <v>5.09</v>
      </c>
      <c r="BG467" t="s">
        <v>8497</v>
      </c>
      <c r="BH467" t="s">
        <v>579</v>
      </c>
      <c r="BI467" t="s">
        <v>8496</v>
      </c>
      <c r="BJ467" t="s">
        <v>101</v>
      </c>
      <c r="BK467" t="s">
        <v>8498</v>
      </c>
      <c r="BL467" t="s">
        <v>8499</v>
      </c>
      <c r="BM467" t="s">
        <v>8500</v>
      </c>
      <c r="BN467" t="s">
        <v>4063</v>
      </c>
    </row>
    <row r="468" spans="1:66" x14ac:dyDescent="0.25">
      <c r="A468" t="str">
        <f>HYPERLINK("https://elite.finviz.com/quote.ashx?t=OPAD&amp;ty=c&amp;p=d&amp;b=1", "OPAD")</f>
        <v>OPAD</v>
      </c>
      <c r="B468">
        <v>7</v>
      </c>
      <c r="C468">
        <v>138.38</v>
      </c>
      <c r="D468">
        <v>53.6</v>
      </c>
      <c r="E468" t="s">
        <v>8501</v>
      </c>
      <c r="F468" t="s">
        <v>107</v>
      </c>
      <c r="G468" t="s">
        <v>68</v>
      </c>
      <c r="H468" t="s">
        <v>7494</v>
      </c>
      <c r="I468" t="s">
        <v>70</v>
      </c>
      <c r="J468" t="s">
        <v>71</v>
      </c>
      <c r="K468">
        <v>132.91999999999999</v>
      </c>
      <c r="L468">
        <v>4.3499999999999996</v>
      </c>
      <c r="M468" t="s">
        <v>5365</v>
      </c>
      <c r="N468">
        <v>1497158</v>
      </c>
      <c r="R468">
        <v>0.19</v>
      </c>
      <c r="S468">
        <v>4.91</v>
      </c>
      <c r="AA468">
        <v>-2.06</v>
      </c>
      <c r="AC468" t="s">
        <v>791</v>
      </c>
      <c r="AD468" t="s">
        <v>8502</v>
      </c>
      <c r="AE468" t="s">
        <v>8503</v>
      </c>
      <c r="AF468" t="s">
        <v>426</v>
      </c>
      <c r="AG468" t="s">
        <v>1387</v>
      </c>
      <c r="AH468" t="s">
        <v>8504</v>
      </c>
      <c r="AI468" t="s">
        <v>8115</v>
      </c>
      <c r="AJ468" t="s">
        <v>164</v>
      </c>
      <c r="AK468" t="s">
        <v>8505</v>
      </c>
      <c r="AL468">
        <v>1.0900000000000001</v>
      </c>
      <c r="AM468">
        <v>0.16</v>
      </c>
      <c r="AN468">
        <v>9.4</v>
      </c>
      <c r="AO468" t="s">
        <v>3228</v>
      </c>
      <c r="AP468" t="s">
        <v>8506</v>
      </c>
      <c r="AQ468" t="s">
        <v>8507</v>
      </c>
      <c r="AR468" t="s">
        <v>6903</v>
      </c>
      <c r="AS468" t="s">
        <v>5705</v>
      </c>
      <c r="AT468" t="s">
        <v>2498</v>
      </c>
      <c r="AU468" t="s">
        <v>4441</v>
      </c>
      <c r="AV468" t="s">
        <v>8508</v>
      </c>
      <c r="AW468" t="s">
        <v>8509</v>
      </c>
      <c r="AX468" t="s">
        <v>8510</v>
      </c>
      <c r="AY468" t="s">
        <v>8509</v>
      </c>
      <c r="AZ468" t="s">
        <v>8511</v>
      </c>
      <c r="BA468">
        <v>3</v>
      </c>
      <c r="BB468">
        <v>9979.07</v>
      </c>
      <c r="BC468">
        <v>0.53</v>
      </c>
      <c r="BD468">
        <v>4.43</v>
      </c>
      <c r="BE468">
        <v>4.5199999999999996</v>
      </c>
      <c r="BF468">
        <v>4.18</v>
      </c>
      <c r="BG468" t="s">
        <v>8512</v>
      </c>
      <c r="BH468" t="s">
        <v>8513</v>
      </c>
      <c r="BI468" t="s">
        <v>8511</v>
      </c>
      <c r="BJ468" t="s">
        <v>101</v>
      </c>
      <c r="BK468" t="s">
        <v>8514</v>
      </c>
      <c r="BL468" t="s">
        <v>8515</v>
      </c>
      <c r="BM468" t="s">
        <v>2007</v>
      </c>
      <c r="BN468" t="s">
        <v>4063</v>
      </c>
    </row>
    <row r="469" spans="1:66" x14ac:dyDescent="0.25">
      <c r="A469" t="str">
        <f>HYPERLINK("https://elite.finviz.com/quote.ashx?t=PEB&amp;ty=c&amp;p=d&amp;b=1", "PEB")</f>
        <v>PEB</v>
      </c>
      <c r="B469">
        <v>7</v>
      </c>
      <c r="C469">
        <v>138.38</v>
      </c>
      <c r="D469">
        <v>53.62</v>
      </c>
      <c r="E469" t="s">
        <v>8516</v>
      </c>
      <c r="F469" t="s">
        <v>67</v>
      </c>
      <c r="G469" t="s">
        <v>68</v>
      </c>
      <c r="H469" t="s">
        <v>4145</v>
      </c>
      <c r="I469" t="s">
        <v>70</v>
      </c>
      <c r="J469" t="s">
        <v>71</v>
      </c>
      <c r="K469">
        <v>1360.64</v>
      </c>
      <c r="L469">
        <v>11.48</v>
      </c>
      <c r="M469" t="s">
        <v>698</v>
      </c>
      <c r="N469">
        <v>287974</v>
      </c>
      <c r="R469">
        <v>0.93</v>
      </c>
      <c r="S469">
        <v>0.51</v>
      </c>
      <c r="T469" t="s">
        <v>141</v>
      </c>
      <c r="U469">
        <v>0.04</v>
      </c>
      <c r="V469" t="s">
        <v>198</v>
      </c>
      <c r="W469" t="s">
        <v>164</v>
      </c>
      <c r="X469" t="s">
        <v>164</v>
      </c>
      <c r="Y469" t="s">
        <v>1695</v>
      </c>
      <c r="AA469">
        <v>-0.56999999999999995</v>
      </c>
      <c r="AB469" t="s">
        <v>8517</v>
      </c>
      <c r="AD469" t="s">
        <v>4317</v>
      </c>
      <c r="AE469" t="s">
        <v>1439</v>
      </c>
      <c r="AF469" t="s">
        <v>8518</v>
      </c>
      <c r="AG469" t="s">
        <v>1180</v>
      </c>
      <c r="AH469" t="s">
        <v>2643</v>
      </c>
      <c r="AI469" t="s">
        <v>164</v>
      </c>
      <c r="AJ469" t="s">
        <v>164</v>
      </c>
      <c r="AK469" t="s">
        <v>8519</v>
      </c>
      <c r="AL469">
        <v>13.85</v>
      </c>
      <c r="AM469">
        <v>13.85</v>
      </c>
      <c r="AN469">
        <v>0.99</v>
      </c>
      <c r="AO469" t="s">
        <v>1700</v>
      </c>
      <c r="AP469" t="s">
        <v>4678</v>
      </c>
      <c r="AQ469" t="s">
        <v>8520</v>
      </c>
      <c r="AR469" t="s">
        <v>1769</v>
      </c>
      <c r="AS469" t="s">
        <v>1932</v>
      </c>
      <c r="AT469" t="s">
        <v>1722</v>
      </c>
      <c r="AU469" t="s">
        <v>8286</v>
      </c>
      <c r="AV469" t="s">
        <v>1302</v>
      </c>
      <c r="AW469" t="s">
        <v>3792</v>
      </c>
      <c r="AX469" t="s">
        <v>8521</v>
      </c>
      <c r="AY469" t="s">
        <v>999</v>
      </c>
      <c r="AZ469" t="s">
        <v>8522</v>
      </c>
      <c r="BA469">
        <v>2.85</v>
      </c>
      <c r="BB469">
        <v>2511.9</v>
      </c>
      <c r="BC469">
        <v>0.4</v>
      </c>
      <c r="BD469">
        <v>11.44</v>
      </c>
      <c r="BE469">
        <v>11.6</v>
      </c>
      <c r="BF469">
        <v>11.42</v>
      </c>
      <c r="BG469" t="s">
        <v>8523</v>
      </c>
      <c r="BH469" t="s">
        <v>8524</v>
      </c>
      <c r="BI469" t="s">
        <v>8525</v>
      </c>
      <c r="BJ469" t="s">
        <v>101</v>
      </c>
      <c r="BK469" t="s">
        <v>8526</v>
      </c>
      <c r="BL469" t="s">
        <v>6076</v>
      </c>
      <c r="BM469" t="s">
        <v>8527</v>
      </c>
      <c r="BN469" t="s">
        <v>4063</v>
      </c>
    </row>
    <row r="470" spans="1:66" x14ac:dyDescent="0.25">
      <c r="A470" t="str">
        <f>HYPERLINK("https://elite.finviz.com/quote.ashx?t=FAST&amp;ty=c&amp;p=d&amp;b=1", "FAST")</f>
        <v>FAST</v>
      </c>
      <c r="B470">
        <v>7</v>
      </c>
      <c r="C470">
        <v>138.38</v>
      </c>
      <c r="D470">
        <v>53.65</v>
      </c>
      <c r="E470" t="s">
        <v>8528</v>
      </c>
      <c r="F470" t="s">
        <v>319</v>
      </c>
      <c r="G470" t="s">
        <v>260</v>
      </c>
      <c r="H470" t="s">
        <v>8107</v>
      </c>
      <c r="I470" t="s">
        <v>70</v>
      </c>
      <c r="J470" t="s">
        <v>321</v>
      </c>
      <c r="K470">
        <v>55505.45</v>
      </c>
      <c r="L470">
        <v>48.37</v>
      </c>
      <c r="M470" t="s">
        <v>344</v>
      </c>
      <c r="N470">
        <v>835380</v>
      </c>
      <c r="O470">
        <v>46.74</v>
      </c>
      <c r="P470">
        <v>39.24</v>
      </c>
      <c r="Q470">
        <v>4.5199999999999996</v>
      </c>
      <c r="R470">
        <v>7.14</v>
      </c>
      <c r="S470">
        <v>14.58</v>
      </c>
      <c r="T470" t="s">
        <v>1303</v>
      </c>
      <c r="U470">
        <v>0.85</v>
      </c>
      <c r="V470" t="s">
        <v>8529</v>
      </c>
      <c r="W470" t="s">
        <v>6331</v>
      </c>
      <c r="X470" t="s">
        <v>8530</v>
      </c>
      <c r="Y470" t="s">
        <v>333</v>
      </c>
      <c r="Z470" t="s">
        <v>3935</v>
      </c>
      <c r="AA470">
        <v>1.03</v>
      </c>
      <c r="AB470" t="s">
        <v>4512</v>
      </c>
      <c r="AC470" t="s">
        <v>6225</v>
      </c>
      <c r="AD470" t="s">
        <v>1396</v>
      </c>
      <c r="AE470" t="s">
        <v>5969</v>
      </c>
      <c r="AF470" t="s">
        <v>265</v>
      </c>
      <c r="AG470" t="s">
        <v>3432</v>
      </c>
      <c r="AH470" t="s">
        <v>2053</v>
      </c>
      <c r="AI470" t="s">
        <v>1768</v>
      </c>
      <c r="AJ470" t="s">
        <v>1905</v>
      </c>
      <c r="AK470" t="s">
        <v>8531</v>
      </c>
      <c r="AL470">
        <v>4.22</v>
      </c>
      <c r="AM470">
        <v>2.12</v>
      </c>
      <c r="AN470">
        <v>0.14000000000000001</v>
      </c>
      <c r="AO470" t="s">
        <v>8532</v>
      </c>
      <c r="AP470" t="s">
        <v>8533</v>
      </c>
      <c r="AQ470" t="s">
        <v>6230</v>
      </c>
      <c r="AR470" t="s">
        <v>6336</v>
      </c>
      <c r="AS470" t="s">
        <v>3118</v>
      </c>
      <c r="AT470" t="s">
        <v>4840</v>
      </c>
      <c r="AU470" t="s">
        <v>84</v>
      </c>
      <c r="AV470" t="s">
        <v>1038</v>
      </c>
      <c r="AW470" t="s">
        <v>8534</v>
      </c>
      <c r="AX470" t="s">
        <v>8535</v>
      </c>
      <c r="AY470" t="s">
        <v>8534</v>
      </c>
      <c r="AZ470" t="s">
        <v>8536</v>
      </c>
      <c r="BA470">
        <v>2.89</v>
      </c>
      <c r="BB470">
        <v>6316.65</v>
      </c>
      <c r="BC470">
        <v>0.47</v>
      </c>
      <c r="BD470">
        <v>47.85</v>
      </c>
      <c r="BE470">
        <v>48.6</v>
      </c>
      <c r="BF470">
        <v>47.79</v>
      </c>
      <c r="BG470" t="s">
        <v>8537</v>
      </c>
      <c r="BH470" t="s">
        <v>8534</v>
      </c>
      <c r="BI470" t="s">
        <v>8538</v>
      </c>
      <c r="BJ470" t="s">
        <v>101</v>
      </c>
      <c r="BK470" t="s">
        <v>1788</v>
      </c>
      <c r="BL470" t="s">
        <v>8539</v>
      </c>
      <c r="BM470" t="s">
        <v>8540</v>
      </c>
      <c r="BN470" t="s">
        <v>4063</v>
      </c>
    </row>
    <row r="471" spans="1:66" x14ac:dyDescent="0.25">
      <c r="A471" t="str">
        <f>HYPERLINK("https://elite.finviz.com/quote.ashx?t=BW&amp;ty=c&amp;p=d&amp;b=1", "BW")</f>
        <v>BW</v>
      </c>
      <c r="B471">
        <v>7</v>
      </c>
      <c r="C471">
        <v>138.38</v>
      </c>
      <c r="D471">
        <v>53.7</v>
      </c>
      <c r="E471" t="s">
        <v>8541</v>
      </c>
      <c r="F471" t="s">
        <v>107</v>
      </c>
      <c r="G471" t="s">
        <v>260</v>
      </c>
      <c r="H471" t="s">
        <v>261</v>
      </c>
      <c r="I471" t="s">
        <v>70</v>
      </c>
      <c r="J471" t="s">
        <v>71</v>
      </c>
      <c r="K471">
        <v>274.99</v>
      </c>
      <c r="L471">
        <v>2.72</v>
      </c>
      <c r="M471" t="s">
        <v>6597</v>
      </c>
      <c r="N471">
        <v>606562</v>
      </c>
      <c r="R471">
        <v>0.46</v>
      </c>
      <c r="AA471">
        <v>-1.96</v>
      </c>
      <c r="AC471" t="s">
        <v>7663</v>
      </c>
      <c r="AE471" t="s">
        <v>7785</v>
      </c>
      <c r="AF471" t="s">
        <v>4703</v>
      </c>
      <c r="AG471" t="s">
        <v>8542</v>
      </c>
      <c r="AH471" t="s">
        <v>6248</v>
      </c>
      <c r="AI471" t="s">
        <v>8543</v>
      </c>
      <c r="AJ471" t="s">
        <v>747</v>
      </c>
      <c r="AK471" t="s">
        <v>8544</v>
      </c>
      <c r="AL471">
        <v>1</v>
      </c>
      <c r="AM471">
        <v>0.87</v>
      </c>
      <c r="AO471" t="s">
        <v>3038</v>
      </c>
      <c r="AP471" t="s">
        <v>3127</v>
      </c>
      <c r="AQ471" t="s">
        <v>8545</v>
      </c>
      <c r="AR471" t="s">
        <v>3327</v>
      </c>
      <c r="AS471" t="s">
        <v>3924</v>
      </c>
      <c r="AT471" t="s">
        <v>240</v>
      </c>
      <c r="AU471" t="s">
        <v>8546</v>
      </c>
      <c r="AV471" t="s">
        <v>8547</v>
      </c>
      <c r="AW471" t="s">
        <v>8548</v>
      </c>
      <c r="AX471" t="s">
        <v>8549</v>
      </c>
      <c r="AY471" t="s">
        <v>8548</v>
      </c>
      <c r="AZ471" t="s">
        <v>8550</v>
      </c>
      <c r="BA471">
        <v>2.33</v>
      </c>
      <c r="BB471">
        <v>2082.81</v>
      </c>
      <c r="BC471">
        <v>1.03</v>
      </c>
      <c r="BD471">
        <v>2.77</v>
      </c>
      <c r="BE471">
        <v>2.84</v>
      </c>
      <c r="BF471">
        <v>2.64</v>
      </c>
      <c r="BG471" t="s">
        <v>8551</v>
      </c>
      <c r="BH471" t="s">
        <v>8552</v>
      </c>
      <c r="BI471" t="s">
        <v>8550</v>
      </c>
      <c r="BJ471" t="s">
        <v>101</v>
      </c>
      <c r="BK471" t="s">
        <v>8553</v>
      </c>
      <c r="BL471" t="s">
        <v>8554</v>
      </c>
      <c r="BM471" t="s">
        <v>8555</v>
      </c>
      <c r="BN471" t="s">
        <v>4063</v>
      </c>
    </row>
    <row r="472" spans="1:66" x14ac:dyDescent="0.25">
      <c r="A472" t="str">
        <f>HYPERLINK("https://elite.finviz.com/quote.ashx?t=FUBO&amp;ty=c&amp;p=d&amp;b=1", "FUBO")</f>
        <v>FUBO</v>
      </c>
      <c r="B472">
        <v>7</v>
      </c>
      <c r="C472">
        <v>138.38</v>
      </c>
      <c r="D472">
        <v>53.71</v>
      </c>
      <c r="E472" t="s">
        <v>8556</v>
      </c>
      <c r="F472" t="s">
        <v>67</v>
      </c>
      <c r="G472" t="s">
        <v>598</v>
      </c>
      <c r="H472" t="s">
        <v>4546</v>
      </c>
      <c r="I472" t="s">
        <v>70</v>
      </c>
      <c r="J472" t="s">
        <v>71</v>
      </c>
      <c r="K472">
        <v>1424.5</v>
      </c>
      <c r="L472">
        <v>4.16</v>
      </c>
      <c r="M472" t="s">
        <v>6493</v>
      </c>
      <c r="N472">
        <v>2949534</v>
      </c>
      <c r="O472">
        <v>16.64</v>
      </c>
      <c r="R472">
        <v>0.88</v>
      </c>
      <c r="S472">
        <v>3.46</v>
      </c>
      <c r="AA472">
        <v>0.25</v>
      </c>
      <c r="AB472" t="s">
        <v>8557</v>
      </c>
      <c r="AC472" t="s">
        <v>8558</v>
      </c>
      <c r="AE472" t="s">
        <v>6330</v>
      </c>
      <c r="AF472" t="s">
        <v>8559</v>
      </c>
      <c r="AG472" t="s">
        <v>8560</v>
      </c>
      <c r="AH472" t="s">
        <v>5686</v>
      </c>
      <c r="AI472" t="s">
        <v>8561</v>
      </c>
      <c r="AJ472" t="s">
        <v>8562</v>
      </c>
      <c r="AK472" t="s">
        <v>8563</v>
      </c>
      <c r="AL472">
        <v>0.69</v>
      </c>
      <c r="AM472">
        <v>0.69</v>
      </c>
      <c r="AN472">
        <v>0.91</v>
      </c>
      <c r="AO472" t="s">
        <v>8564</v>
      </c>
      <c r="AP472" t="s">
        <v>6436</v>
      </c>
      <c r="AQ472" t="s">
        <v>896</v>
      </c>
      <c r="AR472" t="s">
        <v>7010</v>
      </c>
      <c r="AS472" t="s">
        <v>3053</v>
      </c>
      <c r="AT472" t="s">
        <v>4689</v>
      </c>
      <c r="AU472" t="s">
        <v>4193</v>
      </c>
      <c r="AV472" t="s">
        <v>8565</v>
      </c>
      <c r="AW472" t="s">
        <v>7525</v>
      </c>
      <c r="AX472" t="s">
        <v>5948</v>
      </c>
      <c r="AY472" t="s">
        <v>8566</v>
      </c>
      <c r="AZ472" t="s">
        <v>8567</v>
      </c>
      <c r="BA472">
        <v>2.4300000000000002</v>
      </c>
      <c r="BB472">
        <v>15295.05</v>
      </c>
      <c r="BC472">
        <v>0.68</v>
      </c>
      <c r="BD472">
        <v>4.09</v>
      </c>
      <c r="BE472">
        <v>4.21</v>
      </c>
      <c r="BF472">
        <v>4.0599999999999996</v>
      </c>
      <c r="BG472" t="s">
        <v>8568</v>
      </c>
      <c r="BH472" t="s">
        <v>579</v>
      </c>
      <c r="BI472" t="s">
        <v>8569</v>
      </c>
      <c r="BJ472" t="s">
        <v>101</v>
      </c>
      <c r="BK472" t="s">
        <v>7217</v>
      </c>
      <c r="BL472" t="s">
        <v>8570</v>
      </c>
      <c r="BM472" t="s">
        <v>8571</v>
      </c>
      <c r="BN472" t="s">
        <v>4063</v>
      </c>
    </row>
    <row r="473" spans="1:66" x14ac:dyDescent="0.25">
      <c r="A473" t="str">
        <f>HYPERLINK("https://elite.finviz.com/quote.ashx?t=XPON&amp;ty=c&amp;p=d&amp;b=1", "XPON")</f>
        <v>XPON</v>
      </c>
      <c r="B473">
        <v>7</v>
      </c>
      <c r="C473">
        <v>138.38</v>
      </c>
      <c r="D473">
        <v>53.8</v>
      </c>
      <c r="E473" t="s">
        <v>8572</v>
      </c>
      <c r="F473" t="s">
        <v>107</v>
      </c>
      <c r="G473" t="s">
        <v>260</v>
      </c>
      <c r="H473" t="s">
        <v>1128</v>
      </c>
      <c r="I473" t="s">
        <v>70</v>
      </c>
      <c r="J473" t="s">
        <v>321</v>
      </c>
      <c r="K473">
        <v>5.31</v>
      </c>
      <c r="L473">
        <v>1.53</v>
      </c>
      <c r="M473" t="s">
        <v>4569</v>
      </c>
      <c r="N473">
        <v>636482</v>
      </c>
      <c r="R473">
        <v>0.63</v>
      </c>
      <c r="S473">
        <v>2.5</v>
      </c>
      <c r="AA473">
        <v>-25.45</v>
      </c>
      <c r="AB473" t="s">
        <v>8573</v>
      </c>
      <c r="AC473" t="s">
        <v>8574</v>
      </c>
      <c r="AE473" t="s">
        <v>8575</v>
      </c>
      <c r="AF473" t="s">
        <v>4498</v>
      </c>
      <c r="AG473" t="s">
        <v>5457</v>
      </c>
      <c r="AH473" t="s">
        <v>687</v>
      </c>
      <c r="AJ473" t="s">
        <v>164</v>
      </c>
      <c r="AK473" t="s">
        <v>4088</v>
      </c>
      <c r="AL473">
        <v>1.27</v>
      </c>
      <c r="AM473">
        <v>0.3</v>
      </c>
      <c r="AN473">
        <v>0.52</v>
      </c>
      <c r="AO473" t="s">
        <v>8576</v>
      </c>
      <c r="AP473" t="s">
        <v>8577</v>
      </c>
      <c r="AQ473" t="s">
        <v>8578</v>
      </c>
      <c r="AR473" t="s">
        <v>8579</v>
      </c>
      <c r="AS473" t="s">
        <v>2629</v>
      </c>
      <c r="AT473" t="s">
        <v>5680</v>
      </c>
      <c r="AU473" t="s">
        <v>2459</v>
      </c>
      <c r="AV473" t="s">
        <v>8580</v>
      </c>
      <c r="AW473" t="s">
        <v>8581</v>
      </c>
      <c r="AX473" t="s">
        <v>8582</v>
      </c>
      <c r="AY473" t="s">
        <v>8583</v>
      </c>
      <c r="AZ473" t="s">
        <v>8584</v>
      </c>
      <c r="BB473">
        <v>8802.4500000000007</v>
      </c>
      <c r="BC473">
        <v>0.26</v>
      </c>
      <c r="BD473">
        <v>1.48</v>
      </c>
      <c r="BE473">
        <v>1.67</v>
      </c>
      <c r="BF473">
        <v>1.51</v>
      </c>
      <c r="BG473" t="s">
        <v>8585</v>
      </c>
      <c r="BH473" t="s">
        <v>3590</v>
      </c>
      <c r="BI473" t="s">
        <v>8584</v>
      </c>
      <c r="BJ473" t="s">
        <v>101</v>
      </c>
      <c r="BK473" t="s">
        <v>8586</v>
      </c>
      <c r="BL473" t="s">
        <v>8587</v>
      </c>
      <c r="BM473" t="s">
        <v>8588</v>
      </c>
      <c r="BN473" t="s">
        <v>4063</v>
      </c>
    </row>
    <row r="474" spans="1:66" x14ac:dyDescent="0.25">
      <c r="A474" t="str">
        <f>HYPERLINK("https://elite.finviz.com/quote.ashx?t=PPSI&amp;ty=c&amp;p=d&amp;b=1", "PPSI")</f>
        <v>PPSI</v>
      </c>
      <c r="B474">
        <v>7</v>
      </c>
      <c r="C474">
        <v>138.38</v>
      </c>
      <c r="D474">
        <v>53.88</v>
      </c>
      <c r="E474" t="s">
        <v>8589</v>
      </c>
      <c r="F474" t="s">
        <v>107</v>
      </c>
      <c r="G474" t="s">
        <v>260</v>
      </c>
      <c r="H474" t="s">
        <v>1128</v>
      </c>
      <c r="I474" t="s">
        <v>70</v>
      </c>
      <c r="J474" t="s">
        <v>321</v>
      </c>
      <c r="K474">
        <v>46.58</v>
      </c>
      <c r="L474">
        <v>4.2</v>
      </c>
      <c r="M474" t="s">
        <v>3112</v>
      </c>
      <c r="N474">
        <v>25236</v>
      </c>
      <c r="R474">
        <v>1.36</v>
      </c>
      <c r="S474">
        <v>1.41</v>
      </c>
      <c r="V474" t="s">
        <v>8590</v>
      </c>
      <c r="AA474">
        <v>-0.69</v>
      </c>
      <c r="AB474" t="s">
        <v>217</v>
      </c>
      <c r="AC474" t="s">
        <v>3471</v>
      </c>
      <c r="AE474" t="s">
        <v>8591</v>
      </c>
      <c r="AF474" t="s">
        <v>8155</v>
      </c>
      <c r="AG474" t="s">
        <v>4891</v>
      </c>
      <c r="AH474" t="s">
        <v>4531</v>
      </c>
      <c r="AI474" t="s">
        <v>8592</v>
      </c>
      <c r="AJ474" t="s">
        <v>164</v>
      </c>
      <c r="AK474" t="s">
        <v>8593</v>
      </c>
      <c r="AL474">
        <v>5.42</v>
      </c>
      <c r="AM474">
        <v>4.3499999999999996</v>
      </c>
      <c r="AN474">
        <v>0.03</v>
      </c>
      <c r="AO474" t="s">
        <v>2819</v>
      </c>
      <c r="AP474" t="s">
        <v>7149</v>
      </c>
      <c r="AQ474" t="s">
        <v>3276</v>
      </c>
      <c r="AR474" t="s">
        <v>2523</v>
      </c>
      <c r="AS474" t="s">
        <v>2839</v>
      </c>
      <c r="AT474" t="s">
        <v>6871</v>
      </c>
      <c r="AU474" t="s">
        <v>8594</v>
      </c>
      <c r="AV474" t="s">
        <v>8595</v>
      </c>
      <c r="AW474" t="s">
        <v>8596</v>
      </c>
      <c r="AX474" t="s">
        <v>4768</v>
      </c>
      <c r="AY474" t="s">
        <v>8596</v>
      </c>
      <c r="AZ474" t="s">
        <v>8597</v>
      </c>
      <c r="BA474">
        <v>1</v>
      </c>
      <c r="BB474">
        <v>1691.58</v>
      </c>
      <c r="BC474">
        <v>0.05</v>
      </c>
      <c r="BD474">
        <v>4.18</v>
      </c>
      <c r="BE474">
        <v>4.3899999999999997</v>
      </c>
      <c r="BF474">
        <v>4.1900000000000004</v>
      </c>
      <c r="BG474" t="s">
        <v>8598</v>
      </c>
      <c r="BH474" t="s">
        <v>8599</v>
      </c>
      <c r="BI474" t="s">
        <v>8600</v>
      </c>
      <c r="BJ474" t="s">
        <v>101</v>
      </c>
      <c r="BK474" t="s">
        <v>8009</v>
      </c>
      <c r="BL474" t="s">
        <v>1366</v>
      </c>
      <c r="BM474" t="s">
        <v>5950</v>
      </c>
      <c r="BN474" t="s">
        <v>4063</v>
      </c>
    </row>
    <row r="475" spans="1:66" x14ac:dyDescent="0.25">
      <c r="A475" t="str">
        <f>HYPERLINK("https://elite.finviz.com/quote.ashx?t=OPI&amp;ty=c&amp;p=d&amp;b=1", "OPI")</f>
        <v>OPI</v>
      </c>
      <c r="B475">
        <v>7</v>
      </c>
      <c r="C475">
        <v>138.38</v>
      </c>
      <c r="D475">
        <v>53.93</v>
      </c>
      <c r="E475" t="s">
        <v>8601</v>
      </c>
      <c r="F475" t="s">
        <v>107</v>
      </c>
      <c r="G475" t="s">
        <v>68</v>
      </c>
      <c r="H475" t="s">
        <v>69</v>
      </c>
      <c r="I475" t="s">
        <v>70</v>
      </c>
      <c r="J475" t="s">
        <v>321</v>
      </c>
      <c r="K475">
        <v>31.95</v>
      </c>
      <c r="L475">
        <v>0.43</v>
      </c>
      <c r="M475" t="s">
        <v>6204</v>
      </c>
      <c r="N475">
        <v>2584289</v>
      </c>
      <c r="R475">
        <v>7.0000000000000007E-2</v>
      </c>
      <c r="S475">
        <v>0.03</v>
      </c>
      <c r="T475" t="s">
        <v>2585</v>
      </c>
      <c r="U475">
        <v>0.03</v>
      </c>
      <c r="V475" t="s">
        <v>8602</v>
      </c>
      <c r="W475" t="s">
        <v>8603</v>
      </c>
      <c r="X475" t="s">
        <v>8604</v>
      </c>
      <c r="Y475" t="s">
        <v>8605</v>
      </c>
      <c r="AA475">
        <v>-4.91</v>
      </c>
      <c r="AB475" t="s">
        <v>8606</v>
      </c>
      <c r="AE475" t="s">
        <v>7469</v>
      </c>
      <c r="AF475" t="s">
        <v>8607</v>
      </c>
      <c r="AG475" t="s">
        <v>2562</v>
      </c>
      <c r="AH475" t="s">
        <v>5703</v>
      </c>
      <c r="AJ475" t="s">
        <v>164</v>
      </c>
      <c r="AK475" t="s">
        <v>8608</v>
      </c>
      <c r="AL475">
        <v>14.31</v>
      </c>
      <c r="AM475">
        <v>14.31</v>
      </c>
      <c r="AN475">
        <v>2.23</v>
      </c>
      <c r="AO475" t="s">
        <v>8609</v>
      </c>
      <c r="AP475" t="s">
        <v>2626</v>
      </c>
      <c r="AQ475" t="s">
        <v>8610</v>
      </c>
      <c r="AR475" t="s">
        <v>7087</v>
      </c>
      <c r="AS475" t="s">
        <v>8611</v>
      </c>
      <c r="AT475" t="s">
        <v>3003</v>
      </c>
      <c r="AU475" t="s">
        <v>8612</v>
      </c>
      <c r="AV475" t="s">
        <v>8613</v>
      </c>
      <c r="AW475" t="s">
        <v>8614</v>
      </c>
      <c r="AX475" t="s">
        <v>8615</v>
      </c>
      <c r="AY475" t="s">
        <v>8616</v>
      </c>
      <c r="AZ475" t="s">
        <v>8617</v>
      </c>
      <c r="BA475">
        <v>5</v>
      </c>
      <c r="BB475">
        <v>11219.68</v>
      </c>
      <c r="BC475">
        <v>0.81</v>
      </c>
      <c r="BD475">
        <v>0.44</v>
      </c>
      <c r="BE475">
        <v>0.45</v>
      </c>
      <c r="BF475">
        <v>0.4</v>
      </c>
      <c r="BG475" t="s">
        <v>8618</v>
      </c>
      <c r="BH475" t="s">
        <v>8619</v>
      </c>
      <c r="BI475" t="s">
        <v>8617</v>
      </c>
      <c r="BJ475" t="s">
        <v>101</v>
      </c>
      <c r="BK475" t="s">
        <v>8620</v>
      </c>
      <c r="BL475" t="s">
        <v>8621</v>
      </c>
      <c r="BM475" t="s">
        <v>8622</v>
      </c>
      <c r="BN475" t="s">
        <v>4063</v>
      </c>
    </row>
    <row r="476" spans="1:66" x14ac:dyDescent="0.25">
      <c r="A476" t="str">
        <f>HYPERLINK("https://elite.finviz.com/quote.ashx?t=ORIC&amp;ty=c&amp;p=d&amp;b=1", "ORIC")</f>
        <v>ORIC</v>
      </c>
      <c r="B476">
        <v>7</v>
      </c>
      <c r="C476">
        <v>138.38</v>
      </c>
      <c r="D476">
        <v>53.95</v>
      </c>
      <c r="E476" t="s">
        <v>8623</v>
      </c>
      <c r="F476" t="s">
        <v>67</v>
      </c>
      <c r="G476" t="s">
        <v>428</v>
      </c>
      <c r="H476" t="s">
        <v>429</v>
      </c>
      <c r="I476" t="s">
        <v>70</v>
      </c>
      <c r="J476" t="s">
        <v>321</v>
      </c>
      <c r="K476">
        <v>1044.07</v>
      </c>
      <c r="L476">
        <v>10.75</v>
      </c>
      <c r="M476" t="s">
        <v>2317</v>
      </c>
      <c r="N476">
        <v>210114</v>
      </c>
      <c r="S476">
        <v>2.86</v>
      </c>
      <c r="AA476">
        <v>-1.89</v>
      </c>
      <c r="AB476" t="s">
        <v>289</v>
      </c>
      <c r="AC476" t="s">
        <v>8624</v>
      </c>
      <c r="AD476" t="s">
        <v>8625</v>
      </c>
      <c r="AI476" t="s">
        <v>8626</v>
      </c>
      <c r="AJ476" t="s">
        <v>1564</v>
      </c>
      <c r="AK476" t="s">
        <v>1060</v>
      </c>
      <c r="AL476">
        <v>16.13</v>
      </c>
      <c r="AM476">
        <v>16.13</v>
      </c>
      <c r="AN476">
        <v>0.01</v>
      </c>
      <c r="AR476" t="s">
        <v>216</v>
      </c>
      <c r="AS476" t="s">
        <v>5027</v>
      </c>
      <c r="AT476" t="s">
        <v>2864</v>
      </c>
      <c r="AU476" t="s">
        <v>2234</v>
      </c>
      <c r="AV476" t="s">
        <v>2897</v>
      </c>
      <c r="AW476" t="s">
        <v>6687</v>
      </c>
      <c r="AX476" t="s">
        <v>8627</v>
      </c>
      <c r="AY476" t="s">
        <v>8628</v>
      </c>
      <c r="AZ476" t="s">
        <v>493</v>
      </c>
      <c r="BA476">
        <v>1.08</v>
      </c>
      <c r="BB476">
        <v>1122.08</v>
      </c>
      <c r="BC476">
        <v>0.66</v>
      </c>
      <c r="BD476">
        <v>10.41</v>
      </c>
      <c r="BE476">
        <v>10.84</v>
      </c>
      <c r="BF476">
        <v>10.38</v>
      </c>
      <c r="BG476" t="s">
        <v>8629</v>
      </c>
      <c r="BH476" t="s">
        <v>8630</v>
      </c>
      <c r="BI476" t="s">
        <v>8631</v>
      </c>
      <c r="BJ476" t="s">
        <v>101</v>
      </c>
      <c r="BK476" t="s">
        <v>4744</v>
      </c>
      <c r="BL476" t="s">
        <v>8632</v>
      </c>
      <c r="BM476" t="s">
        <v>164</v>
      </c>
      <c r="BN476" t="s">
        <v>4063</v>
      </c>
    </row>
    <row r="477" spans="1:66" x14ac:dyDescent="0.25">
      <c r="A477" t="str">
        <f>HYPERLINK("https://elite.finviz.com/quote.ashx?t=INO&amp;ty=c&amp;p=d&amp;b=1", "INO")</f>
        <v>INO</v>
      </c>
      <c r="B477">
        <v>7</v>
      </c>
      <c r="C477">
        <v>138.38</v>
      </c>
      <c r="D477">
        <v>53.97</v>
      </c>
      <c r="E477" t="s">
        <v>8633</v>
      </c>
      <c r="F477" t="s">
        <v>107</v>
      </c>
      <c r="G477" t="s">
        <v>428</v>
      </c>
      <c r="H477" t="s">
        <v>429</v>
      </c>
      <c r="I477" t="s">
        <v>70</v>
      </c>
      <c r="J477" t="s">
        <v>321</v>
      </c>
      <c r="K477">
        <v>128.08000000000001</v>
      </c>
      <c r="L477">
        <v>2.41</v>
      </c>
      <c r="M477" t="s">
        <v>8634</v>
      </c>
      <c r="N477">
        <v>211564</v>
      </c>
      <c r="R477">
        <v>711.54</v>
      </c>
      <c r="S477">
        <v>3.1</v>
      </c>
      <c r="AA477">
        <v>-2.61</v>
      </c>
      <c r="AB477" t="s">
        <v>3137</v>
      </c>
      <c r="AC477" t="s">
        <v>5382</v>
      </c>
      <c r="AD477" t="s">
        <v>7878</v>
      </c>
      <c r="AE477" t="s">
        <v>8635</v>
      </c>
      <c r="AF477" t="s">
        <v>8636</v>
      </c>
      <c r="AG477" t="s">
        <v>8637</v>
      </c>
      <c r="AH477" t="s">
        <v>579</v>
      </c>
      <c r="AI477" t="s">
        <v>164</v>
      </c>
      <c r="AJ477" t="s">
        <v>164</v>
      </c>
      <c r="AK477" t="s">
        <v>8322</v>
      </c>
      <c r="AL477">
        <v>1.66</v>
      </c>
      <c r="AM477">
        <v>1.66</v>
      </c>
      <c r="AN477">
        <v>0.37</v>
      </c>
      <c r="AO477" t="s">
        <v>8638</v>
      </c>
      <c r="AP477" t="s">
        <v>8639</v>
      </c>
      <c r="AQ477" t="s">
        <v>8640</v>
      </c>
      <c r="AR477" t="s">
        <v>2581</v>
      </c>
      <c r="AS477" t="s">
        <v>5389</v>
      </c>
      <c r="AT477" t="s">
        <v>5913</v>
      </c>
      <c r="AU477" t="s">
        <v>6406</v>
      </c>
      <c r="AV477" t="s">
        <v>8641</v>
      </c>
      <c r="AW477" t="s">
        <v>299</v>
      </c>
      <c r="AX477" t="s">
        <v>8642</v>
      </c>
      <c r="AY477" t="s">
        <v>8643</v>
      </c>
      <c r="AZ477" t="s">
        <v>8644</v>
      </c>
      <c r="BA477">
        <v>1.67</v>
      </c>
      <c r="BB477">
        <v>2363.91</v>
      </c>
      <c r="BC477">
        <v>0.32</v>
      </c>
      <c r="BD477">
        <v>2.4300000000000002</v>
      </c>
      <c r="BE477">
        <v>2.4500000000000002</v>
      </c>
      <c r="BF477">
        <v>2.4</v>
      </c>
      <c r="BG477" t="s">
        <v>8645</v>
      </c>
      <c r="BH477" t="s">
        <v>400</v>
      </c>
      <c r="BI477" t="s">
        <v>8644</v>
      </c>
      <c r="BJ477" t="s">
        <v>101</v>
      </c>
      <c r="BK477" t="s">
        <v>2137</v>
      </c>
      <c r="BL477" t="s">
        <v>8646</v>
      </c>
      <c r="BM477" t="s">
        <v>8647</v>
      </c>
      <c r="BN477" t="s">
        <v>4063</v>
      </c>
    </row>
    <row r="478" spans="1:66" x14ac:dyDescent="0.25">
      <c r="A478" t="str">
        <f>HYPERLINK("https://elite.finviz.com/quote.ashx?t=WT&amp;ty=c&amp;p=d&amp;b=1", "WT")</f>
        <v>WT</v>
      </c>
      <c r="B478">
        <v>7</v>
      </c>
      <c r="C478">
        <v>138.38</v>
      </c>
      <c r="D478">
        <v>53.99</v>
      </c>
      <c r="E478" t="s">
        <v>8648</v>
      </c>
      <c r="F478" t="s">
        <v>67</v>
      </c>
      <c r="G478" t="s">
        <v>550</v>
      </c>
      <c r="H478" t="s">
        <v>2597</v>
      </c>
      <c r="I478" t="s">
        <v>70</v>
      </c>
      <c r="J478" t="s">
        <v>71</v>
      </c>
      <c r="K478">
        <v>2070.87</v>
      </c>
      <c r="L478">
        <v>14.08</v>
      </c>
      <c r="M478" t="s">
        <v>3486</v>
      </c>
      <c r="N478">
        <v>209308</v>
      </c>
      <c r="O478">
        <v>36.369999999999997</v>
      </c>
      <c r="P478">
        <v>16.59</v>
      </c>
      <c r="Q478">
        <v>2.48</v>
      </c>
      <c r="R478">
        <v>4.66</v>
      </c>
      <c r="S478">
        <v>4.6500000000000004</v>
      </c>
      <c r="T478" t="s">
        <v>3013</v>
      </c>
      <c r="U478">
        <v>0.12</v>
      </c>
      <c r="V478" t="s">
        <v>8649</v>
      </c>
      <c r="W478" t="s">
        <v>164</v>
      </c>
      <c r="X478" t="s">
        <v>164</v>
      </c>
      <c r="Y478" t="s">
        <v>164</v>
      </c>
      <c r="Z478" t="s">
        <v>4869</v>
      </c>
      <c r="AA478">
        <v>0.39</v>
      </c>
      <c r="AB478" t="s">
        <v>1932</v>
      </c>
      <c r="AD478" t="s">
        <v>4108</v>
      </c>
      <c r="AE478" t="s">
        <v>310</v>
      </c>
      <c r="AF478" t="s">
        <v>1603</v>
      </c>
      <c r="AG478" t="s">
        <v>8650</v>
      </c>
      <c r="AH478" t="s">
        <v>4173</v>
      </c>
      <c r="AI478" t="s">
        <v>2146</v>
      </c>
      <c r="AJ478" t="s">
        <v>2213</v>
      </c>
      <c r="AK478" t="s">
        <v>8651</v>
      </c>
      <c r="AL478">
        <v>1.44</v>
      </c>
      <c r="AM478">
        <v>1.44</v>
      </c>
      <c r="AN478">
        <v>1.1599999999999999</v>
      </c>
      <c r="AO478" t="s">
        <v>8652</v>
      </c>
      <c r="AP478" t="s">
        <v>8653</v>
      </c>
      <c r="AQ478" t="s">
        <v>1116</v>
      </c>
      <c r="AR478" t="s">
        <v>3671</v>
      </c>
      <c r="AS478" t="s">
        <v>3635</v>
      </c>
      <c r="AT478" t="s">
        <v>306</v>
      </c>
      <c r="AU478" t="s">
        <v>323</v>
      </c>
      <c r="AV478" t="s">
        <v>7958</v>
      </c>
      <c r="AW478" t="s">
        <v>8654</v>
      </c>
      <c r="AX478" t="s">
        <v>3649</v>
      </c>
      <c r="AY478" t="s">
        <v>8654</v>
      </c>
      <c r="AZ478" t="s">
        <v>2198</v>
      </c>
      <c r="BA478">
        <v>1.67</v>
      </c>
      <c r="BB478">
        <v>3291.37</v>
      </c>
      <c r="BC478">
        <v>0.22</v>
      </c>
      <c r="BD478">
        <v>14.14</v>
      </c>
      <c r="BE478">
        <v>14.24</v>
      </c>
      <c r="BF478">
        <v>14.07</v>
      </c>
      <c r="BG478" t="s">
        <v>8655</v>
      </c>
      <c r="BH478" t="s">
        <v>8656</v>
      </c>
      <c r="BJ478" t="s">
        <v>101</v>
      </c>
      <c r="BK478" t="s">
        <v>2779</v>
      </c>
      <c r="BL478" t="s">
        <v>8657</v>
      </c>
      <c r="BM478" t="s">
        <v>271</v>
      </c>
      <c r="BN478" t="s">
        <v>4063</v>
      </c>
    </row>
    <row r="479" spans="1:66" x14ac:dyDescent="0.25">
      <c r="A479" t="str">
        <f>HYPERLINK("https://elite.finviz.com/quote.ashx?t=DOCU&amp;ty=c&amp;p=d&amp;b=1", "DOCU")</f>
        <v>DOCU</v>
      </c>
      <c r="B479">
        <v>7</v>
      </c>
      <c r="C479">
        <v>138.38</v>
      </c>
      <c r="D479">
        <v>54.06</v>
      </c>
      <c r="E479" t="s">
        <v>8658</v>
      </c>
      <c r="F479" t="s">
        <v>107</v>
      </c>
      <c r="G479" t="s">
        <v>108</v>
      </c>
      <c r="H479" t="s">
        <v>136</v>
      </c>
      <c r="I479" t="s">
        <v>70</v>
      </c>
      <c r="J479" t="s">
        <v>321</v>
      </c>
      <c r="K479">
        <v>16336.53</v>
      </c>
      <c r="L479">
        <v>81.23</v>
      </c>
      <c r="M479" t="s">
        <v>6192</v>
      </c>
      <c r="N479">
        <v>401553</v>
      </c>
      <c r="O479">
        <v>61.28</v>
      </c>
      <c r="P479">
        <v>20.11</v>
      </c>
      <c r="Q479">
        <v>6.92</v>
      </c>
      <c r="R479">
        <v>5.28</v>
      </c>
      <c r="S479">
        <v>8.2200000000000006</v>
      </c>
      <c r="Z479" t="s">
        <v>164</v>
      </c>
      <c r="AA479">
        <v>1.33</v>
      </c>
      <c r="AD479" t="s">
        <v>2000</v>
      </c>
      <c r="AE479" t="s">
        <v>4128</v>
      </c>
      <c r="AF479" t="s">
        <v>563</v>
      </c>
      <c r="AG479" t="s">
        <v>4298</v>
      </c>
      <c r="AH479" t="s">
        <v>2250</v>
      </c>
      <c r="AI479" t="s">
        <v>191</v>
      </c>
      <c r="AJ479" t="s">
        <v>8659</v>
      </c>
      <c r="AK479" t="s">
        <v>8660</v>
      </c>
      <c r="AL479">
        <v>0.74</v>
      </c>
      <c r="AM479">
        <v>0.74</v>
      </c>
      <c r="AN479">
        <v>0.06</v>
      </c>
      <c r="AO479" t="s">
        <v>8661</v>
      </c>
      <c r="AP479" t="s">
        <v>3687</v>
      </c>
      <c r="AQ479" t="s">
        <v>8662</v>
      </c>
      <c r="AR479" t="s">
        <v>2582</v>
      </c>
      <c r="AS479" t="s">
        <v>305</v>
      </c>
      <c r="AT479" t="s">
        <v>149</v>
      </c>
      <c r="AU479" t="s">
        <v>2123</v>
      </c>
      <c r="AV479" t="s">
        <v>214</v>
      </c>
      <c r="AW479" t="s">
        <v>6755</v>
      </c>
      <c r="AX479" t="s">
        <v>3537</v>
      </c>
      <c r="AY479" t="s">
        <v>8663</v>
      </c>
      <c r="AZ479" t="s">
        <v>8664</v>
      </c>
      <c r="BA479">
        <v>2.5</v>
      </c>
      <c r="BB479">
        <v>2697.2</v>
      </c>
      <c r="BC479">
        <v>0.52</v>
      </c>
      <c r="BD479">
        <v>81.31</v>
      </c>
      <c r="BE479">
        <v>82.14</v>
      </c>
      <c r="BF479">
        <v>81.09</v>
      </c>
      <c r="BG479" t="s">
        <v>8665</v>
      </c>
      <c r="BH479" t="s">
        <v>8666</v>
      </c>
      <c r="BI479" t="s">
        <v>8667</v>
      </c>
      <c r="BJ479" t="s">
        <v>101</v>
      </c>
      <c r="BK479" t="s">
        <v>216</v>
      </c>
      <c r="BL479" t="s">
        <v>6494</v>
      </c>
      <c r="BM479" t="s">
        <v>8668</v>
      </c>
      <c r="BN479" t="s">
        <v>4063</v>
      </c>
    </row>
    <row r="480" spans="1:66" x14ac:dyDescent="0.25">
      <c r="A480" t="str">
        <f>HYPERLINK("https://elite.finviz.com/quote.ashx?t=MNMD&amp;ty=c&amp;p=d&amp;b=1", "MNMD")</f>
        <v>MNMD</v>
      </c>
      <c r="B480">
        <v>7</v>
      </c>
      <c r="C480">
        <v>138.38</v>
      </c>
      <c r="D480">
        <v>54.07</v>
      </c>
      <c r="E480" t="s">
        <v>8669</v>
      </c>
      <c r="F480" t="s">
        <v>67</v>
      </c>
      <c r="G480" t="s">
        <v>428</v>
      </c>
      <c r="H480" t="s">
        <v>429</v>
      </c>
      <c r="I480" t="s">
        <v>70</v>
      </c>
      <c r="J480" t="s">
        <v>321</v>
      </c>
      <c r="K480">
        <v>744</v>
      </c>
      <c r="L480">
        <v>9.7799999999999994</v>
      </c>
      <c r="M480" t="s">
        <v>4539</v>
      </c>
      <c r="N480">
        <v>201143</v>
      </c>
      <c r="S480">
        <v>4</v>
      </c>
      <c r="AA480">
        <v>-1.46</v>
      </c>
      <c r="AB480" t="s">
        <v>3015</v>
      </c>
      <c r="AC480" t="s">
        <v>231</v>
      </c>
      <c r="AD480" t="s">
        <v>8670</v>
      </c>
      <c r="AI480" t="s">
        <v>8671</v>
      </c>
      <c r="AJ480" t="s">
        <v>3328</v>
      </c>
      <c r="AK480" t="s">
        <v>8672</v>
      </c>
      <c r="AL480">
        <v>4.9800000000000004</v>
      </c>
      <c r="AM480">
        <v>4.9800000000000004</v>
      </c>
      <c r="AN480">
        <v>0.22</v>
      </c>
      <c r="AR480" t="s">
        <v>1700</v>
      </c>
      <c r="AS480" t="s">
        <v>2776</v>
      </c>
      <c r="AT480" t="s">
        <v>3636</v>
      </c>
      <c r="AU480" t="s">
        <v>206</v>
      </c>
      <c r="AV480" t="s">
        <v>8673</v>
      </c>
      <c r="AW480" t="s">
        <v>6266</v>
      </c>
      <c r="AX480" t="s">
        <v>235</v>
      </c>
      <c r="AY480" t="s">
        <v>6266</v>
      </c>
      <c r="AZ480" t="s">
        <v>8674</v>
      </c>
      <c r="BA480">
        <v>1.1000000000000001</v>
      </c>
      <c r="BB480">
        <v>1231.22</v>
      </c>
      <c r="BC480">
        <v>0.57999999999999996</v>
      </c>
      <c r="BD480">
        <v>9.77</v>
      </c>
      <c r="BE480">
        <v>9.8699999999999992</v>
      </c>
      <c r="BF480">
        <v>9.6199999999999992</v>
      </c>
      <c r="BG480" t="s">
        <v>8675</v>
      </c>
      <c r="BH480" t="s">
        <v>8676</v>
      </c>
      <c r="BI480" t="s">
        <v>8677</v>
      </c>
      <c r="BJ480" t="s">
        <v>101</v>
      </c>
      <c r="BK480" t="s">
        <v>1229</v>
      </c>
      <c r="BL480" t="s">
        <v>8678</v>
      </c>
      <c r="BM480" t="s">
        <v>8679</v>
      </c>
      <c r="BN480" t="s">
        <v>4063</v>
      </c>
    </row>
    <row r="481" spans="1:66" x14ac:dyDescent="0.25">
      <c r="A481" t="str">
        <f>HYPERLINK("https://elite.finviz.com/quote.ashx?t=PATH&amp;ty=c&amp;p=d&amp;b=1", "PATH")</f>
        <v>PATH</v>
      </c>
      <c r="B481">
        <v>7</v>
      </c>
      <c r="C481">
        <v>138.38</v>
      </c>
      <c r="D481">
        <v>54.07</v>
      </c>
      <c r="E481" t="s">
        <v>8680</v>
      </c>
      <c r="F481" t="s">
        <v>107</v>
      </c>
      <c r="G481" t="s">
        <v>108</v>
      </c>
      <c r="H481" t="s">
        <v>109</v>
      </c>
      <c r="I481" t="s">
        <v>70</v>
      </c>
      <c r="J481" t="s">
        <v>71</v>
      </c>
      <c r="K481">
        <v>6414.69</v>
      </c>
      <c r="L481">
        <v>12.08</v>
      </c>
      <c r="M481" t="s">
        <v>5777</v>
      </c>
      <c r="N481">
        <v>2259328</v>
      </c>
      <c r="O481">
        <v>338.37</v>
      </c>
      <c r="P481">
        <v>16.260000000000002</v>
      </c>
      <c r="Q481">
        <v>22.28</v>
      </c>
      <c r="R481">
        <v>4.29</v>
      </c>
      <c r="S481">
        <v>3.85</v>
      </c>
      <c r="AA481">
        <v>0.04</v>
      </c>
      <c r="AB481" t="s">
        <v>8681</v>
      </c>
      <c r="AC481" t="s">
        <v>8682</v>
      </c>
      <c r="AD481" t="s">
        <v>1601</v>
      </c>
      <c r="AE481" t="s">
        <v>723</v>
      </c>
      <c r="AF481" t="s">
        <v>5046</v>
      </c>
      <c r="AG481" t="s">
        <v>8683</v>
      </c>
      <c r="AH481" t="s">
        <v>8684</v>
      </c>
      <c r="AI481" t="s">
        <v>632</v>
      </c>
      <c r="AJ481" t="s">
        <v>132</v>
      </c>
      <c r="AK481" t="s">
        <v>8685</v>
      </c>
      <c r="AL481">
        <v>2.63</v>
      </c>
      <c r="AM481">
        <v>2.63</v>
      </c>
      <c r="AN481">
        <v>0.05</v>
      </c>
      <c r="AO481" t="s">
        <v>7764</v>
      </c>
      <c r="AP481" t="s">
        <v>4431</v>
      </c>
      <c r="AQ481" t="s">
        <v>3976</v>
      </c>
      <c r="AR481" t="s">
        <v>5163</v>
      </c>
      <c r="AS481" t="s">
        <v>5111</v>
      </c>
      <c r="AT481" t="s">
        <v>862</v>
      </c>
      <c r="AU481" t="s">
        <v>2809</v>
      </c>
      <c r="AV481" t="s">
        <v>1225</v>
      </c>
      <c r="AW481" t="s">
        <v>5964</v>
      </c>
      <c r="AX481" t="s">
        <v>928</v>
      </c>
      <c r="AY481" t="s">
        <v>8686</v>
      </c>
      <c r="AZ481" t="s">
        <v>8687</v>
      </c>
      <c r="BA481">
        <v>2.86</v>
      </c>
      <c r="BB481">
        <v>12359.32</v>
      </c>
      <c r="BC481">
        <v>0.64</v>
      </c>
      <c r="BD481">
        <v>12.14</v>
      </c>
      <c r="BE481">
        <v>12.18</v>
      </c>
      <c r="BF481">
        <v>11.97</v>
      </c>
      <c r="BG481" t="s">
        <v>8688</v>
      </c>
      <c r="BH481" t="s">
        <v>8689</v>
      </c>
      <c r="BI481" t="s">
        <v>8687</v>
      </c>
      <c r="BJ481" t="s">
        <v>101</v>
      </c>
      <c r="BK481" t="s">
        <v>8690</v>
      </c>
      <c r="BL481" t="s">
        <v>8691</v>
      </c>
      <c r="BM481" t="s">
        <v>8262</v>
      </c>
      <c r="BN481" t="s">
        <v>4063</v>
      </c>
    </row>
    <row r="482" spans="1:66" x14ac:dyDescent="0.25">
      <c r="A482" t="str">
        <f>HYPERLINK("https://elite.finviz.com/quote.ashx?t=IPDN&amp;ty=c&amp;p=d&amp;b=1", "IPDN")</f>
        <v>IPDN</v>
      </c>
      <c r="B482">
        <v>7</v>
      </c>
      <c r="C482">
        <v>138.38</v>
      </c>
      <c r="D482">
        <v>54.13</v>
      </c>
      <c r="E482" t="s">
        <v>8692</v>
      </c>
      <c r="F482" t="s">
        <v>107</v>
      </c>
      <c r="G482" t="s">
        <v>260</v>
      </c>
      <c r="H482" t="s">
        <v>8693</v>
      </c>
      <c r="I482" t="s">
        <v>70</v>
      </c>
      <c r="J482" t="s">
        <v>321</v>
      </c>
      <c r="K482">
        <v>17.47</v>
      </c>
      <c r="L482">
        <v>4.25</v>
      </c>
      <c r="M482" t="s">
        <v>5123</v>
      </c>
      <c r="N482">
        <v>150746</v>
      </c>
      <c r="R482">
        <v>2.7</v>
      </c>
      <c r="S482">
        <v>2.06</v>
      </c>
      <c r="AA482">
        <v>-1.46</v>
      </c>
      <c r="AB482" t="s">
        <v>8694</v>
      </c>
      <c r="AC482" t="s">
        <v>210</v>
      </c>
      <c r="AE482" t="s">
        <v>75</v>
      </c>
      <c r="AF482" t="s">
        <v>3035</v>
      </c>
      <c r="AG482" t="s">
        <v>1826</v>
      </c>
      <c r="AH482" t="s">
        <v>7865</v>
      </c>
      <c r="AJ482" t="s">
        <v>164</v>
      </c>
      <c r="AK482" t="s">
        <v>1338</v>
      </c>
      <c r="AL482">
        <v>0.43</v>
      </c>
      <c r="AM482">
        <v>0.43</v>
      </c>
      <c r="AN482">
        <v>0.05</v>
      </c>
      <c r="AO482" t="s">
        <v>5951</v>
      </c>
      <c r="AP482" t="s">
        <v>8695</v>
      </c>
      <c r="AQ482" t="s">
        <v>8696</v>
      </c>
      <c r="AR482" t="s">
        <v>8697</v>
      </c>
      <c r="AS482" t="s">
        <v>870</v>
      </c>
      <c r="AT482" t="s">
        <v>552</v>
      </c>
      <c r="AU482" t="s">
        <v>8698</v>
      </c>
      <c r="AV482" t="s">
        <v>8699</v>
      </c>
      <c r="AW482" t="s">
        <v>8700</v>
      </c>
      <c r="AX482" t="s">
        <v>8701</v>
      </c>
      <c r="AY482" t="s">
        <v>8700</v>
      </c>
      <c r="AZ482" t="s">
        <v>8702</v>
      </c>
      <c r="BA482">
        <v>1</v>
      </c>
      <c r="BB482">
        <v>7817.33</v>
      </c>
      <c r="BC482">
        <v>7.0000000000000007E-2</v>
      </c>
      <c r="BD482">
        <v>4.8</v>
      </c>
      <c r="BE482">
        <v>4.66</v>
      </c>
      <c r="BF482">
        <v>4.25</v>
      </c>
      <c r="BG482" t="s">
        <v>8703</v>
      </c>
      <c r="BH482" t="s">
        <v>8704</v>
      </c>
      <c r="BI482" t="s">
        <v>8702</v>
      </c>
      <c r="BJ482" t="s">
        <v>101</v>
      </c>
      <c r="BK482" t="s">
        <v>8705</v>
      </c>
      <c r="BL482" t="s">
        <v>8706</v>
      </c>
      <c r="BM482" t="s">
        <v>2149</v>
      </c>
      <c r="BN482" t="s">
        <v>4063</v>
      </c>
    </row>
    <row r="483" spans="1:66" x14ac:dyDescent="0.25">
      <c r="A483" t="str">
        <f>HYPERLINK("https://elite.finviz.com/quote.ashx?t=BBY&amp;ty=c&amp;p=d&amp;b=1", "BBY")</f>
        <v>BBY</v>
      </c>
      <c r="B483">
        <v>7</v>
      </c>
      <c r="C483">
        <v>138.38</v>
      </c>
      <c r="D483">
        <v>54.14</v>
      </c>
      <c r="E483" t="s">
        <v>8707</v>
      </c>
      <c r="F483" t="s">
        <v>195</v>
      </c>
      <c r="G483" t="s">
        <v>813</v>
      </c>
      <c r="H483" t="s">
        <v>2262</v>
      </c>
      <c r="I483" t="s">
        <v>70</v>
      </c>
      <c r="J483" t="s">
        <v>71</v>
      </c>
      <c r="K483">
        <v>15737.42</v>
      </c>
      <c r="L483">
        <v>74.900000000000006</v>
      </c>
      <c r="M483" t="s">
        <v>4759</v>
      </c>
      <c r="N483">
        <v>369832</v>
      </c>
      <c r="O483">
        <v>20.64</v>
      </c>
      <c r="P483">
        <v>11.2</v>
      </c>
      <c r="Q483">
        <v>4.2699999999999996</v>
      </c>
      <c r="R483">
        <v>0.38</v>
      </c>
      <c r="S483">
        <v>5.8</v>
      </c>
      <c r="T483" t="s">
        <v>1063</v>
      </c>
      <c r="U483">
        <v>3.79</v>
      </c>
      <c r="V483" t="s">
        <v>8236</v>
      </c>
      <c r="W483" t="s">
        <v>3916</v>
      </c>
      <c r="X483" t="s">
        <v>1396</v>
      </c>
      <c r="Y483" t="s">
        <v>4390</v>
      </c>
      <c r="Z483" t="s">
        <v>8708</v>
      </c>
      <c r="AA483">
        <v>3.63</v>
      </c>
      <c r="AB483" t="s">
        <v>8709</v>
      </c>
      <c r="AC483" t="s">
        <v>8710</v>
      </c>
      <c r="AD483" t="s">
        <v>3545</v>
      </c>
      <c r="AE483" t="s">
        <v>1356</v>
      </c>
      <c r="AF483" t="s">
        <v>5766</v>
      </c>
      <c r="AG483" t="s">
        <v>2132</v>
      </c>
      <c r="AH483" t="s">
        <v>6990</v>
      </c>
      <c r="AI483" t="s">
        <v>1772</v>
      </c>
      <c r="AJ483" t="s">
        <v>2951</v>
      </c>
      <c r="AK483" t="s">
        <v>8711</v>
      </c>
      <c r="AL483">
        <v>1.04</v>
      </c>
      <c r="AM483">
        <v>0.36</v>
      </c>
      <c r="AN483">
        <v>1.5</v>
      </c>
      <c r="AO483" t="s">
        <v>8712</v>
      </c>
      <c r="AP483" t="s">
        <v>2484</v>
      </c>
      <c r="AQ483" t="s">
        <v>5071</v>
      </c>
      <c r="AR483" t="s">
        <v>1599</v>
      </c>
      <c r="AS483" t="s">
        <v>295</v>
      </c>
      <c r="AT483" t="s">
        <v>6192</v>
      </c>
      <c r="AU483" t="s">
        <v>5026</v>
      </c>
      <c r="AV483" t="s">
        <v>3227</v>
      </c>
      <c r="AW483" t="s">
        <v>8139</v>
      </c>
      <c r="AX483" t="s">
        <v>2738</v>
      </c>
      <c r="AY483" t="s">
        <v>8713</v>
      </c>
      <c r="AZ483" t="s">
        <v>1948</v>
      </c>
      <c r="BA483">
        <v>2.44</v>
      </c>
      <c r="BB483">
        <v>3525.6</v>
      </c>
      <c r="BC483">
        <v>0.37</v>
      </c>
      <c r="BD483">
        <v>74.19</v>
      </c>
      <c r="BE483">
        <v>74.930000000000007</v>
      </c>
      <c r="BF483">
        <v>73.87</v>
      </c>
      <c r="BG483" t="s">
        <v>8714</v>
      </c>
      <c r="BH483" t="s">
        <v>8715</v>
      </c>
      <c r="BI483" t="s">
        <v>8716</v>
      </c>
      <c r="BJ483" t="s">
        <v>101</v>
      </c>
      <c r="BK483" t="s">
        <v>7407</v>
      </c>
      <c r="BL483" t="s">
        <v>4237</v>
      </c>
      <c r="BM483" t="s">
        <v>8717</v>
      </c>
      <c r="BN483" t="s">
        <v>4063</v>
      </c>
    </row>
    <row r="484" spans="1:66" x14ac:dyDescent="0.25">
      <c r="A484" t="str">
        <f>HYPERLINK("https://elite.finviz.com/quote.ashx?t=GH&amp;ty=c&amp;p=d&amp;b=1", "GH")</f>
        <v>GH</v>
      </c>
      <c r="B484">
        <v>7</v>
      </c>
      <c r="C484">
        <v>138.38</v>
      </c>
      <c r="D484">
        <v>54.17</v>
      </c>
      <c r="E484" t="s">
        <v>8718</v>
      </c>
      <c r="F484" t="s">
        <v>67</v>
      </c>
      <c r="G484" t="s">
        <v>428</v>
      </c>
      <c r="H484" t="s">
        <v>4202</v>
      </c>
      <c r="I484" t="s">
        <v>70</v>
      </c>
      <c r="J484" t="s">
        <v>321</v>
      </c>
      <c r="K484">
        <v>7434.49</v>
      </c>
      <c r="L484">
        <v>59.62</v>
      </c>
      <c r="M484" t="s">
        <v>5721</v>
      </c>
      <c r="N484">
        <v>536346</v>
      </c>
      <c r="R484">
        <v>8.9700000000000006</v>
      </c>
      <c r="AA484">
        <v>-3.35</v>
      </c>
      <c r="AB484" t="s">
        <v>162</v>
      </c>
      <c r="AC484" t="s">
        <v>3323</v>
      </c>
      <c r="AD484" t="s">
        <v>7874</v>
      </c>
      <c r="AE484" t="s">
        <v>8719</v>
      </c>
      <c r="AF484" t="s">
        <v>8720</v>
      </c>
      <c r="AG484" t="s">
        <v>8721</v>
      </c>
      <c r="AH484" t="s">
        <v>5140</v>
      </c>
      <c r="AI484" t="s">
        <v>2265</v>
      </c>
      <c r="AJ484" t="s">
        <v>8722</v>
      </c>
      <c r="AK484" t="s">
        <v>8723</v>
      </c>
      <c r="AL484">
        <v>3.71</v>
      </c>
      <c r="AM484">
        <v>3.35</v>
      </c>
      <c r="AO484" t="s">
        <v>8724</v>
      </c>
      <c r="AP484" t="s">
        <v>8725</v>
      </c>
      <c r="AQ484" t="s">
        <v>8726</v>
      </c>
      <c r="AR484" t="s">
        <v>7682</v>
      </c>
      <c r="AS484" t="s">
        <v>3480</v>
      </c>
      <c r="AT484" t="s">
        <v>3358</v>
      </c>
      <c r="AU484" t="s">
        <v>8727</v>
      </c>
      <c r="AV484" t="s">
        <v>8728</v>
      </c>
      <c r="AW484" t="s">
        <v>8729</v>
      </c>
      <c r="AX484" t="s">
        <v>8730</v>
      </c>
      <c r="AY484" t="s">
        <v>8729</v>
      </c>
      <c r="AZ484" t="s">
        <v>8731</v>
      </c>
      <c r="BA484">
        <v>1.44</v>
      </c>
      <c r="BB484">
        <v>2573.9499999999998</v>
      </c>
      <c r="BC484">
        <v>0.73</v>
      </c>
      <c r="BD484">
        <v>60.18</v>
      </c>
      <c r="BE484">
        <v>60.71</v>
      </c>
      <c r="BF484">
        <v>59.03</v>
      </c>
      <c r="BG484" t="s">
        <v>8732</v>
      </c>
      <c r="BH484" t="s">
        <v>8733</v>
      </c>
      <c r="BI484" t="s">
        <v>8734</v>
      </c>
      <c r="BJ484" t="s">
        <v>101</v>
      </c>
      <c r="BK484" t="s">
        <v>8735</v>
      </c>
      <c r="BL484" t="s">
        <v>8736</v>
      </c>
      <c r="BM484" t="s">
        <v>8737</v>
      </c>
      <c r="BN484" t="s">
        <v>4063</v>
      </c>
    </row>
    <row r="485" spans="1:66" x14ac:dyDescent="0.25">
      <c r="A485" t="str">
        <f>HYPERLINK("https://elite.finviz.com/quote.ashx?t=ALLO&amp;ty=c&amp;p=d&amp;b=1", "ALLO")</f>
        <v>ALLO</v>
      </c>
      <c r="B485">
        <v>7</v>
      </c>
      <c r="C485">
        <v>138.38</v>
      </c>
      <c r="D485">
        <v>54.17</v>
      </c>
      <c r="E485" t="s">
        <v>8738</v>
      </c>
      <c r="F485" t="s">
        <v>67</v>
      </c>
      <c r="G485" t="s">
        <v>428</v>
      </c>
      <c r="H485" t="s">
        <v>429</v>
      </c>
      <c r="I485" t="s">
        <v>70</v>
      </c>
      <c r="J485" t="s">
        <v>321</v>
      </c>
      <c r="K485">
        <v>265.99</v>
      </c>
      <c r="L485">
        <v>1.2</v>
      </c>
      <c r="M485" t="s">
        <v>2638</v>
      </c>
      <c r="N485">
        <v>663814</v>
      </c>
      <c r="S485">
        <v>0.77</v>
      </c>
      <c r="AA485">
        <v>-1.1100000000000001</v>
      </c>
      <c r="AB485" t="s">
        <v>914</v>
      </c>
      <c r="AC485" t="s">
        <v>3506</v>
      </c>
      <c r="AD485" t="s">
        <v>8041</v>
      </c>
      <c r="AE485" t="s">
        <v>579</v>
      </c>
      <c r="AF485" t="s">
        <v>8739</v>
      </c>
      <c r="AI485" t="s">
        <v>2711</v>
      </c>
      <c r="AJ485" t="s">
        <v>171</v>
      </c>
      <c r="AK485" t="s">
        <v>8740</v>
      </c>
      <c r="AL485">
        <v>8.92</v>
      </c>
      <c r="AM485">
        <v>8.92</v>
      </c>
      <c r="AN485">
        <v>0.25</v>
      </c>
      <c r="AR485" t="s">
        <v>6404</v>
      </c>
      <c r="AS485" t="s">
        <v>2205</v>
      </c>
      <c r="AT485" t="s">
        <v>3482</v>
      </c>
      <c r="AU485" t="s">
        <v>3550</v>
      </c>
      <c r="AV485" t="s">
        <v>8741</v>
      </c>
      <c r="AW485" t="s">
        <v>8742</v>
      </c>
      <c r="AX485" t="s">
        <v>7254</v>
      </c>
      <c r="AY485" t="s">
        <v>8743</v>
      </c>
      <c r="AZ485" t="s">
        <v>3137</v>
      </c>
      <c r="BA485">
        <v>1.54</v>
      </c>
      <c r="BB485">
        <v>4083.36</v>
      </c>
      <c r="BC485">
        <v>0.56999999999999995</v>
      </c>
      <c r="BD485">
        <v>1.2</v>
      </c>
      <c r="BE485">
        <v>1.22</v>
      </c>
      <c r="BF485">
        <v>1.19</v>
      </c>
      <c r="BG485" t="s">
        <v>8744</v>
      </c>
      <c r="BH485" t="s">
        <v>8745</v>
      </c>
      <c r="BI485" t="s">
        <v>3137</v>
      </c>
      <c r="BJ485" t="s">
        <v>101</v>
      </c>
      <c r="BK485" t="s">
        <v>2449</v>
      </c>
      <c r="BL485" t="s">
        <v>8746</v>
      </c>
      <c r="BM485" t="s">
        <v>8747</v>
      </c>
      <c r="BN485" t="s">
        <v>4063</v>
      </c>
    </row>
    <row r="486" spans="1:66" x14ac:dyDescent="0.25">
      <c r="A486" t="str">
        <f>HYPERLINK("https://elite.finviz.com/quote.ashx?t=PRSO&amp;ty=c&amp;p=d&amp;b=1", "PRSO")</f>
        <v>PRSO</v>
      </c>
      <c r="B486">
        <v>7</v>
      </c>
      <c r="C486">
        <v>138.38</v>
      </c>
      <c r="D486">
        <v>54.18</v>
      </c>
      <c r="E486" t="s">
        <v>8748</v>
      </c>
      <c r="F486" t="s">
        <v>107</v>
      </c>
      <c r="G486" t="s">
        <v>108</v>
      </c>
      <c r="H486" t="s">
        <v>1808</v>
      </c>
      <c r="I486" t="s">
        <v>70</v>
      </c>
      <c r="J486" t="s">
        <v>321</v>
      </c>
      <c r="K486">
        <v>7.23</v>
      </c>
      <c r="L486">
        <v>1.1599999999999999</v>
      </c>
      <c r="M486" t="s">
        <v>123</v>
      </c>
      <c r="N486">
        <v>73367</v>
      </c>
      <c r="R486">
        <v>0.53</v>
      </c>
      <c r="S486">
        <v>2.33</v>
      </c>
      <c r="AA486">
        <v>-1.74</v>
      </c>
      <c r="AB486" t="s">
        <v>8749</v>
      </c>
      <c r="AC486" t="s">
        <v>8750</v>
      </c>
      <c r="AE486" t="s">
        <v>7338</v>
      </c>
      <c r="AF486" t="s">
        <v>8751</v>
      </c>
      <c r="AG486" t="s">
        <v>2406</v>
      </c>
      <c r="AH486" t="s">
        <v>8752</v>
      </c>
      <c r="AI486" t="s">
        <v>8753</v>
      </c>
      <c r="AJ486" t="s">
        <v>164</v>
      </c>
      <c r="AK486" t="s">
        <v>3745</v>
      </c>
      <c r="AL486">
        <v>2.0299999999999998</v>
      </c>
      <c r="AM486">
        <v>1.48</v>
      </c>
      <c r="AN486">
        <v>0.08</v>
      </c>
      <c r="AO486" t="s">
        <v>8754</v>
      </c>
      <c r="AP486" t="s">
        <v>8755</v>
      </c>
      <c r="AQ486" t="s">
        <v>8756</v>
      </c>
      <c r="AR486" t="s">
        <v>6183</v>
      </c>
      <c r="AS486" t="s">
        <v>5551</v>
      </c>
      <c r="AT486" t="s">
        <v>3635</v>
      </c>
      <c r="AU486" t="s">
        <v>555</v>
      </c>
      <c r="AV486" t="s">
        <v>4602</v>
      </c>
      <c r="AW486" t="s">
        <v>8757</v>
      </c>
      <c r="AX486" t="s">
        <v>4465</v>
      </c>
      <c r="AY486" t="s">
        <v>8758</v>
      </c>
      <c r="AZ486" t="s">
        <v>8759</v>
      </c>
      <c r="BA486">
        <v>1</v>
      </c>
      <c r="BB486">
        <v>3418.93</v>
      </c>
      <c r="BC486">
        <v>0.08</v>
      </c>
      <c r="BD486">
        <v>1.18</v>
      </c>
      <c r="BE486">
        <v>1.19</v>
      </c>
      <c r="BF486">
        <v>1.1499999999999999</v>
      </c>
      <c r="BG486" t="s">
        <v>8760</v>
      </c>
      <c r="BH486" t="s">
        <v>579</v>
      </c>
      <c r="BI486" t="s">
        <v>8759</v>
      </c>
      <c r="BJ486" t="s">
        <v>101</v>
      </c>
      <c r="BK486" t="s">
        <v>4742</v>
      </c>
      <c r="BL486" t="s">
        <v>8761</v>
      </c>
      <c r="BM486" t="s">
        <v>4094</v>
      </c>
      <c r="BN486" t="s">
        <v>4063</v>
      </c>
    </row>
    <row r="487" spans="1:66" x14ac:dyDescent="0.25">
      <c r="A487" t="str">
        <f>HYPERLINK("https://elite.finviz.com/quote.ashx?t=ESPR&amp;ty=c&amp;p=d&amp;b=1", "ESPR")</f>
        <v>ESPR</v>
      </c>
      <c r="B487">
        <v>7</v>
      </c>
      <c r="C487">
        <v>138.38</v>
      </c>
      <c r="D487">
        <v>54.21</v>
      </c>
      <c r="E487" t="s">
        <v>8762</v>
      </c>
      <c r="F487" t="s">
        <v>67</v>
      </c>
      <c r="G487" t="s">
        <v>428</v>
      </c>
      <c r="H487" t="s">
        <v>1296</v>
      </c>
      <c r="I487" t="s">
        <v>70</v>
      </c>
      <c r="J487" t="s">
        <v>321</v>
      </c>
      <c r="K487">
        <v>504.84</v>
      </c>
      <c r="L487">
        <v>2.5</v>
      </c>
      <c r="M487" t="s">
        <v>8763</v>
      </c>
      <c r="N487">
        <v>1159049</v>
      </c>
      <c r="R487">
        <v>1.88</v>
      </c>
      <c r="AA487">
        <v>-0.53</v>
      </c>
      <c r="AB487" t="s">
        <v>8764</v>
      </c>
      <c r="AC487" t="s">
        <v>8765</v>
      </c>
      <c r="AE487" t="s">
        <v>7959</v>
      </c>
      <c r="AF487" t="s">
        <v>1240</v>
      </c>
      <c r="AG487" t="s">
        <v>4807</v>
      </c>
      <c r="AH487" t="s">
        <v>2371</v>
      </c>
      <c r="AI487" t="s">
        <v>6972</v>
      </c>
      <c r="AJ487" t="s">
        <v>6359</v>
      </c>
      <c r="AK487" t="s">
        <v>8766</v>
      </c>
      <c r="AL487">
        <v>1.1499999999999999</v>
      </c>
      <c r="AM487">
        <v>0.76</v>
      </c>
      <c r="AO487" t="s">
        <v>8767</v>
      </c>
      <c r="AP487" t="s">
        <v>4148</v>
      </c>
      <c r="AQ487" t="s">
        <v>8768</v>
      </c>
      <c r="AR487" t="s">
        <v>296</v>
      </c>
      <c r="AS487" t="s">
        <v>5642</v>
      </c>
      <c r="AT487" t="s">
        <v>900</v>
      </c>
      <c r="AU487" t="s">
        <v>7789</v>
      </c>
      <c r="AV487" t="s">
        <v>8769</v>
      </c>
      <c r="AW487" t="s">
        <v>8770</v>
      </c>
      <c r="AX487" t="s">
        <v>8771</v>
      </c>
      <c r="AY487" t="s">
        <v>5848</v>
      </c>
      <c r="AZ487" t="s">
        <v>8772</v>
      </c>
      <c r="BA487">
        <v>1.88</v>
      </c>
      <c r="BB487">
        <v>5590.67</v>
      </c>
      <c r="BC487">
        <v>0.73</v>
      </c>
      <c r="BD487">
        <v>2.56</v>
      </c>
      <c r="BE487">
        <v>2.59</v>
      </c>
      <c r="BF487">
        <v>2.48</v>
      </c>
      <c r="BG487" t="s">
        <v>8773</v>
      </c>
      <c r="BH487" t="s">
        <v>8774</v>
      </c>
      <c r="BI487" t="s">
        <v>8772</v>
      </c>
      <c r="BJ487" t="s">
        <v>101</v>
      </c>
      <c r="BK487" t="s">
        <v>8775</v>
      </c>
      <c r="BL487" t="s">
        <v>6599</v>
      </c>
      <c r="BM487" t="s">
        <v>8776</v>
      </c>
      <c r="BN487" t="s">
        <v>4063</v>
      </c>
    </row>
    <row r="488" spans="1:66" x14ac:dyDescent="0.25">
      <c r="A488" t="str">
        <f>HYPERLINK("https://elite.finviz.com/quote.ashx?t=PR&amp;ty=c&amp;p=d&amp;b=1", "PR")</f>
        <v>PR</v>
      </c>
      <c r="B488">
        <v>7</v>
      </c>
      <c r="C488">
        <v>138.38</v>
      </c>
      <c r="D488">
        <v>54.22</v>
      </c>
      <c r="E488" t="s">
        <v>8777</v>
      </c>
      <c r="F488" t="s">
        <v>107</v>
      </c>
      <c r="G488" t="s">
        <v>1048</v>
      </c>
      <c r="H488" t="s">
        <v>1049</v>
      </c>
      <c r="I488" t="s">
        <v>70</v>
      </c>
      <c r="J488" t="s">
        <v>71</v>
      </c>
      <c r="K488">
        <v>11615.1</v>
      </c>
      <c r="L488">
        <v>13.95</v>
      </c>
      <c r="M488" t="s">
        <v>5071</v>
      </c>
      <c r="N488">
        <v>3290230</v>
      </c>
      <c r="O488">
        <v>9.06</v>
      </c>
      <c r="P488">
        <v>11.24</v>
      </c>
      <c r="Q488">
        <v>1.8</v>
      </c>
      <c r="R488">
        <v>2.2799999999999998</v>
      </c>
      <c r="S488">
        <v>1.03</v>
      </c>
      <c r="T488" t="s">
        <v>2811</v>
      </c>
      <c r="U488">
        <v>0.6</v>
      </c>
      <c r="V488" t="s">
        <v>5925</v>
      </c>
      <c r="W488" t="s">
        <v>8778</v>
      </c>
      <c r="Z488" t="s">
        <v>7726</v>
      </c>
      <c r="AA488">
        <v>1.54</v>
      </c>
      <c r="AB488" t="s">
        <v>8779</v>
      </c>
      <c r="AC488" t="s">
        <v>8780</v>
      </c>
      <c r="AD488" t="s">
        <v>754</v>
      </c>
      <c r="AE488" t="s">
        <v>8781</v>
      </c>
      <c r="AF488" t="s">
        <v>8782</v>
      </c>
      <c r="AG488" t="s">
        <v>8783</v>
      </c>
      <c r="AH488" t="s">
        <v>2162</v>
      </c>
      <c r="AI488" t="s">
        <v>3027</v>
      </c>
      <c r="AJ488" t="s">
        <v>1249</v>
      </c>
      <c r="AK488" t="s">
        <v>8784</v>
      </c>
      <c r="AL488">
        <v>0.63</v>
      </c>
      <c r="AM488">
        <v>0.63</v>
      </c>
      <c r="AN488">
        <v>0.44</v>
      </c>
      <c r="AO488" t="s">
        <v>4566</v>
      </c>
      <c r="AP488" t="s">
        <v>6258</v>
      </c>
      <c r="AQ488" t="s">
        <v>3052</v>
      </c>
      <c r="AR488" t="s">
        <v>5779</v>
      </c>
      <c r="AS488" t="s">
        <v>4956</v>
      </c>
      <c r="AT488" t="s">
        <v>4552</v>
      </c>
      <c r="AU488" t="s">
        <v>7338</v>
      </c>
      <c r="AV488" t="s">
        <v>5258</v>
      </c>
      <c r="AW488" t="s">
        <v>1149</v>
      </c>
      <c r="AX488" t="s">
        <v>369</v>
      </c>
      <c r="AY488" t="s">
        <v>8785</v>
      </c>
      <c r="AZ488" t="s">
        <v>7306</v>
      </c>
      <c r="BA488">
        <v>1.1200000000000001</v>
      </c>
      <c r="BB488">
        <v>11726.83</v>
      </c>
      <c r="BC488">
        <v>0.99</v>
      </c>
      <c r="BD488">
        <v>13.69</v>
      </c>
      <c r="BE488">
        <v>14.06</v>
      </c>
      <c r="BF488">
        <v>13.64</v>
      </c>
      <c r="BG488" t="s">
        <v>8786</v>
      </c>
      <c r="BH488" t="s">
        <v>8787</v>
      </c>
      <c r="BI488" t="s">
        <v>8788</v>
      </c>
      <c r="BJ488" t="s">
        <v>101</v>
      </c>
      <c r="BK488" t="s">
        <v>4780</v>
      </c>
      <c r="BL488" t="s">
        <v>7709</v>
      </c>
      <c r="BM488" t="s">
        <v>8789</v>
      </c>
      <c r="BN488" t="s">
        <v>4063</v>
      </c>
    </row>
    <row r="489" spans="1:66" x14ac:dyDescent="0.25">
      <c r="A489" t="str">
        <f>HYPERLINK("https://elite.finviz.com/quote.ashx?t=IMVT&amp;ty=c&amp;p=d&amp;b=1", "IMVT")</f>
        <v>IMVT</v>
      </c>
      <c r="B489">
        <v>7</v>
      </c>
      <c r="C489">
        <v>138.38</v>
      </c>
      <c r="D489">
        <v>54.22</v>
      </c>
      <c r="E489" t="s">
        <v>8790</v>
      </c>
      <c r="F489" t="s">
        <v>67</v>
      </c>
      <c r="G489" t="s">
        <v>428</v>
      </c>
      <c r="H489" t="s">
        <v>429</v>
      </c>
      <c r="I489" t="s">
        <v>70</v>
      </c>
      <c r="J489" t="s">
        <v>321</v>
      </c>
      <c r="K489">
        <v>2822.2</v>
      </c>
      <c r="L489">
        <v>16.190000000000001</v>
      </c>
      <c r="M489" t="s">
        <v>4677</v>
      </c>
      <c r="N489">
        <v>309491</v>
      </c>
      <c r="S489">
        <v>4.55</v>
      </c>
      <c r="AA489">
        <v>-2.85</v>
      </c>
      <c r="AB489" t="s">
        <v>8791</v>
      </c>
      <c r="AC489" t="s">
        <v>8792</v>
      </c>
      <c r="AD489" t="s">
        <v>5692</v>
      </c>
      <c r="AI489" t="s">
        <v>4210</v>
      </c>
      <c r="AJ489" t="s">
        <v>3752</v>
      </c>
      <c r="AK489" t="s">
        <v>8793</v>
      </c>
      <c r="AL489">
        <v>12.32</v>
      </c>
      <c r="AM489">
        <v>12.32</v>
      </c>
      <c r="AN489">
        <v>0</v>
      </c>
      <c r="AR489" t="s">
        <v>8125</v>
      </c>
      <c r="AS489" t="s">
        <v>5027</v>
      </c>
      <c r="AT489" t="s">
        <v>451</v>
      </c>
      <c r="AU489" t="s">
        <v>4946</v>
      </c>
      <c r="AV489" t="s">
        <v>8794</v>
      </c>
      <c r="AW489" t="s">
        <v>8795</v>
      </c>
      <c r="AX489" t="s">
        <v>3449</v>
      </c>
      <c r="AY489" t="s">
        <v>8796</v>
      </c>
      <c r="AZ489" t="s">
        <v>8797</v>
      </c>
      <c r="BA489">
        <v>1.5</v>
      </c>
      <c r="BB489">
        <v>1464.31</v>
      </c>
      <c r="BC489">
        <v>0.74</v>
      </c>
      <c r="BD489">
        <v>15.67</v>
      </c>
      <c r="BE489">
        <v>16.2</v>
      </c>
      <c r="BF489">
        <v>15.6</v>
      </c>
      <c r="BG489" t="s">
        <v>8798</v>
      </c>
      <c r="BH489" t="s">
        <v>8799</v>
      </c>
      <c r="BI489" t="s">
        <v>8800</v>
      </c>
      <c r="BJ489" t="s">
        <v>101</v>
      </c>
      <c r="BK489" t="s">
        <v>6842</v>
      </c>
      <c r="BL489" t="s">
        <v>4228</v>
      </c>
      <c r="BM489" t="s">
        <v>8801</v>
      </c>
      <c r="BN489" t="s">
        <v>4063</v>
      </c>
    </row>
    <row r="490" spans="1:66" x14ac:dyDescent="0.25">
      <c r="A490" t="str">
        <f>HYPERLINK("https://elite.finviz.com/quote.ashx?t=SHO&amp;ty=c&amp;p=d&amp;b=1", "SHO")</f>
        <v>SHO</v>
      </c>
      <c r="B490">
        <v>7</v>
      </c>
      <c r="C490">
        <v>138.38</v>
      </c>
      <c r="D490">
        <v>54.23</v>
      </c>
      <c r="E490" t="s">
        <v>8802</v>
      </c>
      <c r="F490" t="s">
        <v>67</v>
      </c>
      <c r="G490" t="s">
        <v>68</v>
      </c>
      <c r="H490" t="s">
        <v>4145</v>
      </c>
      <c r="I490" t="s">
        <v>70</v>
      </c>
      <c r="J490" t="s">
        <v>71</v>
      </c>
      <c r="K490">
        <v>1830.35</v>
      </c>
      <c r="L490">
        <v>9.64</v>
      </c>
      <c r="M490" t="s">
        <v>4267</v>
      </c>
      <c r="N490">
        <v>636601</v>
      </c>
      <c r="O490">
        <v>452.35</v>
      </c>
      <c r="P490">
        <v>81.59</v>
      </c>
      <c r="Q490">
        <v>35.840000000000003</v>
      </c>
      <c r="R490">
        <v>1.96</v>
      </c>
      <c r="S490">
        <v>1.08</v>
      </c>
      <c r="T490" t="s">
        <v>5592</v>
      </c>
      <c r="U490">
        <v>0.36</v>
      </c>
      <c r="V490" t="s">
        <v>198</v>
      </c>
      <c r="W490" t="s">
        <v>7923</v>
      </c>
      <c r="Y490" t="s">
        <v>1339</v>
      </c>
      <c r="Z490" t="s">
        <v>8803</v>
      </c>
      <c r="AA490">
        <v>0.02</v>
      </c>
      <c r="AB490" t="s">
        <v>1908</v>
      </c>
      <c r="AC490" t="s">
        <v>8804</v>
      </c>
      <c r="AD490" t="s">
        <v>5224</v>
      </c>
      <c r="AE490" t="s">
        <v>3000</v>
      </c>
      <c r="AF490" t="s">
        <v>7087</v>
      </c>
      <c r="AG490" t="s">
        <v>5621</v>
      </c>
      <c r="AH490" t="s">
        <v>197</v>
      </c>
      <c r="AI490" t="s">
        <v>8805</v>
      </c>
      <c r="AJ490" t="s">
        <v>164</v>
      </c>
      <c r="AK490" t="s">
        <v>8806</v>
      </c>
      <c r="AL490">
        <v>2.37</v>
      </c>
      <c r="AM490">
        <v>2.37</v>
      </c>
      <c r="AN490">
        <v>0.44</v>
      </c>
      <c r="AO490" t="s">
        <v>8807</v>
      </c>
      <c r="AP490" t="s">
        <v>8808</v>
      </c>
      <c r="AQ490" t="s">
        <v>3112</v>
      </c>
      <c r="AR490" t="s">
        <v>3118</v>
      </c>
      <c r="AS490" t="s">
        <v>4600</v>
      </c>
      <c r="AT490" t="s">
        <v>2418</v>
      </c>
      <c r="AU490" t="s">
        <v>1449</v>
      </c>
      <c r="AV490" t="s">
        <v>2768</v>
      </c>
      <c r="AW490" t="s">
        <v>6775</v>
      </c>
      <c r="AX490" t="s">
        <v>7727</v>
      </c>
      <c r="AY490" t="s">
        <v>6356</v>
      </c>
      <c r="AZ490" t="s">
        <v>7374</v>
      </c>
      <c r="BA490">
        <v>2.5499999999999998</v>
      </c>
      <c r="BB490">
        <v>2268.88</v>
      </c>
      <c r="BC490">
        <v>0.99</v>
      </c>
      <c r="BD490">
        <v>9.4600000000000009</v>
      </c>
      <c r="BE490">
        <v>9.6999999999999993</v>
      </c>
      <c r="BF490">
        <v>9.4700000000000006</v>
      </c>
      <c r="BG490" t="s">
        <v>8809</v>
      </c>
      <c r="BH490" t="s">
        <v>8810</v>
      </c>
      <c r="BI490" t="s">
        <v>8811</v>
      </c>
      <c r="BJ490" t="s">
        <v>101</v>
      </c>
      <c r="BK490" t="s">
        <v>7938</v>
      </c>
      <c r="BL490" t="s">
        <v>3896</v>
      </c>
      <c r="BM490" t="s">
        <v>8812</v>
      </c>
      <c r="BN490" t="s">
        <v>4063</v>
      </c>
    </row>
    <row r="491" spans="1:66" x14ac:dyDescent="0.25">
      <c r="A491" t="str">
        <f>HYPERLINK("https://elite.finviz.com/quote.ashx?t=ROKU&amp;ty=c&amp;p=d&amp;b=1", "ROKU")</f>
        <v>ROKU</v>
      </c>
      <c r="B491">
        <v>7</v>
      </c>
      <c r="C491">
        <v>138.38</v>
      </c>
      <c r="D491">
        <v>54.25</v>
      </c>
      <c r="E491" t="s">
        <v>8813</v>
      </c>
      <c r="F491" t="s">
        <v>107</v>
      </c>
      <c r="G491" t="s">
        <v>598</v>
      </c>
      <c r="H491" t="s">
        <v>4247</v>
      </c>
      <c r="I491" t="s">
        <v>70</v>
      </c>
      <c r="J491" t="s">
        <v>321</v>
      </c>
      <c r="K491">
        <v>14394.78</v>
      </c>
      <c r="L491">
        <v>97.7</v>
      </c>
      <c r="M491" t="s">
        <v>6871</v>
      </c>
      <c r="N491">
        <v>500248</v>
      </c>
      <c r="P491">
        <v>110.85</v>
      </c>
      <c r="R491">
        <v>3.28</v>
      </c>
      <c r="S491">
        <v>5.56</v>
      </c>
      <c r="AA491">
        <v>-0.42</v>
      </c>
      <c r="AC491" t="s">
        <v>2537</v>
      </c>
      <c r="AE491" t="s">
        <v>420</v>
      </c>
      <c r="AF491" t="s">
        <v>8814</v>
      </c>
      <c r="AG491" t="s">
        <v>1424</v>
      </c>
      <c r="AH491" t="s">
        <v>800</v>
      </c>
      <c r="AI491" t="s">
        <v>8815</v>
      </c>
      <c r="AJ491" t="s">
        <v>3315</v>
      </c>
      <c r="AK491" t="s">
        <v>8816</v>
      </c>
      <c r="AL491">
        <v>2.84</v>
      </c>
      <c r="AM491">
        <v>2.74</v>
      </c>
      <c r="AN491">
        <v>0.22</v>
      </c>
      <c r="AO491" t="s">
        <v>8817</v>
      </c>
      <c r="AP491" t="s">
        <v>8216</v>
      </c>
      <c r="AQ491" t="s">
        <v>7598</v>
      </c>
      <c r="AR491" t="s">
        <v>8818</v>
      </c>
      <c r="AS491" t="s">
        <v>6150</v>
      </c>
      <c r="AT491" t="s">
        <v>193</v>
      </c>
      <c r="AU491" t="s">
        <v>3602</v>
      </c>
      <c r="AV491" t="s">
        <v>510</v>
      </c>
      <c r="AW491" t="s">
        <v>3704</v>
      </c>
      <c r="AX491" t="s">
        <v>1508</v>
      </c>
      <c r="AY491" t="s">
        <v>3436</v>
      </c>
      <c r="AZ491" t="s">
        <v>7967</v>
      </c>
      <c r="BA491">
        <v>1.97</v>
      </c>
      <c r="BB491">
        <v>3566.55</v>
      </c>
      <c r="BC491">
        <v>0.49</v>
      </c>
      <c r="BD491">
        <v>98.01</v>
      </c>
      <c r="BE491">
        <v>98.82</v>
      </c>
      <c r="BF491">
        <v>97.53</v>
      </c>
      <c r="BG491" t="s">
        <v>8819</v>
      </c>
      <c r="BH491" t="s">
        <v>764</v>
      </c>
      <c r="BI491" t="s">
        <v>8820</v>
      </c>
      <c r="BJ491" t="s">
        <v>101</v>
      </c>
      <c r="BK491" t="s">
        <v>511</v>
      </c>
      <c r="BL491" t="s">
        <v>5267</v>
      </c>
      <c r="BM491" t="s">
        <v>8821</v>
      </c>
      <c r="BN491" t="s">
        <v>4063</v>
      </c>
    </row>
    <row r="492" spans="1:66" x14ac:dyDescent="0.25">
      <c r="A492" t="str">
        <f>HYPERLINK("https://elite.finviz.com/quote.ashx?t=AIOT&amp;ty=c&amp;p=d&amp;b=1", "AIOT")</f>
        <v>AIOT</v>
      </c>
      <c r="B492">
        <v>7</v>
      </c>
      <c r="C492">
        <v>138.38</v>
      </c>
      <c r="D492">
        <v>54.28</v>
      </c>
      <c r="E492" t="s">
        <v>8822</v>
      </c>
      <c r="F492" t="s">
        <v>67</v>
      </c>
      <c r="G492" t="s">
        <v>108</v>
      </c>
      <c r="H492" t="s">
        <v>109</v>
      </c>
      <c r="I492" t="s">
        <v>70</v>
      </c>
      <c r="J492" t="s">
        <v>321</v>
      </c>
      <c r="K492">
        <v>686.57</v>
      </c>
      <c r="L492">
        <v>5.14</v>
      </c>
      <c r="M492" t="s">
        <v>2003</v>
      </c>
      <c r="N492">
        <v>199193</v>
      </c>
      <c r="P492">
        <v>19.420000000000002</v>
      </c>
      <c r="R492">
        <v>1.75</v>
      </c>
      <c r="S492">
        <v>1.49</v>
      </c>
      <c r="AA492">
        <v>-0.3</v>
      </c>
      <c r="AB492" t="s">
        <v>749</v>
      </c>
      <c r="AC492" t="s">
        <v>5610</v>
      </c>
      <c r="AE492" t="s">
        <v>8823</v>
      </c>
      <c r="AF492" t="s">
        <v>8824</v>
      </c>
      <c r="AG492" t="s">
        <v>3889</v>
      </c>
      <c r="AH492" t="s">
        <v>8825</v>
      </c>
      <c r="AI492" t="s">
        <v>8826</v>
      </c>
      <c r="AJ492" t="s">
        <v>2423</v>
      </c>
      <c r="AK492" t="s">
        <v>8827</v>
      </c>
      <c r="AL492">
        <v>1.07</v>
      </c>
      <c r="AM492">
        <v>0.92</v>
      </c>
      <c r="AN492">
        <v>0.61</v>
      </c>
      <c r="AO492" t="s">
        <v>8828</v>
      </c>
      <c r="AP492" t="s">
        <v>2720</v>
      </c>
      <c r="AQ492" t="s">
        <v>8829</v>
      </c>
      <c r="AR492" t="s">
        <v>3343</v>
      </c>
      <c r="AS492" t="s">
        <v>275</v>
      </c>
      <c r="AT492" t="s">
        <v>3552</v>
      </c>
      <c r="AU492" t="s">
        <v>2627</v>
      </c>
      <c r="AV492" t="s">
        <v>8830</v>
      </c>
      <c r="AW492" t="s">
        <v>8831</v>
      </c>
      <c r="AX492" t="s">
        <v>8832</v>
      </c>
      <c r="AY492" t="s">
        <v>8833</v>
      </c>
      <c r="AZ492" t="s">
        <v>8834</v>
      </c>
      <c r="BA492">
        <v>1.1399999999999999</v>
      </c>
      <c r="BB492">
        <v>1729.14</v>
      </c>
      <c r="BC492">
        <v>0.41</v>
      </c>
      <c r="BD492">
        <v>5.16</v>
      </c>
      <c r="BE492">
        <v>5.21</v>
      </c>
      <c r="BF492">
        <v>5.12</v>
      </c>
      <c r="BG492" t="s">
        <v>8835</v>
      </c>
      <c r="BH492" t="s">
        <v>764</v>
      </c>
      <c r="BI492" t="s">
        <v>8836</v>
      </c>
      <c r="BJ492" t="s">
        <v>101</v>
      </c>
      <c r="BK492" t="s">
        <v>8837</v>
      </c>
      <c r="BL492" t="s">
        <v>8838</v>
      </c>
      <c r="BM492" t="s">
        <v>1749</v>
      </c>
      <c r="BN492" t="s">
        <v>4063</v>
      </c>
    </row>
    <row r="493" spans="1:66" x14ac:dyDescent="0.25">
      <c r="A493" t="str">
        <f>HYPERLINK("https://elite.finviz.com/quote.ashx?t=AISP&amp;ty=c&amp;p=d&amp;b=1", "AISP")</f>
        <v>AISP</v>
      </c>
      <c r="B493">
        <v>7</v>
      </c>
      <c r="C493">
        <v>138.38</v>
      </c>
      <c r="D493">
        <v>54.28</v>
      </c>
      <c r="E493" t="s">
        <v>8839</v>
      </c>
      <c r="F493" t="s">
        <v>67</v>
      </c>
      <c r="G493" t="s">
        <v>108</v>
      </c>
      <c r="H493" t="s">
        <v>109</v>
      </c>
      <c r="I493" t="s">
        <v>70</v>
      </c>
      <c r="J493" t="s">
        <v>321</v>
      </c>
      <c r="K493">
        <v>169.76</v>
      </c>
      <c r="L493">
        <v>5.32</v>
      </c>
      <c r="M493" t="s">
        <v>4328</v>
      </c>
      <c r="N493">
        <v>151754</v>
      </c>
      <c r="R493">
        <v>12.37</v>
      </c>
      <c r="AA493">
        <v>-1.61</v>
      </c>
      <c r="AH493" t="s">
        <v>3094</v>
      </c>
      <c r="AJ493" t="s">
        <v>2203</v>
      </c>
      <c r="AK493" t="s">
        <v>4885</v>
      </c>
      <c r="AL493">
        <v>1.62</v>
      </c>
      <c r="AM493">
        <v>1.62</v>
      </c>
      <c r="AO493" t="s">
        <v>8840</v>
      </c>
      <c r="AP493" t="s">
        <v>8841</v>
      </c>
      <c r="AQ493" t="s">
        <v>8842</v>
      </c>
      <c r="AR493" t="s">
        <v>2192</v>
      </c>
      <c r="AS493" t="s">
        <v>4742</v>
      </c>
      <c r="AT493" t="s">
        <v>8843</v>
      </c>
      <c r="AU493" t="s">
        <v>5659</v>
      </c>
      <c r="AV493" t="s">
        <v>333</v>
      </c>
      <c r="AW493" t="s">
        <v>3898</v>
      </c>
      <c r="AX493" t="s">
        <v>8844</v>
      </c>
      <c r="AY493" t="s">
        <v>4713</v>
      </c>
      <c r="AZ493" t="s">
        <v>2443</v>
      </c>
      <c r="BA493">
        <v>1</v>
      </c>
      <c r="BB493">
        <v>1049.1500000000001</v>
      </c>
      <c r="BC493">
        <v>0.51</v>
      </c>
      <c r="BD493">
        <v>5.38</v>
      </c>
      <c r="BE493">
        <v>5.37</v>
      </c>
      <c r="BF493">
        <v>5.25</v>
      </c>
      <c r="BG493" t="s">
        <v>8845</v>
      </c>
      <c r="BH493" t="s">
        <v>8846</v>
      </c>
      <c r="BI493" t="s">
        <v>8847</v>
      </c>
      <c r="BJ493" t="s">
        <v>101</v>
      </c>
      <c r="BK493" t="s">
        <v>3005</v>
      </c>
      <c r="BL493" t="s">
        <v>8848</v>
      </c>
      <c r="BM493" t="s">
        <v>8849</v>
      </c>
      <c r="BN493" t="s">
        <v>4063</v>
      </c>
    </row>
    <row r="494" spans="1:66" x14ac:dyDescent="0.25">
      <c r="A494" t="str">
        <f>HYPERLINK("https://elite.finviz.com/quote.ashx?t=BDTX&amp;ty=c&amp;p=d&amp;b=1", "BDTX")</f>
        <v>BDTX</v>
      </c>
      <c r="B494">
        <v>7</v>
      </c>
      <c r="C494">
        <v>138.38</v>
      </c>
      <c r="D494">
        <v>54.3</v>
      </c>
      <c r="E494" t="s">
        <v>8850</v>
      </c>
      <c r="F494" t="s">
        <v>107</v>
      </c>
      <c r="G494" t="s">
        <v>428</v>
      </c>
      <c r="H494" t="s">
        <v>429</v>
      </c>
      <c r="I494" t="s">
        <v>70</v>
      </c>
      <c r="J494" t="s">
        <v>321</v>
      </c>
      <c r="K494">
        <v>182.13</v>
      </c>
      <c r="L494">
        <v>3.2</v>
      </c>
      <c r="M494" t="s">
        <v>2146</v>
      </c>
      <c r="N494">
        <v>294657</v>
      </c>
      <c r="O494">
        <v>13.51</v>
      </c>
      <c r="Q494">
        <v>1.92</v>
      </c>
      <c r="R494">
        <v>2.6</v>
      </c>
      <c r="S494">
        <v>1.37</v>
      </c>
      <c r="AA494">
        <v>0.24</v>
      </c>
      <c r="AB494" t="s">
        <v>8851</v>
      </c>
      <c r="AC494" t="s">
        <v>3321</v>
      </c>
      <c r="AD494" t="s">
        <v>8852</v>
      </c>
      <c r="AI494" t="s">
        <v>4541</v>
      </c>
      <c r="AJ494" t="s">
        <v>164</v>
      </c>
      <c r="AK494" t="s">
        <v>8853</v>
      </c>
      <c r="AL494">
        <v>8.73</v>
      </c>
      <c r="AM494">
        <v>8.73</v>
      </c>
      <c r="AN494">
        <v>0.16</v>
      </c>
      <c r="AO494" t="s">
        <v>8854</v>
      </c>
      <c r="AP494" t="s">
        <v>8855</v>
      </c>
      <c r="AQ494" t="s">
        <v>3538</v>
      </c>
      <c r="AR494" t="s">
        <v>7767</v>
      </c>
      <c r="AS494" t="s">
        <v>3733</v>
      </c>
      <c r="AT494" t="s">
        <v>4276</v>
      </c>
      <c r="AU494" t="s">
        <v>2237</v>
      </c>
      <c r="AV494" t="s">
        <v>8856</v>
      </c>
      <c r="AW494" t="s">
        <v>7230</v>
      </c>
      <c r="AX494" t="s">
        <v>5222</v>
      </c>
      <c r="AY494" t="s">
        <v>8857</v>
      </c>
      <c r="AZ494" t="s">
        <v>8858</v>
      </c>
      <c r="BA494">
        <v>1.17</v>
      </c>
      <c r="BB494">
        <v>1020.71</v>
      </c>
      <c r="BC494">
        <v>1.02</v>
      </c>
      <c r="BD494">
        <v>3.11</v>
      </c>
      <c r="BE494">
        <v>3.2</v>
      </c>
      <c r="BF494">
        <v>3.05</v>
      </c>
      <c r="BG494" t="s">
        <v>8859</v>
      </c>
      <c r="BH494" t="s">
        <v>8860</v>
      </c>
      <c r="BI494" t="s">
        <v>8861</v>
      </c>
      <c r="BJ494" t="s">
        <v>101</v>
      </c>
      <c r="BK494" t="s">
        <v>8862</v>
      </c>
      <c r="BL494" t="s">
        <v>4810</v>
      </c>
      <c r="BM494" t="s">
        <v>8863</v>
      </c>
      <c r="BN494" t="s">
        <v>4063</v>
      </c>
    </row>
    <row r="495" spans="1:66" x14ac:dyDescent="0.25">
      <c r="A495" t="str">
        <f>HYPERLINK("https://elite.finviz.com/quote.ashx?t=FLEX&amp;ty=c&amp;p=d&amp;b=1", "FLEX")</f>
        <v>FLEX</v>
      </c>
      <c r="B495">
        <v>7</v>
      </c>
      <c r="C495">
        <v>138.38</v>
      </c>
      <c r="D495">
        <v>54.32</v>
      </c>
      <c r="E495" t="s">
        <v>8864</v>
      </c>
      <c r="F495" t="s">
        <v>107</v>
      </c>
      <c r="G495" t="s">
        <v>108</v>
      </c>
      <c r="H495" t="s">
        <v>3346</v>
      </c>
      <c r="I495" t="s">
        <v>70</v>
      </c>
      <c r="J495" t="s">
        <v>321</v>
      </c>
      <c r="K495">
        <v>21240.27</v>
      </c>
      <c r="L495">
        <v>56.59</v>
      </c>
      <c r="M495" t="s">
        <v>6156</v>
      </c>
      <c r="N495">
        <v>437757</v>
      </c>
      <c r="O495">
        <v>24.85</v>
      </c>
      <c r="P495">
        <v>17.010000000000002</v>
      </c>
      <c r="Q495">
        <v>2.2599999999999998</v>
      </c>
      <c r="R495">
        <v>0.81</v>
      </c>
      <c r="S495">
        <v>4.18</v>
      </c>
      <c r="Z495" t="s">
        <v>164</v>
      </c>
      <c r="AA495">
        <v>2.2799999999999998</v>
      </c>
      <c r="AB495" t="s">
        <v>3173</v>
      </c>
      <c r="AC495" t="s">
        <v>8865</v>
      </c>
      <c r="AD495" t="s">
        <v>2513</v>
      </c>
      <c r="AE495" t="s">
        <v>3114</v>
      </c>
      <c r="AF495" t="s">
        <v>2720</v>
      </c>
      <c r="AG495" t="s">
        <v>6478</v>
      </c>
      <c r="AH495" t="s">
        <v>4299</v>
      </c>
      <c r="AI495" t="s">
        <v>8684</v>
      </c>
      <c r="AJ495" t="s">
        <v>4897</v>
      </c>
      <c r="AK495" t="s">
        <v>8866</v>
      </c>
      <c r="AL495">
        <v>1.36</v>
      </c>
      <c r="AM495">
        <v>0.83</v>
      </c>
      <c r="AN495">
        <v>0.84</v>
      </c>
      <c r="AO495" t="s">
        <v>1822</v>
      </c>
      <c r="AP495" t="s">
        <v>3948</v>
      </c>
      <c r="AQ495" t="s">
        <v>5369</v>
      </c>
      <c r="AR495" t="s">
        <v>2742</v>
      </c>
      <c r="AS495" t="s">
        <v>2582</v>
      </c>
      <c r="AT495" t="s">
        <v>2213</v>
      </c>
      <c r="AU495" t="s">
        <v>283</v>
      </c>
      <c r="AV495" t="s">
        <v>8867</v>
      </c>
      <c r="AW495" t="s">
        <v>7285</v>
      </c>
      <c r="AX495" t="s">
        <v>5024</v>
      </c>
      <c r="AY495" t="s">
        <v>7285</v>
      </c>
      <c r="AZ495" t="s">
        <v>8868</v>
      </c>
      <c r="BA495">
        <v>1.58</v>
      </c>
      <c r="BB495">
        <v>4320.1400000000003</v>
      </c>
      <c r="BC495">
        <v>0.36</v>
      </c>
      <c r="BD495">
        <v>56.5</v>
      </c>
      <c r="BE495">
        <v>56.99</v>
      </c>
      <c r="BF495">
        <v>56.31</v>
      </c>
      <c r="BG495" t="s">
        <v>8869</v>
      </c>
      <c r="BH495" t="s">
        <v>7285</v>
      </c>
      <c r="BI495" t="s">
        <v>8870</v>
      </c>
      <c r="BJ495" t="s">
        <v>101</v>
      </c>
      <c r="BK495" t="s">
        <v>1455</v>
      </c>
      <c r="BL495" t="s">
        <v>5546</v>
      </c>
      <c r="BM495" t="s">
        <v>8871</v>
      </c>
      <c r="BN495" t="s">
        <v>4063</v>
      </c>
    </row>
    <row r="496" spans="1:66" x14ac:dyDescent="0.25">
      <c r="A496" t="str">
        <f>HYPERLINK("https://elite.finviz.com/quote.ashx?t=BJDX&amp;ty=c&amp;p=d&amp;b=1", "BJDX")</f>
        <v>BJDX</v>
      </c>
      <c r="B496">
        <v>7</v>
      </c>
      <c r="C496">
        <v>138.38</v>
      </c>
      <c r="D496">
        <v>54.32</v>
      </c>
      <c r="E496" t="s">
        <v>8872</v>
      </c>
      <c r="F496" t="s">
        <v>107</v>
      </c>
      <c r="G496" t="s">
        <v>428</v>
      </c>
      <c r="H496" t="s">
        <v>2051</v>
      </c>
      <c r="I496" t="s">
        <v>70</v>
      </c>
      <c r="J496" t="s">
        <v>321</v>
      </c>
      <c r="K496">
        <v>2.31</v>
      </c>
      <c r="L496">
        <v>1.55</v>
      </c>
      <c r="M496" t="s">
        <v>2965</v>
      </c>
      <c r="N496">
        <v>5451</v>
      </c>
      <c r="S496">
        <v>0.44</v>
      </c>
      <c r="AA496">
        <v>-38.979999999999997</v>
      </c>
      <c r="AB496" t="s">
        <v>8873</v>
      </c>
      <c r="AC496" t="s">
        <v>8874</v>
      </c>
      <c r="AI496" t="s">
        <v>8875</v>
      </c>
      <c r="AJ496" t="s">
        <v>164</v>
      </c>
      <c r="AK496" t="s">
        <v>7935</v>
      </c>
      <c r="AL496">
        <v>4.5599999999999996</v>
      </c>
      <c r="AM496">
        <v>4.5599999999999996</v>
      </c>
      <c r="AN496">
        <v>0.03</v>
      </c>
      <c r="AR496" t="s">
        <v>2398</v>
      </c>
      <c r="AS496" t="s">
        <v>4172</v>
      </c>
      <c r="AT496" t="s">
        <v>3469</v>
      </c>
      <c r="AU496" t="s">
        <v>215</v>
      </c>
      <c r="AV496" t="s">
        <v>8876</v>
      </c>
      <c r="AW496" t="s">
        <v>8877</v>
      </c>
      <c r="AX496" t="s">
        <v>2961</v>
      </c>
      <c r="AY496" t="s">
        <v>8878</v>
      </c>
      <c r="AZ496" t="s">
        <v>2961</v>
      </c>
      <c r="BA496">
        <v>3</v>
      </c>
      <c r="BB496">
        <v>1688.98</v>
      </c>
      <c r="BC496">
        <v>0.01</v>
      </c>
      <c r="BD496">
        <v>1.56</v>
      </c>
      <c r="BE496">
        <v>1.56</v>
      </c>
      <c r="BF496">
        <v>1.53</v>
      </c>
      <c r="BG496" t="s">
        <v>8879</v>
      </c>
      <c r="BH496" t="s">
        <v>579</v>
      </c>
      <c r="BI496" t="s">
        <v>2961</v>
      </c>
      <c r="BJ496" t="s">
        <v>101</v>
      </c>
      <c r="BK496" t="s">
        <v>6976</v>
      </c>
      <c r="BL496" t="s">
        <v>8880</v>
      </c>
      <c r="BM496" t="s">
        <v>8881</v>
      </c>
      <c r="BN496" t="s">
        <v>4063</v>
      </c>
    </row>
    <row r="497" spans="1:66" x14ac:dyDescent="0.25">
      <c r="A497" t="str">
        <f>HYPERLINK("https://elite.finviz.com/quote.ashx?t=AAON&amp;ty=c&amp;p=d&amp;b=1", "AAON")</f>
        <v>AAON</v>
      </c>
      <c r="B497">
        <v>7</v>
      </c>
      <c r="C497">
        <v>138.38</v>
      </c>
      <c r="D497">
        <v>54.53</v>
      </c>
      <c r="E497" t="s">
        <v>8882</v>
      </c>
      <c r="F497" t="s">
        <v>107</v>
      </c>
      <c r="G497" t="s">
        <v>260</v>
      </c>
      <c r="H497" t="s">
        <v>3225</v>
      </c>
      <c r="I497" t="s">
        <v>70</v>
      </c>
      <c r="J497" t="s">
        <v>321</v>
      </c>
      <c r="K497">
        <v>7188.97</v>
      </c>
      <c r="L497">
        <v>88.18</v>
      </c>
      <c r="M497" t="s">
        <v>4237</v>
      </c>
      <c r="N497">
        <v>164949</v>
      </c>
      <c r="O497">
        <v>60.11</v>
      </c>
      <c r="P497">
        <v>43.96</v>
      </c>
      <c r="Q497">
        <v>4.28</v>
      </c>
      <c r="R497">
        <v>5.71</v>
      </c>
      <c r="S497">
        <v>8.6300000000000008</v>
      </c>
      <c r="T497" t="s">
        <v>914</v>
      </c>
      <c r="U497">
        <v>0.38</v>
      </c>
      <c r="V497" t="s">
        <v>4548</v>
      </c>
      <c r="W497" t="s">
        <v>8883</v>
      </c>
      <c r="X497" t="s">
        <v>8417</v>
      </c>
      <c r="Y497" t="s">
        <v>1561</v>
      </c>
      <c r="Z497" t="s">
        <v>6969</v>
      </c>
      <c r="AA497">
        <v>1.47</v>
      </c>
      <c r="AB497" t="s">
        <v>8884</v>
      </c>
      <c r="AC497" t="s">
        <v>8885</v>
      </c>
      <c r="AD497" t="s">
        <v>6413</v>
      </c>
      <c r="AE497" t="s">
        <v>896</v>
      </c>
      <c r="AF497" t="s">
        <v>3971</v>
      </c>
      <c r="AG497" t="s">
        <v>8886</v>
      </c>
      <c r="AH497" t="s">
        <v>4963</v>
      </c>
      <c r="AI497" t="s">
        <v>8887</v>
      </c>
      <c r="AJ497" t="s">
        <v>5424</v>
      </c>
      <c r="AK497" t="s">
        <v>6526</v>
      </c>
      <c r="AL497">
        <v>3.1</v>
      </c>
      <c r="AM497">
        <v>1.99</v>
      </c>
      <c r="AN497">
        <v>0.42</v>
      </c>
      <c r="AO497" t="s">
        <v>8888</v>
      </c>
      <c r="AP497" t="s">
        <v>563</v>
      </c>
      <c r="AQ497" t="s">
        <v>2635</v>
      </c>
      <c r="AR497" t="s">
        <v>4299</v>
      </c>
      <c r="AS497" t="s">
        <v>4299</v>
      </c>
      <c r="AT497" t="s">
        <v>2493</v>
      </c>
      <c r="AU497" t="s">
        <v>3053</v>
      </c>
      <c r="AV497" t="s">
        <v>8889</v>
      </c>
      <c r="AW497" t="s">
        <v>502</v>
      </c>
      <c r="AX497" t="s">
        <v>8890</v>
      </c>
      <c r="AY497" t="s">
        <v>2079</v>
      </c>
      <c r="AZ497" t="s">
        <v>8890</v>
      </c>
      <c r="BA497">
        <v>1.43</v>
      </c>
      <c r="BB497">
        <v>1325.77</v>
      </c>
      <c r="BC497">
        <v>0.44</v>
      </c>
      <c r="BD497">
        <v>88.13</v>
      </c>
      <c r="BE497">
        <v>89.17</v>
      </c>
      <c r="BF497">
        <v>87.78</v>
      </c>
      <c r="BG497" t="s">
        <v>8891</v>
      </c>
      <c r="BH497" t="s">
        <v>2079</v>
      </c>
      <c r="BI497" t="s">
        <v>8892</v>
      </c>
      <c r="BJ497" t="s">
        <v>101</v>
      </c>
      <c r="BK497" t="s">
        <v>8893</v>
      </c>
      <c r="BL497" t="s">
        <v>4728</v>
      </c>
      <c r="BM497" t="s">
        <v>3556</v>
      </c>
      <c r="BN497" t="s">
        <v>4063</v>
      </c>
    </row>
    <row r="498" spans="1:66" x14ac:dyDescent="0.25">
      <c r="A498" t="str">
        <f>HYPERLINK("https://elite.finviz.com/quote.ashx?t=HUT&amp;ty=c&amp;p=d&amp;b=1", "HUT")</f>
        <v>HUT</v>
      </c>
      <c r="B498">
        <v>7</v>
      </c>
      <c r="C498">
        <v>138.38</v>
      </c>
      <c r="D498">
        <v>54.54</v>
      </c>
      <c r="E498" t="s">
        <v>8894</v>
      </c>
      <c r="F498" t="s">
        <v>67</v>
      </c>
      <c r="G498" t="s">
        <v>550</v>
      </c>
      <c r="H498" t="s">
        <v>551</v>
      </c>
      <c r="I498" t="s">
        <v>70</v>
      </c>
      <c r="J498" t="s">
        <v>321</v>
      </c>
      <c r="K498">
        <v>3462.45</v>
      </c>
      <c r="L498">
        <v>32.81</v>
      </c>
      <c r="M498" t="s">
        <v>4446</v>
      </c>
      <c r="N498">
        <v>2648019</v>
      </c>
      <c r="O498">
        <v>23.25</v>
      </c>
      <c r="P498">
        <v>990.34</v>
      </c>
      <c r="R498">
        <v>24.99</v>
      </c>
      <c r="S498">
        <v>2.7</v>
      </c>
      <c r="Z498" t="s">
        <v>164</v>
      </c>
      <c r="AA498">
        <v>1.41</v>
      </c>
      <c r="AC498" t="s">
        <v>8895</v>
      </c>
      <c r="AE498" t="s">
        <v>2215</v>
      </c>
      <c r="AF498" t="s">
        <v>6956</v>
      </c>
      <c r="AG498" t="s">
        <v>8153</v>
      </c>
      <c r="AH498" t="s">
        <v>1626</v>
      </c>
      <c r="AI498" t="s">
        <v>164</v>
      </c>
      <c r="AJ498" t="s">
        <v>386</v>
      </c>
      <c r="AK498" t="s">
        <v>8896</v>
      </c>
      <c r="AL498">
        <v>1.81</v>
      </c>
      <c r="AM498">
        <v>1.81</v>
      </c>
      <c r="AN498">
        <v>0.28999999999999998</v>
      </c>
      <c r="AO498" t="s">
        <v>2785</v>
      </c>
      <c r="AP498" t="s">
        <v>8897</v>
      </c>
      <c r="AQ498" t="s">
        <v>8898</v>
      </c>
      <c r="AR498" t="s">
        <v>1822</v>
      </c>
      <c r="AS498" t="s">
        <v>1771</v>
      </c>
      <c r="AT498" t="s">
        <v>2430</v>
      </c>
      <c r="AU498" t="s">
        <v>6439</v>
      </c>
      <c r="AV498" t="s">
        <v>8899</v>
      </c>
      <c r="AW498" t="s">
        <v>8900</v>
      </c>
      <c r="AX498" t="s">
        <v>852</v>
      </c>
      <c r="AY498" t="s">
        <v>8900</v>
      </c>
      <c r="AZ498" t="s">
        <v>8901</v>
      </c>
      <c r="BA498">
        <v>1</v>
      </c>
      <c r="BB498">
        <v>5932.05</v>
      </c>
      <c r="BC498">
        <v>1.57</v>
      </c>
      <c r="BD498">
        <v>34.880000000000003</v>
      </c>
      <c r="BE498">
        <v>34.99</v>
      </c>
      <c r="BF498">
        <v>32.29</v>
      </c>
      <c r="BG498" t="s">
        <v>8902</v>
      </c>
      <c r="BH498" t="s">
        <v>8903</v>
      </c>
      <c r="BI498" t="s">
        <v>8904</v>
      </c>
      <c r="BJ498" t="s">
        <v>101</v>
      </c>
      <c r="BK498" t="s">
        <v>8905</v>
      </c>
      <c r="BL498" t="s">
        <v>8906</v>
      </c>
      <c r="BM498" t="s">
        <v>8907</v>
      </c>
      <c r="BN498" t="s">
        <v>4063</v>
      </c>
    </row>
    <row r="499" spans="1:66" x14ac:dyDescent="0.25">
      <c r="A499" t="str">
        <f>HYPERLINK("https://elite.finviz.com/quote.ashx?t=USB&amp;ty=c&amp;p=d&amp;b=1", "USB")</f>
        <v>USB</v>
      </c>
      <c r="B499">
        <v>7</v>
      </c>
      <c r="C499">
        <v>138.38</v>
      </c>
      <c r="D499">
        <v>54.54</v>
      </c>
      <c r="E499" t="s">
        <v>8908</v>
      </c>
      <c r="F499" t="s">
        <v>195</v>
      </c>
      <c r="G499" t="s">
        <v>550</v>
      </c>
      <c r="H499" t="s">
        <v>697</v>
      </c>
      <c r="I499" t="s">
        <v>70</v>
      </c>
      <c r="J499" t="s">
        <v>71</v>
      </c>
      <c r="K499">
        <v>76416.69</v>
      </c>
      <c r="L499">
        <v>49.1</v>
      </c>
      <c r="M499" t="s">
        <v>183</v>
      </c>
      <c r="N499">
        <v>1304165</v>
      </c>
      <c r="O499">
        <v>11.75</v>
      </c>
      <c r="P499">
        <v>10.24</v>
      </c>
      <c r="Q499">
        <v>0.98</v>
      </c>
      <c r="R499">
        <v>1.81</v>
      </c>
      <c r="S499">
        <v>1.4</v>
      </c>
      <c r="T499" t="s">
        <v>4526</v>
      </c>
      <c r="U499">
        <v>2</v>
      </c>
      <c r="V499" t="s">
        <v>198</v>
      </c>
      <c r="W499" t="s">
        <v>90</v>
      </c>
      <c r="X499" t="s">
        <v>3433</v>
      </c>
      <c r="Y499" t="s">
        <v>4659</v>
      </c>
      <c r="Z499" t="s">
        <v>8909</v>
      </c>
      <c r="AA499">
        <v>4.18</v>
      </c>
      <c r="AB499" t="s">
        <v>8910</v>
      </c>
      <c r="AC499" t="s">
        <v>4501</v>
      </c>
      <c r="AD499" t="s">
        <v>5127</v>
      </c>
      <c r="AE499" t="s">
        <v>1837</v>
      </c>
      <c r="AF499" t="s">
        <v>3760</v>
      </c>
      <c r="AG499" t="s">
        <v>3099</v>
      </c>
      <c r="AH499" t="s">
        <v>3552</v>
      </c>
      <c r="AI499" t="s">
        <v>2838</v>
      </c>
      <c r="AJ499" t="s">
        <v>4328</v>
      </c>
      <c r="AK499" t="s">
        <v>6803</v>
      </c>
      <c r="AL499">
        <v>0.69</v>
      </c>
      <c r="AN499">
        <v>1.29</v>
      </c>
      <c r="AP499" t="s">
        <v>8911</v>
      </c>
      <c r="AQ499" t="s">
        <v>849</v>
      </c>
      <c r="AR499" t="s">
        <v>4780</v>
      </c>
      <c r="AS499" t="s">
        <v>6493</v>
      </c>
      <c r="AT499" t="s">
        <v>1998</v>
      </c>
      <c r="AU499" t="s">
        <v>3670</v>
      </c>
      <c r="AV499" t="s">
        <v>7854</v>
      </c>
      <c r="AW499" t="s">
        <v>4646</v>
      </c>
      <c r="AX499" t="s">
        <v>2463</v>
      </c>
      <c r="AY499" t="s">
        <v>2227</v>
      </c>
      <c r="AZ499" t="s">
        <v>8912</v>
      </c>
      <c r="BA499">
        <v>2.0699999999999998</v>
      </c>
      <c r="BB499">
        <v>10421.459999999999</v>
      </c>
      <c r="BC499">
        <v>0.44</v>
      </c>
      <c r="BD499">
        <v>49.03</v>
      </c>
      <c r="BE499">
        <v>49.72</v>
      </c>
      <c r="BF499">
        <v>49.07</v>
      </c>
      <c r="BG499" t="s">
        <v>8913</v>
      </c>
      <c r="BH499" t="s">
        <v>8914</v>
      </c>
      <c r="BI499" t="s">
        <v>8915</v>
      </c>
      <c r="BJ499" t="s">
        <v>101</v>
      </c>
      <c r="BK499" t="s">
        <v>5151</v>
      </c>
      <c r="BL499" t="s">
        <v>8916</v>
      </c>
      <c r="BM499" t="s">
        <v>2351</v>
      </c>
      <c r="BN499" t="s">
        <v>4063</v>
      </c>
    </row>
    <row r="500" spans="1:66" x14ac:dyDescent="0.25">
      <c r="A500" t="str">
        <f>HYPERLINK("https://elite.finviz.com/quote.ashx?t=FNF&amp;ty=c&amp;p=d&amp;b=1", "FNF")</f>
        <v>FNF</v>
      </c>
      <c r="B500">
        <v>7</v>
      </c>
      <c r="C500">
        <v>138.38</v>
      </c>
      <c r="D500">
        <v>54.54</v>
      </c>
      <c r="E500" t="s">
        <v>8917</v>
      </c>
      <c r="F500" t="s">
        <v>107</v>
      </c>
      <c r="G500" t="s">
        <v>550</v>
      </c>
      <c r="H500" t="s">
        <v>4675</v>
      </c>
      <c r="I500" t="s">
        <v>70</v>
      </c>
      <c r="J500" t="s">
        <v>71</v>
      </c>
      <c r="K500">
        <v>16314.22</v>
      </c>
      <c r="L500">
        <v>60.04</v>
      </c>
      <c r="M500" t="s">
        <v>3349</v>
      </c>
      <c r="N500">
        <v>144572</v>
      </c>
      <c r="O500">
        <v>15.22</v>
      </c>
      <c r="P500">
        <v>9.27</v>
      </c>
      <c r="Q500">
        <v>0.95</v>
      </c>
      <c r="R500">
        <v>1.2</v>
      </c>
      <c r="S500">
        <v>2.0699999999999998</v>
      </c>
      <c r="T500" t="s">
        <v>3636</v>
      </c>
      <c r="U500">
        <v>2</v>
      </c>
      <c r="V500" t="s">
        <v>5925</v>
      </c>
      <c r="W500" t="s">
        <v>370</v>
      </c>
      <c r="X500" t="s">
        <v>1495</v>
      </c>
      <c r="Y500" t="s">
        <v>2849</v>
      </c>
      <c r="Z500" t="s">
        <v>1285</v>
      </c>
      <c r="AA500">
        <v>3.95</v>
      </c>
      <c r="AB500" t="s">
        <v>8918</v>
      </c>
      <c r="AC500" t="s">
        <v>4125</v>
      </c>
      <c r="AD500" t="s">
        <v>2883</v>
      </c>
      <c r="AE500" t="s">
        <v>578</v>
      </c>
      <c r="AF500" t="s">
        <v>2012</v>
      </c>
      <c r="AG500" t="s">
        <v>3099</v>
      </c>
      <c r="AH500" t="s">
        <v>1511</v>
      </c>
      <c r="AI500" t="s">
        <v>8919</v>
      </c>
      <c r="AJ500" t="s">
        <v>171</v>
      </c>
      <c r="AK500" t="s">
        <v>8920</v>
      </c>
      <c r="AN500">
        <v>0.6</v>
      </c>
      <c r="AP500" t="s">
        <v>333</v>
      </c>
      <c r="AQ500" t="s">
        <v>3982</v>
      </c>
      <c r="AR500" t="s">
        <v>4780</v>
      </c>
      <c r="AS500" t="s">
        <v>1952</v>
      </c>
      <c r="AT500" t="s">
        <v>3047</v>
      </c>
      <c r="AU500" t="s">
        <v>212</v>
      </c>
      <c r="AV500" t="s">
        <v>3544</v>
      </c>
      <c r="AW500" t="s">
        <v>5444</v>
      </c>
      <c r="AX500" t="s">
        <v>3955</v>
      </c>
      <c r="AY500" t="s">
        <v>8921</v>
      </c>
      <c r="AZ500" t="s">
        <v>8922</v>
      </c>
      <c r="BA500">
        <v>1.8</v>
      </c>
      <c r="BB500">
        <v>1739.29</v>
      </c>
      <c r="BC500">
        <v>0.28999999999999998</v>
      </c>
      <c r="BD500">
        <v>59.14</v>
      </c>
      <c r="BE500">
        <v>60.42</v>
      </c>
      <c r="BF500">
        <v>59.38</v>
      </c>
      <c r="BG500" t="s">
        <v>8923</v>
      </c>
      <c r="BH500" t="s">
        <v>8921</v>
      </c>
      <c r="BI500" t="s">
        <v>8924</v>
      </c>
      <c r="BJ500" t="s">
        <v>101</v>
      </c>
      <c r="BK500" t="s">
        <v>8925</v>
      </c>
      <c r="BL500" t="s">
        <v>6757</v>
      </c>
      <c r="BM500" t="s">
        <v>655</v>
      </c>
      <c r="BN500" t="s">
        <v>4063</v>
      </c>
    </row>
    <row r="501" spans="1:66" x14ac:dyDescent="0.25">
      <c r="A501" t="str">
        <f>HYPERLINK("https://elite.finviz.com/quote.ashx?t=HR&amp;ty=c&amp;p=d&amp;b=1", "HR")</f>
        <v>HR</v>
      </c>
      <c r="B501">
        <v>7</v>
      </c>
      <c r="C501">
        <v>138.38</v>
      </c>
      <c r="D501">
        <v>54.55</v>
      </c>
      <c r="E501" t="s">
        <v>8926</v>
      </c>
      <c r="F501" t="s">
        <v>107</v>
      </c>
      <c r="G501" t="s">
        <v>68</v>
      </c>
      <c r="H501" t="s">
        <v>6072</v>
      </c>
      <c r="I501" t="s">
        <v>70</v>
      </c>
      <c r="J501" t="s">
        <v>71</v>
      </c>
      <c r="K501">
        <v>6261.62</v>
      </c>
      <c r="L501">
        <v>17.809999999999999</v>
      </c>
      <c r="M501" t="s">
        <v>5036</v>
      </c>
      <c r="N501">
        <v>393488</v>
      </c>
      <c r="R501">
        <v>5.13</v>
      </c>
      <c r="S501">
        <v>1.3</v>
      </c>
      <c r="T501" t="s">
        <v>2174</v>
      </c>
      <c r="U501">
        <v>1.17</v>
      </c>
      <c r="V501" t="s">
        <v>2708</v>
      </c>
      <c r="W501" t="s">
        <v>164</v>
      </c>
      <c r="X501" t="s">
        <v>2176</v>
      </c>
      <c r="Y501" t="s">
        <v>4955</v>
      </c>
      <c r="AA501">
        <v>-1.1499999999999999</v>
      </c>
      <c r="AD501" t="s">
        <v>1644</v>
      </c>
      <c r="AE501" t="s">
        <v>4226</v>
      </c>
      <c r="AF501" t="s">
        <v>8927</v>
      </c>
      <c r="AG501" t="s">
        <v>8928</v>
      </c>
      <c r="AH501" t="s">
        <v>8929</v>
      </c>
      <c r="AI501" t="s">
        <v>8930</v>
      </c>
      <c r="AJ501" t="s">
        <v>171</v>
      </c>
      <c r="AK501" t="s">
        <v>8931</v>
      </c>
      <c r="AL501">
        <v>0.48</v>
      </c>
      <c r="AM501">
        <v>0.48</v>
      </c>
      <c r="AN501">
        <v>1.03</v>
      </c>
      <c r="AO501" t="s">
        <v>7654</v>
      </c>
      <c r="AP501" t="s">
        <v>1148</v>
      </c>
      <c r="AQ501" t="s">
        <v>5407</v>
      </c>
      <c r="AR501" t="s">
        <v>3551</v>
      </c>
      <c r="AS501" t="s">
        <v>5084</v>
      </c>
      <c r="AT501" t="s">
        <v>8932</v>
      </c>
      <c r="AU501" t="s">
        <v>3521</v>
      </c>
      <c r="AV501" t="s">
        <v>268</v>
      </c>
      <c r="AW501" t="s">
        <v>93</v>
      </c>
      <c r="AX501" t="s">
        <v>980</v>
      </c>
      <c r="AY501" t="s">
        <v>8933</v>
      </c>
      <c r="AZ501" t="s">
        <v>1569</v>
      </c>
      <c r="BA501">
        <v>3</v>
      </c>
      <c r="BB501">
        <v>4137.3999999999996</v>
      </c>
      <c r="BC501">
        <v>0.34</v>
      </c>
      <c r="BD501">
        <v>17.68</v>
      </c>
      <c r="BE501">
        <v>17.850000000000001</v>
      </c>
      <c r="BF501">
        <v>17.670000000000002</v>
      </c>
      <c r="BG501" t="s">
        <v>8934</v>
      </c>
      <c r="BH501" t="s">
        <v>8935</v>
      </c>
      <c r="BI501" t="s">
        <v>8936</v>
      </c>
      <c r="BJ501" t="s">
        <v>101</v>
      </c>
      <c r="BK501" t="s">
        <v>8059</v>
      </c>
      <c r="BL501" t="s">
        <v>3506</v>
      </c>
      <c r="BM501" t="s">
        <v>8937</v>
      </c>
      <c r="BN501" t="s">
        <v>4063</v>
      </c>
    </row>
    <row r="502" spans="1:66" x14ac:dyDescent="0.25">
      <c r="A502" t="str">
        <f>HYPERLINK("https://elite.finviz.com/quote.ashx?t=XFOR&amp;ty=c&amp;p=d&amp;b=1", "XFOR")</f>
        <v>XFOR</v>
      </c>
      <c r="B502">
        <v>7</v>
      </c>
      <c r="C502">
        <v>138.38</v>
      </c>
      <c r="D502">
        <v>54.58</v>
      </c>
      <c r="E502" t="s">
        <v>8938</v>
      </c>
      <c r="F502" t="s">
        <v>107</v>
      </c>
      <c r="G502" t="s">
        <v>428</v>
      </c>
      <c r="H502" t="s">
        <v>429</v>
      </c>
      <c r="I502" t="s">
        <v>70</v>
      </c>
      <c r="J502" t="s">
        <v>321</v>
      </c>
      <c r="K502">
        <v>77.56</v>
      </c>
      <c r="L502">
        <v>3.45</v>
      </c>
      <c r="M502" t="s">
        <v>5660</v>
      </c>
      <c r="N502">
        <v>122398</v>
      </c>
      <c r="R502">
        <v>2.37</v>
      </c>
      <c r="S502">
        <v>6.93</v>
      </c>
      <c r="AA502">
        <v>-14.8</v>
      </c>
      <c r="AB502" t="s">
        <v>8939</v>
      </c>
      <c r="AC502" t="s">
        <v>8940</v>
      </c>
      <c r="AD502" t="s">
        <v>6017</v>
      </c>
      <c r="AE502" t="s">
        <v>8941</v>
      </c>
      <c r="AH502" t="s">
        <v>8942</v>
      </c>
      <c r="AI502" t="s">
        <v>2230</v>
      </c>
      <c r="AJ502" t="s">
        <v>406</v>
      </c>
      <c r="AK502" t="s">
        <v>8943</v>
      </c>
      <c r="AL502">
        <v>3.19</v>
      </c>
      <c r="AM502">
        <v>3.05</v>
      </c>
      <c r="AN502">
        <v>19.649999999999999</v>
      </c>
      <c r="AO502" t="s">
        <v>8944</v>
      </c>
      <c r="AP502" t="s">
        <v>8945</v>
      </c>
      <c r="AQ502" t="s">
        <v>8946</v>
      </c>
      <c r="AR502" t="s">
        <v>4067</v>
      </c>
      <c r="AS502" t="s">
        <v>3003</v>
      </c>
      <c r="AT502" t="s">
        <v>5779</v>
      </c>
      <c r="AU502" t="s">
        <v>7569</v>
      </c>
      <c r="AV502" t="s">
        <v>8947</v>
      </c>
      <c r="AW502" t="s">
        <v>8948</v>
      </c>
      <c r="AX502" t="s">
        <v>8949</v>
      </c>
      <c r="AY502" t="s">
        <v>8950</v>
      </c>
      <c r="AZ502" t="s">
        <v>8949</v>
      </c>
      <c r="BA502">
        <v>1</v>
      </c>
      <c r="BB502">
        <v>4105.33</v>
      </c>
      <c r="BC502">
        <v>0.11</v>
      </c>
      <c r="BD502">
        <v>3.38</v>
      </c>
      <c r="BE502">
        <v>3.53</v>
      </c>
      <c r="BF502">
        <v>3.38</v>
      </c>
      <c r="BG502" t="s">
        <v>8951</v>
      </c>
      <c r="BH502" t="s">
        <v>8952</v>
      </c>
      <c r="BI502" t="s">
        <v>8949</v>
      </c>
      <c r="BJ502" t="s">
        <v>101</v>
      </c>
      <c r="BK502" t="s">
        <v>8651</v>
      </c>
      <c r="BL502" t="s">
        <v>8953</v>
      </c>
      <c r="BM502" t="s">
        <v>8954</v>
      </c>
      <c r="BN502" t="s">
        <v>4063</v>
      </c>
    </row>
    <row r="503" spans="1:66" x14ac:dyDescent="0.25">
      <c r="A503" t="str">
        <f>HYPERLINK("https://elite.finviz.com/quote.ashx?t=DASH&amp;ty=c&amp;p=d&amp;b=1", "DASH")</f>
        <v>DASH</v>
      </c>
      <c r="B503">
        <v>7</v>
      </c>
      <c r="C503">
        <v>138.38</v>
      </c>
      <c r="D503">
        <v>54.58</v>
      </c>
      <c r="E503" t="s">
        <v>8955</v>
      </c>
      <c r="F503" t="s">
        <v>319</v>
      </c>
      <c r="G503" t="s">
        <v>813</v>
      </c>
      <c r="H503" t="s">
        <v>4388</v>
      </c>
      <c r="I503" t="s">
        <v>70</v>
      </c>
      <c r="J503" t="s">
        <v>321</v>
      </c>
      <c r="K503">
        <v>111352.6</v>
      </c>
      <c r="L503">
        <v>260.66000000000003</v>
      </c>
      <c r="M503" t="s">
        <v>1938</v>
      </c>
      <c r="N503">
        <v>368801</v>
      </c>
      <c r="O503">
        <v>145.02000000000001</v>
      </c>
      <c r="P503">
        <v>66.03</v>
      </c>
      <c r="Q503">
        <v>0.85</v>
      </c>
      <c r="R503">
        <v>9.36</v>
      </c>
      <c r="S503">
        <v>12.47</v>
      </c>
      <c r="Z503" t="s">
        <v>164</v>
      </c>
      <c r="AA503">
        <v>1.8</v>
      </c>
      <c r="AD503" t="s">
        <v>8956</v>
      </c>
      <c r="AE503" t="s">
        <v>8957</v>
      </c>
      <c r="AF503" t="s">
        <v>8958</v>
      </c>
      <c r="AG503" t="s">
        <v>3528</v>
      </c>
      <c r="AH503" t="s">
        <v>8959</v>
      </c>
      <c r="AI503" t="s">
        <v>3584</v>
      </c>
      <c r="AJ503" t="s">
        <v>6359</v>
      </c>
      <c r="AK503" t="s">
        <v>4141</v>
      </c>
      <c r="AL503">
        <v>2.06</v>
      </c>
      <c r="AM503">
        <v>2.06</v>
      </c>
      <c r="AN503">
        <v>0.36</v>
      </c>
      <c r="AO503" t="s">
        <v>8213</v>
      </c>
      <c r="AP503" t="s">
        <v>2385</v>
      </c>
      <c r="AQ503" t="s">
        <v>8960</v>
      </c>
      <c r="AR503" t="s">
        <v>744</v>
      </c>
      <c r="AS503" t="s">
        <v>4216</v>
      </c>
      <c r="AT503" t="s">
        <v>1025</v>
      </c>
      <c r="AU503" t="s">
        <v>170</v>
      </c>
      <c r="AV503" t="s">
        <v>1185</v>
      </c>
      <c r="AW503" t="s">
        <v>5488</v>
      </c>
      <c r="AX503" t="s">
        <v>7655</v>
      </c>
      <c r="AY503" t="s">
        <v>5488</v>
      </c>
      <c r="AZ503" t="s">
        <v>8961</v>
      </c>
      <c r="BA503">
        <v>1.75</v>
      </c>
      <c r="BB503">
        <v>3482.93</v>
      </c>
      <c r="BC503">
        <v>0.37</v>
      </c>
      <c r="BD503">
        <v>262.08</v>
      </c>
      <c r="BE503">
        <v>264.2</v>
      </c>
      <c r="BF503">
        <v>259.36</v>
      </c>
      <c r="BG503" t="s">
        <v>8962</v>
      </c>
      <c r="BH503" t="s">
        <v>5488</v>
      </c>
      <c r="BI503" t="s">
        <v>8963</v>
      </c>
      <c r="BJ503" t="s">
        <v>101</v>
      </c>
      <c r="BK503" t="s">
        <v>2521</v>
      </c>
      <c r="BL503" t="s">
        <v>3233</v>
      </c>
      <c r="BM503" t="s">
        <v>8964</v>
      </c>
      <c r="BN503" t="s">
        <v>4063</v>
      </c>
    </row>
    <row r="504" spans="1:66" x14ac:dyDescent="0.25">
      <c r="A504" t="str">
        <f>HYPERLINK("https://elite.finviz.com/quote.ashx?t=LXP&amp;ty=c&amp;p=d&amp;b=1", "LXP")</f>
        <v>LXP</v>
      </c>
      <c r="B504">
        <v>7</v>
      </c>
      <c r="C504">
        <v>138.38</v>
      </c>
      <c r="D504">
        <v>54.61</v>
      </c>
      <c r="E504" t="s">
        <v>8965</v>
      </c>
      <c r="F504" t="s">
        <v>67</v>
      </c>
      <c r="G504" t="s">
        <v>68</v>
      </c>
      <c r="H504" t="s">
        <v>6342</v>
      </c>
      <c r="I504" t="s">
        <v>70</v>
      </c>
      <c r="J504" t="s">
        <v>71</v>
      </c>
      <c r="K504">
        <v>2696.1</v>
      </c>
      <c r="L504">
        <v>9.11</v>
      </c>
      <c r="M504" t="s">
        <v>8425</v>
      </c>
      <c r="N504">
        <v>626135</v>
      </c>
      <c r="O504">
        <v>32.94</v>
      </c>
      <c r="P504">
        <v>191.98</v>
      </c>
      <c r="R504">
        <v>7.43</v>
      </c>
      <c r="S504">
        <v>1.31</v>
      </c>
      <c r="T504" t="s">
        <v>8164</v>
      </c>
      <c r="U504">
        <v>0.54</v>
      </c>
      <c r="V504" t="s">
        <v>198</v>
      </c>
      <c r="W504" t="s">
        <v>4395</v>
      </c>
      <c r="X504" t="s">
        <v>7542</v>
      </c>
      <c r="Y504" t="s">
        <v>8966</v>
      </c>
      <c r="Z504" t="s">
        <v>8967</v>
      </c>
      <c r="AA504">
        <v>0.28000000000000003</v>
      </c>
      <c r="AB504" t="s">
        <v>8968</v>
      </c>
      <c r="AC504" t="s">
        <v>8969</v>
      </c>
      <c r="AD504" t="s">
        <v>8970</v>
      </c>
      <c r="AE504" t="s">
        <v>521</v>
      </c>
      <c r="AF504" t="s">
        <v>1025</v>
      </c>
      <c r="AG504" t="s">
        <v>3118</v>
      </c>
      <c r="AH504" t="s">
        <v>8016</v>
      </c>
      <c r="AI504" t="s">
        <v>8971</v>
      </c>
      <c r="AJ504" t="s">
        <v>164</v>
      </c>
      <c r="AK504" t="s">
        <v>8972</v>
      </c>
      <c r="AL504">
        <v>3.08</v>
      </c>
      <c r="AM504">
        <v>3.08</v>
      </c>
      <c r="AN504">
        <v>0.73</v>
      </c>
      <c r="AO504" t="s">
        <v>8973</v>
      </c>
      <c r="AP504" t="s">
        <v>2866</v>
      </c>
      <c r="AQ504" t="s">
        <v>2556</v>
      </c>
      <c r="AR504" t="s">
        <v>6056</v>
      </c>
      <c r="AS504" t="s">
        <v>5084</v>
      </c>
      <c r="AT504" t="s">
        <v>2263</v>
      </c>
      <c r="AU504" t="s">
        <v>2064</v>
      </c>
      <c r="AV504" t="s">
        <v>2351</v>
      </c>
      <c r="AW504" t="s">
        <v>3640</v>
      </c>
      <c r="AX504" t="s">
        <v>8694</v>
      </c>
      <c r="AY504" t="s">
        <v>8974</v>
      </c>
      <c r="AZ504" t="s">
        <v>3037</v>
      </c>
      <c r="BA504">
        <v>1.86</v>
      </c>
      <c r="BB504">
        <v>3585.4</v>
      </c>
      <c r="BC504">
        <v>0.62</v>
      </c>
      <c r="BD504">
        <v>9.14</v>
      </c>
      <c r="BE504">
        <v>9.19</v>
      </c>
      <c r="BF504">
        <v>9.1</v>
      </c>
      <c r="BG504" t="s">
        <v>8975</v>
      </c>
      <c r="BH504" t="s">
        <v>8976</v>
      </c>
      <c r="BI504" t="s">
        <v>8977</v>
      </c>
      <c r="BJ504" t="s">
        <v>101</v>
      </c>
      <c r="BK504" t="s">
        <v>238</v>
      </c>
      <c r="BL504" t="s">
        <v>4394</v>
      </c>
      <c r="BM504" t="s">
        <v>8722</v>
      </c>
      <c r="BN504" t="s">
        <v>4063</v>
      </c>
    </row>
    <row r="505" spans="1:66" x14ac:dyDescent="0.25">
      <c r="A505" t="str">
        <f>HYPERLINK("https://elite.finviz.com/quote.ashx?t=FBP&amp;ty=c&amp;p=d&amp;b=1", "FBP")</f>
        <v>FBP</v>
      </c>
      <c r="B505">
        <v>7</v>
      </c>
      <c r="C505">
        <v>138.38</v>
      </c>
      <c r="D505">
        <v>54.62</v>
      </c>
      <c r="E505" t="s">
        <v>8978</v>
      </c>
      <c r="F505" t="s">
        <v>67</v>
      </c>
      <c r="G505" t="s">
        <v>550</v>
      </c>
      <c r="H505" t="s">
        <v>697</v>
      </c>
      <c r="I505" t="s">
        <v>70</v>
      </c>
      <c r="J505" t="s">
        <v>71</v>
      </c>
      <c r="K505">
        <v>3544.78</v>
      </c>
      <c r="L505">
        <v>22.09</v>
      </c>
      <c r="M505" t="s">
        <v>8979</v>
      </c>
      <c r="N505">
        <v>67871</v>
      </c>
      <c r="O505">
        <v>11.76</v>
      </c>
      <c r="P505">
        <v>10.210000000000001</v>
      </c>
      <c r="Q505">
        <v>1.23</v>
      </c>
      <c r="R505">
        <v>2.85</v>
      </c>
      <c r="S505">
        <v>1.93</v>
      </c>
      <c r="T505" t="s">
        <v>4499</v>
      </c>
      <c r="U505">
        <v>0.7</v>
      </c>
      <c r="V505" t="s">
        <v>6765</v>
      </c>
      <c r="W505" t="s">
        <v>2169</v>
      </c>
      <c r="X505" t="s">
        <v>6358</v>
      </c>
      <c r="Y505" t="s">
        <v>8980</v>
      </c>
      <c r="Z505" t="s">
        <v>8981</v>
      </c>
      <c r="AA505">
        <v>1.88</v>
      </c>
      <c r="AB505" t="s">
        <v>483</v>
      </c>
      <c r="AC505" t="s">
        <v>8982</v>
      </c>
      <c r="AD505" t="s">
        <v>1533</v>
      </c>
      <c r="AE505" t="s">
        <v>1932</v>
      </c>
      <c r="AF505" t="s">
        <v>3526</v>
      </c>
      <c r="AG505" t="s">
        <v>3368</v>
      </c>
      <c r="AH505" t="s">
        <v>1763</v>
      </c>
      <c r="AI505" t="s">
        <v>827</v>
      </c>
      <c r="AJ505" t="s">
        <v>4673</v>
      </c>
      <c r="AK505" t="s">
        <v>8983</v>
      </c>
      <c r="AL505">
        <v>0.1</v>
      </c>
      <c r="AN505">
        <v>0.17</v>
      </c>
      <c r="AP505" t="s">
        <v>8984</v>
      </c>
      <c r="AQ505" t="s">
        <v>6512</v>
      </c>
      <c r="AR505" t="s">
        <v>7338</v>
      </c>
      <c r="AS505" t="s">
        <v>909</v>
      </c>
      <c r="AT505" t="s">
        <v>4801</v>
      </c>
      <c r="AU505" t="s">
        <v>4800</v>
      </c>
      <c r="AV505" t="s">
        <v>4223</v>
      </c>
      <c r="AW505" t="s">
        <v>8985</v>
      </c>
      <c r="AX505" t="s">
        <v>4857</v>
      </c>
      <c r="AY505" t="s">
        <v>8985</v>
      </c>
      <c r="AZ505" t="s">
        <v>8540</v>
      </c>
      <c r="BA505">
        <v>1.2</v>
      </c>
      <c r="BB505">
        <v>1127.56</v>
      </c>
      <c r="BC505">
        <v>0.21</v>
      </c>
      <c r="BD505">
        <v>22.22</v>
      </c>
      <c r="BE505">
        <v>22.44</v>
      </c>
      <c r="BF505">
        <v>22.06</v>
      </c>
      <c r="BG505" t="s">
        <v>8986</v>
      </c>
      <c r="BH505" t="s">
        <v>8987</v>
      </c>
      <c r="BI505" t="s">
        <v>8988</v>
      </c>
      <c r="BJ505" t="s">
        <v>101</v>
      </c>
      <c r="BK505" t="s">
        <v>3036</v>
      </c>
      <c r="BL505" t="s">
        <v>7575</v>
      </c>
      <c r="BM505" t="s">
        <v>2193</v>
      </c>
      <c r="BN505" t="s">
        <v>4063</v>
      </c>
    </row>
    <row r="506" spans="1:66" x14ac:dyDescent="0.25">
      <c r="A506" t="str">
        <f>HYPERLINK("https://elite.finviz.com/quote.ashx?t=GBTG&amp;ty=c&amp;p=d&amp;b=1", "GBTG")</f>
        <v>GBTG</v>
      </c>
      <c r="B506">
        <v>7</v>
      </c>
      <c r="C506">
        <v>138.38</v>
      </c>
      <c r="D506">
        <v>54.62</v>
      </c>
      <c r="E506" t="s">
        <v>8989</v>
      </c>
      <c r="F506" t="s">
        <v>67</v>
      </c>
      <c r="G506" t="s">
        <v>813</v>
      </c>
      <c r="H506" t="s">
        <v>1997</v>
      </c>
      <c r="I506" t="s">
        <v>70</v>
      </c>
      <c r="J506" t="s">
        <v>71</v>
      </c>
      <c r="K506">
        <v>3899.19</v>
      </c>
      <c r="L506">
        <v>8.14</v>
      </c>
      <c r="M506" t="s">
        <v>4946</v>
      </c>
      <c r="N506">
        <v>138834</v>
      </c>
      <c r="P506">
        <v>20.78</v>
      </c>
      <c r="R506">
        <v>1.6</v>
      </c>
      <c r="S506">
        <v>3.25</v>
      </c>
      <c r="AA506">
        <v>-0.13</v>
      </c>
      <c r="AB506" t="s">
        <v>8990</v>
      </c>
      <c r="AE506" t="s">
        <v>1088</v>
      </c>
      <c r="AF506" t="s">
        <v>3313</v>
      </c>
      <c r="AH506" t="s">
        <v>4759</v>
      </c>
      <c r="AI506" t="s">
        <v>8991</v>
      </c>
      <c r="AJ506" t="s">
        <v>5242</v>
      </c>
      <c r="AK506" t="s">
        <v>2797</v>
      </c>
      <c r="AL506">
        <v>1.66</v>
      </c>
      <c r="AM506">
        <v>1.66</v>
      </c>
      <c r="AN506">
        <v>1.21</v>
      </c>
      <c r="AO506" t="s">
        <v>8992</v>
      </c>
      <c r="AP506" t="s">
        <v>2200</v>
      </c>
      <c r="AQ506" t="s">
        <v>5809</v>
      </c>
      <c r="AR506" t="s">
        <v>4839</v>
      </c>
      <c r="AS506" t="s">
        <v>5121</v>
      </c>
      <c r="AT506" t="s">
        <v>2213</v>
      </c>
      <c r="AU506" t="s">
        <v>506</v>
      </c>
      <c r="AV506" t="s">
        <v>4114</v>
      </c>
      <c r="AW506" t="s">
        <v>3586</v>
      </c>
      <c r="AX506" t="s">
        <v>7470</v>
      </c>
      <c r="AY506" t="s">
        <v>8993</v>
      </c>
      <c r="AZ506" t="s">
        <v>8994</v>
      </c>
      <c r="BA506">
        <v>1.33</v>
      </c>
      <c r="BB506">
        <v>1061.07</v>
      </c>
      <c r="BC506">
        <v>0.46</v>
      </c>
      <c r="BD506">
        <v>8</v>
      </c>
      <c r="BE506">
        <v>8.16</v>
      </c>
      <c r="BF506">
        <v>8.0500000000000007</v>
      </c>
      <c r="BG506" t="s">
        <v>8995</v>
      </c>
      <c r="BH506" t="s">
        <v>2676</v>
      </c>
      <c r="BI506" t="s">
        <v>8996</v>
      </c>
      <c r="BJ506" t="s">
        <v>101</v>
      </c>
      <c r="BK506" t="s">
        <v>8997</v>
      </c>
      <c r="BL506" t="s">
        <v>578</v>
      </c>
      <c r="BM506" t="s">
        <v>995</v>
      </c>
      <c r="BN506" t="s">
        <v>4063</v>
      </c>
    </row>
    <row r="507" spans="1:66" x14ac:dyDescent="0.25">
      <c r="A507" t="str">
        <f>HYPERLINK("https://elite.finviz.com/quote.ashx?t=BOXL&amp;ty=c&amp;p=d&amp;b=1", "BOXL")</f>
        <v>BOXL</v>
      </c>
      <c r="B507">
        <v>7</v>
      </c>
      <c r="C507">
        <v>138.38</v>
      </c>
      <c r="D507">
        <v>54.63</v>
      </c>
      <c r="E507" t="s">
        <v>8998</v>
      </c>
      <c r="F507" t="s">
        <v>107</v>
      </c>
      <c r="G507" t="s">
        <v>108</v>
      </c>
      <c r="H507" t="s">
        <v>994</v>
      </c>
      <c r="I507" t="s">
        <v>70</v>
      </c>
      <c r="J507" t="s">
        <v>321</v>
      </c>
      <c r="K507">
        <v>7.27</v>
      </c>
      <c r="L507">
        <v>2.73</v>
      </c>
      <c r="M507" t="s">
        <v>7403</v>
      </c>
      <c r="N507">
        <v>497931</v>
      </c>
      <c r="R507">
        <v>0.06</v>
      </c>
      <c r="AA507">
        <v>-13.29</v>
      </c>
      <c r="AB507" t="s">
        <v>8999</v>
      </c>
      <c r="AC507" t="s">
        <v>1847</v>
      </c>
      <c r="AD507" t="s">
        <v>4205</v>
      </c>
      <c r="AE507" t="s">
        <v>9000</v>
      </c>
      <c r="AF507" t="s">
        <v>1884</v>
      </c>
      <c r="AG507" t="s">
        <v>9001</v>
      </c>
      <c r="AH507" t="s">
        <v>9002</v>
      </c>
      <c r="AI507" t="s">
        <v>3981</v>
      </c>
      <c r="AJ507" t="s">
        <v>4191</v>
      </c>
      <c r="AK507" t="s">
        <v>9003</v>
      </c>
      <c r="AL507">
        <v>0.99</v>
      </c>
      <c r="AM507">
        <v>0.54</v>
      </c>
      <c r="AN507">
        <v>6.02</v>
      </c>
      <c r="AO507" t="s">
        <v>3180</v>
      </c>
      <c r="AP507" t="s">
        <v>9004</v>
      </c>
      <c r="AQ507" t="s">
        <v>5978</v>
      </c>
      <c r="AR507" t="s">
        <v>9005</v>
      </c>
      <c r="AS507" t="s">
        <v>9006</v>
      </c>
      <c r="AT507" t="s">
        <v>9007</v>
      </c>
      <c r="AU507" t="s">
        <v>9008</v>
      </c>
      <c r="AV507" t="s">
        <v>9009</v>
      </c>
      <c r="AW507" t="s">
        <v>9010</v>
      </c>
      <c r="AX507" t="s">
        <v>5930</v>
      </c>
      <c r="AY507" t="s">
        <v>9011</v>
      </c>
      <c r="AZ507" t="s">
        <v>9012</v>
      </c>
      <c r="BA507">
        <v>3</v>
      </c>
      <c r="BB507">
        <v>4296.33</v>
      </c>
      <c r="BC507">
        <v>0.41</v>
      </c>
      <c r="BD507">
        <v>2.54</v>
      </c>
      <c r="BE507">
        <v>2.78</v>
      </c>
      <c r="BF507">
        <v>2.5499999999999998</v>
      </c>
      <c r="BG507" t="s">
        <v>9013</v>
      </c>
      <c r="BH507" t="s">
        <v>9014</v>
      </c>
      <c r="BI507" t="s">
        <v>9012</v>
      </c>
      <c r="BJ507" t="s">
        <v>101</v>
      </c>
      <c r="BK507" t="s">
        <v>9015</v>
      </c>
      <c r="BL507" t="s">
        <v>9016</v>
      </c>
      <c r="BM507" t="s">
        <v>5664</v>
      </c>
      <c r="BN507" t="s">
        <v>4063</v>
      </c>
    </row>
    <row r="508" spans="1:66" x14ac:dyDescent="0.25">
      <c r="A508" t="str">
        <f>HYPERLINK("https://elite.finviz.com/quote.ashx?t=TDC&amp;ty=c&amp;p=d&amp;b=1", "TDC")</f>
        <v>TDC</v>
      </c>
      <c r="B508">
        <v>7</v>
      </c>
      <c r="C508">
        <v>138.38</v>
      </c>
      <c r="D508">
        <v>54.63</v>
      </c>
      <c r="E508" t="s">
        <v>9017</v>
      </c>
      <c r="F508" t="s">
        <v>107</v>
      </c>
      <c r="G508" t="s">
        <v>108</v>
      </c>
      <c r="H508" t="s">
        <v>109</v>
      </c>
      <c r="I508" t="s">
        <v>70</v>
      </c>
      <c r="J508" t="s">
        <v>71</v>
      </c>
      <c r="K508">
        <v>2073.8000000000002</v>
      </c>
      <c r="L508">
        <v>21.94</v>
      </c>
      <c r="M508" t="s">
        <v>2641</v>
      </c>
      <c r="N508">
        <v>102641</v>
      </c>
      <c r="O508">
        <v>19.38</v>
      </c>
      <c r="P508">
        <v>9.5</v>
      </c>
      <c r="Q508">
        <v>9.02</v>
      </c>
      <c r="R508">
        <v>1.24</v>
      </c>
      <c r="S508">
        <v>11.81</v>
      </c>
      <c r="Z508" t="s">
        <v>164</v>
      </c>
      <c r="AA508">
        <v>1.1299999999999999</v>
      </c>
      <c r="AB508" t="s">
        <v>1269</v>
      </c>
      <c r="AD508" t="s">
        <v>2430</v>
      </c>
      <c r="AE508" t="s">
        <v>9018</v>
      </c>
      <c r="AF508" t="s">
        <v>900</v>
      </c>
      <c r="AG508" t="s">
        <v>3172</v>
      </c>
      <c r="AH508" t="s">
        <v>9019</v>
      </c>
      <c r="AI508" t="s">
        <v>7167</v>
      </c>
      <c r="AJ508" t="s">
        <v>4703</v>
      </c>
      <c r="AK508" t="s">
        <v>9020</v>
      </c>
      <c r="AL508">
        <v>0.84</v>
      </c>
      <c r="AM508">
        <v>0.84</v>
      </c>
      <c r="AN508">
        <v>3.31</v>
      </c>
      <c r="AO508" t="s">
        <v>9021</v>
      </c>
      <c r="AP508" t="s">
        <v>7605</v>
      </c>
      <c r="AQ508" t="s">
        <v>8960</v>
      </c>
      <c r="AR508" t="s">
        <v>352</v>
      </c>
      <c r="AS508" t="s">
        <v>4547</v>
      </c>
      <c r="AT508" t="s">
        <v>6151</v>
      </c>
      <c r="AU508" t="s">
        <v>304</v>
      </c>
      <c r="AV508" t="s">
        <v>4929</v>
      </c>
      <c r="AW508" t="s">
        <v>9022</v>
      </c>
      <c r="AX508" t="s">
        <v>531</v>
      </c>
      <c r="AY508" t="s">
        <v>9023</v>
      </c>
      <c r="AZ508" t="s">
        <v>4874</v>
      </c>
      <c r="BA508">
        <v>2.75</v>
      </c>
      <c r="BB508">
        <v>1023.94</v>
      </c>
      <c r="BC508">
        <v>0.35</v>
      </c>
      <c r="BD508">
        <v>21.88</v>
      </c>
      <c r="BE508">
        <v>22.01</v>
      </c>
      <c r="BF508">
        <v>21.78</v>
      </c>
      <c r="BG508" t="s">
        <v>9024</v>
      </c>
      <c r="BH508" t="s">
        <v>9025</v>
      </c>
      <c r="BI508" t="s">
        <v>9026</v>
      </c>
      <c r="BJ508" t="s">
        <v>101</v>
      </c>
      <c r="BK508" t="s">
        <v>211</v>
      </c>
      <c r="BL508" t="s">
        <v>440</v>
      </c>
      <c r="BM508" t="s">
        <v>9027</v>
      </c>
      <c r="BN508" t="s">
        <v>4063</v>
      </c>
    </row>
    <row r="509" spans="1:66" x14ac:dyDescent="0.25">
      <c r="A509" t="str">
        <f>HYPERLINK("https://elite.finviz.com/quote.ashx?t=IMNM&amp;ty=c&amp;p=d&amp;b=1", "IMNM")</f>
        <v>IMNM</v>
      </c>
      <c r="B509">
        <v>7</v>
      </c>
      <c r="C509">
        <v>138.38</v>
      </c>
      <c r="D509">
        <v>54.67</v>
      </c>
      <c r="E509" t="s">
        <v>9028</v>
      </c>
      <c r="F509" t="s">
        <v>67</v>
      </c>
      <c r="G509" t="s">
        <v>428</v>
      </c>
      <c r="H509" t="s">
        <v>429</v>
      </c>
      <c r="I509" t="s">
        <v>70</v>
      </c>
      <c r="J509" t="s">
        <v>321</v>
      </c>
      <c r="K509">
        <v>912.23</v>
      </c>
      <c r="L509">
        <v>10.48</v>
      </c>
      <c r="M509" t="s">
        <v>170</v>
      </c>
      <c r="N509">
        <v>195460</v>
      </c>
      <c r="R509">
        <v>72.459999999999994</v>
      </c>
      <c r="S509">
        <v>3.39</v>
      </c>
      <c r="AA509">
        <v>-3.09</v>
      </c>
      <c r="AB509" t="s">
        <v>9029</v>
      </c>
      <c r="AC509" t="s">
        <v>9030</v>
      </c>
      <c r="AD509" t="s">
        <v>1516</v>
      </c>
      <c r="AE509" t="s">
        <v>9031</v>
      </c>
      <c r="AH509" t="s">
        <v>9032</v>
      </c>
      <c r="AI509" t="s">
        <v>5187</v>
      </c>
      <c r="AJ509" t="s">
        <v>6975</v>
      </c>
      <c r="AK509" t="s">
        <v>9033</v>
      </c>
      <c r="AL509">
        <v>12.13</v>
      </c>
      <c r="AM509">
        <v>12.13</v>
      </c>
      <c r="AN509">
        <v>0.02</v>
      </c>
      <c r="AO509" t="s">
        <v>9034</v>
      </c>
      <c r="AP509" t="s">
        <v>9035</v>
      </c>
      <c r="AQ509" t="s">
        <v>9036</v>
      </c>
      <c r="AR509" t="s">
        <v>9037</v>
      </c>
      <c r="AS509" t="s">
        <v>3672</v>
      </c>
      <c r="AT509" t="s">
        <v>4498</v>
      </c>
      <c r="AU509" t="s">
        <v>2233</v>
      </c>
      <c r="AV509" t="s">
        <v>1395</v>
      </c>
      <c r="AW509" t="s">
        <v>9038</v>
      </c>
      <c r="AX509" t="s">
        <v>9039</v>
      </c>
      <c r="AY509" t="s">
        <v>9040</v>
      </c>
      <c r="AZ509" t="s">
        <v>9041</v>
      </c>
      <c r="BA509">
        <v>1</v>
      </c>
      <c r="BB509">
        <v>1093.22</v>
      </c>
      <c r="BC509">
        <v>0.63</v>
      </c>
      <c r="BD509">
        <v>10.15</v>
      </c>
      <c r="BE509">
        <v>10.51</v>
      </c>
      <c r="BF509">
        <v>10.06</v>
      </c>
      <c r="BG509" t="s">
        <v>9042</v>
      </c>
      <c r="BH509" t="s">
        <v>3593</v>
      </c>
      <c r="BI509" t="s">
        <v>9043</v>
      </c>
      <c r="BJ509" t="s">
        <v>101</v>
      </c>
      <c r="BK509" t="s">
        <v>9044</v>
      </c>
      <c r="BL509" t="s">
        <v>1278</v>
      </c>
      <c r="BM509" t="s">
        <v>9045</v>
      </c>
      <c r="BN509" t="s">
        <v>4063</v>
      </c>
    </row>
    <row r="510" spans="1:66" x14ac:dyDescent="0.25">
      <c r="A510" t="str">
        <f>HYPERLINK("https://elite.finviz.com/quote.ashx?t=ZETA&amp;ty=c&amp;p=d&amp;b=1", "ZETA")</f>
        <v>ZETA</v>
      </c>
      <c r="B510">
        <v>7</v>
      </c>
      <c r="C510">
        <v>138.38</v>
      </c>
      <c r="D510">
        <v>54.73</v>
      </c>
      <c r="E510" t="s">
        <v>9046</v>
      </c>
      <c r="F510" t="s">
        <v>67</v>
      </c>
      <c r="G510" t="s">
        <v>108</v>
      </c>
      <c r="H510" t="s">
        <v>109</v>
      </c>
      <c r="I510" t="s">
        <v>70</v>
      </c>
      <c r="J510" t="s">
        <v>71</v>
      </c>
      <c r="K510">
        <v>4853.6499999999996</v>
      </c>
      <c r="L510">
        <v>20.39</v>
      </c>
      <c r="M510" t="s">
        <v>6719</v>
      </c>
      <c r="N510">
        <v>1195877</v>
      </c>
      <c r="P510">
        <v>23.52</v>
      </c>
      <c r="R510">
        <v>4.2</v>
      </c>
      <c r="S510">
        <v>7.19</v>
      </c>
      <c r="AA510">
        <v>-0.19</v>
      </c>
      <c r="AB510" t="s">
        <v>1256</v>
      </c>
      <c r="AC510" t="s">
        <v>3321</v>
      </c>
      <c r="AD510" t="s">
        <v>865</v>
      </c>
      <c r="AE510" t="s">
        <v>9047</v>
      </c>
      <c r="AF510" t="s">
        <v>9048</v>
      </c>
      <c r="AG510" t="s">
        <v>2189</v>
      </c>
      <c r="AH510" t="s">
        <v>9049</v>
      </c>
      <c r="AI510" t="s">
        <v>6528</v>
      </c>
      <c r="AJ510" t="s">
        <v>164</v>
      </c>
      <c r="AK510" t="s">
        <v>9050</v>
      </c>
      <c r="AL510">
        <v>3.25</v>
      </c>
      <c r="AM510">
        <v>3.25</v>
      </c>
      <c r="AN510">
        <v>0.28999999999999998</v>
      </c>
      <c r="AO510" t="s">
        <v>3597</v>
      </c>
      <c r="AP510" t="s">
        <v>3831</v>
      </c>
      <c r="AQ510" t="s">
        <v>6058</v>
      </c>
      <c r="AR510" t="s">
        <v>2842</v>
      </c>
      <c r="AS510" t="s">
        <v>4824</v>
      </c>
      <c r="AT510" t="s">
        <v>2201</v>
      </c>
      <c r="AU510" t="s">
        <v>2438</v>
      </c>
      <c r="AV510" t="s">
        <v>9051</v>
      </c>
      <c r="AW510" t="s">
        <v>7996</v>
      </c>
      <c r="AX510" t="s">
        <v>9052</v>
      </c>
      <c r="AY510" t="s">
        <v>9053</v>
      </c>
      <c r="AZ510" t="s">
        <v>9054</v>
      </c>
      <c r="BA510">
        <v>1.5</v>
      </c>
      <c r="BB510">
        <v>9073.7099999999991</v>
      </c>
      <c r="BC510">
        <v>0.46</v>
      </c>
      <c r="BD510">
        <v>20.309999999999999</v>
      </c>
      <c r="BE510">
        <v>20.6</v>
      </c>
      <c r="BF510">
        <v>20.21</v>
      </c>
      <c r="BG510" t="s">
        <v>9055</v>
      </c>
      <c r="BH510" t="s">
        <v>9053</v>
      </c>
      <c r="BI510" t="s">
        <v>9056</v>
      </c>
      <c r="BJ510" t="s">
        <v>101</v>
      </c>
      <c r="BK510" t="s">
        <v>9057</v>
      </c>
      <c r="BL510" t="s">
        <v>9058</v>
      </c>
      <c r="BM510" t="s">
        <v>9059</v>
      </c>
      <c r="BN510" t="s">
        <v>4063</v>
      </c>
    </row>
    <row r="511" spans="1:66" x14ac:dyDescent="0.25">
      <c r="A511" t="str">
        <f>HYPERLINK("https://elite.finviz.com/quote.ashx?t=FITB&amp;ty=c&amp;p=d&amp;b=1", "FITB")</f>
        <v>FITB</v>
      </c>
      <c r="B511">
        <v>7</v>
      </c>
      <c r="C511">
        <v>138.38</v>
      </c>
      <c r="D511">
        <v>54.74</v>
      </c>
      <c r="E511" t="s">
        <v>9060</v>
      </c>
      <c r="F511" t="s">
        <v>195</v>
      </c>
      <c r="G511" t="s">
        <v>550</v>
      </c>
      <c r="H511" t="s">
        <v>697</v>
      </c>
      <c r="I511" t="s">
        <v>70</v>
      </c>
      <c r="J511" t="s">
        <v>321</v>
      </c>
      <c r="K511">
        <v>30023.200000000001</v>
      </c>
      <c r="L511">
        <v>45.36</v>
      </c>
      <c r="M511" t="s">
        <v>4794</v>
      </c>
      <c r="N511">
        <v>520579</v>
      </c>
      <c r="O511">
        <v>14.12</v>
      </c>
      <c r="P511">
        <v>11.27</v>
      </c>
      <c r="Q511">
        <v>1.1200000000000001</v>
      </c>
      <c r="R511">
        <v>2.2200000000000002</v>
      </c>
      <c r="S511">
        <v>1.59</v>
      </c>
      <c r="T511" t="s">
        <v>2522</v>
      </c>
      <c r="U511">
        <v>1.48</v>
      </c>
      <c r="V511" t="s">
        <v>198</v>
      </c>
      <c r="W511" t="s">
        <v>4907</v>
      </c>
      <c r="X511" t="s">
        <v>2655</v>
      </c>
      <c r="Y511" t="s">
        <v>4718</v>
      </c>
      <c r="Z511" t="s">
        <v>9061</v>
      </c>
      <c r="AA511">
        <v>3.21</v>
      </c>
      <c r="AB511" t="s">
        <v>4021</v>
      </c>
      <c r="AC511" t="s">
        <v>609</v>
      </c>
      <c r="AD511" t="s">
        <v>5224</v>
      </c>
      <c r="AE511" t="s">
        <v>4493</v>
      </c>
      <c r="AF511" t="s">
        <v>3888</v>
      </c>
      <c r="AG511" t="s">
        <v>327</v>
      </c>
      <c r="AH511" t="s">
        <v>3622</v>
      </c>
      <c r="AI511" t="s">
        <v>907</v>
      </c>
      <c r="AJ511" t="s">
        <v>1364</v>
      </c>
      <c r="AK511" t="s">
        <v>9062</v>
      </c>
      <c r="AL511">
        <v>0.19</v>
      </c>
      <c r="AN511">
        <v>0.86</v>
      </c>
      <c r="AP511" t="s">
        <v>3747</v>
      </c>
      <c r="AQ511" t="s">
        <v>8579</v>
      </c>
      <c r="AR511" t="s">
        <v>3487</v>
      </c>
      <c r="AS511" t="s">
        <v>2217</v>
      </c>
      <c r="AT511" t="s">
        <v>1364</v>
      </c>
      <c r="AU511" t="s">
        <v>4495</v>
      </c>
      <c r="AV511" t="s">
        <v>127</v>
      </c>
      <c r="AW511" t="s">
        <v>4516</v>
      </c>
      <c r="AX511" t="s">
        <v>1489</v>
      </c>
      <c r="AY511" t="s">
        <v>4259</v>
      </c>
      <c r="AZ511" t="s">
        <v>9063</v>
      </c>
      <c r="BA511">
        <v>1.81</v>
      </c>
      <c r="BB511">
        <v>4909.68</v>
      </c>
      <c r="BC511">
        <v>0.37</v>
      </c>
      <c r="BD511">
        <v>45.28</v>
      </c>
      <c r="BE511">
        <v>45.97</v>
      </c>
      <c r="BF511">
        <v>45.32</v>
      </c>
      <c r="BG511" t="s">
        <v>9064</v>
      </c>
      <c r="BH511" t="s">
        <v>9065</v>
      </c>
      <c r="BI511" t="s">
        <v>9066</v>
      </c>
      <c r="BJ511" t="s">
        <v>101</v>
      </c>
      <c r="BK511" t="s">
        <v>5212</v>
      </c>
      <c r="BL511" t="s">
        <v>2626</v>
      </c>
      <c r="BM511" t="s">
        <v>2196</v>
      </c>
      <c r="BN511" t="s">
        <v>4063</v>
      </c>
    </row>
    <row r="512" spans="1:66" x14ac:dyDescent="0.25">
      <c r="A512" t="str">
        <f>HYPERLINK("https://elite.finviz.com/quote.ashx?t=OPK&amp;ty=c&amp;p=d&amp;b=1", "OPK")</f>
        <v>OPK</v>
      </c>
      <c r="B512">
        <v>7</v>
      </c>
      <c r="C512">
        <v>138.38</v>
      </c>
      <c r="D512">
        <v>54.77</v>
      </c>
      <c r="E512" t="s">
        <v>9067</v>
      </c>
      <c r="F512" t="s">
        <v>67</v>
      </c>
      <c r="G512" t="s">
        <v>428</v>
      </c>
      <c r="H512" t="s">
        <v>4202</v>
      </c>
      <c r="I512" t="s">
        <v>70</v>
      </c>
      <c r="J512" t="s">
        <v>321</v>
      </c>
      <c r="K512">
        <v>1147.02</v>
      </c>
      <c r="L512">
        <v>1.45</v>
      </c>
      <c r="M512" t="s">
        <v>3447</v>
      </c>
      <c r="N512">
        <v>340889</v>
      </c>
      <c r="R512">
        <v>1.73</v>
      </c>
      <c r="S512">
        <v>0.87</v>
      </c>
      <c r="AA512">
        <v>-0.25</v>
      </c>
      <c r="AB512" t="s">
        <v>9068</v>
      </c>
      <c r="AC512" t="s">
        <v>8736</v>
      </c>
      <c r="AD512" t="s">
        <v>2998</v>
      </c>
      <c r="AE512" t="s">
        <v>2335</v>
      </c>
      <c r="AF512" t="s">
        <v>9069</v>
      </c>
      <c r="AG512" t="s">
        <v>9070</v>
      </c>
      <c r="AH512" t="s">
        <v>9071</v>
      </c>
      <c r="AI512" t="s">
        <v>9072</v>
      </c>
      <c r="AJ512" t="s">
        <v>439</v>
      </c>
      <c r="AK512" t="s">
        <v>2935</v>
      </c>
      <c r="AL512">
        <v>3.41</v>
      </c>
      <c r="AM512">
        <v>3.02</v>
      </c>
      <c r="AN512">
        <v>0.31</v>
      </c>
      <c r="AO512" t="s">
        <v>1531</v>
      </c>
      <c r="AP512" t="s">
        <v>9073</v>
      </c>
      <c r="AQ512" t="s">
        <v>9074</v>
      </c>
      <c r="AR512" t="s">
        <v>2035</v>
      </c>
      <c r="AS512" t="s">
        <v>4956</v>
      </c>
      <c r="AT512" t="s">
        <v>2808</v>
      </c>
      <c r="AU512" t="s">
        <v>3958</v>
      </c>
      <c r="AV512" t="s">
        <v>9075</v>
      </c>
      <c r="AW512" t="s">
        <v>7621</v>
      </c>
      <c r="AX512" t="s">
        <v>7673</v>
      </c>
      <c r="AY512" t="s">
        <v>9076</v>
      </c>
      <c r="AZ512" t="s">
        <v>7673</v>
      </c>
      <c r="BA512">
        <v>1</v>
      </c>
      <c r="BB512">
        <v>2632.72</v>
      </c>
      <c r="BC512">
        <v>0.46</v>
      </c>
      <c r="BD512">
        <v>1.43</v>
      </c>
      <c r="BE512">
        <v>1.46</v>
      </c>
      <c r="BF512">
        <v>1.42</v>
      </c>
      <c r="BG512" t="s">
        <v>9077</v>
      </c>
      <c r="BH512" t="s">
        <v>9078</v>
      </c>
      <c r="BI512" t="s">
        <v>9079</v>
      </c>
      <c r="BJ512" t="s">
        <v>101</v>
      </c>
      <c r="BK512" t="s">
        <v>369</v>
      </c>
      <c r="BL512" t="s">
        <v>6138</v>
      </c>
      <c r="BM512" t="s">
        <v>5661</v>
      </c>
      <c r="BN512" t="s">
        <v>4063</v>
      </c>
    </row>
    <row r="513" spans="1:66" x14ac:dyDescent="0.25">
      <c r="A513" t="str">
        <f>HYPERLINK("https://elite.finviz.com/quote.ashx?t=ET&amp;ty=c&amp;p=d&amp;b=1", "ET")</f>
        <v>ET</v>
      </c>
      <c r="B513">
        <v>7</v>
      </c>
      <c r="C513">
        <v>138.38</v>
      </c>
      <c r="D513">
        <v>54.83</v>
      </c>
      <c r="E513" t="s">
        <v>9080</v>
      </c>
      <c r="F513" t="s">
        <v>107</v>
      </c>
      <c r="G513" t="s">
        <v>1048</v>
      </c>
      <c r="H513" t="s">
        <v>3915</v>
      </c>
      <c r="I513" t="s">
        <v>70</v>
      </c>
      <c r="J513" t="s">
        <v>71</v>
      </c>
      <c r="K513">
        <v>60361.98</v>
      </c>
      <c r="L513">
        <v>17.579999999999998</v>
      </c>
      <c r="M513" t="s">
        <v>1457</v>
      </c>
      <c r="N513">
        <v>4338301</v>
      </c>
      <c r="O513">
        <v>13.57</v>
      </c>
      <c r="P513">
        <v>11.44</v>
      </c>
      <c r="Q513">
        <v>1.74</v>
      </c>
      <c r="R513">
        <v>0.75</v>
      </c>
      <c r="S513">
        <v>1.92</v>
      </c>
      <c r="T513" t="s">
        <v>2922</v>
      </c>
      <c r="U513">
        <v>1.31</v>
      </c>
      <c r="V513" t="s">
        <v>1762</v>
      </c>
      <c r="W513" t="s">
        <v>3208</v>
      </c>
      <c r="X513" t="s">
        <v>9081</v>
      </c>
      <c r="Y513" t="s">
        <v>747</v>
      </c>
      <c r="Z513" t="s">
        <v>9082</v>
      </c>
      <c r="AA513">
        <v>1.3</v>
      </c>
      <c r="AB513" t="s">
        <v>9083</v>
      </c>
      <c r="AC513" t="s">
        <v>9084</v>
      </c>
      <c r="AD513" t="s">
        <v>5122</v>
      </c>
      <c r="AE513" t="s">
        <v>405</v>
      </c>
      <c r="AF513" t="s">
        <v>3127</v>
      </c>
      <c r="AG513" t="s">
        <v>1370</v>
      </c>
      <c r="AH513" t="s">
        <v>4317</v>
      </c>
      <c r="AI513" t="s">
        <v>9085</v>
      </c>
      <c r="AJ513" t="s">
        <v>4271</v>
      </c>
      <c r="AK513" t="s">
        <v>9086</v>
      </c>
      <c r="AL513">
        <v>1.1499999999999999</v>
      </c>
      <c r="AM513">
        <v>0.92</v>
      </c>
      <c r="AN513">
        <v>1.77</v>
      </c>
      <c r="AO513" t="s">
        <v>3921</v>
      </c>
      <c r="AP513" t="s">
        <v>2399</v>
      </c>
      <c r="AQ513" t="s">
        <v>4403</v>
      </c>
      <c r="AR513" t="s">
        <v>80</v>
      </c>
      <c r="AS513" t="s">
        <v>343</v>
      </c>
      <c r="AT513" t="s">
        <v>3013</v>
      </c>
      <c r="AU513" t="s">
        <v>2423</v>
      </c>
      <c r="AV513" t="s">
        <v>9087</v>
      </c>
      <c r="AW513" t="s">
        <v>3814</v>
      </c>
      <c r="AX513" t="s">
        <v>5132</v>
      </c>
      <c r="AY513" t="s">
        <v>3080</v>
      </c>
      <c r="AZ513" t="s">
        <v>6166</v>
      </c>
      <c r="BA513">
        <v>1.29</v>
      </c>
      <c r="BB513">
        <v>12499.17</v>
      </c>
      <c r="BC513">
        <v>1.22</v>
      </c>
      <c r="BD513">
        <v>17.41</v>
      </c>
      <c r="BE513">
        <v>17.64</v>
      </c>
      <c r="BF513">
        <v>17.399999999999999</v>
      </c>
      <c r="BG513" t="s">
        <v>9088</v>
      </c>
      <c r="BH513" t="s">
        <v>9089</v>
      </c>
      <c r="BI513" t="s">
        <v>9090</v>
      </c>
      <c r="BJ513" t="s">
        <v>101</v>
      </c>
      <c r="BK513" t="s">
        <v>2357</v>
      </c>
      <c r="BL513" t="s">
        <v>9091</v>
      </c>
      <c r="BM513" t="s">
        <v>1927</v>
      </c>
      <c r="BN513" t="s">
        <v>4063</v>
      </c>
    </row>
    <row r="514" spans="1:66" x14ac:dyDescent="0.25">
      <c r="A514" t="str">
        <f>HYPERLINK("https://elite.finviz.com/quote.ashx?t=HXL&amp;ty=c&amp;p=d&amp;b=1", "HXL")</f>
        <v>HXL</v>
      </c>
      <c r="B514">
        <v>7</v>
      </c>
      <c r="C514">
        <v>138.38</v>
      </c>
      <c r="D514">
        <v>54.87</v>
      </c>
      <c r="E514" t="s">
        <v>9092</v>
      </c>
      <c r="F514" t="s">
        <v>107</v>
      </c>
      <c r="G514" t="s">
        <v>260</v>
      </c>
      <c r="H514" t="s">
        <v>4779</v>
      </c>
      <c r="I514" t="s">
        <v>70</v>
      </c>
      <c r="J514" t="s">
        <v>71</v>
      </c>
      <c r="K514">
        <v>5021.24</v>
      </c>
      <c r="L514">
        <v>63.11</v>
      </c>
      <c r="M514" t="s">
        <v>3035</v>
      </c>
      <c r="N514">
        <v>425649</v>
      </c>
      <c r="O514">
        <v>58.61</v>
      </c>
      <c r="P514">
        <v>25.36</v>
      </c>
      <c r="Q514">
        <v>3.66</v>
      </c>
      <c r="R514">
        <v>2.68</v>
      </c>
      <c r="S514">
        <v>3.23</v>
      </c>
      <c r="T514" t="s">
        <v>344</v>
      </c>
      <c r="U514">
        <v>0.66</v>
      </c>
      <c r="V514" t="s">
        <v>1762</v>
      </c>
      <c r="W514" t="s">
        <v>1746</v>
      </c>
      <c r="Y514" t="s">
        <v>6449</v>
      </c>
      <c r="Z514" t="s">
        <v>9093</v>
      </c>
      <c r="AA514">
        <v>1.08</v>
      </c>
      <c r="AB514" t="s">
        <v>9094</v>
      </c>
      <c r="AC514" t="s">
        <v>9095</v>
      </c>
      <c r="AD514" t="s">
        <v>9096</v>
      </c>
      <c r="AE514" t="s">
        <v>3118</v>
      </c>
      <c r="AF514" t="s">
        <v>9097</v>
      </c>
      <c r="AG514" t="s">
        <v>6989</v>
      </c>
      <c r="AH514" t="s">
        <v>9098</v>
      </c>
      <c r="AI514" t="s">
        <v>660</v>
      </c>
      <c r="AJ514" t="s">
        <v>600</v>
      </c>
      <c r="AK514" t="s">
        <v>9099</v>
      </c>
      <c r="AL514">
        <v>2.69</v>
      </c>
      <c r="AM514">
        <v>1.5</v>
      </c>
      <c r="AN514">
        <v>0.53</v>
      </c>
      <c r="AO514" t="s">
        <v>4833</v>
      </c>
      <c r="AP514" t="s">
        <v>7361</v>
      </c>
      <c r="AQ514" t="s">
        <v>5370</v>
      </c>
      <c r="AR514" t="s">
        <v>909</v>
      </c>
      <c r="AS514" t="s">
        <v>2421</v>
      </c>
      <c r="AT514" t="s">
        <v>4623</v>
      </c>
      <c r="AU514" t="s">
        <v>2274</v>
      </c>
      <c r="AV514" t="s">
        <v>3429</v>
      </c>
      <c r="AW514" t="s">
        <v>2814</v>
      </c>
      <c r="AX514" t="s">
        <v>3664</v>
      </c>
      <c r="AY514" t="s">
        <v>9100</v>
      </c>
      <c r="AZ514" t="s">
        <v>9101</v>
      </c>
      <c r="BA514">
        <v>2.5499999999999998</v>
      </c>
      <c r="BB514">
        <v>1001.48</v>
      </c>
      <c r="BC514">
        <v>1.5</v>
      </c>
      <c r="BD514">
        <v>61.07</v>
      </c>
      <c r="BE514">
        <v>63.17</v>
      </c>
      <c r="BF514">
        <v>61.86</v>
      </c>
      <c r="BG514" t="s">
        <v>9102</v>
      </c>
      <c r="BH514" t="s">
        <v>9103</v>
      </c>
      <c r="BI514" t="s">
        <v>9104</v>
      </c>
      <c r="BJ514" t="s">
        <v>101</v>
      </c>
      <c r="BK514" t="s">
        <v>6085</v>
      </c>
      <c r="BL514" t="s">
        <v>863</v>
      </c>
      <c r="BM514" t="s">
        <v>1776</v>
      </c>
      <c r="BN514" t="s">
        <v>4063</v>
      </c>
    </row>
    <row r="515" spans="1:66" x14ac:dyDescent="0.25">
      <c r="A515" t="str">
        <f>HYPERLINK("https://elite.finviz.com/quote.ashx?t=VSTD&amp;ty=c&amp;p=d&amp;b=1", "VSTD")</f>
        <v>VSTD</v>
      </c>
      <c r="B515">
        <v>7</v>
      </c>
      <c r="C515">
        <v>138.38</v>
      </c>
      <c r="D515">
        <v>54.87</v>
      </c>
      <c r="E515" t="s">
        <v>9105</v>
      </c>
      <c r="F515" t="s">
        <v>107</v>
      </c>
      <c r="G515" t="s">
        <v>813</v>
      </c>
      <c r="H515" t="s">
        <v>2285</v>
      </c>
      <c r="I515" t="s">
        <v>70</v>
      </c>
      <c r="J515" t="s">
        <v>321</v>
      </c>
      <c r="K515">
        <v>26.66</v>
      </c>
      <c r="L515">
        <v>1.88</v>
      </c>
      <c r="M515" t="s">
        <v>3976</v>
      </c>
      <c r="N515">
        <v>277319</v>
      </c>
      <c r="R515">
        <v>1.92</v>
      </c>
      <c r="S515">
        <v>4.16</v>
      </c>
      <c r="AA515">
        <v>-0.56999999999999995</v>
      </c>
      <c r="AB515" t="s">
        <v>3438</v>
      </c>
      <c r="AC515" t="s">
        <v>2688</v>
      </c>
      <c r="AE515" t="s">
        <v>7554</v>
      </c>
      <c r="AF515" t="s">
        <v>9106</v>
      </c>
      <c r="AG515" t="s">
        <v>9107</v>
      </c>
      <c r="AH515" t="s">
        <v>9108</v>
      </c>
      <c r="AJ515" t="s">
        <v>164</v>
      </c>
      <c r="AK515" t="s">
        <v>914</v>
      </c>
      <c r="AL515">
        <v>0.56999999999999995</v>
      </c>
      <c r="AM515">
        <v>0.53</v>
      </c>
      <c r="AN515">
        <v>2.59</v>
      </c>
      <c r="AO515" t="s">
        <v>3602</v>
      </c>
      <c r="AP515" t="s">
        <v>2971</v>
      </c>
      <c r="AQ515" t="s">
        <v>9109</v>
      </c>
      <c r="AR515" t="s">
        <v>1423</v>
      </c>
      <c r="AS515" t="s">
        <v>1625</v>
      </c>
      <c r="AT515" t="s">
        <v>9110</v>
      </c>
      <c r="AU515" t="s">
        <v>2363</v>
      </c>
      <c r="AV515" t="s">
        <v>4470</v>
      </c>
      <c r="AW515" t="s">
        <v>9111</v>
      </c>
      <c r="AX515" t="s">
        <v>9112</v>
      </c>
      <c r="AY515" t="s">
        <v>867</v>
      </c>
      <c r="AZ515" t="s">
        <v>9113</v>
      </c>
      <c r="BB515">
        <v>1686.06</v>
      </c>
      <c r="BC515">
        <v>0.57999999999999996</v>
      </c>
      <c r="BD515">
        <v>1.85</v>
      </c>
      <c r="BE515">
        <v>2.04</v>
      </c>
      <c r="BF515">
        <v>1.87</v>
      </c>
      <c r="BG515" t="s">
        <v>9114</v>
      </c>
      <c r="BH515" t="s">
        <v>9115</v>
      </c>
      <c r="BI515" t="s">
        <v>9113</v>
      </c>
      <c r="BJ515" t="s">
        <v>101</v>
      </c>
      <c r="BK515" t="s">
        <v>9116</v>
      </c>
      <c r="BL515" t="s">
        <v>9117</v>
      </c>
      <c r="BM515" t="s">
        <v>2559</v>
      </c>
      <c r="BN515" t="s">
        <v>4063</v>
      </c>
    </row>
    <row r="516" spans="1:66" x14ac:dyDescent="0.25">
      <c r="A516" t="str">
        <f>HYPERLINK("https://elite.finviz.com/quote.ashx?t=TRV&amp;ty=c&amp;p=d&amp;b=1", "TRV")</f>
        <v>TRV</v>
      </c>
      <c r="B516">
        <v>7</v>
      </c>
      <c r="C516">
        <v>138.38</v>
      </c>
      <c r="D516">
        <v>54.9</v>
      </c>
      <c r="E516" t="s">
        <v>9118</v>
      </c>
      <c r="F516" t="s">
        <v>1759</v>
      </c>
      <c r="G516" t="s">
        <v>550</v>
      </c>
      <c r="H516" t="s">
        <v>4407</v>
      </c>
      <c r="I516" t="s">
        <v>70</v>
      </c>
      <c r="J516" t="s">
        <v>71</v>
      </c>
      <c r="K516">
        <v>62290.03</v>
      </c>
      <c r="L516">
        <v>276.68</v>
      </c>
      <c r="M516" t="s">
        <v>3493</v>
      </c>
      <c r="N516">
        <v>116945</v>
      </c>
      <c r="O516">
        <v>12.23</v>
      </c>
      <c r="P516">
        <v>10.82</v>
      </c>
      <c r="Q516">
        <v>1.54</v>
      </c>
      <c r="R516">
        <v>1.3</v>
      </c>
      <c r="S516">
        <v>2.11</v>
      </c>
      <c r="T516" t="s">
        <v>4275</v>
      </c>
      <c r="U516">
        <v>4.3</v>
      </c>
      <c r="V516" t="s">
        <v>5717</v>
      </c>
      <c r="W516" t="s">
        <v>334</v>
      </c>
      <c r="X516" t="s">
        <v>755</v>
      </c>
      <c r="Y516" t="s">
        <v>2316</v>
      </c>
      <c r="Z516" t="s">
        <v>7913</v>
      </c>
      <c r="AA516">
        <v>22.61</v>
      </c>
      <c r="AB516" t="s">
        <v>6748</v>
      </c>
      <c r="AC516" t="s">
        <v>8697</v>
      </c>
      <c r="AD516" t="s">
        <v>223</v>
      </c>
      <c r="AE516" t="s">
        <v>5607</v>
      </c>
      <c r="AF516" t="s">
        <v>7232</v>
      </c>
      <c r="AG516" t="s">
        <v>238</v>
      </c>
      <c r="AH516" t="s">
        <v>4377</v>
      </c>
      <c r="AI516" t="s">
        <v>9119</v>
      </c>
      <c r="AJ516" t="s">
        <v>9120</v>
      </c>
      <c r="AK516" t="s">
        <v>9121</v>
      </c>
      <c r="AL516">
        <v>0.34</v>
      </c>
      <c r="AN516">
        <v>0.27</v>
      </c>
      <c r="AP516" t="s">
        <v>9122</v>
      </c>
      <c r="AQ516" t="s">
        <v>537</v>
      </c>
      <c r="AR516" t="s">
        <v>5692</v>
      </c>
      <c r="AS516" t="s">
        <v>2572</v>
      </c>
      <c r="AT516" t="s">
        <v>3226</v>
      </c>
      <c r="AU516" t="s">
        <v>387</v>
      </c>
      <c r="AV516" t="s">
        <v>6674</v>
      </c>
      <c r="AW516" t="s">
        <v>3937</v>
      </c>
      <c r="AX516" t="s">
        <v>9123</v>
      </c>
      <c r="AY516" t="s">
        <v>3937</v>
      </c>
      <c r="AZ516" t="s">
        <v>2439</v>
      </c>
      <c r="BA516">
        <v>2.4700000000000002</v>
      </c>
      <c r="BB516">
        <v>1227.68</v>
      </c>
      <c r="BC516">
        <v>0.34</v>
      </c>
      <c r="BD516">
        <v>274.22000000000003</v>
      </c>
      <c r="BE516">
        <v>278.31</v>
      </c>
      <c r="BF516">
        <v>274.72000000000003</v>
      </c>
      <c r="BG516" t="s">
        <v>9124</v>
      </c>
      <c r="BH516" t="s">
        <v>3937</v>
      </c>
      <c r="BI516" t="s">
        <v>9125</v>
      </c>
      <c r="BJ516" t="s">
        <v>101</v>
      </c>
      <c r="BK516" t="s">
        <v>3855</v>
      </c>
      <c r="BL516" t="s">
        <v>3066</v>
      </c>
      <c r="BM516" t="s">
        <v>8273</v>
      </c>
      <c r="BN516" t="s">
        <v>4063</v>
      </c>
    </row>
    <row r="517" spans="1:66" x14ac:dyDescent="0.25">
      <c r="A517" t="str">
        <f>HYPERLINK("https://elite.finviz.com/quote.ashx?t=TALK&amp;ty=c&amp;p=d&amp;b=1", "TALK")</f>
        <v>TALK</v>
      </c>
      <c r="B517">
        <v>7</v>
      </c>
      <c r="C517">
        <v>138.38</v>
      </c>
      <c r="D517">
        <v>54.9</v>
      </c>
      <c r="E517" t="s">
        <v>9126</v>
      </c>
      <c r="F517" t="s">
        <v>67</v>
      </c>
      <c r="G517" t="s">
        <v>428</v>
      </c>
      <c r="H517" t="s">
        <v>2075</v>
      </c>
      <c r="I517" t="s">
        <v>70</v>
      </c>
      <c r="J517" t="s">
        <v>321</v>
      </c>
      <c r="K517">
        <v>447.13</v>
      </c>
      <c r="L517">
        <v>2.67</v>
      </c>
      <c r="M517" t="s">
        <v>1279</v>
      </c>
      <c r="N517">
        <v>81301</v>
      </c>
      <c r="O517">
        <v>164.81</v>
      </c>
      <c r="P517">
        <v>23.42</v>
      </c>
      <c r="Q517">
        <v>0.96</v>
      </c>
      <c r="R517">
        <v>2.21</v>
      </c>
      <c r="S517">
        <v>3.97</v>
      </c>
      <c r="Z517" t="s">
        <v>164</v>
      </c>
      <c r="AA517">
        <v>0.02</v>
      </c>
      <c r="AD517" t="s">
        <v>9127</v>
      </c>
      <c r="AE517" t="s">
        <v>3390</v>
      </c>
      <c r="AF517" t="s">
        <v>301</v>
      </c>
      <c r="AG517" t="s">
        <v>9128</v>
      </c>
      <c r="AH517" t="s">
        <v>6131</v>
      </c>
      <c r="AI517" t="s">
        <v>579</v>
      </c>
      <c r="AJ517" t="s">
        <v>3890</v>
      </c>
      <c r="AK517" t="s">
        <v>1079</v>
      </c>
      <c r="AL517">
        <v>6.51</v>
      </c>
      <c r="AM517">
        <v>6.51</v>
      </c>
      <c r="AN517">
        <v>0</v>
      </c>
      <c r="AO517" t="s">
        <v>9129</v>
      </c>
      <c r="AP517" t="s">
        <v>4436</v>
      </c>
      <c r="AQ517" t="s">
        <v>2554</v>
      </c>
      <c r="AR517" t="s">
        <v>9130</v>
      </c>
      <c r="AS517" t="s">
        <v>5736</v>
      </c>
      <c r="AT517" t="s">
        <v>2640</v>
      </c>
      <c r="AU517" t="s">
        <v>4142</v>
      </c>
      <c r="AV517" t="s">
        <v>500</v>
      </c>
      <c r="AW517" t="s">
        <v>5359</v>
      </c>
      <c r="AX517" t="s">
        <v>7710</v>
      </c>
      <c r="AY517" t="s">
        <v>8935</v>
      </c>
      <c r="AZ517" t="s">
        <v>9131</v>
      </c>
      <c r="BA517">
        <v>1.29</v>
      </c>
      <c r="BB517">
        <v>1385.87</v>
      </c>
      <c r="BC517">
        <v>0.21</v>
      </c>
      <c r="BD517">
        <v>2.64</v>
      </c>
      <c r="BE517">
        <v>2.7</v>
      </c>
      <c r="BF517">
        <v>2.64</v>
      </c>
      <c r="BG517" t="s">
        <v>9132</v>
      </c>
      <c r="BH517" t="s">
        <v>9133</v>
      </c>
      <c r="BI517" t="s">
        <v>9134</v>
      </c>
      <c r="BJ517" t="s">
        <v>101</v>
      </c>
      <c r="BK517" t="s">
        <v>1387</v>
      </c>
      <c r="BL517" t="s">
        <v>164</v>
      </c>
      <c r="BM517" t="s">
        <v>2818</v>
      </c>
      <c r="BN517" t="s">
        <v>4063</v>
      </c>
    </row>
    <row r="518" spans="1:66" x14ac:dyDescent="0.25">
      <c r="A518" t="str">
        <f>HYPERLINK("https://elite.finviz.com/quote.ashx?t=EXPE&amp;ty=c&amp;p=d&amp;b=1", "EXPE")</f>
        <v>EXPE</v>
      </c>
      <c r="B518">
        <v>7</v>
      </c>
      <c r="C518">
        <v>138.38</v>
      </c>
      <c r="D518">
        <v>54.91</v>
      </c>
      <c r="E518" t="s">
        <v>9135</v>
      </c>
      <c r="F518" t="s">
        <v>195</v>
      </c>
      <c r="G518" t="s">
        <v>813</v>
      </c>
      <c r="H518" t="s">
        <v>1997</v>
      </c>
      <c r="I518" t="s">
        <v>70</v>
      </c>
      <c r="J518" t="s">
        <v>321</v>
      </c>
      <c r="K518">
        <v>27036.19</v>
      </c>
      <c r="L518">
        <v>218.54</v>
      </c>
      <c r="M518" t="s">
        <v>9136</v>
      </c>
      <c r="N518">
        <v>185941</v>
      </c>
      <c r="O518">
        <v>26.74</v>
      </c>
      <c r="P518">
        <v>12.92</v>
      </c>
      <c r="Q518">
        <v>1.39</v>
      </c>
      <c r="R518">
        <v>1.93</v>
      </c>
      <c r="S518">
        <v>32.340000000000003</v>
      </c>
      <c r="T518" t="s">
        <v>4801</v>
      </c>
      <c r="U518">
        <v>1.2</v>
      </c>
      <c r="V518" t="s">
        <v>6765</v>
      </c>
      <c r="Z518" t="s">
        <v>164</v>
      </c>
      <c r="AA518">
        <v>8.17</v>
      </c>
      <c r="AC518" t="s">
        <v>4592</v>
      </c>
      <c r="AD518" t="s">
        <v>9137</v>
      </c>
      <c r="AE518" t="s">
        <v>2205</v>
      </c>
      <c r="AF518" t="s">
        <v>7167</v>
      </c>
      <c r="AG518" t="s">
        <v>1933</v>
      </c>
      <c r="AH518" t="s">
        <v>3115</v>
      </c>
      <c r="AI518" t="s">
        <v>8855</v>
      </c>
      <c r="AJ518" t="s">
        <v>770</v>
      </c>
      <c r="AK518" t="s">
        <v>9138</v>
      </c>
      <c r="AL518">
        <v>0.75</v>
      </c>
      <c r="AM518">
        <v>0.75</v>
      </c>
      <c r="AN518">
        <v>7.75</v>
      </c>
      <c r="AO518" t="s">
        <v>9139</v>
      </c>
      <c r="AP518" t="s">
        <v>1675</v>
      </c>
      <c r="AQ518" t="s">
        <v>223</v>
      </c>
      <c r="AR518" t="s">
        <v>2789</v>
      </c>
      <c r="AS518" t="s">
        <v>2640</v>
      </c>
      <c r="AT518" t="s">
        <v>3890</v>
      </c>
      <c r="AU518" t="s">
        <v>4476</v>
      </c>
      <c r="AV518" t="s">
        <v>9140</v>
      </c>
      <c r="AW518" t="s">
        <v>7392</v>
      </c>
      <c r="AX518" t="s">
        <v>1956</v>
      </c>
      <c r="AY518" t="s">
        <v>7392</v>
      </c>
      <c r="AZ518" t="s">
        <v>9141</v>
      </c>
      <c r="BA518">
        <v>2.35</v>
      </c>
      <c r="BB518">
        <v>1707.62</v>
      </c>
      <c r="BC518">
        <v>0.38</v>
      </c>
      <c r="BD518">
        <v>215.19</v>
      </c>
      <c r="BE518">
        <v>218.83</v>
      </c>
      <c r="BF518">
        <v>215.96</v>
      </c>
      <c r="BG518" t="s">
        <v>9142</v>
      </c>
      <c r="BH518" t="s">
        <v>7392</v>
      </c>
      <c r="BI518" t="s">
        <v>9143</v>
      </c>
      <c r="BJ518" t="s">
        <v>101</v>
      </c>
      <c r="BK518" t="s">
        <v>9144</v>
      </c>
      <c r="BL518" t="s">
        <v>6129</v>
      </c>
      <c r="BM518" t="s">
        <v>9145</v>
      </c>
      <c r="BN518" t="s">
        <v>4063</v>
      </c>
    </row>
    <row r="519" spans="1:66" x14ac:dyDescent="0.25">
      <c r="A519" t="str">
        <f>HYPERLINK("https://elite.finviz.com/quote.ashx?t=ZWS&amp;ty=c&amp;p=d&amp;b=1", "ZWS")</f>
        <v>ZWS</v>
      </c>
      <c r="B519">
        <v>7</v>
      </c>
      <c r="C519">
        <v>138.38</v>
      </c>
      <c r="D519">
        <v>54.93</v>
      </c>
      <c r="E519" t="s">
        <v>9146</v>
      </c>
      <c r="F519" t="s">
        <v>67</v>
      </c>
      <c r="G519" t="s">
        <v>260</v>
      </c>
      <c r="H519" t="s">
        <v>4347</v>
      </c>
      <c r="I519" t="s">
        <v>70</v>
      </c>
      <c r="J519" t="s">
        <v>71</v>
      </c>
      <c r="K519">
        <v>7805.97</v>
      </c>
      <c r="L519">
        <v>46.59</v>
      </c>
      <c r="M519" t="s">
        <v>1338</v>
      </c>
      <c r="N519">
        <v>160554</v>
      </c>
      <c r="O519">
        <v>46.03</v>
      </c>
      <c r="P519">
        <v>29.57</v>
      </c>
      <c r="Q519">
        <v>4.57</v>
      </c>
      <c r="R519">
        <v>4.84</v>
      </c>
      <c r="S519">
        <v>4.99</v>
      </c>
      <c r="T519" t="s">
        <v>3169</v>
      </c>
      <c r="U519">
        <v>0.36</v>
      </c>
      <c r="V519" t="s">
        <v>5737</v>
      </c>
      <c r="W519" t="s">
        <v>5743</v>
      </c>
      <c r="X519" t="s">
        <v>5187</v>
      </c>
      <c r="Y519" t="s">
        <v>4308</v>
      </c>
      <c r="Z519" t="s">
        <v>6652</v>
      </c>
      <c r="AA519">
        <v>1.01</v>
      </c>
      <c r="AB519" t="s">
        <v>9147</v>
      </c>
      <c r="AC519" t="s">
        <v>6043</v>
      </c>
      <c r="AD519" t="s">
        <v>3491</v>
      </c>
      <c r="AE519" t="s">
        <v>215</v>
      </c>
      <c r="AF519" t="s">
        <v>5759</v>
      </c>
      <c r="AG519" t="s">
        <v>9148</v>
      </c>
      <c r="AH519" t="s">
        <v>2678</v>
      </c>
      <c r="AI519" t="s">
        <v>9149</v>
      </c>
      <c r="AJ519" t="s">
        <v>181</v>
      </c>
      <c r="AK519" t="s">
        <v>8056</v>
      </c>
      <c r="AL519">
        <v>2.71</v>
      </c>
      <c r="AM519">
        <v>1.72</v>
      </c>
      <c r="AN519">
        <v>0.36</v>
      </c>
      <c r="AO519" t="s">
        <v>9150</v>
      </c>
      <c r="AP519" t="s">
        <v>7167</v>
      </c>
      <c r="AQ519" t="s">
        <v>2824</v>
      </c>
      <c r="AR519" t="s">
        <v>6975</v>
      </c>
      <c r="AS519" t="s">
        <v>2876</v>
      </c>
      <c r="AT519" t="s">
        <v>3446</v>
      </c>
      <c r="AU519" t="s">
        <v>5163</v>
      </c>
      <c r="AV519" t="s">
        <v>9151</v>
      </c>
      <c r="AW519" t="s">
        <v>4704</v>
      </c>
      <c r="AX519" t="s">
        <v>771</v>
      </c>
      <c r="AY519" t="s">
        <v>4704</v>
      </c>
      <c r="AZ519" t="s">
        <v>9152</v>
      </c>
      <c r="BA519">
        <v>2.44</v>
      </c>
      <c r="BB519">
        <v>1094.45</v>
      </c>
      <c r="BC519">
        <v>0.52</v>
      </c>
      <c r="BD519">
        <v>46.13</v>
      </c>
      <c r="BE519">
        <v>47</v>
      </c>
      <c r="BF519">
        <v>46.21</v>
      </c>
      <c r="BG519" t="s">
        <v>9153</v>
      </c>
      <c r="BH519" t="s">
        <v>4704</v>
      </c>
      <c r="BI519" t="s">
        <v>9154</v>
      </c>
      <c r="BJ519" t="s">
        <v>101</v>
      </c>
      <c r="BK519" t="s">
        <v>7389</v>
      </c>
      <c r="BL519" t="s">
        <v>2519</v>
      </c>
      <c r="BM519" t="s">
        <v>9155</v>
      </c>
      <c r="BN519" t="s">
        <v>4063</v>
      </c>
    </row>
    <row r="520" spans="1:66" x14ac:dyDescent="0.25">
      <c r="A520" t="str">
        <f>HYPERLINK("https://elite.finviz.com/quote.ashx?t=PSN&amp;ty=c&amp;p=d&amp;b=1", "PSN")</f>
        <v>PSN</v>
      </c>
      <c r="B520">
        <v>7</v>
      </c>
      <c r="C520">
        <v>138.38</v>
      </c>
      <c r="D520">
        <v>54.94</v>
      </c>
      <c r="E520" t="s">
        <v>9156</v>
      </c>
      <c r="F520" t="s">
        <v>107</v>
      </c>
      <c r="G520" t="s">
        <v>108</v>
      </c>
      <c r="H520" t="s">
        <v>1322</v>
      </c>
      <c r="I520" t="s">
        <v>70</v>
      </c>
      <c r="J520" t="s">
        <v>71</v>
      </c>
      <c r="K520">
        <v>8558.4599999999991</v>
      </c>
      <c r="L520">
        <v>80.14</v>
      </c>
      <c r="M520" t="s">
        <v>2418</v>
      </c>
      <c r="N520">
        <v>99008</v>
      </c>
      <c r="O520">
        <v>22.43</v>
      </c>
      <c r="P520">
        <v>22.65</v>
      </c>
      <c r="Q520">
        <v>3.26</v>
      </c>
      <c r="R520">
        <v>1.28</v>
      </c>
      <c r="S520">
        <v>3.4</v>
      </c>
      <c r="Z520" t="s">
        <v>164</v>
      </c>
      <c r="AA520">
        <v>3.57</v>
      </c>
      <c r="AB520" t="s">
        <v>7885</v>
      </c>
      <c r="AC520" t="s">
        <v>2579</v>
      </c>
      <c r="AD520" t="s">
        <v>2150</v>
      </c>
      <c r="AE520" t="s">
        <v>7019</v>
      </c>
      <c r="AF520" t="s">
        <v>9157</v>
      </c>
      <c r="AG520" t="s">
        <v>2517</v>
      </c>
      <c r="AH520" t="s">
        <v>6494</v>
      </c>
      <c r="AI520" t="s">
        <v>2205</v>
      </c>
      <c r="AJ520" t="s">
        <v>164</v>
      </c>
      <c r="AK520" t="s">
        <v>9158</v>
      </c>
      <c r="AL520">
        <v>1.61</v>
      </c>
      <c r="AM520">
        <v>1.61</v>
      </c>
      <c r="AN520">
        <v>0.59</v>
      </c>
      <c r="AO520" t="s">
        <v>8592</v>
      </c>
      <c r="AP520" t="s">
        <v>4742</v>
      </c>
      <c r="AQ520" t="s">
        <v>3204</v>
      </c>
      <c r="AR520" t="s">
        <v>2333</v>
      </c>
      <c r="AS520" t="s">
        <v>5256</v>
      </c>
      <c r="AT520" t="s">
        <v>4600</v>
      </c>
      <c r="AU520" t="s">
        <v>2624</v>
      </c>
      <c r="AV520" t="s">
        <v>9159</v>
      </c>
      <c r="AW520" t="s">
        <v>9160</v>
      </c>
      <c r="AX520" t="s">
        <v>2824</v>
      </c>
      <c r="AY520" t="s">
        <v>6887</v>
      </c>
      <c r="AZ520" t="s">
        <v>9161</v>
      </c>
      <c r="BA520">
        <v>2</v>
      </c>
      <c r="BB520">
        <v>1077.69</v>
      </c>
      <c r="BC520">
        <v>0.32</v>
      </c>
      <c r="BD520">
        <v>79.7</v>
      </c>
      <c r="BE520">
        <v>81.010000000000005</v>
      </c>
      <c r="BF520">
        <v>79.23</v>
      </c>
      <c r="BG520" t="s">
        <v>9162</v>
      </c>
      <c r="BH520" t="s">
        <v>6887</v>
      </c>
      <c r="BI520" t="s">
        <v>9163</v>
      </c>
      <c r="BJ520" t="s">
        <v>101</v>
      </c>
      <c r="BK520" t="s">
        <v>9164</v>
      </c>
      <c r="BL520" t="s">
        <v>9165</v>
      </c>
      <c r="BM520" t="s">
        <v>1197</v>
      </c>
      <c r="BN520" t="s">
        <v>4063</v>
      </c>
    </row>
    <row r="521" spans="1:66" x14ac:dyDescent="0.25">
      <c r="A521" t="str">
        <f>HYPERLINK("https://elite.finviz.com/quote.ashx?t=NUKK&amp;ty=c&amp;p=d&amp;b=1", "NUKK")</f>
        <v>NUKK</v>
      </c>
      <c r="B521">
        <v>7</v>
      </c>
      <c r="C521">
        <v>138.38</v>
      </c>
      <c r="D521">
        <v>54.94</v>
      </c>
      <c r="E521" t="s">
        <v>9166</v>
      </c>
      <c r="F521" t="s">
        <v>107</v>
      </c>
      <c r="G521" t="s">
        <v>108</v>
      </c>
      <c r="H521" t="s">
        <v>136</v>
      </c>
      <c r="I521" t="s">
        <v>70</v>
      </c>
      <c r="J521" t="s">
        <v>321</v>
      </c>
      <c r="K521">
        <v>41.17</v>
      </c>
      <c r="L521">
        <v>5.82</v>
      </c>
      <c r="M521" t="s">
        <v>3025</v>
      </c>
      <c r="N521">
        <v>698040</v>
      </c>
      <c r="O521">
        <v>0.28999999999999998</v>
      </c>
      <c r="R521">
        <v>100.41</v>
      </c>
      <c r="AA521">
        <v>19.91</v>
      </c>
      <c r="AB521" t="s">
        <v>9167</v>
      </c>
      <c r="AC521" t="s">
        <v>9168</v>
      </c>
      <c r="AE521" t="s">
        <v>9169</v>
      </c>
      <c r="AF521" t="s">
        <v>9170</v>
      </c>
      <c r="AG521" t="s">
        <v>9171</v>
      </c>
      <c r="AH521" t="s">
        <v>579</v>
      </c>
      <c r="AJ521" t="s">
        <v>164</v>
      </c>
      <c r="AK521" t="s">
        <v>2624</v>
      </c>
      <c r="AL521">
        <v>0.12</v>
      </c>
      <c r="AM521">
        <v>0.12</v>
      </c>
      <c r="AO521" t="s">
        <v>9172</v>
      </c>
      <c r="AP521" t="s">
        <v>9173</v>
      </c>
      <c r="AQ521" t="s">
        <v>9174</v>
      </c>
      <c r="AR521" t="s">
        <v>3600</v>
      </c>
      <c r="AS521" t="s">
        <v>9175</v>
      </c>
      <c r="AT521" t="s">
        <v>563</v>
      </c>
      <c r="AU521" t="s">
        <v>2772</v>
      </c>
      <c r="AV521" t="s">
        <v>2706</v>
      </c>
      <c r="AW521" t="s">
        <v>8263</v>
      </c>
      <c r="AX521" t="s">
        <v>9176</v>
      </c>
      <c r="AY521" t="s">
        <v>9177</v>
      </c>
      <c r="AZ521" t="s">
        <v>9178</v>
      </c>
      <c r="BB521">
        <v>4004.16</v>
      </c>
      <c r="BC521">
        <v>0.61</v>
      </c>
      <c r="BD521">
        <v>5.58</v>
      </c>
      <c r="BE521">
        <v>5.92</v>
      </c>
      <c r="BF521">
        <v>5.55</v>
      </c>
      <c r="BG521" t="s">
        <v>9179</v>
      </c>
      <c r="BH521" t="s">
        <v>9180</v>
      </c>
      <c r="BI521" t="s">
        <v>9178</v>
      </c>
      <c r="BJ521" t="s">
        <v>101</v>
      </c>
      <c r="BK521" t="s">
        <v>9181</v>
      </c>
      <c r="BL521" t="s">
        <v>9182</v>
      </c>
      <c r="BM521" t="s">
        <v>9183</v>
      </c>
      <c r="BN521" t="s">
        <v>4063</v>
      </c>
    </row>
    <row r="522" spans="1:66" x14ac:dyDescent="0.25">
      <c r="A522" t="str">
        <f>HYPERLINK("https://elite.finviz.com/quote.ashx?t=NNE&amp;ty=c&amp;p=d&amp;b=1", "NNE")</f>
        <v>NNE</v>
      </c>
      <c r="B522">
        <v>7</v>
      </c>
      <c r="C522">
        <v>138.38</v>
      </c>
      <c r="D522">
        <v>54.95</v>
      </c>
      <c r="E522" t="s">
        <v>9184</v>
      </c>
      <c r="F522" t="s">
        <v>67</v>
      </c>
      <c r="G522" t="s">
        <v>260</v>
      </c>
      <c r="H522" t="s">
        <v>261</v>
      </c>
      <c r="I522" t="s">
        <v>70</v>
      </c>
      <c r="J522" t="s">
        <v>321</v>
      </c>
      <c r="K522">
        <v>1648.36</v>
      </c>
      <c r="L522">
        <v>39.590000000000003</v>
      </c>
      <c r="M522" t="s">
        <v>6989</v>
      </c>
      <c r="N522">
        <v>887153</v>
      </c>
      <c r="S522">
        <v>7.27</v>
      </c>
      <c r="AA522">
        <v>-0.94</v>
      </c>
      <c r="AB522" t="s">
        <v>9185</v>
      </c>
      <c r="AI522" t="s">
        <v>9186</v>
      </c>
      <c r="AJ522" t="s">
        <v>164</v>
      </c>
      <c r="AK522" t="s">
        <v>2817</v>
      </c>
      <c r="AL522">
        <v>73</v>
      </c>
      <c r="AM522">
        <v>73</v>
      </c>
      <c r="AN522">
        <v>0.01</v>
      </c>
      <c r="AR522" t="s">
        <v>4068</v>
      </c>
      <c r="AS522" t="s">
        <v>2796</v>
      </c>
      <c r="AT522" t="s">
        <v>4128</v>
      </c>
      <c r="AU522" t="s">
        <v>9187</v>
      </c>
      <c r="AV522" t="s">
        <v>7796</v>
      </c>
      <c r="AW522" t="s">
        <v>9188</v>
      </c>
      <c r="AX522" t="s">
        <v>9189</v>
      </c>
      <c r="AY522" t="s">
        <v>5208</v>
      </c>
      <c r="AZ522" t="s">
        <v>9190</v>
      </c>
      <c r="BA522">
        <v>1.5</v>
      </c>
      <c r="BB522">
        <v>3319.68</v>
      </c>
      <c r="BC522">
        <v>0.94</v>
      </c>
      <c r="BD522">
        <v>41.4</v>
      </c>
      <c r="BE522">
        <v>41.57</v>
      </c>
      <c r="BF522">
        <v>39.119999999999997</v>
      </c>
      <c r="BG522" t="s">
        <v>9191</v>
      </c>
      <c r="BH522" t="s">
        <v>5208</v>
      </c>
      <c r="BI522" t="s">
        <v>9192</v>
      </c>
      <c r="BJ522" t="s">
        <v>101</v>
      </c>
      <c r="BK522" t="s">
        <v>4666</v>
      </c>
      <c r="BL522" t="s">
        <v>9052</v>
      </c>
      <c r="BM522" t="s">
        <v>1264</v>
      </c>
      <c r="BN522" t="s">
        <v>4063</v>
      </c>
    </row>
    <row r="523" spans="1:66" x14ac:dyDescent="0.25">
      <c r="A523" t="str">
        <f>HYPERLINK("https://elite.finviz.com/quote.ashx?t=OTIS&amp;ty=c&amp;p=d&amp;b=1", "OTIS")</f>
        <v>OTIS</v>
      </c>
      <c r="B523">
        <v>7</v>
      </c>
      <c r="C523">
        <v>138.38</v>
      </c>
      <c r="D523">
        <v>55</v>
      </c>
      <c r="E523" t="s">
        <v>9193</v>
      </c>
      <c r="F523" t="s">
        <v>195</v>
      </c>
      <c r="G523" t="s">
        <v>260</v>
      </c>
      <c r="H523" t="s">
        <v>261</v>
      </c>
      <c r="I523" t="s">
        <v>70</v>
      </c>
      <c r="J523" t="s">
        <v>71</v>
      </c>
      <c r="K523">
        <v>35201.1</v>
      </c>
      <c r="L523">
        <v>89.69</v>
      </c>
      <c r="M523" t="s">
        <v>193</v>
      </c>
      <c r="N523">
        <v>362203</v>
      </c>
      <c r="O523">
        <v>23.71</v>
      </c>
      <c r="P523">
        <v>20.02</v>
      </c>
      <c r="Q523">
        <v>2.63</v>
      </c>
      <c r="R523">
        <v>2.48</v>
      </c>
      <c r="T523" t="s">
        <v>4267</v>
      </c>
      <c r="U523">
        <v>1.62</v>
      </c>
      <c r="V523" t="s">
        <v>3046</v>
      </c>
      <c r="W523" t="s">
        <v>6690</v>
      </c>
      <c r="X523" t="s">
        <v>9194</v>
      </c>
      <c r="Z523" t="s">
        <v>9195</v>
      </c>
      <c r="AA523">
        <v>3.78</v>
      </c>
      <c r="AB523" t="s">
        <v>9196</v>
      </c>
      <c r="AC523" t="s">
        <v>1533</v>
      </c>
      <c r="AD523" t="s">
        <v>3648</v>
      </c>
      <c r="AE523" t="s">
        <v>6192</v>
      </c>
      <c r="AF523" t="s">
        <v>6192</v>
      </c>
      <c r="AG523" t="s">
        <v>2217</v>
      </c>
      <c r="AH523" t="s">
        <v>1554</v>
      </c>
      <c r="AI523" t="s">
        <v>4946</v>
      </c>
      <c r="AJ523" t="s">
        <v>164</v>
      </c>
      <c r="AK523" t="s">
        <v>9197</v>
      </c>
      <c r="AL523">
        <v>0.88</v>
      </c>
      <c r="AM523">
        <v>0.8</v>
      </c>
      <c r="AO523" t="s">
        <v>5896</v>
      </c>
      <c r="AP523" t="s">
        <v>7033</v>
      </c>
      <c r="AQ523" t="s">
        <v>3901</v>
      </c>
      <c r="AR523" t="s">
        <v>2185</v>
      </c>
      <c r="AS523" t="s">
        <v>2554</v>
      </c>
      <c r="AT523" t="s">
        <v>2145</v>
      </c>
      <c r="AU523" t="s">
        <v>6478</v>
      </c>
      <c r="AV523" t="s">
        <v>7289</v>
      </c>
      <c r="AW523" t="s">
        <v>9198</v>
      </c>
      <c r="AX523" t="s">
        <v>3389</v>
      </c>
      <c r="AY523" t="s">
        <v>9199</v>
      </c>
      <c r="AZ523" t="s">
        <v>3389</v>
      </c>
      <c r="BA523">
        <v>2.62</v>
      </c>
      <c r="BB523">
        <v>3293.69</v>
      </c>
      <c r="BC523">
        <v>0.39</v>
      </c>
      <c r="BD523">
        <v>89.44</v>
      </c>
      <c r="BE523">
        <v>90.22</v>
      </c>
      <c r="BF523">
        <v>89.53</v>
      </c>
      <c r="BG523" t="s">
        <v>9200</v>
      </c>
      <c r="BH523" t="s">
        <v>9199</v>
      </c>
      <c r="BI523" t="s">
        <v>9201</v>
      </c>
      <c r="BJ523" t="s">
        <v>101</v>
      </c>
      <c r="BK523" t="s">
        <v>5852</v>
      </c>
      <c r="BL523" t="s">
        <v>9202</v>
      </c>
      <c r="BM523" t="s">
        <v>7049</v>
      </c>
      <c r="BN523" t="s">
        <v>4063</v>
      </c>
    </row>
    <row r="524" spans="1:66" x14ac:dyDescent="0.25">
      <c r="A524" t="str">
        <f>HYPERLINK("https://elite.finviz.com/quote.ashx?t=VRNS&amp;ty=c&amp;p=d&amp;b=1", "VRNS")</f>
        <v>VRNS</v>
      </c>
      <c r="B524">
        <v>7</v>
      </c>
      <c r="C524">
        <v>138.38</v>
      </c>
      <c r="D524">
        <v>55.05</v>
      </c>
      <c r="E524" t="s">
        <v>9203</v>
      </c>
      <c r="F524" t="s">
        <v>67</v>
      </c>
      <c r="G524" t="s">
        <v>108</v>
      </c>
      <c r="H524" t="s">
        <v>109</v>
      </c>
      <c r="I524" t="s">
        <v>70</v>
      </c>
      <c r="J524" t="s">
        <v>321</v>
      </c>
      <c r="K524">
        <v>6535.71</v>
      </c>
      <c r="L524">
        <v>58.33</v>
      </c>
      <c r="M524" t="s">
        <v>4886</v>
      </c>
      <c r="N524">
        <v>107623</v>
      </c>
      <c r="P524">
        <v>164.99</v>
      </c>
      <c r="R524">
        <v>10.98</v>
      </c>
      <c r="S524">
        <v>19.14</v>
      </c>
      <c r="AA524">
        <v>-0.92</v>
      </c>
      <c r="AB524" t="s">
        <v>9204</v>
      </c>
      <c r="AC524" t="s">
        <v>822</v>
      </c>
      <c r="AD524" t="s">
        <v>8082</v>
      </c>
      <c r="AE524" t="s">
        <v>2169</v>
      </c>
      <c r="AF524" t="s">
        <v>2715</v>
      </c>
      <c r="AG524" t="s">
        <v>1205</v>
      </c>
      <c r="AH524" t="s">
        <v>9031</v>
      </c>
      <c r="AI524" t="s">
        <v>9205</v>
      </c>
      <c r="AJ524" t="s">
        <v>1356</v>
      </c>
      <c r="AK524" t="s">
        <v>9206</v>
      </c>
      <c r="AL524">
        <v>1.38</v>
      </c>
      <c r="AM524">
        <v>1.38</v>
      </c>
      <c r="AN524">
        <v>2.21</v>
      </c>
      <c r="AO524" t="s">
        <v>6803</v>
      </c>
      <c r="AP524" t="s">
        <v>9207</v>
      </c>
      <c r="AQ524" t="s">
        <v>4318</v>
      </c>
      <c r="AR524" t="s">
        <v>911</v>
      </c>
      <c r="AS524" t="s">
        <v>2743</v>
      </c>
      <c r="AT524" t="s">
        <v>6336</v>
      </c>
      <c r="AU524" t="s">
        <v>6770</v>
      </c>
      <c r="AV524" t="s">
        <v>442</v>
      </c>
      <c r="AW524" t="s">
        <v>4281</v>
      </c>
      <c r="AX524" t="s">
        <v>9208</v>
      </c>
      <c r="AY524" t="s">
        <v>4289</v>
      </c>
      <c r="AZ524" t="s">
        <v>9209</v>
      </c>
      <c r="BA524">
        <v>1.54</v>
      </c>
      <c r="BB524">
        <v>1536.67</v>
      </c>
      <c r="BC524">
        <v>0.25</v>
      </c>
      <c r="BD524">
        <v>58.61</v>
      </c>
      <c r="BE524">
        <v>58.87</v>
      </c>
      <c r="BF524">
        <v>57.99</v>
      </c>
      <c r="BG524" t="s">
        <v>9210</v>
      </c>
      <c r="BH524" t="s">
        <v>9211</v>
      </c>
      <c r="BI524" t="s">
        <v>9212</v>
      </c>
      <c r="BJ524" t="s">
        <v>101</v>
      </c>
      <c r="BK524" t="s">
        <v>1132</v>
      </c>
      <c r="BL524" t="s">
        <v>9213</v>
      </c>
      <c r="BM524" t="s">
        <v>3842</v>
      </c>
      <c r="BN524" t="s">
        <v>4063</v>
      </c>
    </row>
    <row r="525" spans="1:66" x14ac:dyDescent="0.25">
      <c r="A525" t="str">
        <f>HYPERLINK("https://elite.finviz.com/quote.ashx?t=IR&amp;ty=c&amp;p=d&amp;b=1", "IR")</f>
        <v>IR</v>
      </c>
      <c r="B525">
        <v>7</v>
      </c>
      <c r="C525">
        <v>138.38</v>
      </c>
      <c r="D525">
        <v>55.09</v>
      </c>
      <c r="E525" t="s">
        <v>9214</v>
      </c>
      <c r="F525" t="s">
        <v>195</v>
      </c>
      <c r="G525" t="s">
        <v>260</v>
      </c>
      <c r="H525" t="s">
        <v>261</v>
      </c>
      <c r="I525" t="s">
        <v>70</v>
      </c>
      <c r="J525" t="s">
        <v>71</v>
      </c>
      <c r="K525">
        <v>32484.63</v>
      </c>
      <c r="L525">
        <v>81.73</v>
      </c>
      <c r="M525" t="s">
        <v>6056</v>
      </c>
      <c r="N525">
        <v>631121</v>
      </c>
      <c r="O525">
        <v>63.81</v>
      </c>
      <c r="P525">
        <v>22.04</v>
      </c>
      <c r="Q525">
        <v>9.09</v>
      </c>
      <c r="R525">
        <v>4.41</v>
      </c>
      <c r="S525">
        <v>3.22</v>
      </c>
      <c r="T525" t="s">
        <v>4507</v>
      </c>
      <c r="U525">
        <v>0.08</v>
      </c>
      <c r="V525" t="s">
        <v>2708</v>
      </c>
      <c r="W525" t="s">
        <v>164</v>
      </c>
      <c r="X525" t="s">
        <v>8149</v>
      </c>
      <c r="Z525" t="s">
        <v>2384</v>
      </c>
      <c r="AA525">
        <v>1.28</v>
      </c>
      <c r="AB525" t="s">
        <v>8712</v>
      </c>
      <c r="AC525" t="s">
        <v>4398</v>
      </c>
      <c r="AD525" t="s">
        <v>1243</v>
      </c>
      <c r="AE525" t="s">
        <v>5907</v>
      </c>
      <c r="AF525" t="s">
        <v>3492</v>
      </c>
      <c r="AG525" t="s">
        <v>9215</v>
      </c>
      <c r="AH525" t="s">
        <v>4052</v>
      </c>
      <c r="AI525" t="s">
        <v>6719</v>
      </c>
      <c r="AJ525" t="s">
        <v>2951</v>
      </c>
      <c r="AK525" t="s">
        <v>9216</v>
      </c>
      <c r="AL525">
        <v>2.29</v>
      </c>
      <c r="AM525">
        <v>1.63</v>
      </c>
      <c r="AN525">
        <v>0.48</v>
      </c>
      <c r="AO525" t="s">
        <v>2238</v>
      </c>
      <c r="AP525" t="s">
        <v>9217</v>
      </c>
      <c r="AQ525" t="s">
        <v>2697</v>
      </c>
      <c r="AR525" t="s">
        <v>5968</v>
      </c>
      <c r="AS525" t="s">
        <v>6003</v>
      </c>
      <c r="AT525" t="s">
        <v>714</v>
      </c>
      <c r="AU525" t="s">
        <v>1559</v>
      </c>
      <c r="AV525" t="s">
        <v>8293</v>
      </c>
      <c r="AW525" t="s">
        <v>6730</v>
      </c>
      <c r="AX525" t="s">
        <v>6573</v>
      </c>
      <c r="AY525" t="s">
        <v>6144</v>
      </c>
      <c r="AZ525" t="s">
        <v>1628</v>
      </c>
      <c r="BA525">
        <v>2.2200000000000002</v>
      </c>
      <c r="BB525">
        <v>3270.44</v>
      </c>
      <c r="BC525">
        <v>0.68</v>
      </c>
      <c r="BD525">
        <v>80.5</v>
      </c>
      <c r="BE525">
        <v>81.93</v>
      </c>
      <c r="BF525">
        <v>80.86</v>
      </c>
      <c r="BG525" t="s">
        <v>9218</v>
      </c>
      <c r="BH525" t="s">
        <v>6144</v>
      </c>
      <c r="BI525" t="s">
        <v>9219</v>
      </c>
      <c r="BJ525" t="s">
        <v>101</v>
      </c>
      <c r="BK525" t="s">
        <v>6541</v>
      </c>
      <c r="BL525" t="s">
        <v>2362</v>
      </c>
      <c r="BM525" t="s">
        <v>9220</v>
      </c>
      <c r="BN525" t="s">
        <v>4063</v>
      </c>
    </row>
    <row r="526" spans="1:66" x14ac:dyDescent="0.25">
      <c r="A526" t="str">
        <f>HYPERLINK("https://elite.finviz.com/quote.ashx?t=COHR&amp;ty=c&amp;p=d&amp;b=1", "COHR")</f>
        <v>COHR</v>
      </c>
      <c r="B526">
        <v>7</v>
      </c>
      <c r="C526">
        <v>138.38</v>
      </c>
      <c r="D526">
        <v>55.11</v>
      </c>
      <c r="E526" t="s">
        <v>9221</v>
      </c>
      <c r="F526" t="s">
        <v>107</v>
      </c>
      <c r="G526" t="s">
        <v>108</v>
      </c>
      <c r="H526" t="s">
        <v>9222</v>
      </c>
      <c r="I526" t="s">
        <v>70</v>
      </c>
      <c r="J526" t="s">
        <v>71</v>
      </c>
      <c r="K526">
        <v>16496.68</v>
      </c>
      <c r="L526">
        <v>105.88</v>
      </c>
      <c r="M526" t="s">
        <v>2059</v>
      </c>
      <c r="N526">
        <v>661596</v>
      </c>
      <c r="P526">
        <v>17.760000000000002</v>
      </c>
      <c r="R526">
        <v>2.84</v>
      </c>
      <c r="S526">
        <v>2.92</v>
      </c>
      <c r="T526" t="s">
        <v>4237</v>
      </c>
      <c r="AA526">
        <v>-0.53</v>
      </c>
      <c r="AC526" t="s">
        <v>2446</v>
      </c>
      <c r="AD526" t="s">
        <v>9223</v>
      </c>
      <c r="AE526" t="s">
        <v>9224</v>
      </c>
      <c r="AF526" t="s">
        <v>4554</v>
      </c>
      <c r="AG526" t="s">
        <v>8491</v>
      </c>
      <c r="AH526" t="s">
        <v>9225</v>
      </c>
      <c r="AI526" t="s">
        <v>1388</v>
      </c>
      <c r="AJ526" t="s">
        <v>2468</v>
      </c>
      <c r="AK526" t="s">
        <v>7714</v>
      </c>
      <c r="AL526">
        <v>2.19</v>
      </c>
      <c r="AM526">
        <v>1.39</v>
      </c>
      <c r="AN526">
        <v>0.48</v>
      </c>
      <c r="AO526" t="s">
        <v>9226</v>
      </c>
      <c r="AP526" t="s">
        <v>9227</v>
      </c>
      <c r="AQ526" t="s">
        <v>4938</v>
      </c>
      <c r="AR526" t="s">
        <v>2316</v>
      </c>
      <c r="AS526" t="s">
        <v>5554</v>
      </c>
      <c r="AT526" t="s">
        <v>1453</v>
      </c>
      <c r="AU526" t="s">
        <v>9228</v>
      </c>
      <c r="AV526" t="s">
        <v>9229</v>
      </c>
      <c r="AW526" t="s">
        <v>9230</v>
      </c>
      <c r="AX526" t="s">
        <v>8720</v>
      </c>
      <c r="AY526" t="s">
        <v>9230</v>
      </c>
      <c r="AZ526" t="s">
        <v>9231</v>
      </c>
      <c r="BA526">
        <v>1.48</v>
      </c>
      <c r="BB526">
        <v>3999.35</v>
      </c>
      <c r="BC526">
        <v>0.57999999999999996</v>
      </c>
      <c r="BD526">
        <v>106.57</v>
      </c>
      <c r="BE526">
        <v>107</v>
      </c>
      <c r="BF526">
        <v>104.78</v>
      </c>
      <c r="BG526" t="s">
        <v>9232</v>
      </c>
      <c r="BH526" t="s">
        <v>9230</v>
      </c>
      <c r="BI526" t="s">
        <v>9233</v>
      </c>
      <c r="BJ526" t="s">
        <v>101</v>
      </c>
      <c r="BK526" t="s">
        <v>5230</v>
      </c>
      <c r="BL526" t="s">
        <v>9234</v>
      </c>
      <c r="BM526" t="s">
        <v>2544</v>
      </c>
      <c r="BN526" t="s">
        <v>4063</v>
      </c>
    </row>
    <row r="527" spans="1:66" x14ac:dyDescent="0.25">
      <c r="A527" t="str">
        <f>HYPERLINK("https://elite.finviz.com/quote.ashx?t=PRPH&amp;ty=c&amp;p=d&amp;b=1", "PRPH")</f>
        <v>PRPH</v>
      </c>
      <c r="B527">
        <v>7</v>
      </c>
      <c r="C527">
        <v>138.38</v>
      </c>
      <c r="D527">
        <v>55.13</v>
      </c>
      <c r="E527" t="s">
        <v>9235</v>
      </c>
      <c r="F527" t="s">
        <v>107</v>
      </c>
      <c r="G527" t="s">
        <v>428</v>
      </c>
      <c r="H527" t="s">
        <v>4202</v>
      </c>
      <c r="I527" t="s">
        <v>70</v>
      </c>
      <c r="J527" t="s">
        <v>321</v>
      </c>
      <c r="K527">
        <v>18.11</v>
      </c>
      <c r="L527">
        <v>0.44</v>
      </c>
      <c r="M527" t="s">
        <v>5071</v>
      </c>
      <c r="N527">
        <v>368498</v>
      </c>
      <c r="R527">
        <v>1.42</v>
      </c>
      <c r="S527">
        <v>1.58</v>
      </c>
      <c r="V527" t="s">
        <v>9236</v>
      </c>
      <c r="AA527">
        <v>-1.5</v>
      </c>
      <c r="AC527" t="s">
        <v>9237</v>
      </c>
      <c r="AE527" t="s">
        <v>9238</v>
      </c>
      <c r="AF527" t="s">
        <v>9239</v>
      </c>
      <c r="AG527" t="s">
        <v>9240</v>
      </c>
      <c r="AH527" t="s">
        <v>9241</v>
      </c>
      <c r="AJ527" t="s">
        <v>164</v>
      </c>
      <c r="AK527" t="s">
        <v>8960</v>
      </c>
      <c r="AL527">
        <v>0.96</v>
      </c>
      <c r="AM527">
        <v>0.93</v>
      </c>
      <c r="AN527">
        <v>0.69</v>
      </c>
      <c r="AO527" t="s">
        <v>9242</v>
      </c>
      <c r="AP527" t="s">
        <v>9243</v>
      </c>
      <c r="AQ527" t="s">
        <v>9244</v>
      </c>
      <c r="AR527" t="s">
        <v>2629</v>
      </c>
      <c r="AS527" t="s">
        <v>9122</v>
      </c>
      <c r="AT527" t="s">
        <v>3025</v>
      </c>
      <c r="AU527" t="s">
        <v>4455</v>
      </c>
      <c r="AV527" t="s">
        <v>3054</v>
      </c>
      <c r="AW527" t="s">
        <v>9245</v>
      </c>
      <c r="AX527" t="s">
        <v>4611</v>
      </c>
      <c r="AY527" t="s">
        <v>9246</v>
      </c>
      <c r="AZ527" t="s">
        <v>9247</v>
      </c>
      <c r="BA527">
        <v>1</v>
      </c>
      <c r="BB527">
        <v>6226.97</v>
      </c>
      <c r="BC527">
        <v>0.21</v>
      </c>
      <c r="BD527">
        <v>0.43</v>
      </c>
      <c r="BE527">
        <v>0.42</v>
      </c>
      <c r="BF527">
        <v>0.4</v>
      </c>
      <c r="BG527" t="s">
        <v>9248</v>
      </c>
      <c r="BH527" t="s">
        <v>9249</v>
      </c>
      <c r="BI527" t="s">
        <v>9247</v>
      </c>
      <c r="BJ527" t="s">
        <v>101</v>
      </c>
      <c r="BK527" t="s">
        <v>5465</v>
      </c>
      <c r="BL527" t="s">
        <v>3321</v>
      </c>
      <c r="BM527" t="s">
        <v>9250</v>
      </c>
      <c r="BN527" t="s">
        <v>4063</v>
      </c>
    </row>
    <row r="528" spans="1:66" x14ac:dyDescent="0.25">
      <c r="A528" t="str">
        <f>HYPERLINK("https://elite.finviz.com/quote.ashx?t=FOX&amp;ty=c&amp;p=d&amp;b=1", "FOX")</f>
        <v>FOX</v>
      </c>
      <c r="B528">
        <v>7</v>
      </c>
      <c r="C528">
        <v>138.38</v>
      </c>
      <c r="D528">
        <v>55.17</v>
      </c>
      <c r="E528" t="s">
        <v>9251</v>
      </c>
      <c r="F528" t="s">
        <v>195</v>
      </c>
      <c r="G528" t="s">
        <v>598</v>
      </c>
      <c r="H528" t="s">
        <v>4247</v>
      </c>
      <c r="I528" t="s">
        <v>70</v>
      </c>
      <c r="J528" t="s">
        <v>321</v>
      </c>
      <c r="K528">
        <v>25732.61</v>
      </c>
      <c r="L528">
        <v>55.01</v>
      </c>
      <c r="M528" t="s">
        <v>4689</v>
      </c>
      <c r="N528">
        <v>265951</v>
      </c>
      <c r="O528">
        <v>11.21</v>
      </c>
      <c r="P528">
        <v>11.35</v>
      </c>
      <c r="R528">
        <v>1.58</v>
      </c>
      <c r="S528">
        <v>2.0499999999999998</v>
      </c>
      <c r="T528" t="s">
        <v>5577</v>
      </c>
      <c r="U528">
        <v>0.55000000000000004</v>
      </c>
      <c r="V528" t="s">
        <v>7315</v>
      </c>
      <c r="W528" t="s">
        <v>4324</v>
      </c>
      <c r="X528" t="s">
        <v>3433</v>
      </c>
      <c r="Y528" t="s">
        <v>4499</v>
      </c>
      <c r="Z528" t="s">
        <v>5265</v>
      </c>
      <c r="AA528">
        <v>4.91</v>
      </c>
      <c r="AB528" t="s">
        <v>3273</v>
      </c>
      <c r="AC528" t="s">
        <v>5705</v>
      </c>
      <c r="AD528" t="s">
        <v>4963</v>
      </c>
      <c r="AE528" t="s">
        <v>6799</v>
      </c>
      <c r="AF528" t="s">
        <v>8966</v>
      </c>
      <c r="AG528" t="s">
        <v>2932</v>
      </c>
      <c r="AH528" t="s">
        <v>3148</v>
      </c>
      <c r="AI528" t="s">
        <v>6970</v>
      </c>
      <c r="AJ528" t="s">
        <v>5299</v>
      </c>
      <c r="AK528" t="s">
        <v>7810</v>
      </c>
      <c r="AL528">
        <v>2.91</v>
      </c>
      <c r="AM528">
        <v>2.76</v>
      </c>
      <c r="AN528">
        <v>0.62</v>
      </c>
      <c r="AO528" t="s">
        <v>9252</v>
      </c>
      <c r="AP528" t="s">
        <v>5759</v>
      </c>
      <c r="AQ528" t="s">
        <v>9253</v>
      </c>
      <c r="AR528" t="s">
        <v>6003</v>
      </c>
      <c r="AS528" t="s">
        <v>352</v>
      </c>
      <c r="AT528" t="s">
        <v>2509</v>
      </c>
      <c r="AU528" t="s">
        <v>1934</v>
      </c>
      <c r="AV528" t="s">
        <v>5404</v>
      </c>
      <c r="AW528" t="s">
        <v>9254</v>
      </c>
      <c r="AX528" t="s">
        <v>95</v>
      </c>
      <c r="AY528" t="s">
        <v>9254</v>
      </c>
      <c r="AZ528" t="s">
        <v>3504</v>
      </c>
      <c r="BA528">
        <v>2.33</v>
      </c>
      <c r="BB528">
        <v>1522.28</v>
      </c>
      <c r="BC528">
        <v>0.62</v>
      </c>
      <c r="BD528">
        <v>54.46</v>
      </c>
      <c r="BE528">
        <v>55.38</v>
      </c>
      <c r="BF528">
        <v>54.84</v>
      </c>
      <c r="BG528" t="s">
        <v>9255</v>
      </c>
      <c r="BH528" t="s">
        <v>9254</v>
      </c>
      <c r="BI528" t="s">
        <v>9256</v>
      </c>
      <c r="BJ528" t="s">
        <v>101</v>
      </c>
      <c r="BK528" t="s">
        <v>3855</v>
      </c>
      <c r="BL528" t="s">
        <v>3664</v>
      </c>
      <c r="BM528" t="s">
        <v>9257</v>
      </c>
      <c r="BN528" t="s">
        <v>4063</v>
      </c>
    </row>
    <row r="529" spans="1:66" x14ac:dyDescent="0.25">
      <c r="A529" t="str">
        <f>HYPERLINK("https://elite.finviz.com/quote.ashx?t=CMPX&amp;ty=c&amp;p=d&amp;b=1", "CMPX")</f>
        <v>CMPX</v>
      </c>
      <c r="B529">
        <v>7</v>
      </c>
      <c r="C529">
        <v>138.38</v>
      </c>
      <c r="D529">
        <v>55.18</v>
      </c>
      <c r="E529" t="s">
        <v>9258</v>
      </c>
      <c r="F529" t="s">
        <v>67</v>
      </c>
      <c r="G529" t="s">
        <v>428</v>
      </c>
      <c r="H529" t="s">
        <v>429</v>
      </c>
      <c r="I529" t="s">
        <v>70</v>
      </c>
      <c r="J529" t="s">
        <v>321</v>
      </c>
      <c r="K529">
        <v>601.36</v>
      </c>
      <c r="L529">
        <v>3.51</v>
      </c>
      <c r="M529" t="s">
        <v>7464</v>
      </c>
      <c r="N529">
        <v>212385</v>
      </c>
      <c r="S529">
        <v>5.2</v>
      </c>
      <c r="AA529">
        <v>-0.45</v>
      </c>
      <c r="AB529" t="s">
        <v>6696</v>
      </c>
      <c r="AC529" t="s">
        <v>9259</v>
      </c>
      <c r="AD529" t="s">
        <v>2701</v>
      </c>
      <c r="AE529" t="s">
        <v>579</v>
      </c>
      <c r="AH529" t="s">
        <v>579</v>
      </c>
      <c r="AI529" t="s">
        <v>9260</v>
      </c>
      <c r="AJ529" t="s">
        <v>9261</v>
      </c>
      <c r="AK529" t="s">
        <v>7585</v>
      </c>
      <c r="AL529">
        <v>7.66</v>
      </c>
      <c r="AM529">
        <v>7.66</v>
      </c>
      <c r="AN529">
        <v>0.11</v>
      </c>
      <c r="AR529" t="s">
        <v>5999</v>
      </c>
      <c r="AS529" t="s">
        <v>2985</v>
      </c>
      <c r="AT529" t="s">
        <v>2290</v>
      </c>
      <c r="AU529" t="s">
        <v>5912</v>
      </c>
      <c r="AV529" t="s">
        <v>9262</v>
      </c>
      <c r="AW529" t="s">
        <v>4374</v>
      </c>
      <c r="AX529" t="s">
        <v>8984</v>
      </c>
      <c r="AY529" t="s">
        <v>9230</v>
      </c>
      <c r="AZ529" t="s">
        <v>9263</v>
      </c>
      <c r="BA529">
        <v>1.1000000000000001</v>
      </c>
      <c r="BB529">
        <v>1169.04</v>
      </c>
      <c r="BC529">
        <v>0.64</v>
      </c>
      <c r="BD529">
        <v>3.49</v>
      </c>
      <c r="BE529">
        <v>3.55</v>
      </c>
      <c r="BF529">
        <v>3.49</v>
      </c>
      <c r="BG529" t="s">
        <v>9264</v>
      </c>
      <c r="BH529" t="s">
        <v>9265</v>
      </c>
      <c r="BI529" t="s">
        <v>9266</v>
      </c>
      <c r="BJ529" t="s">
        <v>101</v>
      </c>
      <c r="BK529" t="s">
        <v>8751</v>
      </c>
      <c r="BL529" t="s">
        <v>6333</v>
      </c>
      <c r="BM529" t="s">
        <v>9267</v>
      </c>
      <c r="BN529" t="s">
        <v>4063</v>
      </c>
    </row>
    <row r="530" spans="1:66" x14ac:dyDescent="0.25">
      <c r="A530" t="str">
        <f>HYPERLINK("https://elite.finviz.com/quote.ashx?t=RVMD&amp;ty=c&amp;p=d&amp;b=1", "RVMD")</f>
        <v>RVMD</v>
      </c>
      <c r="B530">
        <v>7</v>
      </c>
      <c r="C530">
        <v>138.38</v>
      </c>
      <c r="D530">
        <v>55.18</v>
      </c>
      <c r="E530" t="s">
        <v>9268</v>
      </c>
      <c r="F530" t="s">
        <v>107</v>
      </c>
      <c r="G530" t="s">
        <v>428</v>
      </c>
      <c r="H530" t="s">
        <v>429</v>
      </c>
      <c r="I530" t="s">
        <v>70</v>
      </c>
      <c r="J530" t="s">
        <v>321</v>
      </c>
      <c r="K530">
        <v>8045.61</v>
      </c>
      <c r="L530">
        <v>43.04</v>
      </c>
      <c r="M530" t="s">
        <v>3350</v>
      </c>
      <c r="N530">
        <v>239830</v>
      </c>
      <c r="S530">
        <v>4.3099999999999996</v>
      </c>
      <c r="AA530">
        <v>-4.5</v>
      </c>
      <c r="AB530" t="s">
        <v>2754</v>
      </c>
      <c r="AC530" t="s">
        <v>9269</v>
      </c>
      <c r="AD530" t="s">
        <v>8770</v>
      </c>
      <c r="AE530" t="s">
        <v>579</v>
      </c>
      <c r="AI530" t="s">
        <v>6482</v>
      </c>
      <c r="AJ530" t="s">
        <v>1226</v>
      </c>
      <c r="AK530" t="s">
        <v>9270</v>
      </c>
      <c r="AL530">
        <v>11.79</v>
      </c>
      <c r="AM530">
        <v>11.79</v>
      </c>
      <c r="AN530">
        <v>7.0000000000000007E-2</v>
      </c>
      <c r="AR530" t="s">
        <v>2822</v>
      </c>
      <c r="AS530" t="s">
        <v>2811</v>
      </c>
      <c r="AT530" t="s">
        <v>3493</v>
      </c>
      <c r="AU530" t="s">
        <v>341</v>
      </c>
      <c r="AV530" t="s">
        <v>3050</v>
      </c>
      <c r="AW530" t="s">
        <v>9271</v>
      </c>
      <c r="AX530" t="s">
        <v>4934</v>
      </c>
      <c r="AY530" t="s">
        <v>9272</v>
      </c>
      <c r="AZ530" t="s">
        <v>6778</v>
      </c>
      <c r="BA530">
        <v>1.06</v>
      </c>
      <c r="BB530">
        <v>2336.12</v>
      </c>
      <c r="BC530">
        <v>0.36</v>
      </c>
      <c r="BD530">
        <v>42.51</v>
      </c>
      <c r="BE530">
        <v>43.32</v>
      </c>
      <c r="BF530">
        <v>42.78</v>
      </c>
      <c r="BG530" t="s">
        <v>9273</v>
      </c>
      <c r="BH530" t="s">
        <v>9272</v>
      </c>
      <c r="BI530" t="s">
        <v>9274</v>
      </c>
      <c r="BJ530" t="s">
        <v>101</v>
      </c>
      <c r="BK530" t="s">
        <v>3374</v>
      </c>
      <c r="BL530" t="s">
        <v>1925</v>
      </c>
      <c r="BM530" t="s">
        <v>8216</v>
      </c>
      <c r="BN530" t="s">
        <v>4063</v>
      </c>
    </row>
    <row r="531" spans="1:66" x14ac:dyDescent="0.25">
      <c r="A531" t="str">
        <f>HYPERLINK("https://elite.finviz.com/quote.ashx?t=VFF&amp;ty=c&amp;p=d&amp;b=1", "VFF")</f>
        <v>VFF</v>
      </c>
      <c r="B531">
        <v>7</v>
      </c>
      <c r="C531">
        <v>138.38</v>
      </c>
      <c r="D531">
        <v>55.18</v>
      </c>
      <c r="E531" t="s">
        <v>9275</v>
      </c>
      <c r="F531" t="s">
        <v>107</v>
      </c>
      <c r="G531" t="s">
        <v>2244</v>
      </c>
      <c r="H531" t="s">
        <v>5735</v>
      </c>
      <c r="I531" t="s">
        <v>70</v>
      </c>
      <c r="J531" t="s">
        <v>321</v>
      </c>
      <c r="K531">
        <v>310.33999999999997</v>
      </c>
      <c r="L531">
        <v>2.76</v>
      </c>
      <c r="M531" t="s">
        <v>2906</v>
      </c>
      <c r="N531">
        <v>223834</v>
      </c>
      <c r="O531">
        <v>30.21</v>
      </c>
      <c r="P531">
        <v>17.62</v>
      </c>
      <c r="R531">
        <v>1.02</v>
      </c>
      <c r="S531">
        <v>1.0900000000000001</v>
      </c>
      <c r="AA531">
        <v>0.09</v>
      </c>
      <c r="AB531" t="s">
        <v>9276</v>
      </c>
      <c r="AE531" t="s">
        <v>5606</v>
      </c>
      <c r="AF531" t="s">
        <v>4416</v>
      </c>
      <c r="AG531" t="s">
        <v>7718</v>
      </c>
      <c r="AH531" t="s">
        <v>9277</v>
      </c>
      <c r="AI531" t="s">
        <v>9278</v>
      </c>
      <c r="AJ531" t="s">
        <v>617</v>
      </c>
      <c r="AK531" t="s">
        <v>2628</v>
      </c>
      <c r="AL531">
        <v>2.65</v>
      </c>
      <c r="AM531">
        <v>1.89</v>
      </c>
      <c r="AN531">
        <v>0.15</v>
      </c>
      <c r="AO531" t="s">
        <v>705</v>
      </c>
      <c r="AP531" t="s">
        <v>9279</v>
      </c>
      <c r="AQ531" t="s">
        <v>5369</v>
      </c>
      <c r="AR531" t="s">
        <v>6420</v>
      </c>
      <c r="AS531" t="s">
        <v>9280</v>
      </c>
      <c r="AT531" t="s">
        <v>4255</v>
      </c>
      <c r="AU531" t="s">
        <v>9281</v>
      </c>
      <c r="AV531" t="s">
        <v>9282</v>
      </c>
      <c r="AW531" t="s">
        <v>9283</v>
      </c>
      <c r="AX531" t="s">
        <v>9284</v>
      </c>
      <c r="AY531" t="s">
        <v>9283</v>
      </c>
      <c r="AZ531" t="s">
        <v>9285</v>
      </c>
      <c r="BA531">
        <v>1</v>
      </c>
      <c r="BB531">
        <v>2086.6999999999998</v>
      </c>
      <c r="BC531">
        <v>0.38</v>
      </c>
      <c r="BD531">
        <v>2.76</v>
      </c>
      <c r="BE531">
        <v>2.8</v>
      </c>
      <c r="BF531">
        <v>2.72</v>
      </c>
      <c r="BG531" t="s">
        <v>9286</v>
      </c>
      <c r="BH531" t="s">
        <v>9287</v>
      </c>
      <c r="BI531" t="s">
        <v>9285</v>
      </c>
      <c r="BJ531" t="s">
        <v>101</v>
      </c>
      <c r="BK531" t="s">
        <v>9288</v>
      </c>
      <c r="BL531" t="s">
        <v>9289</v>
      </c>
      <c r="BM531" t="s">
        <v>9290</v>
      </c>
      <c r="BN531" t="s">
        <v>4063</v>
      </c>
    </row>
    <row r="532" spans="1:66" x14ac:dyDescent="0.25">
      <c r="A532" t="str">
        <f>HYPERLINK("https://elite.finviz.com/quote.ashx?t=TKO&amp;ty=c&amp;p=d&amp;b=1", "TKO")</f>
        <v>TKO</v>
      </c>
      <c r="B532">
        <v>7</v>
      </c>
      <c r="C532">
        <v>138.38</v>
      </c>
      <c r="D532">
        <v>55.18</v>
      </c>
      <c r="E532" t="s">
        <v>9291</v>
      </c>
      <c r="F532" t="s">
        <v>195</v>
      </c>
      <c r="G532" t="s">
        <v>598</v>
      </c>
      <c r="H532" t="s">
        <v>4247</v>
      </c>
      <c r="I532" t="s">
        <v>70</v>
      </c>
      <c r="J532" t="s">
        <v>71</v>
      </c>
      <c r="K532">
        <v>39165.339999999997</v>
      </c>
      <c r="L532">
        <v>197.51</v>
      </c>
      <c r="M532" t="s">
        <v>458</v>
      </c>
      <c r="N532">
        <v>164511</v>
      </c>
      <c r="O532">
        <v>90.93</v>
      </c>
      <c r="P532">
        <v>36.450000000000003</v>
      </c>
      <c r="R532">
        <v>10.039999999999999</v>
      </c>
      <c r="S532">
        <v>3.79</v>
      </c>
      <c r="T532" t="s">
        <v>4849</v>
      </c>
      <c r="U532">
        <v>1.52</v>
      </c>
      <c r="V532" t="s">
        <v>3833</v>
      </c>
      <c r="Z532" t="s">
        <v>164</v>
      </c>
      <c r="AA532">
        <v>2.17</v>
      </c>
      <c r="AB532" t="s">
        <v>6486</v>
      </c>
      <c r="AC532" t="s">
        <v>9292</v>
      </c>
      <c r="AE532" t="s">
        <v>9293</v>
      </c>
      <c r="AF532" t="s">
        <v>9294</v>
      </c>
      <c r="AG532" t="s">
        <v>4511</v>
      </c>
      <c r="AH532" t="s">
        <v>9295</v>
      </c>
      <c r="AI532" t="s">
        <v>2216</v>
      </c>
      <c r="AJ532" t="s">
        <v>4835</v>
      </c>
      <c r="AK532" t="s">
        <v>7714</v>
      </c>
      <c r="AL532">
        <v>1.2</v>
      </c>
      <c r="AM532">
        <v>1.17</v>
      </c>
      <c r="AN532">
        <v>0.72</v>
      </c>
      <c r="AO532" t="s">
        <v>4433</v>
      </c>
      <c r="AP532" t="s">
        <v>3297</v>
      </c>
      <c r="AQ532" t="s">
        <v>3602</v>
      </c>
      <c r="AR532" t="s">
        <v>910</v>
      </c>
      <c r="AS532" t="s">
        <v>92</v>
      </c>
      <c r="AT532" t="s">
        <v>2560</v>
      </c>
      <c r="AU532" t="s">
        <v>297</v>
      </c>
      <c r="AV532" t="s">
        <v>7123</v>
      </c>
      <c r="AW532" t="s">
        <v>7455</v>
      </c>
      <c r="AX532" t="s">
        <v>9296</v>
      </c>
      <c r="AY532" t="s">
        <v>7455</v>
      </c>
      <c r="AZ532" t="s">
        <v>9297</v>
      </c>
      <c r="BA532">
        <v>1.62</v>
      </c>
      <c r="BB532">
        <v>1048.72</v>
      </c>
      <c r="BC532">
        <v>0.55000000000000004</v>
      </c>
      <c r="BD532">
        <v>195.79</v>
      </c>
      <c r="BE532">
        <v>198.6</v>
      </c>
      <c r="BF532">
        <v>196.18</v>
      </c>
      <c r="BG532" t="s">
        <v>9298</v>
      </c>
      <c r="BH532" t="s">
        <v>7455</v>
      </c>
      <c r="BI532" t="s">
        <v>9299</v>
      </c>
      <c r="BJ532" t="s">
        <v>101</v>
      </c>
      <c r="BK532" t="s">
        <v>9300</v>
      </c>
      <c r="BL532" t="s">
        <v>9301</v>
      </c>
      <c r="BM532" t="s">
        <v>7647</v>
      </c>
      <c r="BN532" t="s">
        <v>4063</v>
      </c>
    </row>
    <row r="533" spans="1:66" x14ac:dyDescent="0.25">
      <c r="A533" t="str">
        <f>HYPERLINK("https://elite.finviz.com/quote.ashx?t=HALO&amp;ty=c&amp;p=d&amp;b=1", "HALO")</f>
        <v>HALO</v>
      </c>
      <c r="B533">
        <v>7</v>
      </c>
      <c r="C533">
        <v>138.38</v>
      </c>
      <c r="D533">
        <v>55.2</v>
      </c>
      <c r="E533" t="s">
        <v>9302</v>
      </c>
      <c r="F533" t="s">
        <v>107</v>
      </c>
      <c r="G533" t="s">
        <v>428</v>
      </c>
      <c r="H533" t="s">
        <v>429</v>
      </c>
      <c r="I533" t="s">
        <v>70</v>
      </c>
      <c r="J533" t="s">
        <v>321</v>
      </c>
      <c r="K533">
        <v>8761.34</v>
      </c>
      <c r="L533">
        <v>74.900000000000006</v>
      </c>
      <c r="M533" t="s">
        <v>80</v>
      </c>
      <c r="N533">
        <v>377840</v>
      </c>
      <c r="O533">
        <v>17.11</v>
      </c>
      <c r="P533">
        <v>9.25</v>
      </c>
      <c r="Q533">
        <v>0.53</v>
      </c>
      <c r="R533">
        <v>7.43</v>
      </c>
      <c r="S533">
        <v>26.48</v>
      </c>
      <c r="Z533" t="s">
        <v>164</v>
      </c>
      <c r="AA533">
        <v>4.38</v>
      </c>
      <c r="AB533" t="s">
        <v>3507</v>
      </c>
      <c r="AD533" t="s">
        <v>9303</v>
      </c>
      <c r="AE533" t="s">
        <v>9304</v>
      </c>
      <c r="AF533" t="s">
        <v>9305</v>
      </c>
      <c r="AG533" t="s">
        <v>1954</v>
      </c>
      <c r="AH533" t="s">
        <v>9306</v>
      </c>
      <c r="AI533" t="s">
        <v>2739</v>
      </c>
      <c r="AJ533" t="s">
        <v>3515</v>
      </c>
      <c r="AK533" t="s">
        <v>9307</v>
      </c>
      <c r="AL533">
        <v>8.36</v>
      </c>
      <c r="AM533">
        <v>7.01</v>
      </c>
      <c r="AN533">
        <v>4.54</v>
      </c>
      <c r="AO533" t="s">
        <v>9308</v>
      </c>
      <c r="AP533" t="s">
        <v>3247</v>
      </c>
      <c r="AQ533" t="s">
        <v>9309</v>
      </c>
      <c r="AR533" t="s">
        <v>4687</v>
      </c>
      <c r="AS533" t="s">
        <v>4710</v>
      </c>
      <c r="AT533" t="s">
        <v>4436</v>
      </c>
      <c r="AU533" t="s">
        <v>8662</v>
      </c>
      <c r="AV533" t="s">
        <v>9310</v>
      </c>
      <c r="AW533" t="s">
        <v>1258</v>
      </c>
      <c r="AX533" t="s">
        <v>6399</v>
      </c>
      <c r="AY533" t="s">
        <v>1258</v>
      </c>
      <c r="AZ533" t="s">
        <v>9311</v>
      </c>
      <c r="BA533">
        <v>2.2000000000000002</v>
      </c>
      <c r="BB533">
        <v>2203.89</v>
      </c>
      <c r="BC533">
        <v>0.6</v>
      </c>
      <c r="BD533">
        <v>73.97</v>
      </c>
      <c r="BE533">
        <v>75.22</v>
      </c>
      <c r="BF533">
        <v>74.17</v>
      </c>
      <c r="BG533" t="s">
        <v>9312</v>
      </c>
      <c r="BH533" t="s">
        <v>1258</v>
      </c>
      <c r="BI533" t="s">
        <v>9313</v>
      </c>
      <c r="BJ533" t="s">
        <v>101</v>
      </c>
      <c r="BK533" t="s">
        <v>9314</v>
      </c>
      <c r="BL533" t="s">
        <v>802</v>
      </c>
      <c r="BM533" t="s">
        <v>4479</v>
      </c>
      <c r="BN533" t="s">
        <v>4063</v>
      </c>
    </row>
    <row r="534" spans="1:66" x14ac:dyDescent="0.25">
      <c r="A534" t="str">
        <f>HYPERLINK("https://elite.finviz.com/quote.ashx?t=DDOG&amp;ty=c&amp;p=d&amp;b=1", "DDOG")</f>
        <v>DDOG</v>
      </c>
      <c r="B534">
        <v>7</v>
      </c>
      <c r="C534">
        <v>138.38</v>
      </c>
      <c r="D534">
        <v>55.27</v>
      </c>
      <c r="E534" t="s">
        <v>9315</v>
      </c>
      <c r="F534" t="s">
        <v>319</v>
      </c>
      <c r="G534" t="s">
        <v>108</v>
      </c>
      <c r="H534" t="s">
        <v>136</v>
      </c>
      <c r="I534" t="s">
        <v>70</v>
      </c>
      <c r="J534" t="s">
        <v>321</v>
      </c>
      <c r="K534">
        <v>48418.04</v>
      </c>
      <c r="L534">
        <v>138.84</v>
      </c>
      <c r="M534" t="s">
        <v>3487</v>
      </c>
      <c r="N534">
        <v>725675</v>
      </c>
      <c r="O534">
        <v>401.14</v>
      </c>
      <c r="P534">
        <v>64.650000000000006</v>
      </c>
      <c r="Q534">
        <v>29.03</v>
      </c>
      <c r="R534">
        <v>16.05</v>
      </c>
      <c r="S534">
        <v>15.14</v>
      </c>
      <c r="Z534" t="s">
        <v>164</v>
      </c>
      <c r="AA534">
        <v>0.35</v>
      </c>
      <c r="AD534" t="s">
        <v>4961</v>
      </c>
      <c r="AE534" t="s">
        <v>8253</v>
      </c>
      <c r="AF534" t="s">
        <v>7129</v>
      </c>
      <c r="AG534" t="s">
        <v>9316</v>
      </c>
      <c r="AH534" t="s">
        <v>9317</v>
      </c>
      <c r="AI534" t="s">
        <v>231</v>
      </c>
      <c r="AJ534" t="s">
        <v>3415</v>
      </c>
      <c r="AK534" t="s">
        <v>9318</v>
      </c>
      <c r="AL534">
        <v>3.39</v>
      </c>
      <c r="AM534">
        <v>3.39</v>
      </c>
      <c r="AN534">
        <v>0.4</v>
      </c>
      <c r="AO534" t="s">
        <v>9319</v>
      </c>
      <c r="AP534" t="s">
        <v>1202</v>
      </c>
      <c r="AQ534" t="s">
        <v>4299</v>
      </c>
      <c r="AR534" t="s">
        <v>4945</v>
      </c>
      <c r="AS534" t="s">
        <v>7154</v>
      </c>
      <c r="AT534" t="s">
        <v>2572</v>
      </c>
      <c r="AU534" t="s">
        <v>3257</v>
      </c>
      <c r="AV534" t="s">
        <v>3147</v>
      </c>
      <c r="AW534" t="s">
        <v>6227</v>
      </c>
      <c r="AX534" t="s">
        <v>302</v>
      </c>
      <c r="AY534" t="s">
        <v>9320</v>
      </c>
      <c r="AZ534" t="s">
        <v>9321</v>
      </c>
      <c r="BA534">
        <v>1.53</v>
      </c>
      <c r="BB534">
        <v>6961.63</v>
      </c>
      <c r="BC534">
        <v>0.37</v>
      </c>
      <c r="BD534">
        <v>136.6</v>
      </c>
      <c r="BE534">
        <v>140.09</v>
      </c>
      <c r="BF534">
        <v>135.4</v>
      </c>
      <c r="BG534" t="s">
        <v>9322</v>
      </c>
      <c r="BH534" t="s">
        <v>9323</v>
      </c>
      <c r="BI534" t="s">
        <v>9324</v>
      </c>
      <c r="BJ534" t="s">
        <v>101</v>
      </c>
      <c r="BK534" t="s">
        <v>7453</v>
      </c>
      <c r="BL534" t="s">
        <v>2476</v>
      </c>
      <c r="BM534" t="s">
        <v>9325</v>
      </c>
      <c r="BN534" t="s">
        <v>4063</v>
      </c>
    </row>
    <row r="535" spans="1:66" x14ac:dyDescent="0.25">
      <c r="A535" t="str">
        <f>HYPERLINK("https://elite.finviz.com/quote.ashx?t=COUR&amp;ty=c&amp;p=d&amp;b=1", "COUR")</f>
        <v>COUR</v>
      </c>
      <c r="B535">
        <v>7</v>
      </c>
      <c r="C535">
        <v>138.38</v>
      </c>
      <c r="D535">
        <v>55.3</v>
      </c>
      <c r="E535" t="s">
        <v>9326</v>
      </c>
      <c r="F535" t="s">
        <v>67</v>
      </c>
      <c r="G535" t="s">
        <v>2244</v>
      </c>
      <c r="H535" t="s">
        <v>2483</v>
      </c>
      <c r="I535" t="s">
        <v>70</v>
      </c>
      <c r="J535" t="s">
        <v>71</v>
      </c>
      <c r="K535">
        <v>1916.1</v>
      </c>
      <c r="L535">
        <v>11.7</v>
      </c>
      <c r="M535" t="s">
        <v>5036</v>
      </c>
      <c r="N535">
        <v>203373</v>
      </c>
      <c r="P535">
        <v>26.12</v>
      </c>
      <c r="R535">
        <v>2.66</v>
      </c>
      <c r="S535">
        <v>3.05</v>
      </c>
      <c r="AA535">
        <v>-0.32</v>
      </c>
      <c r="AB535" t="s">
        <v>3427</v>
      </c>
      <c r="AC535" t="s">
        <v>5663</v>
      </c>
      <c r="AD535" t="s">
        <v>7055</v>
      </c>
      <c r="AE535" t="s">
        <v>2697</v>
      </c>
      <c r="AF535" t="s">
        <v>3168</v>
      </c>
      <c r="AG535" t="s">
        <v>9327</v>
      </c>
      <c r="AH535" t="s">
        <v>3793</v>
      </c>
      <c r="AI535" t="s">
        <v>4219</v>
      </c>
      <c r="AJ535" t="s">
        <v>174</v>
      </c>
      <c r="AK535" t="s">
        <v>9328</v>
      </c>
      <c r="AL535">
        <v>2.4900000000000002</v>
      </c>
      <c r="AM535">
        <v>2.4900000000000002</v>
      </c>
      <c r="AN535">
        <v>0</v>
      </c>
      <c r="AO535" t="s">
        <v>9329</v>
      </c>
      <c r="AP535" t="s">
        <v>9330</v>
      </c>
      <c r="AQ535" t="s">
        <v>7455</v>
      </c>
      <c r="AR535" t="s">
        <v>2624</v>
      </c>
      <c r="AS535" t="s">
        <v>3469</v>
      </c>
      <c r="AT535" t="s">
        <v>7154</v>
      </c>
      <c r="AU535" t="s">
        <v>7437</v>
      </c>
      <c r="AV535" t="s">
        <v>9331</v>
      </c>
      <c r="AW535" t="s">
        <v>9332</v>
      </c>
      <c r="AX535" t="s">
        <v>9333</v>
      </c>
      <c r="AY535" t="s">
        <v>9332</v>
      </c>
      <c r="AZ535" t="s">
        <v>9334</v>
      </c>
      <c r="BA535">
        <v>2.06</v>
      </c>
      <c r="BB535">
        <v>3129.52</v>
      </c>
      <c r="BC535">
        <v>0.23</v>
      </c>
      <c r="BD535">
        <v>11.62</v>
      </c>
      <c r="BE535">
        <v>11.76</v>
      </c>
      <c r="BF535">
        <v>11.63</v>
      </c>
      <c r="BG535" t="s">
        <v>9335</v>
      </c>
      <c r="BH535" t="s">
        <v>9336</v>
      </c>
      <c r="BI535" t="s">
        <v>9334</v>
      </c>
      <c r="BJ535" t="s">
        <v>101</v>
      </c>
      <c r="BK535" t="s">
        <v>9337</v>
      </c>
      <c r="BL535" t="s">
        <v>9338</v>
      </c>
      <c r="BM535" t="s">
        <v>9339</v>
      </c>
      <c r="BN535" t="s">
        <v>4063</v>
      </c>
    </row>
    <row r="536" spans="1:66" x14ac:dyDescent="0.25">
      <c r="A536" t="str">
        <f>HYPERLINK("https://elite.finviz.com/quote.ashx?t=AMRX&amp;ty=c&amp;p=d&amp;b=1", "AMRX")</f>
        <v>AMRX</v>
      </c>
      <c r="B536">
        <v>7</v>
      </c>
      <c r="C536">
        <v>138.38</v>
      </c>
      <c r="D536">
        <v>55.33</v>
      </c>
      <c r="E536" t="s">
        <v>9340</v>
      </c>
      <c r="F536" t="s">
        <v>67</v>
      </c>
      <c r="G536" t="s">
        <v>428</v>
      </c>
      <c r="H536" t="s">
        <v>1296</v>
      </c>
      <c r="I536" t="s">
        <v>70</v>
      </c>
      <c r="J536" t="s">
        <v>321</v>
      </c>
      <c r="K536">
        <v>3060.83</v>
      </c>
      <c r="L536">
        <v>9.75</v>
      </c>
      <c r="M536" t="s">
        <v>2145</v>
      </c>
      <c r="N536">
        <v>376550</v>
      </c>
      <c r="O536">
        <v>1522.72</v>
      </c>
      <c r="P536">
        <v>10.77</v>
      </c>
      <c r="Q536">
        <v>65.27</v>
      </c>
      <c r="R536">
        <v>1.07</v>
      </c>
      <c r="AA536">
        <v>0.01</v>
      </c>
      <c r="AC536" t="s">
        <v>9001</v>
      </c>
      <c r="AD536" t="s">
        <v>9341</v>
      </c>
      <c r="AE536" t="s">
        <v>9342</v>
      </c>
      <c r="AF536" t="s">
        <v>9123</v>
      </c>
      <c r="AG536" t="s">
        <v>6331</v>
      </c>
      <c r="AH536" t="s">
        <v>203</v>
      </c>
      <c r="AI536" t="s">
        <v>2681</v>
      </c>
      <c r="AJ536" t="s">
        <v>530</v>
      </c>
      <c r="AK536" t="s">
        <v>9343</v>
      </c>
      <c r="AL536">
        <v>1.43</v>
      </c>
      <c r="AM536">
        <v>0.88</v>
      </c>
      <c r="AO536" t="s">
        <v>7129</v>
      </c>
      <c r="AP536" t="s">
        <v>1055</v>
      </c>
      <c r="AQ536" t="s">
        <v>2275</v>
      </c>
      <c r="AR536" t="s">
        <v>5256</v>
      </c>
      <c r="AS536" t="s">
        <v>2643</v>
      </c>
      <c r="AT536" t="s">
        <v>171</v>
      </c>
      <c r="AU536" t="s">
        <v>3688</v>
      </c>
      <c r="AV536" t="s">
        <v>9344</v>
      </c>
      <c r="AW536" t="s">
        <v>8670</v>
      </c>
      <c r="AX536" t="s">
        <v>5022</v>
      </c>
      <c r="AY536" t="s">
        <v>8670</v>
      </c>
      <c r="AZ536" t="s">
        <v>9345</v>
      </c>
      <c r="BA536">
        <v>1</v>
      </c>
      <c r="BB536">
        <v>1601.4</v>
      </c>
      <c r="BC536">
        <v>0.83</v>
      </c>
      <c r="BD536">
        <v>9.6</v>
      </c>
      <c r="BE536">
        <v>9.8800000000000008</v>
      </c>
      <c r="BF536">
        <v>9.67</v>
      </c>
      <c r="BG536" t="s">
        <v>9346</v>
      </c>
      <c r="BH536" t="s">
        <v>9347</v>
      </c>
      <c r="BI536" t="s">
        <v>9348</v>
      </c>
      <c r="BJ536" t="s">
        <v>101</v>
      </c>
      <c r="BK536" t="s">
        <v>9349</v>
      </c>
      <c r="BL536" t="s">
        <v>9350</v>
      </c>
      <c r="BM536" t="s">
        <v>849</v>
      </c>
      <c r="BN536" t="s">
        <v>4063</v>
      </c>
    </row>
    <row r="537" spans="1:66" x14ac:dyDescent="0.25">
      <c r="A537" t="str">
        <f>HYPERLINK("https://elite.finviz.com/quote.ashx?t=GLXY&amp;ty=c&amp;p=d&amp;b=1", "GLXY")</f>
        <v>GLXY</v>
      </c>
      <c r="B537">
        <v>7</v>
      </c>
      <c r="C537">
        <v>138.38</v>
      </c>
      <c r="D537">
        <v>55.38</v>
      </c>
      <c r="E537" t="s">
        <v>9351</v>
      </c>
      <c r="F537" t="s">
        <v>107</v>
      </c>
      <c r="G537" t="s">
        <v>550</v>
      </c>
      <c r="H537" t="s">
        <v>551</v>
      </c>
      <c r="I537" t="s">
        <v>70</v>
      </c>
      <c r="J537" t="s">
        <v>321</v>
      </c>
      <c r="K537">
        <v>5445.02</v>
      </c>
      <c r="L537">
        <v>30.77</v>
      </c>
      <c r="M537" t="s">
        <v>2969</v>
      </c>
      <c r="N537">
        <v>3284410</v>
      </c>
      <c r="R537">
        <v>0.25</v>
      </c>
      <c r="S537">
        <v>3.48</v>
      </c>
      <c r="Z537" t="s">
        <v>164</v>
      </c>
      <c r="AA537">
        <v>-2.11</v>
      </c>
      <c r="AB537" t="s">
        <v>9352</v>
      </c>
      <c r="AI537" t="s">
        <v>164</v>
      </c>
      <c r="AJ537" t="s">
        <v>9353</v>
      </c>
      <c r="AK537" t="s">
        <v>9354</v>
      </c>
      <c r="AL537">
        <v>1.34</v>
      </c>
      <c r="AM537">
        <v>1.34</v>
      </c>
      <c r="AN537">
        <v>2.6</v>
      </c>
      <c r="AO537" t="s">
        <v>5258</v>
      </c>
      <c r="AP537" t="s">
        <v>5036</v>
      </c>
      <c r="AQ537" t="s">
        <v>4879</v>
      </c>
      <c r="AR537" t="s">
        <v>4114</v>
      </c>
      <c r="AS537" t="s">
        <v>4999</v>
      </c>
      <c r="AT537" t="s">
        <v>7767</v>
      </c>
      <c r="AU537" t="s">
        <v>1064</v>
      </c>
      <c r="AV537" t="s">
        <v>9355</v>
      </c>
      <c r="AW537" t="s">
        <v>3977</v>
      </c>
      <c r="AX537" t="s">
        <v>7328</v>
      </c>
      <c r="AY537" t="s">
        <v>3977</v>
      </c>
      <c r="AZ537" t="s">
        <v>9356</v>
      </c>
      <c r="BA537">
        <v>1.1499999999999999</v>
      </c>
      <c r="BB537">
        <v>8842.16</v>
      </c>
      <c r="BC537">
        <v>1.31</v>
      </c>
      <c r="BD537">
        <v>32.119999999999997</v>
      </c>
      <c r="BE537">
        <v>32.22</v>
      </c>
      <c r="BF537">
        <v>29.71</v>
      </c>
      <c r="BG537" t="s">
        <v>9357</v>
      </c>
      <c r="BH537" t="s">
        <v>9358</v>
      </c>
      <c r="BI537" t="s">
        <v>9359</v>
      </c>
      <c r="BJ537" t="s">
        <v>101</v>
      </c>
      <c r="BK537" t="s">
        <v>9360</v>
      </c>
      <c r="BL537" t="s">
        <v>9361</v>
      </c>
      <c r="BM537" t="s">
        <v>9362</v>
      </c>
      <c r="BN537" t="s">
        <v>4063</v>
      </c>
    </row>
    <row r="538" spans="1:66" x14ac:dyDescent="0.25">
      <c r="A538" t="str">
        <f>HYPERLINK("https://elite.finviz.com/quote.ashx?t=VIR&amp;ty=c&amp;p=d&amp;b=1", "VIR")</f>
        <v>VIR</v>
      </c>
      <c r="B538">
        <v>7</v>
      </c>
      <c r="C538">
        <v>138.38</v>
      </c>
      <c r="D538">
        <v>55.43</v>
      </c>
      <c r="E538" t="s">
        <v>9363</v>
      </c>
      <c r="F538" t="s">
        <v>67</v>
      </c>
      <c r="G538" t="s">
        <v>428</v>
      </c>
      <c r="H538" t="s">
        <v>429</v>
      </c>
      <c r="I538" t="s">
        <v>70</v>
      </c>
      <c r="J538" t="s">
        <v>321</v>
      </c>
      <c r="K538">
        <v>730.01</v>
      </c>
      <c r="L538">
        <v>5.26</v>
      </c>
      <c r="M538" t="s">
        <v>907</v>
      </c>
      <c r="N538">
        <v>268366</v>
      </c>
      <c r="R538">
        <v>38.42</v>
      </c>
      <c r="S538">
        <v>0.77</v>
      </c>
      <c r="AA538">
        <v>-4.01</v>
      </c>
      <c r="AC538" t="s">
        <v>9364</v>
      </c>
      <c r="AD538" t="s">
        <v>4640</v>
      </c>
      <c r="AE538" t="s">
        <v>9365</v>
      </c>
      <c r="AF538" t="s">
        <v>9366</v>
      </c>
      <c r="AG538" t="s">
        <v>9367</v>
      </c>
      <c r="AH538" t="s">
        <v>9368</v>
      </c>
      <c r="AI538" t="s">
        <v>4438</v>
      </c>
      <c r="AJ538" t="s">
        <v>124</v>
      </c>
      <c r="AK538" t="s">
        <v>9369</v>
      </c>
      <c r="AL538">
        <v>7.01</v>
      </c>
      <c r="AM538">
        <v>7.01</v>
      </c>
      <c r="AN538">
        <v>0.11</v>
      </c>
      <c r="AO538" t="s">
        <v>9370</v>
      </c>
      <c r="AP538" t="s">
        <v>9371</v>
      </c>
      <c r="AQ538" t="s">
        <v>9372</v>
      </c>
      <c r="AR538" t="s">
        <v>2810</v>
      </c>
      <c r="AS538" t="s">
        <v>3148</v>
      </c>
      <c r="AT538" t="s">
        <v>4800</v>
      </c>
      <c r="AU538" t="s">
        <v>6404</v>
      </c>
      <c r="AV538" t="s">
        <v>557</v>
      </c>
      <c r="AW538" t="s">
        <v>6977</v>
      </c>
      <c r="AX538" t="s">
        <v>9373</v>
      </c>
      <c r="AY538" t="s">
        <v>9374</v>
      </c>
      <c r="AZ538" t="s">
        <v>9373</v>
      </c>
      <c r="BA538">
        <v>1.2</v>
      </c>
      <c r="BB538">
        <v>1254.81</v>
      </c>
      <c r="BC538">
        <v>0.75</v>
      </c>
      <c r="BD538">
        <v>5.18</v>
      </c>
      <c r="BE538">
        <v>5.29</v>
      </c>
      <c r="BF538">
        <v>5.15</v>
      </c>
      <c r="BG538" t="s">
        <v>9375</v>
      </c>
      <c r="BH538" t="s">
        <v>9376</v>
      </c>
      <c r="BI538" t="s">
        <v>9373</v>
      </c>
      <c r="BJ538" t="s">
        <v>101</v>
      </c>
      <c r="BK538" t="s">
        <v>3487</v>
      </c>
      <c r="BL538" t="s">
        <v>9377</v>
      </c>
      <c r="BM538" t="s">
        <v>9378</v>
      </c>
      <c r="BN538" t="s">
        <v>4063</v>
      </c>
    </row>
    <row r="539" spans="1:66" x14ac:dyDescent="0.25">
      <c r="A539" t="str">
        <f>HYPERLINK("https://elite.finviz.com/quote.ashx?t=AMSC&amp;ty=c&amp;p=d&amp;b=1", "AMSC")</f>
        <v>AMSC</v>
      </c>
      <c r="B539">
        <v>7</v>
      </c>
      <c r="C539">
        <v>138.38</v>
      </c>
      <c r="D539">
        <v>55.45</v>
      </c>
      <c r="E539" t="s">
        <v>9379</v>
      </c>
      <c r="F539" t="s">
        <v>67</v>
      </c>
      <c r="G539" t="s">
        <v>260</v>
      </c>
      <c r="H539" t="s">
        <v>261</v>
      </c>
      <c r="I539" t="s">
        <v>70</v>
      </c>
      <c r="J539" t="s">
        <v>321</v>
      </c>
      <c r="K539">
        <v>2619.56</v>
      </c>
      <c r="L539">
        <v>58.01</v>
      </c>
      <c r="M539" t="s">
        <v>1324</v>
      </c>
      <c r="N539">
        <v>206536</v>
      </c>
      <c r="O539">
        <v>146.88999999999999</v>
      </c>
      <c r="P539">
        <v>68.239999999999995</v>
      </c>
      <c r="Q539">
        <v>7.29</v>
      </c>
      <c r="R539">
        <v>10.28</v>
      </c>
      <c r="S539">
        <v>7.86</v>
      </c>
      <c r="Z539" t="s">
        <v>164</v>
      </c>
      <c r="AA539">
        <v>0.39</v>
      </c>
      <c r="AD539" t="s">
        <v>718</v>
      </c>
      <c r="AE539" t="s">
        <v>9380</v>
      </c>
      <c r="AF539" t="s">
        <v>9381</v>
      </c>
      <c r="AG539" t="s">
        <v>1670</v>
      </c>
      <c r="AH539" t="s">
        <v>9382</v>
      </c>
      <c r="AI539" t="s">
        <v>9383</v>
      </c>
      <c r="AJ539" t="s">
        <v>9384</v>
      </c>
      <c r="AK539" t="s">
        <v>9385</v>
      </c>
      <c r="AL539">
        <v>3.31</v>
      </c>
      <c r="AM539">
        <v>2.63</v>
      </c>
      <c r="AN539">
        <v>0.01</v>
      </c>
      <c r="AO539" t="s">
        <v>9386</v>
      </c>
      <c r="AP539" t="s">
        <v>4269</v>
      </c>
      <c r="AQ539" t="s">
        <v>3601</v>
      </c>
      <c r="AR539" t="s">
        <v>2446</v>
      </c>
      <c r="AS539" t="s">
        <v>229</v>
      </c>
      <c r="AT539" t="s">
        <v>5907</v>
      </c>
      <c r="AU539" t="s">
        <v>9387</v>
      </c>
      <c r="AV539" t="s">
        <v>9388</v>
      </c>
      <c r="AW539" t="s">
        <v>3239</v>
      </c>
      <c r="AX539" t="s">
        <v>9389</v>
      </c>
      <c r="AY539" t="s">
        <v>3239</v>
      </c>
      <c r="AZ539" t="s">
        <v>9390</v>
      </c>
      <c r="BA539">
        <v>1.5</v>
      </c>
      <c r="BB539">
        <v>1180.22</v>
      </c>
      <c r="BC539">
        <v>0.62</v>
      </c>
      <c r="BD539">
        <v>57.96</v>
      </c>
      <c r="BE539">
        <v>59.55</v>
      </c>
      <c r="BF539">
        <v>57.66</v>
      </c>
      <c r="BG539" t="s">
        <v>9391</v>
      </c>
      <c r="BH539" t="s">
        <v>9392</v>
      </c>
      <c r="BI539" t="s">
        <v>9393</v>
      </c>
      <c r="BJ539" t="s">
        <v>101</v>
      </c>
      <c r="BK539" t="s">
        <v>9394</v>
      </c>
      <c r="BL539" t="s">
        <v>9395</v>
      </c>
      <c r="BM539" t="s">
        <v>9396</v>
      </c>
      <c r="BN539" t="s">
        <v>4063</v>
      </c>
    </row>
    <row r="540" spans="1:66" x14ac:dyDescent="0.25">
      <c r="A540" t="str">
        <f>HYPERLINK("https://elite.finviz.com/quote.ashx?t=FOLD&amp;ty=c&amp;p=d&amp;b=1", "FOLD")</f>
        <v>FOLD</v>
      </c>
      <c r="B540">
        <v>7</v>
      </c>
      <c r="C540">
        <v>138.38</v>
      </c>
      <c r="D540">
        <v>55.46</v>
      </c>
      <c r="E540" t="s">
        <v>9397</v>
      </c>
      <c r="F540" t="s">
        <v>67</v>
      </c>
      <c r="G540" t="s">
        <v>428</v>
      </c>
      <c r="H540" t="s">
        <v>429</v>
      </c>
      <c r="I540" t="s">
        <v>70</v>
      </c>
      <c r="J540" t="s">
        <v>321</v>
      </c>
      <c r="K540">
        <v>2501.67</v>
      </c>
      <c r="L540">
        <v>8.1199999999999992</v>
      </c>
      <c r="M540" t="s">
        <v>7332</v>
      </c>
      <c r="N540">
        <v>822732</v>
      </c>
      <c r="P540">
        <v>27.37</v>
      </c>
      <c r="R540">
        <v>4.38</v>
      </c>
      <c r="S540">
        <v>12.24</v>
      </c>
      <c r="AA540">
        <v>-0.12</v>
      </c>
      <c r="AB540" t="s">
        <v>9398</v>
      </c>
      <c r="AC540" t="s">
        <v>4200</v>
      </c>
      <c r="AE540" t="s">
        <v>9399</v>
      </c>
      <c r="AF540" t="s">
        <v>1667</v>
      </c>
      <c r="AG540" t="s">
        <v>2465</v>
      </c>
      <c r="AH540" t="s">
        <v>7501</v>
      </c>
      <c r="AI540" t="s">
        <v>4224</v>
      </c>
      <c r="AJ540" t="s">
        <v>164</v>
      </c>
      <c r="AK540" t="s">
        <v>9400</v>
      </c>
      <c r="AL540">
        <v>3.21</v>
      </c>
      <c r="AM540">
        <v>2.29</v>
      </c>
      <c r="AN540">
        <v>2.17</v>
      </c>
      <c r="AO540" t="s">
        <v>9401</v>
      </c>
      <c r="AP540" t="s">
        <v>5026</v>
      </c>
      <c r="AQ540" t="s">
        <v>6253</v>
      </c>
      <c r="AR540" t="s">
        <v>3519</v>
      </c>
      <c r="AS540" t="s">
        <v>2764</v>
      </c>
      <c r="AT540" t="s">
        <v>3047</v>
      </c>
      <c r="AU540" t="s">
        <v>5248</v>
      </c>
      <c r="AV540" t="s">
        <v>5685</v>
      </c>
      <c r="AW540" t="s">
        <v>2594</v>
      </c>
      <c r="AX540" t="s">
        <v>9402</v>
      </c>
      <c r="AY540" t="s">
        <v>9403</v>
      </c>
      <c r="AZ540" t="s">
        <v>9404</v>
      </c>
      <c r="BA540">
        <v>1.17</v>
      </c>
      <c r="BB540">
        <v>4434.8500000000004</v>
      </c>
      <c r="BC540">
        <v>0.65</v>
      </c>
      <c r="BD540">
        <v>8.32</v>
      </c>
      <c r="BE540">
        <v>8.35</v>
      </c>
      <c r="BF540">
        <v>8.07</v>
      </c>
      <c r="BG540" t="s">
        <v>9405</v>
      </c>
      <c r="BH540" t="s">
        <v>9406</v>
      </c>
      <c r="BI540" t="s">
        <v>9407</v>
      </c>
      <c r="BJ540" t="s">
        <v>101</v>
      </c>
      <c r="BK540" t="s">
        <v>9408</v>
      </c>
      <c r="BL540" t="s">
        <v>8346</v>
      </c>
      <c r="BM540" t="s">
        <v>9409</v>
      </c>
      <c r="BN540" t="s">
        <v>4063</v>
      </c>
    </row>
    <row r="541" spans="1:66" x14ac:dyDescent="0.25">
      <c r="A541" t="str">
        <f>HYPERLINK("https://elite.finviz.com/quote.ashx?t=POR&amp;ty=c&amp;p=d&amp;b=1", "POR")</f>
        <v>POR</v>
      </c>
      <c r="B541">
        <v>7</v>
      </c>
      <c r="C541">
        <v>138.38</v>
      </c>
      <c r="D541">
        <v>55.53</v>
      </c>
      <c r="E541" t="s">
        <v>9410</v>
      </c>
      <c r="F541" t="s">
        <v>67</v>
      </c>
      <c r="G541" t="s">
        <v>287</v>
      </c>
      <c r="H541" t="s">
        <v>676</v>
      </c>
      <c r="I541" t="s">
        <v>70</v>
      </c>
      <c r="J541" t="s">
        <v>71</v>
      </c>
      <c r="K541">
        <v>4729.8100000000004</v>
      </c>
      <c r="L541">
        <v>43.17</v>
      </c>
      <c r="M541" t="s">
        <v>4902</v>
      </c>
      <c r="N541">
        <v>103310</v>
      </c>
      <c r="O541">
        <v>15.84</v>
      </c>
      <c r="P541">
        <v>12.75</v>
      </c>
      <c r="Q541">
        <v>4.09</v>
      </c>
      <c r="R541">
        <v>1.45</v>
      </c>
      <c r="S541">
        <v>1.23</v>
      </c>
      <c r="T541" t="s">
        <v>3545</v>
      </c>
      <c r="U541">
        <v>2.0499999999999998</v>
      </c>
      <c r="V541" t="s">
        <v>2651</v>
      </c>
      <c r="W541" t="s">
        <v>3054</v>
      </c>
      <c r="X541" t="s">
        <v>2542</v>
      </c>
      <c r="Y541" t="s">
        <v>5591</v>
      </c>
      <c r="Z541" t="s">
        <v>9411</v>
      </c>
      <c r="AA541">
        <v>2.73</v>
      </c>
      <c r="AB541" t="s">
        <v>2522</v>
      </c>
      <c r="AC541" t="s">
        <v>2523</v>
      </c>
      <c r="AD541" t="s">
        <v>3170</v>
      </c>
      <c r="AE541" t="s">
        <v>5653</v>
      </c>
      <c r="AF541" t="s">
        <v>5841</v>
      </c>
      <c r="AG541" t="s">
        <v>2000</v>
      </c>
      <c r="AH541" t="s">
        <v>1243</v>
      </c>
      <c r="AI541" t="s">
        <v>122</v>
      </c>
      <c r="AJ541" t="s">
        <v>9412</v>
      </c>
      <c r="AK541" t="s">
        <v>9413</v>
      </c>
      <c r="AL541">
        <v>0.97</v>
      </c>
      <c r="AM541">
        <v>0.84</v>
      </c>
      <c r="AN541">
        <v>1.31</v>
      </c>
      <c r="AO541" t="s">
        <v>5538</v>
      </c>
      <c r="AP541" t="s">
        <v>5127</v>
      </c>
      <c r="AQ541" t="s">
        <v>2984</v>
      </c>
      <c r="AR541" t="s">
        <v>4280</v>
      </c>
      <c r="AS541" t="s">
        <v>3024</v>
      </c>
      <c r="AT541" t="s">
        <v>6478</v>
      </c>
      <c r="AU541" t="s">
        <v>4839</v>
      </c>
      <c r="AV541" t="s">
        <v>7338</v>
      </c>
      <c r="AW541" t="s">
        <v>9075</v>
      </c>
      <c r="AX541" t="s">
        <v>191</v>
      </c>
      <c r="AY541" t="s">
        <v>9414</v>
      </c>
      <c r="AZ541" t="s">
        <v>2559</v>
      </c>
      <c r="BA541">
        <v>2.46</v>
      </c>
      <c r="BB541">
        <v>1233.9100000000001</v>
      </c>
      <c r="BC541">
        <v>0.28999999999999998</v>
      </c>
      <c r="BD541">
        <v>42.69</v>
      </c>
      <c r="BE541">
        <v>43.36</v>
      </c>
      <c r="BF541">
        <v>42.78</v>
      </c>
      <c r="BG541" t="s">
        <v>9415</v>
      </c>
      <c r="BH541" t="s">
        <v>8509</v>
      </c>
      <c r="BI541" t="s">
        <v>9416</v>
      </c>
      <c r="BJ541" t="s">
        <v>101</v>
      </c>
      <c r="BK541" t="s">
        <v>5739</v>
      </c>
      <c r="BL541" t="s">
        <v>4953</v>
      </c>
      <c r="BM541" t="s">
        <v>9417</v>
      </c>
      <c r="BN541" t="s">
        <v>4063</v>
      </c>
    </row>
    <row r="542" spans="1:66" x14ac:dyDescent="0.25">
      <c r="A542" t="str">
        <f>HYPERLINK("https://elite.finviz.com/quote.ashx?t=ASTS&amp;ty=c&amp;p=d&amp;b=1", "ASTS")</f>
        <v>ASTS</v>
      </c>
      <c r="B542">
        <v>7</v>
      </c>
      <c r="C542">
        <v>138.38</v>
      </c>
      <c r="D542">
        <v>55.6</v>
      </c>
      <c r="E542" t="s">
        <v>9418</v>
      </c>
      <c r="F542" t="s">
        <v>107</v>
      </c>
      <c r="G542" t="s">
        <v>108</v>
      </c>
      <c r="H542" t="s">
        <v>1921</v>
      </c>
      <c r="I542" t="s">
        <v>70</v>
      </c>
      <c r="J542" t="s">
        <v>321</v>
      </c>
      <c r="K542">
        <v>17570.97</v>
      </c>
      <c r="L542">
        <v>49.01</v>
      </c>
      <c r="M542" t="s">
        <v>1226</v>
      </c>
      <c r="N542">
        <v>2978581</v>
      </c>
      <c r="R542">
        <v>3593.25</v>
      </c>
      <c r="S542">
        <v>14.15</v>
      </c>
      <c r="AA542">
        <v>-1.9</v>
      </c>
      <c r="AB542" t="s">
        <v>9419</v>
      </c>
      <c r="AC542" t="s">
        <v>9420</v>
      </c>
      <c r="AE542" t="s">
        <v>3692</v>
      </c>
      <c r="AF542" t="s">
        <v>9421</v>
      </c>
      <c r="AH542" t="s">
        <v>9422</v>
      </c>
      <c r="AI542" t="s">
        <v>9423</v>
      </c>
      <c r="AJ542" t="s">
        <v>2760</v>
      </c>
      <c r="AK542" t="s">
        <v>4449</v>
      </c>
      <c r="AL542">
        <v>8.23</v>
      </c>
      <c r="AM542">
        <v>8.23</v>
      </c>
      <c r="AN542">
        <v>0.57999999999999996</v>
      </c>
      <c r="AO542" t="s">
        <v>9424</v>
      </c>
      <c r="AP542" t="s">
        <v>9425</v>
      </c>
      <c r="AQ542" t="s">
        <v>9426</v>
      </c>
      <c r="AR542" t="s">
        <v>1066</v>
      </c>
      <c r="AS542" t="s">
        <v>661</v>
      </c>
      <c r="AT542" t="s">
        <v>249</v>
      </c>
      <c r="AU542" t="s">
        <v>3976</v>
      </c>
      <c r="AV542" t="s">
        <v>9427</v>
      </c>
      <c r="AW542" t="s">
        <v>3386</v>
      </c>
      <c r="AX542" t="s">
        <v>9428</v>
      </c>
      <c r="AY542" t="s">
        <v>3386</v>
      </c>
      <c r="AZ542" t="s">
        <v>9429</v>
      </c>
      <c r="BA542">
        <v>2</v>
      </c>
      <c r="BB542">
        <v>10834.2</v>
      </c>
      <c r="BC542">
        <v>0.97</v>
      </c>
      <c r="BD542">
        <v>49.39</v>
      </c>
      <c r="BE542">
        <v>50.64</v>
      </c>
      <c r="BF542">
        <v>48.11</v>
      </c>
      <c r="BG542" t="s">
        <v>9430</v>
      </c>
      <c r="BH542" t="s">
        <v>3386</v>
      </c>
      <c r="BI542" t="s">
        <v>9431</v>
      </c>
      <c r="BJ542" t="s">
        <v>101</v>
      </c>
      <c r="BK542" t="s">
        <v>4203</v>
      </c>
      <c r="BL542" t="s">
        <v>9432</v>
      </c>
      <c r="BM542" t="s">
        <v>9433</v>
      </c>
      <c r="BN542" t="s">
        <v>4063</v>
      </c>
    </row>
    <row r="543" spans="1:66" x14ac:dyDescent="0.25">
      <c r="A543" t="str">
        <f>HYPERLINK("https://elite.finviz.com/quote.ashx?t=FOXA&amp;ty=c&amp;p=d&amp;b=1", "FOXA")</f>
        <v>FOXA</v>
      </c>
      <c r="B543">
        <v>7</v>
      </c>
      <c r="C543">
        <v>138.38</v>
      </c>
      <c r="D543">
        <v>55.61</v>
      </c>
      <c r="E543" t="s">
        <v>9251</v>
      </c>
      <c r="F543" t="s">
        <v>195</v>
      </c>
      <c r="G543" t="s">
        <v>598</v>
      </c>
      <c r="H543" t="s">
        <v>4247</v>
      </c>
      <c r="I543" t="s">
        <v>70</v>
      </c>
      <c r="J543" t="s">
        <v>321</v>
      </c>
      <c r="K543">
        <v>25771.41</v>
      </c>
      <c r="L543">
        <v>60.93</v>
      </c>
      <c r="M543" t="s">
        <v>5166</v>
      </c>
      <c r="N543">
        <v>566282</v>
      </c>
      <c r="O543">
        <v>12.41</v>
      </c>
      <c r="P543">
        <v>12.59</v>
      </c>
      <c r="R543">
        <v>1.58</v>
      </c>
      <c r="S543">
        <v>2.27</v>
      </c>
      <c r="T543" t="s">
        <v>2864</v>
      </c>
      <c r="U543">
        <v>0.55000000000000004</v>
      </c>
      <c r="V543" t="s">
        <v>7315</v>
      </c>
      <c r="W543" t="s">
        <v>4324</v>
      </c>
      <c r="X543" t="s">
        <v>3433</v>
      </c>
      <c r="Y543" t="s">
        <v>4499</v>
      </c>
      <c r="Z543" t="s">
        <v>5265</v>
      </c>
      <c r="AA543">
        <v>4.91</v>
      </c>
      <c r="AB543" t="s">
        <v>3273</v>
      </c>
      <c r="AC543" t="s">
        <v>5705</v>
      </c>
      <c r="AD543" t="s">
        <v>4963</v>
      </c>
      <c r="AE543" t="s">
        <v>6799</v>
      </c>
      <c r="AF543" t="s">
        <v>8966</v>
      </c>
      <c r="AG543" t="s">
        <v>2932</v>
      </c>
      <c r="AH543" t="s">
        <v>3148</v>
      </c>
      <c r="AI543" t="s">
        <v>9434</v>
      </c>
      <c r="AJ543" t="s">
        <v>9435</v>
      </c>
      <c r="AK543" t="s">
        <v>8289</v>
      </c>
      <c r="AL543">
        <v>2.91</v>
      </c>
      <c r="AM543">
        <v>2.76</v>
      </c>
      <c r="AN543">
        <v>0.62</v>
      </c>
      <c r="AO543" t="s">
        <v>9252</v>
      </c>
      <c r="AP543" t="s">
        <v>5759</v>
      </c>
      <c r="AQ543" t="s">
        <v>9253</v>
      </c>
      <c r="AR543" t="s">
        <v>4547</v>
      </c>
      <c r="AS543" t="s">
        <v>4800</v>
      </c>
      <c r="AT543" t="s">
        <v>4275</v>
      </c>
      <c r="AU543" t="s">
        <v>215</v>
      </c>
      <c r="AV543" t="s">
        <v>6124</v>
      </c>
      <c r="AW543" t="s">
        <v>79</v>
      </c>
      <c r="AX543" t="s">
        <v>536</v>
      </c>
      <c r="AY543" t="s">
        <v>79</v>
      </c>
      <c r="AZ543" t="s">
        <v>9436</v>
      </c>
      <c r="BA543">
        <v>2.27</v>
      </c>
      <c r="BB543">
        <v>3617.57</v>
      </c>
      <c r="BC543">
        <v>0.55000000000000004</v>
      </c>
      <c r="BD543">
        <v>60.23</v>
      </c>
      <c r="BE543">
        <v>61.3</v>
      </c>
      <c r="BF543">
        <v>60.58</v>
      </c>
      <c r="BG543" t="s">
        <v>9437</v>
      </c>
      <c r="BH543" t="s">
        <v>79</v>
      </c>
      <c r="BI543" t="s">
        <v>9438</v>
      </c>
      <c r="BJ543" t="s">
        <v>101</v>
      </c>
      <c r="BK543" t="s">
        <v>5319</v>
      </c>
      <c r="BL543" t="s">
        <v>2514</v>
      </c>
      <c r="BM543" t="s">
        <v>4030</v>
      </c>
      <c r="BN543" t="s">
        <v>4063</v>
      </c>
    </row>
    <row r="544" spans="1:66" x14ac:dyDescent="0.25">
      <c r="A544" t="str">
        <f>HYPERLINK("https://elite.finviz.com/quote.ashx?t=ABUS&amp;ty=c&amp;p=d&amp;b=1", "ABUS")</f>
        <v>ABUS</v>
      </c>
      <c r="B544">
        <v>7</v>
      </c>
      <c r="C544">
        <v>138.38</v>
      </c>
      <c r="D544">
        <v>55.64</v>
      </c>
      <c r="E544" t="s">
        <v>9439</v>
      </c>
      <c r="F544" t="s">
        <v>67</v>
      </c>
      <c r="G544" t="s">
        <v>428</v>
      </c>
      <c r="H544" t="s">
        <v>429</v>
      </c>
      <c r="I544" t="s">
        <v>70</v>
      </c>
      <c r="J544" t="s">
        <v>321</v>
      </c>
      <c r="K544">
        <v>825.46</v>
      </c>
      <c r="L544">
        <v>4.3099999999999996</v>
      </c>
      <c r="M544" t="s">
        <v>386</v>
      </c>
      <c r="N544">
        <v>81515</v>
      </c>
      <c r="R544">
        <v>53.53</v>
      </c>
      <c r="S544">
        <v>9.9499999999999993</v>
      </c>
      <c r="AA544">
        <v>-0.28999999999999998</v>
      </c>
      <c r="AB544" t="s">
        <v>9440</v>
      </c>
      <c r="AC544" t="s">
        <v>9441</v>
      </c>
      <c r="AE544" t="s">
        <v>9442</v>
      </c>
      <c r="AF544" t="s">
        <v>9443</v>
      </c>
      <c r="AG544" t="s">
        <v>2362</v>
      </c>
      <c r="AH544" t="s">
        <v>9444</v>
      </c>
      <c r="AI544" t="s">
        <v>9445</v>
      </c>
      <c r="AJ544" t="s">
        <v>164</v>
      </c>
      <c r="AK544" t="s">
        <v>6045</v>
      </c>
      <c r="AL544">
        <v>20.53</v>
      </c>
      <c r="AM544">
        <v>20.53</v>
      </c>
      <c r="AN544">
        <v>0.06</v>
      </c>
      <c r="AO544" t="s">
        <v>9446</v>
      </c>
      <c r="AP544" t="s">
        <v>9447</v>
      </c>
      <c r="AQ544" t="s">
        <v>9448</v>
      </c>
      <c r="AR544" t="s">
        <v>2647</v>
      </c>
      <c r="AS544" t="s">
        <v>5090</v>
      </c>
      <c r="AT544" t="s">
        <v>2215</v>
      </c>
      <c r="AU544" t="s">
        <v>7724</v>
      </c>
      <c r="AV544" t="s">
        <v>1956</v>
      </c>
      <c r="AW544" t="s">
        <v>6734</v>
      </c>
      <c r="AX544" t="s">
        <v>9449</v>
      </c>
      <c r="AY544" t="s">
        <v>6734</v>
      </c>
      <c r="AZ544" t="s">
        <v>9450</v>
      </c>
      <c r="BA544">
        <v>1.5</v>
      </c>
      <c r="BB544">
        <v>1058.19</v>
      </c>
      <c r="BC544">
        <v>0.27</v>
      </c>
      <c r="BD544">
        <v>4.32</v>
      </c>
      <c r="BE544">
        <v>4.3099999999999996</v>
      </c>
      <c r="BF544">
        <v>4.25</v>
      </c>
      <c r="BG544" t="s">
        <v>9451</v>
      </c>
      <c r="BH544" t="s">
        <v>9452</v>
      </c>
      <c r="BI544" t="s">
        <v>9453</v>
      </c>
      <c r="BJ544" t="s">
        <v>101</v>
      </c>
      <c r="BK544" t="s">
        <v>6059</v>
      </c>
      <c r="BL544" t="s">
        <v>9454</v>
      </c>
      <c r="BM544" t="s">
        <v>274</v>
      </c>
      <c r="BN544" t="s">
        <v>4063</v>
      </c>
    </row>
    <row r="545" spans="1:66" x14ac:dyDescent="0.25">
      <c r="A545" t="str">
        <f>HYPERLINK("https://elite.finviz.com/quote.ashx?t=PII&amp;ty=c&amp;p=d&amp;b=1", "PII")</f>
        <v>PII</v>
      </c>
      <c r="B545">
        <v>7</v>
      </c>
      <c r="C545">
        <v>138.38</v>
      </c>
      <c r="D545">
        <v>55.65</v>
      </c>
      <c r="E545" t="s">
        <v>9455</v>
      </c>
      <c r="F545" t="s">
        <v>67</v>
      </c>
      <c r="G545" t="s">
        <v>813</v>
      </c>
      <c r="H545" t="s">
        <v>5716</v>
      </c>
      <c r="I545" t="s">
        <v>70</v>
      </c>
      <c r="J545" t="s">
        <v>71</v>
      </c>
      <c r="K545">
        <v>3270.92</v>
      </c>
      <c r="L545">
        <v>58.18</v>
      </c>
      <c r="M545" t="s">
        <v>2307</v>
      </c>
      <c r="N545">
        <v>118674</v>
      </c>
      <c r="P545">
        <v>57.54</v>
      </c>
      <c r="R545">
        <v>0.48</v>
      </c>
      <c r="S545">
        <v>2.76</v>
      </c>
      <c r="T545" t="s">
        <v>247</v>
      </c>
      <c r="U545">
        <v>2.67</v>
      </c>
      <c r="V545" t="s">
        <v>2187</v>
      </c>
      <c r="W545" t="s">
        <v>2572</v>
      </c>
      <c r="X545" t="s">
        <v>192</v>
      </c>
      <c r="Y545" t="s">
        <v>2449</v>
      </c>
      <c r="Z545" t="s">
        <v>9456</v>
      </c>
      <c r="AA545">
        <v>-1.89</v>
      </c>
      <c r="AB545" t="s">
        <v>2009</v>
      </c>
      <c r="AC545" t="s">
        <v>1029</v>
      </c>
      <c r="AD545" t="s">
        <v>815</v>
      </c>
      <c r="AE545" t="s">
        <v>9457</v>
      </c>
      <c r="AF545" t="s">
        <v>609</v>
      </c>
      <c r="AG545" t="s">
        <v>273</v>
      </c>
      <c r="AH545" t="s">
        <v>7256</v>
      </c>
      <c r="AI545" t="s">
        <v>9458</v>
      </c>
      <c r="AJ545" t="s">
        <v>164</v>
      </c>
      <c r="AK545" t="s">
        <v>9459</v>
      </c>
      <c r="AL545">
        <v>1.04</v>
      </c>
      <c r="AM545">
        <v>0.37</v>
      </c>
      <c r="AN545">
        <v>1.65</v>
      </c>
      <c r="AO545" t="s">
        <v>9460</v>
      </c>
      <c r="AP545" t="s">
        <v>2881</v>
      </c>
      <c r="AQ545" t="s">
        <v>6614</v>
      </c>
      <c r="AR545" t="s">
        <v>5111</v>
      </c>
      <c r="AS545" t="s">
        <v>749</v>
      </c>
      <c r="AT545" t="s">
        <v>7388</v>
      </c>
      <c r="AU545" t="s">
        <v>3758</v>
      </c>
      <c r="AV545" t="s">
        <v>9461</v>
      </c>
      <c r="AW545" t="s">
        <v>2845</v>
      </c>
      <c r="AX545" t="s">
        <v>7897</v>
      </c>
      <c r="AY545" t="s">
        <v>9462</v>
      </c>
      <c r="AZ545" t="s">
        <v>9463</v>
      </c>
      <c r="BA545">
        <v>3</v>
      </c>
      <c r="BB545">
        <v>1584.58</v>
      </c>
      <c r="BC545">
        <v>0.26</v>
      </c>
      <c r="BD545">
        <v>57.03</v>
      </c>
      <c r="BE545">
        <v>58.31</v>
      </c>
      <c r="BF545">
        <v>56.98</v>
      </c>
      <c r="BG545" t="s">
        <v>9464</v>
      </c>
      <c r="BH545" t="s">
        <v>9465</v>
      </c>
      <c r="BI545" t="s">
        <v>9466</v>
      </c>
      <c r="BJ545" t="s">
        <v>101</v>
      </c>
      <c r="BK545" t="s">
        <v>9467</v>
      </c>
      <c r="BL545" t="s">
        <v>9468</v>
      </c>
      <c r="BM545" t="s">
        <v>9469</v>
      </c>
      <c r="BN545" t="s">
        <v>4063</v>
      </c>
    </row>
    <row r="546" spans="1:66" x14ac:dyDescent="0.25">
      <c r="A546" t="str">
        <f>HYPERLINK("https://elite.finviz.com/quote.ashx?t=CNP&amp;ty=c&amp;p=d&amp;b=1", "CNP")</f>
        <v>CNP</v>
      </c>
      <c r="B546">
        <v>7</v>
      </c>
      <c r="C546">
        <v>138.38</v>
      </c>
      <c r="D546">
        <v>55.67</v>
      </c>
      <c r="E546" t="s">
        <v>9470</v>
      </c>
      <c r="F546" t="s">
        <v>195</v>
      </c>
      <c r="G546" t="s">
        <v>287</v>
      </c>
      <c r="H546" t="s">
        <v>676</v>
      </c>
      <c r="I546" t="s">
        <v>70</v>
      </c>
      <c r="J546" t="s">
        <v>71</v>
      </c>
      <c r="K546">
        <v>25164.67</v>
      </c>
      <c r="L546">
        <v>38.54</v>
      </c>
      <c r="M546" t="s">
        <v>306</v>
      </c>
      <c r="N546">
        <v>771388</v>
      </c>
      <c r="O546">
        <v>26.86</v>
      </c>
      <c r="P546">
        <v>20.27</v>
      </c>
      <c r="Q546">
        <v>3.12</v>
      </c>
      <c r="R546">
        <v>2.8</v>
      </c>
      <c r="S546">
        <v>2.2799999999999998</v>
      </c>
      <c r="T546" t="s">
        <v>1599</v>
      </c>
      <c r="U546">
        <v>0.87</v>
      </c>
      <c r="V546" t="s">
        <v>5037</v>
      </c>
      <c r="W546" t="s">
        <v>5395</v>
      </c>
      <c r="X546" t="s">
        <v>438</v>
      </c>
      <c r="Y546" t="s">
        <v>9471</v>
      </c>
      <c r="Z546" t="s">
        <v>3583</v>
      </c>
      <c r="AA546">
        <v>1.43</v>
      </c>
      <c r="AB546" t="s">
        <v>9472</v>
      </c>
      <c r="AC546" t="s">
        <v>2941</v>
      </c>
      <c r="AD546" t="s">
        <v>863</v>
      </c>
      <c r="AE546" t="s">
        <v>5969</v>
      </c>
      <c r="AF546" t="s">
        <v>1488</v>
      </c>
      <c r="AG546" t="s">
        <v>4677</v>
      </c>
      <c r="AH546" t="s">
        <v>6151</v>
      </c>
      <c r="AI546" t="s">
        <v>7392</v>
      </c>
      <c r="AJ546" t="s">
        <v>4539</v>
      </c>
      <c r="AK546" t="s">
        <v>9473</v>
      </c>
      <c r="AL546">
        <v>0.79</v>
      </c>
      <c r="AM546">
        <v>0.61</v>
      </c>
      <c r="AN546">
        <v>2.0299999999999998</v>
      </c>
      <c r="AO546" t="s">
        <v>9474</v>
      </c>
      <c r="AP546" t="s">
        <v>7869</v>
      </c>
      <c r="AQ546" t="s">
        <v>9227</v>
      </c>
      <c r="AR546" t="s">
        <v>6990</v>
      </c>
      <c r="AS546" t="s">
        <v>2572</v>
      </c>
      <c r="AT546" t="s">
        <v>4280</v>
      </c>
      <c r="AU546" t="s">
        <v>273</v>
      </c>
      <c r="AV546" t="s">
        <v>2450</v>
      </c>
      <c r="AW546" t="s">
        <v>9475</v>
      </c>
      <c r="AX546" t="s">
        <v>578</v>
      </c>
      <c r="AY546" t="s">
        <v>9475</v>
      </c>
      <c r="AZ546" t="s">
        <v>9057</v>
      </c>
      <c r="BA546">
        <v>2.4700000000000002</v>
      </c>
      <c r="BB546">
        <v>5136.84</v>
      </c>
      <c r="BC546">
        <v>0.53</v>
      </c>
      <c r="BD546">
        <v>38.31</v>
      </c>
      <c r="BE546">
        <v>38.9</v>
      </c>
      <c r="BF546">
        <v>38.4</v>
      </c>
      <c r="BG546" t="s">
        <v>9476</v>
      </c>
      <c r="BH546" t="s">
        <v>7262</v>
      </c>
      <c r="BI546" t="s">
        <v>9477</v>
      </c>
      <c r="BJ546" t="s">
        <v>101</v>
      </c>
      <c r="BK546" t="s">
        <v>5152</v>
      </c>
      <c r="BL546" t="s">
        <v>9478</v>
      </c>
      <c r="BM546" t="s">
        <v>9479</v>
      </c>
      <c r="BN546" t="s">
        <v>4063</v>
      </c>
    </row>
    <row r="547" spans="1:66" x14ac:dyDescent="0.25">
      <c r="A547" t="str">
        <f>HYPERLINK("https://elite.finviz.com/quote.ashx?t=PTCT&amp;ty=c&amp;p=d&amp;b=1", "PTCT")</f>
        <v>PTCT</v>
      </c>
      <c r="B547">
        <v>7</v>
      </c>
      <c r="C547">
        <v>138.38</v>
      </c>
      <c r="D547">
        <v>55.76</v>
      </c>
      <c r="E547" t="s">
        <v>9480</v>
      </c>
      <c r="F547" t="s">
        <v>67</v>
      </c>
      <c r="G547" t="s">
        <v>428</v>
      </c>
      <c r="H547" t="s">
        <v>429</v>
      </c>
      <c r="I547" t="s">
        <v>70</v>
      </c>
      <c r="J547" t="s">
        <v>321</v>
      </c>
      <c r="K547">
        <v>4653.4799999999996</v>
      </c>
      <c r="L547">
        <v>58.58</v>
      </c>
      <c r="M547" t="s">
        <v>5158</v>
      </c>
      <c r="N547">
        <v>154391</v>
      </c>
      <c r="O547">
        <v>8.4</v>
      </c>
      <c r="Q547">
        <v>0.18</v>
      </c>
      <c r="R547">
        <v>2.64</v>
      </c>
      <c r="AA547">
        <v>6.97</v>
      </c>
      <c r="AB547" t="s">
        <v>3531</v>
      </c>
      <c r="AC547" t="s">
        <v>4150</v>
      </c>
      <c r="AD547" t="s">
        <v>9481</v>
      </c>
      <c r="AE547" t="s">
        <v>9482</v>
      </c>
      <c r="AF547" t="s">
        <v>9122</v>
      </c>
      <c r="AG547" t="s">
        <v>8153</v>
      </c>
      <c r="AH547" t="s">
        <v>842</v>
      </c>
      <c r="AI547" t="s">
        <v>9483</v>
      </c>
      <c r="AJ547" t="s">
        <v>1149</v>
      </c>
      <c r="AK547" t="s">
        <v>9484</v>
      </c>
      <c r="AL547">
        <v>3.62</v>
      </c>
      <c r="AM547">
        <v>3.57</v>
      </c>
      <c r="AO547" t="s">
        <v>9485</v>
      </c>
      <c r="AP547" t="s">
        <v>9486</v>
      </c>
      <c r="AQ547" t="s">
        <v>9487</v>
      </c>
      <c r="AR547" t="s">
        <v>3481</v>
      </c>
      <c r="AS547" t="s">
        <v>4323</v>
      </c>
      <c r="AT547" t="s">
        <v>193</v>
      </c>
      <c r="AU547" t="s">
        <v>292</v>
      </c>
      <c r="AV547" t="s">
        <v>9488</v>
      </c>
      <c r="AW547" t="s">
        <v>9489</v>
      </c>
      <c r="AX547" t="s">
        <v>649</v>
      </c>
      <c r="AY547" t="s">
        <v>9489</v>
      </c>
      <c r="AZ547" t="s">
        <v>5530</v>
      </c>
      <c r="BA547">
        <v>1.88</v>
      </c>
      <c r="BB547">
        <v>1243.25</v>
      </c>
      <c r="BC547">
        <v>0.44</v>
      </c>
      <c r="BD547">
        <v>57.84</v>
      </c>
      <c r="BE547">
        <v>58.85</v>
      </c>
      <c r="BF547">
        <v>57.98</v>
      </c>
      <c r="BG547" t="s">
        <v>9490</v>
      </c>
      <c r="BH547" t="s">
        <v>9491</v>
      </c>
      <c r="BI547" t="s">
        <v>9492</v>
      </c>
      <c r="BJ547" t="s">
        <v>101</v>
      </c>
      <c r="BK547" t="s">
        <v>7874</v>
      </c>
      <c r="BL547" t="s">
        <v>6008</v>
      </c>
      <c r="BM547" t="s">
        <v>9493</v>
      </c>
      <c r="BN547" t="s">
        <v>4063</v>
      </c>
    </row>
    <row r="548" spans="1:66" x14ac:dyDescent="0.25">
      <c r="A548" t="str">
        <f>HYPERLINK("https://elite.finviz.com/quote.ashx?t=WRBY&amp;ty=c&amp;p=d&amp;b=1", "WRBY")</f>
        <v>WRBY</v>
      </c>
      <c r="B548">
        <v>7</v>
      </c>
      <c r="C548">
        <v>138.38</v>
      </c>
      <c r="D548">
        <v>55.77</v>
      </c>
      <c r="E548" t="s">
        <v>9494</v>
      </c>
      <c r="F548" t="s">
        <v>67</v>
      </c>
      <c r="G548" t="s">
        <v>428</v>
      </c>
      <c r="H548" t="s">
        <v>2161</v>
      </c>
      <c r="I548" t="s">
        <v>70</v>
      </c>
      <c r="J548" t="s">
        <v>71</v>
      </c>
      <c r="K548">
        <v>3358.74</v>
      </c>
      <c r="L548">
        <v>27.54</v>
      </c>
      <c r="M548" t="s">
        <v>4266</v>
      </c>
      <c r="N548">
        <v>410107</v>
      </c>
      <c r="P548">
        <v>56.06</v>
      </c>
      <c r="R548">
        <v>4.09</v>
      </c>
      <c r="S548">
        <v>9.2899999999999991</v>
      </c>
      <c r="AA548">
        <v>-0.08</v>
      </c>
      <c r="AB548" t="s">
        <v>9495</v>
      </c>
      <c r="AC548" t="s">
        <v>8239</v>
      </c>
      <c r="AD548" t="s">
        <v>9496</v>
      </c>
      <c r="AE548" t="s">
        <v>7688</v>
      </c>
      <c r="AF548" t="s">
        <v>794</v>
      </c>
      <c r="AG548" t="s">
        <v>9497</v>
      </c>
      <c r="AH548" t="s">
        <v>73</v>
      </c>
      <c r="AI548" t="s">
        <v>3749</v>
      </c>
      <c r="AJ548" t="s">
        <v>9498</v>
      </c>
      <c r="AK548" t="s">
        <v>9499</v>
      </c>
      <c r="AL548">
        <v>2.5299999999999998</v>
      </c>
      <c r="AM548">
        <v>2.21</v>
      </c>
      <c r="AN548">
        <v>0.63</v>
      </c>
      <c r="AO548" t="s">
        <v>476</v>
      </c>
      <c r="AP548" t="s">
        <v>9500</v>
      </c>
      <c r="AQ548" t="s">
        <v>4328</v>
      </c>
      <c r="AR548" t="s">
        <v>1902</v>
      </c>
      <c r="AS548" t="s">
        <v>295</v>
      </c>
      <c r="AT548" t="s">
        <v>4493</v>
      </c>
      <c r="AU548" t="s">
        <v>2772</v>
      </c>
      <c r="AV548" t="s">
        <v>233</v>
      </c>
      <c r="AW548" t="s">
        <v>5134</v>
      </c>
      <c r="AX548" t="s">
        <v>9501</v>
      </c>
      <c r="AY548" t="s">
        <v>5134</v>
      </c>
      <c r="AZ548" t="s">
        <v>9502</v>
      </c>
      <c r="BA548">
        <v>2</v>
      </c>
      <c r="BB548">
        <v>1686.29</v>
      </c>
      <c r="BC548">
        <v>0.86</v>
      </c>
      <c r="BD548">
        <v>27.47</v>
      </c>
      <c r="BE548">
        <v>27.59</v>
      </c>
      <c r="BF548">
        <v>27.08</v>
      </c>
      <c r="BG548" t="s">
        <v>9503</v>
      </c>
      <c r="BH548" t="s">
        <v>9504</v>
      </c>
      <c r="BI548" t="s">
        <v>9505</v>
      </c>
      <c r="BJ548" t="s">
        <v>101</v>
      </c>
      <c r="BK548" t="s">
        <v>7040</v>
      </c>
      <c r="BL548" t="s">
        <v>6047</v>
      </c>
      <c r="BM548" t="s">
        <v>9506</v>
      </c>
      <c r="BN548" t="s">
        <v>4063</v>
      </c>
    </row>
    <row r="549" spans="1:66" x14ac:dyDescent="0.25">
      <c r="A549" t="str">
        <f>HYPERLINK("https://elite.finviz.com/quote.ashx?t=VTR&amp;ty=c&amp;p=d&amp;b=1", "VTR")</f>
        <v>VTR</v>
      </c>
      <c r="B549">
        <v>7</v>
      </c>
      <c r="C549">
        <v>138.38</v>
      </c>
      <c r="D549">
        <v>55.78</v>
      </c>
      <c r="E549" t="s">
        <v>9507</v>
      </c>
      <c r="F549" t="s">
        <v>195</v>
      </c>
      <c r="G549" t="s">
        <v>68</v>
      </c>
      <c r="H549" t="s">
        <v>6072</v>
      </c>
      <c r="I549" t="s">
        <v>70</v>
      </c>
      <c r="J549" t="s">
        <v>71</v>
      </c>
      <c r="K549">
        <v>32091.439999999999</v>
      </c>
      <c r="L549">
        <v>68.87</v>
      </c>
      <c r="M549" t="s">
        <v>4689</v>
      </c>
      <c r="N549">
        <v>442951</v>
      </c>
      <c r="O549">
        <v>159.24</v>
      </c>
      <c r="P549">
        <v>113.59</v>
      </c>
      <c r="Q549">
        <v>2.38</v>
      </c>
      <c r="R549">
        <v>6.05</v>
      </c>
      <c r="S549">
        <v>2.71</v>
      </c>
      <c r="T549" t="s">
        <v>3456</v>
      </c>
      <c r="U549">
        <v>1.68</v>
      </c>
      <c r="V549" t="s">
        <v>198</v>
      </c>
      <c r="W549" t="s">
        <v>164</v>
      </c>
      <c r="X549" t="s">
        <v>164</v>
      </c>
      <c r="Y549" t="s">
        <v>1323</v>
      </c>
      <c r="Z549" t="s">
        <v>9508</v>
      </c>
      <c r="AA549">
        <v>0.43</v>
      </c>
      <c r="AB549" t="s">
        <v>5468</v>
      </c>
      <c r="AC549" t="s">
        <v>9509</v>
      </c>
      <c r="AD549" t="s">
        <v>9510</v>
      </c>
      <c r="AE549" t="s">
        <v>5405</v>
      </c>
      <c r="AF549" t="s">
        <v>5460</v>
      </c>
      <c r="AG549" t="s">
        <v>754</v>
      </c>
      <c r="AH549" t="s">
        <v>7776</v>
      </c>
      <c r="AI549" t="s">
        <v>821</v>
      </c>
      <c r="AJ549" t="s">
        <v>2088</v>
      </c>
      <c r="AK549" t="s">
        <v>9307</v>
      </c>
      <c r="AL549">
        <v>1.49</v>
      </c>
      <c r="AM549">
        <v>1.49</v>
      </c>
      <c r="AN549">
        <v>1.1599999999999999</v>
      </c>
      <c r="AO549" t="s">
        <v>2636</v>
      </c>
      <c r="AP549" t="s">
        <v>644</v>
      </c>
      <c r="AQ549" t="s">
        <v>1088</v>
      </c>
      <c r="AR549" t="s">
        <v>2175</v>
      </c>
      <c r="AS549" t="s">
        <v>2720</v>
      </c>
      <c r="AT549" t="s">
        <v>458</v>
      </c>
      <c r="AU549" t="s">
        <v>907</v>
      </c>
      <c r="AV549" t="s">
        <v>1886</v>
      </c>
      <c r="AW549" t="s">
        <v>9511</v>
      </c>
      <c r="AX549" t="s">
        <v>5527</v>
      </c>
      <c r="AY549" t="s">
        <v>608</v>
      </c>
      <c r="AZ549" t="s">
        <v>7749</v>
      </c>
      <c r="BA549">
        <v>1.5</v>
      </c>
      <c r="BB549">
        <v>2805.1</v>
      </c>
      <c r="BC549">
        <v>0.56000000000000005</v>
      </c>
      <c r="BD549">
        <v>68.180000000000007</v>
      </c>
      <c r="BE549">
        <v>69.209999999999994</v>
      </c>
      <c r="BF549">
        <v>68.209999999999994</v>
      </c>
      <c r="BG549" t="s">
        <v>9512</v>
      </c>
      <c r="BH549" t="s">
        <v>9513</v>
      </c>
      <c r="BI549" t="s">
        <v>9514</v>
      </c>
      <c r="BJ549" t="s">
        <v>101</v>
      </c>
      <c r="BK549" t="s">
        <v>9515</v>
      </c>
      <c r="BL549" t="s">
        <v>4881</v>
      </c>
      <c r="BM549" t="s">
        <v>7854</v>
      </c>
      <c r="BN549" t="s">
        <v>4063</v>
      </c>
    </row>
    <row r="550" spans="1:66" x14ac:dyDescent="0.25">
      <c r="A550" t="str">
        <f>HYPERLINK("https://elite.finviz.com/quote.ashx?t=SLE&amp;ty=c&amp;p=d&amp;b=1", "SLE")</f>
        <v>SLE</v>
      </c>
      <c r="B550">
        <v>7</v>
      </c>
      <c r="C550">
        <v>138.38</v>
      </c>
      <c r="D550">
        <v>55.8</v>
      </c>
      <c r="E550" t="s">
        <v>9516</v>
      </c>
      <c r="F550" t="s">
        <v>107</v>
      </c>
      <c r="G550" t="s">
        <v>598</v>
      </c>
      <c r="H550" t="s">
        <v>599</v>
      </c>
      <c r="I550" t="s">
        <v>70</v>
      </c>
      <c r="J550" t="s">
        <v>321</v>
      </c>
      <c r="K550">
        <v>5.85</v>
      </c>
      <c r="L550">
        <v>5.25</v>
      </c>
      <c r="M550" t="s">
        <v>3350</v>
      </c>
      <c r="N550">
        <v>154889</v>
      </c>
      <c r="R550">
        <v>0.43</v>
      </c>
      <c r="AA550">
        <v>-54.02</v>
      </c>
      <c r="AB550" t="s">
        <v>2716</v>
      </c>
      <c r="AC550" t="s">
        <v>9517</v>
      </c>
      <c r="AE550" t="s">
        <v>2936</v>
      </c>
      <c r="AF550" t="s">
        <v>8051</v>
      </c>
      <c r="AG550" t="s">
        <v>8463</v>
      </c>
      <c r="AH550" t="s">
        <v>9518</v>
      </c>
      <c r="AI550" t="s">
        <v>9519</v>
      </c>
      <c r="AJ550" t="s">
        <v>164</v>
      </c>
      <c r="AK550" t="s">
        <v>2125</v>
      </c>
      <c r="AL550">
        <v>0.3</v>
      </c>
      <c r="AM550">
        <v>0.3</v>
      </c>
      <c r="AO550" t="s">
        <v>2652</v>
      </c>
      <c r="AP550" t="s">
        <v>9520</v>
      </c>
      <c r="AQ550" t="s">
        <v>9521</v>
      </c>
      <c r="AR550" t="s">
        <v>9522</v>
      </c>
      <c r="AS550" t="s">
        <v>9523</v>
      </c>
      <c r="AT550" t="s">
        <v>9524</v>
      </c>
      <c r="AU550" t="s">
        <v>9525</v>
      </c>
      <c r="AV550" t="s">
        <v>9526</v>
      </c>
      <c r="AW550" t="s">
        <v>9527</v>
      </c>
      <c r="AX550" t="s">
        <v>9528</v>
      </c>
      <c r="AY550" t="s">
        <v>9529</v>
      </c>
      <c r="AZ550" t="s">
        <v>9528</v>
      </c>
      <c r="BA550">
        <v>1</v>
      </c>
      <c r="BB550">
        <v>1367.47</v>
      </c>
      <c r="BC550">
        <v>0.4</v>
      </c>
      <c r="BD550">
        <v>5.19</v>
      </c>
      <c r="BE550">
        <v>5.43</v>
      </c>
      <c r="BF550">
        <v>4.9000000000000004</v>
      </c>
      <c r="BG550" t="s">
        <v>9530</v>
      </c>
      <c r="BH550" t="s">
        <v>446</v>
      </c>
      <c r="BI550" t="s">
        <v>9528</v>
      </c>
      <c r="BJ550" t="s">
        <v>101</v>
      </c>
      <c r="BK550" t="s">
        <v>8273</v>
      </c>
      <c r="BL550" t="s">
        <v>5477</v>
      </c>
      <c r="BM550" t="s">
        <v>9531</v>
      </c>
      <c r="BN550" t="s">
        <v>4063</v>
      </c>
    </row>
    <row r="551" spans="1:66" x14ac:dyDescent="0.25">
      <c r="A551" t="str">
        <f>HYPERLINK("https://elite.finviz.com/quote.ashx?t=CZR&amp;ty=c&amp;p=d&amp;b=1", "CZR")</f>
        <v>CZR</v>
      </c>
      <c r="B551">
        <v>7</v>
      </c>
      <c r="C551">
        <v>138.38</v>
      </c>
      <c r="D551">
        <v>55.82</v>
      </c>
      <c r="E551" t="s">
        <v>9532</v>
      </c>
      <c r="F551" t="s">
        <v>107</v>
      </c>
      <c r="G551" t="s">
        <v>813</v>
      </c>
      <c r="H551" t="s">
        <v>2763</v>
      </c>
      <c r="I551" t="s">
        <v>70</v>
      </c>
      <c r="J551" t="s">
        <v>321</v>
      </c>
      <c r="K551">
        <v>5602.25</v>
      </c>
      <c r="L551">
        <v>26.93</v>
      </c>
      <c r="M551" t="s">
        <v>6475</v>
      </c>
      <c r="N551">
        <v>1938076</v>
      </c>
      <c r="P551">
        <v>50.82</v>
      </c>
      <c r="R551">
        <v>0.49</v>
      </c>
      <c r="S551">
        <v>1.44</v>
      </c>
      <c r="AA551">
        <v>-0.93</v>
      </c>
      <c r="AB551" t="s">
        <v>9533</v>
      </c>
      <c r="AE551" t="s">
        <v>1998</v>
      </c>
      <c r="AF551" t="s">
        <v>4995</v>
      </c>
      <c r="AG551" t="s">
        <v>9534</v>
      </c>
      <c r="AH551" t="s">
        <v>901</v>
      </c>
      <c r="AI551" t="s">
        <v>9535</v>
      </c>
      <c r="AJ551" t="s">
        <v>164</v>
      </c>
      <c r="AK551" t="s">
        <v>9536</v>
      </c>
      <c r="AL551">
        <v>0.82</v>
      </c>
      <c r="AM551">
        <v>0.81</v>
      </c>
      <c r="AN551">
        <v>6.46</v>
      </c>
      <c r="AO551" t="s">
        <v>4411</v>
      </c>
      <c r="AP551" t="s">
        <v>3128</v>
      </c>
      <c r="AQ551" t="s">
        <v>2372</v>
      </c>
      <c r="AR551" t="s">
        <v>2495</v>
      </c>
      <c r="AS551" t="s">
        <v>3334</v>
      </c>
      <c r="AT551" t="s">
        <v>1087</v>
      </c>
      <c r="AU551" t="s">
        <v>3544</v>
      </c>
      <c r="AV551" t="s">
        <v>9537</v>
      </c>
      <c r="AW551" t="s">
        <v>3700</v>
      </c>
      <c r="AX551" t="s">
        <v>6413</v>
      </c>
      <c r="AY551" t="s">
        <v>9538</v>
      </c>
      <c r="AZ551" t="s">
        <v>9539</v>
      </c>
      <c r="BA551">
        <v>1.55</v>
      </c>
      <c r="BB551">
        <v>7000.46</v>
      </c>
      <c r="BC551">
        <v>0.98</v>
      </c>
      <c r="BD551">
        <v>25.91</v>
      </c>
      <c r="BE551">
        <v>27.29</v>
      </c>
      <c r="BF551">
        <v>25.8</v>
      </c>
      <c r="BG551" t="s">
        <v>9540</v>
      </c>
      <c r="BH551" t="s">
        <v>9541</v>
      </c>
      <c r="BI551" t="s">
        <v>9542</v>
      </c>
      <c r="BJ551" t="s">
        <v>101</v>
      </c>
      <c r="BK551" t="s">
        <v>6253</v>
      </c>
      <c r="BL551" t="s">
        <v>4703</v>
      </c>
      <c r="BM551" t="s">
        <v>9543</v>
      </c>
      <c r="BN551" t="s">
        <v>4063</v>
      </c>
    </row>
    <row r="552" spans="1:66" x14ac:dyDescent="0.25">
      <c r="A552" t="str">
        <f>HYPERLINK("https://elite.finviz.com/quote.ashx?t=PENG&amp;ty=c&amp;p=d&amp;b=1", "PENG")</f>
        <v>PENG</v>
      </c>
      <c r="B552">
        <v>7</v>
      </c>
      <c r="C552">
        <v>138.38</v>
      </c>
      <c r="D552">
        <v>55.85</v>
      </c>
      <c r="E552" t="s">
        <v>9544</v>
      </c>
      <c r="F552" t="s">
        <v>67</v>
      </c>
      <c r="G552" t="s">
        <v>108</v>
      </c>
      <c r="H552" t="s">
        <v>1322</v>
      </c>
      <c r="I552" t="s">
        <v>70</v>
      </c>
      <c r="J552" t="s">
        <v>321</v>
      </c>
      <c r="K552">
        <v>1380.77</v>
      </c>
      <c r="L552">
        <v>26.35</v>
      </c>
      <c r="M552" t="s">
        <v>4086</v>
      </c>
      <c r="N552">
        <v>87998</v>
      </c>
      <c r="P552">
        <v>12.42</v>
      </c>
      <c r="R552">
        <v>1.03</v>
      </c>
      <c r="S552">
        <v>2.36</v>
      </c>
      <c r="AA552">
        <v>0</v>
      </c>
      <c r="AD552" t="s">
        <v>6703</v>
      </c>
      <c r="AE552" t="s">
        <v>7688</v>
      </c>
      <c r="AF552" t="s">
        <v>6783</v>
      </c>
      <c r="AG552" t="s">
        <v>6298</v>
      </c>
      <c r="AH552" t="s">
        <v>265</v>
      </c>
      <c r="AI552" t="s">
        <v>9545</v>
      </c>
      <c r="AJ552" t="s">
        <v>2969</v>
      </c>
      <c r="AK552" t="s">
        <v>9546</v>
      </c>
      <c r="AL552">
        <v>2.62</v>
      </c>
      <c r="AM552">
        <v>2.2400000000000002</v>
      </c>
      <c r="AN552">
        <v>1.24</v>
      </c>
      <c r="AO552" t="s">
        <v>2972</v>
      </c>
      <c r="AP552" t="s">
        <v>2580</v>
      </c>
      <c r="AQ552" t="s">
        <v>2768</v>
      </c>
      <c r="AR552" t="s">
        <v>5780</v>
      </c>
      <c r="AS552" t="s">
        <v>2543</v>
      </c>
      <c r="AT552" t="s">
        <v>1952</v>
      </c>
      <c r="AU552" t="s">
        <v>414</v>
      </c>
      <c r="AV552" t="s">
        <v>9547</v>
      </c>
      <c r="AW552" t="s">
        <v>4764</v>
      </c>
      <c r="AX552" t="s">
        <v>5003</v>
      </c>
      <c r="AY552" t="s">
        <v>4764</v>
      </c>
      <c r="AZ552" t="s">
        <v>4909</v>
      </c>
      <c r="BA552">
        <v>1.38</v>
      </c>
      <c r="BB552">
        <v>1045.6300000000001</v>
      </c>
      <c r="BC552">
        <v>0.3</v>
      </c>
      <c r="BD552">
        <v>26.54</v>
      </c>
      <c r="BE552">
        <v>26.71</v>
      </c>
      <c r="BF552">
        <v>26.27</v>
      </c>
      <c r="BG552" t="s">
        <v>9548</v>
      </c>
      <c r="BH552" t="s">
        <v>9549</v>
      </c>
      <c r="BI552" t="s">
        <v>9550</v>
      </c>
      <c r="BJ552" t="s">
        <v>101</v>
      </c>
      <c r="BK552" t="s">
        <v>5694</v>
      </c>
      <c r="BL552" t="s">
        <v>4205</v>
      </c>
      <c r="BM552" t="s">
        <v>9551</v>
      </c>
      <c r="BN552" t="s">
        <v>4063</v>
      </c>
    </row>
    <row r="553" spans="1:66" x14ac:dyDescent="0.25">
      <c r="A553" t="str">
        <f>HYPERLINK("https://elite.finviz.com/quote.ashx?t=KRC&amp;ty=c&amp;p=d&amp;b=1", "KRC")</f>
        <v>KRC</v>
      </c>
      <c r="B553">
        <v>7</v>
      </c>
      <c r="C553">
        <v>138.38</v>
      </c>
      <c r="D553">
        <v>55.88</v>
      </c>
      <c r="E553" t="s">
        <v>9552</v>
      </c>
      <c r="F553" t="s">
        <v>107</v>
      </c>
      <c r="G553" t="s">
        <v>68</v>
      </c>
      <c r="H553" t="s">
        <v>69</v>
      </c>
      <c r="I553" t="s">
        <v>70</v>
      </c>
      <c r="J553" t="s">
        <v>71</v>
      </c>
      <c r="K553">
        <v>5127.7700000000004</v>
      </c>
      <c r="L553">
        <v>42.93</v>
      </c>
      <c r="M553" t="s">
        <v>5388</v>
      </c>
      <c r="N553">
        <v>380380</v>
      </c>
      <c r="O553">
        <v>23.3</v>
      </c>
      <c r="P553">
        <v>65.94</v>
      </c>
      <c r="R553">
        <v>4.51</v>
      </c>
      <c r="S553">
        <v>0.95</v>
      </c>
      <c r="T553" t="s">
        <v>6525</v>
      </c>
      <c r="U553">
        <v>2.1</v>
      </c>
      <c r="V553" t="s">
        <v>198</v>
      </c>
      <c r="W553" t="s">
        <v>164</v>
      </c>
      <c r="X553" t="s">
        <v>3118</v>
      </c>
      <c r="Y553" t="s">
        <v>2333</v>
      </c>
      <c r="Z553" t="s">
        <v>9553</v>
      </c>
      <c r="AA553">
        <v>1.84</v>
      </c>
      <c r="AB553" t="s">
        <v>3645</v>
      </c>
      <c r="AC553" t="s">
        <v>1820</v>
      </c>
      <c r="AD553" t="s">
        <v>9554</v>
      </c>
      <c r="AE553" t="s">
        <v>1599</v>
      </c>
      <c r="AF553" t="s">
        <v>755</v>
      </c>
      <c r="AG553" t="s">
        <v>414</v>
      </c>
      <c r="AH553" t="s">
        <v>4499</v>
      </c>
      <c r="AI553" t="s">
        <v>5791</v>
      </c>
      <c r="AJ553" t="s">
        <v>6614</v>
      </c>
      <c r="AK553" t="s">
        <v>9555</v>
      </c>
      <c r="AL553">
        <v>1.2</v>
      </c>
      <c r="AM553">
        <v>1.2</v>
      </c>
      <c r="AN553">
        <v>0.88</v>
      </c>
      <c r="AO553" t="s">
        <v>2551</v>
      </c>
      <c r="AP553" t="s">
        <v>9556</v>
      </c>
      <c r="AQ553" t="s">
        <v>2067</v>
      </c>
      <c r="AR553" t="s">
        <v>2219</v>
      </c>
      <c r="AS553" t="s">
        <v>4276</v>
      </c>
      <c r="AT553" t="s">
        <v>4955</v>
      </c>
      <c r="AU553" t="s">
        <v>6584</v>
      </c>
      <c r="AV553" t="s">
        <v>4084</v>
      </c>
      <c r="AW553" t="s">
        <v>2431</v>
      </c>
      <c r="AX553" t="s">
        <v>9557</v>
      </c>
      <c r="AY553" t="s">
        <v>2431</v>
      </c>
      <c r="AZ553" t="s">
        <v>9558</v>
      </c>
      <c r="BA553">
        <v>2.94</v>
      </c>
      <c r="BB553">
        <v>1566.7</v>
      </c>
      <c r="BC553">
        <v>0.86</v>
      </c>
      <c r="BD553">
        <v>43.34</v>
      </c>
      <c r="BE553">
        <v>43.6</v>
      </c>
      <c r="BF553">
        <v>42.88</v>
      </c>
      <c r="BG553" t="s">
        <v>9559</v>
      </c>
      <c r="BH553" t="s">
        <v>9560</v>
      </c>
      <c r="BI553" t="s">
        <v>9561</v>
      </c>
      <c r="BJ553" t="s">
        <v>101</v>
      </c>
      <c r="BK553" t="s">
        <v>9562</v>
      </c>
      <c r="BL553" t="s">
        <v>3969</v>
      </c>
      <c r="BM553" t="s">
        <v>5389</v>
      </c>
      <c r="BN553" t="s">
        <v>4063</v>
      </c>
    </row>
    <row r="554" spans="1:66" x14ac:dyDescent="0.25">
      <c r="A554" t="str">
        <f>HYPERLINK("https://elite.finviz.com/quote.ashx?t=ABR&amp;ty=c&amp;p=d&amp;b=1", "ABR")</f>
        <v>ABR</v>
      </c>
      <c r="B554">
        <v>7</v>
      </c>
      <c r="C554">
        <v>138.38</v>
      </c>
      <c r="D554">
        <v>55.88</v>
      </c>
      <c r="E554" t="s">
        <v>9563</v>
      </c>
      <c r="F554" t="s">
        <v>67</v>
      </c>
      <c r="G554" t="s">
        <v>68</v>
      </c>
      <c r="H554" t="s">
        <v>5566</v>
      </c>
      <c r="I554" t="s">
        <v>70</v>
      </c>
      <c r="J554" t="s">
        <v>71</v>
      </c>
      <c r="K554">
        <v>2306.06</v>
      </c>
      <c r="L554">
        <v>11.99</v>
      </c>
      <c r="M554" t="s">
        <v>141</v>
      </c>
      <c r="N554">
        <v>469153</v>
      </c>
      <c r="O554">
        <v>13.58</v>
      </c>
      <c r="P554">
        <v>11.21</v>
      </c>
      <c r="R554">
        <v>1.79</v>
      </c>
      <c r="S554">
        <v>0.99</v>
      </c>
      <c r="T554" t="s">
        <v>797</v>
      </c>
      <c r="U554">
        <v>1.46</v>
      </c>
      <c r="V554" t="s">
        <v>3046</v>
      </c>
      <c r="W554" t="s">
        <v>4839</v>
      </c>
      <c r="X554" t="s">
        <v>417</v>
      </c>
      <c r="Y554" t="s">
        <v>4815</v>
      </c>
      <c r="Z554" t="s">
        <v>9564</v>
      </c>
      <c r="AA554">
        <v>0.88</v>
      </c>
      <c r="AB554" t="s">
        <v>9565</v>
      </c>
      <c r="AC554" t="s">
        <v>525</v>
      </c>
      <c r="AE554" t="s">
        <v>9566</v>
      </c>
      <c r="AF554" t="s">
        <v>5759</v>
      </c>
      <c r="AG554" t="s">
        <v>7134</v>
      </c>
      <c r="AH554" t="s">
        <v>9567</v>
      </c>
      <c r="AI554" t="s">
        <v>827</v>
      </c>
      <c r="AJ554" t="s">
        <v>4916</v>
      </c>
      <c r="AK554" t="s">
        <v>9568</v>
      </c>
      <c r="AL554">
        <v>0.24</v>
      </c>
      <c r="AM554">
        <v>0.12</v>
      </c>
      <c r="AN554">
        <v>3.4</v>
      </c>
      <c r="AO554" t="s">
        <v>5504</v>
      </c>
      <c r="AP554" t="s">
        <v>9569</v>
      </c>
      <c r="AQ554" t="s">
        <v>7298</v>
      </c>
      <c r="AR554" t="s">
        <v>4946</v>
      </c>
      <c r="AS554" t="s">
        <v>6692</v>
      </c>
      <c r="AT554" t="s">
        <v>1559</v>
      </c>
      <c r="AU554" t="s">
        <v>2421</v>
      </c>
      <c r="AV554" t="s">
        <v>4689</v>
      </c>
      <c r="AW554" t="s">
        <v>1690</v>
      </c>
      <c r="AX554" t="s">
        <v>9570</v>
      </c>
      <c r="AY554" t="s">
        <v>9571</v>
      </c>
      <c r="AZ554" t="s">
        <v>9572</v>
      </c>
      <c r="BA554">
        <v>3.5</v>
      </c>
      <c r="BB554">
        <v>2529.41</v>
      </c>
      <c r="BC554">
        <v>0.65</v>
      </c>
      <c r="BD554">
        <v>11.95</v>
      </c>
      <c r="BE554">
        <v>12.1</v>
      </c>
      <c r="BF554">
        <v>11.96</v>
      </c>
      <c r="BG554" t="s">
        <v>9573</v>
      </c>
      <c r="BH554" t="s">
        <v>9574</v>
      </c>
      <c r="BI554" t="s">
        <v>9575</v>
      </c>
      <c r="BJ554" t="s">
        <v>101</v>
      </c>
      <c r="BK554" t="s">
        <v>9164</v>
      </c>
      <c r="BL554" t="s">
        <v>2486</v>
      </c>
      <c r="BM554" t="s">
        <v>9576</v>
      </c>
      <c r="BN554" t="s">
        <v>4063</v>
      </c>
    </row>
    <row r="555" spans="1:66" x14ac:dyDescent="0.25">
      <c r="A555" t="str">
        <f>HYPERLINK("https://elite.finviz.com/quote.ashx?t=OMEX&amp;ty=c&amp;p=d&amp;b=1", "OMEX")</f>
        <v>OMEX</v>
      </c>
      <c r="B555">
        <v>7</v>
      </c>
      <c r="C555">
        <v>138.38</v>
      </c>
      <c r="D555">
        <v>55.9</v>
      </c>
      <c r="E555" t="s">
        <v>9577</v>
      </c>
      <c r="F555" t="s">
        <v>107</v>
      </c>
      <c r="G555" t="s">
        <v>355</v>
      </c>
      <c r="H555" t="s">
        <v>356</v>
      </c>
      <c r="I555" t="s">
        <v>70</v>
      </c>
      <c r="J555" t="s">
        <v>321</v>
      </c>
      <c r="K555">
        <v>87.71</v>
      </c>
      <c r="L555">
        <v>1.94</v>
      </c>
      <c r="M555" t="s">
        <v>4121</v>
      </c>
      <c r="N555">
        <v>571114</v>
      </c>
      <c r="R555">
        <v>141.47</v>
      </c>
      <c r="Z555" t="s">
        <v>164</v>
      </c>
      <c r="AA555">
        <v>-0.51</v>
      </c>
      <c r="AE555" t="s">
        <v>9578</v>
      </c>
      <c r="AF555" t="s">
        <v>5623</v>
      </c>
      <c r="AG555" t="s">
        <v>9579</v>
      </c>
      <c r="AH555" t="s">
        <v>9580</v>
      </c>
      <c r="AJ555" t="s">
        <v>481</v>
      </c>
      <c r="AK555" t="s">
        <v>9460</v>
      </c>
      <c r="AL555">
        <v>0.13</v>
      </c>
      <c r="AM555">
        <v>0.13</v>
      </c>
      <c r="AO555" t="s">
        <v>9581</v>
      </c>
      <c r="AP555" t="s">
        <v>9582</v>
      </c>
      <c r="AQ555" t="s">
        <v>9583</v>
      </c>
      <c r="AR555" t="s">
        <v>4409</v>
      </c>
      <c r="AS555" t="s">
        <v>6076</v>
      </c>
      <c r="AT555" t="s">
        <v>2581</v>
      </c>
      <c r="AU555" t="s">
        <v>87</v>
      </c>
      <c r="AV555" t="s">
        <v>9584</v>
      </c>
      <c r="AW555" t="s">
        <v>9585</v>
      </c>
      <c r="AX555" t="s">
        <v>9586</v>
      </c>
      <c r="AY555" t="s">
        <v>9585</v>
      </c>
      <c r="AZ555" t="s">
        <v>9587</v>
      </c>
      <c r="BA555">
        <v>1</v>
      </c>
      <c r="BB555">
        <v>2566.04</v>
      </c>
      <c r="BC555">
        <v>0.78</v>
      </c>
      <c r="BD555">
        <v>2.04</v>
      </c>
      <c r="BE555">
        <v>2.08</v>
      </c>
      <c r="BF555">
        <v>1.91</v>
      </c>
      <c r="BG555" t="s">
        <v>9588</v>
      </c>
      <c r="BH555" t="s">
        <v>9589</v>
      </c>
      <c r="BI555" t="s">
        <v>9587</v>
      </c>
      <c r="BJ555" t="s">
        <v>101</v>
      </c>
      <c r="BK555" t="s">
        <v>4062</v>
      </c>
      <c r="BL555" t="s">
        <v>9590</v>
      </c>
      <c r="BM555" t="s">
        <v>5259</v>
      </c>
      <c r="BN555" t="s">
        <v>4063</v>
      </c>
    </row>
    <row r="556" spans="1:66" x14ac:dyDescent="0.25">
      <c r="A556" t="str">
        <f>HYPERLINK("https://elite.finviz.com/quote.ashx?t=INFA&amp;ty=c&amp;p=d&amp;b=1", "INFA")</f>
        <v>INFA</v>
      </c>
      <c r="B556">
        <v>7</v>
      </c>
      <c r="C556">
        <v>138.38</v>
      </c>
      <c r="D556">
        <v>55.91</v>
      </c>
      <c r="E556" t="s">
        <v>9591</v>
      </c>
      <c r="F556" t="s">
        <v>107</v>
      </c>
      <c r="G556" t="s">
        <v>108</v>
      </c>
      <c r="H556" t="s">
        <v>109</v>
      </c>
      <c r="I556" t="s">
        <v>70</v>
      </c>
      <c r="J556" t="s">
        <v>71</v>
      </c>
      <c r="K556">
        <v>8658.24</v>
      </c>
      <c r="L556">
        <v>24.82</v>
      </c>
      <c r="M556" t="s">
        <v>2745</v>
      </c>
      <c r="N556">
        <v>158626</v>
      </c>
      <c r="P556">
        <v>19.07</v>
      </c>
      <c r="R556">
        <v>5.21</v>
      </c>
      <c r="S556">
        <v>3.17</v>
      </c>
      <c r="Z556" t="s">
        <v>164</v>
      </c>
      <c r="AA556">
        <v>-0.03</v>
      </c>
      <c r="AD556" t="s">
        <v>2653</v>
      </c>
      <c r="AE556" t="s">
        <v>5166</v>
      </c>
      <c r="AF556" t="s">
        <v>5497</v>
      </c>
      <c r="AG556" t="s">
        <v>2809</v>
      </c>
      <c r="AH556" t="s">
        <v>2217</v>
      </c>
      <c r="AI556" t="s">
        <v>9592</v>
      </c>
      <c r="AJ556" t="s">
        <v>8634</v>
      </c>
      <c r="AK556" t="s">
        <v>6213</v>
      </c>
      <c r="AL556">
        <v>1.92</v>
      </c>
      <c r="AM556">
        <v>1.92</v>
      </c>
      <c r="AN556">
        <v>0.78</v>
      </c>
      <c r="AO556" t="s">
        <v>9593</v>
      </c>
      <c r="AP556" t="s">
        <v>1575</v>
      </c>
      <c r="AQ556" t="s">
        <v>2203</v>
      </c>
      <c r="AR556" t="s">
        <v>430</v>
      </c>
      <c r="AS556" t="s">
        <v>497</v>
      </c>
      <c r="AT556" t="s">
        <v>1249</v>
      </c>
      <c r="AU556" t="s">
        <v>141</v>
      </c>
      <c r="AV556" t="s">
        <v>2559</v>
      </c>
      <c r="AW556" t="s">
        <v>7270</v>
      </c>
      <c r="AX556" t="s">
        <v>6056</v>
      </c>
      <c r="AY556" t="s">
        <v>9594</v>
      </c>
      <c r="AZ556" t="s">
        <v>9595</v>
      </c>
      <c r="BA556">
        <v>3</v>
      </c>
      <c r="BB556">
        <v>3700.16</v>
      </c>
      <c r="BC556">
        <v>0.15</v>
      </c>
      <c r="BD556">
        <v>24.84</v>
      </c>
      <c r="BE556">
        <v>24.85</v>
      </c>
      <c r="BF556">
        <v>24.82</v>
      </c>
      <c r="BG556" t="s">
        <v>9596</v>
      </c>
      <c r="BH556" t="s">
        <v>9597</v>
      </c>
      <c r="BI556" t="s">
        <v>2142</v>
      </c>
      <c r="BJ556" t="s">
        <v>101</v>
      </c>
      <c r="BK556" t="s">
        <v>4600</v>
      </c>
      <c r="BL556" t="s">
        <v>469</v>
      </c>
      <c r="BM556" t="s">
        <v>4920</v>
      </c>
      <c r="BN556" t="s">
        <v>4063</v>
      </c>
    </row>
    <row r="557" spans="1:66" x14ac:dyDescent="0.25">
      <c r="A557" t="str">
        <f>HYPERLINK("https://elite.finviz.com/quote.ashx?t=VSCO&amp;ty=c&amp;p=d&amp;b=1", "VSCO")</f>
        <v>VSCO</v>
      </c>
      <c r="B557">
        <v>7</v>
      </c>
      <c r="C557">
        <v>138.38</v>
      </c>
      <c r="D557">
        <v>55.92</v>
      </c>
      <c r="E557" t="s">
        <v>9598</v>
      </c>
      <c r="F557" t="s">
        <v>67</v>
      </c>
      <c r="G557" t="s">
        <v>813</v>
      </c>
      <c r="H557" t="s">
        <v>4488</v>
      </c>
      <c r="I557" t="s">
        <v>70</v>
      </c>
      <c r="J557" t="s">
        <v>71</v>
      </c>
      <c r="K557">
        <v>2071.0500000000002</v>
      </c>
      <c r="L557">
        <v>25.83</v>
      </c>
      <c r="M557" t="s">
        <v>4759</v>
      </c>
      <c r="N557">
        <v>173968</v>
      </c>
      <c r="O557">
        <v>14.46</v>
      </c>
      <c r="P557">
        <v>12.11</v>
      </c>
      <c r="R557">
        <v>0.33</v>
      </c>
      <c r="S557">
        <v>3.04</v>
      </c>
      <c r="Z557" t="s">
        <v>164</v>
      </c>
      <c r="AA557">
        <v>1.79</v>
      </c>
      <c r="AB557" t="s">
        <v>9599</v>
      </c>
      <c r="AD557" t="s">
        <v>6152</v>
      </c>
      <c r="AE557" t="s">
        <v>7322</v>
      </c>
      <c r="AF557" t="s">
        <v>4646</v>
      </c>
      <c r="AG557" t="s">
        <v>9600</v>
      </c>
      <c r="AH557" t="s">
        <v>7154</v>
      </c>
      <c r="AI557" t="s">
        <v>9601</v>
      </c>
      <c r="AJ557" t="s">
        <v>684</v>
      </c>
      <c r="AK557" t="s">
        <v>9432</v>
      </c>
      <c r="AL557">
        <v>1.1399999999999999</v>
      </c>
      <c r="AM557">
        <v>0.36</v>
      </c>
      <c r="AN557">
        <v>4.2300000000000004</v>
      </c>
      <c r="AO557" t="s">
        <v>9602</v>
      </c>
      <c r="AP557" t="s">
        <v>5969</v>
      </c>
      <c r="AQ557" t="s">
        <v>3208</v>
      </c>
      <c r="AR557" t="s">
        <v>4299</v>
      </c>
      <c r="AS557" t="s">
        <v>6527</v>
      </c>
      <c r="AT557" t="s">
        <v>4849</v>
      </c>
      <c r="AU557" t="s">
        <v>7655</v>
      </c>
      <c r="AV557" t="s">
        <v>3832</v>
      </c>
      <c r="AW557" t="s">
        <v>4235</v>
      </c>
      <c r="AX557" t="s">
        <v>9603</v>
      </c>
      <c r="AY557" t="s">
        <v>9604</v>
      </c>
      <c r="AZ557" t="s">
        <v>9605</v>
      </c>
      <c r="BA557">
        <v>3.2</v>
      </c>
      <c r="BB557">
        <v>3119.76</v>
      </c>
      <c r="BC557">
        <v>0.2</v>
      </c>
      <c r="BD557">
        <v>25.59</v>
      </c>
      <c r="BE557">
        <v>25.93</v>
      </c>
      <c r="BF557">
        <v>25.46</v>
      </c>
      <c r="BG557" t="s">
        <v>9606</v>
      </c>
      <c r="BH557" t="s">
        <v>9607</v>
      </c>
      <c r="BI557" t="s">
        <v>1614</v>
      </c>
      <c r="BJ557" t="s">
        <v>101</v>
      </c>
      <c r="BK557" t="s">
        <v>7544</v>
      </c>
      <c r="BL557" t="s">
        <v>9608</v>
      </c>
      <c r="BM557" t="s">
        <v>4210</v>
      </c>
      <c r="BN557" t="s">
        <v>4063</v>
      </c>
    </row>
    <row r="558" spans="1:66" x14ac:dyDescent="0.25">
      <c r="A558" t="str">
        <f>HYPERLINK("https://elite.finviz.com/quote.ashx?t=MOS&amp;ty=c&amp;p=d&amp;b=1", "MOS")</f>
        <v>MOS</v>
      </c>
      <c r="B558">
        <v>7</v>
      </c>
      <c r="C558">
        <v>138.38</v>
      </c>
      <c r="D558">
        <v>55.93</v>
      </c>
      <c r="E558" t="s">
        <v>9609</v>
      </c>
      <c r="F558" t="s">
        <v>195</v>
      </c>
      <c r="G558" t="s">
        <v>355</v>
      </c>
      <c r="H558" t="s">
        <v>9610</v>
      </c>
      <c r="I558" t="s">
        <v>70</v>
      </c>
      <c r="J558" t="s">
        <v>71</v>
      </c>
      <c r="K558">
        <v>11003.06</v>
      </c>
      <c r="L558">
        <v>34.67</v>
      </c>
      <c r="M558" t="s">
        <v>2263</v>
      </c>
      <c r="N558">
        <v>721576</v>
      </c>
      <c r="T558" t="s">
        <v>179</v>
      </c>
      <c r="U558">
        <v>0.87</v>
      </c>
      <c r="V558" t="s">
        <v>9611</v>
      </c>
      <c r="W558" t="s">
        <v>6404</v>
      </c>
      <c r="X558" t="s">
        <v>8612</v>
      </c>
      <c r="Y558" t="s">
        <v>9612</v>
      </c>
      <c r="AI558" t="s">
        <v>9613</v>
      </c>
      <c r="AR558" t="s">
        <v>3170</v>
      </c>
      <c r="AS558" t="s">
        <v>2643</v>
      </c>
      <c r="AT558" t="s">
        <v>2624</v>
      </c>
      <c r="AU558" t="s">
        <v>8016</v>
      </c>
      <c r="AV558" t="s">
        <v>9614</v>
      </c>
      <c r="AW558" t="s">
        <v>7164</v>
      </c>
      <c r="AX558" t="s">
        <v>663</v>
      </c>
      <c r="AY558" t="s">
        <v>967</v>
      </c>
      <c r="AZ558" t="s">
        <v>7909</v>
      </c>
      <c r="BB558">
        <v>4679.3900000000003</v>
      </c>
      <c r="BC558">
        <v>0.54</v>
      </c>
      <c r="BD558">
        <v>34.79</v>
      </c>
      <c r="BE558">
        <v>34.840000000000003</v>
      </c>
      <c r="BF558">
        <v>34.31</v>
      </c>
      <c r="BG558" t="s">
        <v>9615</v>
      </c>
      <c r="BH558" t="s">
        <v>9616</v>
      </c>
      <c r="BI558" t="s">
        <v>9617</v>
      </c>
      <c r="BJ558" t="s">
        <v>101</v>
      </c>
      <c r="BK558" t="s">
        <v>9618</v>
      </c>
      <c r="BL558" t="s">
        <v>9619</v>
      </c>
      <c r="BM558" t="s">
        <v>870</v>
      </c>
      <c r="BN558" t="s">
        <v>4063</v>
      </c>
    </row>
    <row r="559" spans="1:66" x14ac:dyDescent="0.25">
      <c r="A559" t="str">
        <f>HYPERLINK("https://elite.finviz.com/quote.ashx?t=PENN&amp;ty=c&amp;p=d&amp;b=1", "PENN")</f>
        <v>PENN</v>
      </c>
      <c r="B559">
        <v>7</v>
      </c>
      <c r="C559">
        <v>138.38</v>
      </c>
      <c r="D559">
        <v>56.01</v>
      </c>
      <c r="E559" t="s">
        <v>9620</v>
      </c>
      <c r="F559" t="s">
        <v>107</v>
      </c>
      <c r="G559" t="s">
        <v>813</v>
      </c>
      <c r="H559" t="s">
        <v>2763</v>
      </c>
      <c r="I559" t="s">
        <v>70</v>
      </c>
      <c r="J559" t="s">
        <v>321</v>
      </c>
      <c r="K559">
        <v>2877.02</v>
      </c>
      <c r="L559">
        <v>19.7</v>
      </c>
      <c r="M559" t="s">
        <v>7124</v>
      </c>
      <c r="N559">
        <v>530617</v>
      </c>
      <c r="P559">
        <v>15.4</v>
      </c>
      <c r="R559">
        <v>0.43</v>
      </c>
      <c r="S559">
        <v>0.96</v>
      </c>
      <c r="AA559">
        <v>-0.56000000000000005</v>
      </c>
      <c r="AE559" t="s">
        <v>2884</v>
      </c>
      <c r="AF559" t="s">
        <v>2494</v>
      </c>
      <c r="AG559" t="s">
        <v>7699</v>
      </c>
      <c r="AH559" t="s">
        <v>283</v>
      </c>
      <c r="AI559" t="s">
        <v>9621</v>
      </c>
      <c r="AJ559" t="s">
        <v>2822</v>
      </c>
      <c r="AK559" t="s">
        <v>9622</v>
      </c>
      <c r="AL559">
        <v>0.79</v>
      </c>
      <c r="AM559">
        <v>0.79</v>
      </c>
      <c r="AN559">
        <v>3.71</v>
      </c>
      <c r="AO559" t="s">
        <v>7478</v>
      </c>
      <c r="AP559" t="s">
        <v>3482</v>
      </c>
      <c r="AQ559" t="s">
        <v>4328</v>
      </c>
      <c r="AR559" t="s">
        <v>4710</v>
      </c>
      <c r="AS559" t="s">
        <v>2496</v>
      </c>
      <c r="AT559" t="s">
        <v>3226</v>
      </c>
      <c r="AU559" t="s">
        <v>6378</v>
      </c>
      <c r="AV559" t="s">
        <v>9623</v>
      </c>
      <c r="AW559" t="s">
        <v>6989</v>
      </c>
      <c r="AX559" t="s">
        <v>4876</v>
      </c>
      <c r="AY559" t="s">
        <v>3473</v>
      </c>
      <c r="AZ559" t="s">
        <v>9624</v>
      </c>
      <c r="BA559">
        <v>2.09</v>
      </c>
      <c r="BB559">
        <v>3748.44</v>
      </c>
      <c r="BC559">
        <v>0.5</v>
      </c>
      <c r="BD559">
        <v>19.54</v>
      </c>
      <c r="BE559">
        <v>20.04</v>
      </c>
      <c r="BF559">
        <v>19.55</v>
      </c>
      <c r="BG559" t="s">
        <v>9625</v>
      </c>
      <c r="BH559" t="s">
        <v>9626</v>
      </c>
      <c r="BI559" t="s">
        <v>9627</v>
      </c>
      <c r="BJ559" t="s">
        <v>101</v>
      </c>
      <c r="BK559" t="s">
        <v>8535</v>
      </c>
      <c r="BL559" t="s">
        <v>3875</v>
      </c>
      <c r="BM559" t="s">
        <v>995</v>
      </c>
      <c r="BN559" t="s">
        <v>4063</v>
      </c>
    </row>
    <row r="560" spans="1:66" x14ac:dyDescent="0.25">
      <c r="A560" t="str">
        <f>HYPERLINK("https://elite.finviz.com/quote.ashx?t=AEHR&amp;ty=c&amp;p=d&amp;b=1", "AEHR")</f>
        <v>AEHR</v>
      </c>
      <c r="B560">
        <v>7</v>
      </c>
      <c r="C560">
        <v>138.38</v>
      </c>
      <c r="D560">
        <v>56.02</v>
      </c>
      <c r="E560" t="s">
        <v>9628</v>
      </c>
      <c r="F560" t="s">
        <v>67</v>
      </c>
      <c r="G560" t="s">
        <v>108</v>
      </c>
      <c r="H560" t="s">
        <v>2097</v>
      </c>
      <c r="I560" t="s">
        <v>70</v>
      </c>
      <c r="J560" t="s">
        <v>321</v>
      </c>
      <c r="K560">
        <v>866.1</v>
      </c>
      <c r="L560">
        <v>28.9</v>
      </c>
      <c r="M560" t="s">
        <v>9629</v>
      </c>
      <c r="N560">
        <v>448876</v>
      </c>
      <c r="P560">
        <v>93.23</v>
      </c>
      <c r="R560">
        <v>14.69</v>
      </c>
      <c r="S560">
        <v>7.03</v>
      </c>
      <c r="AA560">
        <v>-0.13</v>
      </c>
      <c r="AC560" t="s">
        <v>5895</v>
      </c>
      <c r="AD560" t="s">
        <v>9630</v>
      </c>
      <c r="AE560" t="s">
        <v>9631</v>
      </c>
      <c r="AF560" t="s">
        <v>3855</v>
      </c>
      <c r="AG560" t="s">
        <v>5556</v>
      </c>
      <c r="AH560" t="s">
        <v>9632</v>
      </c>
      <c r="AI560" t="s">
        <v>9633</v>
      </c>
      <c r="AJ560" t="s">
        <v>181</v>
      </c>
      <c r="AK560" t="s">
        <v>9634</v>
      </c>
      <c r="AL560">
        <v>5.68</v>
      </c>
      <c r="AM560">
        <v>2.99</v>
      </c>
      <c r="AN560">
        <v>0.09</v>
      </c>
      <c r="AO560" t="s">
        <v>2330</v>
      </c>
      <c r="AP560" t="s">
        <v>9635</v>
      </c>
      <c r="AQ560" t="s">
        <v>7219</v>
      </c>
      <c r="AR560" t="s">
        <v>2398</v>
      </c>
      <c r="AS560" t="s">
        <v>9636</v>
      </c>
      <c r="AT560" t="s">
        <v>205</v>
      </c>
      <c r="AU560" t="s">
        <v>4327</v>
      </c>
      <c r="AV560" t="s">
        <v>9637</v>
      </c>
      <c r="AW560" t="s">
        <v>9638</v>
      </c>
      <c r="AX560" t="s">
        <v>9639</v>
      </c>
      <c r="AY560" t="s">
        <v>9638</v>
      </c>
      <c r="AZ560" t="s">
        <v>9640</v>
      </c>
      <c r="BA560">
        <v>2.33</v>
      </c>
      <c r="BB560">
        <v>1875.96</v>
      </c>
      <c r="BC560">
        <v>0.84</v>
      </c>
      <c r="BD560">
        <v>30.88</v>
      </c>
      <c r="BE560">
        <v>31.25</v>
      </c>
      <c r="BF560">
        <v>28.86</v>
      </c>
      <c r="BG560" t="s">
        <v>9641</v>
      </c>
      <c r="BH560" t="s">
        <v>9642</v>
      </c>
      <c r="BI560" t="s">
        <v>9643</v>
      </c>
      <c r="BJ560" t="s">
        <v>101</v>
      </c>
      <c r="BK560" t="s">
        <v>9644</v>
      </c>
      <c r="BL560" t="s">
        <v>9645</v>
      </c>
      <c r="BM560" t="s">
        <v>9646</v>
      </c>
      <c r="BN560" t="s">
        <v>4063</v>
      </c>
    </row>
    <row r="561" spans="1:66" x14ac:dyDescent="0.25">
      <c r="A561" t="str">
        <f>HYPERLINK("https://elite.finviz.com/quote.ashx?t=LNG&amp;ty=c&amp;p=d&amp;b=1", "LNG")</f>
        <v>LNG</v>
      </c>
      <c r="B561">
        <v>7</v>
      </c>
      <c r="C561">
        <v>138.38</v>
      </c>
      <c r="D561">
        <v>56.04</v>
      </c>
      <c r="E561" t="s">
        <v>9647</v>
      </c>
      <c r="F561" t="s">
        <v>107</v>
      </c>
      <c r="G561" t="s">
        <v>1048</v>
      </c>
      <c r="H561" t="s">
        <v>3915</v>
      </c>
      <c r="I561" t="s">
        <v>70</v>
      </c>
      <c r="J561" t="s">
        <v>71</v>
      </c>
      <c r="K561">
        <v>52413.599999999999</v>
      </c>
      <c r="L561">
        <v>238.49</v>
      </c>
      <c r="M561" t="s">
        <v>3000</v>
      </c>
      <c r="N561">
        <v>219233</v>
      </c>
      <c r="O561">
        <v>13.9</v>
      </c>
      <c r="P561">
        <v>16.41</v>
      </c>
      <c r="R561">
        <v>2.88</v>
      </c>
      <c r="S561">
        <v>7.88</v>
      </c>
      <c r="T561" t="s">
        <v>458</v>
      </c>
      <c r="U561">
        <v>2</v>
      </c>
      <c r="V561" t="s">
        <v>1762</v>
      </c>
      <c r="W561" t="s">
        <v>821</v>
      </c>
      <c r="X561" t="s">
        <v>9648</v>
      </c>
      <c r="Z561" t="s">
        <v>1359</v>
      </c>
      <c r="AA561">
        <v>17.16</v>
      </c>
      <c r="AC561" t="s">
        <v>1989</v>
      </c>
      <c r="AD561" t="s">
        <v>4955</v>
      </c>
      <c r="AE561" t="s">
        <v>6293</v>
      </c>
      <c r="AF561" t="s">
        <v>405</v>
      </c>
      <c r="AG561" t="s">
        <v>5865</v>
      </c>
      <c r="AH561" t="s">
        <v>8517</v>
      </c>
      <c r="AI561" t="s">
        <v>9649</v>
      </c>
      <c r="AJ561" t="s">
        <v>4703</v>
      </c>
      <c r="AK561" t="s">
        <v>9650</v>
      </c>
      <c r="AL561">
        <v>0.98</v>
      </c>
      <c r="AM561">
        <v>0.85</v>
      </c>
      <c r="AN561">
        <v>3.97</v>
      </c>
      <c r="AO561" t="s">
        <v>7673</v>
      </c>
      <c r="AP561" t="s">
        <v>9547</v>
      </c>
      <c r="AQ561" t="s">
        <v>4847</v>
      </c>
      <c r="AR561" t="s">
        <v>6003</v>
      </c>
      <c r="AS561" t="s">
        <v>3118</v>
      </c>
      <c r="AT561" t="s">
        <v>3447</v>
      </c>
      <c r="AU561" t="s">
        <v>6990</v>
      </c>
      <c r="AV561" t="s">
        <v>9651</v>
      </c>
      <c r="AW561" t="s">
        <v>3485</v>
      </c>
      <c r="AX561" t="s">
        <v>635</v>
      </c>
      <c r="AY561" t="s">
        <v>5703</v>
      </c>
      <c r="AZ561" t="s">
        <v>3816</v>
      </c>
      <c r="BA561">
        <v>1.5</v>
      </c>
      <c r="BB561">
        <v>1819.31</v>
      </c>
      <c r="BC561">
        <v>0.42</v>
      </c>
      <c r="BD561">
        <v>237.62</v>
      </c>
      <c r="BE561">
        <v>240.39</v>
      </c>
      <c r="BF561">
        <v>237.99</v>
      </c>
      <c r="BG561" t="s">
        <v>9652</v>
      </c>
      <c r="BH561" t="s">
        <v>5703</v>
      </c>
      <c r="BI561" t="s">
        <v>9653</v>
      </c>
      <c r="BJ561" t="s">
        <v>101</v>
      </c>
      <c r="BK561" t="s">
        <v>8374</v>
      </c>
      <c r="BL561" t="s">
        <v>322</v>
      </c>
      <c r="BM561" t="s">
        <v>9654</v>
      </c>
      <c r="BN561" t="s">
        <v>4063</v>
      </c>
    </row>
    <row r="562" spans="1:66" x14ac:dyDescent="0.25">
      <c r="A562" t="str">
        <f>HYPERLINK("https://elite.finviz.com/quote.ashx?t=GRI&amp;ty=c&amp;p=d&amp;b=1", "GRI")</f>
        <v>GRI</v>
      </c>
      <c r="B562">
        <v>7</v>
      </c>
      <c r="C562">
        <v>138.38</v>
      </c>
      <c r="D562">
        <v>56.06</v>
      </c>
      <c r="E562" t="s">
        <v>9655</v>
      </c>
      <c r="F562" t="s">
        <v>107</v>
      </c>
      <c r="G562" t="s">
        <v>428</v>
      </c>
      <c r="H562" t="s">
        <v>429</v>
      </c>
      <c r="I562" t="s">
        <v>70</v>
      </c>
      <c r="J562" t="s">
        <v>321</v>
      </c>
      <c r="K562">
        <v>4.8</v>
      </c>
      <c r="L562">
        <v>1.91</v>
      </c>
      <c r="M562" t="s">
        <v>7568</v>
      </c>
      <c r="N562">
        <v>76926</v>
      </c>
      <c r="S562">
        <v>1.44</v>
      </c>
      <c r="AA562">
        <v>-25.87</v>
      </c>
      <c r="AB562" t="s">
        <v>9656</v>
      </c>
      <c r="AC562" t="s">
        <v>624</v>
      </c>
      <c r="AD562" t="s">
        <v>9657</v>
      </c>
      <c r="AI562" t="s">
        <v>79</v>
      </c>
      <c r="AJ562" t="s">
        <v>164</v>
      </c>
      <c r="AK562" t="s">
        <v>3169</v>
      </c>
      <c r="AL562">
        <v>2.41</v>
      </c>
      <c r="AM562">
        <v>2.41</v>
      </c>
      <c r="AN562">
        <v>0.03</v>
      </c>
      <c r="AR562" t="s">
        <v>702</v>
      </c>
      <c r="AS562" t="s">
        <v>3327</v>
      </c>
      <c r="AT562" t="s">
        <v>1676</v>
      </c>
      <c r="AU562" t="s">
        <v>8383</v>
      </c>
      <c r="AV562" t="s">
        <v>9658</v>
      </c>
      <c r="AW562" t="s">
        <v>9659</v>
      </c>
      <c r="AX562" t="s">
        <v>3410</v>
      </c>
      <c r="AY562" t="s">
        <v>403</v>
      </c>
      <c r="AZ562" t="s">
        <v>9660</v>
      </c>
      <c r="BA562">
        <v>1</v>
      </c>
      <c r="BB562">
        <v>1193.27</v>
      </c>
      <c r="BC562">
        <v>0.23</v>
      </c>
      <c r="BD562">
        <v>1.93</v>
      </c>
      <c r="BE562">
        <v>1.99</v>
      </c>
      <c r="BF562">
        <v>1.91</v>
      </c>
      <c r="BG562" t="s">
        <v>9661</v>
      </c>
      <c r="BH562" t="s">
        <v>579</v>
      </c>
      <c r="BI562" t="s">
        <v>9660</v>
      </c>
      <c r="BJ562" t="s">
        <v>101</v>
      </c>
      <c r="BK562" t="s">
        <v>9662</v>
      </c>
      <c r="BL562" t="s">
        <v>9663</v>
      </c>
      <c r="BM562" t="s">
        <v>9664</v>
      </c>
      <c r="BN562" t="s">
        <v>4063</v>
      </c>
    </row>
    <row r="563" spans="1:66" x14ac:dyDescent="0.25">
      <c r="A563" t="str">
        <f>HYPERLINK("https://elite.finviz.com/quote.ashx?t=DRS&amp;ty=c&amp;p=d&amp;b=1", "DRS")</f>
        <v>DRS</v>
      </c>
      <c r="B563">
        <v>7</v>
      </c>
      <c r="C563">
        <v>138.38</v>
      </c>
      <c r="D563">
        <v>56.06</v>
      </c>
      <c r="E563" t="s">
        <v>9665</v>
      </c>
      <c r="F563" t="s">
        <v>107</v>
      </c>
      <c r="G563" t="s">
        <v>260</v>
      </c>
      <c r="H563" t="s">
        <v>4779</v>
      </c>
      <c r="I563" t="s">
        <v>70</v>
      </c>
      <c r="J563" t="s">
        <v>321</v>
      </c>
      <c r="K563">
        <v>11467.27</v>
      </c>
      <c r="L563">
        <v>43.09</v>
      </c>
      <c r="M563" t="s">
        <v>4946</v>
      </c>
      <c r="N563">
        <v>153079</v>
      </c>
      <c r="O563">
        <v>46.31</v>
      </c>
      <c r="P563">
        <v>33.880000000000003</v>
      </c>
      <c r="Q563">
        <v>3.16</v>
      </c>
      <c r="R563">
        <v>3.35</v>
      </c>
      <c r="S563">
        <v>4.41</v>
      </c>
      <c r="T563" t="s">
        <v>7124</v>
      </c>
      <c r="U563">
        <v>0.27</v>
      </c>
      <c r="V563" t="s">
        <v>5737</v>
      </c>
      <c r="Z563" t="s">
        <v>164</v>
      </c>
      <c r="AA563">
        <v>0.93</v>
      </c>
      <c r="AB563" t="s">
        <v>9666</v>
      </c>
      <c r="AC563" t="s">
        <v>2887</v>
      </c>
      <c r="AD563" t="s">
        <v>3405</v>
      </c>
      <c r="AE563" t="s">
        <v>6331</v>
      </c>
      <c r="AF563" t="s">
        <v>1087</v>
      </c>
      <c r="AG563" t="s">
        <v>975</v>
      </c>
      <c r="AH563" t="s">
        <v>2085</v>
      </c>
      <c r="AI563" t="s">
        <v>7970</v>
      </c>
      <c r="AJ563" t="s">
        <v>2745</v>
      </c>
      <c r="AK563" t="s">
        <v>5068</v>
      </c>
      <c r="AL563">
        <v>2.11</v>
      </c>
      <c r="AM563">
        <v>1.7</v>
      </c>
      <c r="AN563">
        <v>0.18</v>
      </c>
      <c r="AO563" t="s">
        <v>3052</v>
      </c>
      <c r="AP563" t="s">
        <v>2459</v>
      </c>
      <c r="AQ563" t="s">
        <v>5151</v>
      </c>
      <c r="AR563" t="s">
        <v>4677</v>
      </c>
      <c r="AS563" t="s">
        <v>4216</v>
      </c>
      <c r="AT563" t="s">
        <v>5132</v>
      </c>
      <c r="AU563" t="s">
        <v>2125</v>
      </c>
      <c r="AV563" t="s">
        <v>904</v>
      </c>
      <c r="AW563" t="s">
        <v>9667</v>
      </c>
      <c r="AX563" t="s">
        <v>5114</v>
      </c>
      <c r="AY563" t="s">
        <v>9667</v>
      </c>
      <c r="AZ563" t="s">
        <v>9668</v>
      </c>
      <c r="BA563">
        <v>1.55</v>
      </c>
      <c r="BB563">
        <v>1285.94</v>
      </c>
      <c r="BC563">
        <v>0.42</v>
      </c>
      <c r="BD563">
        <v>42.35</v>
      </c>
      <c r="BE563">
        <v>43.35</v>
      </c>
      <c r="BF563">
        <v>42.8</v>
      </c>
      <c r="BG563" t="s">
        <v>9669</v>
      </c>
      <c r="BH563" t="s">
        <v>9670</v>
      </c>
      <c r="BI563" t="s">
        <v>9671</v>
      </c>
      <c r="BJ563" t="s">
        <v>101</v>
      </c>
      <c r="BK563" t="s">
        <v>9672</v>
      </c>
      <c r="BL563" t="s">
        <v>8719</v>
      </c>
      <c r="BM563" t="s">
        <v>9673</v>
      </c>
      <c r="BN563" t="s">
        <v>4063</v>
      </c>
    </row>
    <row r="564" spans="1:66" x14ac:dyDescent="0.25">
      <c r="A564" t="str">
        <f>HYPERLINK("https://elite.finviz.com/quote.ashx?t=VTYX&amp;ty=c&amp;p=d&amp;b=1", "VTYX")</f>
        <v>VTYX</v>
      </c>
      <c r="B564">
        <v>7</v>
      </c>
      <c r="C564">
        <v>138.38</v>
      </c>
      <c r="D564">
        <v>56.1</v>
      </c>
      <c r="E564" t="s">
        <v>9674</v>
      </c>
      <c r="F564" t="s">
        <v>107</v>
      </c>
      <c r="G564" t="s">
        <v>428</v>
      </c>
      <c r="H564" t="s">
        <v>429</v>
      </c>
      <c r="I564" t="s">
        <v>70</v>
      </c>
      <c r="J564" t="s">
        <v>321</v>
      </c>
      <c r="K564">
        <v>192.11</v>
      </c>
      <c r="L564">
        <v>2.69</v>
      </c>
      <c r="M564" t="s">
        <v>183</v>
      </c>
      <c r="N564">
        <v>90546</v>
      </c>
      <c r="S564">
        <v>0.92</v>
      </c>
      <c r="AA564">
        <v>-1.68</v>
      </c>
      <c r="AB564" t="s">
        <v>786</v>
      </c>
      <c r="AC564" t="s">
        <v>9675</v>
      </c>
      <c r="AD564" t="s">
        <v>3013</v>
      </c>
      <c r="AI564" t="s">
        <v>8322</v>
      </c>
      <c r="AJ564" t="s">
        <v>7709</v>
      </c>
      <c r="AK564" t="s">
        <v>9676</v>
      </c>
      <c r="AL564">
        <v>19.12</v>
      </c>
      <c r="AM564">
        <v>19.12</v>
      </c>
      <c r="AN564">
        <v>0.05</v>
      </c>
      <c r="AR564" t="s">
        <v>5387</v>
      </c>
      <c r="AS564" t="s">
        <v>3746</v>
      </c>
      <c r="AT564" t="s">
        <v>5579</v>
      </c>
      <c r="AU564" t="s">
        <v>2720</v>
      </c>
      <c r="AV564" t="s">
        <v>113</v>
      </c>
      <c r="AW564" t="s">
        <v>5064</v>
      </c>
      <c r="AX564" t="s">
        <v>5886</v>
      </c>
      <c r="AY564" t="s">
        <v>9677</v>
      </c>
      <c r="AZ564" t="s">
        <v>9678</v>
      </c>
      <c r="BA564">
        <v>1.5</v>
      </c>
      <c r="BB564">
        <v>1032.72</v>
      </c>
      <c r="BC564">
        <v>0.31</v>
      </c>
      <c r="BD564">
        <v>2.69</v>
      </c>
      <c r="BE564">
        <v>2.78</v>
      </c>
      <c r="BF564">
        <v>2.67</v>
      </c>
      <c r="BG564" t="s">
        <v>9679</v>
      </c>
      <c r="BH564" t="s">
        <v>9680</v>
      </c>
      <c r="BI564" t="s">
        <v>9678</v>
      </c>
      <c r="BJ564" t="s">
        <v>101</v>
      </c>
      <c r="BK564" t="s">
        <v>9681</v>
      </c>
      <c r="BL564" t="s">
        <v>9682</v>
      </c>
      <c r="BM564" t="s">
        <v>2200</v>
      </c>
      <c r="BN564" t="s">
        <v>4063</v>
      </c>
    </row>
    <row r="565" spans="1:66" x14ac:dyDescent="0.25">
      <c r="A565" t="str">
        <f>HYPERLINK("https://elite.finviz.com/quote.ashx?t=UBER&amp;ty=c&amp;p=d&amp;b=1", "UBER")</f>
        <v>UBER</v>
      </c>
      <c r="B565">
        <v>7</v>
      </c>
      <c r="C565">
        <v>138.38</v>
      </c>
      <c r="D565">
        <v>56.14</v>
      </c>
      <c r="E565" t="s">
        <v>9683</v>
      </c>
      <c r="F565" t="s">
        <v>195</v>
      </c>
      <c r="G565" t="s">
        <v>108</v>
      </c>
      <c r="H565" t="s">
        <v>136</v>
      </c>
      <c r="I565" t="s">
        <v>70</v>
      </c>
      <c r="J565" t="s">
        <v>71</v>
      </c>
      <c r="K565">
        <v>203745.4</v>
      </c>
      <c r="L565">
        <v>97.7</v>
      </c>
      <c r="M565" t="s">
        <v>2757</v>
      </c>
      <c r="N565">
        <v>3481442</v>
      </c>
      <c r="O565">
        <v>16.579999999999998</v>
      </c>
      <c r="P565">
        <v>27.24</v>
      </c>
      <c r="R565">
        <v>4.3</v>
      </c>
      <c r="S565">
        <v>9.02</v>
      </c>
      <c r="Z565" t="s">
        <v>164</v>
      </c>
      <c r="AA565">
        <v>5.89</v>
      </c>
      <c r="AD565" t="s">
        <v>4809</v>
      </c>
      <c r="AE565" t="s">
        <v>3741</v>
      </c>
      <c r="AF565" t="s">
        <v>686</v>
      </c>
      <c r="AG565" t="s">
        <v>7389</v>
      </c>
      <c r="AH565" t="s">
        <v>9684</v>
      </c>
      <c r="AI565" t="s">
        <v>211</v>
      </c>
      <c r="AJ565" t="s">
        <v>241</v>
      </c>
      <c r="AK565" t="s">
        <v>9685</v>
      </c>
      <c r="AL565">
        <v>1.1100000000000001</v>
      </c>
      <c r="AM565">
        <v>1.1100000000000001</v>
      </c>
      <c r="AN565">
        <v>0.55000000000000004</v>
      </c>
      <c r="AO565" t="s">
        <v>9686</v>
      </c>
      <c r="AP565" t="s">
        <v>531</v>
      </c>
      <c r="AQ565" t="s">
        <v>9687</v>
      </c>
      <c r="AR565" t="s">
        <v>1902</v>
      </c>
      <c r="AS565" t="s">
        <v>295</v>
      </c>
      <c r="AT565" t="s">
        <v>679</v>
      </c>
      <c r="AU565" t="s">
        <v>5969</v>
      </c>
      <c r="AV565" t="s">
        <v>3538</v>
      </c>
      <c r="AW565" t="s">
        <v>6123</v>
      </c>
      <c r="AX565" t="s">
        <v>8684</v>
      </c>
      <c r="AY565" t="s">
        <v>6123</v>
      </c>
      <c r="AZ565" t="s">
        <v>9688</v>
      </c>
      <c r="BA565">
        <v>1.51</v>
      </c>
      <c r="BB565">
        <v>18075.240000000002</v>
      </c>
      <c r="BC565">
        <v>0.68</v>
      </c>
      <c r="BD565">
        <v>97.6</v>
      </c>
      <c r="BE565">
        <v>98.35</v>
      </c>
      <c r="BF565">
        <v>97.03</v>
      </c>
      <c r="BG565" t="s">
        <v>9689</v>
      </c>
      <c r="BH565" t="s">
        <v>6123</v>
      </c>
      <c r="BI565" t="s">
        <v>9690</v>
      </c>
      <c r="BJ565" t="s">
        <v>101</v>
      </c>
      <c r="BK565" t="s">
        <v>2823</v>
      </c>
      <c r="BL565" t="s">
        <v>5724</v>
      </c>
      <c r="BM565" t="s">
        <v>9619</v>
      </c>
      <c r="BN565" t="s">
        <v>4063</v>
      </c>
    </row>
    <row r="566" spans="1:66" x14ac:dyDescent="0.25">
      <c r="A566" t="str">
        <f>HYPERLINK("https://elite.finviz.com/quote.ashx?t=SLB&amp;ty=c&amp;p=d&amp;b=1", "SLB")</f>
        <v>SLB</v>
      </c>
      <c r="B566">
        <v>7</v>
      </c>
      <c r="C566">
        <v>138.38</v>
      </c>
      <c r="D566">
        <v>56.16</v>
      </c>
      <c r="E566" t="s">
        <v>9691</v>
      </c>
      <c r="F566" t="s">
        <v>195</v>
      </c>
      <c r="G566" t="s">
        <v>1048</v>
      </c>
      <c r="H566" t="s">
        <v>8341</v>
      </c>
      <c r="I566" t="s">
        <v>70</v>
      </c>
      <c r="J566" t="s">
        <v>71</v>
      </c>
      <c r="K566">
        <v>53248.24</v>
      </c>
      <c r="L566">
        <v>35.65</v>
      </c>
      <c r="M566" t="s">
        <v>2473</v>
      </c>
      <c r="N566">
        <v>4276954</v>
      </c>
      <c r="O566">
        <v>12.21</v>
      </c>
      <c r="P566">
        <v>11.55</v>
      </c>
      <c r="Q566">
        <v>13.57</v>
      </c>
      <c r="R566">
        <v>1.5</v>
      </c>
      <c r="S566">
        <v>2.37</v>
      </c>
      <c r="T566" t="s">
        <v>4204</v>
      </c>
      <c r="U566">
        <v>1.1299999999999999</v>
      </c>
      <c r="V566" t="s">
        <v>7315</v>
      </c>
      <c r="W566" t="s">
        <v>3962</v>
      </c>
      <c r="X566" t="s">
        <v>6360</v>
      </c>
      <c r="Y566" t="s">
        <v>6266</v>
      </c>
      <c r="Z566" t="s">
        <v>8981</v>
      </c>
      <c r="AA566">
        <v>2.92</v>
      </c>
      <c r="AB566" t="s">
        <v>9692</v>
      </c>
      <c r="AD566" t="s">
        <v>3493</v>
      </c>
      <c r="AE566" t="s">
        <v>2759</v>
      </c>
      <c r="AF566" t="s">
        <v>830</v>
      </c>
      <c r="AG566" t="s">
        <v>5258</v>
      </c>
      <c r="AH566" t="s">
        <v>4622</v>
      </c>
      <c r="AI566" t="s">
        <v>1560</v>
      </c>
      <c r="AJ566" t="s">
        <v>6256</v>
      </c>
      <c r="AK566" t="s">
        <v>9693</v>
      </c>
      <c r="AL566">
        <v>1.31</v>
      </c>
      <c r="AM566">
        <v>0.98</v>
      </c>
      <c r="AN566">
        <v>0.67</v>
      </c>
      <c r="AO566" t="s">
        <v>8057</v>
      </c>
      <c r="AP566" t="s">
        <v>3238</v>
      </c>
      <c r="AQ566" t="s">
        <v>777</v>
      </c>
      <c r="AR566" t="s">
        <v>4839</v>
      </c>
      <c r="AS566" t="s">
        <v>2743</v>
      </c>
      <c r="AT566" t="s">
        <v>2630</v>
      </c>
      <c r="AU566" t="s">
        <v>6104</v>
      </c>
      <c r="AV566" t="s">
        <v>5763</v>
      </c>
      <c r="AW566" t="s">
        <v>5913</v>
      </c>
      <c r="AX566" t="s">
        <v>4067</v>
      </c>
      <c r="AY566" t="s">
        <v>9694</v>
      </c>
      <c r="AZ566" t="s">
        <v>1563</v>
      </c>
      <c r="BA566">
        <v>1.41</v>
      </c>
      <c r="BB566">
        <v>16236</v>
      </c>
      <c r="BC566">
        <v>0.93</v>
      </c>
      <c r="BD566">
        <v>34.590000000000003</v>
      </c>
      <c r="BE566">
        <v>35.909999999999997</v>
      </c>
      <c r="BF566">
        <v>34.81</v>
      </c>
      <c r="BG566" t="s">
        <v>9695</v>
      </c>
      <c r="BH566" t="s">
        <v>9696</v>
      </c>
      <c r="BI566" t="s">
        <v>9697</v>
      </c>
      <c r="BJ566" t="s">
        <v>101</v>
      </c>
      <c r="BK566" t="s">
        <v>454</v>
      </c>
      <c r="BL566" t="s">
        <v>8624</v>
      </c>
      <c r="BM566" t="s">
        <v>9698</v>
      </c>
      <c r="BN566" t="s">
        <v>4063</v>
      </c>
    </row>
    <row r="567" spans="1:66" x14ac:dyDescent="0.25">
      <c r="A567" t="str">
        <f>HYPERLINK("https://elite.finviz.com/quote.ashx?t=NTNX&amp;ty=c&amp;p=d&amp;b=1", "NTNX")</f>
        <v>NTNX</v>
      </c>
      <c r="B567">
        <v>7</v>
      </c>
      <c r="C567">
        <v>138.38</v>
      </c>
      <c r="D567">
        <v>56.23</v>
      </c>
      <c r="E567" t="s">
        <v>9699</v>
      </c>
      <c r="F567" t="s">
        <v>107</v>
      </c>
      <c r="G567" t="s">
        <v>108</v>
      </c>
      <c r="H567" t="s">
        <v>109</v>
      </c>
      <c r="I567" t="s">
        <v>70</v>
      </c>
      <c r="J567" t="s">
        <v>321</v>
      </c>
      <c r="K567">
        <v>20587.39</v>
      </c>
      <c r="L567">
        <v>76.59</v>
      </c>
      <c r="M567" t="s">
        <v>2560</v>
      </c>
      <c r="N567">
        <v>378006</v>
      </c>
      <c r="O567">
        <v>119.1</v>
      </c>
      <c r="P567">
        <v>33.75</v>
      </c>
      <c r="Q567">
        <v>7.72</v>
      </c>
      <c r="R567">
        <v>8.11</v>
      </c>
      <c r="Z567" t="s">
        <v>164</v>
      </c>
      <c r="AA567">
        <v>0.64</v>
      </c>
      <c r="AD567" t="s">
        <v>310</v>
      </c>
      <c r="AE567" t="s">
        <v>3710</v>
      </c>
      <c r="AF567" t="s">
        <v>2866</v>
      </c>
      <c r="AG567" t="s">
        <v>9700</v>
      </c>
      <c r="AH567" t="s">
        <v>2067</v>
      </c>
      <c r="AI567" t="s">
        <v>1455</v>
      </c>
      <c r="AJ567" t="s">
        <v>9701</v>
      </c>
      <c r="AK567" t="s">
        <v>9702</v>
      </c>
      <c r="AL567">
        <v>1.72</v>
      </c>
      <c r="AM567">
        <v>1.72</v>
      </c>
      <c r="AO567" t="s">
        <v>2142</v>
      </c>
      <c r="AP567" t="s">
        <v>9703</v>
      </c>
      <c r="AQ567" t="s">
        <v>699</v>
      </c>
      <c r="AR567" t="s">
        <v>2700</v>
      </c>
      <c r="AS567" t="s">
        <v>2317</v>
      </c>
      <c r="AT567" t="s">
        <v>4255</v>
      </c>
      <c r="AU567" t="s">
        <v>3450</v>
      </c>
      <c r="AV567" t="s">
        <v>223</v>
      </c>
      <c r="AW567" t="s">
        <v>9704</v>
      </c>
      <c r="AX567" t="s">
        <v>9440</v>
      </c>
      <c r="AY567" t="s">
        <v>7954</v>
      </c>
      <c r="AZ567" t="s">
        <v>9705</v>
      </c>
      <c r="BA567">
        <v>1.41</v>
      </c>
      <c r="BB567">
        <v>3542.51</v>
      </c>
      <c r="BC567">
        <v>0.38</v>
      </c>
      <c r="BD567">
        <v>76.459999999999994</v>
      </c>
      <c r="BE567">
        <v>77.05</v>
      </c>
      <c r="BF567">
        <v>76.239999999999995</v>
      </c>
      <c r="BG567" t="s">
        <v>9706</v>
      </c>
      <c r="BH567" t="s">
        <v>7954</v>
      </c>
      <c r="BI567" t="s">
        <v>9707</v>
      </c>
      <c r="BJ567" t="s">
        <v>101</v>
      </c>
      <c r="BK567" t="s">
        <v>6336</v>
      </c>
      <c r="BL567" t="s">
        <v>8286</v>
      </c>
      <c r="BM567" t="s">
        <v>3961</v>
      </c>
      <c r="BN567" t="s">
        <v>4063</v>
      </c>
    </row>
    <row r="568" spans="1:66" x14ac:dyDescent="0.25">
      <c r="A568" t="str">
        <f>HYPERLINK("https://elite.finviz.com/quote.ashx?t=OMER&amp;ty=c&amp;p=d&amp;b=1", "OMER")</f>
        <v>OMER</v>
      </c>
      <c r="B568">
        <v>7</v>
      </c>
      <c r="C568">
        <v>138.38</v>
      </c>
      <c r="D568">
        <v>56.24</v>
      </c>
      <c r="E568" t="s">
        <v>9708</v>
      </c>
      <c r="F568" t="s">
        <v>67</v>
      </c>
      <c r="G568" t="s">
        <v>428</v>
      </c>
      <c r="H568" t="s">
        <v>429</v>
      </c>
      <c r="I568" t="s">
        <v>70</v>
      </c>
      <c r="J568" t="s">
        <v>321</v>
      </c>
      <c r="K568">
        <v>295.44</v>
      </c>
      <c r="L568">
        <v>4.34</v>
      </c>
      <c r="M568" t="s">
        <v>745</v>
      </c>
      <c r="N568">
        <v>171190</v>
      </c>
      <c r="AA568">
        <v>-2.11</v>
      </c>
      <c r="AB568" t="s">
        <v>9709</v>
      </c>
      <c r="AC568" t="s">
        <v>9710</v>
      </c>
      <c r="AI568" t="s">
        <v>3756</v>
      </c>
      <c r="AJ568" t="s">
        <v>164</v>
      </c>
      <c r="AK568" t="s">
        <v>2681</v>
      </c>
      <c r="AL568">
        <v>0.81</v>
      </c>
      <c r="AM568">
        <v>0.81</v>
      </c>
      <c r="AR568" t="s">
        <v>6226</v>
      </c>
      <c r="AS568" t="s">
        <v>8229</v>
      </c>
      <c r="AT568" t="s">
        <v>7088</v>
      </c>
      <c r="AU568" t="s">
        <v>2408</v>
      </c>
      <c r="AV568" t="s">
        <v>6277</v>
      </c>
      <c r="AW568" t="s">
        <v>9711</v>
      </c>
      <c r="AX568" t="s">
        <v>7376</v>
      </c>
      <c r="AY568" t="s">
        <v>9712</v>
      </c>
      <c r="AZ568" t="s">
        <v>1172</v>
      </c>
      <c r="BA568">
        <v>2</v>
      </c>
      <c r="BB568">
        <v>1136.0899999999999</v>
      </c>
      <c r="BC568">
        <v>0.53</v>
      </c>
      <c r="BD568">
        <v>4.38</v>
      </c>
      <c r="BE568">
        <v>4.3899999999999997</v>
      </c>
      <c r="BF568">
        <v>4.24</v>
      </c>
      <c r="BG568" t="s">
        <v>9713</v>
      </c>
      <c r="BH568" t="s">
        <v>9714</v>
      </c>
      <c r="BI568" t="s">
        <v>9715</v>
      </c>
      <c r="BJ568" t="s">
        <v>101</v>
      </c>
      <c r="BK568" t="s">
        <v>9716</v>
      </c>
      <c r="BL568" t="s">
        <v>9717</v>
      </c>
      <c r="BM568" t="s">
        <v>9718</v>
      </c>
      <c r="BN568" t="s">
        <v>4063</v>
      </c>
    </row>
    <row r="569" spans="1:66" x14ac:dyDescent="0.25">
      <c r="A569" t="str">
        <f>HYPERLINK("https://elite.finviz.com/quote.ashx?t=MTDR&amp;ty=c&amp;p=d&amp;b=1", "MTDR")</f>
        <v>MTDR</v>
      </c>
      <c r="B569">
        <v>7</v>
      </c>
      <c r="C569">
        <v>138.38</v>
      </c>
      <c r="D569">
        <v>56.24</v>
      </c>
      <c r="E569" t="s">
        <v>9719</v>
      </c>
      <c r="F569" t="s">
        <v>107</v>
      </c>
      <c r="G569" t="s">
        <v>1048</v>
      </c>
      <c r="H569" t="s">
        <v>1049</v>
      </c>
      <c r="I569" t="s">
        <v>70</v>
      </c>
      <c r="J569" t="s">
        <v>71</v>
      </c>
      <c r="K569">
        <v>6155</v>
      </c>
      <c r="L569">
        <v>49.44</v>
      </c>
      <c r="M569" t="s">
        <v>862</v>
      </c>
      <c r="N569">
        <v>218910</v>
      </c>
      <c r="O569">
        <v>7.25</v>
      </c>
      <c r="P569">
        <v>8.1300000000000008</v>
      </c>
      <c r="Q569">
        <v>20.71</v>
      </c>
      <c r="R569">
        <v>1.63</v>
      </c>
      <c r="S569">
        <v>1.1399999999999999</v>
      </c>
      <c r="T569" t="s">
        <v>2643</v>
      </c>
      <c r="U569">
        <v>1.19</v>
      </c>
      <c r="V569" t="s">
        <v>3046</v>
      </c>
      <c r="W569" t="s">
        <v>7097</v>
      </c>
      <c r="X569" t="s">
        <v>9720</v>
      </c>
      <c r="Z569" t="s">
        <v>2891</v>
      </c>
      <c r="AA569">
        <v>6.82</v>
      </c>
      <c r="AB569" t="s">
        <v>3955</v>
      </c>
      <c r="AC569" t="s">
        <v>7038</v>
      </c>
      <c r="AD569" t="s">
        <v>141</v>
      </c>
      <c r="AE569" t="s">
        <v>9721</v>
      </c>
      <c r="AF569" t="s">
        <v>9722</v>
      </c>
      <c r="AG569" t="s">
        <v>1045</v>
      </c>
      <c r="AH569" t="s">
        <v>3100</v>
      </c>
      <c r="AI569" t="s">
        <v>267</v>
      </c>
      <c r="AJ569" t="s">
        <v>2423</v>
      </c>
      <c r="AK569" t="s">
        <v>9723</v>
      </c>
      <c r="AL569">
        <v>0.85</v>
      </c>
      <c r="AM569">
        <v>0.81</v>
      </c>
      <c r="AN569">
        <v>0.61</v>
      </c>
      <c r="AO569" t="s">
        <v>9724</v>
      </c>
      <c r="AP569" t="s">
        <v>977</v>
      </c>
      <c r="AQ569" t="s">
        <v>9157</v>
      </c>
      <c r="AR569" t="s">
        <v>3482</v>
      </c>
      <c r="AS569" t="s">
        <v>6770</v>
      </c>
      <c r="AT569" t="s">
        <v>2146</v>
      </c>
      <c r="AU569" t="s">
        <v>5263</v>
      </c>
      <c r="AV569" t="s">
        <v>8634</v>
      </c>
      <c r="AW569" t="s">
        <v>9725</v>
      </c>
      <c r="AX569" t="s">
        <v>2085</v>
      </c>
      <c r="AY569" t="s">
        <v>7181</v>
      </c>
      <c r="AZ569" t="s">
        <v>9726</v>
      </c>
      <c r="BA569">
        <v>1.33</v>
      </c>
      <c r="BB569">
        <v>1648.4</v>
      </c>
      <c r="BC569">
        <v>0.47</v>
      </c>
      <c r="BD569">
        <v>48.06</v>
      </c>
      <c r="BE569">
        <v>49.85</v>
      </c>
      <c r="BF569">
        <v>48.09</v>
      </c>
      <c r="BG569" t="s">
        <v>9727</v>
      </c>
      <c r="BH569" t="s">
        <v>3384</v>
      </c>
      <c r="BI569" t="s">
        <v>9728</v>
      </c>
      <c r="BJ569" t="s">
        <v>101</v>
      </c>
      <c r="BK569" t="s">
        <v>1776</v>
      </c>
      <c r="BL569" t="s">
        <v>2998</v>
      </c>
      <c r="BM569" t="s">
        <v>5246</v>
      </c>
      <c r="BN569" t="s">
        <v>4063</v>
      </c>
    </row>
    <row r="570" spans="1:66" x14ac:dyDescent="0.25">
      <c r="A570" t="str">
        <f>HYPERLINK("https://elite.finviz.com/quote.ashx?t=MET&amp;ty=c&amp;p=d&amp;b=1", "MET")</f>
        <v>MET</v>
      </c>
      <c r="B570">
        <v>7</v>
      </c>
      <c r="C570">
        <v>138.38</v>
      </c>
      <c r="D570">
        <v>56.24</v>
      </c>
      <c r="E570" t="s">
        <v>9729</v>
      </c>
      <c r="F570" t="s">
        <v>195</v>
      </c>
      <c r="G570" t="s">
        <v>550</v>
      </c>
      <c r="H570" t="s">
        <v>5652</v>
      </c>
      <c r="I570" t="s">
        <v>70</v>
      </c>
      <c r="J570" t="s">
        <v>71</v>
      </c>
      <c r="K570">
        <v>53742.75</v>
      </c>
      <c r="L570">
        <v>80.81</v>
      </c>
      <c r="M570" t="s">
        <v>1022</v>
      </c>
      <c r="N570">
        <v>446647</v>
      </c>
      <c r="O570">
        <v>13.7</v>
      </c>
      <c r="P570">
        <v>8.02</v>
      </c>
      <c r="Q570">
        <v>1.19</v>
      </c>
      <c r="R570">
        <v>0.74</v>
      </c>
      <c r="S570">
        <v>1.95</v>
      </c>
      <c r="T570" t="s">
        <v>3456</v>
      </c>
      <c r="U570">
        <v>2.23</v>
      </c>
      <c r="V570" t="s">
        <v>6057</v>
      </c>
      <c r="W570" t="s">
        <v>6936</v>
      </c>
      <c r="X570" t="s">
        <v>3521</v>
      </c>
      <c r="Y570" t="s">
        <v>3443</v>
      </c>
      <c r="Z570" t="s">
        <v>2986</v>
      </c>
      <c r="AA570">
        <v>5.9</v>
      </c>
      <c r="AB570" t="s">
        <v>217</v>
      </c>
      <c r="AC570" t="s">
        <v>1564</v>
      </c>
      <c r="AD570" t="s">
        <v>777</v>
      </c>
      <c r="AE570" t="s">
        <v>2776</v>
      </c>
      <c r="AF570" t="s">
        <v>4308</v>
      </c>
      <c r="AG570" t="s">
        <v>6719</v>
      </c>
      <c r="AH570" t="s">
        <v>72</v>
      </c>
      <c r="AI570" t="s">
        <v>6755</v>
      </c>
      <c r="AJ570" t="s">
        <v>7709</v>
      </c>
      <c r="AK570" t="s">
        <v>9730</v>
      </c>
      <c r="AL570">
        <v>4.34</v>
      </c>
      <c r="AN570">
        <v>0.73</v>
      </c>
      <c r="AP570" t="s">
        <v>9280</v>
      </c>
      <c r="AQ570" t="s">
        <v>334</v>
      </c>
      <c r="AR570" t="s">
        <v>3544</v>
      </c>
      <c r="AS570" t="s">
        <v>910</v>
      </c>
      <c r="AT570" t="s">
        <v>458</v>
      </c>
      <c r="AU570" t="s">
        <v>2146</v>
      </c>
      <c r="AV570" t="s">
        <v>4881</v>
      </c>
      <c r="AW570" t="s">
        <v>8053</v>
      </c>
      <c r="AX570" t="s">
        <v>4110</v>
      </c>
      <c r="AY570" t="s">
        <v>9731</v>
      </c>
      <c r="AZ570" t="s">
        <v>9732</v>
      </c>
      <c r="BA570">
        <v>1.81</v>
      </c>
      <c r="BB570">
        <v>3298.93</v>
      </c>
      <c r="BC570">
        <v>0.48</v>
      </c>
      <c r="BD570">
        <v>80.28</v>
      </c>
      <c r="BE570">
        <v>81.87</v>
      </c>
      <c r="BF570">
        <v>80.739999999999995</v>
      </c>
      <c r="BG570" t="s">
        <v>9733</v>
      </c>
      <c r="BH570" t="s">
        <v>9731</v>
      </c>
      <c r="BI570" t="s">
        <v>9734</v>
      </c>
      <c r="BJ570" t="s">
        <v>101</v>
      </c>
      <c r="BK570" t="s">
        <v>2418</v>
      </c>
      <c r="BL570" t="s">
        <v>4316</v>
      </c>
      <c r="BM570" t="s">
        <v>914</v>
      </c>
      <c r="BN570" t="s">
        <v>4063</v>
      </c>
    </row>
    <row r="571" spans="1:66" x14ac:dyDescent="0.25">
      <c r="A571" t="str">
        <f>HYPERLINK("https://elite.finviz.com/quote.ashx?t=FSLY&amp;ty=c&amp;p=d&amp;b=1", "FSLY")</f>
        <v>FSLY</v>
      </c>
      <c r="B571">
        <v>7</v>
      </c>
      <c r="C571">
        <v>138.38</v>
      </c>
      <c r="D571">
        <v>56.31</v>
      </c>
      <c r="E571" t="s">
        <v>9735</v>
      </c>
      <c r="F571" t="s">
        <v>67</v>
      </c>
      <c r="G571" t="s">
        <v>108</v>
      </c>
      <c r="H571" t="s">
        <v>136</v>
      </c>
      <c r="I571" t="s">
        <v>70</v>
      </c>
      <c r="J571" t="s">
        <v>71</v>
      </c>
      <c r="K571">
        <v>1230.06</v>
      </c>
      <c r="L571">
        <v>8.35</v>
      </c>
      <c r="M571" t="s">
        <v>4507</v>
      </c>
      <c r="N571">
        <v>390478</v>
      </c>
      <c r="P571">
        <v>289.95999999999998</v>
      </c>
      <c r="R571">
        <v>2.15</v>
      </c>
      <c r="S571">
        <v>1.3</v>
      </c>
      <c r="AA571">
        <v>-1.04</v>
      </c>
      <c r="AB571" t="s">
        <v>8400</v>
      </c>
      <c r="AC571" t="s">
        <v>5677</v>
      </c>
      <c r="AE571" t="s">
        <v>5847</v>
      </c>
      <c r="AF571" t="s">
        <v>2470</v>
      </c>
      <c r="AG571" t="s">
        <v>8580</v>
      </c>
      <c r="AH571" t="s">
        <v>9736</v>
      </c>
      <c r="AI571" t="s">
        <v>9737</v>
      </c>
      <c r="AJ571" t="s">
        <v>9738</v>
      </c>
      <c r="AK571" t="s">
        <v>9739</v>
      </c>
      <c r="AL571">
        <v>1.49</v>
      </c>
      <c r="AM571">
        <v>1.49</v>
      </c>
      <c r="AN571">
        <v>0.44</v>
      </c>
      <c r="AO571" t="s">
        <v>3900</v>
      </c>
      <c r="AP571" t="s">
        <v>6658</v>
      </c>
      <c r="AQ571" t="s">
        <v>9740</v>
      </c>
      <c r="AR571" t="s">
        <v>3887</v>
      </c>
      <c r="AS571" t="s">
        <v>5620</v>
      </c>
      <c r="AT571" t="s">
        <v>6726</v>
      </c>
      <c r="AU571" t="s">
        <v>7898</v>
      </c>
      <c r="AV571" t="s">
        <v>4378</v>
      </c>
      <c r="AW571" t="s">
        <v>9741</v>
      </c>
      <c r="AX571" t="s">
        <v>9742</v>
      </c>
      <c r="AY571" t="s">
        <v>9743</v>
      </c>
      <c r="AZ571" t="s">
        <v>9744</v>
      </c>
      <c r="BA571">
        <v>3</v>
      </c>
      <c r="BB571">
        <v>2902.76</v>
      </c>
      <c r="BC571">
        <v>0.47</v>
      </c>
      <c r="BD571">
        <v>8.34</v>
      </c>
      <c r="BE571">
        <v>8.44</v>
      </c>
      <c r="BF571">
        <v>8.24</v>
      </c>
      <c r="BG571" t="s">
        <v>9745</v>
      </c>
      <c r="BH571" t="s">
        <v>9746</v>
      </c>
      <c r="BI571" t="s">
        <v>9744</v>
      </c>
      <c r="BJ571" t="s">
        <v>101</v>
      </c>
      <c r="BK571" t="s">
        <v>1531</v>
      </c>
      <c r="BL571" t="s">
        <v>9747</v>
      </c>
      <c r="BM571" t="s">
        <v>7575</v>
      </c>
      <c r="BN571" t="s">
        <v>4063</v>
      </c>
    </row>
    <row r="572" spans="1:66" x14ac:dyDescent="0.25">
      <c r="A572" t="str">
        <f>HYPERLINK("https://elite.finviz.com/quote.ashx?t=PVH&amp;ty=c&amp;p=d&amp;b=1", "PVH")</f>
        <v>PVH</v>
      </c>
      <c r="B572">
        <v>7</v>
      </c>
      <c r="C572">
        <v>138.38</v>
      </c>
      <c r="D572">
        <v>56.33</v>
      </c>
      <c r="E572" t="s">
        <v>9748</v>
      </c>
      <c r="F572" t="s">
        <v>107</v>
      </c>
      <c r="G572" t="s">
        <v>813</v>
      </c>
      <c r="H572" t="s">
        <v>7446</v>
      </c>
      <c r="I572" t="s">
        <v>70</v>
      </c>
      <c r="J572" t="s">
        <v>71</v>
      </c>
      <c r="K572">
        <v>4148.17</v>
      </c>
      <c r="L572">
        <v>86.21</v>
      </c>
      <c r="M572" t="s">
        <v>4901</v>
      </c>
      <c r="N572">
        <v>121695</v>
      </c>
      <c r="O572">
        <v>9.66</v>
      </c>
      <c r="P572">
        <v>7.18</v>
      </c>
      <c r="Q572">
        <v>2.25</v>
      </c>
      <c r="R572">
        <v>0.47</v>
      </c>
      <c r="S572">
        <v>0.85</v>
      </c>
      <c r="T572" t="s">
        <v>4794</v>
      </c>
      <c r="U572">
        <v>0.15</v>
      </c>
      <c r="V572" t="s">
        <v>7315</v>
      </c>
      <c r="W572" t="s">
        <v>164</v>
      </c>
      <c r="X572" t="s">
        <v>9749</v>
      </c>
      <c r="Y572" t="s">
        <v>164</v>
      </c>
      <c r="Z572" t="s">
        <v>3019</v>
      </c>
      <c r="AA572">
        <v>8.92</v>
      </c>
      <c r="AB572" t="s">
        <v>184</v>
      </c>
      <c r="AC572" t="s">
        <v>5390</v>
      </c>
      <c r="AD572" t="s">
        <v>3025</v>
      </c>
      <c r="AE572" t="s">
        <v>5789</v>
      </c>
      <c r="AF572" t="s">
        <v>4501</v>
      </c>
      <c r="AG572" t="s">
        <v>4131</v>
      </c>
      <c r="AH572" t="s">
        <v>2842</v>
      </c>
      <c r="AI572" t="s">
        <v>2001</v>
      </c>
      <c r="AJ572" t="s">
        <v>1088</v>
      </c>
      <c r="AK572" t="s">
        <v>9750</v>
      </c>
      <c r="AL572">
        <v>1.37</v>
      </c>
      <c r="AM572">
        <v>0.63</v>
      </c>
      <c r="AN572">
        <v>0.88</v>
      </c>
      <c r="AO572" t="s">
        <v>3247</v>
      </c>
      <c r="AP572" t="s">
        <v>9751</v>
      </c>
      <c r="AQ572" t="s">
        <v>4428</v>
      </c>
      <c r="AR572" t="s">
        <v>2146</v>
      </c>
      <c r="AS572" t="s">
        <v>4394</v>
      </c>
      <c r="AT572" t="s">
        <v>343</v>
      </c>
      <c r="AU572" t="s">
        <v>1676</v>
      </c>
      <c r="AV572" t="s">
        <v>3100</v>
      </c>
      <c r="AW572" t="s">
        <v>552</v>
      </c>
      <c r="AX572" t="s">
        <v>9752</v>
      </c>
      <c r="AY572" t="s">
        <v>3021</v>
      </c>
      <c r="AZ572" t="s">
        <v>9753</v>
      </c>
      <c r="BA572">
        <v>1.88</v>
      </c>
      <c r="BB572">
        <v>1215.6600000000001</v>
      </c>
      <c r="BC572">
        <v>0.35</v>
      </c>
      <c r="BD572">
        <v>85.74</v>
      </c>
      <c r="BE572">
        <v>86.71</v>
      </c>
      <c r="BF572">
        <v>86.04</v>
      </c>
      <c r="BG572" t="s">
        <v>9754</v>
      </c>
      <c r="BH572" t="s">
        <v>9755</v>
      </c>
      <c r="BI572" t="s">
        <v>9756</v>
      </c>
      <c r="BJ572" t="s">
        <v>101</v>
      </c>
      <c r="BK572" t="s">
        <v>4721</v>
      </c>
      <c r="BL572" t="s">
        <v>4609</v>
      </c>
      <c r="BM572" t="s">
        <v>9757</v>
      </c>
      <c r="BN572" t="s">
        <v>4063</v>
      </c>
    </row>
    <row r="573" spans="1:66" x14ac:dyDescent="0.25">
      <c r="A573" t="str">
        <f>HYPERLINK("https://elite.finviz.com/quote.ashx?t=IDYA&amp;ty=c&amp;p=d&amp;b=1", "IDYA")</f>
        <v>IDYA</v>
      </c>
      <c r="B573">
        <v>7</v>
      </c>
      <c r="C573">
        <v>138.38</v>
      </c>
      <c r="D573">
        <v>56.33</v>
      </c>
      <c r="E573" t="s">
        <v>9758</v>
      </c>
      <c r="F573" t="s">
        <v>67</v>
      </c>
      <c r="G573" t="s">
        <v>428</v>
      </c>
      <c r="H573" t="s">
        <v>429</v>
      </c>
      <c r="I573" t="s">
        <v>70</v>
      </c>
      <c r="J573" t="s">
        <v>321</v>
      </c>
      <c r="K573">
        <v>2268.2199999999998</v>
      </c>
      <c r="L573">
        <v>25.88</v>
      </c>
      <c r="M573" t="s">
        <v>1764</v>
      </c>
      <c r="N573">
        <v>311844</v>
      </c>
      <c r="R573">
        <v>324.02999999999997</v>
      </c>
      <c r="S573">
        <v>2.36</v>
      </c>
      <c r="AA573">
        <v>-3.79</v>
      </c>
      <c r="AB573" t="s">
        <v>1232</v>
      </c>
      <c r="AC573" t="s">
        <v>1249</v>
      </c>
      <c r="AD573" t="s">
        <v>1772</v>
      </c>
      <c r="AE573" t="s">
        <v>9759</v>
      </c>
      <c r="AF573" t="s">
        <v>9760</v>
      </c>
      <c r="AI573" t="s">
        <v>9761</v>
      </c>
      <c r="AJ573" t="s">
        <v>164</v>
      </c>
      <c r="AK573" t="s">
        <v>9762</v>
      </c>
      <c r="AL573">
        <v>12.39</v>
      </c>
      <c r="AM573">
        <v>12.39</v>
      </c>
      <c r="AN573">
        <v>0.03</v>
      </c>
      <c r="AO573" t="s">
        <v>9763</v>
      </c>
      <c r="AP573" t="s">
        <v>9764</v>
      </c>
      <c r="AQ573" t="s">
        <v>9765</v>
      </c>
      <c r="AR573" t="s">
        <v>4294</v>
      </c>
      <c r="AS573" t="s">
        <v>585</v>
      </c>
      <c r="AT573" t="s">
        <v>4255</v>
      </c>
      <c r="AU573" t="s">
        <v>3957</v>
      </c>
      <c r="AV573" t="s">
        <v>7776</v>
      </c>
      <c r="AW573" t="s">
        <v>7750</v>
      </c>
      <c r="AX573" t="s">
        <v>8327</v>
      </c>
      <c r="AY573" t="s">
        <v>9766</v>
      </c>
      <c r="AZ573" t="s">
        <v>9767</v>
      </c>
      <c r="BA573">
        <v>1.26</v>
      </c>
      <c r="BB573">
        <v>1128.3</v>
      </c>
      <c r="BC573">
        <v>0.97</v>
      </c>
      <c r="BD573">
        <v>25.69</v>
      </c>
      <c r="BE573">
        <v>26.05</v>
      </c>
      <c r="BF573">
        <v>25.59</v>
      </c>
      <c r="BG573" t="s">
        <v>9768</v>
      </c>
      <c r="BH573" t="s">
        <v>9769</v>
      </c>
      <c r="BI573" t="s">
        <v>9770</v>
      </c>
      <c r="BJ573" t="s">
        <v>101</v>
      </c>
      <c r="BK573" t="s">
        <v>6968</v>
      </c>
      <c r="BL573" t="s">
        <v>4663</v>
      </c>
      <c r="BM573" t="s">
        <v>9443</v>
      </c>
      <c r="BN573" t="s">
        <v>4063</v>
      </c>
    </row>
    <row r="574" spans="1:66" x14ac:dyDescent="0.25">
      <c r="A574" t="str">
        <f>HYPERLINK("https://elite.finviz.com/quote.ashx?t=NWSA&amp;ty=c&amp;p=d&amp;b=1", "NWSA")</f>
        <v>NWSA</v>
      </c>
      <c r="B574">
        <v>7</v>
      </c>
      <c r="C574">
        <v>138.38</v>
      </c>
      <c r="D574">
        <v>56.34</v>
      </c>
      <c r="E574" t="s">
        <v>7218</v>
      </c>
      <c r="F574" t="s">
        <v>195</v>
      </c>
      <c r="G574" t="s">
        <v>598</v>
      </c>
      <c r="H574" t="s">
        <v>4247</v>
      </c>
      <c r="I574" t="s">
        <v>70</v>
      </c>
      <c r="J574" t="s">
        <v>321</v>
      </c>
      <c r="K574">
        <v>17780.8</v>
      </c>
      <c r="L574">
        <v>30.39</v>
      </c>
      <c r="M574" t="s">
        <v>3047</v>
      </c>
      <c r="N574">
        <v>374742</v>
      </c>
      <c r="O574">
        <v>37.340000000000003</v>
      </c>
      <c r="P574">
        <v>25.11</v>
      </c>
      <c r="Q574">
        <v>2.44</v>
      </c>
      <c r="R574">
        <v>1.99</v>
      </c>
      <c r="S574">
        <v>1.96</v>
      </c>
      <c r="T574" t="s">
        <v>5253</v>
      </c>
      <c r="U574">
        <v>0.2</v>
      </c>
      <c r="V574" t="s">
        <v>5717</v>
      </c>
      <c r="W574" t="s">
        <v>164</v>
      </c>
      <c r="X574" t="s">
        <v>164</v>
      </c>
      <c r="Y574" t="s">
        <v>164</v>
      </c>
      <c r="Z574" t="s">
        <v>3570</v>
      </c>
      <c r="AA574">
        <v>0.81</v>
      </c>
      <c r="AB574" t="s">
        <v>4868</v>
      </c>
      <c r="AD574" t="s">
        <v>6387</v>
      </c>
      <c r="AE574" t="s">
        <v>2536</v>
      </c>
      <c r="AF574" t="s">
        <v>7219</v>
      </c>
      <c r="AG574" t="s">
        <v>3484</v>
      </c>
      <c r="AH574" t="s">
        <v>7220</v>
      </c>
      <c r="AI574" t="s">
        <v>241</v>
      </c>
      <c r="AJ574" t="s">
        <v>9771</v>
      </c>
      <c r="AK574" t="s">
        <v>436</v>
      </c>
      <c r="AL574">
        <v>1.84</v>
      </c>
      <c r="AM574">
        <v>1.72</v>
      </c>
      <c r="AN574">
        <v>0.34</v>
      </c>
      <c r="AO574" t="s">
        <v>7222</v>
      </c>
      <c r="AP574" t="s">
        <v>3326</v>
      </c>
      <c r="AQ574" t="s">
        <v>5395</v>
      </c>
      <c r="AR574" t="s">
        <v>3551</v>
      </c>
      <c r="AS574" t="s">
        <v>1439</v>
      </c>
      <c r="AT574" t="s">
        <v>5258</v>
      </c>
      <c r="AU574" t="s">
        <v>901</v>
      </c>
      <c r="AV574" t="s">
        <v>3121</v>
      </c>
      <c r="AW574" t="s">
        <v>6597</v>
      </c>
      <c r="AX574" t="s">
        <v>864</v>
      </c>
      <c r="AY574" t="s">
        <v>6597</v>
      </c>
      <c r="AZ574" t="s">
        <v>8247</v>
      </c>
      <c r="BA574">
        <v>1.6</v>
      </c>
      <c r="BB574">
        <v>3434.99</v>
      </c>
      <c r="BC574">
        <v>0.38</v>
      </c>
      <c r="BD574">
        <v>30.17</v>
      </c>
      <c r="BE574">
        <v>30.54</v>
      </c>
      <c r="BF574">
        <v>30.17</v>
      </c>
      <c r="BG574" t="s">
        <v>9772</v>
      </c>
      <c r="BH574" t="s">
        <v>6597</v>
      </c>
      <c r="BI574" t="s">
        <v>9773</v>
      </c>
      <c r="BJ574" t="s">
        <v>101</v>
      </c>
      <c r="BK574" t="s">
        <v>203</v>
      </c>
      <c r="BL574" t="s">
        <v>1489</v>
      </c>
      <c r="BM574" t="s">
        <v>5479</v>
      </c>
      <c r="BN574" t="s">
        <v>4063</v>
      </c>
    </row>
    <row r="575" spans="1:66" x14ac:dyDescent="0.25">
      <c r="A575" t="str">
        <f>HYPERLINK("https://elite.finviz.com/quote.ashx?t=ZS&amp;ty=c&amp;p=d&amp;b=1", "ZS")</f>
        <v>ZS</v>
      </c>
      <c r="B575">
        <v>7</v>
      </c>
      <c r="C575">
        <v>138.38</v>
      </c>
      <c r="D575">
        <v>56.34</v>
      </c>
      <c r="E575" t="s">
        <v>9774</v>
      </c>
      <c r="F575" t="s">
        <v>2731</v>
      </c>
      <c r="G575" t="s">
        <v>108</v>
      </c>
      <c r="H575" t="s">
        <v>109</v>
      </c>
      <c r="I575" t="s">
        <v>70</v>
      </c>
      <c r="J575" t="s">
        <v>321</v>
      </c>
      <c r="K575">
        <v>45860.54</v>
      </c>
      <c r="L575">
        <v>289.7</v>
      </c>
      <c r="M575" t="s">
        <v>3552</v>
      </c>
      <c r="N575">
        <v>333114</v>
      </c>
      <c r="P575">
        <v>65.94</v>
      </c>
      <c r="R575">
        <v>17.16</v>
      </c>
      <c r="S575">
        <v>25.49</v>
      </c>
      <c r="AA575">
        <v>-0.27</v>
      </c>
      <c r="AB575" t="s">
        <v>9775</v>
      </c>
      <c r="AC575" t="s">
        <v>4851</v>
      </c>
      <c r="AD575" t="s">
        <v>6736</v>
      </c>
      <c r="AE575" t="s">
        <v>8462</v>
      </c>
      <c r="AF575" t="s">
        <v>9776</v>
      </c>
      <c r="AG575" t="s">
        <v>9777</v>
      </c>
      <c r="AH575" t="s">
        <v>4851</v>
      </c>
      <c r="AI575" t="s">
        <v>2933</v>
      </c>
      <c r="AJ575" t="s">
        <v>3896</v>
      </c>
      <c r="AK575" t="s">
        <v>9778</v>
      </c>
      <c r="AL575">
        <v>1.94</v>
      </c>
      <c r="AM575">
        <v>1.94</v>
      </c>
      <c r="AN575">
        <v>1</v>
      </c>
      <c r="AO575" t="s">
        <v>9779</v>
      </c>
      <c r="AP575" t="s">
        <v>9780</v>
      </c>
      <c r="AQ575" t="s">
        <v>5895</v>
      </c>
      <c r="AR575" t="s">
        <v>387</v>
      </c>
      <c r="AS575" t="s">
        <v>911</v>
      </c>
      <c r="AT575" t="s">
        <v>1776</v>
      </c>
      <c r="AU575" t="s">
        <v>7484</v>
      </c>
      <c r="AV575" t="s">
        <v>7381</v>
      </c>
      <c r="AW575" t="s">
        <v>2741</v>
      </c>
      <c r="AX575" t="s">
        <v>2933</v>
      </c>
      <c r="AY575" t="s">
        <v>2227</v>
      </c>
      <c r="AZ575" t="s">
        <v>9781</v>
      </c>
      <c r="BA575">
        <v>1.54</v>
      </c>
      <c r="BB575">
        <v>1743.59</v>
      </c>
      <c r="BC575">
        <v>0.67</v>
      </c>
      <c r="BD575">
        <v>286.66000000000003</v>
      </c>
      <c r="BE575">
        <v>292.5</v>
      </c>
      <c r="BF575">
        <v>285.7</v>
      </c>
      <c r="BG575" t="s">
        <v>9782</v>
      </c>
      <c r="BH575" t="s">
        <v>9783</v>
      </c>
      <c r="BI575" t="s">
        <v>9784</v>
      </c>
      <c r="BJ575" t="s">
        <v>101</v>
      </c>
      <c r="BK575" t="s">
        <v>7954</v>
      </c>
      <c r="BL575" t="s">
        <v>9785</v>
      </c>
      <c r="BM575" t="s">
        <v>9786</v>
      </c>
      <c r="BN575" t="s">
        <v>4063</v>
      </c>
    </row>
    <row r="576" spans="1:66" x14ac:dyDescent="0.25">
      <c r="A576" t="str">
        <f>HYPERLINK("https://elite.finviz.com/quote.ashx?t=PMNT&amp;ty=c&amp;p=d&amp;b=1", "PMNT")</f>
        <v>PMNT</v>
      </c>
      <c r="B576">
        <v>7</v>
      </c>
      <c r="C576">
        <v>138.38</v>
      </c>
      <c r="D576">
        <v>56.35</v>
      </c>
      <c r="E576" t="s">
        <v>9787</v>
      </c>
      <c r="F576" t="s">
        <v>107</v>
      </c>
      <c r="G576" t="s">
        <v>813</v>
      </c>
      <c r="H576" t="s">
        <v>7446</v>
      </c>
      <c r="I576" t="s">
        <v>70</v>
      </c>
      <c r="J576" t="s">
        <v>383</v>
      </c>
      <c r="K576">
        <v>17.100000000000001</v>
      </c>
      <c r="L576">
        <v>0.49</v>
      </c>
      <c r="M576" t="s">
        <v>5166</v>
      </c>
      <c r="N576">
        <v>63599</v>
      </c>
      <c r="R576">
        <v>0.78</v>
      </c>
      <c r="S576">
        <v>15.34</v>
      </c>
      <c r="AA576">
        <v>-0.9</v>
      </c>
      <c r="AB576" t="s">
        <v>3929</v>
      </c>
      <c r="AC576" t="s">
        <v>9788</v>
      </c>
      <c r="AE576" t="s">
        <v>8829</v>
      </c>
      <c r="AF576" t="s">
        <v>9789</v>
      </c>
      <c r="AG576" t="s">
        <v>2415</v>
      </c>
      <c r="AH576" t="s">
        <v>4302</v>
      </c>
      <c r="AJ576" t="s">
        <v>9790</v>
      </c>
      <c r="AK576" t="s">
        <v>8848</v>
      </c>
      <c r="AL576">
        <v>1.07</v>
      </c>
      <c r="AM576">
        <v>0.88</v>
      </c>
      <c r="AN576">
        <v>1.76</v>
      </c>
      <c r="AO576" t="s">
        <v>9791</v>
      </c>
      <c r="AP576" t="s">
        <v>9792</v>
      </c>
      <c r="AQ576" t="s">
        <v>9793</v>
      </c>
      <c r="AR576" t="s">
        <v>304</v>
      </c>
      <c r="AS576" t="s">
        <v>521</v>
      </c>
      <c r="AT576" t="s">
        <v>4677</v>
      </c>
      <c r="AU576" t="s">
        <v>9794</v>
      </c>
      <c r="AV576" t="s">
        <v>9795</v>
      </c>
      <c r="AW576" t="s">
        <v>7171</v>
      </c>
      <c r="AX576" t="s">
        <v>9796</v>
      </c>
      <c r="AY576" t="s">
        <v>9797</v>
      </c>
      <c r="AZ576" t="s">
        <v>9798</v>
      </c>
      <c r="BA576">
        <v>1</v>
      </c>
      <c r="BB576">
        <v>7343.08</v>
      </c>
      <c r="BC576">
        <v>0.03</v>
      </c>
      <c r="BD576">
        <v>0.48</v>
      </c>
      <c r="BE576">
        <v>0.49</v>
      </c>
      <c r="BF576">
        <v>0.48</v>
      </c>
      <c r="BG576" t="s">
        <v>9799</v>
      </c>
      <c r="BH576" t="s">
        <v>9800</v>
      </c>
      <c r="BI576" t="s">
        <v>9798</v>
      </c>
      <c r="BJ576" t="s">
        <v>101</v>
      </c>
      <c r="BK576" t="s">
        <v>9801</v>
      </c>
      <c r="BL576" t="s">
        <v>9802</v>
      </c>
      <c r="BM576" t="s">
        <v>9803</v>
      </c>
      <c r="BN576" t="s">
        <v>4063</v>
      </c>
    </row>
    <row r="577" spans="1:66" x14ac:dyDescent="0.25">
      <c r="A577" t="str">
        <f>HYPERLINK("https://elite.finviz.com/quote.ashx?t=ADNT&amp;ty=c&amp;p=d&amp;b=1", "ADNT")</f>
        <v>ADNT</v>
      </c>
      <c r="B577">
        <v>7</v>
      </c>
      <c r="C577">
        <v>138.38</v>
      </c>
      <c r="D577">
        <v>56.36</v>
      </c>
      <c r="E577" t="s">
        <v>9804</v>
      </c>
      <c r="F577" t="s">
        <v>67</v>
      </c>
      <c r="G577" t="s">
        <v>813</v>
      </c>
      <c r="H577" t="s">
        <v>814</v>
      </c>
      <c r="I577" t="s">
        <v>70</v>
      </c>
      <c r="J577" t="s">
        <v>71</v>
      </c>
      <c r="K577">
        <v>2011.65</v>
      </c>
      <c r="L577">
        <v>24.76</v>
      </c>
      <c r="M577" t="s">
        <v>1083</v>
      </c>
      <c r="N577">
        <v>103452</v>
      </c>
      <c r="P577">
        <v>10.71</v>
      </c>
      <c r="R577">
        <v>0.14000000000000001</v>
      </c>
      <c r="S577">
        <v>1.1299999999999999</v>
      </c>
      <c r="T577" t="s">
        <v>3344</v>
      </c>
      <c r="V577" t="s">
        <v>9805</v>
      </c>
      <c r="Z577" t="s">
        <v>164</v>
      </c>
      <c r="AA577">
        <v>-2.64</v>
      </c>
      <c r="AB577" t="s">
        <v>9806</v>
      </c>
      <c r="AD577" t="s">
        <v>5691</v>
      </c>
      <c r="AE577" t="s">
        <v>6130</v>
      </c>
      <c r="AF577" t="s">
        <v>4710</v>
      </c>
      <c r="AG577" t="s">
        <v>4688</v>
      </c>
      <c r="AH577" t="s">
        <v>4782</v>
      </c>
      <c r="AI577" t="s">
        <v>4229</v>
      </c>
      <c r="AJ577" t="s">
        <v>3113</v>
      </c>
      <c r="AK577" t="s">
        <v>9807</v>
      </c>
      <c r="AL577">
        <v>1.1200000000000001</v>
      </c>
      <c r="AM577">
        <v>0.92</v>
      </c>
      <c r="AN577">
        <v>1.48</v>
      </c>
      <c r="AO577" t="s">
        <v>8855</v>
      </c>
      <c r="AP577" t="s">
        <v>911</v>
      </c>
      <c r="AQ577" t="s">
        <v>7243</v>
      </c>
      <c r="AR577" t="s">
        <v>2383</v>
      </c>
      <c r="AS577" t="s">
        <v>7088</v>
      </c>
      <c r="AT577" t="s">
        <v>6478</v>
      </c>
      <c r="AU577" t="s">
        <v>4824</v>
      </c>
      <c r="AV577" t="s">
        <v>9808</v>
      </c>
      <c r="AW577" t="s">
        <v>6080</v>
      </c>
      <c r="AX577" t="s">
        <v>7295</v>
      </c>
      <c r="AY577" t="s">
        <v>6080</v>
      </c>
      <c r="AZ577" t="s">
        <v>5898</v>
      </c>
      <c r="BA577">
        <v>2.73</v>
      </c>
      <c r="BB577">
        <v>1150.8399999999999</v>
      </c>
      <c r="BC577">
        <v>0.32</v>
      </c>
      <c r="BD577">
        <v>24.71</v>
      </c>
      <c r="BE577">
        <v>24.74</v>
      </c>
      <c r="BF577">
        <v>24.25</v>
      </c>
      <c r="BG577" t="s">
        <v>9809</v>
      </c>
      <c r="BH577" t="s">
        <v>7102</v>
      </c>
      <c r="BI577" t="s">
        <v>9810</v>
      </c>
      <c r="BJ577" t="s">
        <v>101</v>
      </c>
      <c r="BK577" t="s">
        <v>1956</v>
      </c>
      <c r="BL577" t="s">
        <v>6178</v>
      </c>
      <c r="BM577" t="s">
        <v>2085</v>
      </c>
      <c r="BN577" t="s">
        <v>4063</v>
      </c>
    </row>
    <row r="578" spans="1:66" x14ac:dyDescent="0.25">
      <c r="A578" t="str">
        <f>HYPERLINK("https://elite.finviz.com/quote.ashx?t=W&amp;ty=c&amp;p=d&amp;b=1", "W")</f>
        <v>W</v>
      </c>
      <c r="B578">
        <v>7</v>
      </c>
      <c r="C578">
        <v>138.38</v>
      </c>
      <c r="D578">
        <v>56.37</v>
      </c>
      <c r="E578" t="s">
        <v>9811</v>
      </c>
      <c r="F578" t="s">
        <v>107</v>
      </c>
      <c r="G578" t="s">
        <v>813</v>
      </c>
      <c r="H578" t="s">
        <v>4388</v>
      </c>
      <c r="I578" t="s">
        <v>70</v>
      </c>
      <c r="J578" t="s">
        <v>71</v>
      </c>
      <c r="K578">
        <v>11056.19</v>
      </c>
      <c r="L578">
        <v>85.27</v>
      </c>
      <c r="M578" t="s">
        <v>141</v>
      </c>
      <c r="N578">
        <v>1122127</v>
      </c>
      <c r="P578">
        <v>38.270000000000003</v>
      </c>
      <c r="R578">
        <v>0.92</v>
      </c>
      <c r="T578" t="s">
        <v>406</v>
      </c>
      <c r="AA578">
        <v>-2.4</v>
      </c>
      <c r="AB578" t="s">
        <v>9812</v>
      </c>
      <c r="AC578" t="s">
        <v>7663</v>
      </c>
      <c r="AD578" t="s">
        <v>9813</v>
      </c>
      <c r="AE578" t="s">
        <v>6117</v>
      </c>
      <c r="AF578" t="s">
        <v>5264</v>
      </c>
      <c r="AG578" t="s">
        <v>5027</v>
      </c>
      <c r="AH578" t="s">
        <v>3450</v>
      </c>
      <c r="AI578" t="s">
        <v>3906</v>
      </c>
      <c r="AJ578" t="s">
        <v>9814</v>
      </c>
      <c r="AK578" t="s">
        <v>9815</v>
      </c>
      <c r="AL578">
        <v>0.82</v>
      </c>
      <c r="AM578">
        <v>0.78</v>
      </c>
      <c r="AO578" t="s">
        <v>9474</v>
      </c>
      <c r="AP578" t="s">
        <v>3937</v>
      </c>
      <c r="AQ578" t="s">
        <v>6464</v>
      </c>
      <c r="AR578" t="s">
        <v>3343</v>
      </c>
      <c r="AS578" t="s">
        <v>5164</v>
      </c>
      <c r="AT578" t="s">
        <v>183</v>
      </c>
      <c r="AU578" t="s">
        <v>3600</v>
      </c>
      <c r="AV578" t="s">
        <v>9816</v>
      </c>
      <c r="AW578" t="s">
        <v>5766</v>
      </c>
      <c r="AX578" t="s">
        <v>2535</v>
      </c>
      <c r="AY578" t="s">
        <v>5766</v>
      </c>
      <c r="AZ578" t="s">
        <v>9817</v>
      </c>
      <c r="BA578">
        <v>2.0299999999999998</v>
      </c>
      <c r="BB578">
        <v>4499.96</v>
      </c>
      <c r="BC578">
        <v>0.88</v>
      </c>
      <c r="BD578">
        <v>84.97</v>
      </c>
      <c r="BE578">
        <v>86.89</v>
      </c>
      <c r="BF578">
        <v>83.61</v>
      </c>
      <c r="BG578" t="s">
        <v>9818</v>
      </c>
      <c r="BH578" t="s">
        <v>9819</v>
      </c>
      <c r="BI578" t="s">
        <v>9820</v>
      </c>
      <c r="BJ578" t="s">
        <v>101</v>
      </c>
      <c r="BK578" t="s">
        <v>9821</v>
      </c>
      <c r="BL578" t="s">
        <v>9822</v>
      </c>
      <c r="BM578" t="s">
        <v>9519</v>
      </c>
      <c r="BN578" t="s">
        <v>4063</v>
      </c>
    </row>
    <row r="579" spans="1:66" x14ac:dyDescent="0.25">
      <c r="A579" t="str">
        <f>HYPERLINK("https://elite.finviz.com/quote.ashx?t=GPRO&amp;ty=c&amp;p=d&amp;b=1", "GPRO")</f>
        <v>GPRO</v>
      </c>
      <c r="B579">
        <v>7</v>
      </c>
      <c r="C579">
        <v>138.38</v>
      </c>
      <c r="D579">
        <v>56.4</v>
      </c>
      <c r="E579" t="s">
        <v>9823</v>
      </c>
      <c r="F579" t="s">
        <v>107</v>
      </c>
      <c r="G579" t="s">
        <v>108</v>
      </c>
      <c r="H579" t="s">
        <v>994</v>
      </c>
      <c r="I579" t="s">
        <v>70</v>
      </c>
      <c r="J579" t="s">
        <v>321</v>
      </c>
      <c r="K579">
        <v>360.11</v>
      </c>
      <c r="L579">
        <v>2.2400000000000002</v>
      </c>
      <c r="M579" t="s">
        <v>1952</v>
      </c>
      <c r="N579">
        <v>3512006</v>
      </c>
      <c r="P579">
        <v>37.32</v>
      </c>
      <c r="R579">
        <v>0.48</v>
      </c>
      <c r="S579">
        <v>3.62</v>
      </c>
      <c r="AA579">
        <v>-0.7</v>
      </c>
      <c r="AC579" t="s">
        <v>9824</v>
      </c>
      <c r="AE579" t="s">
        <v>9825</v>
      </c>
      <c r="AF579" t="s">
        <v>9826</v>
      </c>
      <c r="AG579" t="s">
        <v>6436</v>
      </c>
      <c r="AH579" t="s">
        <v>9827</v>
      </c>
      <c r="AI579" t="s">
        <v>8887</v>
      </c>
      <c r="AJ579" t="s">
        <v>2263</v>
      </c>
      <c r="AK579" t="s">
        <v>9828</v>
      </c>
      <c r="AL579">
        <v>0.83</v>
      </c>
      <c r="AM579">
        <v>0.55000000000000004</v>
      </c>
      <c r="AN579">
        <v>1.26</v>
      </c>
      <c r="AO579" t="s">
        <v>9776</v>
      </c>
      <c r="AP579" t="s">
        <v>4325</v>
      </c>
      <c r="AQ579" t="s">
        <v>9829</v>
      </c>
      <c r="AR579" t="s">
        <v>4250</v>
      </c>
      <c r="AS579" t="s">
        <v>6530</v>
      </c>
      <c r="AT579" t="s">
        <v>9830</v>
      </c>
      <c r="AU579" t="s">
        <v>9831</v>
      </c>
      <c r="AV579" t="s">
        <v>9832</v>
      </c>
      <c r="AW579" t="s">
        <v>9833</v>
      </c>
      <c r="AX579" t="s">
        <v>9834</v>
      </c>
      <c r="AY579" t="s">
        <v>9833</v>
      </c>
      <c r="AZ579" t="s">
        <v>9835</v>
      </c>
      <c r="BA579">
        <v>4</v>
      </c>
      <c r="BB579">
        <v>13388.43</v>
      </c>
      <c r="BC579">
        <v>0.92</v>
      </c>
      <c r="BD579">
        <v>2.2000000000000002</v>
      </c>
      <c r="BE579">
        <v>2.2400000000000002</v>
      </c>
      <c r="BF579">
        <v>2.12</v>
      </c>
      <c r="BG579" t="s">
        <v>9836</v>
      </c>
      <c r="BH579" t="s">
        <v>9837</v>
      </c>
      <c r="BI579" t="s">
        <v>9835</v>
      </c>
      <c r="BJ579" t="s">
        <v>101</v>
      </c>
      <c r="BK579" t="s">
        <v>9838</v>
      </c>
      <c r="BL579" t="s">
        <v>9839</v>
      </c>
      <c r="BM579" t="s">
        <v>1961</v>
      </c>
      <c r="BN579" t="s">
        <v>4063</v>
      </c>
    </row>
    <row r="580" spans="1:66" x14ac:dyDescent="0.25">
      <c r="A580" t="str">
        <f>HYPERLINK("https://elite.finviz.com/quote.ashx?t=TERN&amp;ty=c&amp;p=d&amp;b=1", "TERN")</f>
        <v>TERN</v>
      </c>
      <c r="B580">
        <v>7</v>
      </c>
      <c r="C580">
        <v>138.38</v>
      </c>
      <c r="D580">
        <v>56.44</v>
      </c>
      <c r="E580" t="s">
        <v>9840</v>
      </c>
      <c r="F580" t="s">
        <v>67</v>
      </c>
      <c r="G580" t="s">
        <v>428</v>
      </c>
      <c r="H580" t="s">
        <v>429</v>
      </c>
      <c r="I580" t="s">
        <v>70</v>
      </c>
      <c r="J580" t="s">
        <v>321</v>
      </c>
      <c r="K580">
        <v>669.46</v>
      </c>
      <c r="L580">
        <v>7.65</v>
      </c>
      <c r="M580" t="s">
        <v>465</v>
      </c>
      <c r="N580">
        <v>260800</v>
      </c>
      <c r="S580">
        <v>2.19</v>
      </c>
      <c r="AA580">
        <v>-1.05</v>
      </c>
      <c r="AB580" t="s">
        <v>3390</v>
      </c>
      <c r="AC580" t="s">
        <v>976</v>
      </c>
      <c r="AD580" t="s">
        <v>1537</v>
      </c>
      <c r="AI580" t="s">
        <v>9841</v>
      </c>
      <c r="AJ580" t="s">
        <v>182</v>
      </c>
      <c r="AK580" t="s">
        <v>9842</v>
      </c>
      <c r="AL580">
        <v>24.7</v>
      </c>
      <c r="AM580">
        <v>24.7</v>
      </c>
      <c r="AN580">
        <v>0</v>
      </c>
      <c r="AR580" t="s">
        <v>3951</v>
      </c>
      <c r="AS580" t="s">
        <v>216</v>
      </c>
      <c r="AT580" t="s">
        <v>205</v>
      </c>
      <c r="AU580" t="s">
        <v>9843</v>
      </c>
      <c r="AV580" t="s">
        <v>7191</v>
      </c>
      <c r="AW580" t="s">
        <v>6231</v>
      </c>
      <c r="AX580" t="s">
        <v>9844</v>
      </c>
      <c r="AY580" t="s">
        <v>9845</v>
      </c>
      <c r="AZ580" t="s">
        <v>9846</v>
      </c>
      <c r="BA580">
        <v>1.5</v>
      </c>
      <c r="BB580">
        <v>1070.0899999999999</v>
      </c>
      <c r="BC580">
        <v>0.86</v>
      </c>
      <c r="BD580">
        <v>7.44</v>
      </c>
      <c r="BE580">
        <v>7.76</v>
      </c>
      <c r="BF580">
        <v>7.48</v>
      </c>
      <c r="BG580" t="s">
        <v>9847</v>
      </c>
      <c r="BH580" t="s">
        <v>9848</v>
      </c>
      <c r="BI580" t="s">
        <v>9849</v>
      </c>
      <c r="BJ580" t="s">
        <v>101</v>
      </c>
      <c r="BK580" t="s">
        <v>9850</v>
      </c>
      <c r="BL580" t="s">
        <v>9851</v>
      </c>
      <c r="BM580" t="s">
        <v>5196</v>
      </c>
      <c r="BN580" t="s">
        <v>4063</v>
      </c>
    </row>
    <row r="581" spans="1:66" x14ac:dyDescent="0.25">
      <c r="A581" t="str">
        <f>HYPERLINK("https://elite.finviz.com/quote.ashx?t=PPL&amp;ty=c&amp;p=d&amp;b=1", "PPL")</f>
        <v>PPL</v>
      </c>
      <c r="B581">
        <v>7</v>
      </c>
      <c r="C581">
        <v>138.38</v>
      </c>
      <c r="D581">
        <v>56.46</v>
      </c>
      <c r="E581" t="s">
        <v>9852</v>
      </c>
      <c r="F581" t="s">
        <v>195</v>
      </c>
      <c r="G581" t="s">
        <v>287</v>
      </c>
      <c r="H581" t="s">
        <v>676</v>
      </c>
      <c r="I581" t="s">
        <v>70</v>
      </c>
      <c r="J581" t="s">
        <v>71</v>
      </c>
      <c r="K581">
        <v>26988.61</v>
      </c>
      <c r="L581">
        <v>36.49</v>
      </c>
      <c r="M581" t="s">
        <v>3761</v>
      </c>
      <c r="N581">
        <v>539899</v>
      </c>
      <c r="O581">
        <v>27.44</v>
      </c>
      <c r="P581">
        <v>18.68</v>
      </c>
      <c r="Q581">
        <v>3.59</v>
      </c>
      <c r="R581">
        <v>3.06</v>
      </c>
      <c r="S581">
        <v>1.89</v>
      </c>
      <c r="T581" t="s">
        <v>304</v>
      </c>
      <c r="U581">
        <v>1.07</v>
      </c>
      <c r="V581" t="s">
        <v>5717</v>
      </c>
      <c r="W581" t="s">
        <v>5319</v>
      </c>
      <c r="X581" t="s">
        <v>9853</v>
      </c>
      <c r="Y581" t="s">
        <v>5062</v>
      </c>
      <c r="Z581" t="s">
        <v>7641</v>
      </c>
      <c r="AA581">
        <v>1.33</v>
      </c>
      <c r="AB581" t="s">
        <v>5631</v>
      </c>
      <c r="AC581" t="s">
        <v>998</v>
      </c>
      <c r="AD581" t="s">
        <v>1771</v>
      </c>
      <c r="AE581" t="s">
        <v>6106</v>
      </c>
      <c r="AF581" t="s">
        <v>562</v>
      </c>
      <c r="AG581" t="s">
        <v>3257</v>
      </c>
      <c r="AH581" t="s">
        <v>1207</v>
      </c>
      <c r="AI581" t="s">
        <v>6138</v>
      </c>
      <c r="AJ581" t="s">
        <v>9854</v>
      </c>
      <c r="AK581" t="s">
        <v>9855</v>
      </c>
      <c r="AL581">
        <v>0.59</v>
      </c>
      <c r="AM581">
        <v>0.49</v>
      </c>
      <c r="AN581">
        <v>1.25</v>
      </c>
      <c r="AO581" t="s">
        <v>3961</v>
      </c>
      <c r="AP581" t="s">
        <v>1300</v>
      </c>
      <c r="AQ581" t="s">
        <v>6293</v>
      </c>
      <c r="AR581" t="s">
        <v>6829</v>
      </c>
      <c r="AS581" t="s">
        <v>1559</v>
      </c>
      <c r="AT581" t="s">
        <v>4881</v>
      </c>
      <c r="AU581" t="s">
        <v>3463</v>
      </c>
      <c r="AV581" t="s">
        <v>3758</v>
      </c>
      <c r="AW581" t="s">
        <v>8937</v>
      </c>
      <c r="AX581" t="s">
        <v>4744</v>
      </c>
      <c r="AY581" t="s">
        <v>8937</v>
      </c>
      <c r="AZ581" t="s">
        <v>3199</v>
      </c>
      <c r="BA581">
        <v>2</v>
      </c>
      <c r="BB581">
        <v>5987.89</v>
      </c>
      <c r="BC581">
        <v>0.32</v>
      </c>
      <c r="BD581">
        <v>36.159999999999997</v>
      </c>
      <c r="BE581">
        <v>36.72</v>
      </c>
      <c r="BF581">
        <v>36.25</v>
      </c>
      <c r="BG581" t="s">
        <v>9856</v>
      </c>
      <c r="BH581" t="s">
        <v>9857</v>
      </c>
      <c r="BI581" t="s">
        <v>9858</v>
      </c>
      <c r="BJ581" t="s">
        <v>101</v>
      </c>
      <c r="BK581" t="s">
        <v>607</v>
      </c>
      <c r="BL581" t="s">
        <v>5497</v>
      </c>
      <c r="BM581" t="s">
        <v>953</v>
      </c>
      <c r="BN581" t="s">
        <v>4063</v>
      </c>
    </row>
    <row r="582" spans="1:66" x14ac:dyDescent="0.25">
      <c r="A582" t="str">
        <f>HYPERLINK("https://elite.finviz.com/quote.ashx?t=PEGA&amp;ty=c&amp;p=d&amp;b=1", "PEGA")</f>
        <v>PEGA</v>
      </c>
      <c r="B582">
        <v>7</v>
      </c>
      <c r="C582">
        <v>138.38</v>
      </c>
      <c r="D582">
        <v>56.47</v>
      </c>
      <c r="E582" t="s">
        <v>9859</v>
      </c>
      <c r="F582" t="s">
        <v>107</v>
      </c>
      <c r="G582" t="s">
        <v>108</v>
      </c>
      <c r="H582" t="s">
        <v>136</v>
      </c>
      <c r="I582" t="s">
        <v>70</v>
      </c>
      <c r="J582" t="s">
        <v>321</v>
      </c>
      <c r="K582">
        <v>9994.5300000000007</v>
      </c>
      <c r="L582">
        <v>58.42</v>
      </c>
      <c r="M582" t="s">
        <v>430</v>
      </c>
      <c r="N582">
        <v>130251</v>
      </c>
      <c r="O582">
        <v>50.53</v>
      </c>
      <c r="P582">
        <v>27.65</v>
      </c>
      <c r="Q582">
        <v>3.19</v>
      </c>
      <c r="R582">
        <v>5.96</v>
      </c>
      <c r="S582">
        <v>16</v>
      </c>
      <c r="T582" t="s">
        <v>2757</v>
      </c>
      <c r="U582">
        <v>7.0000000000000007E-2</v>
      </c>
      <c r="V582" t="s">
        <v>700</v>
      </c>
      <c r="W582" t="s">
        <v>164</v>
      </c>
      <c r="X582" t="s">
        <v>164</v>
      </c>
      <c r="Y582" t="s">
        <v>164</v>
      </c>
      <c r="Z582" t="s">
        <v>6928</v>
      </c>
      <c r="AA582">
        <v>1.1599999999999999</v>
      </c>
      <c r="AD582" t="s">
        <v>9860</v>
      </c>
      <c r="AE582" t="s">
        <v>9861</v>
      </c>
      <c r="AF582" t="s">
        <v>5151</v>
      </c>
      <c r="AG582" t="s">
        <v>9841</v>
      </c>
      <c r="AH582" t="s">
        <v>3141</v>
      </c>
      <c r="AI582" t="s">
        <v>5795</v>
      </c>
      <c r="AJ582" t="s">
        <v>4086</v>
      </c>
      <c r="AK582" t="s">
        <v>9862</v>
      </c>
      <c r="AL582">
        <v>1.41</v>
      </c>
      <c r="AM582">
        <v>1.41</v>
      </c>
      <c r="AN582">
        <v>0.13</v>
      </c>
      <c r="AO582" t="s">
        <v>9863</v>
      </c>
      <c r="AP582" t="s">
        <v>685</v>
      </c>
      <c r="AQ582" t="s">
        <v>9864</v>
      </c>
      <c r="AR582" t="s">
        <v>180</v>
      </c>
      <c r="AS582" t="s">
        <v>179</v>
      </c>
      <c r="AT582" t="s">
        <v>9136</v>
      </c>
      <c r="AU582" t="s">
        <v>2035</v>
      </c>
      <c r="AV582" t="s">
        <v>8153</v>
      </c>
      <c r="AW582" t="s">
        <v>6092</v>
      </c>
      <c r="AX582" t="s">
        <v>9865</v>
      </c>
      <c r="AY582" t="s">
        <v>6092</v>
      </c>
      <c r="AZ582" t="s">
        <v>9866</v>
      </c>
      <c r="BA582">
        <v>1.67</v>
      </c>
      <c r="BB582">
        <v>1642.76</v>
      </c>
      <c r="BC582">
        <v>0.28000000000000003</v>
      </c>
      <c r="BD582">
        <v>58.29</v>
      </c>
      <c r="BE582">
        <v>58.52</v>
      </c>
      <c r="BF582">
        <v>57.75</v>
      </c>
      <c r="BG582" t="s">
        <v>9867</v>
      </c>
      <c r="BH582" t="s">
        <v>9868</v>
      </c>
      <c r="BI582" t="s">
        <v>9869</v>
      </c>
      <c r="BJ582" t="s">
        <v>101</v>
      </c>
      <c r="BK582" t="s">
        <v>1533</v>
      </c>
      <c r="BL582" t="s">
        <v>9870</v>
      </c>
      <c r="BM582" t="s">
        <v>9871</v>
      </c>
      <c r="BN582" t="s">
        <v>4063</v>
      </c>
    </row>
    <row r="583" spans="1:66" x14ac:dyDescent="0.25">
      <c r="A583" t="str">
        <f>HYPERLINK("https://elite.finviz.com/quote.ashx?t=CGNX&amp;ty=c&amp;p=d&amp;b=1", "CGNX")</f>
        <v>CGNX</v>
      </c>
      <c r="B583">
        <v>7</v>
      </c>
      <c r="C583">
        <v>138.38</v>
      </c>
      <c r="D583">
        <v>56.47</v>
      </c>
      <c r="E583" t="s">
        <v>9872</v>
      </c>
      <c r="F583" t="s">
        <v>107</v>
      </c>
      <c r="G583" t="s">
        <v>108</v>
      </c>
      <c r="H583" t="s">
        <v>9222</v>
      </c>
      <c r="I583" t="s">
        <v>70</v>
      </c>
      <c r="J583" t="s">
        <v>321</v>
      </c>
      <c r="K583">
        <v>7555.46</v>
      </c>
      <c r="L583">
        <v>45</v>
      </c>
      <c r="M583" t="s">
        <v>2646</v>
      </c>
      <c r="N583">
        <v>355790</v>
      </c>
      <c r="O583">
        <v>62.98</v>
      </c>
      <c r="P583">
        <v>38.880000000000003</v>
      </c>
      <c r="Q583">
        <v>1.97</v>
      </c>
      <c r="R583">
        <v>8.1300000000000008</v>
      </c>
      <c r="S583">
        <v>5.0199999999999996</v>
      </c>
      <c r="T583" t="s">
        <v>3871</v>
      </c>
      <c r="U583">
        <v>0.32</v>
      </c>
      <c r="V583" t="s">
        <v>2708</v>
      </c>
      <c r="W583" t="s">
        <v>5114</v>
      </c>
      <c r="X583" t="s">
        <v>4512</v>
      </c>
      <c r="Y583" t="s">
        <v>712</v>
      </c>
      <c r="Z583" t="s">
        <v>9873</v>
      </c>
      <c r="AA583">
        <v>0.71</v>
      </c>
      <c r="AB583" t="s">
        <v>9874</v>
      </c>
      <c r="AC583" t="s">
        <v>7200</v>
      </c>
      <c r="AD583" t="s">
        <v>7081</v>
      </c>
      <c r="AE583" t="s">
        <v>4852</v>
      </c>
      <c r="AF583" t="s">
        <v>5650</v>
      </c>
      <c r="AG583" t="s">
        <v>215</v>
      </c>
      <c r="AH583" t="s">
        <v>2647</v>
      </c>
      <c r="AI583" t="s">
        <v>371</v>
      </c>
      <c r="AJ583" t="s">
        <v>7598</v>
      </c>
      <c r="AK583" t="s">
        <v>9875</v>
      </c>
      <c r="AL583">
        <v>3.21</v>
      </c>
      <c r="AM583">
        <v>2.4500000000000002</v>
      </c>
      <c r="AN583">
        <v>0.06</v>
      </c>
      <c r="AO583" t="s">
        <v>9876</v>
      </c>
      <c r="AP583" t="s">
        <v>3420</v>
      </c>
      <c r="AQ583" t="s">
        <v>6598</v>
      </c>
      <c r="AR583" t="s">
        <v>4891</v>
      </c>
      <c r="AS583" t="s">
        <v>2421</v>
      </c>
      <c r="AT583" t="s">
        <v>439</v>
      </c>
      <c r="AU583" t="s">
        <v>1159</v>
      </c>
      <c r="AV583" t="s">
        <v>9877</v>
      </c>
      <c r="AW583" t="s">
        <v>7285</v>
      </c>
      <c r="AX583" t="s">
        <v>2297</v>
      </c>
      <c r="AY583" t="s">
        <v>7285</v>
      </c>
      <c r="AZ583" t="s">
        <v>9878</v>
      </c>
      <c r="BA583">
        <v>2.0499999999999998</v>
      </c>
      <c r="BB583">
        <v>2042.76</v>
      </c>
      <c r="BC583">
        <v>0.61</v>
      </c>
      <c r="BD583">
        <v>44.87</v>
      </c>
      <c r="BE583">
        <v>45.31</v>
      </c>
      <c r="BF583">
        <v>44.76</v>
      </c>
      <c r="BG583" t="s">
        <v>9879</v>
      </c>
      <c r="BH583" t="s">
        <v>9880</v>
      </c>
      <c r="BI583" t="s">
        <v>9881</v>
      </c>
      <c r="BJ583" t="s">
        <v>101</v>
      </c>
      <c r="BK583" t="s">
        <v>6950</v>
      </c>
      <c r="BL583" t="s">
        <v>9882</v>
      </c>
      <c r="BM583" t="s">
        <v>5539</v>
      </c>
      <c r="BN583" t="s">
        <v>4063</v>
      </c>
    </row>
    <row r="584" spans="1:66" x14ac:dyDescent="0.25">
      <c r="A584" t="str">
        <f>HYPERLINK("https://elite.finviz.com/quote.ashx?t=PSTG&amp;ty=c&amp;p=d&amp;b=1", "PSTG")</f>
        <v>PSTG</v>
      </c>
      <c r="B584">
        <v>7</v>
      </c>
      <c r="C584">
        <v>138.38</v>
      </c>
      <c r="D584">
        <v>56.51</v>
      </c>
      <c r="E584" t="s">
        <v>9883</v>
      </c>
      <c r="F584" t="s">
        <v>107</v>
      </c>
      <c r="G584" t="s">
        <v>108</v>
      </c>
      <c r="H584" t="s">
        <v>496</v>
      </c>
      <c r="I584" t="s">
        <v>70</v>
      </c>
      <c r="J584" t="s">
        <v>71</v>
      </c>
      <c r="K584">
        <v>26616.28</v>
      </c>
      <c r="L584">
        <v>80.989999999999995</v>
      </c>
      <c r="M584" t="s">
        <v>4408</v>
      </c>
      <c r="N584">
        <v>688960</v>
      </c>
      <c r="O584">
        <v>198.89</v>
      </c>
      <c r="P584">
        <v>33.700000000000003</v>
      </c>
      <c r="Q584">
        <v>9.7100000000000009</v>
      </c>
      <c r="R584">
        <v>7.94</v>
      </c>
      <c r="S584">
        <v>20.16</v>
      </c>
      <c r="Z584" t="s">
        <v>164</v>
      </c>
      <c r="AA584">
        <v>0.41</v>
      </c>
      <c r="AD584" t="s">
        <v>9884</v>
      </c>
      <c r="AE584" t="s">
        <v>9718</v>
      </c>
      <c r="AF584" t="s">
        <v>6737</v>
      </c>
      <c r="AG584" t="s">
        <v>6413</v>
      </c>
      <c r="AH584" t="s">
        <v>2724</v>
      </c>
      <c r="AI584" t="s">
        <v>6810</v>
      </c>
      <c r="AJ584" t="s">
        <v>4187</v>
      </c>
      <c r="AK584" t="s">
        <v>9885</v>
      </c>
      <c r="AL584">
        <v>1.58</v>
      </c>
      <c r="AM584">
        <v>1.55</v>
      </c>
      <c r="AN584">
        <v>0.17</v>
      </c>
      <c r="AO584" t="s">
        <v>9886</v>
      </c>
      <c r="AP584" t="s">
        <v>1599</v>
      </c>
      <c r="AQ584" t="s">
        <v>4526</v>
      </c>
      <c r="AR584" t="s">
        <v>5256</v>
      </c>
      <c r="AS584" t="s">
        <v>3670</v>
      </c>
      <c r="AT584" t="s">
        <v>3753</v>
      </c>
      <c r="AU584" t="s">
        <v>9887</v>
      </c>
      <c r="AV584" t="s">
        <v>9888</v>
      </c>
      <c r="AW584" t="s">
        <v>9889</v>
      </c>
      <c r="AX584" t="s">
        <v>9890</v>
      </c>
      <c r="AY584" t="s">
        <v>9889</v>
      </c>
      <c r="AZ584" t="s">
        <v>9891</v>
      </c>
      <c r="BA584">
        <v>1.74</v>
      </c>
      <c r="BB584">
        <v>2966.42</v>
      </c>
      <c r="BC584">
        <v>0.82</v>
      </c>
      <c r="BD584">
        <v>83.47</v>
      </c>
      <c r="BE584">
        <v>83.61</v>
      </c>
      <c r="BF584">
        <v>80.88</v>
      </c>
      <c r="BG584" t="s">
        <v>9892</v>
      </c>
      <c r="BH584" t="s">
        <v>9889</v>
      </c>
      <c r="BI584" t="s">
        <v>9893</v>
      </c>
      <c r="BJ584" t="s">
        <v>101</v>
      </c>
      <c r="BK584" t="s">
        <v>9894</v>
      </c>
      <c r="BL584" t="s">
        <v>9895</v>
      </c>
      <c r="BM584" t="s">
        <v>9896</v>
      </c>
      <c r="BN584" t="s">
        <v>4063</v>
      </c>
    </row>
    <row r="585" spans="1:66" x14ac:dyDescent="0.25">
      <c r="A585" t="str">
        <f>HYPERLINK("https://elite.finviz.com/quote.ashx?t=ARQT&amp;ty=c&amp;p=d&amp;b=1", "ARQT")</f>
        <v>ARQT</v>
      </c>
      <c r="B585">
        <v>7</v>
      </c>
      <c r="C585">
        <v>138.38</v>
      </c>
      <c r="D585">
        <v>56.56</v>
      </c>
      <c r="E585" t="s">
        <v>9897</v>
      </c>
      <c r="F585" t="s">
        <v>67</v>
      </c>
      <c r="G585" t="s">
        <v>428</v>
      </c>
      <c r="H585" t="s">
        <v>429</v>
      </c>
      <c r="I585" t="s">
        <v>70</v>
      </c>
      <c r="J585" t="s">
        <v>321</v>
      </c>
      <c r="K585">
        <v>2080.35</v>
      </c>
      <c r="L585">
        <v>17.350000000000001</v>
      </c>
      <c r="M585" t="s">
        <v>3482</v>
      </c>
      <c r="N585">
        <v>276674</v>
      </c>
      <c r="P585">
        <v>99.14</v>
      </c>
      <c r="R585">
        <v>7.9</v>
      </c>
      <c r="S585">
        <v>14.96</v>
      </c>
      <c r="AA585">
        <v>-0.74</v>
      </c>
      <c r="AB585" t="s">
        <v>9898</v>
      </c>
      <c r="AC585" t="s">
        <v>1722</v>
      </c>
      <c r="AE585" t="s">
        <v>9899</v>
      </c>
      <c r="AH585" t="s">
        <v>9900</v>
      </c>
      <c r="AI585" t="s">
        <v>237</v>
      </c>
      <c r="AJ585" t="s">
        <v>6407</v>
      </c>
      <c r="AK585" t="s">
        <v>9901</v>
      </c>
      <c r="AL585">
        <v>3.2</v>
      </c>
      <c r="AM585">
        <v>3.04</v>
      </c>
      <c r="AN585">
        <v>0.79</v>
      </c>
      <c r="AO585" t="s">
        <v>9902</v>
      </c>
      <c r="AP585" t="s">
        <v>9903</v>
      </c>
      <c r="AQ585" t="s">
        <v>9904</v>
      </c>
      <c r="AR585" t="s">
        <v>3020</v>
      </c>
      <c r="AS585" t="s">
        <v>2841</v>
      </c>
      <c r="AT585" t="s">
        <v>3832</v>
      </c>
      <c r="AU585" t="s">
        <v>5460</v>
      </c>
      <c r="AV585" t="s">
        <v>9905</v>
      </c>
      <c r="AW585" t="s">
        <v>2267</v>
      </c>
      <c r="AX585" t="s">
        <v>5207</v>
      </c>
      <c r="AY585" t="s">
        <v>2267</v>
      </c>
      <c r="AZ585" t="s">
        <v>9906</v>
      </c>
      <c r="BA585">
        <v>1.25</v>
      </c>
      <c r="BB585">
        <v>1659.62</v>
      </c>
      <c r="BC585">
        <v>0.59</v>
      </c>
      <c r="BD585">
        <v>16.73</v>
      </c>
      <c r="BE585">
        <v>17.350000000000001</v>
      </c>
      <c r="BF585">
        <v>16.71</v>
      </c>
      <c r="BG585" t="s">
        <v>9907</v>
      </c>
      <c r="BH585" t="s">
        <v>9237</v>
      </c>
      <c r="BI585" t="s">
        <v>9908</v>
      </c>
      <c r="BJ585" t="s">
        <v>101</v>
      </c>
      <c r="BK585" t="s">
        <v>6651</v>
      </c>
      <c r="BL585" t="s">
        <v>7566</v>
      </c>
      <c r="BM585" t="s">
        <v>9909</v>
      </c>
      <c r="BN585" t="s">
        <v>4063</v>
      </c>
    </row>
    <row r="586" spans="1:66" x14ac:dyDescent="0.25">
      <c r="A586" t="str">
        <f>HYPERLINK("https://elite.finviz.com/quote.ashx?t=HIVE&amp;ty=c&amp;p=d&amp;b=1", "HIVE")</f>
        <v>HIVE</v>
      </c>
      <c r="B586">
        <v>7</v>
      </c>
      <c r="C586">
        <v>138.38</v>
      </c>
      <c r="D586">
        <v>56.59</v>
      </c>
      <c r="E586" t="s">
        <v>9910</v>
      </c>
      <c r="F586" t="s">
        <v>107</v>
      </c>
      <c r="G586" t="s">
        <v>550</v>
      </c>
      <c r="H586" t="s">
        <v>551</v>
      </c>
      <c r="I586" t="s">
        <v>70</v>
      </c>
      <c r="J586" t="s">
        <v>321</v>
      </c>
      <c r="K586">
        <v>815.11</v>
      </c>
      <c r="L586">
        <v>3.52</v>
      </c>
      <c r="M586" t="s">
        <v>7039</v>
      </c>
      <c r="N586">
        <v>7732073</v>
      </c>
      <c r="P586">
        <v>8.76</v>
      </c>
      <c r="R586">
        <v>6.34</v>
      </c>
      <c r="S586">
        <v>1.28</v>
      </c>
      <c r="AA586">
        <v>-0.21</v>
      </c>
      <c r="AC586" t="s">
        <v>7423</v>
      </c>
      <c r="AE586" t="s">
        <v>5045</v>
      </c>
      <c r="AF586" t="s">
        <v>9911</v>
      </c>
      <c r="AG586" t="s">
        <v>5115</v>
      </c>
      <c r="AH586" t="s">
        <v>9912</v>
      </c>
      <c r="AI586" t="s">
        <v>9913</v>
      </c>
      <c r="AJ586" t="s">
        <v>164</v>
      </c>
      <c r="AK586" t="s">
        <v>8087</v>
      </c>
      <c r="AL586">
        <v>3.42</v>
      </c>
      <c r="AM586">
        <v>3.42</v>
      </c>
      <c r="AN586">
        <v>7.0000000000000007E-2</v>
      </c>
      <c r="AO586" t="s">
        <v>9914</v>
      </c>
      <c r="AP586" t="s">
        <v>1541</v>
      </c>
      <c r="AQ586" t="s">
        <v>9915</v>
      </c>
      <c r="AR586" t="s">
        <v>4867</v>
      </c>
      <c r="AS586" t="s">
        <v>6421</v>
      </c>
      <c r="AT586" t="s">
        <v>6121</v>
      </c>
      <c r="AU586" t="s">
        <v>1299</v>
      </c>
      <c r="AV586" t="s">
        <v>9916</v>
      </c>
      <c r="AW586" t="s">
        <v>9917</v>
      </c>
      <c r="AX586" t="s">
        <v>9918</v>
      </c>
      <c r="AY586" t="s">
        <v>5848</v>
      </c>
      <c r="AZ586" t="s">
        <v>9919</v>
      </c>
      <c r="BA586">
        <v>1</v>
      </c>
      <c r="BB586">
        <v>27636.14</v>
      </c>
      <c r="BC586">
        <v>0.99</v>
      </c>
      <c r="BD586">
        <v>3.58</v>
      </c>
      <c r="BE586">
        <v>3.62</v>
      </c>
      <c r="BF586">
        <v>3.44</v>
      </c>
      <c r="BG586" t="s">
        <v>9920</v>
      </c>
      <c r="BH586" t="s">
        <v>9921</v>
      </c>
      <c r="BJ586" t="s">
        <v>101</v>
      </c>
      <c r="BK586" t="s">
        <v>9922</v>
      </c>
      <c r="BL586" t="s">
        <v>9923</v>
      </c>
      <c r="BM586" t="s">
        <v>4690</v>
      </c>
      <c r="BN586" t="s">
        <v>4063</v>
      </c>
    </row>
    <row r="587" spans="1:66" x14ac:dyDescent="0.25">
      <c r="A587" t="str">
        <f>HYPERLINK("https://elite.finviz.com/quote.ashx?t=ACHC&amp;ty=c&amp;p=d&amp;b=1", "ACHC")</f>
        <v>ACHC</v>
      </c>
      <c r="B587">
        <v>7</v>
      </c>
      <c r="C587">
        <v>138.38</v>
      </c>
      <c r="D587">
        <v>56.63</v>
      </c>
      <c r="E587" t="s">
        <v>9924</v>
      </c>
      <c r="F587" t="s">
        <v>107</v>
      </c>
      <c r="G587" t="s">
        <v>428</v>
      </c>
      <c r="H587" t="s">
        <v>3160</v>
      </c>
      <c r="I587" t="s">
        <v>70</v>
      </c>
      <c r="J587" t="s">
        <v>321</v>
      </c>
      <c r="K587">
        <v>2187.69</v>
      </c>
      <c r="L587">
        <v>23.69</v>
      </c>
      <c r="M587" t="s">
        <v>9925</v>
      </c>
      <c r="N587">
        <v>494929</v>
      </c>
      <c r="O587">
        <v>15.61</v>
      </c>
      <c r="P587">
        <v>8.7200000000000006</v>
      </c>
      <c r="R587">
        <v>0.68</v>
      </c>
      <c r="S587">
        <v>0.7</v>
      </c>
      <c r="Z587" t="s">
        <v>164</v>
      </c>
      <c r="AA587">
        <v>1.52</v>
      </c>
      <c r="AB587" t="s">
        <v>5319</v>
      </c>
      <c r="AC587" t="s">
        <v>7618</v>
      </c>
      <c r="AD587" t="s">
        <v>81</v>
      </c>
      <c r="AE587" t="s">
        <v>7231</v>
      </c>
      <c r="AF587" t="s">
        <v>7777</v>
      </c>
      <c r="AG587" t="s">
        <v>5308</v>
      </c>
      <c r="AH587" t="s">
        <v>1006</v>
      </c>
      <c r="AI587" t="s">
        <v>5540</v>
      </c>
      <c r="AJ587" t="s">
        <v>164</v>
      </c>
      <c r="AK587" t="s">
        <v>9926</v>
      </c>
      <c r="AL587">
        <v>1.32</v>
      </c>
      <c r="AM587">
        <v>1.31</v>
      </c>
      <c r="AN587">
        <v>0.78</v>
      </c>
      <c r="AO587" t="s">
        <v>6938</v>
      </c>
      <c r="AP587" t="s">
        <v>5775</v>
      </c>
      <c r="AQ587" t="s">
        <v>1449</v>
      </c>
      <c r="AR587" t="s">
        <v>5336</v>
      </c>
      <c r="AS587" t="s">
        <v>9228</v>
      </c>
      <c r="AT587" t="s">
        <v>4744</v>
      </c>
      <c r="AU587" t="s">
        <v>5579</v>
      </c>
      <c r="AV587" t="s">
        <v>7160</v>
      </c>
      <c r="AW587" t="s">
        <v>9927</v>
      </c>
      <c r="AX587" t="s">
        <v>9928</v>
      </c>
      <c r="AY587" t="s">
        <v>9929</v>
      </c>
      <c r="AZ587" t="s">
        <v>9928</v>
      </c>
      <c r="BA587">
        <v>1.79</v>
      </c>
      <c r="BB587">
        <v>2656.02</v>
      </c>
      <c r="BC587">
        <v>0.66</v>
      </c>
      <c r="BD587">
        <v>23.77</v>
      </c>
      <c r="BE587">
        <v>23.8</v>
      </c>
      <c r="BF587">
        <v>23.25</v>
      </c>
      <c r="BG587" t="s">
        <v>9930</v>
      </c>
      <c r="BH587" t="s">
        <v>9931</v>
      </c>
      <c r="BI587" t="s">
        <v>9932</v>
      </c>
      <c r="BJ587" t="s">
        <v>101</v>
      </c>
      <c r="BK587" t="s">
        <v>7511</v>
      </c>
      <c r="BL587" t="s">
        <v>9933</v>
      </c>
      <c r="BM587" t="s">
        <v>9934</v>
      </c>
      <c r="BN587" t="s">
        <v>4063</v>
      </c>
    </row>
    <row r="588" spans="1:66" x14ac:dyDescent="0.25">
      <c r="A588" t="str">
        <f>HYPERLINK("https://elite.finviz.com/quote.ashx?t=DTE&amp;ty=c&amp;p=d&amp;b=1", "DTE")</f>
        <v>DTE</v>
      </c>
      <c r="B588">
        <v>7</v>
      </c>
      <c r="C588">
        <v>138.38</v>
      </c>
      <c r="D588">
        <v>56.64</v>
      </c>
      <c r="E588" t="s">
        <v>9935</v>
      </c>
      <c r="F588" t="s">
        <v>195</v>
      </c>
      <c r="G588" t="s">
        <v>287</v>
      </c>
      <c r="H588" t="s">
        <v>676</v>
      </c>
      <c r="I588" t="s">
        <v>70</v>
      </c>
      <c r="J588" t="s">
        <v>71</v>
      </c>
      <c r="K588">
        <v>28748.84</v>
      </c>
      <c r="L588">
        <v>138.49</v>
      </c>
      <c r="M588" t="s">
        <v>1763</v>
      </c>
      <c r="N588">
        <v>77903</v>
      </c>
      <c r="O588">
        <v>19.93</v>
      </c>
      <c r="P588">
        <v>17.88</v>
      </c>
      <c r="Q588">
        <v>2.86</v>
      </c>
      <c r="R588">
        <v>2.0699999999999998</v>
      </c>
      <c r="S588">
        <v>2.4500000000000002</v>
      </c>
      <c r="T588" t="s">
        <v>4204</v>
      </c>
      <c r="U588">
        <v>4.3600000000000003</v>
      </c>
      <c r="V588" t="s">
        <v>3833</v>
      </c>
      <c r="W588" t="s">
        <v>9936</v>
      </c>
      <c r="X588" t="s">
        <v>8534</v>
      </c>
      <c r="Y588" t="s">
        <v>2145</v>
      </c>
      <c r="Z588" t="s">
        <v>1044</v>
      </c>
      <c r="AA588">
        <v>6.95</v>
      </c>
      <c r="AB588" t="s">
        <v>2948</v>
      </c>
      <c r="AC588" t="s">
        <v>3019</v>
      </c>
      <c r="AD588" t="s">
        <v>9936</v>
      </c>
      <c r="AE588" t="s">
        <v>3965</v>
      </c>
      <c r="AF588" t="s">
        <v>9629</v>
      </c>
      <c r="AG588" t="s">
        <v>7346</v>
      </c>
      <c r="AH588" t="s">
        <v>3649</v>
      </c>
      <c r="AI588" t="s">
        <v>4124</v>
      </c>
      <c r="AJ588" t="s">
        <v>2213</v>
      </c>
      <c r="AK588" t="s">
        <v>9937</v>
      </c>
      <c r="AL588">
        <v>0.94</v>
      </c>
      <c r="AM588">
        <v>0.56999999999999995</v>
      </c>
      <c r="AN588">
        <v>2.0499999999999998</v>
      </c>
      <c r="AO588" t="s">
        <v>6860</v>
      </c>
      <c r="AP588" t="s">
        <v>2337</v>
      </c>
      <c r="AQ588" t="s">
        <v>2555</v>
      </c>
      <c r="AR588" t="s">
        <v>1559</v>
      </c>
      <c r="AS588" t="s">
        <v>6732</v>
      </c>
      <c r="AT588" t="s">
        <v>3487</v>
      </c>
      <c r="AU588" t="s">
        <v>8228</v>
      </c>
      <c r="AV588" t="s">
        <v>585</v>
      </c>
      <c r="AW588" t="s">
        <v>9938</v>
      </c>
      <c r="AX588" t="s">
        <v>2495</v>
      </c>
      <c r="AY588" t="s">
        <v>9938</v>
      </c>
      <c r="AZ588" t="s">
        <v>5759</v>
      </c>
      <c r="BA588">
        <v>2.16</v>
      </c>
      <c r="BB588">
        <v>1250.68</v>
      </c>
      <c r="BC588">
        <v>0.22</v>
      </c>
      <c r="BD588">
        <v>137.66</v>
      </c>
      <c r="BE588">
        <v>139.16999999999999</v>
      </c>
      <c r="BF588">
        <v>138.25</v>
      </c>
      <c r="BG588" t="s">
        <v>9939</v>
      </c>
      <c r="BH588" t="s">
        <v>9938</v>
      </c>
      <c r="BI588" t="s">
        <v>9940</v>
      </c>
      <c r="BJ588" t="s">
        <v>101</v>
      </c>
      <c r="BK588" t="s">
        <v>4173</v>
      </c>
      <c r="BL588" t="s">
        <v>2582</v>
      </c>
      <c r="BM588" t="s">
        <v>2376</v>
      </c>
      <c r="BN588" t="s">
        <v>4063</v>
      </c>
    </row>
    <row r="589" spans="1:66" x14ac:dyDescent="0.25">
      <c r="A589" t="str">
        <f>HYPERLINK("https://elite.finviz.com/quote.ashx?t=EDIT&amp;ty=c&amp;p=d&amp;b=1", "EDIT")</f>
        <v>EDIT</v>
      </c>
      <c r="B589">
        <v>7</v>
      </c>
      <c r="C589">
        <v>138.38</v>
      </c>
      <c r="D589">
        <v>56.65</v>
      </c>
      <c r="E589" t="s">
        <v>9941</v>
      </c>
      <c r="F589" t="s">
        <v>67</v>
      </c>
      <c r="G589" t="s">
        <v>428</v>
      </c>
      <c r="H589" t="s">
        <v>429</v>
      </c>
      <c r="I589" t="s">
        <v>70</v>
      </c>
      <c r="J589" t="s">
        <v>321</v>
      </c>
      <c r="K589">
        <v>276.54000000000002</v>
      </c>
      <c r="L589">
        <v>3.08</v>
      </c>
      <c r="M589" t="s">
        <v>4404</v>
      </c>
      <c r="N589">
        <v>732966</v>
      </c>
      <c r="R589">
        <v>7.11</v>
      </c>
      <c r="S589">
        <v>14.01</v>
      </c>
      <c r="AA589">
        <v>-2.85</v>
      </c>
      <c r="AB589" t="s">
        <v>1564</v>
      </c>
      <c r="AC589" t="s">
        <v>3286</v>
      </c>
      <c r="AD589" t="s">
        <v>3255</v>
      </c>
      <c r="AE589" t="s">
        <v>9942</v>
      </c>
      <c r="AF589" t="s">
        <v>6859</v>
      </c>
      <c r="AG589" t="s">
        <v>3141</v>
      </c>
      <c r="AH589" t="s">
        <v>9943</v>
      </c>
      <c r="AI589" t="s">
        <v>5418</v>
      </c>
      <c r="AJ589" t="s">
        <v>1779</v>
      </c>
      <c r="AK589" t="s">
        <v>9944</v>
      </c>
      <c r="AL589">
        <v>2.77</v>
      </c>
      <c r="AM589">
        <v>2.77</v>
      </c>
      <c r="AN589">
        <v>4.05</v>
      </c>
      <c r="AO589" t="s">
        <v>9945</v>
      </c>
      <c r="AP589" t="s">
        <v>9946</v>
      </c>
      <c r="AQ589" t="s">
        <v>9947</v>
      </c>
      <c r="AR589" t="s">
        <v>5265</v>
      </c>
      <c r="AS589" t="s">
        <v>9204</v>
      </c>
      <c r="AT589" t="s">
        <v>2499</v>
      </c>
      <c r="AU589" t="s">
        <v>847</v>
      </c>
      <c r="AV589" t="s">
        <v>7085</v>
      </c>
      <c r="AW589" t="s">
        <v>9230</v>
      </c>
      <c r="AX589" t="s">
        <v>9948</v>
      </c>
      <c r="AY589" t="s">
        <v>4989</v>
      </c>
      <c r="AZ589" t="s">
        <v>9949</v>
      </c>
      <c r="BA589">
        <v>2.4300000000000002</v>
      </c>
      <c r="BB589">
        <v>2374.1999999999998</v>
      </c>
      <c r="BC589">
        <v>1.0900000000000001</v>
      </c>
      <c r="BD589">
        <v>3.23</v>
      </c>
      <c r="BE589">
        <v>3.25</v>
      </c>
      <c r="BF589">
        <v>3.02</v>
      </c>
      <c r="BG589" t="s">
        <v>9950</v>
      </c>
      <c r="BH589" t="s">
        <v>8603</v>
      </c>
      <c r="BI589" t="s">
        <v>9949</v>
      </c>
      <c r="BJ589" t="s">
        <v>101</v>
      </c>
      <c r="BK589" t="s">
        <v>9951</v>
      </c>
      <c r="BL589" t="s">
        <v>9952</v>
      </c>
      <c r="BM589" t="s">
        <v>9953</v>
      </c>
      <c r="BN589" t="s">
        <v>4063</v>
      </c>
    </row>
    <row r="590" spans="1:66" x14ac:dyDescent="0.25">
      <c r="A590" t="str">
        <f>HYPERLINK("https://elite.finviz.com/quote.ashx?t=LASE&amp;ty=c&amp;p=d&amp;b=1", "LASE")</f>
        <v>LASE</v>
      </c>
      <c r="B590">
        <v>7</v>
      </c>
      <c r="C590">
        <v>138.38</v>
      </c>
      <c r="D590">
        <v>56.66</v>
      </c>
      <c r="E590" t="s">
        <v>9954</v>
      </c>
      <c r="F590" t="s">
        <v>107</v>
      </c>
      <c r="G590" t="s">
        <v>260</v>
      </c>
      <c r="H590" t="s">
        <v>261</v>
      </c>
      <c r="I590" t="s">
        <v>70</v>
      </c>
      <c r="J590" t="s">
        <v>321</v>
      </c>
      <c r="K590">
        <v>61.53</v>
      </c>
      <c r="L590">
        <v>4.3099999999999996</v>
      </c>
      <c r="M590" t="s">
        <v>9955</v>
      </c>
      <c r="N590">
        <v>1011169</v>
      </c>
      <c r="R590">
        <v>8.8699999999999992</v>
      </c>
      <c r="S590">
        <v>14.19</v>
      </c>
      <c r="AA590">
        <v>-0.33</v>
      </c>
      <c r="AC590" t="s">
        <v>9956</v>
      </c>
      <c r="AE590" t="s">
        <v>9957</v>
      </c>
      <c r="AF590" t="s">
        <v>2401</v>
      </c>
      <c r="AH590" t="s">
        <v>9958</v>
      </c>
      <c r="AJ590" t="s">
        <v>164</v>
      </c>
      <c r="AK590" t="s">
        <v>1088</v>
      </c>
      <c r="AL590">
        <v>0.53</v>
      </c>
      <c r="AM590">
        <v>0.28999999999999998</v>
      </c>
      <c r="AN590">
        <v>1.5</v>
      </c>
      <c r="AO590" t="s">
        <v>7696</v>
      </c>
      <c r="AP590" t="s">
        <v>9959</v>
      </c>
      <c r="AQ590" t="s">
        <v>6545</v>
      </c>
      <c r="AR590" t="s">
        <v>3258</v>
      </c>
      <c r="AS590" t="s">
        <v>1956</v>
      </c>
      <c r="AT590" t="s">
        <v>8981</v>
      </c>
      <c r="AU590" t="s">
        <v>9252</v>
      </c>
      <c r="AV590" t="s">
        <v>9960</v>
      </c>
      <c r="AW590" t="s">
        <v>9961</v>
      </c>
      <c r="AX590" t="s">
        <v>9962</v>
      </c>
      <c r="AY590" t="s">
        <v>9963</v>
      </c>
      <c r="AZ590" t="s">
        <v>9962</v>
      </c>
      <c r="BA590">
        <v>1</v>
      </c>
      <c r="BB590">
        <v>5430.89</v>
      </c>
      <c r="BC590">
        <v>0.66</v>
      </c>
      <c r="BD590">
        <v>4.78</v>
      </c>
      <c r="BE590">
        <v>4.42</v>
      </c>
      <c r="BF590">
        <v>4.21</v>
      </c>
      <c r="BG590" t="s">
        <v>9964</v>
      </c>
      <c r="BH590" t="s">
        <v>9965</v>
      </c>
      <c r="BI590" t="s">
        <v>9966</v>
      </c>
      <c r="BJ590" t="s">
        <v>101</v>
      </c>
      <c r="BK590" t="s">
        <v>9967</v>
      </c>
      <c r="BL590" t="s">
        <v>9968</v>
      </c>
      <c r="BM590" t="s">
        <v>9969</v>
      </c>
      <c r="BN590" t="s">
        <v>4063</v>
      </c>
    </row>
    <row r="591" spans="1:66" x14ac:dyDescent="0.25">
      <c r="A591" t="str">
        <f>HYPERLINK("https://elite.finviz.com/quote.ashx?t=FROG&amp;ty=c&amp;p=d&amp;b=1", "FROG")</f>
        <v>FROG</v>
      </c>
      <c r="B591">
        <v>7</v>
      </c>
      <c r="C591">
        <v>138.38</v>
      </c>
      <c r="D591">
        <v>56.66</v>
      </c>
      <c r="E591" t="s">
        <v>9970</v>
      </c>
      <c r="F591" t="s">
        <v>107</v>
      </c>
      <c r="G591" t="s">
        <v>108</v>
      </c>
      <c r="H591" t="s">
        <v>136</v>
      </c>
      <c r="I591" t="s">
        <v>70</v>
      </c>
      <c r="J591" t="s">
        <v>321</v>
      </c>
      <c r="K591">
        <v>5782.8</v>
      </c>
      <c r="L591">
        <v>49.53</v>
      </c>
      <c r="M591" t="s">
        <v>3598</v>
      </c>
      <c r="N591">
        <v>78604</v>
      </c>
      <c r="P591">
        <v>60.98</v>
      </c>
      <c r="R591">
        <v>12.18</v>
      </c>
      <c r="S591">
        <v>6.98</v>
      </c>
      <c r="AA591">
        <v>-0.77</v>
      </c>
      <c r="AB591" t="s">
        <v>180</v>
      </c>
      <c r="AC591" t="s">
        <v>9971</v>
      </c>
      <c r="AD591" t="s">
        <v>9972</v>
      </c>
      <c r="AE591" t="s">
        <v>7869</v>
      </c>
      <c r="AF591" t="s">
        <v>9973</v>
      </c>
      <c r="AG591" t="s">
        <v>3174</v>
      </c>
      <c r="AH591" t="s">
        <v>3748</v>
      </c>
      <c r="AI591" t="s">
        <v>3064</v>
      </c>
      <c r="AJ591" t="s">
        <v>4764</v>
      </c>
      <c r="AK591" t="s">
        <v>9974</v>
      </c>
      <c r="AL591">
        <v>2.0699999999999998</v>
      </c>
      <c r="AM591">
        <v>2.0699999999999998</v>
      </c>
      <c r="AN591">
        <v>0.02</v>
      </c>
      <c r="AO591" t="s">
        <v>9975</v>
      </c>
      <c r="AP591" t="s">
        <v>9976</v>
      </c>
      <c r="AQ591" t="s">
        <v>9977</v>
      </c>
      <c r="AR591" t="s">
        <v>451</v>
      </c>
      <c r="AS591" t="s">
        <v>295</v>
      </c>
      <c r="AT591" t="s">
        <v>193</v>
      </c>
      <c r="AU591" t="s">
        <v>7403</v>
      </c>
      <c r="AV591" t="s">
        <v>1838</v>
      </c>
      <c r="AW591" t="s">
        <v>77</v>
      </c>
      <c r="AX591" t="s">
        <v>9978</v>
      </c>
      <c r="AY591" t="s">
        <v>77</v>
      </c>
      <c r="AZ591" t="s">
        <v>8482</v>
      </c>
      <c r="BA591">
        <v>1.5</v>
      </c>
      <c r="BB591">
        <v>1272.33</v>
      </c>
      <c r="BC591">
        <v>0.22</v>
      </c>
      <c r="BD591">
        <v>49.55</v>
      </c>
      <c r="BE591">
        <v>49.88</v>
      </c>
      <c r="BF591">
        <v>49.28</v>
      </c>
      <c r="BG591" t="s">
        <v>9979</v>
      </c>
      <c r="BH591" t="s">
        <v>9980</v>
      </c>
      <c r="BI591" t="s">
        <v>9981</v>
      </c>
      <c r="BJ591" t="s">
        <v>101</v>
      </c>
      <c r="BK591" t="s">
        <v>293</v>
      </c>
      <c r="BL591" t="s">
        <v>9982</v>
      </c>
      <c r="BM591" t="s">
        <v>9983</v>
      </c>
      <c r="BN591" t="s">
        <v>4063</v>
      </c>
    </row>
    <row r="592" spans="1:66" x14ac:dyDescent="0.25">
      <c r="A592" t="str">
        <f>HYPERLINK("https://elite.finviz.com/quote.ashx?t=MTVA&amp;ty=c&amp;p=d&amp;b=1", "MTVA")</f>
        <v>MTVA</v>
      </c>
      <c r="B592">
        <v>7</v>
      </c>
      <c r="C592">
        <v>138.38</v>
      </c>
      <c r="D592">
        <v>56.68</v>
      </c>
      <c r="E592" t="s">
        <v>9984</v>
      </c>
      <c r="F592" t="s">
        <v>107</v>
      </c>
      <c r="G592" t="s">
        <v>428</v>
      </c>
      <c r="H592" t="s">
        <v>429</v>
      </c>
      <c r="I592" t="s">
        <v>70</v>
      </c>
      <c r="J592" t="s">
        <v>321</v>
      </c>
      <c r="K592">
        <v>24.2</v>
      </c>
      <c r="L592">
        <v>1</v>
      </c>
      <c r="M592" t="s">
        <v>1249</v>
      </c>
      <c r="N592">
        <v>55561</v>
      </c>
      <c r="S592">
        <v>2.5099999999999998</v>
      </c>
      <c r="AA592">
        <v>-1.77</v>
      </c>
      <c r="AB592" t="s">
        <v>3251</v>
      </c>
      <c r="AC592" t="s">
        <v>9985</v>
      </c>
      <c r="AD592" t="s">
        <v>7025</v>
      </c>
      <c r="AI592" t="s">
        <v>1696</v>
      </c>
      <c r="AJ592" t="s">
        <v>9986</v>
      </c>
      <c r="AK592" t="s">
        <v>1837</v>
      </c>
      <c r="AL592">
        <v>2.08</v>
      </c>
      <c r="AM592">
        <v>2.08</v>
      </c>
      <c r="AN592">
        <v>0.01</v>
      </c>
      <c r="AR592" t="s">
        <v>5248</v>
      </c>
      <c r="AS592" t="s">
        <v>3525</v>
      </c>
      <c r="AT592" t="s">
        <v>9987</v>
      </c>
      <c r="AU592" t="s">
        <v>9951</v>
      </c>
      <c r="AV592" t="s">
        <v>1339</v>
      </c>
      <c r="AW592" t="s">
        <v>9988</v>
      </c>
      <c r="AX592" t="s">
        <v>9989</v>
      </c>
      <c r="AY592" t="s">
        <v>9990</v>
      </c>
      <c r="AZ592" t="s">
        <v>9989</v>
      </c>
      <c r="BA592">
        <v>1</v>
      </c>
      <c r="BB592">
        <v>1654.65</v>
      </c>
      <c r="BC592">
        <v>0.12</v>
      </c>
      <c r="BD592">
        <v>1</v>
      </c>
      <c r="BE592">
        <v>1.02</v>
      </c>
      <c r="BF592">
        <v>0.97</v>
      </c>
      <c r="BG592" t="s">
        <v>9991</v>
      </c>
      <c r="BH592" t="s">
        <v>579</v>
      </c>
      <c r="BI592" t="s">
        <v>9989</v>
      </c>
      <c r="BJ592" t="s">
        <v>101</v>
      </c>
      <c r="BK592" t="s">
        <v>8990</v>
      </c>
      <c r="BL592" t="s">
        <v>8332</v>
      </c>
      <c r="BM592" t="s">
        <v>9992</v>
      </c>
      <c r="BN592" t="s">
        <v>4063</v>
      </c>
    </row>
    <row r="593" spans="1:66" x14ac:dyDescent="0.25">
      <c r="A593" t="str">
        <f>HYPERLINK("https://elite.finviz.com/quote.ashx?t=LION&amp;ty=c&amp;p=d&amp;b=1", "LION")</f>
        <v>LION</v>
      </c>
      <c r="B593">
        <v>7</v>
      </c>
      <c r="C593">
        <v>138.38</v>
      </c>
      <c r="D593">
        <v>56.68</v>
      </c>
      <c r="E593" t="s">
        <v>9993</v>
      </c>
      <c r="F593" t="s">
        <v>67</v>
      </c>
      <c r="G593" t="s">
        <v>550</v>
      </c>
      <c r="H593" t="s">
        <v>2120</v>
      </c>
      <c r="I593" t="s">
        <v>70</v>
      </c>
      <c r="J593" t="s">
        <v>71</v>
      </c>
      <c r="K593">
        <v>2033.86</v>
      </c>
      <c r="L593">
        <v>7.03</v>
      </c>
      <c r="M593" t="s">
        <v>6463</v>
      </c>
      <c r="N593">
        <v>468855</v>
      </c>
      <c r="P593">
        <v>29.36</v>
      </c>
      <c r="R593">
        <v>0.65</v>
      </c>
      <c r="AA593">
        <v>-0.7</v>
      </c>
      <c r="AB593" t="s">
        <v>9994</v>
      </c>
      <c r="AD593" t="s">
        <v>9995</v>
      </c>
      <c r="AE593" t="s">
        <v>9996</v>
      </c>
      <c r="AH593" t="s">
        <v>4802</v>
      </c>
      <c r="AI593" t="s">
        <v>5397</v>
      </c>
      <c r="AJ593" t="s">
        <v>3901</v>
      </c>
      <c r="AK593" t="s">
        <v>9997</v>
      </c>
      <c r="AL593">
        <v>0.45</v>
      </c>
      <c r="AM593">
        <v>0.45</v>
      </c>
      <c r="AO593" t="s">
        <v>7122</v>
      </c>
      <c r="AP593" t="s">
        <v>5659</v>
      </c>
      <c r="AQ593" t="s">
        <v>120</v>
      </c>
      <c r="AR593" t="s">
        <v>4299</v>
      </c>
      <c r="AS593" t="s">
        <v>6378</v>
      </c>
      <c r="AT593" t="s">
        <v>4204</v>
      </c>
      <c r="AU593" t="s">
        <v>2783</v>
      </c>
      <c r="AV593" t="s">
        <v>2757</v>
      </c>
      <c r="AW593" t="s">
        <v>9998</v>
      </c>
      <c r="AX593" t="s">
        <v>9999</v>
      </c>
      <c r="AY593" t="s">
        <v>10000</v>
      </c>
      <c r="AZ593" t="s">
        <v>5207</v>
      </c>
      <c r="BA593">
        <v>1.8</v>
      </c>
      <c r="BB593">
        <v>2481.64</v>
      </c>
      <c r="BC593">
        <v>0.67</v>
      </c>
      <c r="BD593">
        <v>6.97</v>
      </c>
      <c r="BE593">
        <v>7.04</v>
      </c>
      <c r="BF593">
        <v>6.92</v>
      </c>
      <c r="BG593" t="s">
        <v>10001</v>
      </c>
      <c r="BH593" t="s">
        <v>10002</v>
      </c>
      <c r="BI593" t="s">
        <v>5207</v>
      </c>
      <c r="BJ593" t="s">
        <v>101</v>
      </c>
      <c r="BK593" t="s">
        <v>2928</v>
      </c>
      <c r="BL593" t="s">
        <v>5594</v>
      </c>
      <c r="BM593" t="s">
        <v>2768</v>
      </c>
      <c r="BN593" t="s">
        <v>4063</v>
      </c>
    </row>
    <row r="594" spans="1:66" x14ac:dyDescent="0.25">
      <c r="A594" t="str">
        <f>HYPERLINK("https://elite.finviz.com/quote.ashx?t=MNST&amp;ty=c&amp;p=d&amp;b=1", "MNST")</f>
        <v>MNST</v>
      </c>
      <c r="B594">
        <v>7</v>
      </c>
      <c r="C594">
        <v>138.38</v>
      </c>
      <c r="D594">
        <v>56.72</v>
      </c>
      <c r="E594" t="s">
        <v>10003</v>
      </c>
      <c r="F594" t="s">
        <v>319</v>
      </c>
      <c r="G594" t="s">
        <v>2244</v>
      </c>
      <c r="H594" t="s">
        <v>4568</v>
      </c>
      <c r="I594" t="s">
        <v>70</v>
      </c>
      <c r="J594" t="s">
        <v>321</v>
      </c>
      <c r="K594">
        <v>63428.77</v>
      </c>
      <c r="L594">
        <v>64.959999999999994</v>
      </c>
      <c r="M594" t="s">
        <v>2216</v>
      </c>
      <c r="N594">
        <v>480521</v>
      </c>
      <c r="O594">
        <v>40.56</v>
      </c>
      <c r="P594">
        <v>30.53</v>
      </c>
      <c r="Q594">
        <v>3.27</v>
      </c>
      <c r="R594">
        <v>8.2799999999999994</v>
      </c>
      <c r="S594">
        <v>8.82</v>
      </c>
      <c r="Z594" t="s">
        <v>164</v>
      </c>
      <c r="AA594">
        <v>1.6</v>
      </c>
      <c r="AB594" t="s">
        <v>754</v>
      </c>
      <c r="AC594" t="s">
        <v>2446</v>
      </c>
      <c r="AD594" t="s">
        <v>6530</v>
      </c>
      <c r="AE594" t="s">
        <v>4765</v>
      </c>
      <c r="AF594" t="s">
        <v>2786</v>
      </c>
      <c r="AG594" t="s">
        <v>2392</v>
      </c>
      <c r="AH594" t="s">
        <v>1935</v>
      </c>
      <c r="AI594" t="s">
        <v>2848</v>
      </c>
      <c r="AJ594" t="s">
        <v>7709</v>
      </c>
      <c r="AK594" t="s">
        <v>10004</v>
      </c>
      <c r="AL594">
        <v>3.52</v>
      </c>
      <c r="AM594">
        <v>3</v>
      </c>
      <c r="AN594">
        <v>0</v>
      </c>
      <c r="AO594" t="s">
        <v>10005</v>
      </c>
      <c r="AP594" t="s">
        <v>4991</v>
      </c>
      <c r="AQ594" t="s">
        <v>10006</v>
      </c>
      <c r="AR594" t="s">
        <v>5071</v>
      </c>
      <c r="AS594" t="s">
        <v>3856</v>
      </c>
      <c r="AT594" t="s">
        <v>6829</v>
      </c>
      <c r="AU594" t="s">
        <v>1453</v>
      </c>
      <c r="AV594" t="s">
        <v>904</v>
      </c>
      <c r="AW594" t="s">
        <v>4168</v>
      </c>
      <c r="AX594" t="s">
        <v>6466</v>
      </c>
      <c r="AY594" t="s">
        <v>4168</v>
      </c>
      <c r="AZ594" t="s">
        <v>8100</v>
      </c>
      <c r="BA594">
        <v>2.16</v>
      </c>
      <c r="BB594">
        <v>5767.62</v>
      </c>
      <c r="BC594">
        <v>0.28999999999999998</v>
      </c>
      <c r="BD594">
        <v>64.59</v>
      </c>
      <c r="BE594">
        <v>65.06</v>
      </c>
      <c r="BF594">
        <v>64.42</v>
      </c>
      <c r="BG594" t="s">
        <v>10007</v>
      </c>
      <c r="BH594" t="s">
        <v>4168</v>
      </c>
      <c r="BJ594" t="s">
        <v>101</v>
      </c>
      <c r="BK594" t="s">
        <v>8966</v>
      </c>
      <c r="BL594" t="s">
        <v>4067</v>
      </c>
      <c r="BM594" t="s">
        <v>10008</v>
      </c>
      <c r="BN594" t="s">
        <v>4063</v>
      </c>
    </row>
    <row r="595" spans="1:66" x14ac:dyDescent="0.25">
      <c r="A595" t="str">
        <f>HYPERLINK("https://elite.finviz.com/quote.ashx?t=BWA&amp;ty=c&amp;p=d&amp;b=1", "BWA")</f>
        <v>BWA</v>
      </c>
      <c r="B595">
        <v>7</v>
      </c>
      <c r="C595">
        <v>138.38</v>
      </c>
      <c r="D595">
        <v>56.73</v>
      </c>
      <c r="E595" t="s">
        <v>10009</v>
      </c>
      <c r="F595" t="s">
        <v>107</v>
      </c>
      <c r="G595" t="s">
        <v>813</v>
      </c>
      <c r="H595" t="s">
        <v>814</v>
      </c>
      <c r="I595" t="s">
        <v>70</v>
      </c>
      <c r="J595" t="s">
        <v>71</v>
      </c>
      <c r="K595">
        <v>9432.56</v>
      </c>
      <c r="L595">
        <v>43.59</v>
      </c>
      <c r="M595" t="s">
        <v>3112</v>
      </c>
      <c r="N595">
        <v>146835</v>
      </c>
      <c r="O595">
        <v>46.54</v>
      </c>
      <c r="P595">
        <v>8.86</v>
      </c>
      <c r="Q595">
        <v>5.9</v>
      </c>
      <c r="R595">
        <v>0.67</v>
      </c>
      <c r="S595">
        <v>1.59</v>
      </c>
      <c r="T595" t="s">
        <v>2554</v>
      </c>
      <c r="U595">
        <v>0.5</v>
      </c>
      <c r="V595" t="s">
        <v>2187</v>
      </c>
      <c r="W595" t="s">
        <v>5406</v>
      </c>
      <c r="X595" t="s">
        <v>10010</v>
      </c>
      <c r="Y595" t="s">
        <v>5371</v>
      </c>
      <c r="Z595" t="s">
        <v>6129</v>
      </c>
      <c r="AA595">
        <v>0.94</v>
      </c>
      <c r="AB595" t="s">
        <v>8162</v>
      </c>
      <c r="AC595" t="s">
        <v>2872</v>
      </c>
      <c r="AD595" t="s">
        <v>2678</v>
      </c>
      <c r="AE595" t="s">
        <v>2723</v>
      </c>
      <c r="AF595" t="s">
        <v>181</v>
      </c>
      <c r="AG595" t="s">
        <v>8855</v>
      </c>
      <c r="AH595" t="s">
        <v>2630</v>
      </c>
      <c r="AI595" t="s">
        <v>6408</v>
      </c>
      <c r="AJ595" t="s">
        <v>10011</v>
      </c>
      <c r="AK595" t="s">
        <v>10012</v>
      </c>
      <c r="AL595">
        <v>2.02</v>
      </c>
      <c r="AM595">
        <v>1.66</v>
      </c>
      <c r="AN595">
        <v>0.69</v>
      </c>
      <c r="AO595" t="s">
        <v>9865</v>
      </c>
      <c r="AP595" t="s">
        <v>290</v>
      </c>
      <c r="AQ595" t="s">
        <v>4780</v>
      </c>
      <c r="AR595" t="s">
        <v>2145</v>
      </c>
      <c r="AS595" t="s">
        <v>4946</v>
      </c>
      <c r="AT595" t="s">
        <v>1648</v>
      </c>
      <c r="AU595" t="s">
        <v>6008</v>
      </c>
      <c r="AV595" t="s">
        <v>6623</v>
      </c>
      <c r="AW595" t="s">
        <v>5195</v>
      </c>
      <c r="AX595" t="s">
        <v>9223</v>
      </c>
      <c r="AY595" t="s">
        <v>5195</v>
      </c>
      <c r="AZ595" t="s">
        <v>10013</v>
      </c>
      <c r="BA595">
        <v>2.06</v>
      </c>
      <c r="BB595">
        <v>2193.84</v>
      </c>
      <c r="BC595">
        <v>0.24</v>
      </c>
      <c r="BD595">
        <v>43.4</v>
      </c>
      <c r="BE595">
        <v>43.74</v>
      </c>
      <c r="BF595">
        <v>43.42</v>
      </c>
      <c r="BG595" t="s">
        <v>10014</v>
      </c>
      <c r="BH595" t="s">
        <v>10015</v>
      </c>
      <c r="BI595" t="s">
        <v>10016</v>
      </c>
      <c r="BJ595" t="s">
        <v>101</v>
      </c>
      <c r="BK595" t="s">
        <v>9296</v>
      </c>
      <c r="BL595" t="s">
        <v>3583</v>
      </c>
      <c r="BM595" t="s">
        <v>10017</v>
      </c>
      <c r="BN595" t="s">
        <v>4063</v>
      </c>
    </row>
    <row r="596" spans="1:66" x14ac:dyDescent="0.25">
      <c r="A596" t="str">
        <f>HYPERLINK("https://elite.finviz.com/quote.ashx?t=ACRV&amp;ty=c&amp;p=d&amp;b=1", "ACRV")</f>
        <v>ACRV</v>
      </c>
      <c r="B596">
        <v>7</v>
      </c>
      <c r="C596">
        <v>138.38</v>
      </c>
      <c r="D596">
        <v>56.74</v>
      </c>
      <c r="E596" t="s">
        <v>10018</v>
      </c>
      <c r="F596" t="s">
        <v>107</v>
      </c>
      <c r="G596" t="s">
        <v>428</v>
      </c>
      <c r="H596" t="s">
        <v>429</v>
      </c>
      <c r="I596" t="s">
        <v>70</v>
      </c>
      <c r="J596" t="s">
        <v>321</v>
      </c>
      <c r="K596">
        <v>50.17</v>
      </c>
      <c r="L596">
        <v>1.6</v>
      </c>
      <c r="M596" t="s">
        <v>975</v>
      </c>
      <c r="N596">
        <v>105722</v>
      </c>
      <c r="S596">
        <v>0.35</v>
      </c>
      <c r="AA596">
        <v>-2.25</v>
      </c>
      <c r="AB596" t="s">
        <v>10019</v>
      </c>
      <c r="AC596" t="s">
        <v>10020</v>
      </c>
      <c r="AD596" t="s">
        <v>4204</v>
      </c>
      <c r="AI596" t="s">
        <v>7088</v>
      </c>
      <c r="AJ596" t="s">
        <v>10021</v>
      </c>
      <c r="AK596" t="s">
        <v>10022</v>
      </c>
      <c r="AL596">
        <v>10.31</v>
      </c>
      <c r="AM596">
        <v>10.31</v>
      </c>
      <c r="AN596">
        <v>0.02</v>
      </c>
      <c r="AR596" t="s">
        <v>3115</v>
      </c>
      <c r="AS596" t="s">
        <v>6528</v>
      </c>
      <c r="AT596" t="s">
        <v>2647</v>
      </c>
      <c r="AU596" t="s">
        <v>2337</v>
      </c>
      <c r="AV596" t="s">
        <v>10023</v>
      </c>
      <c r="AW596" t="s">
        <v>10024</v>
      </c>
      <c r="AX596" t="s">
        <v>10025</v>
      </c>
      <c r="AY596" t="s">
        <v>10026</v>
      </c>
      <c r="AZ596" t="s">
        <v>10027</v>
      </c>
      <c r="BA596">
        <v>1.22</v>
      </c>
      <c r="BB596">
        <v>1309.33</v>
      </c>
      <c r="BC596">
        <v>0.28999999999999998</v>
      </c>
      <c r="BD596">
        <v>1.54</v>
      </c>
      <c r="BE596">
        <v>1.6</v>
      </c>
      <c r="BF596">
        <v>1.52</v>
      </c>
      <c r="BG596" t="s">
        <v>10028</v>
      </c>
      <c r="BH596" t="s">
        <v>7335</v>
      </c>
      <c r="BI596" t="s">
        <v>10027</v>
      </c>
      <c r="BJ596" t="s">
        <v>101</v>
      </c>
      <c r="BK596" t="s">
        <v>1654</v>
      </c>
      <c r="BL596" t="s">
        <v>10029</v>
      </c>
      <c r="BM596" t="s">
        <v>10030</v>
      </c>
      <c r="BN596" t="s">
        <v>4063</v>
      </c>
    </row>
    <row r="597" spans="1:66" x14ac:dyDescent="0.25">
      <c r="A597" t="str">
        <f>HYPERLINK("https://elite.finviz.com/quote.ashx?t=SOUN&amp;ty=c&amp;p=d&amp;b=1", "SOUN")</f>
        <v>SOUN</v>
      </c>
      <c r="B597">
        <v>7</v>
      </c>
      <c r="C597">
        <v>138.38</v>
      </c>
      <c r="D597">
        <v>56.76</v>
      </c>
      <c r="E597" t="s">
        <v>10031</v>
      </c>
      <c r="F597" t="s">
        <v>67</v>
      </c>
      <c r="G597" t="s">
        <v>108</v>
      </c>
      <c r="H597" t="s">
        <v>136</v>
      </c>
      <c r="I597" t="s">
        <v>70</v>
      </c>
      <c r="J597" t="s">
        <v>321</v>
      </c>
      <c r="K597">
        <v>6522.04</v>
      </c>
      <c r="L597">
        <v>16</v>
      </c>
      <c r="M597" t="s">
        <v>9475</v>
      </c>
      <c r="N597">
        <v>16806939</v>
      </c>
      <c r="R597">
        <v>49.62</v>
      </c>
      <c r="S597">
        <v>18.04</v>
      </c>
      <c r="AA597">
        <v>-0.63</v>
      </c>
      <c r="AB597" t="s">
        <v>10032</v>
      </c>
      <c r="AD597" t="s">
        <v>10033</v>
      </c>
      <c r="AE597" t="s">
        <v>10034</v>
      </c>
      <c r="AF597" t="s">
        <v>10035</v>
      </c>
      <c r="AH597" t="s">
        <v>10036</v>
      </c>
      <c r="AI597" t="s">
        <v>10037</v>
      </c>
      <c r="AJ597" t="s">
        <v>4222</v>
      </c>
      <c r="AK597" t="s">
        <v>10038</v>
      </c>
      <c r="AL597">
        <v>4.84</v>
      </c>
      <c r="AM597">
        <v>4.84</v>
      </c>
      <c r="AN597">
        <v>0.01</v>
      </c>
      <c r="AO597" t="s">
        <v>10039</v>
      </c>
      <c r="AP597" t="s">
        <v>10040</v>
      </c>
      <c r="AQ597" t="s">
        <v>10041</v>
      </c>
      <c r="AR597" t="s">
        <v>3189</v>
      </c>
      <c r="AS597" t="s">
        <v>6791</v>
      </c>
      <c r="AT597" t="s">
        <v>2386</v>
      </c>
      <c r="AU597" t="s">
        <v>10042</v>
      </c>
      <c r="AV597" t="s">
        <v>329</v>
      </c>
      <c r="AW597" t="s">
        <v>6727</v>
      </c>
      <c r="AX597" t="s">
        <v>10043</v>
      </c>
      <c r="AY597" t="s">
        <v>10044</v>
      </c>
      <c r="AZ597" t="s">
        <v>10045</v>
      </c>
      <c r="BA597">
        <v>1.6</v>
      </c>
      <c r="BB597">
        <v>59344.61</v>
      </c>
      <c r="BC597">
        <v>1</v>
      </c>
      <c r="BD597">
        <v>16.350000000000001</v>
      </c>
      <c r="BE597">
        <v>16.87</v>
      </c>
      <c r="BF597">
        <v>15.89</v>
      </c>
      <c r="BG597" t="s">
        <v>10046</v>
      </c>
      <c r="BH597" t="s">
        <v>10044</v>
      </c>
      <c r="BI597" t="s">
        <v>10047</v>
      </c>
      <c r="BJ597" t="s">
        <v>101</v>
      </c>
      <c r="BK597" t="s">
        <v>10048</v>
      </c>
      <c r="BL597" t="s">
        <v>7377</v>
      </c>
      <c r="BM597" t="s">
        <v>10049</v>
      </c>
      <c r="BN597" t="s">
        <v>4063</v>
      </c>
    </row>
    <row r="598" spans="1:66" x14ac:dyDescent="0.25">
      <c r="A598" t="str">
        <f>HYPERLINK("https://elite.finviz.com/quote.ashx?t=CHRS&amp;ty=c&amp;p=d&amp;b=1", "CHRS")</f>
        <v>CHRS</v>
      </c>
      <c r="B598">
        <v>7</v>
      </c>
      <c r="C598">
        <v>138.38</v>
      </c>
      <c r="D598">
        <v>56.77</v>
      </c>
      <c r="E598" t="s">
        <v>10050</v>
      </c>
      <c r="F598" t="s">
        <v>67</v>
      </c>
      <c r="G598" t="s">
        <v>428</v>
      </c>
      <c r="H598" t="s">
        <v>429</v>
      </c>
      <c r="I598" t="s">
        <v>70</v>
      </c>
      <c r="J598" t="s">
        <v>321</v>
      </c>
      <c r="K598">
        <v>165.04</v>
      </c>
      <c r="L598">
        <v>1.42</v>
      </c>
      <c r="M598" t="s">
        <v>2190</v>
      </c>
      <c r="N598">
        <v>426364</v>
      </c>
      <c r="R598">
        <v>1.1599999999999999</v>
      </c>
      <c r="S598">
        <v>1.38</v>
      </c>
      <c r="Z598" t="s">
        <v>164</v>
      </c>
      <c r="AA598">
        <v>-1.38</v>
      </c>
      <c r="AC598" t="s">
        <v>10051</v>
      </c>
      <c r="AE598" t="s">
        <v>10052</v>
      </c>
      <c r="AF598" t="s">
        <v>2594</v>
      </c>
      <c r="AG598" t="s">
        <v>7289</v>
      </c>
      <c r="AH598" t="s">
        <v>10053</v>
      </c>
      <c r="AI598" t="s">
        <v>10054</v>
      </c>
      <c r="AJ598" t="s">
        <v>5721</v>
      </c>
      <c r="AK598" t="s">
        <v>10055</v>
      </c>
      <c r="AL598">
        <v>1.44</v>
      </c>
      <c r="AM598">
        <v>1.43</v>
      </c>
      <c r="AN598">
        <v>0.45</v>
      </c>
      <c r="AO598" t="s">
        <v>4571</v>
      </c>
      <c r="AP598" t="s">
        <v>8860</v>
      </c>
      <c r="AQ598" t="s">
        <v>10056</v>
      </c>
      <c r="AR598" t="s">
        <v>4377</v>
      </c>
      <c r="AS598" t="s">
        <v>7942</v>
      </c>
      <c r="AT598" t="s">
        <v>2383</v>
      </c>
      <c r="AU598" t="s">
        <v>1267</v>
      </c>
      <c r="AV598" t="s">
        <v>7081</v>
      </c>
      <c r="AW598" t="s">
        <v>5980</v>
      </c>
      <c r="AX598" t="s">
        <v>10057</v>
      </c>
      <c r="AY598" t="s">
        <v>1326</v>
      </c>
      <c r="AZ598" t="s">
        <v>4381</v>
      </c>
      <c r="BA598">
        <v>1.6</v>
      </c>
      <c r="BB598">
        <v>1360.08</v>
      </c>
      <c r="BC598">
        <v>1.1100000000000001</v>
      </c>
      <c r="BD598">
        <v>1.45</v>
      </c>
      <c r="BE598">
        <v>1.45</v>
      </c>
      <c r="BF598">
        <v>1.4</v>
      </c>
      <c r="BG598" t="s">
        <v>10058</v>
      </c>
      <c r="BH598" t="s">
        <v>9376</v>
      </c>
      <c r="BI598" t="s">
        <v>4381</v>
      </c>
      <c r="BJ598" t="s">
        <v>101</v>
      </c>
      <c r="BK598" t="s">
        <v>9528</v>
      </c>
      <c r="BL598" t="s">
        <v>10059</v>
      </c>
      <c r="BM598" t="s">
        <v>10060</v>
      </c>
      <c r="BN598" t="s">
        <v>4063</v>
      </c>
    </row>
    <row r="599" spans="1:66" x14ac:dyDescent="0.25">
      <c r="A599" t="str">
        <f>HYPERLINK("https://elite.finviz.com/quote.ashx?t=QRVO&amp;ty=c&amp;p=d&amp;b=1", "QRVO")</f>
        <v>QRVO</v>
      </c>
      <c r="B599">
        <v>7</v>
      </c>
      <c r="C599">
        <v>138.38</v>
      </c>
      <c r="D599">
        <v>56.83</v>
      </c>
      <c r="E599" t="s">
        <v>10061</v>
      </c>
      <c r="F599" t="s">
        <v>107</v>
      </c>
      <c r="G599" t="s">
        <v>108</v>
      </c>
      <c r="H599" t="s">
        <v>1808</v>
      </c>
      <c r="I599" t="s">
        <v>70</v>
      </c>
      <c r="J599" t="s">
        <v>321</v>
      </c>
      <c r="K599">
        <v>8604.7999999999993</v>
      </c>
      <c r="L599">
        <v>92.87</v>
      </c>
      <c r="M599" t="s">
        <v>148</v>
      </c>
      <c r="N599">
        <v>129163</v>
      </c>
      <c r="O599">
        <v>108.39</v>
      </c>
      <c r="P599">
        <v>13.29</v>
      </c>
      <c r="Q599">
        <v>8.4499999999999993</v>
      </c>
      <c r="R599">
        <v>2.36</v>
      </c>
      <c r="S599">
        <v>2.5099999999999998</v>
      </c>
      <c r="Z599" t="s">
        <v>164</v>
      </c>
      <c r="AA599">
        <v>0.86</v>
      </c>
      <c r="AB599" t="s">
        <v>10062</v>
      </c>
      <c r="AC599" t="s">
        <v>10063</v>
      </c>
      <c r="AD599" t="s">
        <v>293</v>
      </c>
      <c r="AE599" t="s">
        <v>10064</v>
      </c>
      <c r="AF599" t="s">
        <v>4635</v>
      </c>
      <c r="AG599" t="s">
        <v>3173</v>
      </c>
      <c r="AH599" t="s">
        <v>10065</v>
      </c>
      <c r="AI599" t="s">
        <v>10066</v>
      </c>
      <c r="AJ599" t="s">
        <v>7959</v>
      </c>
      <c r="AK599" t="s">
        <v>7892</v>
      </c>
      <c r="AL599">
        <v>2.81</v>
      </c>
      <c r="AM599">
        <v>2.0099999999999998</v>
      </c>
      <c r="AN599">
        <v>0.45</v>
      </c>
      <c r="AO599" t="s">
        <v>10067</v>
      </c>
      <c r="AP599" t="s">
        <v>9936</v>
      </c>
      <c r="AQ599" t="s">
        <v>2808</v>
      </c>
      <c r="AR599" t="s">
        <v>6475</v>
      </c>
      <c r="AS599" t="s">
        <v>2624</v>
      </c>
      <c r="AT599" t="s">
        <v>5660</v>
      </c>
      <c r="AU599" t="s">
        <v>4299</v>
      </c>
      <c r="AV599" t="s">
        <v>10068</v>
      </c>
      <c r="AW599" t="s">
        <v>2012</v>
      </c>
      <c r="AX599" t="s">
        <v>4088</v>
      </c>
      <c r="AY599" t="s">
        <v>1500</v>
      </c>
      <c r="AZ599" t="s">
        <v>10069</v>
      </c>
      <c r="BA599">
        <v>2.75</v>
      </c>
      <c r="BB599">
        <v>1957.44</v>
      </c>
      <c r="BC599">
        <v>0.23</v>
      </c>
      <c r="BD599">
        <v>93.36</v>
      </c>
      <c r="BE599">
        <v>93.65</v>
      </c>
      <c r="BF599">
        <v>92.28</v>
      </c>
      <c r="BG599" t="s">
        <v>10070</v>
      </c>
      <c r="BH599" t="s">
        <v>10071</v>
      </c>
      <c r="BI599" t="s">
        <v>10072</v>
      </c>
      <c r="BJ599" t="s">
        <v>101</v>
      </c>
      <c r="BK599" t="s">
        <v>10073</v>
      </c>
      <c r="BL599" t="s">
        <v>9009</v>
      </c>
      <c r="BM599" t="s">
        <v>8343</v>
      </c>
      <c r="BN599" t="s">
        <v>4063</v>
      </c>
    </row>
    <row r="600" spans="1:66" x14ac:dyDescent="0.25">
      <c r="A600" t="str">
        <f>HYPERLINK("https://elite.finviz.com/quote.ashx?t=TOI&amp;ty=c&amp;p=d&amp;b=1", "TOI")</f>
        <v>TOI</v>
      </c>
      <c r="B600">
        <v>7</v>
      </c>
      <c r="C600">
        <v>138.38</v>
      </c>
      <c r="D600">
        <v>56.92</v>
      </c>
      <c r="E600" t="s">
        <v>10074</v>
      </c>
      <c r="F600" t="s">
        <v>67</v>
      </c>
      <c r="G600" t="s">
        <v>428</v>
      </c>
      <c r="H600" t="s">
        <v>3160</v>
      </c>
      <c r="I600" t="s">
        <v>70</v>
      </c>
      <c r="J600" t="s">
        <v>321</v>
      </c>
      <c r="K600">
        <v>333.82</v>
      </c>
      <c r="L600">
        <v>3.57</v>
      </c>
      <c r="M600" t="s">
        <v>3019</v>
      </c>
      <c r="N600">
        <v>303616</v>
      </c>
      <c r="R600">
        <v>0.79</v>
      </c>
      <c r="AA600">
        <v>-0.68</v>
      </c>
      <c r="AB600" t="s">
        <v>10075</v>
      </c>
      <c r="AE600" t="s">
        <v>2601</v>
      </c>
      <c r="AF600" t="s">
        <v>7569</v>
      </c>
      <c r="AH600" t="s">
        <v>5769</v>
      </c>
      <c r="AI600" t="s">
        <v>1427</v>
      </c>
      <c r="AJ600" t="s">
        <v>5629</v>
      </c>
      <c r="AK600" t="s">
        <v>2935</v>
      </c>
      <c r="AL600">
        <v>1.62</v>
      </c>
      <c r="AM600">
        <v>1.37</v>
      </c>
      <c r="AO600" t="s">
        <v>7298</v>
      </c>
      <c r="AP600" t="s">
        <v>1828</v>
      </c>
      <c r="AQ600" t="s">
        <v>998</v>
      </c>
      <c r="AR600" t="s">
        <v>438</v>
      </c>
      <c r="AS600" t="s">
        <v>3053</v>
      </c>
      <c r="AT600" t="s">
        <v>7387</v>
      </c>
      <c r="AU600" t="s">
        <v>6192</v>
      </c>
      <c r="AV600" t="s">
        <v>10076</v>
      </c>
      <c r="AW600" t="s">
        <v>10077</v>
      </c>
      <c r="AX600" t="s">
        <v>4424</v>
      </c>
      <c r="AY600" t="s">
        <v>10077</v>
      </c>
      <c r="AZ600" t="s">
        <v>10078</v>
      </c>
      <c r="BA600">
        <v>1</v>
      </c>
      <c r="BB600">
        <v>1977.86</v>
      </c>
      <c r="BC600">
        <v>0.54</v>
      </c>
      <c r="BD600">
        <v>3.52</v>
      </c>
      <c r="BE600">
        <v>3.64</v>
      </c>
      <c r="BF600">
        <v>3.48</v>
      </c>
      <c r="BG600" t="s">
        <v>10079</v>
      </c>
      <c r="BH600" t="s">
        <v>10080</v>
      </c>
      <c r="BI600" t="s">
        <v>10078</v>
      </c>
      <c r="BJ600" t="s">
        <v>101</v>
      </c>
      <c r="BK600" t="s">
        <v>10081</v>
      </c>
      <c r="BL600" t="s">
        <v>10082</v>
      </c>
      <c r="BM600" t="s">
        <v>10083</v>
      </c>
      <c r="BN600" t="s">
        <v>4063</v>
      </c>
    </row>
    <row r="601" spans="1:66" x14ac:dyDescent="0.25">
      <c r="A601" t="str">
        <f>HYPERLINK("https://elite.finviz.com/quote.ashx?t=SM&amp;ty=c&amp;p=d&amp;b=1", "SM")</f>
        <v>SM</v>
      </c>
      <c r="B601">
        <v>7</v>
      </c>
      <c r="C601">
        <v>138.38</v>
      </c>
      <c r="D601">
        <v>56.99</v>
      </c>
      <c r="E601" t="s">
        <v>10084</v>
      </c>
      <c r="F601" t="s">
        <v>67</v>
      </c>
      <c r="G601" t="s">
        <v>1048</v>
      </c>
      <c r="H601" t="s">
        <v>1049</v>
      </c>
      <c r="I601" t="s">
        <v>70</v>
      </c>
      <c r="J601" t="s">
        <v>71</v>
      </c>
      <c r="K601">
        <v>3240.55</v>
      </c>
      <c r="L601">
        <v>28.19</v>
      </c>
      <c r="M601" t="s">
        <v>4294</v>
      </c>
      <c r="N601">
        <v>475801</v>
      </c>
      <c r="O601">
        <v>3.99</v>
      </c>
      <c r="P601">
        <v>6.22</v>
      </c>
      <c r="R601">
        <v>1.03</v>
      </c>
      <c r="S601">
        <v>0.7</v>
      </c>
      <c r="T601" t="s">
        <v>2080</v>
      </c>
      <c r="U601">
        <v>0.8</v>
      </c>
      <c r="V601" t="s">
        <v>3662</v>
      </c>
      <c r="W601" t="s">
        <v>3538</v>
      </c>
      <c r="X601" t="s">
        <v>10085</v>
      </c>
      <c r="Y601" t="s">
        <v>492</v>
      </c>
      <c r="Z601" t="s">
        <v>7605</v>
      </c>
      <c r="AA601">
        <v>7.07</v>
      </c>
      <c r="AB601" t="s">
        <v>10086</v>
      </c>
      <c r="AD601" t="s">
        <v>2617</v>
      </c>
      <c r="AE601" t="s">
        <v>10087</v>
      </c>
      <c r="AF601" t="s">
        <v>3013</v>
      </c>
      <c r="AG601" t="s">
        <v>1935</v>
      </c>
      <c r="AH601" t="s">
        <v>5261</v>
      </c>
      <c r="AI601" t="s">
        <v>2040</v>
      </c>
      <c r="AJ601" t="s">
        <v>2263</v>
      </c>
      <c r="AK601" t="s">
        <v>10088</v>
      </c>
      <c r="AL601">
        <v>0.69</v>
      </c>
      <c r="AM601">
        <v>0.69</v>
      </c>
      <c r="AN601">
        <v>0.59</v>
      </c>
      <c r="AO601" t="s">
        <v>10089</v>
      </c>
      <c r="AP601" t="s">
        <v>10090</v>
      </c>
      <c r="AQ601" t="s">
        <v>10091</v>
      </c>
      <c r="AR601" t="s">
        <v>2235</v>
      </c>
      <c r="AS601" t="s">
        <v>2484</v>
      </c>
      <c r="AT601" t="s">
        <v>1050</v>
      </c>
      <c r="AU601" t="s">
        <v>1981</v>
      </c>
      <c r="AV601" t="s">
        <v>3321</v>
      </c>
      <c r="AW601" t="s">
        <v>7582</v>
      </c>
      <c r="AX601" t="s">
        <v>3921</v>
      </c>
      <c r="AY601" t="s">
        <v>10092</v>
      </c>
      <c r="AZ601" t="s">
        <v>10093</v>
      </c>
      <c r="BA601">
        <v>2.2400000000000002</v>
      </c>
      <c r="BB601">
        <v>1977.74</v>
      </c>
      <c r="BC601">
        <v>0.85</v>
      </c>
      <c r="BD601">
        <v>27.31</v>
      </c>
      <c r="BE601">
        <v>28.52</v>
      </c>
      <c r="BF601">
        <v>27.14</v>
      </c>
      <c r="BG601" t="s">
        <v>10094</v>
      </c>
      <c r="BH601" t="s">
        <v>10095</v>
      </c>
      <c r="BI601" t="s">
        <v>10096</v>
      </c>
      <c r="BJ601" t="s">
        <v>101</v>
      </c>
      <c r="BK601" t="s">
        <v>7655</v>
      </c>
      <c r="BL601" t="s">
        <v>4147</v>
      </c>
      <c r="BM601" t="s">
        <v>1995</v>
      </c>
      <c r="BN601" t="s">
        <v>4063</v>
      </c>
    </row>
    <row r="602" spans="1:66" x14ac:dyDescent="0.25">
      <c r="A602" t="str">
        <f>HYPERLINK("https://elite.finviz.com/quote.ashx?t=VCYT&amp;ty=c&amp;p=d&amp;b=1", "VCYT")</f>
        <v>VCYT</v>
      </c>
      <c r="B602">
        <v>7</v>
      </c>
      <c r="C602">
        <v>138.38</v>
      </c>
      <c r="D602">
        <v>57.03</v>
      </c>
      <c r="E602" t="s">
        <v>10097</v>
      </c>
      <c r="F602" t="s">
        <v>67</v>
      </c>
      <c r="G602" t="s">
        <v>428</v>
      </c>
      <c r="H602" t="s">
        <v>4202</v>
      </c>
      <c r="I602" t="s">
        <v>70</v>
      </c>
      <c r="J602" t="s">
        <v>321</v>
      </c>
      <c r="K602">
        <v>2572.17</v>
      </c>
      <c r="L602">
        <v>32.69</v>
      </c>
      <c r="M602" t="s">
        <v>1564</v>
      </c>
      <c r="N602">
        <v>94174</v>
      </c>
      <c r="O602">
        <v>98.27</v>
      </c>
      <c r="P602">
        <v>22.47</v>
      </c>
      <c r="Q602">
        <v>1.35</v>
      </c>
      <c r="R602">
        <v>5.37</v>
      </c>
      <c r="S602">
        <v>2.1</v>
      </c>
      <c r="Z602" t="s">
        <v>164</v>
      </c>
      <c r="AA602">
        <v>0.33</v>
      </c>
      <c r="AD602" t="s">
        <v>10098</v>
      </c>
      <c r="AE602" t="s">
        <v>7789</v>
      </c>
      <c r="AF602" t="s">
        <v>10099</v>
      </c>
      <c r="AG602" t="s">
        <v>8958</v>
      </c>
      <c r="AH602" t="s">
        <v>2095</v>
      </c>
      <c r="AI602" t="s">
        <v>10100</v>
      </c>
      <c r="AJ602" t="s">
        <v>1864</v>
      </c>
      <c r="AK602" t="s">
        <v>9536</v>
      </c>
      <c r="AL602">
        <v>5.43</v>
      </c>
      <c r="AM602">
        <v>5.0999999999999996</v>
      </c>
      <c r="AN602">
        <v>0.04</v>
      </c>
      <c r="AO602" t="s">
        <v>10101</v>
      </c>
      <c r="AP602" t="s">
        <v>707</v>
      </c>
      <c r="AQ602" t="s">
        <v>2370</v>
      </c>
      <c r="AR602" t="s">
        <v>3519</v>
      </c>
      <c r="AS602" t="s">
        <v>4395</v>
      </c>
      <c r="AT602" t="s">
        <v>4946</v>
      </c>
      <c r="AU602" t="s">
        <v>7435</v>
      </c>
      <c r="AV602" t="s">
        <v>3000</v>
      </c>
      <c r="AW602" t="s">
        <v>5488</v>
      </c>
      <c r="AX602" t="s">
        <v>422</v>
      </c>
      <c r="AY602" t="s">
        <v>10102</v>
      </c>
      <c r="AZ602" t="s">
        <v>422</v>
      </c>
      <c r="BA602">
        <v>1.55</v>
      </c>
      <c r="BB602">
        <v>1459.43</v>
      </c>
      <c r="BC602">
        <v>0.23</v>
      </c>
      <c r="BD602">
        <v>32.82</v>
      </c>
      <c r="BE602">
        <v>32.880000000000003</v>
      </c>
      <c r="BF602">
        <v>32.71</v>
      </c>
      <c r="BG602" t="s">
        <v>10103</v>
      </c>
      <c r="BH602" t="s">
        <v>10104</v>
      </c>
      <c r="BI602" t="s">
        <v>10105</v>
      </c>
      <c r="BJ602" t="s">
        <v>101</v>
      </c>
      <c r="BK602" t="s">
        <v>850</v>
      </c>
      <c r="BL602" t="s">
        <v>6404</v>
      </c>
      <c r="BM602" t="s">
        <v>7429</v>
      </c>
      <c r="BN602" t="s">
        <v>4063</v>
      </c>
    </row>
    <row r="603" spans="1:66" x14ac:dyDescent="0.25">
      <c r="A603" t="str">
        <f>HYPERLINK("https://elite.finviz.com/quote.ashx?t=BE&amp;ty=c&amp;p=d&amp;b=1", "BE")</f>
        <v>BE</v>
      </c>
      <c r="B603">
        <v>7</v>
      </c>
      <c r="C603">
        <v>138.38</v>
      </c>
      <c r="D603">
        <v>57.06</v>
      </c>
      <c r="E603" t="s">
        <v>10106</v>
      </c>
      <c r="F603" t="s">
        <v>67</v>
      </c>
      <c r="G603" t="s">
        <v>260</v>
      </c>
      <c r="H603" t="s">
        <v>1128</v>
      </c>
      <c r="I603" t="s">
        <v>70</v>
      </c>
      <c r="J603" t="s">
        <v>71</v>
      </c>
      <c r="K603">
        <v>16117.78</v>
      </c>
      <c r="L603">
        <v>68.88</v>
      </c>
      <c r="M603" t="s">
        <v>193</v>
      </c>
      <c r="N603">
        <v>3304312</v>
      </c>
      <c r="O603">
        <v>14655.32</v>
      </c>
      <c r="P603">
        <v>72.97</v>
      </c>
      <c r="Q603">
        <v>165.73</v>
      </c>
      <c r="R603">
        <v>9.89</v>
      </c>
      <c r="S603">
        <v>27.07</v>
      </c>
      <c r="AA603">
        <v>0</v>
      </c>
      <c r="AB603" t="s">
        <v>10107</v>
      </c>
      <c r="AC603" t="s">
        <v>10108</v>
      </c>
      <c r="AD603" t="s">
        <v>5843</v>
      </c>
      <c r="AE603" t="s">
        <v>10109</v>
      </c>
      <c r="AF603" t="s">
        <v>7401</v>
      </c>
      <c r="AG603" t="s">
        <v>4558</v>
      </c>
      <c r="AH603" t="s">
        <v>9044</v>
      </c>
      <c r="AI603" t="s">
        <v>10110</v>
      </c>
      <c r="AJ603" t="s">
        <v>10111</v>
      </c>
      <c r="AK603" t="s">
        <v>10112</v>
      </c>
      <c r="AL603">
        <v>4.91</v>
      </c>
      <c r="AM603">
        <v>3.13</v>
      </c>
      <c r="AN603">
        <v>2.56</v>
      </c>
      <c r="AO603" t="s">
        <v>10113</v>
      </c>
      <c r="AP603" t="s">
        <v>2869</v>
      </c>
      <c r="AQ603" t="s">
        <v>907</v>
      </c>
      <c r="AR603" t="s">
        <v>10114</v>
      </c>
      <c r="AS603" t="s">
        <v>929</v>
      </c>
      <c r="AT603" t="s">
        <v>1926</v>
      </c>
      <c r="AU603" t="s">
        <v>10115</v>
      </c>
      <c r="AV603" t="s">
        <v>10116</v>
      </c>
      <c r="AW603" t="s">
        <v>4695</v>
      </c>
      <c r="AX603" t="s">
        <v>10117</v>
      </c>
      <c r="AY603" t="s">
        <v>4695</v>
      </c>
      <c r="AZ603" t="s">
        <v>10118</v>
      </c>
      <c r="BA603">
        <v>2.3199999999999998</v>
      </c>
      <c r="BB603">
        <v>11782.61</v>
      </c>
      <c r="BC603">
        <v>0.99</v>
      </c>
      <c r="BD603">
        <v>68.69</v>
      </c>
      <c r="BE603">
        <v>69.599999999999994</v>
      </c>
      <c r="BF603">
        <v>66.62</v>
      </c>
      <c r="BG603" t="s">
        <v>10119</v>
      </c>
      <c r="BH603" t="s">
        <v>4695</v>
      </c>
      <c r="BI603" t="s">
        <v>10120</v>
      </c>
      <c r="BJ603" t="s">
        <v>101</v>
      </c>
      <c r="BK603" t="s">
        <v>10121</v>
      </c>
      <c r="BL603" t="s">
        <v>10122</v>
      </c>
      <c r="BM603" t="s">
        <v>10123</v>
      </c>
      <c r="BN603" t="s">
        <v>4063</v>
      </c>
    </row>
    <row r="604" spans="1:66" x14ac:dyDescent="0.25">
      <c r="A604" t="str">
        <f>HYPERLINK("https://elite.finviz.com/quote.ashx?t=CERT&amp;ty=c&amp;p=d&amp;b=1", "CERT")</f>
        <v>CERT</v>
      </c>
      <c r="B604">
        <v>7</v>
      </c>
      <c r="C604">
        <v>138.38</v>
      </c>
      <c r="D604">
        <v>57.08</v>
      </c>
      <c r="E604" t="s">
        <v>10124</v>
      </c>
      <c r="F604" t="s">
        <v>107</v>
      </c>
      <c r="G604" t="s">
        <v>428</v>
      </c>
      <c r="H604" t="s">
        <v>2075</v>
      </c>
      <c r="I604" t="s">
        <v>70</v>
      </c>
      <c r="J604" t="s">
        <v>321</v>
      </c>
      <c r="K604">
        <v>1861.63</v>
      </c>
      <c r="L604">
        <v>11.59</v>
      </c>
      <c r="M604" t="s">
        <v>6719</v>
      </c>
      <c r="N604">
        <v>174327</v>
      </c>
      <c r="O604">
        <v>234.62</v>
      </c>
      <c r="P604">
        <v>21.23</v>
      </c>
      <c r="Q604">
        <v>24.67</v>
      </c>
      <c r="R604">
        <v>4.59</v>
      </c>
      <c r="S604">
        <v>1.74</v>
      </c>
      <c r="AA604">
        <v>0.05</v>
      </c>
      <c r="AB604" t="s">
        <v>3066</v>
      </c>
      <c r="AC604" t="s">
        <v>1258</v>
      </c>
      <c r="AD604" t="s">
        <v>2200</v>
      </c>
      <c r="AE604" t="s">
        <v>5446</v>
      </c>
      <c r="AF604" t="s">
        <v>9227</v>
      </c>
      <c r="AG604" t="s">
        <v>3449</v>
      </c>
      <c r="AH604" t="s">
        <v>6388</v>
      </c>
      <c r="AI604" t="s">
        <v>10125</v>
      </c>
      <c r="AJ604" t="s">
        <v>2717</v>
      </c>
      <c r="AK604" t="s">
        <v>10126</v>
      </c>
      <c r="AL604">
        <v>2.16</v>
      </c>
      <c r="AM604">
        <v>2.16</v>
      </c>
      <c r="AN604">
        <v>0.28999999999999998</v>
      </c>
      <c r="AO604" t="s">
        <v>10127</v>
      </c>
      <c r="AP604" t="s">
        <v>1507</v>
      </c>
      <c r="AQ604" t="s">
        <v>4256</v>
      </c>
      <c r="AR604" t="s">
        <v>3542</v>
      </c>
      <c r="AS604" t="s">
        <v>2233</v>
      </c>
      <c r="AT604" t="s">
        <v>2170</v>
      </c>
      <c r="AU604" t="s">
        <v>3566</v>
      </c>
      <c r="AV604" t="s">
        <v>3358</v>
      </c>
      <c r="AW604" t="s">
        <v>5574</v>
      </c>
      <c r="AX604" t="s">
        <v>10128</v>
      </c>
      <c r="AY604" t="s">
        <v>10129</v>
      </c>
      <c r="AZ604" t="s">
        <v>312</v>
      </c>
      <c r="BA604">
        <v>2.08</v>
      </c>
      <c r="BB604">
        <v>1628.31</v>
      </c>
      <c r="BC604">
        <v>0.38</v>
      </c>
      <c r="BD604">
        <v>11.55</v>
      </c>
      <c r="BE604">
        <v>11.72</v>
      </c>
      <c r="BF604">
        <v>11.53</v>
      </c>
      <c r="BG604" t="s">
        <v>10130</v>
      </c>
      <c r="BH604" t="s">
        <v>10131</v>
      </c>
      <c r="BI604" t="s">
        <v>312</v>
      </c>
      <c r="BJ604" t="s">
        <v>101</v>
      </c>
      <c r="BK604" t="s">
        <v>4267</v>
      </c>
      <c r="BL604" t="s">
        <v>3815</v>
      </c>
      <c r="BM604" t="s">
        <v>10132</v>
      </c>
      <c r="BN604" t="s">
        <v>4063</v>
      </c>
    </row>
    <row r="605" spans="1:66" x14ac:dyDescent="0.25">
      <c r="A605" t="str">
        <f>HYPERLINK("https://elite.finviz.com/quote.ashx?t=AXGN&amp;ty=c&amp;p=d&amp;b=1", "AXGN")</f>
        <v>AXGN</v>
      </c>
      <c r="B605">
        <v>7</v>
      </c>
      <c r="C605">
        <v>138.38</v>
      </c>
      <c r="D605">
        <v>57.09</v>
      </c>
      <c r="E605" t="s">
        <v>10133</v>
      </c>
      <c r="F605" t="s">
        <v>67</v>
      </c>
      <c r="G605" t="s">
        <v>428</v>
      </c>
      <c r="H605" t="s">
        <v>2051</v>
      </c>
      <c r="I605" t="s">
        <v>70</v>
      </c>
      <c r="J605" t="s">
        <v>321</v>
      </c>
      <c r="K605">
        <v>773.36</v>
      </c>
      <c r="L605">
        <v>16.809999999999999</v>
      </c>
      <c r="M605" t="s">
        <v>2331</v>
      </c>
      <c r="N605">
        <v>202501</v>
      </c>
      <c r="P605">
        <v>35.31</v>
      </c>
      <c r="R605">
        <v>3.8</v>
      </c>
      <c r="S605">
        <v>6.85</v>
      </c>
      <c r="V605" t="s">
        <v>10134</v>
      </c>
      <c r="AA605">
        <v>-0.11</v>
      </c>
      <c r="AB605" t="s">
        <v>7521</v>
      </c>
      <c r="AC605" t="s">
        <v>10135</v>
      </c>
      <c r="AD605" t="s">
        <v>10136</v>
      </c>
      <c r="AE605" t="s">
        <v>3272</v>
      </c>
      <c r="AF605" t="s">
        <v>10137</v>
      </c>
      <c r="AG605" t="s">
        <v>2891</v>
      </c>
      <c r="AH605" t="s">
        <v>9460</v>
      </c>
      <c r="AI605" t="s">
        <v>10138</v>
      </c>
      <c r="AJ605" t="s">
        <v>3640</v>
      </c>
      <c r="AK605" t="s">
        <v>8243</v>
      </c>
      <c r="AL605">
        <v>4.1399999999999997</v>
      </c>
      <c r="AM605">
        <v>2.67</v>
      </c>
      <c r="AN605">
        <v>0.61</v>
      </c>
      <c r="AO605" t="s">
        <v>10139</v>
      </c>
      <c r="AP605" t="s">
        <v>2785</v>
      </c>
      <c r="AQ605" t="s">
        <v>6149</v>
      </c>
      <c r="AR605" t="s">
        <v>1453</v>
      </c>
      <c r="AS605" t="s">
        <v>4956</v>
      </c>
      <c r="AT605" t="s">
        <v>192</v>
      </c>
      <c r="AU605" t="s">
        <v>6923</v>
      </c>
      <c r="AV605" t="s">
        <v>10073</v>
      </c>
      <c r="AW605" t="s">
        <v>9019</v>
      </c>
      <c r="AX605" t="s">
        <v>10140</v>
      </c>
      <c r="AY605" t="s">
        <v>10141</v>
      </c>
      <c r="AZ605" t="s">
        <v>8920</v>
      </c>
      <c r="BA605">
        <v>1.1100000000000001</v>
      </c>
      <c r="BB605">
        <v>1321.94</v>
      </c>
      <c r="BC605">
        <v>0.54</v>
      </c>
      <c r="BD605">
        <v>16.920000000000002</v>
      </c>
      <c r="BE605">
        <v>17.02</v>
      </c>
      <c r="BF605">
        <v>16.68</v>
      </c>
      <c r="BG605" t="s">
        <v>10142</v>
      </c>
      <c r="BH605" t="s">
        <v>10143</v>
      </c>
      <c r="BI605" t="s">
        <v>10144</v>
      </c>
      <c r="BJ605" t="s">
        <v>101</v>
      </c>
      <c r="BK605" t="s">
        <v>10145</v>
      </c>
      <c r="BL605" t="s">
        <v>10146</v>
      </c>
      <c r="BM605" t="s">
        <v>87</v>
      </c>
      <c r="BN605" t="s">
        <v>4063</v>
      </c>
    </row>
    <row r="606" spans="1:66" x14ac:dyDescent="0.25">
      <c r="A606" t="str">
        <f>HYPERLINK("https://elite.finviz.com/quote.ashx?t=JBDI&amp;ty=c&amp;p=d&amp;b=1", "JBDI")</f>
        <v>JBDI</v>
      </c>
      <c r="B606">
        <v>7</v>
      </c>
      <c r="C606">
        <v>138.38</v>
      </c>
      <c r="D606">
        <v>57.14</v>
      </c>
      <c r="E606" t="s">
        <v>10147</v>
      </c>
      <c r="F606" t="s">
        <v>107</v>
      </c>
      <c r="G606" t="s">
        <v>813</v>
      </c>
      <c r="H606" t="s">
        <v>2262</v>
      </c>
      <c r="I606" t="s">
        <v>70</v>
      </c>
      <c r="J606" t="s">
        <v>321</v>
      </c>
      <c r="L606">
        <v>1.83</v>
      </c>
      <c r="M606" t="s">
        <v>103</v>
      </c>
      <c r="N606">
        <v>55599</v>
      </c>
      <c r="AR606" t="s">
        <v>639</v>
      </c>
      <c r="AS606" t="s">
        <v>6814</v>
      </c>
      <c r="AT606" t="s">
        <v>4188</v>
      </c>
      <c r="AU606" t="s">
        <v>10148</v>
      </c>
      <c r="AV606" t="s">
        <v>10149</v>
      </c>
      <c r="AW606" t="s">
        <v>10150</v>
      </c>
      <c r="AX606" t="s">
        <v>10151</v>
      </c>
      <c r="AY606" t="s">
        <v>10150</v>
      </c>
      <c r="AZ606" t="s">
        <v>10152</v>
      </c>
      <c r="BB606">
        <v>1301.1600000000001</v>
      </c>
      <c r="BC606">
        <v>0.15</v>
      </c>
      <c r="BD606">
        <v>1.92</v>
      </c>
      <c r="BE606">
        <v>1.99</v>
      </c>
      <c r="BF606">
        <v>1.83</v>
      </c>
      <c r="BG606" t="s">
        <v>10153</v>
      </c>
      <c r="BH606" t="s">
        <v>10154</v>
      </c>
      <c r="BI606" t="s">
        <v>10152</v>
      </c>
      <c r="BJ606" t="s">
        <v>101</v>
      </c>
      <c r="BK606" t="s">
        <v>1250</v>
      </c>
      <c r="BL606" t="s">
        <v>10155</v>
      </c>
      <c r="BM606" t="s">
        <v>10156</v>
      </c>
      <c r="BN606" t="s">
        <v>4063</v>
      </c>
    </row>
    <row r="607" spans="1:66" x14ac:dyDescent="0.25">
      <c r="A607" t="str">
        <f>HYPERLINK("https://elite.finviz.com/quote.ashx?t=ZM&amp;ty=c&amp;p=d&amp;b=1", "ZM")</f>
        <v>ZM</v>
      </c>
      <c r="B607">
        <v>7</v>
      </c>
      <c r="C607">
        <v>138.38</v>
      </c>
      <c r="D607">
        <v>57.14</v>
      </c>
      <c r="E607" t="s">
        <v>10157</v>
      </c>
      <c r="F607" t="s">
        <v>107</v>
      </c>
      <c r="G607" t="s">
        <v>108</v>
      </c>
      <c r="H607" t="s">
        <v>136</v>
      </c>
      <c r="I607" t="s">
        <v>70</v>
      </c>
      <c r="J607" t="s">
        <v>321</v>
      </c>
      <c r="K607">
        <v>25173.25</v>
      </c>
      <c r="L607">
        <v>84.11</v>
      </c>
      <c r="M607" t="s">
        <v>3358</v>
      </c>
      <c r="N607">
        <v>376089</v>
      </c>
      <c r="O607">
        <v>22.16</v>
      </c>
      <c r="P607">
        <v>14.16</v>
      </c>
      <c r="Q607">
        <v>5.28</v>
      </c>
      <c r="R607">
        <v>5.3</v>
      </c>
      <c r="S607">
        <v>2.82</v>
      </c>
      <c r="Z607" t="s">
        <v>164</v>
      </c>
      <c r="AA607">
        <v>3.8</v>
      </c>
      <c r="AB607" t="s">
        <v>5846</v>
      </c>
      <c r="AC607" t="s">
        <v>10158</v>
      </c>
      <c r="AD607" t="s">
        <v>5331</v>
      </c>
      <c r="AE607" t="s">
        <v>3613</v>
      </c>
      <c r="AF607" t="s">
        <v>615</v>
      </c>
      <c r="AG607" t="s">
        <v>10159</v>
      </c>
      <c r="AH607" t="s">
        <v>3343</v>
      </c>
      <c r="AI607" t="s">
        <v>2656</v>
      </c>
      <c r="AJ607" t="s">
        <v>8979</v>
      </c>
      <c r="AK607" t="s">
        <v>10160</v>
      </c>
      <c r="AL607">
        <v>4.3600000000000003</v>
      </c>
      <c r="AM607">
        <v>4.3600000000000003</v>
      </c>
      <c r="AN607">
        <v>0.01</v>
      </c>
      <c r="AO607" t="s">
        <v>10161</v>
      </c>
      <c r="AP607" t="s">
        <v>2851</v>
      </c>
      <c r="AQ607" t="s">
        <v>3192</v>
      </c>
      <c r="AR607" t="s">
        <v>4255</v>
      </c>
      <c r="AS607" t="s">
        <v>714</v>
      </c>
      <c r="AT607" t="s">
        <v>4539</v>
      </c>
      <c r="AU607" t="s">
        <v>3228</v>
      </c>
      <c r="AV607" t="s">
        <v>506</v>
      </c>
      <c r="AW607" t="s">
        <v>3897</v>
      </c>
      <c r="AX607" t="s">
        <v>4564</v>
      </c>
      <c r="AY607" t="s">
        <v>1704</v>
      </c>
      <c r="AZ607" t="s">
        <v>10162</v>
      </c>
      <c r="BA607">
        <v>2.31</v>
      </c>
      <c r="BB607">
        <v>3477.12</v>
      </c>
      <c r="BC607">
        <v>0.38</v>
      </c>
      <c r="BD607">
        <v>83.99</v>
      </c>
      <c r="BE607">
        <v>84.53</v>
      </c>
      <c r="BF607">
        <v>83.49</v>
      </c>
      <c r="BG607" t="s">
        <v>10163</v>
      </c>
      <c r="BH607" t="s">
        <v>10164</v>
      </c>
      <c r="BI607" t="s">
        <v>3985</v>
      </c>
      <c r="BJ607" t="s">
        <v>101</v>
      </c>
      <c r="BK607" t="s">
        <v>5151</v>
      </c>
      <c r="BL607" t="s">
        <v>4248</v>
      </c>
      <c r="BM607" t="s">
        <v>10165</v>
      </c>
      <c r="BN607" t="s">
        <v>4063</v>
      </c>
    </row>
    <row r="608" spans="1:66" x14ac:dyDescent="0.25">
      <c r="A608" t="str">
        <f>HYPERLINK("https://elite.finviz.com/quote.ashx?t=WAB&amp;ty=c&amp;p=d&amp;b=1", "WAB")</f>
        <v>WAB</v>
      </c>
      <c r="B608">
        <v>7</v>
      </c>
      <c r="C608">
        <v>138.38</v>
      </c>
      <c r="D608">
        <v>57.2</v>
      </c>
      <c r="E608" t="s">
        <v>10166</v>
      </c>
      <c r="F608" t="s">
        <v>195</v>
      </c>
      <c r="G608" t="s">
        <v>260</v>
      </c>
      <c r="H608" t="s">
        <v>10167</v>
      </c>
      <c r="I608" t="s">
        <v>70</v>
      </c>
      <c r="J608" t="s">
        <v>71</v>
      </c>
      <c r="K608">
        <v>33734.19</v>
      </c>
      <c r="L608">
        <v>197.33</v>
      </c>
      <c r="M608" t="s">
        <v>3551</v>
      </c>
      <c r="N608">
        <v>320704</v>
      </c>
      <c r="O608">
        <v>29.45</v>
      </c>
      <c r="P608">
        <v>19.59</v>
      </c>
      <c r="Q608">
        <v>2.1</v>
      </c>
      <c r="R608">
        <v>3.19</v>
      </c>
      <c r="S608">
        <v>3.12</v>
      </c>
      <c r="T608" t="s">
        <v>4849</v>
      </c>
      <c r="U608">
        <v>0.95</v>
      </c>
      <c r="V608" t="s">
        <v>2708</v>
      </c>
      <c r="W608" t="s">
        <v>9281</v>
      </c>
      <c r="X608" t="s">
        <v>731</v>
      </c>
      <c r="Y608" t="s">
        <v>10073</v>
      </c>
      <c r="Z608" t="s">
        <v>5756</v>
      </c>
      <c r="AA608">
        <v>6.7</v>
      </c>
      <c r="AB608" t="s">
        <v>10168</v>
      </c>
      <c r="AC608" t="s">
        <v>10169</v>
      </c>
      <c r="AD608" t="s">
        <v>3531</v>
      </c>
      <c r="AE608" t="s">
        <v>2662</v>
      </c>
      <c r="AF608" t="s">
        <v>230</v>
      </c>
      <c r="AG608" t="s">
        <v>5969</v>
      </c>
      <c r="AH608" t="s">
        <v>1761</v>
      </c>
      <c r="AI608" t="s">
        <v>4323</v>
      </c>
      <c r="AJ608" t="s">
        <v>10170</v>
      </c>
      <c r="AK608" t="s">
        <v>10171</v>
      </c>
      <c r="AL608">
        <v>1.76</v>
      </c>
      <c r="AM608">
        <v>1.05</v>
      </c>
      <c r="AN608">
        <v>0.47</v>
      </c>
      <c r="AO608" t="s">
        <v>10172</v>
      </c>
      <c r="AP608" t="s">
        <v>1464</v>
      </c>
      <c r="AQ608" t="s">
        <v>5551</v>
      </c>
      <c r="AR608" t="s">
        <v>5187</v>
      </c>
      <c r="AS608" t="s">
        <v>2876</v>
      </c>
      <c r="AT608" t="s">
        <v>7154</v>
      </c>
      <c r="AU608" t="s">
        <v>2609</v>
      </c>
      <c r="AV608" t="s">
        <v>3257</v>
      </c>
      <c r="AW608" t="s">
        <v>6195</v>
      </c>
      <c r="AX608" t="s">
        <v>906</v>
      </c>
      <c r="AY608" t="s">
        <v>6139</v>
      </c>
      <c r="AZ608" t="s">
        <v>7376</v>
      </c>
      <c r="BA608">
        <v>1.92</v>
      </c>
      <c r="BB608">
        <v>1148.01</v>
      </c>
      <c r="BC608">
        <v>0.98</v>
      </c>
      <c r="BD608">
        <v>194.52</v>
      </c>
      <c r="BE608">
        <v>198.2</v>
      </c>
      <c r="BF608">
        <v>194.85</v>
      </c>
      <c r="BG608" t="s">
        <v>10173</v>
      </c>
      <c r="BH608" t="s">
        <v>6139</v>
      </c>
      <c r="BI608" t="s">
        <v>10174</v>
      </c>
      <c r="BJ608" t="s">
        <v>101</v>
      </c>
      <c r="BK608" t="s">
        <v>10175</v>
      </c>
      <c r="BL608" t="s">
        <v>4697</v>
      </c>
      <c r="BM608" t="s">
        <v>9280</v>
      </c>
      <c r="BN608" t="s">
        <v>4063</v>
      </c>
    </row>
    <row r="609" spans="1:66" x14ac:dyDescent="0.25">
      <c r="A609" t="str">
        <f>HYPERLINK("https://elite.finviz.com/quote.ashx?t=IVP&amp;ty=c&amp;p=d&amp;b=1", "IVP")</f>
        <v>IVP</v>
      </c>
      <c r="B609">
        <v>7</v>
      </c>
      <c r="C609">
        <v>138.38</v>
      </c>
      <c r="D609">
        <v>57.2</v>
      </c>
      <c r="E609" t="s">
        <v>10176</v>
      </c>
      <c r="F609" t="s">
        <v>107</v>
      </c>
      <c r="G609" t="s">
        <v>813</v>
      </c>
      <c r="H609" t="s">
        <v>10177</v>
      </c>
      <c r="I609" t="s">
        <v>70</v>
      </c>
      <c r="J609" t="s">
        <v>321</v>
      </c>
      <c r="K609">
        <v>6.73</v>
      </c>
      <c r="L609">
        <v>1.01</v>
      </c>
      <c r="M609" t="s">
        <v>2814</v>
      </c>
      <c r="N609">
        <v>106203</v>
      </c>
      <c r="R609">
        <v>0.44</v>
      </c>
      <c r="S609">
        <v>12.16</v>
      </c>
      <c r="AA609">
        <v>-13.61</v>
      </c>
      <c r="AB609" t="s">
        <v>7592</v>
      </c>
      <c r="AE609" t="s">
        <v>1323</v>
      </c>
      <c r="AF609" t="s">
        <v>10178</v>
      </c>
      <c r="AH609" t="s">
        <v>6162</v>
      </c>
      <c r="AJ609" t="s">
        <v>164</v>
      </c>
      <c r="AK609" t="s">
        <v>6478</v>
      </c>
      <c r="AL609">
        <v>0.13</v>
      </c>
      <c r="AM609">
        <v>0.09</v>
      </c>
      <c r="AN609">
        <v>38.840000000000003</v>
      </c>
      <c r="AO609" t="s">
        <v>5265</v>
      </c>
      <c r="AP609" t="s">
        <v>10179</v>
      </c>
      <c r="AQ609" t="s">
        <v>10180</v>
      </c>
      <c r="AR609" t="s">
        <v>5798</v>
      </c>
      <c r="AS609" t="s">
        <v>4114</v>
      </c>
      <c r="AT609" t="s">
        <v>1700</v>
      </c>
      <c r="AU609" t="s">
        <v>4594</v>
      </c>
      <c r="AV609" t="s">
        <v>2309</v>
      </c>
      <c r="AW609" t="s">
        <v>10181</v>
      </c>
      <c r="AX609" t="s">
        <v>10182</v>
      </c>
      <c r="AY609" t="s">
        <v>10183</v>
      </c>
      <c r="AZ609" t="s">
        <v>9870</v>
      </c>
      <c r="BB609">
        <v>1112.71</v>
      </c>
      <c r="BC609">
        <v>0.34</v>
      </c>
      <c r="BD609">
        <v>1.06</v>
      </c>
      <c r="BE609">
        <v>1.07</v>
      </c>
      <c r="BF609">
        <v>0.96</v>
      </c>
      <c r="BG609" t="s">
        <v>10184</v>
      </c>
      <c r="BH609" t="s">
        <v>3320</v>
      </c>
      <c r="BI609" t="s">
        <v>9870</v>
      </c>
      <c r="BJ609" t="s">
        <v>101</v>
      </c>
      <c r="BK609" t="s">
        <v>10185</v>
      </c>
      <c r="BL609" t="s">
        <v>10186</v>
      </c>
      <c r="BM609" t="s">
        <v>10187</v>
      </c>
      <c r="BN609" t="s">
        <v>4063</v>
      </c>
    </row>
    <row r="610" spans="1:66" x14ac:dyDescent="0.25">
      <c r="A610" t="str">
        <f>HYPERLINK("https://elite.finviz.com/quote.ashx?t=PFG&amp;ty=c&amp;p=d&amp;b=1", "PFG")</f>
        <v>PFG</v>
      </c>
      <c r="B610">
        <v>7</v>
      </c>
      <c r="C610">
        <v>138.38</v>
      </c>
      <c r="D610">
        <v>57.22</v>
      </c>
      <c r="E610" t="s">
        <v>10188</v>
      </c>
      <c r="F610" t="s">
        <v>195</v>
      </c>
      <c r="G610" t="s">
        <v>550</v>
      </c>
      <c r="H610" t="s">
        <v>2597</v>
      </c>
      <c r="I610" t="s">
        <v>70</v>
      </c>
      <c r="J610" t="s">
        <v>321</v>
      </c>
      <c r="K610">
        <v>18300.43</v>
      </c>
      <c r="L610">
        <v>82.15</v>
      </c>
      <c r="M610" t="s">
        <v>2785</v>
      </c>
      <c r="N610">
        <v>181664</v>
      </c>
      <c r="O610">
        <v>16.54</v>
      </c>
      <c r="P610">
        <v>8.93</v>
      </c>
      <c r="Q610">
        <v>1.23</v>
      </c>
      <c r="R610">
        <v>1.21</v>
      </c>
      <c r="S610">
        <v>1.61</v>
      </c>
      <c r="T610" t="s">
        <v>5592</v>
      </c>
      <c r="U610">
        <v>3.02</v>
      </c>
      <c r="V610" t="s">
        <v>6223</v>
      </c>
      <c r="W610" t="s">
        <v>7209</v>
      </c>
      <c r="X610" t="s">
        <v>5611</v>
      </c>
      <c r="Y610" t="s">
        <v>1475</v>
      </c>
      <c r="Z610" t="s">
        <v>10189</v>
      </c>
      <c r="AA610">
        <v>4.97</v>
      </c>
      <c r="AB610" t="s">
        <v>212</v>
      </c>
      <c r="AC610" t="s">
        <v>2174</v>
      </c>
      <c r="AD610" t="s">
        <v>7298</v>
      </c>
      <c r="AE610" t="s">
        <v>5426</v>
      </c>
      <c r="AF610" t="s">
        <v>5467</v>
      </c>
      <c r="AG610" t="s">
        <v>2717</v>
      </c>
      <c r="AH610" t="s">
        <v>8770</v>
      </c>
      <c r="AI610" t="s">
        <v>2877</v>
      </c>
      <c r="AJ610" t="s">
        <v>164</v>
      </c>
      <c r="AK610" t="s">
        <v>6396</v>
      </c>
      <c r="AL610">
        <v>0.41</v>
      </c>
      <c r="AN610">
        <v>0.35</v>
      </c>
      <c r="AP610" t="s">
        <v>4193</v>
      </c>
      <c r="AQ610" t="s">
        <v>6392</v>
      </c>
      <c r="AR610" t="s">
        <v>3487</v>
      </c>
      <c r="AS610" t="s">
        <v>1129</v>
      </c>
      <c r="AT610" t="s">
        <v>6732</v>
      </c>
      <c r="AU610" t="s">
        <v>5779</v>
      </c>
      <c r="AV610" t="s">
        <v>295</v>
      </c>
      <c r="AW610" t="s">
        <v>6659</v>
      </c>
      <c r="AX610" t="s">
        <v>9515</v>
      </c>
      <c r="AY610" t="s">
        <v>618</v>
      </c>
      <c r="AZ610" t="s">
        <v>3663</v>
      </c>
      <c r="BA610">
        <v>2.87</v>
      </c>
      <c r="BB610">
        <v>1234.74</v>
      </c>
      <c r="BC610">
        <v>0.52</v>
      </c>
      <c r="BD610">
        <v>81.5</v>
      </c>
      <c r="BE610">
        <v>83.23</v>
      </c>
      <c r="BF610">
        <v>81.86</v>
      </c>
      <c r="BG610" t="s">
        <v>10190</v>
      </c>
      <c r="BH610" t="s">
        <v>3917</v>
      </c>
      <c r="BI610" t="s">
        <v>10191</v>
      </c>
      <c r="BJ610" t="s">
        <v>101</v>
      </c>
      <c r="BK610" t="s">
        <v>5592</v>
      </c>
      <c r="BL610" t="s">
        <v>9087</v>
      </c>
      <c r="BM610" t="s">
        <v>2893</v>
      </c>
      <c r="BN610" t="s">
        <v>4063</v>
      </c>
    </row>
    <row r="611" spans="1:66" x14ac:dyDescent="0.25">
      <c r="A611" t="str">
        <f>HYPERLINK("https://elite.finviz.com/quote.ashx?t=CRNC&amp;ty=c&amp;p=d&amp;b=1", "CRNC")</f>
        <v>CRNC</v>
      </c>
      <c r="B611">
        <v>7</v>
      </c>
      <c r="C611">
        <v>138.38</v>
      </c>
      <c r="D611">
        <v>57.23</v>
      </c>
      <c r="E611" t="s">
        <v>10192</v>
      </c>
      <c r="F611" t="s">
        <v>67</v>
      </c>
      <c r="G611" t="s">
        <v>108</v>
      </c>
      <c r="H611" t="s">
        <v>136</v>
      </c>
      <c r="I611" t="s">
        <v>70</v>
      </c>
      <c r="J611" t="s">
        <v>321</v>
      </c>
      <c r="K611">
        <v>507.71</v>
      </c>
      <c r="L611">
        <v>11.72</v>
      </c>
      <c r="M611" t="s">
        <v>3496</v>
      </c>
      <c r="N611">
        <v>531538</v>
      </c>
      <c r="P611">
        <v>18.170000000000002</v>
      </c>
      <c r="R611">
        <v>2.06</v>
      </c>
      <c r="S611">
        <v>3.26</v>
      </c>
      <c r="AA611">
        <v>-0.66</v>
      </c>
      <c r="AD611" t="s">
        <v>5733</v>
      </c>
      <c r="AE611" t="s">
        <v>10193</v>
      </c>
      <c r="AF611" t="s">
        <v>10194</v>
      </c>
      <c r="AG611" t="s">
        <v>2201</v>
      </c>
      <c r="AH611" t="s">
        <v>10195</v>
      </c>
      <c r="AI611" t="s">
        <v>10196</v>
      </c>
      <c r="AJ611" t="s">
        <v>1842</v>
      </c>
      <c r="AK611" t="s">
        <v>10197</v>
      </c>
      <c r="AL611">
        <v>1.72</v>
      </c>
      <c r="AM611">
        <v>1.71</v>
      </c>
      <c r="AN611">
        <v>1.39</v>
      </c>
      <c r="AO611" t="s">
        <v>10198</v>
      </c>
      <c r="AP611" t="s">
        <v>714</v>
      </c>
      <c r="AQ611" t="s">
        <v>10199</v>
      </c>
      <c r="AR611" t="s">
        <v>7403</v>
      </c>
      <c r="AS611" t="s">
        <v>1955</v>
      </c>
      <c r="AT611" t="s">
        <v>3147</v>
      </c>
      <c r="AU611" t="s">
        <v>10200</v>
      </c>
      <c r="AV611" t="s">
        <v>7724</v>
      </c>
      <c r="AW611" t="s">
        <v>4134</v>
      </c>
      <c r="AX611" t="s">
        <v>2444</v>
      </c>
      <c r="AY611" t="s">
        <v>10201</v>
      </c>
      <c r="AZ611" t="s">
        <v>10202</v>
      </c>
      <c r="BA611">
        <v>3</v>
      </c>
      <c r="BB611">
        <v>2167</v>
      </c>
      <c r="BC611">
        <v>0.86</v>
      </c>
      <c r="BD611">
        <v>11.1</v>
      </c>
      <c r="BE611">
        <v>11.76</v>
      </c>
      <c r="BF611">
        <v>11.15</v>
      </c>
      <c r="BG611" t="s">
        <v>10203</v>
      </c>
      <c r="BH611" t="s">
        <v>10204</v>
      </c>
      <c r="BI611" t="s">
        <v>10205</v>
      </c>
      <c r="BJ611" t="s">
        <v>101</v>
      </c>
      <c r="BK611" t="s">
        <v>4292</v>
      </c>
      <c r="BL611" t="s">
        <v>5514</v>
      </c>
      <c r="BM611" t="s">
        <v>10206</v>
      </c>
      <c r="BN611" t="s">
        <v>4063</v>
      </c>
    </row>
    <row r="612" spans="1:66" x14ac:dyDescent="0.25">
      <c r="A612" t="str">
        <f>HYPERLINK("https://elite.finviz.com/quote.ashx?t=OPEN&amp;ty=c&amp;p=d&amp;b=1", "OPEN")</f>
        <v>OPEN</v>
      </c>
      <c r="B612">
        <v>7</v>
      </c>
      <c r="C612">
        <v>138.38</v>
      </c>
      <c r="D612">
        <v>57.25</v>
      </c>
      <c r="E612" t="s">
        <v>10207</v>
      </c>
      <c r="F612" t="s">
        <v>107</v>
      </c>
      <c r="G612" t="s">
        <v>68</v>
      </c>
      <c r="H612" t="s">
        <v>7494</v>
      </c>
      <c r="I612" t="s">
        <v>70</v>
      </c>
      <c r="J612" t="s">
        <v>321</v>
      </c>
      <c r="K612">
        <v>6257.74</v>
      </c>
      <c r="L612">
        <v>8.5</v>
      </c>
      <c r="M612" t="s">
        <v>10208</v>
      </c>
      <c r="N612">
        <v>77438848</v>
      </c>
      <c r="R612">
        <v>1.21</v>
      </c>
      <c r="S612">
        <v>9.89</v>
      </c>
      <c r="AA612">
        <v>-0.43</v>
      </c>
      <c r="AB612" t="s">
        <v>10006</v>
      </c>
      <c r="AC612" t="s">
        <v>8682</v>
      </c>
      <c r="AD612" t="s">
        <v>3689</v>
      </c>
      <c r="AE612" t="s">
        <v>775</v>
      </c>
      <c r="AF612" t="s">
        <v>4791</v>
      </c>
      <c r="AG612" t="s">
        <v>2217</v>
      </c>
      <c r="AH612" t="s">
        <v>3482</v>
      </c>
      <c r="AI612" t="s">
        <v>6673</v>
      </c>
      <c r="AJ612" t="s">
        <v>2468</v>
      </c>
      <c r="AK612" t="s">
        <v>5485</v>
      </c>
      <c r="AL612">
        <v>4.3499999999999996</v>
      </c>
      <c r="AM612">
        <v>1.97</v>
      </c>
      <c r="AN612">
        <v>3.46</v>
      </c>
      <c r="AO612" t="s">
        <v>484</v>
      </c>
      <c r="AP612" t="s">
        <v>759</v>
      </c>
      <c r="AQ612" t="s">
        <v>402</v>
      </c>
      <c r="AR612" t="s">
        <v>2612</v>
      </c>
      <c r="AS612" t="s">
        <v>420</v>
      </c>
      <c r="AT612" t="s">
        <v>7669</v>
      </c>
      <c r="AU612" t="s">
        <v>10209</v>
      </c>
      <c r="AV612" t="s">
        <v>10210</v>
      </c>
      <c r="AW612" t="s">
        <v>10211</v>
      </c>
      <c r="AX612" t="s">
        <v>10212</v>
      </c>
      <c r="AY612" t="s">
        <v>10211</v>
      </c>
      <c r="AZ612" t="s">
        <v>10213</v>
      </c>
      <c r="BA612">
        <v>3.56</v>
      </c>
      <c r="BB612">
        <v>337358.36</v>
      </c>
      <c r="BC612">
        <v>0.81</v>
      </c>
      <c r="BD612">
        <v>9.09</v>
      </c>
      <c r="BE612">
        <v>8.98</v>
      </c>
      <c r="BF612">
        <v>8.43</v>
      </c>
      <c r="BG612" t="s">
        <v>10214</v>
      </c>
      <c r="BH612" t="s">
        <v>10215</v>
      </c>
      <c r="BI612" t="s">
        <v>10213</v>
      </c>
      <c r="BJ612" t="s">
        <v>101</v>
      </c>
      <c r="BK612" t="s">
        <v>10216</v>
      </c>
      <c r="BL612" t="s">
        <v>10217</v>
      </c>
      <c r="BM612" t="s">
        <v>10218</v>
      </c>
      <c r="BN612" t="s">
        <v>4063</v>
      </c>
    </row>
    <row r="613" spans="1:66" x14ac:dyDescent="0.25">
      <c r="A613" t="str">
        <f>HYPERLINK("https://elite.finviz.com/quote.ashx?t=STLD&amp;ty=c&amp;p=d&amp;b=1", "STLD")</f>
        <v>STLD</v>
      </c>
      <c r="B613">
        <v>7</v>
      </c>
      <c r="C613">
        <v>138.38</v>
      </c>
      <c r="D613">
        <v>57.33</v>
      </c>
      <c r="E613" t="s">
        <v>10219</v>
      </c>
      <c r="F613" t="s">
        <v>195</v>
      </c>
      <c r="G613" t="s">
        <v>355</v>
      </c>
      <c r="H613" t="s">
        <v>10220</v>
      </c>
      <c r="I613" t="s">
        <v>70</v>
      </c>
      <c r="J613" t="s">
        <v>321</v>
      </c>
      <c r="K613">
        <v>20252.41</v>
      </c>
      <c r="L613">
        <v>137.58000000000001</v>
      </c>
      <c r="M613" t="s">
        <v>581</v>
      </c>
      <c r="N613">
        <v>115864</v>
      </c>
      <c r="O613">
        <v>20.07</v>
      </c>
      <c r="P613">
        <v>10.93</v>
      </c>
      <c r="Q613">
        <v>1.65</v>
      </c>
      <c r="R613">
        <v>1.18</v>
      </c>
      <c r="S613">
        <v>2.29</v>
      </c>
      <c r="T613" t="s">
        <v>907</v>
      </c>
      <c r="U613">
        <v>1.92</v>
      </c>
      <c r="V613" t="s">
        <v>198</v>
      </c>
      <c r="W613" t="s">
        <v>3100</v>
      </c>
      <c r="X613" t="s">
        <v>9039</v>
      </c>
      <c r="Y613" t="s">
        <v>4088</v>
      </c>
      <c r="Z613" t="s">
        <v>6081</v>
      </c>
      <c r="AA613">
        <v>6.85</v>
      </c>
      <c r="AB613" t="s">
        <v>117</v>
      </c>
      <c r="AC613" t="s">
        <v>3255</v>
      </c>
      <c r="AD613" t="s">
        <v>6068</v>
      </c>
      <c r="AE613" t="s">
        <v>7532</v>
      </c>
      <c r="AF613" t="s">
        <v>2950</v>
      </c>
      <c r="AG613" t="s">
        <v>537</v>
      </c>
      <c r="AH613" t="s">
        <v>4763</v>
      </c>
      <c r="AI613" t="s">
        <v>2752</v>
      </c>
      <c r="AJ613" t="s">
        <v>4191</v>
      </c>
      <c r="AK613" t="s">
        <v>3510</v>
      </c>
      <c r="AL613">
        <v>3.13</v>
      </c>
      <c r="AM613">
        <v>1.34</v>
      </c>
      <c r="AN613">
        <v>0.43</v>
      </c>
      <c r="AO613" t="s">
        <v>10221</v>
      </c>
      <c r="AP613" t="s">
        <v>6392</v>
      </c>
      <c r="AQ613" t="s">
        <v>7541</v>
      </c>
      <c r="AR613" t="s">
        <v>1761</v>
      </c>
      <c r="AS613" t="s">
        <v>4945</v>
      </c>
      <c r="AT613" t="s">
        <v>1438</v>
      </c>
      <c r="AU613" t="s">
        <v>5090</v>
      </c>
      <c r="AV613" t="s">
        <v>4498</v>
      </c>
      <c r="AW613" t="s">
        <v>1175</v>
      </c>
      <c r="AX613" t="s">
        <v>800</v>
      </c>
      <c r="AY613" t="s">
        <v>10222</v>
      </c>
      <c r="AZ613" t="s">
        <v>8927</v>
      </c>
      <c r="BA613">
        <v>1.67</v>
      </c>
      <c r="BB613">
        <v>1310.76</v>
      </c>
      <c r="BC613">
        <v>0.31</v>
      </c>
      <c r="BD613">
        <v>136.09</v>
      </c>
      <c r="BE613">
        <v>138.16</v>
      </c>
      <c r="BF613">
        <v>136.62</v>
      </c>
      <c r="BG613" t="s">
        <v>10223</v>
      </c>
      <c r="BH613" t="s">
        <v>10222</v>
      </c>
      <c r="BI613" t="s">
        <v>10224</v>
      </c>
      <c r="BJ613" t="s">
        <v>101</v>
      </c>
      <c r="BK613" t="s">
        <v>4872</v>
      </c>
      <c r="BL613" t="s">
        <v>2193</v>
      </c>
      <c r="BM613" t="s">
        <v>2555</v>
      </c>
      <c r="BN613" t="s">
        <v>4063</v>
      </c>
    </row>
    <row r="614" spans="1:66" x14ac:dyDescent="0.25">
      <c r="A614" t="str">
        <f>HYPERLINK("https://elite.finviz.com/quote.ashx?t=MBC&amp;ty=c&amp;p=d&amp;b=1", "MBC")</f>
        <v>MBC</v>
      </c>
      <c r="B614">
        <v>7</v>
      </c>
      <c r="C614">
        <v>138.38</v>
      </c>
      <c r="D614">
        <v>57.36</v>
      </c>
      <c r="E614" t="s">
        <v>10225</v>
      </c>
      <c r="F614" t="s">
        <v>67</v>
      </c>
      <c r="G614" t="s">
        <v>813</v>
      </c>
      <c r="H614" t="s">
        <v>3866</v>
      </c>
      <c r="I614" t="s">
        <v>70</v>
      </c>
      <c r="J614" t="s">
        <v>71</v>
      </c>
      <c r="K614">
        <v>1776.41</v>
      </c>
      <c r="L614">
        <v>13.48</v>
      </c>
      <c r="M614" t="s">
        <v>10226</v>
      </c>
      <c r="N614">
        <v>541355</v>
      </c>
      <c r="O614">
        <v>18.72</v>
      </c>
      <c r="P614">
        <v>10.29</v>
      </c>
      <c r="R614">
        <v>0.64</v>
      </c>
      <c r="S614">
        <v>1.25</v>
      </c>
      <c r="Z614" t="s">
        <v>164</v>
      </c>
      <c r="AA614">
        <v>0.72</v>
      </c>
      <c r="AB614" t="s">
        <v>10227</v>
      </c>
      <c r="AC614" t="s">
        <v>2647</v>
      </c>
      <c r="AE614" t="s">
        <v>3469</v>
      </c>
      <c r="AF614" t="s">
        <v>9618</v>
      </c>
      <c r="AG614" t="s">
        <v>3635</v>
      </c>
      <c r="AH614" t="s">
        <v>707</v>
      </c>
      <c r="AI614" t="s">
        <v>9281</v>
      </c>
      <c r="AJ614" t="s">
        <v>164</v>
      </c>
      <c r="AK614" t="s">
        <v>750</v>
      </c>
      <c r="AL614">
        <v>1.87</v>
      </c>
      <c r="AM614">
        <v>1.1200000000000001</v>
      </c>
      <c r="AN614">
        <v>0.79</v>
      </c>
      <c r="AO614" t="s">
        <v>4721</v>
      </c>
      <c r="AP614" t="s">
        <v>418</v>
      </c>
      <c r="AQ614" t="s">
        <v>3454</v>
      </c>
      <c r="AR614" t="s">
        <v>465</v>
      </c>
      <c r="AS614" t="s">
        <v>2234</v>
      </c>
      <c r="AT614" t="s">
        <v>715</v>
      </c>
      <c r="AU614" t="s">
        <v>327</v>
      </c>
      <c r="AV614" t="s">
        <v>4189</v>
      </c>
      <c r="AW614" t="s">
        <v>10228</v>
      </c>
      <c r="AX614" t="s">
        <v>9106</v>
      </c>
      <c r="AY614" t="s">
        <v>10229</v>
      </c>
      <c r="AZ614" t="s">
        <v>10230</v>
      </c>
      <c r="BA614">
        <v>2</v>
      </c>
      <c r="BB614">
        <v>1426.87</v>
      </c>
      <c r="BC614">
        <v>1.34</v>
      </c>
      <c r="BD614">
        <v>12.89</v>
      </c>
      <c r="BE614">
        <v>13.95</v>
      </c>
      <c r="BF614">
        <v>13.35</v>
      </c>
      <c r="BG614" t="s">
        <v>10231</v>
      </c>
      <c r="BH614" t="s">
        <v>10229</v>
      </c>
      <c r="BI614" t="s">
        <v>10232</v>
      </c>
      <c r="BJ614" t="s">
        <v>101</v>
      </c>
      <c r="BK614" t="s">
        <v>10233</v>
      </c>
      <c r="BL614" t="s">
        <v>2402</v>
      </c>
      <c r="BM614" t="s">
        <v>5360</v>
      </c>
      <c r="BN614" t="s">
        <v>4063</v>
      </c>
    </row>
    <row r="615" spans="1:66" x14ac:dyDescent="0.25">
      <c r="A615" t="str">
        <f>HYPERLINK("https://elite.finviz.com/quote.ashx?t=CVX&amp;ty=c&amp;p=d&amp;b=1", "CVX")</f>
        <v>CVX</v>
      </c>
      <c r="B615">
        <v>7</v>
      </c>
      <c r="C615">
        <v>138.38</v>
      </c>
      <c r="D615">
        <v>57.4</v>
      </c>
      <c r="E615" t="s">
        <v>10234</v>
      </c>
      <c r="F615" t="s">
        <v>1759</v>
      </c>
      <c r="G615" t="s">
        <v>1048</v>
      </c>
      <c r="H615" t="s">
        <v>10235</v>
      </c>
      <c r="I615" t="s">
        <v>70</v>
      </c>
      <c r="J615" t="s">
        <v>71</v>
      </c>
      <c r="K615">
        <v>327583.02</v>
      </c>
      <c r="L615">
        <v>160</v>
      </c>
      <c r="M615" t="s">
        <v>2203</v>
      </c>
      <c r="N615">
        <v>1861949</v>
      </c>
      <c r="O615">
        <v>20.65</v>
      </c>
      <c r="P615">
        <v>17.77</v>
      </c>
      <c r="Q615">
        <v>4.4400000000000004</v>
      </c>
      <c r="R615">
        <v>1.75</v>
      </c>
      <c r="S615">
        <v>1.89</v>
      </c>
      <c r="T615" t="s">
        <v>4744</v>
      </c>
      <c r="U615">
        <v>6.76</v>
      </c>
      <c r="V615" t="s">
        <v>10236</v>
      </c>
      <c r="W615" t="s">
        <v>2447</v>
      </c>
      <c r="X615" t="s">
        <v>8054</v>
      </c>
      <c r="Y615" t="s">
        <v>10237</v>
      </c>
      <c r="Z615" t="s">
        <v>10238</v>
      </c>
      <c r="AA615">
        <v>7.75</v>
      </c>
      <c r="AB615" t="s">
        <v>6183</v>
      </c>
      <c r="AC615" t="s">
        <v>10239</v>
      </c>
      <c r="AD615" t="s">
        <v>2809</v>
      </c>
      <c r="AE615" t="s">
        <v>5558</v>
      </c>
      <c r="AF615" t="s">
        <v>5383</v>
      </c>
      <c r="AG615" t="s">
        <v>8593</v>
      </c>
      <c r="AH615" t="s">
        <v>10240</v>
      </c>
      <c r="AI615" t="s">
        <v>4276</v>
      </c>
      <c r="AJ615" t="s">
        <v>7865</v>
      </c>
      <c r="AK615" t="s">
        <v>10241</v>
      </c>
      <c r="AL615">
        <v>1</v>
      </c>
      <c r="AM615">
        <v>0.74</v>
      </c>
      <c r="AN615">
        <v>0.2</v>
      </c>
      <c r="AO615" t="s">
        <v>7116</v>
      </c>
      <c r="AP615" t="s">
        <v>2848</v>
      </c>
      <c r="AQ615" t="s">
        <v>5151</v>
      </c>
      <c r="AR615" t="s">
        <v>9136</v>
      </c>
      <c r="AS615" t="s">
        <v>4275</v>
      </c>
      <c r="AT615" t="s">
        <v>6478</v>
      </c>
      <c r="AU615" t="s">
        <v>4976</v>
      </c>
      <c r="AV615" t="s">
        <v>3148</v>
      </c>
      <c r="AW615" t="s">
        <v>4312</v>
      </c>
      <c r="AX615" t="s">
        <v>1006</v>
      </c>
      <c r="AY615" t="s">
        <v>7285</v>
      </c>
      <c r="AZ615" t="s">
        <v>4847</v>
      </c>
      <c r="BA615">
        <v>2.1800000000000002</v>
      </c>
      <c r="BB615">
        <v>9363.26</v>
      </c>
      <c r="BC615">
        <v>0.7</v>
      </c>
      <c r="BD615">
        <v>160.72</v>
      </c>
      <c r="BE615">
        <v>161.29</v>
      </c>
      <c r="BF615">
        <v>159.86000000000001</v>
      </c>
      <c r="BG615" t="s">
        <v>10242</v>
      </c>
      <c r="BH615" t="s">
        <v>4580</v>
      </c>
      <c r="BI615" t="s">
        <v>10243</v>
      </c>
      <c r="BJ615" t="s">
        <v>101</v>
      </c>
      <c r="BK615" t="s">
        <v>1009</v>
      </c>
      <c r="BL615" t="s">
        <v>552</v>
      </c>
      <c r="BM615" t="s">
        <v>1736</v>
      </c>
      <c r="BN615" t="s">
        <v>4063</v>
      </c>
    </row>
    <row r="616" spans="1:66" x14ac:dyDescent="0.25">
      <c r="A616" t="str">
        <f>HYPERLINK("https://elite.finviz.com/quote.ashx?t=WYFI&amp;ty=c&amp;p=d&amp;b=1", "WYFI")</f>
        <v>WYFI</v>
      </c>
      <c r="B616">
        <v>7</v>
      </c>
      <c r="C616">
        <v>138.38</v>
      </c>
      <c r="D616">
        <v>57.42</v>
      </c>
      <c r="E616" t="s">
        <v>10244</v>
      </c>
      <c r="F616" t="s">
        <v>107</v>
      </c>
      <c r="G616" t="s">
        <v>108</v>
      </c>
      <c r="H616" t="s">
        <v>136</v>
      </c>
      <c r="I616" t="s">
        <v>70</v>
      </c>
      <c r="J616" t="s">
        <v>321</v>
      </c>
      <c r="K616">
        <v>891.09</v>
      </c>
      <c r="L616">
        <v>23.56</v>
      </c>
      <c r="M616" t="s">
        <v>1998</v>
      </c>
      <c r="N616">
        <v>392770</v>
      </c>
      <c r="R616">
        <v>1937.14</v>
      </c>
      <c r="S616">
        <v>350.52</v>
      </c>
      <c r="AA616">
        <v>0</v>
      </c>
      <c r="AH616" t="s">
        <v>10245</v>
      </c>
      <c r="AI616" t="s">
        <v>10246</v>
      </c>
      <c r="AJ616" t="s">
        <v>164</v>
      </c>
      <c r="AK616" t="s">
        <v>629</v>
      </c>
      <c r="AL616">
        <v>1.41</v>
      </c>
      <c r="AM616">
        <v>1.41</v>
      </c>
      <c r="AN616">
        <v>0.14000000000000001</v>
      </c>
      <c r="AO616" t="s">
        <v>8851</v>
      </c>
      <c r="AP616" t="s">
        <v>2752</v>
      </c>
      <c r="AQ616" t="s">
        <v>9095</v>
      </c>
      <c r="AR616" t="s">
        <v>3492</v>
      </c>
      <c r="AS616" t="s">
        <v>10247</v>
      </c>
      <c r="AT616" t="s">
        <v>5128</v>
      </c>
      <c r="AU616" t="s">
        <v>1953</v>
      </c>
      <c r="AV616" t="s">
        <v>1953</v>
      </c>
      <c r="AW616" t="s">
        <v>4209</v>
      </c>
      <c r="AX616" t="s">
        <v>8445</v>
      </c>
      <c r="AY616" t="s">
        <v>4209</v>
      </c>
      <c r="AZ616" t="s">
        <v>8445</v>
      </c>
      <c r="BA616">
        <v>1</v>
      </c>
      <c r="BB616">
        <v>1562.55</v>
      </c>
      <c r="BC616">
        <v>0.89</v>
      </c>
      <c r="BD616">
        <v>23.59</v>
      </c>
      <c r="BE616">
        <v>24.37</v>
      </c>
      <c r="BF616">
        <v>22.41</v>
      </c>
      <c r="BG616" t="s">
        <v>10248</v>
      </c>
      <c r="BH616" t="s">
        <v>4209</v>
      </c>
      <c r="BI616" t="s">
        <v>8445</v>
      </c>
      <c r="BJ616" t="s">
        <v>101</v>
      </c>
      <c r="BN616" t="s">
        <v>4063</v>
      </c>
    </row>
    <row r="617" spans="1:66" x14ac:dyDescent="0.25">
      <c r="A617" t="str">
        <f>HYPERLINK("https://elite.finviz.com/quote.ashx?t=NI&amp;ty=c&amp;p=d&amp;b=1", "NI")</f>
        <v>NI</v>
      </c>
      <c r="B617">
        <v>7</v>
      </c>
      <c r="C617">
        <v>138.38</v>
      </c>
      <c r="D617">
        <v>57.44</v>
      </c>
      <c r="E617" t="s">
        <v>10249</v>
      </c>
      <c r="F617" t="s">
        <v>195</v>
      </c>
      <c r="G617" t="s">
        <v>287</v>
      </c>
      <c r="H617" t="s">
        <v>3541</v>
      </c>
      <c r="I617" t="s">
        <v>70</v>
      </c>
      <c r="J617" t="s">
        <v>71</v>
      </c>
      <c r="K617">
        <v>19860.669999999998</v>
      </c>
      <c r="L617">
        <v>42.18</v>
      </c>
      <c r="M617" t="s">
        <v>7388</v>
      </c>
      <c r="N617">
        <v>415808</v>
      </c>
      <c r="O617">
        <v>22.41</v>
      </c>
      <c r="P617">
        <v>20.85</v>
      </c>
      <c r="Q617">
        <v>2.92</v>
      </c>
      <c r="R617">
        <v>3.24</v>
      </c>
      <c r="S617">
        <v>2.2400000000000002</v>
      </c>
      <c r="T617" t="s">
        <v>648</v>
      </c>
      <c r="U617">
        <v>1.1000000000000001</v>
      </c>
      <c r="V617" t="s">
        <v>10250</v>
      </c>
      <c r="W617" t="s">
        <v>3601</v>
      </c>
      <c r="X617" t="s">
        <v>7542</v>
      </c>
      <c r="Y617" t="s">
        <v>2932</v>
      </c>
      <c r="Z617" t="s">
        <v>10251</v>
      </c>
      <c r="AA617">
        <v>1.88</v>
      </c>
      <c r="AB617" t="s">
        <v>418</v>
      </c>
      <c r="AC617" t="s">
        <v>2432</v>
      </c>
      <c r="AD617" t="s">
        <v>7403</v>
      </c>
      <c r="AE617" t="s">
        <v>10252</v>
      </c>
      <c r="AF617" t="s">
        <v>5111</v>
      </c>
      <c r="AG617" t="s">
        <v>3761</v>
      </c>
      <c r="AH617" t="s">
        <v>8015</v>
      </c>
      <c r="AI617" t="s">
        <v>5150</v>
      </c>
      <c r="AJ617" t="s">
        <v>6130</v>
      </c>
      <c r="AK617" t="s">
        <v>9026</v>
      </c>
      <c r="AL617">
        <v>0.59</v>
      </c>
      <c r="AM617">
        <v>0.48</v>
      </c>
      <c r="AN617">
        <v>1.77</v>
      </c>
      <c r="AO617" t="s">
        <v>10253</v>
      </c>
      <c r="AP617" t="s">
        <v>9381</v>
      </c>
      <c r="AQ617" t="s">
        <v>10254</v>
      </c>
      <c r="AR617" t="s">
        <v>1129</v>
      </c>
      <c r="AS617" t="s">
        <v>5263</v>
      </c>
      <c r="AT617" t="s">
        <v>304</v>
      </c>
      <c r="AU617" t="s">
        <v>344</v>
      </c>
      <c r="AV617" t="s">
        <v>1955</v>
      </c>
      <c r="AW617" t="s">
        <v>8216</v>
      </c>
      <c r="AX617" t="s">
        <v>2635</v>
      </c>
      <c r="AY617" t="s">
        <v>8216</v>
      </c>
      <c r="AZ617" t="s">
        <v>9399</v>
      </c>
      <c r="BA617">
        <v>2</v>
      </c>
      <c r="BB617">
        <v>4417.59</v>
      </c>
      <c r="BC617">
        <v>0.33</v>
      </c>
      <c r="BD617">
        <v>41.82</v>
      </c>
      <c r="BE617">
        <v>42.47</v>
      </c>
      <c r="BF617">
        <v>41.87</v>
      </c>
      <c r="BG617" t="s">
        <v>10255</v>
      </c>
      <c r="BH617" t="s">
        <v>8216</v>
      </c>
      <c r="BI617" t="s">
        <v>10256</v>
      </c>
      <c r="BJ617" t="s">
        <v>101</v>
      </c>
      <c r="BK617" t="s">
        <v>5336</v>
      </c>
      <c r="BL617" t="s">
        <v>5455</v>
      </c>
      <c r="BM617" t="s">
        <v>3015</v>
      </c>
      <c r="BN617" t="s">
        <v>4063</v>
      </c>
    </row>
    <row r="618" spans="1:66" x14ac:dyDescent="0.25">
      <c r="A618" t="str">
        <f>HYPERLINK("https://elite.finviz.com/quote.ashx?t=TTWO&amp;ty=c&amp;p=d&amp;b=1", "TTWO")</f>
        <v>TTWO</v>
      </c>
      <c r="B618">
        <v>7</v>
      </c>
      <c r="C618">
        <v>138.38</v>
      </c>
      <c r="D618">
        <v>57.5</v>
      </c>
      <c r="E618" t="s">
        <v>10257</v>
      </c>
      <c r="F618" t="s">
        <v>319</v>
      </c>
      <c r="G618" t="s">
        <v>598</v>
      </c>
      <c r="H618" t="s">
        <v>7474</v>
      </c>
      <c r="I618" t="s">
        <v>70</v>
      </c>
      <c r="J618" t="s">
        <v>321</v>
      </c>
      <c r="K618">
        <v>45646.93</v>
      </c>
      <c r="L618">
        <v>247.45</v>
      </c>
      <c r="M618" t="s">
        <v>2881</v>
      </c>
      <c r="N618">
        <v>172180</v>
      </c>
      <c r="P618">
        <v>27.52</v>
      </c>
      <c r="R618">
        <v>7.87</v>
      </c>
      <c r="S618">
        <v>13.11</v>
      </c>
      <c r="AA618">
        <v>-23.94</v>
      </c>
      <c r="AD618" t="s">
        <v>10258</v>
      </c>
      <c r="AE618" t="s">
        <v>4850</v>
      </c>
      <c r="AF618" t="s">
        <v>2360</v>
      </c>
      <c r="AG618" t="s">
        <v>1959</v>
      </c>
      <c r="AH618" t="s">
        <v>3857</v>
      </c>
      <c r="AI618" t="s">
        <v>10259</v>
      </c>
      <c r="AJ618" t="s">
        <v>815</v>
      </c>
      <c r="AK618" t="s">
        <v>10260</v>
      </c>
      <c r="AL618">
        <v>1.1599999999999999</v>
      </c>
      <c r="AM618">
        <v>1.1599999999999999</v>
      </c>
      <c r="AN618">
        <v>1.01</v>
      </c>
      <c r="AO618" t="s">
        <v>4433</v>
      </c>
      <c r="AP618" t="s">
        <v>7439</v>
      </c>
      <c r="AQ618" t="s">
        <v>10261</v>
      </c>
      <c r="AR618" t="s">
        <v>1776</v>
      </c>
      <c r="AS618" t="s">
        <v>633</v>
      </c>
      <c r="AT618" t="s">
        <v>1764</v>
      </c>
      <c r="AU618" t="s">
        <v>4173</v>
      </c>
      <c r="AV618" t="s">
        <v>3290</v>
      </c>
      <c r="AW618" t="s">
        <v>10262</v>
      </c>
      <c r="AX618" t="s">
        <v>8684</v>
      </c>
      <c r="AY618" t="s">
        <v>10262</v>
      </c>
      <c r="AZ618" t="s">
        <v>6655</v>
      </c>
      <c r="BA618">
        <v>1.52</v>
      </c>
      <c r="BB618">
        <v>1766.96</v>
      </c>
      <c r="BC618">
        <v>0.34</v>
      </c>
      <c r="BD618">
        <v>245.11</v>
      </c>
      <c r="BE618">
        <v>248.94</v>
      </c>
      <c r="BF618">
        <v>245.55</v>
      </c>
      <c r="BG618" t="s">
        <v>10263</v>
      </c>
      <c r="BH618" t="s">
        <v>10262</v>
      </c>
      <c r="BI618" t="s">
        <v>10264</v>
      </c>
      <c r="BJ618" t="s">
        <v>101</v>
      </c>
      <c r="BK618" t="s">
        <v>2333</v>
      </c>
      <c r="BL618" t="s">
        <v>849</v>
      </c>
      <c r="BM618" t="s">
        <v>8939</v>
      </c>
      <c r="BN618" t="s">
        <v>4063</v>
      </c>
    </row>
    <row r="619" spans="1:66" x14ac:dyDescent="0.25">
      <c r="A619" t="str">
        <f>HYPERLINK("https://elite.finviz.com/quote.ashx?t=RSI&amp;ty=c&amp;p=d&amp;b=1", "RSI")</f>
        <v>RSI</v>
      </c>
      <c r="B619">
        <v>7</v>
      </c>
      <c r="C619">
        <v>138.38</v>
      </c>
      <c r="D619">
        <v>57.51</v>
      </c>
      <c r="E619" t="s">
        <v>10265</v>
      </c>
      <c r="F619" t="s">
        <v>67</v>
      </c>
      <c r="G619" t="s">
        <v>813</v>
      </c>
      <c r="H619" t="s">
        <v>10266</v>
      </c>
      <c r="I619" t="s">
        <v>70</v>
      </c>
      <c r="J619" t="s">
        <v>71</v>
      </c>
      <c r="K619">
        <v>4943.84</v>
      </c>
      <c r="L619">
        <v>21.63</v>
      </c>
      <c r="M619" t="s">
        <v>1324</v>
      </c>
      <c r="N619">
        <v>128736</v>
      </c>
      <c r="O619">
        <v>107.29</v>
      </c>
      <c r="P619">
        <v>45.15</v>
      </c>
      <c r="Q619">
        <v>2.2400000000000002</v>
      </c>
      <c r="R619">
        <v>4.8600000000000003</v>
      </c>
      <c r="S619">
        <v>16.760000000000002</v>
      </c>
      <c r="Z619" t="s">
        <v>164</v>
      </c>
      <c r="AA619">
        <v>0.2</v>
      </c>
      <c r="AD619" t="s">
        <v>10267</v>
      </c>
      <c r="AE619" t="s">
        <v>931</v>
      </c>
      <c r="AF619" t="s">
        <v>10268</v>
      </c>
      <c r="AG619" t="s">
        <v>10269</v>
      </c>
      <c r="AH619" t="s">
        <v>10270</v>
      </c>
      <c r="AI619" t="s">
        <v>10271</v>
      </c>
      <c r="AJ619" t="s">
        <v>10272</v>
      </c>
      <c r="AK619" t="s">
        <v>8099</v>
      </c>
      <c r="AL619">
        <v>1.87</v>
      </c>
      <c r="AM619">
        <v>1.87</v>
      </c>
      <c r="AN619">
        <v>0.14000000000000001</v>
      </c>
      <c r="AO619" t="s">
        <v>4761</v>
      </c>
      <c r="AP619" t="s">
        <v>3204</v>
      </c>
      <c r="AQ619" t="s">
        <v>3635</v>
      </c>
      <c r="AR619" t="s">
        <v>3205</v>
      </c>
      <c r="AS619" t="s">
        <v>3542</v>
      </c>
      <c r="AT619" t="s">
        <v>306</v>
      </c>
      <c r="AU619" t="s">
        <v>10273</v>
      </c>
      <c r="AV619" t="s">
        <v>1796</v>
      </c>
      <c r="AW619" t="s">
        <v>4396</v>
      </c>
      <c r="AX619" t="s">
        <v>2937</v>
      </c>
      <c r="AY619" t="s">
        <v>4396</v>
      </c>
      <c r="AZ619" t="s">
        <v>10274</v>
      </c>
      <c r="BA619">
        <v>1.44</v>
      </c>
      <c r="BB619">
        <v>1641.44</v>
      </c>
      <c r="BC619">
        <v>0.28000000000000003</v>
      </c>
      <c r="BD619">
        <v>21.61</v>
      </c>
      <c r="BE619">
        <v>21.89</v>
      </c>
      <c r="BF619">
        <v>21.5</v>
      </c>
      <c r="BG619" t="s">
        <v>10275</v>
      </c>
      <c r="BH619" t="s">
        <v>9578</v>
      </c>
      <c r="BI619" t="s">
        <v>10276</v>
      </c>
      <c r="BJ619" t="s">
        <v>101</v>
      </c>
      <c r="BK619" t="s">
        <v>10277</v>
      </c>
      <c r="BL619" t="s">
        <v>10278</v>
      </c>
      <c r="BM619" t="s">
        <v>10279</v>
      </c>
      <c r="BN619" t="s">
        <v>4063</v>
      </c>
    </row>
    <row r="620" spans="1:66" x14ac:dyDescent="0.25">
      <c r="A620" t="str">
        <f>HYPERLINK("https://elite.finviz.com/quote.ashx?t=LILAK&amp;ty=c&amp;p=d&amp;b=1", "LILAK")</f>
        <v>LILAK</v>
      </c>
      <c r="B620">
        <v>7</v>
      </c>
      <c r="C620">
        <v>138.38</v>
      </c>
      <c r="D620">
        <v>57.52</v>
      </c>
      <c r="E620" t="s">
        <v>10280</v>
      </c>
      <c r="F620" t="s">
        <v>67</v>
      </c>
      <c r="G620" t="s">
        <v>598</v>
      </c>
      <c r="H620" t="s">
        <v>6147</v>
      </c>
      <c r="I620" t="s">
        <v>70</v>
      </c>
      <c r="J620" t="s">
        <v>321</v>
      </c>
      <c r="K620">
        <v>1643.19</v>
      </c>
      <c r="L620">
        <v>8.23</v>
      </c>
      <c r="M620" t="s">
        <v>2717</v>
      </c>
      <c r="N620">
        <v>114477</v>
      </c>
      <c r="P620">
        <v>27.03</v>
      </c>
      <c r="R620">
        <v>0.37</v>
      </c>
      <c r="S620">
        <v>2.7</v>
      </c>
      <c r="AA620">
        <v>-5.93</v>
      </c>
      <c r="AB620" t="s">
        <v>10281</v>
      </c>
      <c r="AC620" t="s">
        <v>10282</v>
      </c>
      <c r="AE620" t="s">
        <v>9475</v>
      </c>
      <c r="AF620" t="s">
        <v>4124</v>
      </c>
      <c r="AG620" t="s">
        <v>5425</v>
      </c>
      <c r="AH620" t="s">
        <v>4646</v>
      </c>
      <c r="AI620" t="s">
        <v>10283</v>
      </c>
      <c r="AJ620" t="s">
        <v>4507</v>
      </c>
      <c r="AK620" t="s">
        <v>10284</v>
      </c>
      <c r="AL620">
        <v>1.08</v>
      </c>
      <c r="AM620">
        <v>1.08</v>
      </c>
      <c r="AN620">
        <v>14.28</v>
      </c>
      <c r="AO620" t="s">
        <v>1774</v>
      </c>
      <c r="AP620" t="s">
        <v>8814</v>
      </c>
      <c r="AQ620" t="s">
        <v>10285</v>
      </c>
      <c r="AR620" t="s">
        <v>5187</v>
      </c>
      <c r="AS620" t="s">
        <v>2473</v>
      </c>
      <c r="AT620" t="s">
        <v>212</v>
      </c>
      <c r="AU620" t="s">
        <v>8960</v>
      </c>
      <c r="AV620" t="s">
        <v>8196</v>
      </c>
      <c r="AW620" t="s">
        <v>1373</v>
      </c>
      <c r="AX620" t="s">
        <v>4949</v>
      </c>
      <c r="AY620" t="s">
        <v>10286</v>
      </c>
      <c r="AZ620" t="s">
        <v>10287</v>
      </c>
      <c r="BA620">
        <v>1.8</v>
      </c>
      <c r="BB620">
        <v>1535.54</v>
      </c>
      <c r="BC620">
        <v>0.26</v>
      </c>
      <c r="BD620">
        <v>8.24</v>
      </c>
      <c r="BE620">
        <v>8.35</v>
      </c>
      <c r="BF620">
        <v>8.2899999999999991</v>
      </c>
      <c r="BG620" t="s">
        <v>10288</v>
      </c>
      <c r="BH620" t="s">
        <v>10289</v>
      </c>
      <c r="BI620" t="s">
        <v>10287</v>
      </c>
      <c r="BJ620" t="s">
        <v>101</v>
      </c>
      <c r="BK620" t="s">
        <v>8540</v>
      </c>
      <c r="BL620" t="s">
        <v>3863</v>
      </c>
      <c r="BM620" t="s">
        <v>8048</v>
      </c>
      <c r="BN620" t="s">
        <v>4063</v>
      </c>
    </row>
    <row r="621" spans="1:66" x14ac:dyDescent="0.25">
      <c r="A621" t="str">
        <f>HYPERLINK("https://elite.finviz.com/quote.ashx?t=MTG&amp;ty=c&amp;p=d&amp;b=1", "MTG")</f>
        <v>MTG</v>
      </c>
      <c r="B621">
        <v>7</v>
      </c>
      <c r="C621">
        <v>138.38</v>
      </c>
      <c r="D621">
        <v>57.54</v>
      </c>
      <c r="E621" t="s">
        <v>10290</v>
      </c>
      <c r="F621" t="s">
        <v>107</v>
      </c>
      <c r="G621" t="s">
        <v>550</v>
      </c>
      <c r="H621" t="s">
        <v>4675</v>
      </c>
      <c r="I621" t="s">
        <v>70</v>
      </c>
      <c r="J621" t="s">
        <v>71</v>
      </c>
      <c r="K621">
        <v>6568.99</v>
      </c>
      <c r="L621">
        <v>28.5</v>
      </c>
      <c r="M621" t="s">
        <v>3000</v>
      </c>
      <c r="N621">
        <v>189612</v>
      </c>
      <c r="O621">
        <v>9.34</v>
      </c>
      <c r="P621">
        <v>9.2799999999999994</v>
      </c>
      <c r="Q621">
        <v>2.17</v>
      </c>
      <c r="R621">
        <v>5.39</v>
      </c>
      <c r="S621">
        <v>1.29</v>
      </c>
      <c r="T621" t="s">
        <v>2202</v>
      </c>
      <c r="U621">
        <v>0.54</v>
      </c>
      <c r="V621" t="s">
        <v>2420</v>
      </c>
      <c r="W621" t="s">
        <v>73</v>
      </c>
      <c r="X621" t="s">
        <v>2871</v>
      </c>
      <c r="Y621" t="s">
        <v>2558</v>
      </c>
      <c r="Z621" t="s">
        <v>6815</v>
      </c>
      <c r="AA621">
        <v>3.05</v>
      </c>
      <c r="AB621" t="s">
        <v>6814</v>
      </c>
      <c r="AC621" t="s">
        <v>6945</v>
      </c>
      <c r="AD621" t="s">
        <v>1449</v>
      </c>
      <c r="AE621" t="s">
        <v>4499</v>
      </c>
      <c r="AF621" t="s">
        <v>4308</v>
      </c>
      <c r="AG621" t="s">
        <v>2638</v>
      </c>
      <c r="AH621" t="s">
        <v>9925</v>
      </c>
      <c r="AI621" t="s">
        <v>3290</v>
      </c>
      <c r="AJ621" t="s">
        <v>5612</v>
      </c>
      <c r="AK621" t="s">
        <v>10291</v>
      </c>
      <c r="AL621">
        <v>3.69</v>
      </c>
      <c r="AN621">
        <v>0.13</v>
      </c>
      <c r="AP621" t="s">
        <v>10292</v>
      </c>
      <c r="AQ621" t="s">
        <v>10293</v>
      </c>
      <c r="AR621" t="s">
        <v>4552</v>
      </c>
      <c r="AS621" t="s">
        <v>2720</v>
      </c>
      <c r="AT621" t="s">
        <v>6463</v>
      </c>
      <c r="AU621" t="s">
        <v>2419</v>
      </c>
      <c r="AV621" t="s">
        <v>2517</v>
      </c>
      <c r="AW621" t="s">
        <v>789</v>
      </c>
      <c r="AX621" t="s">
        <v>5840</v>
      </c>
      <c r="AY621" t="s">
        <v>789</v>
      </c>
      <c r="AZ621" t="s">
        <v>10294</v>
      </c>
      <c r="BA621">
        <v>3</v>
      </c>
      <c r="BB621">
        <v>2264.92</v>
      </c>
      <c r="BC621">
        <v>0.28999999999999998</v>
      </c>
      <c r="BD621">
        <v>28.39</v>
      </c>
      <c r="BE621">
        <v>28.75</v>
      </c>
      <c r="BF621">
        <v>28.49</v>
      </c>
      <c r="BG621" t="s">
        <v>10295</v>
      </c>
      <c r="BH621" t="s">
        <v>10296</v>
      </c>
      <c r="BI621" t="s">
        <v>10297</v>
      </c>
      <c r="BJ621" t="s">
        <v>101</v>
      </c>
      <c r="BK621" t="s">
        <v>6118</v>
      </c>
      <c r="BL621" t="s">
        <v>800</v>
      </c>
      <c r="BM621" t="s">
        <v>945</v>
      </c>
      <c r="BN621" t="s">
        <v>4063</v>
      </c>
    </row>
    <row r="622" spans="1:66" x14ac:dyDescent="0.25">
      <c r="A622" t="str">
        <f>HYPERLINK("https://elite.finviz.com/quote.ashx?t=BFLY&amp;ty=c&amp;p=d&amp;b=1", "BFLY")</f>
        <v>BFLY</v>
      </c>
      <c r="B622">
        <v>7</v>
      </c>
      <c r="C622">
        <v>138.38</v>
      </c>
      <c r="D622">
        <v>57.54</v>
      </c>
      <c r="E622" t="s">
        <v>10298</v>
      </c>
      <c r="F622" t="s">
        <v>67</v>
      </c>
      <c r="G622" t="s">
        <v>428</v>
      </c>
      <c r="H622" t="s">
        <v>2051</v>
      </c>
      <c r="I622" t="s">
        <v>70</v>
      </c>
      <c r="J622" t="s">
        <v>71</v>
      </c>
      <c r="K622">
        <v>476.97</v>
      </c>
      <c r="L622">
        <v>1.89</v>
      </c>
      <c r="M622" t="s">
        <v>2136</v>
      </c>
      <c r="N622">
        <v>1428521</v>
      </c>
      <c r="R622">
        <v>5.45</v>
      </c>
      <c r="S622">
        <v>2.04</v>
      </c>
      <c r="AA622">
        <v>-0.28000000000000003</v>
      </c>
      <c r="AB622" t="s">
        <v>5074</v>
      </c>
      <c r="AC622" t="s">
        <v>10299</v>
      </c>
      <c r="AD622" t="s">
        <v>5046</v>
      </c>
      <c r="AE622" t="s">
        <v>10300</v>
      </c>
      <c r="AF622" t="s">
        <v>8274</v>
      </c>
      <c r="AG622" t="s">
        <v>4455</v>
      </c>
      <c r="AH622" t="s">
        <v>1822</v>
      </c>
      <c r="AI622" t="s">
        <v>6398</v>
      </c>
      <c r="AJ622" t="s">
        <v>240</v>
      </c>
      <c r="AK622" t="s">
        <v>10301</v>
      </c>
      <c r="AL622">
        <v>5.68</v>
      </c>
      <c r="AM622">
        <v>4.04</v>
      </c>
      <c r="AN622">
        <v>0.09</v>
      </c>
      <c r="AO622" t="s">
        <v>8896</v>
      </c>
      <c r="AP622" t="s">
        <v>10302</v>
      </c>
      <c r="AQ622" t="s">
        <v>2766</v>
      </c>
      <c r="AR622" t="s">
        <v>2724</v>
      </c>
      <c r="AS622" t="s">
        <v>2447</v>
      </c>
      <c r="AT622" t="s">
        <v>702</v>
      </c>
      <c r="AU622" t="s">
        <v>10303</v>
      </c>
      <c r="AV622" t="s">
        <v>3354</v>
      </c>
      <c r="AW622" t="s">
        <v>10304</v>
      </c>
      <c r="AX622" t="s">
        <v>10305</v>
      </c>
      <c r="AY622" t="s">
        <v>10306</v>
      </c>
      <c r="AZ622" t="s">
        <v>10305</v>
      </c>
      <c r="BA622">
        <v>1</v>
      </c>
      <c r="BB622">
        <v>4515.79</v>
      </c>
      <c r="BC622">
        <v>1.1100000000000001</v>
      </c>
      <c r="BD622">
        <v>1.96</v>
      </c>
      <c r="BE622">
        <v>1.99</v>
      </c>
      <c r="BF622">
        <v>1.88</v>
      </c>
      <c r="BG622" t="s">
        <v>10307</v>
      </c>
      <c r="BH622" t="s">
        <v>10308</v>
      </c>
      <c r="BI622" t="s">
        <v>10309</v>
      </c>
      <c r="BJ622" t="s">
        <v>101</v>
      </c>
      <c r="BK622" t="s">
        <v>2136</v>
      </c>
      <c r="BL622" t="s">
        <v>10310</v>
      </c>
      <c r="BM622" t="s">
        <v>913</v>
      </c>
      <c r="BN622" t="s">
        <v>4063</v>
      </c>
    </row>
    <row r="623" spans="1:66" x14ac:dyDescent="0.25">
      <c r="A623" t="str">
        <f>HYPERLINK("https://elite.finviz.com/quote.ashx?t=TDOC&amp;ty=c&amp;p=d&amp;b=1", "TDOC")</f>
        <v>TDOC</v>
      </c>
      <c r="B623">
        <v>7</v>
      </c>
      <c r="C623">
        <v>138.38</v>
      </c>
      <c r="D623">
        <v>57.55</v>
      </c>
      <c r="E623" t="s">
        <v>10311</v>
      </c>
      <c r="F623" t="s">
        <v>67</v>
      </c>
      <c r="G623" t="s">
        <v>428</v>
      </c>
      <c r="H623" t="s">
        <v>2075</v>
      </c>
      <c r="I623" t="s">
        <v>70</v>
      </c>
      <c r="J623" t="s">
        <v>71</v>
      </c>
      <c r="K623">
        <v>1458.77</v>
      </c>
      <c r="L623">
        <v>8.26</v>
      </c>
      <c r="M623" t="s">
        <v>4324</v>
      </c>
      <c r="N623">
        <v>2387760</v>
      </c>
      <c r="R623">
        <v>0.56999999999999995</v>
      </c>
      <c r="S623">
        <v>1.03</v>
      </c>
      <c r="AA623">
        <v>-1.19</v>
      </c>
      <c r="AB623" t="s">
        <v>10312</v>
      </c>
      <c r="AC623" t="s">
        <v>10313</v>
      </c>
      <c r="AD623" t="s">
        <v>10314</v>
      </c>
      <c r="AE623" t="s">
        <v>4367</v>
      </c>
      <c r="AF623" t="s">
        <v>6791</v>
      </c>
      <c r="AG623" t="s">
        <v>5315</v>
      </c>
      <c r="AH623" t="s">
        <v>364</v>
      </c>
      <c r="AI623" t="s">
        <v>10315</v>
      </c>
      <c r="AJ623" t="s">
        <v>8607</v>
      </c>
      <c r="AK623" t="s">
        <v>10316</v>
      </c>
      <c r="AL623">
        <v>2.59</v>
      </c>
      <c r="AM623">
        <v>2.4900000000000002</v>
      </c>
      <c r="AN623">
        <v>0.73</v>
      </c>
      <c r="AO623" t="s">
        <v>2078</v>
      </c>
      <c r="AP623" t="s">
        <v>6013</v>
      </c>
      <c r="AQ623" t="s">
        <v>9635</v>
      </c>
      <c r="AR623" t="s">
        <v>4995</v>
      </c>
      <c r="AS623" t="s">
        <v>316</v>
      </c>
      <c r="AT623" t="s">
        <v>6459</v>
      </c>
      <c r="AU623" t="s">
        <v>2796</v>
      </c>
      <c r="AV623" t="s">
        <v>4316</v>
      </c>
      <c r="AW623" t="s">
        <v>5573</v>
      </c>
      <c r="AX623" t="s">
        <v>10317</v>
      </c>
      <c r="AY623" t="s">
        <v>10318</v>
      </c>
      <c r="AZ623" t="s">
        <v>10319</v>
      </c>
      <c r="BA623">
        <v>2.62</v>
      </c>
      <c r="BB623">
        <v>6464.96</v>
      </c>
      <c r="BC623">
        <v>1.3</v>
      </c>
      <c r="BD623">
        <v>7.95</v>
      </c>
      <c r="BE623">
        <v>8.41</v>
      </c>
      <c r="BF623">
        <v>7.9</v>
      </c>
      <c r="BG623" t="s">
        <v>10320</v>
      </c>
      <c r="BH623" t="s">
        <v>10321</v>
      </c>
      <c r="BI623" t="s">
        <v>10319</v>
      </c>
      <c r="BJ623" t="s">
        <v>101</v>
      </c>
      <c r="BK623" t="s">
        <v>6533</v>
      </c>
      <c r="BL623" t="s">
        <v>3586</v>
      </c>
      <c r="BM623" t="s">
        <v>677</v>
      </c>
      <c r="BN623" t="s">
        <v>4063</v>
      </c>
    </row>
    <row r="624" spans="1:66" x14ac:dyDescent="0.25">
      <c r="A624" t="str">
        <f>HYPERLINK("https://elite.finviz.com/quote.ashx?t=CYTK&amp;ty=c&amp;p=d&amp;b=1", "CYTK")</f>
        <v>CYTK</v>
      </c>
      <c r="B624">
        <v>7</v>
      </c>
      <c r="C624">
        <v>138.38</v>
      </c>
      <c r="D624">
        <v>57.56</v>
      </c>
      <c r="E624" t="s">
        <v>10322</v>
      </c>
      <c r="F624" t="s">
        <v>67</v>
      </c>
      <c r="G624" t="s">
        <v>428</v>
      </c>
      <c r="H624" t="s">
        <v>429</v>
      </c>
      <c r="I624" t="s">
        <v>70</v>
      </c>
      <c r="J624" t="s">
        <v>321</v>
      </c>
      <c r="K624">
        <v>5824.37</v>
      </c>
      <c r="L624">
        <v>48.68</v>
      </c>
      <c r="M624" t="s">
        <v>3757</v>
      </c>
      <c r="N624">
        <v>407595</v>
      </c>
      <c r="R624">
        <v>67.930000000000007</v>
      </c>
      <c r="AA624">
        <v>-5.12</v>
      </c>
      <c r="AB624" t="s">
        <v>10323</v>
      </c>
      <c r="AC624" t="s">
        <v>10324</v>
      </c>
      <c r="AD624" t="s">
        <v>6528</v>
      </c>
      <c r="AE624" t="s">
        <v>10325</v>
      </c>
      <c r="AF624" t="s">
        <v>10326</v>
      </c>
      <c r="AG624" t="s">
        <v>6013</v>
      </c>
      <c r="AH624" t="s">
        <v>10327</v>
      </c>
      <c r="AI624" t="s">
        <v>233</v>
      </c>
      <c r="AJ624" t="s">
        <v>7285</v>
      </c>
      <c r="AK624" t="s">
        <v>5588</v>
      </c>
      <c r="AL624">
        <v>6.76</v>
      </c>
      <c r="AM624">
        <v>6.76</v>
      </c>
      <c r="AO624" t="s">
        <v>10328</v>
      </c>
      <c r="AP624" t="s">
        <v>10329</v>
      </c>
      <c r="AQ624" t="s">
        <v>10330</v>
      </c>
      <c r="AR624" t="s">
        <v>4956</v>
      </c>
      <c r="AS624" t="s">
        <v>322</v>
      </c>
      <c r="AT624" t="s">
        <v>4065</v>
      </c>
      <c r="AU624" t="s">
        <v>8781</v>
      </c>
      <c r="AV624" t="s">
        <v>10331</v>
      </c>
      <c r="AW624" t="s">
        <v>10332</v>
      </c>
      <c r="AX624" t="s">
        <v>6427</v>
      </c>
      <c r="AY624" t="s">
        <v>4790</v>
      </c>
      <c r="AZ624" t="s">
        <v>10333</v>
      </c>
      <c r="BA624">
        <v>1.43</v>
      </c>
      <c r="BB624">
        <v>2046.46</v>
      </c>
      <c r="BC624">
        <v>0.7</v>
      </c>
      <c r="BD624">
        <v>47.83</v>
      </c>
      <c r="BE624">
        <v>49.24</v>
      </c>
      <c r="BF624">
        <v>47.87</v>
      </c>
      <c r="BG624" t="s">
        <v>10334</v>
      </c>
      <c r="BH624" t="s">
        <v>10335</v>
      </c>
      <c r="BI624" t="s">
        <v>10336</v>
      </c>
      <c r="BJ624" t="s">
        <v>101</v>
      </c>
      <c r="BK624" t="s">
        <v>10337</v>
      </c>
      <c r="BL624" t="s">
        <v>2709</v>
      </c>
      <c r="BM624" t="s">
        <v>10338</v>
      </c>
      <c r="BN624" t="s">
        <v>4063</v>
      </c>
    </row>
    <row r="625" spans="1:66" x14ac:dyDescent="0.25">
      <c r="A625" t="str">
        <f>HYPERLINK("https://elite.finviz.com/quote.ashx?t=BBAI&amp;ty=c&amp;p=d&amp;b=1", "BBAI")</f>
        <v>BBAI</v>
      </c>
      <c r="B625">
        <v>7</v>
      </c>
      <c r="C625">
        <v>138.38</v>
      </c>
      <c r="D625">
        <v>57.58</v>
      </c>
      <c r="E625" t="s">
        <v>10339</v>
      </c>
      <c r="F625" t="s">
        <v>67</v>
      </c>
      <c r="G625" t="s">
        <v>108</v>
      </c>
      <c r="H625" t="s">
        <v>1322</v>
      </c>
      <c r="I625" t="s">
        <v>70</v>
      </c>
      <c r="J625" t="s">
        <v>71</v>
      </c>
      <c r="K625">
        <v>2498.54</v>
      </c>
      <c r="L625">
        <v>6.74</v>
      </c>
      <c r="M625" t="s">
        <v>7289</v>
      </c>
      <c r="N625">
        <v>32328937</v>
      </c>
      <c r="R625">
        <v>16.38</v>
      </c>
      <c r="S625">
        <v>9.33</v>
      </c>
      <c r="AA625">
        <v>-1.44</v>
      </c>
      <c r="AB625" t="s">
        <v>7884</v>
      </c>
      <c r="AC625" t="s">
        <v>10340</v>
      </c>
      <c r="AD625" t="s">
        <v>2928</v>
      </c>
      <c r="AE625" t="s">
        <v>4394</v>
      </c>
      <c r="AF625" t="s">
        <v>465</v>
      </c>
      <c r="AH625" t="s">
        <v>10341</v>
      </c>
      <c r="AI625" t="s">
        <v>10342</v>
      </c>
      <c r="AJ625" t="s">
        <v>10343</v>
      </c>
      <c r="AK625" t="s">
        <v>10344</v>
      </c>
      <c r="AL625">
        <v>1.91</v>
      </c>
      <c r="AM625">
        <v>1.91</v>
      </c>
      <c r="AN625">
        <v>0.42</v>
      </c>
      <c r="AO625" t="s">
        <v>10345</v>
      </c>
      <c r="AP625" t="s">
        <v>10346</v>
      </c>
      <c r="AQ625" t="s">
        <v>10347</v>
      </c>
      <c r="AR625" t="s">
        <v>6466</v>
      </c>
      <c r="AS625" t="s">
        <v>4498</v>
      </c>
      <c r="AT625" t="s">
        <v>8273</v>
      </c>
      <c r="AU625" t="s">
        <v>1960</v>
      </c>
      <c r="AV625" t="s">
        <v>10348</v>
      </c>
      <c r="AW625" t="s">
        <v>10349</v>
      </c>
      <c r="AX625" t="s">
        <v>6047</v>
      </c>
      <c r="AY625" t="s">
        <v>10350</v>
      </c>
      <c r="AZ625" t="s">
        <v>10351</v>
      </c>
      <c r="BA625">
        <v>1.67</v>
      </c>
      <c r="BB625">
        <v>113993.05</v>
      </c>
      <c r="BC625">
        <v>1</v>
      </c>
      <c r="BD625">
        <v>7.14</v>
      </c>
      <c r="BE625">
        <v>7.19</v>
      </c>
      <c r="BF625">
        <v>6.66</v>
      </c>
      <c r="BG625" t="s">
        <v>10352</v>
      </c>
      <c r="BH625" t="s">
        <v>10353</v>
      </c>
      <c r="BI625" t="s">
        <v>10354</v>
      </c>
      <c r="BJ625" t="s">
        <v>101</v>
      </c>
      <c r="BK625" t="s">
        <v>4455</v>
      </c>
      <c r="BL625" t="s">
        <v>10355</v>
      </c>
      <c r="BM625" t="s">
        <v>10356</v>
      </c>
      <c r="BN625" t="s">
        <v>4063</v>
      </c>
    </row>
    <row r="626" spans="1:66" x14ac:dyDescent="0.25">
      <c r="A626" t="str">
        <f>HYPERLINK("https://elite.finviz.com/quote.ashx?t=EXAS&amp;ty=c&amp;p=d&amp;b=1", "EXAS")</f>
        <v>EXAS</v>
      </c>
      <c r="B626">
        <v>7</v>
      </c>
      <c r="C626">
        <v>138.38</v>
      </c>
      <c r="D626">
        <v>57.6</v>
      </c>
      <c r="E626" t="s">
        <v>10357</v>
      </c>
      <c r="F626" t="s">
        <v>107</v>
      </c>
      <c r="G626" t="s">
        <v>428</v>
      </c>
      <c r="H626" t="s">
        <v>4202</v>
      </c>
      <c r="I626" t="s">
        <v>70</v>
      </c>
      <c r="J626" t="s">
        <v>321</v>
      </c>
      <c r="K626">
        <v>10099.23</v>
      </c>
      <c r="L626">
        <v>53.35</v>
      </c>
      <c r="M626" t="s">
        <v>8932</v>
      </c>
      <c r="N626">
        <v>418677</v>
      </c>
      <c r="P626">
        <v>100.69</v>
      </c>
      <c r="R626">
        <v>3.44</v>
      </c>
      <c r="S626">
        <v>4.09</v>
      </c>
      <c r="AA626">
        <v>-5.42</v>
      </c>
      <c r="AB626" t="s">
        <v>4368</v>
      </c>
      <c r="AC626" t="s">
        <v>10358</v>
      </c>
      <c r="AE626" t="s">
        <v>794</v>
      </c>
      <c r="AF626" t="s">
        <v>10359</v>
      </c>
      <c r="AG626" t="s">
        <v>10360</v>
      </c>
      <c r="AH626" t="s">
        <v>10361</v>
      </c>
      <c r="AI626" t="s">
        <v>3131</v>
      </c>
      <c r="AJ626" t="s">
        <v>2906</v>
      </c>
      <c r="AK626" t="s">
        <v>10362</v>
      </c>
      <c r="AL626">
        <v>2.89</v>
      </c>
      <c r="AM626">
        <v>2.56</v>
      </c>
      <c r="AN626">
        <v>1.03</v>
      </c>
      <c r="AO626" t="s">
        <v>2139</v>
      </c>
      <c r="AP626" t="s">
        <v>2586</v>
      </c>
      <c r="AQ626" t="s">
        <v>10363</v>
      </c>
      <c r="AR626" t="s">
        <v>304</v>
      </c>
      <c r="AS626" t="s">
        <v>7088</v>
      </c>
      <c r="AT626" t="s">
        <v>3552</v>
      </c>
      <c r="AU626" t="s">
        <v>875</v>
      </c>
      <c r="AV626" t="s">
        <v>5497</v>
      </c>
      <c r="AW626" t="s">
        <v>10364</v>
      </c>
      <c r="AX626" t="s">
        <v>10365</v>
      </c>
      <c r="AY626" t="s">
        <v>10366</v>
      </c>
      <c r="AZ626" t="s">
        <v>10365</v>
      </c>
      <c r="BA626">
        <v>1.44</v>
      </c>
      <c r="BB626">
        <v>3093.85</v>
      </c>
      <c r="BC626">
        <v>0.48</v>
      </c>
      <c r="BD626">
        <v>53.68</v>
      </c>
      <c r="BE626">
        <v>54.03</v>
      </c>
      <c r="BF626">
        <v>53.06</v>
      </c>
      <c r="BG626" t="s">
        <v>10367</v>
      </c>
      <c r="BH626" t="s">
        <v>10368</v>
      </c>
      <c r="BI626" t="s">
        <v>10369</v>
      </c>
      <c r="BJ626" t="s">
        <v>101</v>
      </c>
      <c r="BK626" t="s">
        <v>3896</v>
      </c>
      <c r="BL626" t="s">
        <v>3068</v>
      </c>
      <c r="BM626" t="s">
        <v>10370</v>
      </c>
      <c r="BN626" t="s">
        <v>4063</v>
      </c>
    </row>
    <row r="627" spans="1:66" x14ac:dyDescent="0.25">
      <c r="A627" t="str">
        <f>HYPERLINK("https://elite.finviz.com/quote.ashx?t=ROST&amp;ty=c&amp;p=d&amp;b=1", "ROST")</f>
        <v>ROST</v>
      </c>
      <c r="B627">
        <v>7</v>
      </c>
      <c r="C627">
        <v>138.38</v>
      </c>
      <c r="D627">
        <v>57.64</v>
      </c>
      <c r="E627" t="s">
        <v>10371</v>
      </c>
      <c r="F627" t="s">
        <v>319</v>
      </c>
      <c r="G627" t="s">
        <v>813</v>
      </c>
      <c r="H627" t="s">
        <v>4488</v>
      </c>
      <c r="I627" t="s">
        <v>70</v>
      </c>
      <c r="J627" t="s">
        <v>321</v>
      </c>
      <c r="K627">
        <v>48758.74</v>
      </c>
      <c r="L627">
        <v>149.91999999999999</v>
      </c>
      <c r="M627" t="s">
        <v>698</v>
      </c>
      <c r="N627">
        <v>725088</v>
      </c>
      <c r="O627">
        <v>23.81</v>
      </c>
      <c r="P627">
        <v>21.95</v>
      </c>
      <c r="Q627">
        <v>4.41</v>
      </c>
      <c r="R627">
        <v>2.27</v>
      </c>
      <c r="S627">
        <v>8.51</v>
      </c>
      <c r="T627" t="s">
        <v>581</v>
      </c>
      <c r="U627">
        <v>1.58</v>
      </c>
      <c r="V627" t="s">
        <v>163</v>
      </c>
      <c r="W627" t="s">
        <v>2635</v>
      </c>
      <c r="X627" t="s">
        <v>2584</v>
      </c>
      <c r="Y627" t="s">
        <v>4498</v>
      </c>
      <c r="Z627" t="s">
        <v>2779</v>
      </c>
      <c r="AA627">
        <v>6.3</v>
      </c>
      <c r="AB627" t="s">
        <v>2625</v>
      </c>
      <c r="AC627" t="s">
        <v>3723</v>
      </c>
      <c r="AD627" t="s">
        <v>4957</v>
      </c>
      <c r="AE627" t="s">
        <v>3118</v>
      </c>
      <c r="AF627" t="s">
        <v>3670</v>
      </c>
      <c r="AG627" t="s">
        <v>7118</v>
      </c>
      <c r="AH627" t="s">
        <v>247</v>
      </c>
      <c r="AI627" t="s">
        <v>7423</v>
      </c>
      <c r="AJ627" t="s">
        <v>8932</v>
      </c>
      <c r="AK627" t="s">
        <v>10372</v>
      </c>
      <c r="AL627">
        <v>1.58</v>
      </c>
      <c r="AM627">
        <v>0.98</v>
      </c>
      <c r="AN627">
        <v>0.88</v>
      </c>
      <c r="AO627" t="s">
        <v>1045</v>
      </c>
      <c r="AP627" t="s">
        <v>1514</v>
      </c>
      <c r="AQ627" t="s">
        <v>2010</v>
      </c>
      <c r="AR627" t="s">
        <v>6692</v>
      </c>
      <c r="AS627" t="s">
        <v>4267</v>
      </c>
      <c r="AT627" t="s">
        <v>7124</v>
      </c>
      <c r="AU627" t="s">
        <v>2356</v>
      </c>
      <c r="AV627" t="s">
        <v>614</v>
      </c>
      <c r="AW627" t="s">
        <v>5661</v>
      </c>
      <c r="AX627" t="s">
        <v>976</v>
      </c>
      <c r="AY627" t="s">
        <v>8346</v>
      </c>
      <c r="AZ627" t="s">
        <v>10373</v>
      </c>
      <c r="BA627">
        <v>1.84</v>
      </c>
      <c r="BB627">
        <v>2862.81</v>
      </c>
      <c r="BC627">
        <v>0.89</v>
      </c>
      <c r="BD627">
        <v>149.46</v>
      </c>
      <c r="BE627">
        <v>150.44999999999999</v>
      </c>
      <c r="BF627">
        <v>149.13999999999999</v>
      </c>
      <c r="BG627" t="s">
        <v>10374</v>
      </c>
      <c r="BH627" t="s">
        <v>10375</v>
      </c>
      <c r="BI627" t="s">
        <v>10376</v>
      </c>
      <c r="BJ627" t="s">
        <v>101</v>
      </c>
      <c r="BK627" t="s">
        <v>8735</v>
      </c>
      <c r="BL627" t="s">
        <v>1784</v>
      </c>
      <c r="BM627" t="s">
        <v>3967</v>
      </c>
      <c r="BN627" t="s">
        <v>4063</v>
      </c>
    </row>
    <row r="628" spans="1:66" x14ac:dyDescent="0.25">
      <c r="A628" t="str">
        <f>HYPERLINK("https://elite.finviz.com/quote.ashx?t=PCOR&amp;ty=c&amp;p=d&amp;b=1", "PCOR")</f>
        <v>PCOR</v>
      </c>
      <c r="B628">
        <v>7</v>
      </c>
      <c r="C628">
        <v>138.38</v>
      </c>
      <c r="D628">
        <v>57.66</v>
      </c>
      <c r="E628" t="s">
        <v>10377</v>
      </c>
      <c r="F628" t="s">
        <v>107</v>
      </c>
      <c r="G628" t="s">
        <v>108</v>
      </c>
      <c r="H628" t="s">
        <v>136</v>
      </c>
      <c r="I628" t="s">
        <v>70</v>
      </c>
      <c r="J628" t="s">
        <v>71</v>
      </c>
      <c r="K628">
        <v>10955.07</v>
      </c>
      <c r="L628">
        <v>72.94</v>
      </c>
      <c r="M628" t="s">
        <v>3257</v>
      </c>
      <c r="N628">
        <v>116149</v>
      </c>
      <c r="P628">
        <v>43.43</v>
      </c>
      <c r="R628">
        <v>8.89</v>
      </c>
      <c r="S628">
        <v>9</v>
      </c>
      <c r="AA628">
        <v>-0.96</v>
      </c>
      <c r="AB628" t="s">
        <v>8244</v>
      </c>
      <c r="AC628" t="s">
        <v>5968</v>
      </c>
      <c r="AD628" t="s">
        <v>10378</v>
      </c>
      <c r="AE628" t="s">
        <v>1361</v>
      </c>
      <c r="AF628" t="s">
        <v>10379</v>
      </c>
      <c r="AG628" t="s">
        <v>5457</v>
      </c>
      <c r="AH628" t="s">
        <v>10380</v>
      </c>
      <c r="AI628" t="s">
        <v>10378</v>
      </c>
      <c r="AJ628" t="s">
        <v>7036</v>
      </c>
      <c r="AK628" t="s">
        <v>10381</v>
      </c>
      <c r="AL628">
        <v>1.29</v>
      </c>
      <c r="AM628">
        <v>1.29</v>
      </c>
      <c r="AN628">
        <v>0.06</v>
      </c>
      <c r="AO628" t="s">
        <v>10382</v>
      </c>
      <c r="AP628" t="s">
        <v>10383</v>
      </c>
      <c r="AQ628" t="s">
        <v>7861</v>
      </c>
      <c r="AR628" t="s">
        <v>2522</v>
      </c>
      <c r="AS628" t="s">
        <v>2383</v>
      </c>
      <c r="AT628" t="s">
        <v>1769</v>
      </c>
      <c r="AU628" t="s">
        <v>5090</v>
      </c>
      <c r="AV628" t="s">
        <v>7088</v>
      </c>
      <c r="AW628" t="s">
        <v>5567</v>
      </c>
      <c r="AX628" t="s">
        <v>10384</v>
      </c>
      <c r="AY628" t="s">
        <v>10385</v>
      </c>
      <c r="AZ628" t="s">
        <v>10386</v>
      </c>
      <c r="BA628">
        <v>1.86</v>
      </c>
      <c r="BB628">
        <v>1754.59</v>
      </c>
      <c r="BC628">
        <v>0.23</v>
      </c>
      <c r="BD628">
        <v>71.709999999999994</v>
      </c>
      <c r="BE628">
        <v>72.91</v>
      </c>
      <c r="BF628">
        <v>71.44</v>
      </c>
      <c r="BG628" t="s">
        <v>10387</v>
      </c>
      <c r="BH628" t="s">
        <v>10388</v>
      </c>
      <c r="BI628" t="s">
        <v>10389</v>
      </c>
      <c r="BJ628" t="s">
        <v>101</v>
      </c>
      <c r="BK628" t="s">
        <v>2193</v>
      </c>
      <c r="BL628" t="s">
        <v>3948</v>
      </c>
      <c r="BM628" t="s">
        <v>6558</v>
      </c>
      <c r="BN628" t="s">
        <v>4063</v>
      </c>
    </row>
    <row r="629" spans="1:66" x14ac:dyDescent="0.25">
      <c r="A629" t="str">
        <f>HYPERLINK("https://elite.finviz.com/quote.ashx?t=IBKR&amp;ty=c&amp;p=d&amp;b=1", "IBKR")</f>
        <v>IBKR</v>
      </c>
      <c r="B629">
        <v>7</v>
      </c>
      <c r="C629">
        <v>138.38</v>
      </c>
      <c r="D629">
        <v>57.66</v>
      </c>
      <c r="E629" t="s">
        <v>10390</v>
      </c>
      <c r="F629" t="s">
        <v>195</v>
      </c>
      <c r="G629" t="s">
        <v>550</v>
      </c>
      <c r="H629" t="s">
        <v>551</v>
      </c>
      <c r="I629" t="s">
        <v>70</v>
      </c>
      <c r="J629" t="s">
        <v>321</v>
      </c>
      <c r="K629">
        <v>29074.65</v>
      </c>
      <c r="L629">
        <v>65.3</v>
      </c>
      <c r="M629" t="s">
        <v>4849</v>
      </c>
      <c r="N629">
        <v>927525</v>
      </c>
      <c r="O629">
        <v>34.25</v>
      </c>
      <c r="P629">
        <v>30.21</v>
      </c>
      <c r="Q629">
        <v>3.44</v>
      </c>
      <c r="R629">
        <v>2.98</v>
      </c>
      <c r="S629">
        <v>5.97</v>
      </c>
      <c r="T629" t="s">
        <v>149</v>
      </c>
      <c r="U629">
        <v>0.28000000000000003</v>
      </c>
      <c r="V629" t="s">
        <v>4882</v>
      </c>
      <c r="W629" t="s">
        <v>4350</v>
      </c>
      <c r="X629" t="s">
        <v>2389</v>
      </c>
      <c r="Y629" t="s">
        <v>9096</v>
      </c>
      <c r="Z629" t="s">
        <v>2392</v>
      </c>
      <c r="AA629">
        <v>1.91</v>
      </c>
      <c r="AB629" t="s">
        <v>10391</v>
      </c>
      <c r="AC629" t="s">
        <v>10392</v>
      </c>
      <c r="AD629" t="s">
        <v>1064</v>
      </c>
      <c r="AE629" t="s">
        <v>10393</v>
      </c>
      <c r="AF629" t="s">
        <v>10394</v>
      </c>
      <c r="AG629" t="s">
        <v>10395</v>
      </c>
      <c r="AH629" t="s">
        <v>1115</v>
      </c>
      <c r="AI629" t="s">
        <v>6348</v>
      </c>
      <c r="AJ629" t="s">
        <v>2332</v>
      </c>
      <c r="AK629" t="s">
        <v>10396</v>
      </c>
      <c r="AL629">
        <v>1.04</v>
      </c>
      <c r="AM629">
        <v>1.04</v>
      </c>
      <c r="AN629">
        <v>4.43</v>
      </c>
      <c r="AO629" t="s">
        <v>10397</v>
      </c>
      <c r="AP629" t="s">
        <v>5450</v>
      </c>
      <c r="AQ629" t="s">
        <v>7616</v>
      </c>
      <c r="AR629" t="s">
        <v>307</v>
      </c>
      <c r="AS629" t="s">
        <v>2080</v>
      </c>
      <c r="AT629" t="s">
        <v>307</v>
      </c>
      <c r="AU629" t="s">
        <v>3208</v>
      </c>
      <c r="AV629" t="s">
        <v>10017</v>
      </c>
      <c r="AW629" t="s">
        <v>5621</v>
      </c>
      <c r="AX629" t="s">
        <v>3600</v>
      </c>
      <c r="AY629" t="s">
        <v>5621</v>
      </c>
      <c r="AZ629" t="s">
        <v>10398</v>
      </c>
      <c r="BA629">
        <v>1.8</v>
      </c>
      <c r="BB629">
        <v>6982.94</v>
      </c>
      <c r="BC629">
        <v>0.47</v>
      </c>
      <c r="BD629">
        <v>64.97</v>
      </c>
      <c r="BE629">
        <v>66.319999999999993</v>
      </c>
      <c r="BF629">
        <v>65.099999999999994</v>
      </c>
      <c r="BG629" t="s">
        <v>10399</v>
      </c>
      <c r="BH629" t="s">
        <v>5621</v>
      </c>
      <c r="BI629" t="s">
        <v>10400</v>
      </c>
      <c r="BJ629" t="s">
        <v>101</v>
      </c>
      <c r="BK629" t="s">
        <v>4424</v>
      </c>
      <c r="BL629" t="s">
        <v>10401</v>
      </c>
      <c r="BM629" t="s">
        <v>9270</v>
      </c>
      <c r="BN629" t="s">
        <v>4063</v>
      </c>
    </row>
    <row r="630" spans="1:66" x14ac:dyDescent="0.25">
      <c r="A630" t="str">
        <f>HYPERLINK("https://elite.finviz.com/quote.ashx?t=HQY&amp;ty=c&amp;p=d&amp;b=1", "HQY")</f>
        <v>HQY</v>
      </c>
      <c r="B630">
        <v>7</v>
      </c>
      <c r="C630">
        <v>138.38</v>
      </c>
      <c r="D630">
        <v>57.74</v>
      </c>
      <c r="E630" t="s">
        <v>10402</v>
      </c>
      <c r="F630" t="s">
        <v>67</v>
      </c>
      <c r="G630" t="s">
        <v>428</v>
      </c>
      <c r="H630" t="s">
        <v>2075</v>
      </c>
      <c r="I630" t="s">
        <v>70</v>
      </c>
      <c r="J630" t="s">
        <v>321</v>
      </c>
      <c r="K630">
        <v>8320.11</v>
      </c>
      <c r="L630">
        <v>96.57</v>
      </c>
      <c r="M630" t="s">
        <v>7464</v>
      </c>
      <c r="N630">
        <v>167609</v>
      </c>
      <c r="O630">
        <v>58.46</v>
      </c>
      <c r="P630">
        <v>21.48</v>
      </c>
      <c r="Q630">
        <v>3.08</v>
      </c>
      <c r="R630">
        <v>6.56</v>
      </c>
      <c r="S630">
        <v>3.89</v>
      </c>
      <c r="Z630" t="s">
        <v>164</v>
      </c>
      <c r="AA630">
        <v>1.65</v>
      </c>
      <c r="AC630" t="s">
        <v>10403</v>
      </c>
      <c r="AD630" t="s">
        <v>3676</v>
      </c>
      <c r="AE630" t="s">
        <v>9523</v>
      </c>
      <c r="AF630" t="s">
        <v>3374</v>
      </c>
      <c r="AG630" t="s">
        <v>1791</v>
      </c>
      <c r="AH630" t="s">
        <v>848</v>
      </c>
      <c r="AI630" t="s">
        <v>6736</v>
      </c>
      <c r="AJ630" t="s">
        <v>10404</v>
      </c>
      <c r="AK630" t="s">
        <v>10405</v>
      </c>
      <c r="AL630">
        <v>4.2300000000000004</v>
      </c>
      <c r="AM630">
        <v>4.2300000000000004</v>
      </c>
      <c r="AN630">
        <v>0.49</v>
      </c>
      <c r="AO630" t="s">
        <v>10406</v>
      </c>
      <c r="AP630" t="s">
        <v>10268</v>
      </c>
      <c r="AQ630" t="s">
        <v>10407</v>
      </c>
      <c r="AR630" t="s">
        <v>7088</v>
      </c>
      <c r="AS630" t="s">
        <v>6118</v>
      </c>
      <c r="AT630" t="s">
        <v>2662</v>
      </c>
      <c r="AU630" t="s">
        <v>9651</v>
      </c>
      <c r="AV630" t="s">
        <v>2486</v>
      </c>
      <c r="AW630" t="s">
        <v>2304</v>
      </c>
      <c r="AX630" t="s">
        <v>9387</v>
      </c>
      <c r="AY630" t="s">
        <v>10408</v>
      </c>
      <c r="AZ630" t="s">
        <v>9327</v>
      </c>
      <c r="BA630">
        <v>1.2</v>
      </c>
      <c r="BB630">
        <v>1019.23</v>
      </c>
      <c r="BC630">
        <v>0.57999999999999996</v>
      </c>
      <c r="BD630">
        <v>96.16</v>
      </c>
      <c r="BE630">
        <v>97.37</v>
      </c>
      <c r="BF630">
        <v>95.87</v>
      </c>
      <c r="BG630" t="s">
        <v>10409</v>
      </c>
      <c r="BH630" t="s">
        <v>10408</v>
      </c>
      <c r="BI630" t="s">
        <v>10410</v>
      </c>
      <c r="BJ630" t="s">
        <v>101</v>
      </c>
      <c r="BK630" t="s">
        <v>10411</v>
      </c>
      <c r="BL630" t="s">
        <v>4867</v>
      </c>
      <c r="BM630" t="s">
        <v>10412</v>
      </c>
      <c r="BN630" t="s">
        <v>4063</v>
      </c>
    </row>
    <row r="631" spans="1:66" x14ac:dyDescent="0.25">
      <c r="A631" t="str">
        <f>HYPERLINK("https://elite.finviz.com/quote.ashx?t=HIG&amp;ty=c&amp;p=d&amp;b=1", "HIG")</f>
        <v>HIG</v>
      </c>
      <c r="B631">
        <v>7</v>
      </c>
      <c r="C631">
        <v>138.38</v>
      </c>
      <c r="D631">
        <v>57.75</v>
      </c>
      <c r="E631" t="s">
        <v>10413</v>
      </c>
      <c r="F631" t="s">
        <v>195</v>
      </c>
      <c r="G631" t="s">
        <v>550</v>
      </c>
      <c r="H631" t="s">
        <v>4407</v>
      </c>
      <c r="I631" t="s">
        <v>70</v>
      </c>
      <c r="J631" t="s">
        <v>71</v>
      </c>
      <c r="K631">
        <v>37408.49</v>
      </c>
      <c r="L631">
        <v>133.04</v>
      </c>
      <c r="M631" t="s">
        <v>4902</v>
      </c>
      <c r="N631">
        <v>215851</v>
      </c>
      <c r="O631">
        <v>12.06</v>
      </c>
      <c r="P631">
        <v>10.09</v>
      </c>
      <c r="Q631">
        <v>1.02</v>
      </c>
      <c r="R631">
        <v>1.36</v>
      </c>
      <c r="S631">
        <v>2.19</v>
      </c>
      <c r="T631" t="s">
        <v>2720</v>
      </c>
      <c r="U631">
        <v>2.08</v>
      </c>
      <c r="V631" t="s">
        <v>2187</v>
      </c>
      <c r="W631" t="s">
        <v>2627</v>
      </c>
      <c r="X631" t="s">
        <v>8401</v>
      </c>
      <c r="Y631" t="s">
        <v>2127</v>
      </c>
      <c r="Z631" t="s">
        <v>6834</v>
      </c>
      <c r="AA631">
        <v>11.03</v>
      </c>
      <c r="AB631" t="s">
        <v>1132</v>
      </c>
      <c r="AC631" t="s">
        <v>3798</v>
      </c>
      <c r="AD631" t="s">
        <v>3188</v>
      </c>
      <c r="AE631" t="s">
        <v>327</v>
      </c>
      <c r="AF631" t="s">
        <v>2581</v>
      </c>
      <c r="AG631" t="s">
        <v>6525</v>
      </c>
      <c r="AH631" t="s">
        <v>4512</v>
      </c>
      <c r="AI631" t="s">
        <v>7320</v>
      </c>
      <c r="AJ631" t="s">
        <v>10414</v>
      </c>
      <c r="AK631" t="s">
        <v>10415</v>
      </c>
      <c r="AL631">
        <v>0.33</v>
      </c>
      <c r="AN631">
        <v>0.25</v>
      </c>
      <c r="AP631" t="s">
        <v>7617</v>
      </c>
      <c r="AQ631" t="s">
        <v>8041</v>
      </c>
      <c r="AR631" t="s">
        <v>2145</v>
      </c>
      <c r="AS631" t="s">
        <v>6829</v>
      </c>
      <c r="AT631" t="s">
        <v>2630</v>
      </c>
      <c r="AU631" t="s">
        <v>3456</v>
      </c>
      <c r="AV631" t="s">
        <v>9570</v>
      </c>
      <c r="AW631" t="s">
        <v>6614</v>
      </c>
      <c r="AX631" t="s">
        <v>7512</v>
      </c>
      <c r="AY631" t="s">
        <v>6614</v>
      </c>
      <c r="AZ631" t="s">
        <v>277</v>
      </c>
      <c r="BA631">
        <v>2.08</v>
      </c>
      <c r="BB631">
        <v>1548.75</v>
      </c>
      <c r="BC631">
        <v>0.49</v>
      </c>
      <c r="BD631">
        <v>131.57</v>
      </c>
      <c r="BE631">
        <v>134.02000000000001</v>
      </c>
      <c r="BF631">
        <v>132.24</v>
      </c>
      <c r="BG631" t="s">
        <v>10416</v>
      </c>
      <c r="BH631" t="s">
        <v>6614</v>
      </c>
      <c r="BI631" t="s">
        <v>10417</v>
      </c>
      <c r="BJ631" t="s">
        <v>101</v>
      </c>
      <c r="BK631" t="s">
        <v>3372</v>
      </c>
      <c r="BL631" t="s">
        <v>2492</v>
      </c>
      <c r="BM631" t="s">
        <v>3490</v>
      </c>
      <c r="BN631" t="s">
        <v>4063</v>
      </c>
    </row>
    <row r="632" spans="1:66" x14ac:dyDescent="0.25">
      <c r="A632" t="str">
        <f>HYPERLINK("https://elite.finviz.com/quote.ashx?t=IRWD&amp;ty=c&amp;p=d&amp;b=1", "IRWD")</f>
        <v>IRWD</v>
      </c>
      <c r="B632">
        <v>7</v>
      </c>
      <c r="C632">
        <v>138.38</v>
      </c>
      <c r="D632">
        <v>57.76</v>
      </c>
      <c r="E632" t="s">
        <v>10418</v>
      </c>
      <c r="F632" t="s">
        <v>67</v>
      </c>
      <c r="G632" t="s">
        <v>428</v>
      </c>
      <c r="H632" t="s">
        <v>1296</v>
      </c>
      <c r="I632" t="s">
        <v>70</v>
      </c>
      <c r="J632" t="s">
        <v>321</v>
      </c>
      <c r="K632">
        <v>220.91</v>
      </c>
      <c r="L632">
        <v>1.36</v>
      </c>
      <c r="M632" t="s">
        <v>906</v>
      </c>
      <c r="N632">
        <v>348047</v>
      </c>
      <c r="P632">
        <v>3.37</v>
      </c>
      <c r="R632">
        <v>0.72</v>
      </c>
      <c r="Z632" t="s">
        <v>164</v>
      </c>
      <c r="AA632">
        <v>-0.05</v>
      </c>
      <c r="AB632" t="s">
        <v>10419</v>
      </c>
      <c r="AC632" t="s">
        <v>6020</v>
      </c>
      <c r="AE632" t="s">
        <v>10420</v>
      </c>
      <c r="AF632" t="s">
        <v>7285</v>
      </c>
      <c r="AG632" t="s">
        <v>2162</v>
      </c>
      <c r="AH632" t="s">
        <v>10421</v>
      </c>
      <c r="AI632" t="s">
        <v>10422</v>
      </c>
      <c r="AJ632" t="s">
        <v>4886</v>
      </c>
      <c r="AK632" t="s">
        <v>10423</v>
      </c>
      <c r="AL632">
        <v>0.82</v>
      </c>
      <c r="AM632">
        <v>0.82</v>
      </c>
      <c r="AO632" t="s">
        <v>10424</v>
      </c>
      <c r="AP632" t="s">
        <v>6835</v>
      </c>
      <c r="AQ632" t="s">
        <v>7867</v>
      </c>
      <c r="AR632" t="s">
        <v>2492</v>
      </c>
      <c r="AS632" t="s">
        <v>10425</v>
      </c>
      <c r="AT632" t="s">
        <v>4686</v>
      </c>
      <c r="AU632" t="s">
        <v>9747</v>
      </c>
      <c r="AV632" t="s">
        <v>8770</v>
      </c>
      <c r="AW632" t="s">
        <v>10332</v>
      </c>
      <c r="AX632" t="s">
        <v>10426</v>
      </c>
      <c r="AY632" t="s">
        <v>10427</v>
      </c>
      <c r="AZ632" t="s">
        <v>9012</v>
      </c>
      <c r="BA632">
        <v>3</v>
      </c>
      <c r="BB632">
        <v>1430.34</v>
      </c>
      <c r="BC632">
        <v>0.86</v>
      </c>
      <c r="BD632">
        <v>1.27</v>
      </c>
      <c r="BE632">
        <v>1.4</v>
      </c>
      <c r="BF632">
        <v>1.26</v>
      </c>
      <c r="BG632" t="s">
        <v>10428</v>
      </c>
      <c r="BH632" t="s">
        <v>10429</v>
      </c>
      <c r="BI632" t="s">
        <v>9012</v>
      </c>
      <c r="BJ632" t="s">
        <v>101</v>
      </c>
      <c r="BK632" t="s">
        <v>10430</v>
      </c>
      <c r="BL632" t="s">
        <v>10431</v>
      </c>
      <c r="BM632" t="s">
        <v>10432</v>
      </c>
      <c r="BN632" t="s">
        <v>4063</v>
      </c>
    </row>
    <row r="633" spans="1:66" x14ac:dyDescent="0.25">
      <c r="A633" t="str">
        <f>HYPERLINK("https://elite.finviz.com/quote.ashx?t=FIVE&amp;ty=c&amp;p=d&amp;b=1", "FIVE")</f>
        <v>FIVE</v>
      </c>
      <c r="B633">
        <v>7</v>
      </c>
      <c r="C633">
        <v>138.38</v>
      </c>
      <c r="D633">
        <v>57.77</v>
      </c>
      <c r="E633" t="s">
        <v>10433</v>
      </c>
      <c r="F633" t="s">
        <v>107</v>
      </c>
      <c r="G633" t="s">
        <v>813</v>
      </c>
      <c r="H633" t="s">
        <v>2262</v>
      </c>
      <c r="I633" t="s">
        <v>70</v>
      </c>
      <c r="J633" t="s">
        <v>321</v>
      </c>
      <c r="K633">
        <v>8456.2800000000007</v>
      </c>
      <c r="L633">
        <v>153.35</v>
      </c>
      <c r="M633" t="s">
        <v>2644</v>
      </c>
      <c r="N633">
        <v>84720</v>
      </c>
      <c r="O633">
        <v>31.02</v>
      </c>
      <c r="P633">
        <v>27.13</v>
      </c>
      <c r="Q633">
        <v>3.59</v>
      </c>
      <c r="R633">
        <v>2</v>
      </c>
      <c r="S633">
        <v>4.43</v>
      </c>
      <c r="Z633" t="s">
        <v>164</v>
      </c>
      <c r="AA633">
        <v>4.9400000000000004</v>
      </c>
      <c r="AB633" t="s">
        <v>7272</v>
      </c>
      <c r="AC633" t="s">
        <v>3818</v>
      </c>
      <c r="AD633" t="s">
        <v>1341</v>
      </c>
      <c r="AE633" t="s">
        <v>9253</v>
      </c>
      <c r="AF633" t="s">
        <v>7512</v>
      </c>
      <c r="AG633" t="s">
        <v>10361</v>
      </c>
      <c r="AH633" t="s">
        <v>10268</v>
      </c>
      <c r="AI633" t="s">
        <v>6934</v>
      </c>
      <c r="AJ633" t="s">
        <v>1864</v>
      </c>
      <c r="AK633" t="s">
        <v>10434</v>
      </c>
      <c r="AL633">
        <v>1.71</v>
      </c>
      <c r="AM633">
        <v>0.85</v>
      </c>
      <c r="AN633">
        <v>1.06</v>
      </c>
      <c r="AO633" t="s">
        <v>10435</v>
      </c>
      <c r="AP633" t="s">
        <v>1889</v>
      </c>
      <c r="AQ633" t="s">
        <v>2232</v>
      </c>
      <c r="AR633" t="s">
        <v>2742</v>
      </c>
      <c r="AS633" t="s">
        <v>9130</v>
      </c>
      <c r="AT633" t="s">
        <v>7322</v>
      </c>
      <c r="AU633" t="s">
        <v>661</v>
      </c>
      <c r="AV633" t="s">
        <v>10436</v>
      </c>
      <c r="AW633" t="s">
        <v>133</v>
      </c>
      <c r="AX633" t="s">
        <v>9194</v>
      </c>
      <c r="AY633" t="s">
        <v>133</v>
      </c>
      <c r="AZ633" t="s">
        <v>10437</v>
      </c>
      <c r="BA633">
        <v>2.16</v>
      </c>
      <c r="BB633">
        <v>1287</v>
      </c>
      <c r="BC633">
        <v>0.23</v>
      </c>
      <c r="BD633">
        <v>151.72</v>
      </c>
      <c r="BE633">
        <v>154.74</v>
      </c>
      <c r="BF633">
        <v>151.72999999999999</v>
      </c>
      <c r="BG633" t="s">
        <v>10438</v>
      </c>
      <c r="BH633" t="s">
        <v>10439</v>
      </c>
      <c r="BI633" t="s">
        <v>10440</v>
      </c>
      <c r="BJ633" t="s">
        <v>101</v>
      </c>
      <c r="BK633" t="s">
        <v>10441</v>
      </c>
      <c r="BL633" t="s">
        <v>10442</v>
      </c>
      <c r="BM633" t="s">
        <v>10443</v>
      </c>
      <c r="BN633" t="s">
        <v>4063</v>
      </c>
    </row>
    <row r="634" spans="1:66" x14ac:dyDescent="0.25">
      <c r="A634" t="str">
        <f>HYPERLINK("https://elite.finviz.com/quote.ashx?t=CPNG&amp;ty=c&amp;p=d&amp;b=1", "CPNG")</f>
        <v>CPNG</v>
      </c>
      <c r="B634">
        <v>7</v>
      </c>
      <c r="C634">
        <v>138.38</v>
      </c>
      <c r="D634">
        <v>57.84</v>
      </c>
      <c r="E634" t="s">
        <v>10444</v>
      </c>
      <c r="F634" t="s">
        <v>107</v>
      </c>
      <c r="G634" t="s">
        <v>813</v>
      </c>
      <c r="H634" t="s">
        <v>4388</v>
      </c>
      <c r="I634" t="s">
        <v>70</v>
      </c>
      <c r="J634" t="s">
        <v>71</v>
      </c>
      <c r="K634">
        <v>58328.98</v>
      </c>
      <c r="L634">
        <v>32</v>
      </c>
      <c r="M634" t="s">
        <v>8228</v>
      </c>
      <c r="N634">
        <v>1307628</v>
      </c>
      <c r="O634">
        <v>161.1</v>
      </c>
      <c r="P634">
        <v>60.1</v>
      </c>
      <c r="Q634">
        <v>1.23</v>
      </c>
      <c r="R634">
        <v>1.81</v>
      </c>
      <c r="S634">
        <v>12.42</v>
      </c>
      <c r="Z634" t="s">
        <v>164</v>
      </c>
      <c r="AA634">
        <v>0.2</v>
      </c>
      <c r="AD634" t="s">
        <v>10445</v>
      </c>
      <c r="AE634" t="s">
        <v>6081</v>
      </c>
      <c r="AF634" t="s">
        <v>5063</v>
      </c>
      <c r="AG634" t="s">
        <v>10446</v>
      </c>
      <c r="AH634" t="s">
        <v>2589</v>
      </c>
      <c r="AI634" t="s">
        <v>10447</v>
      </c>
      <c r="AJ634" t="s">
        <v>7746</v>
      </c>
      <c r="AK634" t="s">
        <v>10448</v>
      </c>
      <c r="AL634">
        <v>1.0900000000000001</v>
      </c>
      <c r="AM634">
        <v>0.84</v>
      </c>
      <c r="AN634">
        <v>0.98</v>
      </c>
      <c r="AO634" t="s">
        <v>1424</v>
      </c>
      <c r="AP634" t="s">
        <v>3832</v>
      </c>
      <c r="AQ634" t="s">
        <v>273</v>
      </c>
      <c r="AR634" t="s">
        <v>617</v>
      </c>
      <c r="AS634" t="s">
        <v>1761</v>
      </c>
      <c r="AT634" t="s">
        <v>3551</v>
      </c>
      <c r="AU634" t="s">
        <v>2065</v>
      </c>
      <c r="AV634" t="s">
        <v>1778</v>
      </c>
      <c r="AW634" t="s">
        <v>10449</v>
      </c>
      <c r="AX634" t="s">
        <v>4807</v>
      </c>
      <c r="AY634" t="s">
        <v>10449</v>
      </c>
      <c r="AZ634" t="s">
        <v>10450</v>
      </c>
      <c r="BA634">
        <v>1.44</v>
      </c>
      <c r="BB634">
        <v>13204.9</v>
      </c>
      <c r="BC634">
        <v>0.35</v>
      </c>
      <c r="BD634">
        <v>31.85</v>
      </c>
      <c r="BE634">
        <v>32.21</v>
      </c>
      <c r="BF634">
        <v>31.56</v>
      </c>
      <c r="BG634" t="s">
        <v>10451</v>
      </c>
      <c r="BH634" t="s">
        <v>10452</v>
      </c>
      <c r="BI634" t="s">
        <v>10453</v>
      </c>
      <c r="BJ634" t="s">
        <v>101</v>
      </c>
      <c r="BK634" t="s">
        <v>4324</v>
      </c>
      <c r="BL634" t="s">
        <v>10454</v>
      </c>
      <c r="BM634" t="s">
        <v>8673</v>
      </c>
      <c r="BN634" t="s">
        <v>4063</v>
      </c>
    </row>
    <row r="635" spans="1:66" x14ac:dyDescent="0.25">
      <c r="A635" t="str">
        <f>HYPERLINK("https://elite.finviz.com/quote.ashx?t=ETSY&amp;ty=c&amp;p=d&amp;b=1", "ETSY")</f>
        <v>ETSY</v>
      </c>
      <c r="B635">
        <v>7</v>
      </c>
      <c r="C635">
        <v>138.38</v>
      </c>
      <c r="D635">
        <v>57.86</v>
      </c>
      <c r="E635" t="s">
        <v>10455</v>
      </c>
      <c r="F635" t="s">
        <v>107</v>
      </c>
      <c r="G635" t="s">
        <v>813</v>
      </c>
      <c r="H635" t="s">
        <v>4388</v>
      </c>
      <c r="I635" t="s">
        <v>70</v>
      </c>
      <c r="J635" t="s">
        <v>321</v>
      </c>
      <c r="K635">
        <v>6289.43</v>
      </c>
      <c r="L635">
        <v>63.46</v>
      </c>
      <c r="M635" t="s">
        <v>4191</v>
      </c>
      <c r="N635">
        <v>822714</v>
      </c>
      <c r="O635">
        <v>50.75</v>
      </c>
      <c r="P635">
        <v>23.38</v>
      </c>
      <c r="Q635">
        <v>4.0599999999999996</v>
      </c>
      <c r="R635">
        <v>2.2200000000000002</v>
      </c>
      <c r="Z635" t="s">
        <v>164</v>
      </c>
      <c r="AA635">
        <v>1.25</v>
      </c>
      <c r="AB635" t="s">
        <v>10222</v>
      </c>
      <c r="AC635" t="s">
        <v>10456</v>
      </c>
      <c r="AD635" t="s">
        <v>302</v>
      </c>
      <c r="AE635" t="s">
        <v>4839</v>
      </c>
      <c r="AF635" t="s">
        <v>1474</v>
      </c>
      <c r="AG635" t="s">
        <v>10345</v>
      </c>
      <c r="AH635" t="s">
        <v>122</v>
      </c>
      <c r="AI635" t="s">
        <v>10457</v>
      </c>
      <c r="AJ635" t="s">
        <v>10458</v>
      </c>
      <c r="AK635" t="s">
        <v>10459</v>
      </c>
      <c r="AL635">
        <v>3.39</v>
      </c>
      <c r="AM635">
        <v>3.39</v>
      </c>
      <c r="AO635" t="s">
        <v>10460</v>
      </c>
      <c r="AP635" t="s">
        <v>5706</v>
      </c>
      <c r="AQ635" t="s">
        <v>636</v>
      </c>
      <c r="AR635" t="s">
        <v>1934</v>
      </c>
      <c r="AS635" t="s">
        <v>4744</v>
      </c>
      <c r="AT635" t="s">
        <v>1114</v>
      </c>
      <c r="AU635" t="s">
        <v>5395</v>
      </c>
      <c r="AV635" t="s">
        <v>111</v>
      </c>
      <c r="AW635" t="s">
        <v>10461</v>
      </c>
      <c r="AX635" t="s">
        <v>10462</v>
      </c>
      <c r="AY635" t="s">
        <v>10461</v>
      </c>
      <c r="AZ635" t="s">
        <v>10463</v>
      </c>
      <c r="BA635">
        <v>2.6</v>
      </c>
      <c r="BB635">
        <v>5530.27</v>
      </c>
      <c r="BC635">
        <v>0.52</v>
      </c>
      <c r="BD635">
        <v>63.6</v>
      </c>
      <c r="BE635">
        <v>64.06</v>
      </c>
      <c r="BF635">
        <v>62.56</v>
      </c>
      <c r="BG635" t="s">
        <v>10464</v>
      </c>
      <c r="BH635" t="s">
        <v>10465</v>
      </c>
      <c r="BI635" t="s">
        <v>10466</v>
      </c>
      <c r="BJ635" t="s">
        <v>101</v>
      </c>
      <c r="BK635" t="s">
        <v>10467</v>
      </c>
      <c r="BL635" t="s">
        <v>1818</v>
      </c>
      <c r="BM635" t="s">
        <v>2470</v>
      </c>
      <c r="BN635" t="s">
        <v>4063</v>
      </c>
    </row>
    <row r="636" spans="1:66" x14ac:dyDescent="0.25">
      <c r="A636" t="str">
        <f>HYPERLINK("https://elite.finviz.com/quote.ashx?t=ILLR&amp;ty=c&amp;p=d&amp;b=1", "ILLR")</f>
        <v>ILLR</v>
      </c>
      <c r="B636">
        <v>7</v>
      </c>
      <c r="C636">
        <v>138.38</v>
      </c>
      <c r="D636">
        <v>57.92</v>
      </c>
      <c r="E636" t="s">
        <v>10468</v>
      </c>
      <c r="F636" t="s">
        <v>67</v>
      </c>
      <c r="G636" t="s">
        <v>108</v>
      </c>
      <c r="H636" t="s">
        <v>136</v>
      </c>
      <c r="I636" t="s">
        <v>70</v>
      </c>
      <c r="J636" t="s">
        <v>321</v>
      </c>
      <c r="K636">
        <v>178.67</v>
      </c>
      <c r="L636">
        <v>1.02</v>
      </c>
      <c r="M636" t="s">
        <v>10469</v>
      </c>
      <c r="N636">
        <v>266928</v>
      </c>
      <c r="R636">
        <v>4.66</v>
      </c>
      <c r="AA636">
        <v>-1.35</v>
      </c>
      <c r="AB636" t="s">
        <v>10470</v>
      </c>
      <c r="AC636" t="s">
        <v>10471</v>
      </c>
      <c r="AH636" t="s">
        <v>10472</v>
      </c>
      <c r="AJ636" t="s">
        <v>164</v>
      </c>
      <c r="AK636" t="s">
        <v>6956</v>
      </c>
      <c r="AL636">
        <v>0.59</v>
      </c>
      <c r="AM636">
        <v>0.59</v>
      </c>
      <c r="AO636" t="s">
        <v>7156</v>
      </c>
      <c r="AP636" t="s">
        <v>10473</v>
      </c>
      <c r="AQ636" t="s">
        <v>10474</v>
      </c>
      <c r="AR636" t="s">
        <v>3231</v>
      </c>
      <c r="AS636" t="s">
        <v>8258</v>
      </c>
      <c r="AT636" t="s">
        <v>7134</v>
      </c>
      <c r="AU636" t="s">
        <v>4433</v>
      </c>
      <c r="AV636" t="s">
        <v>10475</v>
      </c>
      <c r="AW636" t="s">
        <v>1244</v>
      </c>
      <c r="AX636" t="s">
        <v>10476</v>
      </c>
      <c r="AY636" t="s">
        <v>10477</v>
      </c>
      <c r="AZ636" t="s">
        <v>10476</v>
      </c>
      <c r="BB636">
        <v>2163.79</v>
      </c>
      <c r="BC636">
        <v>0.43</v>
      </c>
      <c r="BD636">
        <v>1.05</v>
      </c>
      <c r="BE636">
        <v>1.07</v>
      </c>
      <c r="BF636">
        <v>1.01</v>
      </c>
      <c r="BG636" t="s">
        <v>10478</v>
      </c>
      <c r="BH636" t="s">
        <v>10479</v>
      </c>
      <c r="BI636" t="s">
        <v>10476</v>
      </c>
      <c r="BJ636" t="s">
        <v>101</v>
      </c>
      <c r="BK636" t="s">
        <v>10305</v>
      </c>
      <c r="BL636" t="s">
        <v>10480</v>
      </c>
      <c r="BM636" t="s">
        <v>10481</v>
      </c>
      <c r="BN636" t="s">
        <v>4063</v>
      </c>
    </row>
    <row r="637" spans="1:66" x14ac:dyDescent="0.25">
      <c r="A637" t="str">
        <f>HYPERLINK("https://elite.finviz.com/quote.ashx?t=ENTG&amp;ty=c&amp;p=d&amp;b=1", "ENTG")</f>
        <v>ENTG</v>
      </c>
      <c r="B637">
        <v>7</v>
      </c>
      <c r="C637">
        <v>138.38</v>
      </c>
      <c r="D637">
        <v>57.92</v>
      </c>
      <c r="E637" t="s">
        <v>10482</v>
      </c>
      <c r="F637" t="s">
        <v>107</v>
      </c>
      <c r="G637" t="s">
        <v>108</v>
      </c>
      <c r="H637" t="s">
        <v>2097</v>
      </c>
      <c r="I637" t="s">
        <v>70</v>
      </c>
      <c r="J637" t="s">
        <v>321</v>
      </c>
      <c r="K637">
        <v>13901.14</v>
      </c>
      <c r="L637">
        <v>91.7</v>
      </c>
      <c r="M637" t="s">
        <v>8425</v>
      </c>
      <c r="N637">
        <v>249240</v>
      </c>
      <c r="O637">
        <v>47.14</v>
      </c>
      <c r="P637">
        <v>25.97</v>
      </c>
      <c r="Q637">
        <v>3.73</v>
      </c>
      <c r="R637">
        <v>4.3099999999999996</v>
      </c>
      <c r="S637">
        <v>3.64</v>
      </c>
      <c r="T637" t="s">
        <v>3112</v>
      </c>
      <c r="U637">
        <v>0.4</v>
      </c>
      <c r="V637" t="s">
        <v>10483</v>
      </c>
      <c r="W637" t="s">
        <v>164</v>
      </c>
      <c r="X637" t="s">
        <v>4512</v>
      </c>
      <c r="Y637" t="s">
        <v>351</v>
      </c>
      <c r="Z637" t="s">
        <v>3065</v>
      </c>
      <c r="AA637">
        <v>1.95</v>
      </c>
      <c r="AB637" t="s">
        <v>1053</v>
      </c>
      <c r="AC637" t="s">
        <v>1022</v>
      </c>
      <c r="AD637" t="s">
        <v>333</v>
      </c>
      <c r="AE637" t="s">
        <v>4501</v>
      </c>
      <c r="AF637" t="s">
        <v>8356</v>
      </c>
      <c r="AG637" t="s">
        <v>3058</v>
      </c>
      <c r="AH637" t="s">
        <v>2978</v>
      </c>
      <c r="AI637" t="s">
        <v>1761</v>
      </c>
      <c r="AJ637" t="s">
        <v>6127</v>
      </c>
      <c r="AK637" t="s">
        <v>10484</v>
      </c>
      <c r="AL637">
        <v>3.3</v>
      </c>
      <c r="AM637">
        <v>1.95</v>
      </c>
      <c r="AN637">
        <v>1.06</v>
      </c>
      <c r="AO637" t="s">
        <v>8517</v>
      </c>
      <c r="AP637" t="s">
        <v>10485</v>
      </c>
      <c r="AQ637" t="s">
        <v>2559</v>
      </c>
      <c r="AR637" t="s">
        <v>1934</v>
      </c>
      <c r="AS637" t="s">
        <v>2493</v>
      </c>
      <c r="AT637" t="s">
        <v>4269</v>
      </c>
      <c r="AU637" t="s">
        <v>1388</v>
      </c>
      <c r="AV637" t="s">
        <v>4765</v>
      </c>
      <c r="AW637" t="s">
        <v>6043</v>
      </c>
      <c r="AX637" t="s">
        <v>329</v>
      </c>
      <c r="AY637" t="s">
        <v>5616</v>
      </c>
      <c r="AZ637" t="s">
        <v>10486</v>
      </c>
      <c r="BA637">
        <v>1.8</v>
      </c>
      <c r="BB637">
        <v>2836.92</v>
      </c>
      <c r="BC637">
        <v>0.31</v>
      </c>
      <c r="BD637">
        <v>91.94</v>
      </c>
      <c r="BE637">
        <v>92.98</v>
      </c>
      <c r="BF637">
        <v>91.04</v>
      </c>
      <c r="BG637" t="s">
        <v>10487</v>
      </c>
      <c r="BH637" t="s">
        <v>10488</v>
      </c>
      <c r="BI637" t="s">
        <v>10489</v>
      </c>
      <c r="BJ637" t="s">
        <v>101</v>
      </c>
      <c r="BK637" t="s">
        <v>9718</v>
      </c>
      <c r="BL637" t="s">
        <v>2374</v>
      </c>
      <c r="BM637" t="s">
        <v>10490</v>
      </c>
      <c r="BN637" t="s">
        <v>4063</v>
      </c>
    </row>
    <row r="638" spans="1:66" x14ac:dyDescent="0.25">
      <c r="A638" t="str">
        <f>HYPERLINK("https://elite.finviz.com/quote.ashx?t=ORLY&amp;ty=c&amp;p=d&amp;b=1", "ORLY")</f>
        <v>ORLY</v>
      </c>
      <c r="B638">
        <v>7</v>
      </c>
      <c r="C638">
        <v>138.38</v>
      </c>
      <c r="D638">
        <v>57.93</v>
      </c>
      <c r="E638" t="s">
        <v>10491</v>
      </c>
      <c r="F638" t="s">
        <v>319</v>
      </c>
      <c r="G638" t="s">
        <v>813</v>
      </c>
      <c r="H638" t="s">
        <v>814</v>
      </c>
      <c r="I638" t="s">
        <v>70</v>
      </c>
      <c r="J638" t="s">
        <v>321</v>
      </c>
      <c r="K638">
        <v>89630.95</v>
      </c>
      <c r="L638">
        <v>105.64</v>
      </c>
      <c r="M638" t="s">
        <v>4689</v>
      </c>
      <c r="N638">
        <v>787127</v>
      </c>
      <c r="O638">
        <v>37.78</v>
      </c>
      <c r="P638">
        <v>31.89</v>
      </c>
      <c r="Q638">
        <v>3.56</v>
      </c>
      <c r="R638">
        <v>5.23</v>
      </c>
      <c r="Z638" t="s">
        <v>164</v>
      </c>
      <c r="AA638">
        <v>2.8</v>
      </c>
      <c r="AB638" t="s">
        <v>3189</v>
      </c>
      <c r="AC638" t="s">
        <v>7086</v>
      </c>
      <c r="AD638" t="s">
        <v>6315</v>
      </c>
      <c r="AE638" t="s">
        <v>6527</v>
      </c>
      <c r="AF638" t="s">
        <v>7566</v>
      </c>
      <c r="AG638" t="s">
        <v>3505</v>
      </c>
      <c r="AH638" t="s">
        <v>351</v>
      </c>
      <c r="AI638" t="s">
        <v>2638</v>
      </c>
      <c r="AJ638" t="s">
        <v>4707</v>
      </c>
      <c r="AK638" t="s">
        <v>10492</v>
      </c>
      <c r="AL638">
        <v>0.72</v>
      </c>
      <c r="AM638">
        <v>0.11</v>
      </c>
      <c r="AO638" t="s">
        <v>4843</v>
      </c>
      <c r="AP638" t="s">
        <v>2067</v>
      </c>
      <c r="AQ638" t="s">
        <v>8814</v>
      </c>
      <c r="AR638" t="s">
        <v>6336</v>
      </c>
      <c r="AS638" t="s">
        <v>3487</v>
      </c>
      <c r="AT638" t="s">
        <v>227</v>
      </c>
      <c r="AU638" t="s">
        <v>1391</v>
      </c>
      <c r="AV638" t="s">
        <v>4941</v>
      </c>
      <c r="AW638" t="s">
        <v>4367</v>
      </c>
      <c r="AX638" t="s">
        <v>325</v>
      </c>
      <c r="AY638" t="s">
        <v>4367</v>
      </c>
      <c r="AZ638" t="s">
        <v>8393</v>
      </c>
      <c r="BA638">
        <v>1.58</v>
      </c>
      <c r="BB638">
        <v>4725.45</v>
      </c>
      <c r="BC638">
        <v>0.59</v>
      </c>
      <c r="BD638">
        <v>104.58</v>
      </c>
      <c r="BE638">
        <v>105.85</v>
      </c>
      <c r="BF638">
        <v>104.3</v>
      </c>
      <c r="BG638" t="s">
        <v>10493</v>
      </c>
      <c r="BH638" t="s">
        <v>4367</v>
      </c>
      <c r="BI638" t="s">
        <v>10494</v>
      </c>
      <c r="BJ638" t="s">
        <v>101</v>
      </c>
      <c r="BK638" t="s">
        <v>10331</v>
      </c>
      <c r="BL638" t="s">
        <v>9187</v>
      </c>
      <c r="BM638" t="s">
        <v>10495</v>
      </c>
      <c r="BN638" t="s">
        <v>4063</v>
      </c>
    </row>
    <row r="639" spans="1:66" x14ac:dyDescent="0.25">
      <c r="A639" t="str">
        <f>HYPERLINK("https://elite.finviz.com/quote.ashx?t=SWKS&amp;ty=c&amp;p=d&amp;b=1", "SWKS")</f>
        <v>SWKS</v>
      </c>
      <c r="B639">
        <v>7</v>
      </c>
      <c r="C639">
        <v>138.38</v>
      </c>
      <c r="D639">
        <v>57.95</v>
      </c>
      <c r="E639" t="s">
        <v>10496</v>
      </c>
      <c r="F639" t="s">
        <v>195</v>
      </c>
      <c r="G639" t="s">
        <v>108</v>
      </c>
      <c r="H639" t="s">
        <v>1808</v>
      </c>
      <c r="I639" t="s">
        <v>70</v>
      </c>
      <c r="J639" t="s">
        <v>321</v>
      </c>
      <c r="K639">
        <v>11717.61</v>
      </c>
      <c r="L639">
        <v>78.94</v>
      </c>
      <c r="M639" t="s">
        <v>148</v>
      </c>
      <c r="N639">
        <v>213650</v>
      </c>
      <c r="O639">
        <v>31.45</v>
      </c>
      <c r="P639">
        <v>18.579999999999998</v>
      </c>
      <c r="R639">
        <v>2.92</v>
      </c>
      <c r="S639">
        <v>2.0699999999999998</v>
      </c>
      <c r="T639" t="s">
        <v>975</v>
      </c>
      <c r="U639">
        <v>2.81</v>
      </c>
      <c r="V639" t="s">
        <v>2882</v>
      </c>
      <c r="W639" t="s">
        <v>1114</v>
      </c>
      <c r="X639" t="s">
        <v>6344</v>
      </c>
      <c r="Y639" t="s">
        <v>2595</v>
      </c>
      <c r="Z639" t="s">
        <v>10497</v>
      </c>
      <c r="AA639">
        <v>2.5099999999999998</v>
      </c>
      <c r="AB639" t="s">
        <v>3936</v>
      </c>
      <c r="AC639" t="s">
        <v>5628</v>
      </c>
      <c r="AD639" t="s">
        <v>4317</v>
      </c>
      <c r="AE639" t="s">
        <v>4053</v>
      </c>
      <c r="AF639" t="s">
        <v>2336</v>
      </c>
      <c r="AG639" t="s">
        <v>3520</v>
      </c>
      <c r="AH639" t="s">
        <v>8960</v>
      </c>
      <c r="AI639" t="s">
        <v>2869</v>
      </c>
      <c r="AJ639" t="s">
        <v>164</v>
      </c>
      <c r="AK639" t="s">
        <v>7859</v>
      </c>
      <c r="AL639">
        <v>2.39</v>
      </c>
      <c r="AM639">
        <v>1.8</v>
      </c>
      <c r="AN639">
        <v>0.21</v>
      </c>
      <c r="AO639" t="s">
        <v>9912</v>
      </c>
      <c r="AP639" t="s">
        <v>10498</v>
      </c>
      <c r="AQ639" t="s">
        <v>341</v>
      </c>
      <c r="AR639" t="s">
        <v>1453</v>
      </c>
      <c r="AS639" t="s">
        <v>6937</v>
      </c>
      <c r="AT639" t="s">
        <v>4093</v>
      </c>
      <c r="AU639" t="s">
        <v>4760</v>
      </c>
      <c r="AV639" t="s">
        <v>4913</v>
      </c>
      <c r="AW639" t="s">
        <v>5578</v>
      </c>
      <c r="AX639" t="s">
        <v>10499</v>
      </c>
      <c r="AY639" t="s">
        <v>6394</v>
      </c>
      <c r="AZ639" t="s">
        <v>10500</v>
      </c>
      <c r="BA639">
        <v>3.15</v>
      </c>
      <c r="BB639">
        <v>2527.5500000000002</v>
      </c>
      <c r="BC639">
        <v>0.3</v>
      </c>
      <c r="BD639">
        <v>79.36</v>
      </c>
      <c r="BE639">
        <v>79.819999999999993</v>
      </c>
      <c r="BF639">
        <v>78.83</v>
      </c>
      <c r="BG639" t="s">
        <v>10501</v>
      </c>
      <c r="BH639" t="s">
        <v>10502</v>
      </c>
      <c r="BI639" t="s">
        <v>10503</v>
      </c>
      <c r="BJ639" t="s">
        <v>101</v>
      </c>
      <c r="BK639" t="s">
        <v>1871</v>
      </c>
      <c r="BL639" t="s">
        <v>4874</v>
      </c>
      <c r="BM639" t="s">
        <v>10504</v>
      </c>
      <c r="BN639" t="s">
        <v>4063</v>
      </c>
    </row>
    <row r="640" spans="1:66" x14ac:dyDescent="0.25">
      <c r="A640" t="str">
        <f>HYPERLINK("https://elite.finviz.com/quote.ashx?t=ADSK&amp;ty=c&amp;p=d&amp;b=1", "ADSK")</f>
        <v>ADSK</v>
      </c>
      <c r="B640">
        <v>7</v>
      </c>
      <c r="C640">
        <v>138.38</v>
      </c>
      <c r="D640">
        <v>57.97</v>
      </c>
      <c r="E640" t="s">
        <v>10505</v>
      </c>
      <c r="F640" t="s">
        <v>319</v>
      </c>
      <c r="G640" t="s">
        <v>108</v>
      </c>
      <c r="H640" t="s">
        <v>136</v>
      </c>
      <c r="I640" t="s">
        <v>70</v>
      </c>
      <c r="J640" t="s">
        <v>321</v>
      </c>
      <c r="K640">
        <v>68292.31</v>
      </c>
      <c r="L640">
        <v>320.62</v>
      </c>
      <c r="M640" t="s">
        <v>3358</v>
      </c>
      <c r="N640">
        <v>138867</v>
      </c>
      <c r="O640">
        <v>66.48</v>
      </c>
      <c r="P640">
        <v>28.35</v>
      </c>
      <c r="Q640">
        <v>4.2</v>
      </c>
      <c r="R640">
        <v>10.37</v>
      </c>
      <c r="S640">
        <v>25.15</v>
      </c>
      <c r="V640" t="s">
        <v>10506</v>
      </c>
      <c r="Z640" t="s">
        <v>164</v>
      </c>
      <c r="AA640">
        <v>4.82</v>
      </c>
      <c r="AB640" t="s">
        <v>2915</v>
      </c>
      <c r="AC640" t="s">
        <v>10507</v>
      </c>
      <c r="AD640" t="s">
        <v>2133</v>
      </c>
      <c r="AE640" t="s">
        <v>6748</v>
      </c>
      <c r="AF640" t="s">
        <v>1675</v>
      </c>
      <c r="AG640" t="s">
        <v>4558</v>
      </c>
      <c r="AH640" t="s">
        <v>10508</v>
      </c>
      <c r="AI640" t="s">
        <v>3952</v>
      </c>
      <c r="AJ640" t="s">
        <v>120</v>
      </c>
      <c r="AK640" t="s">
        <v>3131</v>
      </c>
      <c r="AL640">
        <v>0.76</v>
      </c>
      <c r="AM640">
        <v>0.76</v>
      </c>
      <c r="AN640">
        <v>1.01</v>
      </c>
      <c r="AO640" t="s">
        <v>10509</v>
      </c>
      <c r="AP640" t="s">
        <v>2381</v>
      </c>
      <c r="AQ640" t="s">
        <v>2133</v>
      </c>
      <c r="AR640" t="s">
        <v>3349</v>
      </c>
      <c r="AS640" t="s">
        <v>4493</v>
      </c>
      <c r="AT640" t="s">
        <v>2263</v>
      </c>
      <c r="AU640" t="s">
        <v>1104</v>
      </c>
      <c r="AV640" t="s">
        <v>1491</v>
      </c>
      <c r="AW640" t="s">
        <v>4367</v>
      </c>
      <c r="AX640" t="s">
        <v>3965</v>
      </c>
      <c r="AY640" t="s">
        <v>4367</v>
      </c>
      <c r="AZ640" t="s">
        <v>8403</v>
      </c>
      <c r="BA640">
        <v>1.71</v>
      </c>
      <c r="BB640">
        <v>1679.02</v>
      </c>
      <c r="BC640">
        <v>0.28999999999999998</v>
      </c>
      <c r="BD640">
        <v>320.17</v>
      </c>
      <c r="BE640">
        <v>322.5</v>
      </c>
      <c r="BF640">
        <v>319.39</v>
      </c>
      <c r="BG640" t="s">
        <v>10510</v>
      </c>
      <c r="BH640" t="s">
        <v>1092</v>
      </c>
      <c r="BI640" t="s">
        <v>10511</v>
      </c>
      <c r="BJ640" t="s">
        <v>101</v>
      </c>
      <c r="BK640" t="s">
        <v>3855</v>
      </c>
      <c r="BL640" t="s">
        <v>1477</v>
      </c>
      <c r="BM640" t="s">
        <v>4468</v>
      </c>
      <c r="BN640" t="s">
        <v>4063</v>
      </c>
    </row>
    <row r="641" spans="1:66" x14ac:dyDescent="0.25">
      <c r="A641" t="str">
        <f>HYPERLINK("https://elite.finviz.com/quote.ashx?t=SRTA&amp;ty=c&amp;p=d&amp;b=1", "SRTA")</f>
        <v>SRTA</v>
      </c>
      <c r="B641">
        <v>7</v>
      </c>
      <c r="C641">
        <v>138.38</v>
      </c>
      <c r="D641">
        <v>57.99</v>
      </c>
      <c r="E641" t="s">
        <v>10512</v>
      </c>
      <c r="F641" t="s">
        <v>67</v>
      </c>
      <c r="G641" t="s">
        <v>260</v>
      </c>
      <c r="H641" t="s">
        <v>7188</v>
      </c>
      <c r="I641" t="s">
        <v>70</v>
      </c>
      <c r="J641" t="s">
        <v>321</v>
      </c>
      <c r="K641">
        <v>423.94</v>
      </c>
      <c r="L641">
        <v>5.19</v>
      </c>
      <c r="M641" t="s">
        <v>4946</v>
      </c>
      <c r="N641">
        <v>108750</v>
      </c>
      <c r="P641">
        <v>38.53</v>
      </c>
      <c r="R641">
        <v>1.67</v>
      </c>
      <c r="S641">
        <v>1.9</v>
      </c>
      <c r="AA641">
        <v>-0.24</v>
      </c>
      <c r="AB641" t="s">
        <v>10513</v>
      </c>
      <c r="AD641" t="s">
        <v>4199</v>
      </c>
      <c r="AE641" t="s">
        <v>616</v>
      </c>
      <c r="AF641" t="s">
        <v>10514</v>
      </c>
      <c r="AH641" t="s">
        <v>5331</v>
      </c>
      <c r="AI641" t="s">
        <v>6816</v>
      </c>
      <c r="AJ641" t="s">
        <v>655</v>
      </c>
      <c r="AK641" t="s">
        <v>10515</v>
      </c>
      <c r="AL641">
        <v>5.95</v>
      </c>
      <c r="AM641">
        <v>5.95</v>
      </c>
      <c r="AN641">
        <v>0.04</v>
      </c>
      <c r="AO641" t="s">
        <v>10516</v>
      </c>
      <c r="AP641" t="s">
        <v>10517</v>
      </c>
      <c r="AQ641" t="s">
        <v>10518</v>
      </c>
      <c r="AR641" t="s">
        <v>9636</v>
      </c>
      <c r="AS641" t="s">
        <v>8808</v>
      </c>
      <c r="AT641" t="s">
        <v>236</v>
      </c>
      <c r="AU641" t="s">
        <v>10519</v>
      </c>
      <c r="AV641" t="s">
        <v>9195</v>
      </c>
      <c r="AW641" t="s">
        <v>10520</v>
      </c>
      <c r="AX641" t="s">
        <v>4207</v>
      </c>
      <c r="AY641" t="s">
        <v>10520</v>
      </c>
      <c r="AZ641" t="s">
        <v>10521</v>
      </c>
      <c r="BA641">
        <v>1</v>
      </c>
      <c r="BB641">
        <v>1197.44</v>
      </c>
      <c r="BC641">
        <v>0.32</v>
      </c>
      <c r="BD641">
        <v>5.0999999999999996</v>
      </c>
      <c r="BE641">
        <v>5.19</v>
      </c>
      <c r="BF641">
        <v>5.04</v>
      </c>
      <c r="BG641" t="s">
        <v>10522</v>
      </c>
      <c r="BH641" t="s">
        <v>10523</v>
      </c>
      <c r="BI641" t="s">
        <v>10524</v>
      </c>
      <c r="BJ641" t="s">
        <v>101</v>
      </c>
      <c r="BK641" t="s">
        <v>10525</v>
      </c>
      <c r="BL641" t="s">
        <v>10526</v>
      </c>
      <c r="BM641" t="s">
        <v>10527</v>
      </c>
      <c r="BN641" t="s">
        <v>4063</v>
      </c>
    </row>
    <row r="642" spans="1:66" x14ac:dyDescent="0.25">
      <c r="A642" t="str">
        <f>HYPERLINK("https://elite.finviz.com/quote.ashx?t=TBLA&amp;ty=c&amp;p=d&amp;b=1", "TBLA")</f>
        <v>TBLA</v>
      </c>
      <c r="B642">
        <v>7</v>
      </c>
      <c r="C642">
        <v>138.38</v>
      </c>
      <c r="D642">
        <v>57.99</v>
      </c>
      <c r="E642" t="s">
        <v>10528</v>
      </c>
      <c r="F642" t="s">
        <v>107</v>
      </c>
      <c r="G642" t="s">
        <v>598</v>
      </c>
      <c r="H642" t="s">
        <v>599</v>
      </c>
      <c r="I642" t="s">
        <v>70</v>
      </c>
      <c r="J642" t="s">
        <v>321</v>
      </c>
      <c r="K642">
        <v>1043.94</v>
      </c>
      <c r="L642">
        <v>3.52</v>
      </c>
      <c r="M642" t="s">
        <v>745</v>
      </c>
      <c r="N642">
        <v>164871</v>
      </c>
      <c r="O642">
        <v>95.87</v>
      </c>
      <c r="P642">
        <v>31.51</v>
      </c>
      <c r="R642">
        <v>0.56999999999999995</v>
      </c>
      <c r="S642">
        <v>1.1299999999999999</v>
      </c>
      <c r="AA642">
        <v>0.04</v>
      </c>
      <c r="AB642" t="s">
        <v>10529</v>
      </c>
      <c r="AC642" t="s">
        <v>5044</v>
      </c>
      <c r="AE642" t="s">
        <v>5127</v>
      </c>
      <c r="AF642" t="s">
        <v>2487</v>
      </c>
      <c r="AG642" t="s">
        <v>10530</v>
      </c>
      <c r="AH642" t="s">
        <v>4867</v>
      </c>
      <c r="AI642" t="s">
        <v>10531</v>
      </c>
      <c r="AJ642" t="s">
        <v>3598</v>
      </c>
      <c r="AK642" t="s">
        <v>5394</v>
      </c>
      <c r="AL642">
        <v>1.07</v>
      </c>
      <c r="AM642">
        <v>1.07</v>
      </c>
      <c r="AN642">
        <v>0.19</v>
      </c>
      <c r="AO642" t="s">
        <v>10532</v>
      </c>
      <c r="AP642" t="s">
        <v>465</v>
      </c>
      <c r="AQ642" t="s">
        <v>6572</v>
      </c>
      <c r="AR642" t="s">
        <v>2640</v>
      </c>
      <c r="AS642" t="s">
        <v>4600</v>
      </c>
      <c r="AT642" t="s">
        <v>342</v>
      </c>
      <c r="AU642" t="s">
        <v>5554</v>
      </c>
      <c r="AV642" t="s">
        <v>5779</v>
      </c>
      <c r="AW642" t="s">
        <v>10533</v>
      </c>
      <c r="AX642" t="s">
        <v>6598</v>
      </c>
      <c r="AY642" t="s">
        <v>9977</v>
      </c>
      <c r="AZ642" t="s">
        <v>10534</v>
      </c>
      <c r="BA642">
        <v>1.67</v>
      </c>
      <c r="BB642">
        <v>1222.75</v>
      </c>
      <c r="BC642">
        <v>0.48</v>
      </c>
      <c r="BD642">
        <v>3.55</v>
      </c>
      <c r="BE642">
        <v>3.54</v>
      </c>
      <c r="BF642">
        <v>3.5</v>
      </c>
      <c r="BG642" t="s">
        <v>10535</v>
      </c>
      <c r="BH642" t="s">
        <v>10536</v>
      </c>
      <c r="BI642" t="s">
        <v>10537</v>
      </c>
      <c r="BJ642" t="s">
        <v>101</v>
      </c>
      <c r="BK642" t="s">
        <v>6161</v>
      </c>
      <c r="BL642" t="s">
        <v>8579</v>
      </c>
      <c r="BM642" t="s">
        <v>2627</v>
      </c>
      <c r="BN642" t="s">
        <v>4063</v>
      </c>
    </row>
    <row r="643" spans="1:66" x14ac:dyDescent="0.25">
      <c r="A643" t="str">
        <f>HYPERLINK("https://elite.finviz.com/quote.ashx?t=HST&amp;ty=c&amp;p=d&amp;b=1", "HST")</f>
        <v>HST</v>
      </c>
      <c r="B643">
        <v>7</v>
      </c>
      <c r="C643">
        <v>138.38</v>
      </c>
      <c r="D643">
        <v>58.01</v>
      </c>
      <c r="E643" t="s">
        <v>10538</v>
      </c>
      <c r="F643" t="s">
        <v>195</v>
      </c>
      <c r="G643" t="s">
        <v>68</v>
      </c>
      <c r="H643" t="s">
        <v>4145</v>
      </c>
      <c r="I643" t="s">
        <v>70</v>
      </c>
      <c r="J643" t="s">
        <v>321</v>
      </c>
      <c r="K643">
        <v>12014.81</v>
      </c>
      <c r="L643">
        <v>17.48</v>
      </c>
      <c r="M643" t="s">
        <v>2125</v>
      </c>
      <c r="N643">
        <v>1348718</v>
      </c>
      <c r="O643">
        <v>18.5</v>
      </c>
      <c r="P643">
        <v>21.68</v>
      </c>
      <c r="R643">
        <v>2.0299999999999998</v>
      </c>
      <c r="S643">
        <v>1.81</v>
      </c>
      <c r="T643" t="s">
        <v>4678</v>
      </c>
      <c r="U643">
        <v>0.8</v>
      </c>
      <c r="V643" t="s">
        <v>198</v>
      </c>
      <c r="W643" t="s">
        <v>4833</v>
      </c>
      <c r="Y643" t="s">
        <v>164</v>
      </c>
      <c r="Z643" t="s">
        <v>10539</v>
      </c>
      <c r="AA643">
        <v>0.94</v>
      </c>
      <c r="AC643" t="s">
        <v>922</v>
      </c>
      <c r="AD643" t="s">
        <v>4712</v>
      </c>
      <c r="AE643" t="s">
        <v>5389</v>
      </c>
      <c r="AF643" t="s">
        <v>5068</v>
      </c>
      <c r="AG643" t="s">
        <v>84</v>
      </c>
      <c r="AH643" t="s">
        <v>3672</v>
      </c>
      <c r="AI643" t="s">
        <v>5575</v>
      </c>
      <c r="AJ643" t="s">
        <v>3752</v>
      </c>
      <c r="AK643" t="s">
        <v>10540</v>
      </c>
      <c r="AL643">
        <v>2.79</v>
      </c>
      <c r="AM643">
        <v>2.79</v>
      </c>
      <c r="AN643">
        <v>0.85</v>
      </c>
      <c r="AO643" t="s">
        <v>10541</v>
      </c>
      <c r="AP643" t="s">
        <v>981</v>
      </c>
      <c r="AQ643" t="s">
        <v>6408</v>
      </c>
      <c r="AR643" t="s">
        <v>2217</v>
      </c>
      <c r="AS643" t="s">
        <v>909</v>
      </c>
      <c r="AT643" t="s">
        <v>1083</v>
      </c>
      <c r="AU643" t="s">
        <v>2385</v>
      </c>
      <c r="AV643" t="s">
        <v>10542</v>
      </c>
      <c r="AW643" t="s">
        <v>1690</v>
      </c>
      <c r="AX643" t="s">
        <v>6747</v>
      </c>
      <c r="AY643" t="s">
        <v>9731</v>
      </c>
      <c r="AZ643" t="s">
        <v>6631</v>
      </c>
      <c r="BA643">
        <v>1.89</v>
      </c>
      <c r="BB643">
        <v>9588.15</v>
      </c>
      <c r="BC643">
        <v>0.5</v>
      </c>
      <c r="BD643">
        <v>17.32</v>
      </c>
      <c r="BE643">
        <v>17.54</v>
      </c>
      <c r="BF643">
        <v>17.27</v>
      </c>
      <c r="BG643" t="s">
        <v>10543</v>
      </c>
      <c r="BH643" t="s">
        <v>10544</v>
      </c>
      <c r="BI643" t="s">
        <v>10545</v>
      </c>
      <c r="BJ643" t="s">
        <v>101</v>
      </c>
      <c r="BK643" t="s">
        <v>537</v>
      </c>
      <c r="BL643" t="s">
        <v>7710</v>
      </c>
      <c r="BM643" t="s">
        <v>10546</v>
      </c>
      <c r="BN643" t="s">
        <v>4063</v>
      </c>
    </row>
    <row r="644" spans="1:66" x14ac:dyDescent="0.25">
      <c r="A644" t="str">
        <f>HYPERLINK("https://elite.finviz.com/quote.ashx?t=TXT&amp;ty=c&amp;p=d&amp;b=1", "TXT")</f>
        <v>TXT</v>
      </c>
      <c r="B644">
        <v>7</v>
      </c>
      <c r="C644">
        <v>138.38</v>
      </c>
      <c r="D644">
        <v>58.03</v>
      </c>
      <c r="E644" t="s">
        <v>10547</v>
      </c>
      <c r="F644" t="s">
        <v>195</v>
      </c>
      <c r="G644" t="s">
        <v>260</v>
      </c>
      <c r="H644" t="s">
        <v>4779</v>
      </c>
      <c r="I644" t="s">
        <v>70</v>
      </c>
      <c r="J644" t="s">
        <v>71</v>
      </c>
      <c r="K644">
        <v>14891.73</v>
      </c>
      <c r="L644">
        <v>83.57</v>
      </c>
      <c r="M644" t="s">
        <v>5116</v>
      </c>
      <c r="N644">
        <v>168351</v>
      </c>
      <c r="O644">
        <v>18.91</v>
      </c>
      <c r="P644">
        <v>12.01</v>
      </c>
      <c r="Q644">
        <v>1.61</v>
      </c>
      <c r="R644">
        <v>1.06</v>
      </c>
      <c r="S644">
        <v>2</v>
      </c>
      <c r="T644" t="s">
        <v>2757</v>
      </c>
      <c r="U644">
        <v>0.08</v>
      </c>
      <c r="V644" t="s">
        <v>2620</v>
      </c>
      <c r="W644" t="s">
        <v>164</v>
      </c>
      <c r="X644" t="s">
        <v>164</v>
      </c>
      <c r="Y644" t="s">
        <v>164</v>
      </c>
      <c r="Z644" t="s">
        <v>4267</v>
      </c>
      <c r="AA644">
        <v>4.42</v>
      </c>
      <c r="AB644" t="s">
        <v>4248</v>
      </c>
      <c r="AC644" t="s">
        <v>5497</v>
      </c>
      <c r="AD644" t="s">
        <v>1206</v>
      </c>
      <c r="AE644" t="s">
        <v>5380</v>
      </c>
      <c r="AF644" t="s">
        <v>2736</v>
      </c>
      <c r="AG644" t="s">
        <v>211</v>
      </c>
      <c r="AH644" t="s">
        <v>5027</v>
      </c>
      <c r="AI644" t="s">
        <v>6420</v>
      </c>
      <c r="AJ644" t="s">
        <v>4688</v>
      </c>
      <c r="AK644" t="s">
        <v>10548</v>
      </c>
      <c r="AL644">
        <v>1.7</v>
      </c>
      <c r="AM644">
        <v>0.71</v>
      </c>
      <c r="AN644">
        <v>0.55000000000000004</v>
      </c>
      <c r="AO644" t="s">
        <v>5540</v>
      </c>
      <c r="AP644" t="s">
        <v>4551</v>
      </c>
      <c r="AQ644" t="s">
        <v>3036</v>
      </c>
      <c r="AR644" t="s">
        <v>4856</v>
      </c>
      <c r="AS644" t="s">
        <v>5071</v>
      </c>
      <c r="AT644" t="s">
        <v>4267</v>
      </c>
      <c r="AU644" t="s">
        <v>3542</v>
      </c>
      <c r="AV644" t="s">
        <v>3212</v>
      </c>
      <c r="AW644" t="s">
        <v>681</v>
      </c>
      <c r="AX644" t="s">
        <v>2794</v>
      </c>
      <c r="AY644" t="s">
        <v>5354</v>
      </c>
      <c r="AZ644" t="s">
        <v>7878</v>
      </c>
      <c r="BA644">
        <v>2.35</v>
      </c>
      <c r="BB644">
        <v>1523.61</v>
      </c>
      <c r="BC644">
        <v>0.39</v>
      </c>
      <c r="BD644">
        <v>82.35</v>
      </c>
      <c r="BE644">
        <v>84.2</v>
      </c>
      <c r="BF644">
        <v>82.53</v>
      </c>
      <c r="BG644" t="s">
        <v>10549</v>
      </c>
      <c r="BH644" t="s">
        <v>10550</v>
      </c>
      <c r="BI644" t="s">
        <v>10551</v>
      </c>
      <c r="BJ644" t="s">
        <v>101</v>
      </c>
      <c r="BK644" t="s">
        <v>2821</v>
      </c>
      <c r="BL644" t="s">
        <v>2513</v>
      </c>
      <c r="BM644" t="s">
        <v>9279</v>
      </c>
      <c r="BN644" t="s">
        <v>4063</v>
      </c>
    </row>
    <row r="645" spans="1:66" x14ac:dyDescent="0.25">
      <c r="A645" t="str">
        <f>HYPERLINK("https://elite.finviz.com/quote.ashx?t=QSI&amp;ty=c&amp;p=d&amp;b=1", "QSI")</f>
        <v>QSI</v>
      </c>
      <c r="B645">
        <v>7</v>
      </c>
      <c r="C645">
        <v>138.38</v>
      </c>
      <c r="D645">
        <v>58.04</v>
      </c>
      <c r="E645" t="s">
        <v>10552</v>
      </c>
      <c r="F645" t="s">
        <v>67</v>
      </c>
      <c r="G645" t="s">
        <v>428</v>
      </c>
      <c r="H645" t="s">
        <v>2051</v>
      </c>
      <c r="I645" t="s">
        <v>70</v>
      </c>
      <c r="J645" t="s">
        <v>321</v>
      </c>
      <c r="K645">
        <v>303.16000000000003</v>
      </c>
      <c r="L645">
        <v>1.5</v>
      </c>
      <c r="M645" t="s">
        <v>530</v>
      </c>
      <c r="N645">
        <v>3367631</v>
      </c>
      <c r="R645">
        <v>88.9</v>
      </c>
      <c r="S645">
        <v>1.25</v>
      </c>
      <c r="AA645">
        <v>-0.67</v>
      </c>
      <c r="AB645" t="s">
        <v>1361</v>
      </c>
      <c r="AC645" t="s">
        <v>10553</v>
      </c>
      <c r="AD645" t="s">
        <v>3939</v>
      </c>
      <c r="AE645" t="s">
        <v>4555</v>
      </c>
      <c r="AH645" t="s">
        <v>8121</v>
      </c>
      <c r="AI645" t="s">
        <v>8184</v>
      </c>
      <c r="AJ645" t="s">
        <v>2263</v>
      </c>
      <c r="AK645" t="s">
        <v>1257</v>
      </c>
      <c r="AL645">
        <v>9.43</v>
      </c>
      <c r="AM645">
        <v>9.27</v>
      </c>
      <c r="AN645">
        <v>0.05</v>
      </c>
      <c r="AO645" t="s">
        <v>10554</v>
      </c>
      <c r="AP645" t="s">
        <v>10555</v>
      </c>
      <c r="AQ645" t="s">
        <v>10556</v>
      </c>
      <c r="AR645" t="s">
        <v>2291</v>
      </c>
      <c r="AS645" t="s">
        <v>10557</v>
      </c>
      <c r="AT645" t="s">
        <v>10558</v>
      </c>
      <c r="AU645" t="s">
        <v>2824</v>
      </c>
      <c r="AV645" t="s">
        <v>10559</v>
      </c>
      <c r="AW645" t="s">
        <v>9571</v>
      </c>
      <c r="AX645" t="s">
        <v>2853</v>
      </c>
      <c r="AY645" t="s">
        <v>10560</v>
      </c>
      <c r="AZ645" t="s">
        <v>10561</v>
      </c>
      <c r="BA645">
        <v>1.67</v>
      </c>
      <c r="BB645">
        <v>8387.2199999999993</v>
      </c>
      <c r="BC645">
        <v>1.41</v>
      </c>
      <c r="BD645">
        <v>1.51</v>
      </c>
      <c r="BE645">
        <v>1.61</v>
      </c>
      <c r="BF645">
        <v>1.49</v>
      </c>
      <c r="BG645" t="s">
        <v>10562</v>
      </c>
      <c r="BH645" t="s">
        <v>10563</v>
      </c>
      <c r="BI645" t="s">
        <v>10561</v>
      </c>
      <c r="BJ645" t="s">
        <v>101</v>
      </c>
      <c r="BK645" t="s">
        <v>10564</v>
      </c>
      <c r="BL645" t="s">
        <v>4683</v>
      </c>
      <c r="BM645" t="s">
        <v>10565</v>
      </c>
      <c r="BN645" t="s">
        <v>4063</v>
      </c>
    </row>
    <row r="646" spans="1:66" x14ac:dyDescent="0.25">
      <c r="A646" t="str">
        <f>HYPERLINK("https://elite.finviz.com/quote.ashx?t=WPC&amp;ty=c&amp;p=d&amp;b=1", "WPC")</f>
        <v>WPC</v>
      </c>
      <c r="B646">
        <v>7</v>
      </c>
      <c r="C646">
        <v>138.38</v>
      </c>
      <c r="D646">
        <v>58.12</v>
      </c>
      <c r="E646" t="s">
        <v>10566</v>
      </c>
      <c r="F646" t="s">
        <v>107</v>
      </c>
      <c r="G646" t="s">
        <v>68</v>
      </c>
      <c r="H646" t="s">
        <v>4656</v>
      </c>
      <c r="I646" t="s">
        <v>70</v>
      </c>
      <c r="J646" t="s">
        <v>71</v>
      </c>
      <c r="K646">
        <v>14900.44</v>
      </c>
      <c r="L646">
        <v>68.040000000000006</v>
      </c>
      <c r="M646" t="s">
        <v>2881</v>
      </c>
      <c r="N646">
        <v>129546</v>
      </c>
      <c r="O646">
        <v>44.71</v>
      </c>
      <c r="P646">
        <v>25.14</v>
      </c>
      <c r="Q646">
        <v>4.74</v>
      </c>
      <c r="R646">
        <v>9.06</v>
      </c>
      <c r="S646">
        <v>1.81</v>
      </c>
      <c r="T646" t="s">
        <v>3948</v>
      </c>
      <c r="U646">
        <v>3.44</v>
      </c>
      <c r="V646" t="s">
        <v>198</v>
      </c>
      <c r="W646" t="s">
        <v>8252</v>
      </c>
      <c r="X646" t="s">
        <v>1892</v>
      </c>
      <c r="Y646" t="s">
        <v>5061</v>
      </c>
      <c r="Z646" t="s">
        <v>10567</v>
      </c>
      <c r="AA646">
        <v>1.52</v>
      </c>
      <c r="AB646" t="s">
        <v>10568</v>
      </c>
      <c r="AC646" t="s">
        <v>203</v>
      </c>
      <c r="AD646" t="s">
        <v>2748</v>
      </c>
      <c r="AE646" t="s">
        <v>822</v>
      </c>
      <c r="AF646" t="s">
        <v>755</v>
      </c>
      <c r="AG646" t="s">
        <v>6404</v>
      </c>
      <c r="AH646" t="s">
        <v>3071</v>
      </c>
      <c r="AI646" t="s">
        <v>10569</v>
      </c>
      <c r="AJ646" t="s">
        <v>7709</v>
      </c>
      <c r="AK646" t="s">
        <v>10570</v>
      </c>
      <c r="AL646">
        <v>1.23</v>
      </c>
      <c r="AM646">
        <v>1.23</v>
      </c>
      <c r="AN646">
        <v>1.07</v>
      </c>
      <c r="AO646" t="s">
        <v>10571</v>
      </c>
      <c r="AP646" t="s">
        <v>10572</v>
      </c>
      <c r="AQ646" t="s">
        <v>3735</v>
      </c>
      <c r="AR646" t="s">
        <v>1837</v>
      </c>
      <c r="AS646" t="s">
        <v>80</v>
      </c>
      <c r="AT646" t="s">
        <v>4782</v>
      </c>
      <c r="AU646" t="s">
        <v>6118</v>
      </c>
      <c r="AV646" t="s">
        <v>2786</v>
      </c>
      <c r="AW646" t="s">
        <v>4938</v>
      </c>
      <c r="AX646" t="s">
        <v>8086</v>
      </c>
      <c r="AY646" t="s">
        <v>4938</v>
      </c>
      <c r="AZ646" t="s">
        <v>6932</v>
      </c>
      <c r="BA646">
        <v>2.64</v>
      </c>
      <c r="BB646">
        <v>1226.9000000000001</v>
      </c>
      <c r="BC646">
        <v>0.37</v>
      </c>
      <c r="BD646">
        <v>67.400000000000006</v>
      </c>
      <c r="BE646">
        <v>68.27</v>
      </c>
      <c r="BF646">
        <v>67.709999999999994</v>
      </c>
      <c r="BG646" t="s">
        <v>10573</v>
      </c>
      <c r="BH646" t="s">
        <v>805</v>
      </c>
      <c r="BI646" t="s">
        <v>10574</v>
      </c>
      <c r="BJ646" t="s">
        <v>101</v>
      </c>
      <c r="BK646" t="s">
        <v>9204</v>
      </c>
      <c r="BL646" t="s">
        <v>3648</v>
      </c>
      <c r="BM646" t="s">
        <v>1207</v>
      </c>
      <c r="BN646" t="s">
        <v>4063</v>
      </c>
    </row>
    <row r="647" spans="1:66" x14ac:dyDescent="0.25">
      <c r="A647" t="str">
        <f>HYPERLINK("https://elite.finviz.com/quote.ashx?t=BYD&amp;ty=c&amp;p=d&amp;b=1", "BYD")</f>
        <v>BYD</v>
      </c>
      <c r="B647">
        <v>7</v>
      </c>
      <c r="C647">
        <v>138.38</v>
      </c>
      <c r="D647">
        <v>58.22</v>
      </c>
      <c r="E647" t="s">
        <v>10575</v>
      </c>
      <c r="F647" t="s">
        <v>107</v>
      </c>
      <c r="G647" t="s">
        <v>813</v>
      </c>
      <c r="H647" t="s">
        <v>2763</v>
      </c>
      <c r="I647" t="s">
        <v>70</v>
      </c>
      <c r="J647" t="s">
        <v>71</v>
      </c>
      <c r="K647">
        <v>6899.85</v>
      </c>
      <c r="L647">
        <v>86.05</v>
      </c>
      <c r="M647" t="s">
        <v>4267</v>
      </c>
      <c r="N647">
        <v>98943</v>
      </c>
      <c r="O647">
        <v>13.26</v>
      </c>
      <c r="P647">
        <v>10.97</v>
      </c>
      <c r="Q647">
        <v>1.57</v>
      </c>
      <c r="R647">
        <v>1.71</v>
      </c>
      <c r="S647">
        <v>4.97</v>
      </c>
      <c r="T647" t="s">
        <v>969</v>
      </c>
      <c r="U647">
        <v>0.71</v>
      </c>
      <c r="V647" t="s">
        <v>3833</v>
      </c>
      <c r="W647" t="s">
        <v>229</v>
      </c>
      <c r="Y647" t="s">
        <v>7320</v>
      </c>
      <c r="Z647" t="s">
        <v>8188</v>
      </c>
      <c r="AA647">
        <v>6.49</v>
      </c>
      <c r="AB647" t="s">
        <v>10498</v>
      </c>
      <c r="AC647" t="s">
        <v>10576</v>
      </c>
      <c r="AD647" t="s">
        <v>3455</v>
      </c>
      <c r="AE647" t="s">
        <v>7542</v>
      </c>
      <c r="AF647" t="s">
        <v>3981</v>
      </c>
      <c r="AG647" t="s">
        <v>4569</v>
      </c>
      <c r="AH647" t="s">
        <v>3566</v>
      </c>
      <c r="AI647" t="s">
        <v>10577</v>
      </c>
      <c r="AJ647" t="s">
        <v>7036</v>
      </c>
      <c r="AK647" t="s">
        <v>10578</v>
      </c>
      <c r="AL647">
        <v>0.86</v>
      </c>
      <c r="AM647">
        <v>0.82</v>
      </c>
      <c r="AN647">
        <v>3.06</v>
      </c>
      <c r="AO647" t="s">
        <v>10579</v>
      </c>
      <c r="AP647" t="s">
        <v>10580</v>
      </c>
      <c r="AQ647" t="s">
        <v>6498</v>
      </c>
      <c r="AR647" t="s">
        <v>9136</v>
      </c>
      <c r="AS647" t="s">
        <v>3757</v>
      </c>
      <c r="AT647" t="s">
        <v>5116</v>
      </c>
      <c r="AU647" t="s">
        <v>3856</v>
      </c>
      <c r="AV647" t="s">
        <v>5756</v>
      </c>
      <c r="AW647" t="s">
        <v>10581</v>
      </c>
      <c r="AX647" t="s">
        <v>6106</v>
      </c>
      <c r="AY647" t="s">
        <v>10581</v>
      </c>
      <c r="AZ647" t="s">
        <v>2865</v>
      </c>
      <c r="BA647">
        <v>2.19</v>
      </c>
      <c r="BB647">
        <v>1132.72</v>
      </c>
      <c r="BC647">
        <v>0.31</v>
      </c>
      <c r="BD647">
        <v>84.49</v>
      </c>
      <c r="BE647">
        <v>86.29</v>
      </c>
      <c r="BF647">
        <v>84.5</v>
      </c>
      <c r="BG647" t="s">
        <v>10582</v>
      </c>
      <c r="BH647" t="s">
        <v>10581</v>
      </c>
      <c r="BI647" t="s">
        <v>10583</v>
      </c>
      <c r="BJ647" t="s">
        <v>101</v>
      </c>
      <c r="BK647" t="s">
        <v>4718</v>
      </c>
      <c r="BL647" t="s">
        <v>10392</v>
      </c>
      <c r="BM647" t="s">
        <v>1311</v>
      </c>
      <c r="BN647" t="s">
        <v>4063</v>
      </c>
    </row>
    <row r="648" spans="1:66" x14ac:dyDescent="0.25">
      <c r="A648" t="str">
        <f>HYPERLINK("https://elite.finviz.com/quote.ashx?t=O&amp;ty=c&amp;p=d&amp;b=1", "O")</f>
        <v>O</v>
      </c>
      <c r="B648">
        <v>7</v>
      </c>
      <c r="C648">
        <v>138.38</v>
      </c>
      <c r="D648">
        <v>58.22</v>
      </c>
      <c r="E648" t="s">
        <v>10584</v>
      </c>
      <c r="F648" t="s">
        <v>195</v>
      </c>
      <c r="G648" t="s">
        <v>68</v>
      </c>
      <c r="H648" t="s">
        <v>160</v>
      </c>
      <c r="I648" t="s">
        <v>70</v>
      </c>
      <c r="J648" t="s">
        <v>71</v>
      </c>
      <c r="K648">
        <v>54802.64</v>
      </c>
      <c r="L648">
        <v>59.94</v>
      </c>
      <c r="M648" t="s">
        <v>4266</v>
      </c>
      <c r="N648">
        <v>968537</v>
      </c>
      <c r="O648">
        <v>58.48</v>
      </c>
      <c r="P648">
        <v>39.86</v>
      </c>
      <c r="Q648">
        <v>3.15</v>
      </c>
      <c r="R648">
        <v>10</v>
      </c>
      <c r="S648">
        <v>1.4</v>
      </c>
      <c r="T648" t="s">
        <v>2580</v>
      </c>
      <c r="U648">
        <v>2.96</v>
      </c>
      <c r="V648" t="s">
        <v>700</v>
      </c>
      <c r="W648" t="s">
        <v>679</v>
      </c>
      <c r="X648" t="s">
        <v>2356</v>
      </c>
      <c r="Y648" t="s">
        <v>205</v>
      </c>
      <c r="Z648" t="s">
        <v>10585</v>
      </c>
      <c r="AA648">
        <v>1.02</v>
      </c>
      <c r="AB648" t="s">
        <v>4690</v>
      </c>
      <c r="AC648" t="s">
        <v>10586</v>
      </c>
      <c r="AD648" t="s">
        <v>6574</v>
      </c>
      <c r="AE648" t="s">
        <v>9523</v>
      </c>
      <c r="AF648" t="s">
        <v>6794</v>
      </c>
      <c r="AG648" t="s">
        <v>10587</v>
      </c>
      <c r="AH648" t="s">
        <v>3545</v>
      </c>
      <c r="AI648" t="s">
        <v>10588</v>
      </c>
      <c r="AJ648" t="s">
        <v>164</v>
      </c>
      <c r="AK648" t="s">
        <v>10589</v>
      </c>
      <c r="AL648">
        <v>2.2400000000000002</v>
      </c>
      <c r="AM648">
        <v>2.2400000000000002</v>
      </c>
      <c r="AN648">
        <v>0.78</v>
      </c>
      <c r="AO648" t="s">
        <v>10590</v>
      </c>
      <c r="AP648" t="s">
        <v>7145</v>
      </c>
      <c r="AQ648" t="s">
        <v>1038</v>
      </c>
      <c r="AR648" t="s">
        <v>4552</v>
      </c>
      <c r="AS648" t="s">
        <v>343</v>
      </c>
      <c r="AT648" t="s">
        <v>5055</v>
      </c>
      <c r="AU648" t="s">
        <v>4216</v>
      </c>
      <c r="AV648" t="s">
        <v>2174</v>
      </c>
      <c r="AW648" t="s">
        <v>9498</v>
      </c>
      <c r="AX648" t="s">
        <v>3432</v>
      </c>
      <c r="AY648" t="s">
        <v>10591</v>
      </c>
      <c r="AZ648" t="s">
        <v>9344</v>
      </c>
      <c r="BA648">
        <v>2.5</v>
      </c>
      <c r="BB648">
        <v>5359.66</v>
      </c>
      <c r="BC648">
        <v>0.64</v>
      </c>
      <c r="BD648">
        <v>59.79</v>
      </c>
      <c r="BE648">
        <v>60.26</v>
      </c>
      <c r="BF648">
        <v>59.9</v>
      </c>
      <c r="BG648" t="s">
        <v>10592</v>
      </c>
      <c r="BH648" t="s">
        <v>10593</v>
      </c>
      <c r="BI648" t="s">
        <v>10594</v>
      </c>
      <c r="BJ648" t="s">
        <v>101</v>
      </c>
      <c r="BK648" t="s">
        <v>1104</v>
      </c>
      <c r="BL648" t="s">
        <v>2945</v>
      </c>
      <c r="BM648" t="s">
        <v>82</v>
      </c>
      <c r="BN648" t="s">
        <v>4063</v>
      </c>
    </row>
    <row r="649" spans="1:66" x14ac:dyDescent="0.25">
      <c r="A649" t="str">
        <f>HYPERLINK("https://elite.finviz.com/quote.ashx?t=FLYW&amp;ty=c&amp;p=d&amp;b=1", "FLYW")</f>
        <v>FLYW</v>
      </c>
      <c r="B649">
        <v>7</v>
      </c>
      <c r="C649">
        <v>138.38</v>
      </c>
      <c r="D649">
        <v>58.25</v>
      </c>
      <c r="E649" t="s">
        <v>10595</v>
      </c>
      <c r="F649" t="s">
        <v>67</v>
      </c>
      <c r="G649" t="s">
        <v>108</v>
      </c>
      <c r="H649" t="s">
        <v>109</v>
      </c>
      <c r="I649" t="s">
        <v>70</v>
      </c>
      <c r="J649" t="s">
        <v>321</v>
      </c>
      <c r="K649">
        <v>1638.96</v>
      </c>
      <c r="L649">
        <v>13.4</v>
      </c>
      <c r="M649" t="s">
        <v>6572</v>
      </c>
      <c r="N649">
        <v>175174</v>
      </c>
      <c r="O649">
        <v>326.02999999999997</v>
      </c>
      <c r="P649">
        <v>42.25</v>
      </c>
      <c r="Q649">
        <v>1.7</v>
      </c>
      <c r="R649">
        <v>3.04</v>
      </c>
      <c r="S649">
        <v>2.0699999999999998</v>
      </c>
      <c r="Z649" t="s">
        <v>164</v>
      </c>
      <c r="AA649">
        <v>0.04</v>
      </c>
      <c r="AD649" t="s">
        <v>10596</v>
      </c>
      <c r="AE649" t="s">
        <v>829</v>
      </c>
      <c r="AF649" t="s">
        <v>10597</v>
      </c>
      <c r="AG649" t="s">
        <v>10598</v>
      </c>
      <c r="AH649" t="s">
        <v>10599</v>
      </c>
      <c r="AI649" t="s">
        <v>10600</v>
      </c>
      <c r="AJ649" t="s">
        <v>2263</v>
      </c>
      <c r="AK649" t="s">
        <v>10601</v>
      </c>
      <c r="AL649">
        <v>1.87</v>
      </c>
      <c r="AM649">
        <v>1.87</v>
      </c>
      <c r="AN649">
        <v>0.08</v>
      </c>
      <c r="AO649" t="s">
        <v>10602</v>
      </c>
      <c r="AP649" t="s">
        <v>4271</v>
      </c>
      <c r="AQ649" t="s">
        <v>5745</v>
      </c>
      <c r="AR649" t="s">
        <v>6525</v>
      </c>
      <c r="AS649" t="s">
        <v>3170</v>
      </c>
      <c r="AT649" t="s">
        <v>6155</v>
      </c>
      <c r="AU649" t="s">
        <v>3687</v>
      </c>
      <c r="AV649" t="s">
        <v>3463</v>
      </c>
      <c r="AW649" t="s">
        <v>2827</v>
      </c>
      <c r="AX649" t="s">
        <v>9968</v>
      </c>
      <c r="AY649" t="s">
        <v>10603</v>
      </c>
      <c r="AZ649" t="s">
        <v>10604</v>
      </c>
      <c r="BA649">
        <v>2.38</v>
      </c>
      <c r="BB649">
        <v>2344.0700000000002</v>
      </c>
      <c r="BC649">
        <v>0.26</v>
      </c>
      <c r="BD649">
        <v>13.3</v>
      </c>
      <c r="BE649">
        <v>13.44</v>
      </c>
      <c r="BF649">
        <v>13.19</v>
      </c>
      <c r="BG649" t="s">
        <v>10605</v>
      </c>
      <c r="BH649" t="s">
        <v>10606</v>
      </c>
      <c r="BI649" t="s">
        <v>10604</v>
      </c>
      <c r="BJ649" t="s">
        <v>101</v>
      </c>
      <c r="BK649" t="s">
        <v>512</v>
      </c>
      <c r="BL649" t="s">
        <v>10607</v>
      </c>
      <c r="BM649" t="s">
        <v>2578</v>
      </c>
      <c r="BN649" t="s">
        <v>4063</v>
      </c>
    </row>
    <row r="650" spans="1:66" x14ac:dyDescent="0.25">
      <c r="A650" t="str">
        <f>HYPERLINK("https://elite.finviz.com/quote.ashx?t=BRK-B&amp;ty=c&amp;p=d&amp;b=1", "BRK-B")</f>
        <v>BRK-B</v>
      </c>
      <c r="B650">
        <v>7</v>
      </c>
      <c r="C650">
        <v>138.38</v>
      </c>
      <c r="D650">
        <v>58.28</v>
      </c>
      <c r="E650" t="s">
        <v>10608</v>
      </c>
      <c r="F650" t="s">
        <v>195</v>
      </c>
      <c r="G650" t="s">
        <v>550</v>
      </c>
      <c r="H650" t="s">
        <v>10609</v>
      </c>
      <c r="I650" t="s">
        <v>70</v>
      </c>
      <c r="J650" t="s">
        <v>71</v>
      </c>
      <c r="K650">
        <v>1076145.8999999999</v>
      </c>
      <c r="L650">
        <v>498.1</v>
      </c>
      <c r="M650" t="s">
        <v>4840</v>
      </c>
      <c r="N650">
        <v>1057370</v>
      </c>
      <c r="O650">
        <v>17.07</v>
      </c>
      <c r="P650">
        <v>23.14</v>
      </c>
      <c r="Q650">
        <v>24.74</v>
      </c>
      <c r="R650">
        <v>2.91</v>
      </c>
      <c r="S650">
        <v>1.61</v>
      </c>
      <c r="Z650" t="s">
        <v>164</v>
      </c>
      <c r="AA650">
        <v>29.18</v>
      </c>
      <c r="AB650" t="s">
        <v>3976</v>
      </c>
      <c r="AC650" t="s">
        <v>5885</v>
      </c>
      <c r="AD650" t="s">
        <v>8179</v>
      </c>
      <c r="AE650" t="s">
        <v>406</v>
      </c>
      <c r="AF650" t="s">
        <v>6981</v>
      </c>
      <c r="AG650" t="s">
        <v>10610</v>
      </c>
      <c r="AH650" t="s">
        <v>1864</v>
      </c>
      <c r="AI650" t="s">
        <v>4294</v>
      </c>
      <c r="AJ650" t="s">
        <v>5242</v>
      </c>
      <c r="AK650" t="s">
        <v>9724</v>
      </c>
      <c r="AL650">
        <v>7.72</v>
      </c>
      <c r="AM650">
        <v>7.31</v>
      </c>
      <c r="AN650">
        <v>0.19</v>
      </c>
      <c r="AO650" t="s">
        <v>4292</v>
      </c>
      <c r="AP650" t="s">
        <v>10611</v>
      </c>
      <c r="AQ650" t="s">
        <v>2395</v>
      </c>
      <c r="AR650" t="s">
        <v>5577</v>
      </c>
      <c r="AS650" t="s">
        <v>1417</v>
      </c>
      <c r="AT650" t="s">
        <v>149</v>
      </c>
      <c r="AU650" t="s">
        <v>89</v>
      </c>
      <c r="AV650" t="s">
        <v>908</v>
      </c>
      <c r="AW650" t="s">
        <v>9498</v>
      </c>
      <c r="AX650" t="s">
        <v>10114</v>
      </c>
      <c r="AY650" t="s">
        <v>10612</v>
      </c>
      <c r="AZ650" t="s">
        <v>2095</v>
      </c>
      <c r="BA650">
        <v>2.4300000000000002</v>
      </c>
      <c r="BB650">
        <v>4576.7</v>
      </c>
      <c r="BC650">
        <v>0.81</v>
      </c>
      <c r="BD650">
        <v>494.96</v>
      </c>
      <c r="BE650">
        <v>501</v>
      </c>
      <c r="BF650">
        <v>495.24</v>
      </c>
      <c r="BG650" t="s">
        <v>10613</v>
      </c>
      <c r="BH650" t="s">
        <v>10612</v>
      </c>
      <c r="BI650" t="s">
        <v>10614</v>
      </c>
      <c r="BJ650" t="s">
        <v>101</v>
      </c>
      <c r="BK650" t="s">
        <v>1933</v>
      </c>
      <c r="BL650" t="s">
        <v>4147</v>
      </c>
      <c r="BM650" t="s">
        <v>2605</v>
      </c>
      <c r="BN650" t="s">
        <v>4063</v>
      </c>
    </row>
    <row r="651" spans="1:66" x14ac:dyDescent="0.25">
      <c r="A651" t="str">
        <f>HYPERLINK("https://elite.finviz.com/quote.ashx?t=WMT&amp;ty=c&amp;p=d&amp;b=1", "WMT")</f>
        <v>WMT</v>
      </c>
      <c r="B651">
        <v>7</v>
      </c>
      <c r="C651">
        <v>138.38</v>
      </c>
      <c r="D651">
        <v>58.32</v>
      </c>
      <c r="E651" t="s">
        <v>10615</v>
      </c>
      <c r="F651" t="s">
        <v>1759</v>
      </c>
      <c r="G651" t="s">
        <v>2244</v>
      </c>
      <c r="H651" t="s">
        <v>7615</v>
      </c>
      <c r="I651" t="s">
        <v>70</v>
      </c>
      <c r="J651" t="s">
        <v>71</v>
      </c>
      <c r="K651">
        <v>822559.03</v>
      </c>
      <c r="L651">
        <v>103.17</v>
      </c>
      <c r="M651" t="s">
        <v>2275</v>
      </c>
      <c r="N651">
        <v>3180771</v>
      </c>
      <c r="O651">
        <v>38.92</v>
      </c>
      <c r="P651">
        <v>35.1</v>
      </c>
      <c r="Q651">
        <v>4.1500000000000004</v>
      </c>
      <c r="R651">
        <v>1.19</v>
      </c>
      <c r="S651">
        <v>9.1300000000000008</v>
      </c>
      <c r="T651" t="s">
        <v>3493</v>
      </c>
      <c r="U651">
        <v>0.91</v>
      </c>
      <c r="V651" t="s">
        <v>10616</v>
      </c>
      <c r="W651" t="s">
        <v>582</v>
      </c>
      <c r="X651" t="s">
        <v>6936</v>
      </c>
      <c r="Y651" t="s">
        <v>2356</v>
      </c>
      <c r="Z651" t="s">
        <v>3069</v>
      </c>
      <c r="AA651">
        <v>2.65</v>
      </c>
      <c r="AB651" t="s">
        <v>1161</v>
      </c>
      <c r="AC651" t="s">
        <v>3126</v>
      </c>
      <c r="AD651" t="s">
        <v>1468</v>
      </c>
      <c r="AE651" t="s">
        <v>1302</v>
      </c>
      <c r="AF651" t="s">
        <v>755</v>
      </c>
      <c r="AG651" t="s">
        <v>2580</v>
      </c>
      <c r="AH651" t="s">
        <v>995</v>
      </c>
      <c r="AI651" t="s">
        <v>10617</v>
      </c>
      <c r="AJ651" t="s">
        <v>9084</v>
      </c>
      <c r="AK651" t="s">
        <v>10386</v>
      </c>
      <c r="AL651">
        <v>0.79</v>
      </c>
      <c r="AM651">
        <v>0.23</v>
      </c>
      <c r="AN651">
        <v>0.72</v>
      </c>
      <c r="AO651" t="s">
        <v>10618</v>
      </c>
      <c r="AP651" t="s">
        <v>5467</v>
      </c>
      <c r="AQ651" t="s">
        <v>5188</v>
      </c>
      <c r="AR651" t="s">
        <v>80</v>
      </c>
      <c r="AS651" t="s">
        <v>4780</v>
      </c>
      <c r="AT651" t="s">
        <v>4552</v>
      </c>
      <c r="AU651" t="s">
        <v>2735</v>
      </c>
      <c r="AV651" t="s">
        <v>2378</v>
      </c>
      <c r="AW651" t="s">
        <v>4711</v>
      </c>
      <c r="AX651" t="s">
        <v>10619</v>
      </c>
      <c r="AY651" t="s">
        <v>4711</v>
      </c>
      <c r="AZ651" t="s">
        <v>10620</v>
      </c>
      <c r="BA651">
        <v>1.23</v>
      </c>
      <c r="BB651">
        <v>16284.79</v>
      </c>
      <c r="BC651">
        <v>0.69</v>
      </c>
      <c r="BD651">
        <v>103.05</v>
      </c>
      <c r="BE651">
        <v>103.49</v>
      </c>
      <c r="BF651">
        <v>102.47</v>
      </c>
      <c r="BG651" t="s">
        <v>10621</v>
      </c>
      <c r="BH651" t="s">
        <v>4711</v>
      </c>
      <c r="BI651" t="s">
        <v>10622</v>
      </c>
      <c r="BJ651" t="s">
        <v>101</v>
      </c>
      <c r="BK651" t="s">
        <v>7541</v>
      </c>
      <c r="BL651" t="s">
        <v>9884</v>
      </c>
      <c r="BM651" t="s">
        <v>10623</v>
      </c>
      <c r="BN651" t="s">
        <v>4063</v>
      </c>
    </row>
    <row r="652" spans="1:66" x14ac:dyDescent="0.25">
      <c r="A652" t="str">
        <f>HYPERLINK("https://elite.finviz.com/quote.ashx?t=EONR&amp;ty=c&amp;p=d&amp;b=1", "EONR")</f>
        <v>EONR</v>
      </c>
      <c r="B652">
        <v>7</v>
      </c>
      <c r="C652">
        <v>138.38</v>
      </c>
      <c r="D652">
        <v>58.42</v>
      </c>
      <c r="E652" t="s">
        <v>10624</v>
      </c>
      <c r="F652" t="s">
        <v>107</v>
      </c>
      <c r="G652" t="s">
        <v>1048</v>
      </c>
      <c r="H652" t="s">
        <v>1049</v>
      </c>
      <c r="I652" t="s">
        <v>70</v>
      </c>
      <c r="J652" t="s">
        <v>383</v>
      </c>
      <c r="K652">
        <v>17.52</v>
      </c>
      <c r="L652">
        <v>0.44</v>
      </c>
      <c r="M652" t="s">
        <v>3343</v>
      </c>
      <c r="N652">
        <v>763004</v>
      </c>
      <c r="R652">
        <v>0.96</v>
      </c>
      <c r="S652">
        <v>0.89</v>
      </c>
      <c r="AA652">
        <v>-0.83</v>
      </c>
      <c r="AB652" t="s">
        <v>10625</v>
      </c>
      <c r="AH652" t="s">
        <v>10626</v>
      </c>
      <c r="AI652" t="s">
        <v>2764</v>
      </c>
      <c r="AJ652" t="s">
        <v>4523</v>
      </c>
      <c r="AK652" t="s">
        <v>3349</v>
      </c>
      <c r="AL652">
        <v>0.21</v>
      </c>
      <c r="AM652">
        <v>0.21</v>
      </c>
      <c r="AN652">
        <v>2.5099999999999998</v>
      </c>
      <c r="AO652" t="s">
        <v>6984</v>
      </c>
      <c r="AP652" t="s">
        <v>10627</v>
      </c>
      <c r="AQ652" t="s">
        <v>10628</v>
      </c>
      <c r="AR652" t="s">
        <v>2635</v>
      </c>
      <c r="AS652" t="s">
        <v>3099</v>
      </c>
      <c r="AT652" t="s">
        <v>1809</v>
      </c>
      <c r="AU652" t="s">
        <v>9215</v>
      </c>
      <c r="AV652" t="s">
        <v>9038</v>
      </c>
      <c r="AW652" t="s">
        <v>10629</v>
      </c>
      <c r="AX652" t="s">
        <v>6031</v>
      </c>
      <c r="AY652" t="s">
        <v>10630</v>
      </c>
      <c r="AZ652" t="s">
        <v>6031</v>
      </c>
      <c r="BA652">
        <v>1</v>
      </c>
      <c r="BB652">
        <v>1638.33</v>
      </c>
      <c r="BC652">
        <v>1.65</v>
      </c>
      <c r="BD652">
        <v>0.42</v>
      </c>
      <c r="BE652">
        <v>0.45</v>
      </c>
      <c r="BF652">
        <v>0.42</v>
      </c>
      <c r="BG652" t="s">
        <v>10631</v>
      </c>
      <c r="BH652" t="s">
        <v>2534</v>
      </c>
      <c r="BI652" t="s">
        <v>6031</v>
      </c>
      <c r="BJ652" t="s">
        <v>101</v>
      </c>
      <c r="BK652" t="s">
        <v>3846</v>
      </c>
      <c r="BL652" t="s">
        <v>10632</v>
      </c>
      <c r="BM652" t="s">
        <v>10633</v>
      </c>
      <c r="BN652" t="s">
        <v>4063</v>
      </c>
    </row>
    <row r="653" spans="1:66" x14ac:dyDescent="0.25">
      <c r="A653" t="str">
        <f>HYPERLINK("https://elite.finviz.com/quote.ashx?t=NMRK&amp;ty=c&amp;p=d&amp;b=1", "NMRK")</f>
        <v>NMRK</v>
      </c>
      <c r="B653">
        <v>7</v>
      </c>
      <c r="C653">
        <v>138.38</v>
      </c>
      <c r="D653">
        <v>58.43</v>
      </c>
      <c r="E653" t="s">
        <v>10634</v>
      </c>
      <c r="F653" t="s">
        <v>67</v>
      </c>
      <c r="G653" t="s">
        <v>68</v>
      </c>
      <c r="H653" t="s">
        <v>7494</v>
      </c>
      <c r="I653" t="s">
        <v>70</v>
      </c>
      <c r="J653" t="s">
        <v>321</v>
      </c>
      <c r="K653">
        <v>3332.35</v>
      </c>
      <c r="L653">
        <v>18.86</v>
      </c>
      <c r="M653" t="s">
        <v>1249</v>
      </c>
      <c r="N653">
        <v>109029</v>
      </c>
      <c r="O653">
        <v>44.22</v>
      </c>
      <c r="P653">
        <v>10.36</v>
      </c>
      <c r="Q653">
        <v>2.68</v>
      </c>
      <c r="R653">
        <v>1.1299999999999999</v>
      </c>
      <c r="S653">
        <v>2.59</v>
      </c>
      <c r="T653" t="s">
        <v>3463</v>
      </c>
      <c r="U653">
        <v>0.12</v>
      </c>
      <c r="V653" t="s">
        <v>2708</v>
      </c>
      <c r="W653" t="s">
        <v>164</v>
      </c>
      <c r="X653" t="s">
        <v>10635</v>
      </c>
      <c r="Y653" t="s">
        <v>10636</v>
      </c>
      <c r="Z653" t="s">
        <v>4684</v>
      </c>
      <c r="AA653">
        <v>0.43</v>
      </c>
      <c r="AB653" t="s">
        <v>10637</v>
      </c>
      <c r="AC653" t="s">
        <v>7886</v>
      </c>
      <c r="AD653" t="s">
        <v>2963</v>
      </c>
      <c r="AE653" t="s">
        <v>2530</v>
      </c>
      <c r="AF653" t="s">
        <v>2218</v>
      </c>
      <c r="AG653" t="s">
        <v>5736</v>
      </c>
      <c r="AH653" t="s">
        <v>10638</v>
      </c>
      <c r="AI653" t="s">
        <v>5794</v>
      </c>
      <c r="AJ653" t="s">
        <v>164</v>
      </c>
      <c r="AK653" t="s">
        <v>10639</v>
      </c>
      <c r="AL653">
        <v>1.04</v>
      </c>
      <c r="AM653">
        <v>1.04</v>
      </c>
      <c r="AN653">
        <v>2.14</v>
      </c>
      <c r="AP653" t="s">
        <v>1026</v>
      </c>
      <c r="AQ653" t="s">
        <v>387</v>
      </c>
      <c r="AR653" t="s">
        <v>5132</v>
      </c>
      <c r="AS653" t="s">
        <v>465</v>
      </c>
      <c r="AT653" t="s">
        <v>2642</v>
      </c>
      <c r="AU653" t="s">
        <v>3549</v>
      </c>
      <c r="AV653" t="s">
        <v>10640</v>
      </c>
      <c r="AW653" t="s">
        <v>2431</v>
      </c>
      <c r="AX653" t="s">
        <v>8522</v>
      </c>
      <c r="AY653" t="s">
        <v>2431</v>
      </c>
      <c r="AZ653" t="s">
        <v>10641</v>
      </c>
      <c r="BA653">
        <v>1.33</v>
      </c>
      <c r="BB653">
        <v>1475.94</v>
      </c>
      <c r="BC653">
        <v>0.26</v>
      </c>
      <c r="BD653">
        <v>18.86</v>
      </c>
      <c r="BE653">
        <v>19.04</v>
      </c>
      <c r="BF653">
        <v>18.8</v>
      </c>
      <c r="BG653" t="s">
        <v>10642</v>
      </c>
      <c r="BH653" t="s">
        <v>2431</v>
      </c>
      <c r="BI653" t="s">
        <v>10643</v>
      </c>
      <c r="BJ653" t="s">
        <v>101</v>
      </c>
      <c r="BK653" t="s">
        <v>8197</v>
      </c>
      <c r="BL653" t="s">
        <v>10644</v>
      </c>
      <c r="BM653" t="s">
        <v>7134</v>
      </c>
      <c r="BN653" t="s">
        <v>4063</v>
      </c>
    </row>
    <row r="654" spans="1:66" x14ac:dyDescent="0.25">
      <c r="A654" t="str">
        <f>HYPERLINK("https://elite.finviz.com/quote.ashx?t=PLTR&amp;ty=c&amp;p=d&amp;b=1", "PLTR")</f>
        <v>PLTR</v>
      </c>
      <c r="B654">
        <v>7</v>
      </c>
      <c r="C654">
        <v>138.38</v>
      </c>
      <c r="D654">
        <v>58.49</v>
      </c>
      <c r="E654" t="s">
        <v>10645</v>
      </c>
      <c r="F654" t="s">
        <v>319</v>
      </c>
      <c r="G654" t="s">
        <v>108</v>
      </c>
      <c r="H654" t="s">
        <v>109</v>
      </c>
      <c r="I654" t="s">
        <v>70</v>
      </c>
      <c r="J654" t="s">
        <v>321</v>
      </c>
      <c r="K654">
        <v>419537.26</v>
      </c>
      <c r="L654">
        <v>176.85</v>
      </c>
      <c r="M654" t="s">
        <v>3484</v>
      </c>
      <c r="N654">
        <v>20042276</v>
      </c>
      <c r="O654">
        <v>587.72</v>
      </c>
      <c r="P654">
        <v>210.71</v>
      </c>
      <c r="Q654">
        <v>14.59</v>
      </c>
      <c r="R654">
        <v>121.94</v>
      </c>
      <c r="S654">
        <v>70.75</v>
      </c>
      <c r="Z654" t="s">
        <v>164</v>
      </c>
      <c r="AA654">
        <v>0.3</v>
      </c>
      <c r="AD654" t="s">
        <v>6135</v>
      </c>
      <c r="AE654" t="s">
        <v>10646</v>
      </c>
      <c r="AF654" t="s">
        <v>3835</v>
      </c>
      <c r="AG654" t="s">
        <v>717</v>
      </c>
      <c r="AH654" t="s">
        <v>10647</v>
      </c>
      <c r="AI654" t="s">
        <v>10648</v>
      </c>
      <c r="AJ654" t="s">
        <v>6265</v>
      </c>
      <c r="AK654" t="s">
        <v>1343</v>
      </c>
      <c r="AL654">
        <v>6.32</v>
      </c>
      <c r="AM654">
        <v>6.32</v>
      </c>
      <c r="AN654">
        <v>0.04</v>
      </c>
      <c r="AO654" t="s">
        <v>10381</v>
      </c>
      <c r="AP654" t="s">
        <v>5893</v>
      </c>
      <c r="AQ654" t="s">
        <v>10649</v>
      </c>
      <c r="AR654" t="s">
        <v>5497</v>
      </c>
      <c r="AS654" t="s">
        <v>5164</v>
      </c>
      <c r="AT654" t="s">
        <v>6419</v>
      </c>
      <c r="AU654" t="s">
        <v>2398</v>
      </c>
      <c r="AV654" t="s">
        <v>10650</v>
      </c>
      <c r="AW654" t="s">
        <v>10533</v>
      </c>
      <c r="AX654" t="s">
        <v>10651</v>
      </c>
      <c r="AY654" t="s">
        <v>10533</v>
      </c>
      <c r="AZ654" t="s">
        <v>10652</v>
      </c>
      <c r="BA654">
        <v>2.86</v>
      </c>
      <c r="BB654">
        <v>69574.259999999995</v>
      </c>
      <c r="BC654">
        <v>1.01</v>
      </c>
      <c r="BD654">
        <v>179.12</v>
      </c>
      <c r="BE654">
        <v>180.05</v>
      </c>
      <c r="BF654">
        <v>174.91</v>
      </c>
      <c r="BG654" t="s">
        <v>10653</v>
      </c>
      <c r="BH654" t="s">
        <v>10533</v>
      </c>
      <c r="BI654" t="s">
        <v>10654</v>
      </c>
      <c r="BJ654" t="s">
        <v>101</v>
      </c>
      <c r="BK654" t="s">
        <v>10655</v>
      </c>
      <c r="BL654" t="s">
        <v>3547</v>
      </c>
      <c r="BM654" t="s">
        <v>10656</v>
      </c>
      <c r="BN654" t="s">
        <v>4063</v>
      </c>
    </row>
    <row r="655" spans="1:66" x14ac:dyDescent="0.25">
      <c r="A655" t="str">
        <f>HYPERLINK("https://elite.finviz.com/quote.ashx?t=COR&amp;ty=c&amp;p=d&amp;b=1", "COR")</f>
        <v>COR</v>
      </c>
      <c r="B655">
        <v>7</v>
      </c>
      <c r="C655">
        <v>138.38</v>
      </c>
      <c r="D655">
        <v>58.49</v>
      </c>
      <c r="E655" t="s">
        <v>10657</v>
      </c>
      <c r="F655" t="s">
        <v>195</v>
      </c>
      <c r="G655" t="s">
        <v>428</v>
      </c>
      <c r="H655" t="s">
        <v>10658</v>
      </c>
      <c r="I655" t="s">
        <v>70</v>
      </c>
      <c r="J655" t="s">
        <v>71</v>
      </c>
      <c r="K655">
        <v>59176.45</v>
      </c>
      <c r="L655">
        <v>305.23</v>
      </c>
      <c r="M655" t="s">
        <v>4891</v>
      </c>
      <c r="N655">
        <v>280656</v>
      </c>
      <c r="O655">
        <v>31.4</v>
      </c>
      <c r="P655">
        <v>17.48</v>
      </c>
      <c r="Q655">
        <v>2.68</v>
      </c>
      <c r="R655">
        <v>0.19</v>
      </c>
      <c r="S655">
        <v>29.88</v>
      </c>
      <c r="T655" t="s">
        <v>5036</v>
      </c>
      <c r="U655">
        <v>2.2000000000000002</v>
      </c>
      <c r="V655" t="s">
        <v>3046</v>
      </c>
      <c r="W655" t="s">
        <v>6527</v>
      </c>
      <c r="X655" t="s">
        <v>2429</v>
      </c>
      <c r="Y655" t="s">
        <v>4824</v>
      </c>
      <c r="Z655" t="s">
        <v>10659</v>
      </c>
      <c r="AA655">
        <v>9.7200000000000006</v>
      </c>
      <c r="AB655" t="s">
        <v>1022</v>
      </c>
      <c r="AC655" t="s">
        <v>973</v>
      </c>
      <c r="AD655" t="s">
        <v>1089</v>
      </c>
      <c r="AE655" t="s">
        <v>7976</v>
      </c>
      <c r="AF655" t="s">
        <v>1454</v>
      </c>
      <c r="AG655" t="s">
        <v>2555</v>
      </c>
      <c r="AH655" t="s">
        <v>1341</v>
      </c>
      <c r="AI655" t="s">
        <v>6475</v>
      </c>
      <c r="AJ655" t="s">
        <v>1119</v>
      </c>
      <c r="AK655" t="s">
        <v>10660</v>
      </c>
      <c r="AL655">
        <v>0.9</v>
      </c>
      <c r="AM655">
        <v>0.53</v>
      </c>
      <c r="AN655">
        <v>4.16</v>
      </c>
      <c r="AO655" t="s">
        <v>2473</v>
      </c>
      <c r="AP655" t="s">
        <v>581</v>
      </c>
      <c r="AQ655" t="s">
        <v>1763</v>
      </c>
      <c r="AR655" t="s">
        <v>4956</v>
      </c>
      <c r="AS655" t="s">
        <v>4255</v>
      </c>
      <c r="AT655" t="s">
        <v>6104</v>
      </c>
      <c r="AU655" t="s">
        <v>2841</v>
      </c>
      <c r="AV655" t="s">
        <v>3532</v>
      </c>
      <c r="AW655" t="s">
        <v>3967</v>
      </c>
      <c r="AX655" t="s">
        <v>5128</v>
      </c>
      <c r="AY655" t="s">
        <v>3967</v>
      </c>
      <c r="AZ655" t="s">
        <v>10661</v>
      </c>
      <c r="BA655">
        <v>1.67</v>
      </c>
      <c r="BB655">
        <v>1422.66</v>
      </c>
      <c r="BC655">
        <v>0.7</v>
      </c>
      <c r="BD655">
        <v>298.82</v>
      </c>
      <c r="BE655">
        <v>305.27</v>
      </c>
      <c r="BF655">
        <v>300.35000000000002</v>
      </c>
      <c r="BG655" t="s">
        <v>10662</v>
      </c>
      <c r="BH655" t="s">
        <v>3967</v>
      </c>
      <c r="BI655" t="s">
        <v>10663</v>
      </c>
      <c r="BJ655" t="s">
        <v>101</v>
      </c>
      <c r="BK655" t="s">
        <v>2202</v>
      </c>
      <c r="BL655" t="s">
        <v>3647</v>
      </c>
      <c r="BM655" t="s">
        <v>10664</v>
      </c>
      <c r="BN655" t="s">
        <v>4063</v>
      </c>
    </row>
    <row r="656" spans="1:66" x14ac:dyDescent="0.25">
      <c r="A656" t="str">
        <f>HYPERLINK("https://elite.finviz.com/quote.ashx?t=CLDX&amp;ty=c&amp;p=d&amp;b=1", "CLDX")</f>
        <v>CLDX</v>
      </c>
      <c r="B656">
        <v>7</v>
      </c>
      <c r="C656">
        <v>138.38</v>
      </c>
      <c r="D656">
        <v>58.56</v>
      </c>
      <c r="E656" t="s">
        <v>10665</v>
      </c>
      <c r="F656" t="s">
        <v>67</v>
      </c>
      <c r="G656" t="s">
        <v>428</v>
      </c>
      <c r="H656" t="s">
        <v>429</v>
      </c>
      <c r="I656" t="s">
        <v>70</v>
      </c>
      <c r="J656" t="s">
        <v>321</v>
      </c>
      <c r="K656">
        <v>1697.59</v>
      </c>
      <c r="L656">
        <v>25.56</v>
      </c>
      <c r="M656" t="s">
        <v>2650</v>
      </c>
      <c r="N656">
        <v>129550</v>
      </c>
      <c r="R656">
        <v>293.19</v>
      </c>
      <c r="S656">
        <v>2.59</v>
      </c>
      <c r="AA656">
        <v>-3.01</v>
      </c>
      <c r="AB656" t="s">
        <v>10666</v>
      </c>
      <c r="AC656" t="s">
        <v>3952</v>
      </c>
      <c r="AD656" t="s">
        <v>6284</v>
      </c>
      <c r="AE656" t="s">
        <v>10667</v>
      </c>
      <c r="AF656" t="s">
        <v>5795</v>
      </c>
      <c r="AG656" t="s">
        <v>4315</v>
      </c>
      <c r="AH656" t="s">
        <v>10668</v>
      </c>
      <c r="AI656" t="s">
        <v>5253</v>
      </c>
      <c r="AJ656" t="s">
        <v>3227</v>
      </c>
      <c r="AK656" t="s">
        <v>10669</v>
      </c>
      <c r="AL656">
        <v>19.670000000000002</v>
      </c>
      <c r="AM656">
        <v>19.670000000000002</v>
      </c>
      <c r="AN656">
        <v>0</v>
      </c>
      <c r="AO656" t="s">
        <v>10067</v>
      </c>
      <c r="AP656" t="s">
        <v>10670</v>
      </c>
      <c r="AQ656" t="s">
        <v>10671</v>
      </c>
      <c r="AR656" t="s">
        <v>2235</v>
      </c>
      <c r="AS656" t="s">
        <v>6404</v>
      </c>
      <c r="AT656" t="s">
        <v>3957</v>
      </c>
      <c r="AU656" t="s">
        <v>10273</v>
      </c>
      <c r="AV656" t="s">
        <v>2963</v>
      </c>
      <c r="AW656" t="s">
        <v>1000</v>
      </c>
      <c r="AX656" t="s">
        <v>10672</v>
      </c>
      <c r="AY656" t="s">
        <v>10673</v>
      </c>
      <c r="AZ656" t="s">
        <v>10674</v>
      </c>
      <c r="BA656">
        <v>1.29</v>
      </c>
      <c r="BB656">
        <v>1270.7</v>
      </c>
      <c r="BC656">
        <v>0.36</v>
      </c>
      <c r="BD656">
        <v>25.25</v>
      </c>
      <c r="BE656">
        <v>25.68</v>
      </c>
      <c r="BF656">
        <v>25.3</v>
      </c>
      <c r="BG656" t="s">
        <v>10675</v>
      </c>
      <c r="BH656" t="s">
        <v>10676</v>
      </c>
      <c r="BI656" t="s">
        <v>10677</v>
      </c>
      <c r="BJ656" t="s">
        <v>101</v>
      </c>
      <c r="BK656" t="s">
        <v>3397</v>
      </c>
      <c r="BL656" t="s">
        <v>8821</v>
      </c>
      <c r="BM656" t="s">
        <v>10678</v>
      </c>
      <c r="BN656" t="s">
        <v>4063</v>
      </c>
    </row>
    <row r="657" spans="1:66" x14ac:dyDescent="0.25">
      <c r="A657" t="str">
        <f>HYPERLINK("https://elite.finviz.com/quote.ashx?t=BEAM&amp;ty=c&amp;p=d&amp;b=1", "BEAM")</f>
        <v>BEAM</v>
      </c>
      <c r="B657">
        <v>7</v>
      </c>
      <c r="C657">
        <v>138.38</v>
      </c>
      <c r="D657">
        <v>58.58</v>
      </c>
      <c r="E657" t="s">
        <v>10679</v>
      </c>
      <c r="F657" t="s">
        <v>67</v>
      </c>
      <c r="G657" t="s">
        <v>428</v>
      </c>
      <c r="H657" t="s">
        <v>429</v>
      </c>
      <c r="I657" t="s">
        <v>70</v>
      </c>
      <c r="J657" t="s">
        <v>321</v>
      </c>
      <c r="K657">
        <v>2303.9699999999998</v>
      </c>
      <c r="L657">
        <v>22.78</v>
      </c>
      <c r="M657" t="s">
        <v>5153</v>
      </c>
      <c r="N657">
        <v>242579</v>
      </c>
      <c r="R657">
        <v>38.229999999999997</v>
      </c>
      <c r="S657">
        <v>2.19</v>
      </c>
      <c r="AA657">
        <v>-4.51</v>
      </c>
      <c r="AB657" t="s">
        <v>5847</v>
      </c>
      <c r="AC657" t="s">
        <v>10680</v>
      </c>
      <c r="AD657" t="s">
        <v>2426</v>
      </c>
      <c r="AE657" t="s">
        <v>10681</v>
      </c>
      <c r="AF657" t="s">
        <v>7010</v>
      </c>
      <c r="AG657" t="s">
        <v>10682</v>
      </c>
      <c r="AH657" t="s">
        <v>10683</v>
      </c>
      <c r="AI657" t="s">
        <v>3099</v>
      </c>
      <c r="AJ657" t="s">
        <v>3484</v>
      </c>
      <c r="AK657" t="s">
        <v>10684</v>
      </c>
      <c r="AL657">
        <v>6.75</v>
      </c>
      <c r="AM657">
        <v>6.75</v>
      </c>
      <c r="AN657">
        <v>0.15</v>
      </c>
      <c r="AO657" t="s">
        <v>5972</v>
      </c>
      <c r="AP657" t="s">
        <v>10685</v>
      </c>
      <c r="AQ657" t="s">
        <v>10686</v>
      </c>
      <c r="AR657" t="s">
        <v>1886</v>
      </c>
      <c r="AS657" t="s">
        <v>1653</v>
      </c>
      <c r="AT657" t="s">
        <v>3372</v>
      </c>
      <c r="AU657" t="s">
        <v>4188</v>
      </c>
      <c r="AV657" t="s">
        <v>4957</v>
      </c>
      <c r="AW657" t="s">
        <v>10687</v>
      </c>
      <c r="AX657" t="s">
        <v>9844</v>
      </c>
      <c r="AY657" t="s">
        <v>10688</v>
      </c>
      <c r="AZ657" t="s">
        <v>10689</v>
      </c>
      <c r="BA657">
        <v>1.33</v>
      </c>
      <c r="BB657">
        <v>2645.36</v>
      </c>
      <c r="BC657">
        <v>0.32</v>
      </c>
      <c r="BD657">
        <v>23.09</v>
      </c>
      <c r="BE657">
        <v>23.42</v>
      </c>
      <c r="BF657">
        <v>22.53</v>
      </c>
      <c r="BG657" t="s">
        <v>10690</v>
      </c>
      <c r="BH657" t="s">
        <v>10691</v>
      </c>
      <c r="BI657" t="s">
        <v>2758</v>
      </c>
      <c r="BJ657" t="s">
        <v>101</v>
      </c>
      <c r="BK657" t="s">
        <v>7323</v>
      </c>
      <c r="BL657" t="s">
        <v>4154</v>
      </c>
      <c r="BM657" t="s">
        <v>8251</v>
      </c>
      <c r="BN657" t="s">
        <v>4063</v>
      </c>
    </row>
    <row r="658" spans="1:66" x14ac:dyDescent="0.25">
      <c r="A658" t="str">
        <f>HYPERLINK("https://elite.finviz.com/quote.ashx?t=NTRS&amp;ty=c&amp;p=d&amp;b=1", "NTRS")</f>
        <v>NTRS</v>
      </c>
      <c r="B658">
        <v>7</v>
      </c>
      <c r="C658">
        <v>138.38</v>
      </c>
      <c r="D658">
        <v>58.63</v>
      </c>
      <c r="E658" t="s">
        <v>10692</v>
      </c>
      <c r="F658" t="s">
        <v>195</v>
      </c>
      <c r="G658" t="s">
        <v>550</v>
      </c>
      <c r="H658" t="s">
        <v>2597</v>
      </c>
      <c r="I658" t="s">
        <v>70</v>
      </c>
      <c r="J658" t="s">
        <v>321</v>
      </c>
      <c r="K658">
        <v>25281.33</v>
      </c>
      <c r="L658">
        <v>132.19999999999999</v>
      </c>
      <c r="M658" t="s">
        <v>4840</v>
      </c>
      <c r="N658">
        <v>287179</v>
      </c>
      <c r="O658">
        <v>15.54</v>
      </c>
      <c r="P658">
        <v>14.42</v>
      </c>
      <c r="Q658">
        <v>28.25</v>
      </c>
      <c r="R658">
        <v>1.71</v>
      </c>
      <c r="S658">
        <v>2.11</v>
      </c>
      <c r="T658" t="s">
        <v>1761</v>
      </c>
      <c r="U658">
        <v>3.05</v>
      </c>
      <c r="V658" t="s">
        <v>4548</v>
      </c>
      <c r="W658" t="s">
        <v>164</v>
      </c>
      <c r="X658" t="s">
        <v>180</v>
      </c>
      <c r="Y658" t="s">
        <v>4687</v>
      </c>
      <c r="Z658" t="s">
        <v>10693</v>
      </c>
      <c r="AA658">
        <v>8.51</v>
      </c>
      <c r="AB658" t="s">
        <v>1652</v>
      </c>
      <c r="AC658" t="s">
        <v>2407</v>
      </c>
      <c r="AD658" t="s">
        <v>2418</v>
      </c>
      <c r="AE658" t="s">
        <v>5736</v>
      </c>
      <c r="AF658" t="s">
        <v>10694</v>
      </c>
      <c r="AG658" t="s">
        <v>10695</v>
      </c>
      <c r="AH658" t="s">
        <v>9698</v>
      </c>
      <c r="AI658" t="s">
        <v>3244</v>
      </c>
      <c r="AJ658" t="s">
        <v>2826</v>
      </c>
      <c r="AK658" t="s">
        <v>10696</v>
      </c>
      <c r="AL658">
        <v>1.82</v>
      </c>
      <c r="AN658">
        <v>1.3</v>
      </c>
      <c r="AP658" t="s">
        <v>4455</v>
      </c>
      <c r="AQ658" t="s">
        <v>8086</v>
      </c>
      <c r="AR658" t="s">
        <v>3118</v>
      </c>
      <c r="AS658" t="s">
        <v>1129</v>
      </c>
      <c r="AT658" t="s">
        <v>1952</v>
      </c>
      <c r="AU658" t="s">
        <v>4216</v>
      </c>
      <c r="AV658" t="s">
        <v>555</v>
      </c>
      <c r="AW658" t="s">
        <v>4328</v>
      </c>
      <c r="AX658" t="s">
        <v>1935</v>
      </c>
      <c r="AY658" t="s">
        <v>4328</v>
      </c>
      <c r="AZ658" t="s">
        <v>8896</v>
      </c>
      <c r="BA658">
        <v>3.18</v>
      </c>
      <c r="BB658">
        <v>1373.15</v>
      </c>
      <c r="BC658">
        <v>0.74</v>
      </c>
      <c r="BD658">
        <v>131.38</v>
      </c>
      <c r="BE658">
        <v>134.76</v>
      </c>
      <c r="BF658">
        <v>132.05000000000001</v>
      </c>
      <c r="BG658" t="s">
        <v>10697</v>
      </c>
      <c r="BH658" t="s">
        <v>6256</v>
      </c>
      <c r="BI658" t="s">
        <v>10698</v>
      </c>
      <c r="BJ658" t="s">
        <v>101</v>
      </c>
      <c r="BK658" t="s">
        <v>3506</v>
      </c>
      <c r="BL658" t="s">
        <v>10699</v>
      </c>
      <c r="BM658" t="s">
        <v>10700</v>
      </c>
      <c r="BN658" t="s">
        <v>4063</v>
      </c>
    </row>
    <row r="659" spans="1:66" x14ac:dyDescent="0.25">
      <c r="A659" t="str">
        <f>HYPERLINK("https://elite.finviz.com/quote.ashx?t=DLTH&amp;ty=c&amp;p=d&amp;b=1", "DLTH")</f>
        <v>DLTH</v>
      </c>
      <c r="B659">
        <v>7</v>
      </c>
      <c r="C659">
        <v>138.38</v>
      </c>
      <c r="D659">
        <v>58.65</v>
      </c>
      <c r="E659" t="s">
        <v>10701</v>
      </c>
      <c r="F659" t="s">
        <v>107</v>
      </c>
      <c r="G659" t="s">
        <v>813</v>
      </c>
      <c r="H659" t="s">
        <v>4488</v>
      </c>
      <c r="I659" t="s">
        <v>70</v>
      </c>
      <c r="J659" t="s">
        <v>321</v>
      </c>
      <c r="K659">
        <v>131.88</v>
      </c>
      <c r="L659">
        <v>3.59</v>
      </c>
      <c r="M659" t="s">
        <v>4955</v>
      </c>
      <c r="N659">
        <v>40153</v>
      </c>
      <c r="R659">
        <v>0.22</v>
      </c>
      <c r="S659">
        <v>0.78</v>
      </c>
      <c r="AA659">
        <v>-1.44</v>
      </c>
      <c r="AE659" t="s">
        <v>4705</v>
      </c>
      <c r="AF659" t="s">
        <v>7582</v>
      </c>
      <c r="AG659" t="s">
        <v>141</v>
      </c>
      <c r="AH659" t="s">
        <v>269</v>
      </c>
      <c r="AI659" t="s">
        <v>10702</v>
      </c>
      <c r="AJ659" t="s">
        <v>6719</v>
      </c>
      <c r="AK659" t="s">
        <v>3860</v>
      </c>
      <c r="AL659">
        <v>1.4</v>
      </c>
      <c r="AM659">
        <v>0.26</v>
      </c>
      <c r="AN659">
        <v>1.1100000000000001</v>
      </c>
      <c r="AO659" t="s">
        <v>4049</v>
      </c>
      <c r="AP659" t="s">
        <v>10703</v>
      </c>
      <c r="AQ659" t="s">
        <v>5211</v>
      </c>
      <c r="AR659" t="s">
        <v>7945</v>
      </c>
      <c r="AS659" t="s">
        <v>6530</v>
      </c>
      <c r="AT659" t="s">
        <v>5084</v>
      </c>
      <c r="AU659" t="s">
        <v>10704</v>
      </c>
      <c r="AV659" t="s">
        <v>5881</v>
      </c>
      <c r="AW659" t="s">
        <v>10286</v>
      </c>
      <c r="AX659" t="s">
        <v>10705</v>
      </c>
      <c r="AY659" t="s">
        <v>10286</v>
      </c>
      <c r="AZ659" t="s">
        <v>10706</v>
      </c>
      <c r="BA659">
        <v>2.5</v>
      </c>
      <c r="BB659">
        <v>1217.97</v>
      </c>
      <c r="BC659">
        <v>0.12</v>
      </c>
      <c r="BD659">
        <v>3.6</v>
      </c>
      <c r="BE659">
        <v>3.67</v>
      </c>
      <c r="BF659">
        <v>3.59</v>
      </c>
      <c r="BG659" t="s">
        <v>10707</v>
      </c>
      <c r="BH659" t="s">
        <v>10708</v>
      </c>
      <c r="BI659" t="s">
        <v>10706</v>
      </c>
      <c r="BJ659" t="s">
        <v>101</v>
      </c>
      <c r="BK659" t="s">
        <v>5858</v>
      </c>
      <c r="BL659" t="s">
        <v>10709</v>
      </c>
      <c r="BM659" t="s">
        <v>6494</v>
      </c>
      <c r="BN659" t="s">
        <v>4063</v>
      </c>
    </row>
    <row r="660" spans="1:66" x14ac:dyDescent="0.25">
      <c r="A660" t="str">
        <f>HYPERLINK("https://elite.finviz.com/quote.ashx?t=AEO&amp;ty=c&amp;p=d&amp;b=1", "AEO")</f>
        <v>AEO</v>
      </c>
      <c r="B660">
        <v>7</v>
      </c>
      <c r="C660">
        <v>138.38</v>
      </c>
      <c r="D660">
        <v>58.71</v>
      </c>
      <c r="E660" t="s">
        <v>10710</v>
      </c>
      <c r="F660" t="s">
        <v>67</v>
      </c>
      <c r="G660" t="s">
        <v>813</v>
      </c>
      <c r="H660" t="s">
        <v>4488</v>
      </c>
      <c r="I660" t="s">
        <v>70</v>
      </c>
      <c r="J660" t="s">
        <v>71</v>
      </c>
      <c r="K660">
        <v>3059.95</v>
      </c>
      <c r="L660">
        <v>18.07</v>
      </c>
      <c r="M660" t="s">
        <v>3349</v>
      </c>
      <c r="N660">
        <v>1659014</v>
      </c>
      <c r="O660">
        <v>17.399999999999999</v>
      </c>
      <c r="P660">
        <v>13</v>
      </c>
      <c r="R660">
        <v>0.57999999999999996</v>
      </c>
      <c r="S660">
        <v>1.98</v>
      </c>
      <c r="T660" t="s">
        <v>5660</v>
      </c>
      <c r="U660">
        <v>0.5</v>
      </c>
      <c r="V660" t="s">
        <v>5056</v>
      </c>
      <c r="W660" t="s">
        <v>10711</v>
      </c>
      <c r="X660" t="s">
        <v>3338</v>
      </c>
      <c r="Y660" t="s">
        <v>7808</v>
      </c>
      <c r="Z660" t="s">
        <v>10712</v>
      </c>
      <c r="AA660">
        <v>1.04</v>
      </c>
      <c r="AB660" t="s">
        <v>10713</v>
      </c>
      <c r="AC660" t="s">
        <v>10714</v>
      </c>
      <c r="AD660" t="s">
        <v>4559</v>
      </c>
      <c r="AE660" t="s">
        <v>81</v>
      </c>
      <c r="AF660" t="s">
        <v>4276</v>
      </c>
      <c r="AG660" t="s">
        <v>8625</v>
      </c>
      <c r="AH660" t="s">
        <v>3896</v>
      </c>
      <c r="AI660" t="s">
        <v>10715</v>
      </c>
      <c r="AJ660" t="s">
        <v>1787</v>
      </c>
      <c r="AK660" t="s">
        <v>10716</v>
      </c>
      <c r="AL660">
        <v>1.62</v>
      </c>
      <c r="AM660">
        <v>0.71</v>
      </c>
      <c r="AN660">
        <v>1.29</v>
      </c>
      <c r="AO660" t="s">
        <v>10717</v>
      </c>
      <c r="AP660" t="s">
        <v>2064</v>
      </c>
      <c r="AQ660" t="s">
        <v>5592</v>
      </c>
      <c r="AR660" t="s">
        <v>5045</v>
      </c>
      <c r="AS660" t="s">
        <v>7685</v>
      </c>
      <c r="AT660" t="s">
        <v>4865</v>
      </c>
      <c r="AU660" t="s">
        <v>2334</v>
      </c>
      <c r="AV660" t="s">
        <v>6379</v>
      </c>
      <c r="AW660" t="s">
        <v>1450</v>
      </c>
      <c r="AX660" t="s">
        <v>10718</v>
      </c>
      <c r="AY660" t="s">
        <v>10719</v>
      </c>
      <c r="AZ660" t="s">
        <v>10720</v>
      </c>
      <c r="BA660">
        <v>3.25</v>
      </c>
      <c r="BB660">
        <v>14595.52</v>
      </c>
      <c r="BC660">
        <v>0.4</v>
      </c>
      <c r="BD660">
        <v>17.8</v>
      </c>
      <c r="BE660">
        <v>18.28</v>
      </c>
      <c r="BF660">
        <v>17.77</v>
      </c>
      <c r="BG660" t="s">
        <v>10721</v>
      </c>
      <c r="BH660" t="s">
        <v>10722</v>
      </c>
      <c r="BI660" t="s">
        <v>10723</v>
      </c>
      <c r="BJ660" t="s">
        <v>101</v>
      </c>
      <c r="BK660" t="s">
        <v>10724</v>
      </c>
      <c r="BL660" t="s">
        <v>10725</v>
      </c>
      <c r="BM660" t="s">
        <v>10726</v>
      </c>
      <c r="BN660" t="s">
        <v>4063</v>
      </c>
    </row>
    <row r="661" spans="1:66" x14ac:dyDescent="0.25">
      <c r="A661" t="str">
        <f>HYPERLINK("https://elite.finviz.com/quote.ashx?t=OFAL&amp;ty=c&amp;p=d&amp;b=1", "OFAL")</f>
        <v>OFAL</v>
      </c>
      <c r="B661">
        <v>7</v>
      </c>
      <c r="C661">
        <v>138.38</v>
      </c>
      <c r="D661">
        <v>58.72</v>
      </c>
      <c r="E661" t="s">
        <v>10727</v>
      </c>
      <c r="F661" t="s">
        <v>107</v>
      </c>
      <c r="G661" t="s">
        <v>260</v>
      </c>
      <c r="H661" t="s">
        <v>2944</v>
      </c>
      <c r="I661" t="s">
        <v>70</v>
      </c>
      <c r="J661" t="s">
        <v>321</v>
      </c>
      <c r="L661">
        <v>1.62</v>
      </c>
      <c r="M661" t="s">
        <v>7970</v>
      </c>
      <c r="N661">
        <v>766812</v>
      </c>
      <c r="AR661" t="s">
        <v>6981</v>
      </c>
      <c r="AS661" t="s">
        <v>511</v>
      </c>
      <c r="AT661" t="s">
        <v>2381</v>
      </c>
      <c r="AU661" t="s">
        <v>9636</v>
      </c>
      <c r="AV661" t="s">
        <v>7205</v>
      </c>
      <c r="AW661" t="s">
        <v>10728</v>
      </c>
      <c r="AX661" t="s">
        <v>10729</v>
      </c>
      <c r="AY661" t="s">
        <v>8304</v>
      </c>
      <c r="AZ661" t="s">
        <v>10107</v>
      </c>
      <c r="BB661">
        <v>1487.94</v>
      </c>
      <c r="BC661">
        <v>1.82</v>
      </c>
      <c r="BD661">
        <v>1.51</v>
      </c>
      <c r="BE661">
        <v>1.63</v>
      </c>
      <c r="BF661">
        <v>1.4</v>
      </c>
      <c r="BG661" t="s">
        <v>10730</v>
      </c>
      <c r="BH661" t="s">
        <v>8304</v>
      </c>
      <c r="BI661" t="s">
        <v>10107</v>
      </c>
      <c r="BJ661" t="s">
        <v>101</v>
      </c>
      <c r="BK661" t="s">
        <v>10731</v>
      </c>
      <c r="BN661" t="s">
        <v>4063</v>
      </c>
    </row>
    <row r="662" spans="1:66" x14ac:dyDescent="0.25">
      <c r="A662" t="str">
        <f>HYPERLINK("https://elite.finviz.com/quote.ashx?t=SILO&amp;ty=c&amp;p=d&amp;b=1", "SILO")</f>
        <v>SILO</v>
      </c>
      <c r="B662">
        <v>7</v>
      </c>
      <c r="C662">
        <v>138.38</v>
      </c>
      <c r="D662">
        <v>58.73</v>
      </c>
      <c r="E662" t="s">
        <v>10732</v>
      </c>
      <c r="F662" t="s">
        <v>107</v>
      </c>
      <c r="G662" t="s">
        <v>428</v>
      </c>
      <c r="H662" t="s">
        <v>429</v>
      </c>
      <c r="I662" t="s">
        <v>70</v>
      </c>
      <c r="J662" t="s">
        <v>321</v>
      </c>
      <c r="K662">
        <v>7.47</v>
      </c>
      <c r="L662">
        <v>0.79</v>
      </c>
      <c r="M662" t="s">
        <v>9186</v>
      </c>
      <c r="N662">
        <v>347527</v>
      </c>
      <c r="R662">
        <v>106.69</v>
      </c>
      <c r="S662">
        <v>1.39</v>
      </c>
      <c r="AA662">
        <v>-1.02</v>
      </c>
      <c r="AC662" t="s">
        <v>2399</v>
      </c>
      <c r="AE662" t="s">
        <v>164</v>
      </c>
      <c r="AF662" t="s">
        <v>6719</v>
      </c>
      <c r="AG662" t="s">
        <v>2715</v>
      </c>
      <c r="AH662" t="s">
        <v>164</v>
      </c>
      <c r="AJ662" t="s">
        <v>342</v>
      </c>
      <c r="AK662" t="s">
        <v>3025</v>
      </c>
      <c r="AL662">
        <v>6.07</v>
      </c>
      <c r="AM662">
        <v>6.07</v>
      </c>
      <c r="AN662">
        <v>0</v>
      </c>
      <c r="AO662" t="s">
        <v>10733</v>
      </c>
      <c r="AP662" t="s">
        <v>10734</v>
      </c>
      <c r="AQ662" t="s">
        <v>10735</v>
      </c>
      <c r="AR662" t="s">
        <v>1455</v>
      </c>
      <c r="AS662" t="s">
        <v>4815</v>
      </c>
      <c r="AT662" t="s">
        <v>10736</v>
      </c>
      <c r="AU662" t="s">
        <v>8781</v>
      </c>
      <c r="AV662" t="s">
        <v>10385</v>
      </c>
      <c r="AW662" t="s">
        <v>10737</v>
      </c>
      <c r="AX662" t="s">
        <v>10738</v>
      </c>
      <c r="AY662" t="s">
        <v>10739</v>
      </c>
      <c r="AZ662" t="s">
        <v>10740</v>
      </c>
      <c r="BA662">
        <v>1</v>
      </c>
      <c r="BB662">
        <v>1229.78</v>
      </c>
      <c r="BC662">
        <v>1</v>
      </c>
      <c r="BD662">
        <v>0.74</v>
      </c>
      <c r="BE662">
        <v>0.8</v>
      </c>
      <c r="BF662">
        <v>0.71</v>
      </c>
      <c r="BG662" t="s">
        <v>10741</v>
      </c>
      <c r="BH662" t="s">
        <v>10742</v>
      </c>
      <c r="BI662" t="s">
        <v>10740</v>
      </c>
      <c r="BJ662" t="s">
        <v>101</v>
      </c>
      <c r="BK662" t="s">
        <v>4541</v>
      </c>
      <c r="BL662" t="s">
        <v>10743</v>
      </c>
      <c r="BM662" t="s">
        <v>10744</v>
      </c>
      <c r="BN662" t="s">
        <v>4063</v>
      </c>
    </row>
    <row r="663" spans="1:66" x14ac:dyDescent="0.25">
      <c r="A663" t="str">
        <f>HYPERLINK("https://elite.finviz.com/quote.ashx?t=ROL&amp;ty=c&amp;p=d&amp;b=1", "ROL")</f>
        <v>ROL</v>
      </c>
      <c r="B663">
        <v>7</v>
      </c>
      <c r="C663">
        <v>138.38</v>
      </c>
      <c r="D663">
        <v>58.75</v>
      </c>
      <c r="E663" t="s">
        <v>10745</v>
      </c>
      <c r="F663" t="s">
        <v>195</v>
      </c>
      <c r="G663" t="s">
        <v>813</v>
      </c>
      <c r="H663" t="s">
        <v>10177</v>
      </c>
      <c r="I663" t="s">
        <v>70</v>
      </c>
      <c r="J663" t="s">
        <v>71</v>
      </c>
      <c r="K663">
        <v>28109.119999999999</v>
      </c>
      <c r="L663">
        <v>58</v>
      </c>
      <c r="M663" t="s">
        <v>4945</v>
      </c>
      <c r="N663">
        <v>456255</v>
      </c>
      <c r="O663">
        <v>57.43</v>
      </c>
      <c r="P663">
        <v>46.62</v>
      </c>
      <c r="Q663">
        <v>4.47</v>
      </c>
      <c r="R663">
        <v>7.87</v>
      </c>
      <c r="S663">
        <v>19.47</v>
      </c>
      <c r="T663" t="s">
        <v>5166</v>
      </c>
      <c r="U663">
        <v>0.66</v>
      </c>
      <c r="V663" t="s">
        <v>893</v>
      </c>
      <c r="W663" t="s">
        <v>1794</v>
      </c>
      <c r="X663" t="s">
        <v>7749</v>
      </c>
      <c r="Y663" t="s">
        <v>2122</v>
      </c>
      <c r="Z663" t="s">
        <v>10746</v>
      </c>
      <c r="AA663">
        <v>1.01</v>
      </c>
      <c r="AB663" t="s">
        <v>10273</v>
      </c>
      <c r="AC663" t="s">
        <v>7718</v>
      </c>
      <c r="AD663" t="s">
        <v>3798</v>
      </c>
      <c r="AE663" t="s">
        <v>6981</v>
      </c>
      <c r="AF663" t="s">
        <v>3188</v>
      </c>
      <c r="AG663" t="s">
        <v>6587</v>
      </c>
      <c r="AH663" t="s">
        <v>6388</v>
      </c>
      <c r="AI663" t="s">
        <v>10747</v>
      </c>
      <c r="AJ663" t="s">
        <v>3752</v>
      </c>
      <c r="AK663" t="s">
        <v>10748</v>
      </c>
      <c r="AL663">
        <v>0.65</v>
      </c>
      <c r="AM663">
        <v>0.6</v>
      </c>
      <c r="AN663">
        <v>0.67</v>
      </c>
      <c r="AO663" t="s">
        <v>10749</v>
      </c>
      <c r="AP663" t="s">
        <v>10750</v>
      </c>
      <c r="AQ663" t="s">
        <v>6084</v>
      </c>
      <c r="AR663" t="s">
        <v>2572</v>
      </c>
      <c r="AS663" t="s">
        <v>2186</v>
      </c>
      <c r="AT663" t="s">
        <v>4216</v>
      </c>
      <c r="AU663" t="s">
        <v>2274</v>
      </c>
      <c r="AV663" t="s">
        <v>327</v>
      </c>
      <c r="AW663" t="s">
        <v>4501</v>
      </c>
      <c r="AX663" t="s">
        <v>2985</v>
      </c>
      <c r="AY663" t="s">
        <v>4501</v>
      </c>
      <c r="AZ663" t="s">
        <v>3868</v>
      </c>
      <c r="BA663">
        <v>2.12</v>
      </c>
      <c r="BB663">
        <v>1605.7</v>
      </c>
      <c r="BC663">
        <v>1</v>
      </c>
      <c r="BD663">
        <v>56.44</v>
      </c>
      <c r="BE663">
        <v>58.17</v>
      </c>
      <c r="BF663">
        <v>56.91</v>
      </c>
      <c r="BG663" t="s">
        <v>10751</v>
      </c>
      <c r="BH663" t="s">
        <v>4501</v>
      </c>
      <c r="BI663" t="s">
        <v>10752</v>
      </c>
      <c r="BJ663" t="s">
        <v>101</v>
      </c>
      <c r="BK663" t="s">
        <v>4499</v>
      </c>
      <c r="BL663" t="s">
        <v>4416</v>
      </c>
      <c r="BM663" t="s">
        <v>2660</v>
      </c>
      <c r="BN663" t="s">
        <v>4063</v>
      </c>
    </row>
    <row r="664" spans="1:66" x14ac:dyDescent="0.25">
      <c r="A664" t="str">
        <f>HYPERLINK("https://elite.finviz.com/quote.ashx?t=FWONK&amp;ty=c&amp;p=d&amp;b=1", "FWONK")</f>
        <v>FWONK</v>
      </c>
      <c r="B664">
        <v>7</v>
      </c>
      <c r="C664">
        <v>138.38</v>
      </c>
      <c r="D664">
        <v>58.82</v>
      </c>
      <c r="E664" t="s">
        <v>10753</v>
      </c>
      <c r="F664" t="s">
        <v>107</v>
      </c>
      <c r="G664" t="s">
        <v>598</v>
      </c>
      <c r="H664" t="s">
        <v>4247</v>
      </c>
      <c r="I664" t="s">
        <v>70</v>
      </c>
      <c r="J664" t="s">
        <v>321</v>
      </c>
      <c r="K664">
        <v>26102.720000000001</v>
      </c>
      <c r="L664">
        <v>104.39</v>
      </c>
      <c r="M664" t="s">
        <v>1765</v>
      </c>
      <c r="N664">
        <v>79537</v>
      </c>
      <c r="O664">
        <v>98.58</v>
      </c>
      <c r="P664">
        <v>50.08</v>
      </c>
      <c r="R664">
        <v>6.75</v>
      </c>
      <c r="S664">
        <v>3.32</v>
      </c>
      <c r="AA664">
        <v>1.06</v>
      </c>
      <c r="AB664" t="s">
        <v>10754</v>
      </c>
      <c r="AC664" t="s">
        <v>10755</v>
      </c>
      <c r="AE664" t="s">
        <v>1576</v>
      </c>
      <c r="AF664" t="s">
        <v>2713</v>
      </c>
      <c r="AG664" t="s">
        <v>794</v>
      </c>
      <c r="AH664" t="s">
        <v>2702</v>
      </c>
      <c r="AI664" t="s">
        <v>10756</v>
      </c>
      <c r="AJ664" t="s">
        <v>174</v>
      </c>
      <c r="AK664" t="s">
        <v>10757</v>
      </c>
      <c r="AL664">
        <v>2.85</v>
      </c>
      <c r="AM664">
        <v>2.85</v>
      </c>
      <c r="AN664">
        <v>0.39</v>
      </c>
      <c r="AO664" t="s">
        <v>1953</v>
      </c>
      <c r="AP664" t="s">
        <v>8051</v>
      </c>
      <c r="AQ664" t="s">
        <v>2869</v>
      </c>
      <c r="AR664" t="s">
        <v>1439</v>
      </c>
      <c r="AS664" t="s">
        <v>7322</v>
      </c>
      <c r="AT664" t="s">
        <v>648</v>
      </c>
      <c r="AU664" t="s">
        <v>3035</v>
      </c>
      <c r="AV664" t="s">
        <v>7387</v>
      </c>
      <c r="AW664" t="s">
        <v>298</v>
      </c>
      <c r="AX664" t="s">
        <v>6981</v>
      </c>
      <c r="AY664" t="s">
        <v>2649</v>
      </c>
      <c r="AZ664" t="s">
        <v>5314</v>
      </c>
      <c r="BA664">
        <v>1.61</v>
      </c>
      <c r="BB664">
        <v>1004.39</v>
      </c>
      <c r="BC664">
        <v>0.28000000000000003</v>
      </c>
      <c r="BD664">
        <v>103.96</v>
      </c>
      <c r="BE664">
        <v>104.75</v>
      </c>
      <c r="BF664">
        <v>103.97</v>
      </c>
      <c r="BG664" t="s">
        <v>10758</v>
      </c>
      <c r="BH664" t="s">
        <v>2649</v>
      </c>
      <c r="BI664" t="s">
        <v>10759</v>
      </c>
      <c r="BJ664" t="s">
        <v>101</v>
      </c>
      <c r="BK664" t="s">
        <v>5424</v>
      </c>
      <c r="BL664" t="s">
        <v>10760</v>
      </c>
      <c r="BM664" t="s">
        <v>9534</v>
      </c>
      <c r="BN664" t="s">
        <v>4063</v>
      </c>
    </row>
    <row r="665" spans="1:66" x14ac:dyDescent="0.25">
      <c r="A665" t="str">
        <f>HYPERLINK("https://elite.finviz.com/quote.ashx?t=NOV&amp;ty=c&amp;p=d&amp;b=1", "NOV")</f>
        <v>NOV</v>
      </c>
      <c r="B665">
        <v>7</v>
      </c>
      <c r="C665">
        <v>138.38</v>
      </c>
      <c r="D665">
        <v>58.83</v>
      </c>
      <c r="E665" t="s">
        <v>10761</v>
      </c>
      <c r="F665" t="s">
        <v>107</v>
      </c>
      <c r="G665" t="s">
        <v>1048</v>
      </c>
      <c r="H665" t="s">
        <v>8341</v>
      </c>
      <c r="I665" t="s">
        <v>70</v>
      </c>
      <c r="J665" t="s">
        <v>71</v>
      </c>
      <c r="K665">
        <v>5013.6099999999997</v>
      </c>
      <c r="L665">
        <v>13.5</v>
      </c>
      <c r="M665" t="s">
        <v>273</v>
      </c>
      <c r="N665">
        <v>570152</v>
      </c>
      <c r="O665">
        <v>11.09</v>
      </c>
      <c r="P665">
        <v>12.23</v>
      </c>
      <c r="Q665">
        <v>4.51</v>
      </c>
      <c r="R665">
        <v>0.56999999999999995</v>
      </c>
      <c r="S665">
        <v>0.77</v>
      </c>
      <c r="T665" t="s">
        <v>903</v>
      </c>
      <c r="U665">
        <v>0.3</v>
      </c>
      <c r="V665" t="s">
        <v>2620</v>
      </c>
      <c r="W665" t="s">
        <v>6398</v>
      </c>
      <c r="X665" t="s">
        <v>10762</v>
      </c>
      <c r="Y665" t="s">
        <v>9936</v>
      </c>
      <c r="Z665" t="s">
        <v>3428</v>
      </c>
      <c r="AA665">
        <v>1.22</v>
      </c>
      <c r="AD665" t="s">
        <v>4547</v>
      </c>
      <c r="AE665" t="s">
        <v>2518</v>
      </c>
      <c r="AF665" t="s">
        <v>10763</v>
      </c>
      <c r="AG665" t="s">
        <v>3493</v>
      </c>
      <c r="AH665" t="s">
        <v>4634</v>
      </c>
      <c r="AI665" t="s">
        <v>1361</v>
      </c>
      <c r="AJ665" t="s">
        <v>164</v>
      </c>
      <c r="AK665" t="s">
        <v>10764</v>
      </c>
      <c r="AL665">
        <v>2.58</v>
      </c>
      <c r="AM665">
        <v>1.72</v>
      </c>
      <c r="AN665">
        <v>0.36</v>
      </c>
      <c r="AO665" t="s">
        <v>3863</v>
      </c>
      <c r="AP665" t="s">
        <v>9830</v>
      </c>
      <c r="AQ665" t="s">
        <v>5027</v>
      </c>
      <c r="AR665" t="s">
        <v>3542</v>
      </c>
      <c r="AS665" t="s">
        <v>2522</v>
      </c>
      <c r="AT665" t="s">
        <v>911</v>
      </c>
      <c r="AU665" t="s">
        <v>3855</v>
      </c>
      <c r="AV665" t="s">
        <v>2571</v>
      </c>
      <c r="AW665" t="s">
        <v>4776</v>
      </c>
      <c r="AX665" t="s">
        <v>3405</v>
      </c>
      <c r="AY665" t="s">
        <v>1210</v>
      </c>
      <c r="AZ665" t="s">
        <v>10765</v>
      </c>
      <c r="BA665">
        <v>2.36</v>
      </c>
      <c r="BB665">
        <v>3848.56</v>
      </c>
      <c r="BC665">
        <v>0.52</v>
      </c>
      <c r="BD665">
        <v>13.35</v>
      </c>
      <c r="BE665">
        <v>13.64</v>
      </c>
      <c r="BF665">
        <v>13.38</v>
      </c>
      <c r="BG665" t="s">
        <v>10766</v>
      </c>
      <c r="BH665" t="s">
        <v>10767</v>
      </c>
      <c r="BI665" t="s">
        <v>10768</v>
      </c>
      <c r="BJ665" t="s">
        <v>101</v>
      </c>
      <c r="BK665" t="s">
        <v>8460</v>
      </c>
      <c r="BL665" t="s">
        <v>10769</v>
      </c>
      <c r="BM665" t="s">
        <v>10770</v>
      </c>
      <c r="BN665" t="s">
        <v>4063</v>
      </c>
    </row>
    <row r="666" spans="1:66" x14ac:dyDescent="0.25">
      <c r="A666" t="str">
        <f>HYPERLINK("https://elite.finviz.com/quote.ashx?t=MPLX&amp;ty=c&amp;p=d&amp;b=1", "MPLX")</f>
        <v>MPLX</v>
      </c>
      <c r="B666">
        <v>7</v>
      </c>
      <c r="C666">
        <v>138.38</v>
      </c>
      <c r="D666">
        <v>58.85</v>
      </c>
      <c r="E666" t="s">
        <v>10771</v>
      </c>
      <c r="F666" t="s">
        <v>107</v>
      </c>
      <c r="G666" t="s">
        <v>1048</v>
      </c>
      <c r="H666" t="s">
        <v>3915</v>
      </c>
      <c r="I666" t="s">
        <v>70</v>
      </c>
      <c r="J666" t="s">
        <v>71</v>
      </c>
      <c r="K666">
        <v>52476.79</v>
      </c>
      <c r="L666">
        <v>51.49</v>
      </c>
      <c r="M666" t="s">
        <v>182</v>
      </c>
      <c r="N666">
        <v>194828</v>
      </c>
      <c r="O666">
        <v>12.22</v>
      </c>
      <c r="P666">
        <v>11.08</v>
      </c>
      <c r="Q666">
        <v>2.0299999999999998</v>
      </c>
      <c r="R666">
        <v>4.57</v>
      </c>
      <c r="S666">
        <v>3.8</v>
      </c>
      <c r="T666" t="s">
        <v>1114</v>
      </c>
      <c r="U666">
        <v>3.82</v>
      </c>
      <c r="V666" t="s">
        <v>1762</v>
      </c>
      <c r="W666" t="s">
        <v>249</v>
      </c>
      <c r="X666" t="s">
        <v>6348</v>
      </c>
      <c r="Y666" t="s">
        <v>636</v>
      </c>
      <c r="Z666" t="s">
        <v>10772</v>
      </c>
      <c r="AA666">
        <v>4.21</v>
      </c>
      <c r="AB666" t="s">
        <v>7033</v>
      </c>
      <c r="AC666" t="s">
        <v>2558</v>
      </c>
      <c r="AD666" t="s">
        <v>1886</v>
      </c>
      <c r="AE666" t="s">
        <v>5907</v>
      </c>
      <c r="AF666" t="s">
        <v>5907</v>
      </c>
      <c r="AG666" t="s">
        <v>2385</v>
      </c>
      <c r="AH666" t="s">
        <v>162</v>
      </c>
      <c r="AI666" t="s">
        <v>3845</v>
      </c>
      <c r="AJ666" t="s">
        <v>164</v>
      </c>
      <c r="AK666" t="s">
        <v>6968</v>
      </c>
      <c r="AL666">
        <v>1.03</v>
      </c>
      <c r="AM666">
        <v>0.97</v>
      </c>
      <c r="AN666">
        <v>1.57</v>
      </c>
      <c r="AO666" t="s">
        <v>10773</v>
      </c>
      <c r="AP666" t="s">
        <v>9705</v>
      </c>
      <c r="AQ666" t="s">
        <v>4157</v>
      </c>
      <c r="AR666" t="s">
        <v>5058</v>
      </c>
      <c r="AS666" t="s">
        <v>2185</v>
      </c>
      <c r="AT666" t="s">
        <v>3349</v>
      </c>
      <c r="AU666" t="s">
        <v>5610</v>
      </c>
      <c r="AV666" t="s">
        <v>2864</v>
      </c>
      <c r="AW666" t="s">
        <v>10774</v>
      </c>
      <c r="AX666" t="s">
        <v>161</v>
      </c>
      <c r="AY666" t="s">
        <v>5359</v>
      </c>
      <c r="AZ666" t="s">
        <v>10775</v>
      </c>
      <c r="BA666">
        <v>2.06</v>
      </c>
      <c r="BB666">
        <v>1346.54</v>
      </c>
      <c r="BC666">
        <v>0.51</v>
      </c>
      <c r="BD666">
        <v>51.36</v>
      </c>
      <c r="BE666">
        <v>51.76</v>
      </c>
      <c r="BF666">
        <v>51.33</v>
      </c>
      <c r="BG666" t="s">
        <v>10776</v>
      </c>
      <c r="BH666" t="s">
        <v>10777</v>
      </c>
      <c r="BI666" t="s">
        <v>10778</v>
      </c>
      <c r="BJ666" t="s">
        <v>101</v>
      </c>
      <c r="BK666" t="s">
        <v>4191</v>
      </c>
      <c r="BL666" t="s">
        <v>5621</v>
      </c>
      <c r="BM666" t="s">
        <v>10200</v>
      </c>
      <c r="BN666" t="s">
        <v>4063</v>
      </c>
    </row>
    <row r="667" spans="1:66" x14ac:dyDescent="0.25">
      <c r="A667" t="str">
        <f>HYPERLINK("https://elite.finviz.com/quote.ashx?t=SOFI&amp;ty=c&amp;p=d&amp;b=1", "SOFI")</f>
        <v>SOFI</v>
      </c>
      <c r="B667">
        <v>7</v>
      </c>
      <c r="C667">
        <v>138.38</v>
      </c>
      <c r="D667">
        <v>58.89</v>
      </c>
      <c r="E667" t="s">
        <v>10779</v>
      </c>
      <c r="F667" t="s">
        <v>107</v>
      </c>
      <c r="G667" t="s">
        <v>550</v>
      </c>
      <c r="H667" t="s">
        <v>3744</v>
      </c>
      <c r="I667" t="s">
        <v>70</v>
      </c>
      <c r="J667" t="s">
        <v>321</v>
      </c>
      <c r="K667">
        <v>32995.199999999997</v>
      </c>
      <c r="L667">
        <v>27.83</v>
      </c>
      <c r="M667" t="s">
        <v>3113</v>
      </c>
      <c r="N667">
        <v>15842641</v>
      </c>
      <c r="O667">
        <v>56.14</v>
      </c>
      <c r="P667">
        <v>49.73</v>
      </c>
      <c r="Q667">
        <v>2.19</v>
      </c>
      <c r="R667">
        <v>7.92</v>
      </c>
      <c r="S667">
        <v>4.5199999999999996</v>
      </c>
      <c r="Z667" t="s">
        <v>164</v>
      </c>
      <c r="AA667">
        <v>0.5</v>
      </c>
      <c r="AD667" t="s">
        <v>2001</v>
      </c>
      <c r="AE667" t="s">
        <v>10780</v>
      </c>
      <c r="AF667" t="s">
        <v>5602</v>
      </c>
      <c r="AG667" t="s">
        <v>8390</v>
      </c>
      <c r="AH667" t="s">
        <v>10781</v>
      </c>
      <c r="AI667" t="s">
        <v>10782</v>
      </c>
      <c r="AJ667" t="s">
        <v>2950</v>
      </c>
      <c r="AK667" t="s">
        <v>10783</v>
      </c>
      <c r="AL667">
        <v>4.5199999999999996</v>
      </c>
      <c r="AM667">
        <v>4.5199999999999996</v>
      </c>
      <c r="AN667">
        <v>0.59</v>
      </c>
      <c r="AO667" t="s">
        <v>10784</v>
      </c>
      <c r="AP667" t="s">
        <v>6331</v>
      </c>
      <c r="AQ667" t="s">
        <v>4620</v>
      </c>
      <c r="AR667" t="s">
        <v>5102</v>
      </c>
      <c r="AS667" t="s">
        <v>215</v>
      </c>
      <c r="AT667" t="s">
        <v>7284</v>
      </c>
      <c r="AU667" t="s">
        <v>6689</v>
      </c>
      <c r="AV667" t="s">
        <v>10785</v>
      </c>
      <c r="AW667" t="s">
        <v>5176</v>
      </c>
      <c r="AX667" t="s">
        <v>8750</v>
      </c>
      <c r="AY667" t="s">
        <v>5176</v>
      </c>
      <c r="AZ667" t="s">
        <v>10786</v>
      </c>
      <c r="BA667">
        <v>2.96</v>
      </c>
      <c r="BB667">
        <v>71515.61</v>
      </c>
      <c r="BC667">
        <v>0.78</v>
      </c>
      <c r="BD667">
        <v>28.12</v>
      </c>
      <c r="BE667">
        <v>28.48</v>
      </c>
      <c r="BF667">
        <v>27.56</v>
      </c>
      <c r="BG667" t="s">
        <v>10787</v>
      </c>
      <c r="BH667" t="s">
        <v>5176</v>
      </c>
      <c r="BI667" t="s">
        <v>10788</v>
      </c>
      <c r="BJ667" t="s">
        <v>101</v>
      </c>
      <c r="BK667" t="s">
        <v>10789</v>
      </c>
      <c r="BL667" t="s">
        <v>10790</v>
      </c>
      <c r="BM667" t="s">
        <v>10791</v>
      </c>
      <c r="BN667" t="s">
        <v>4063</v>
      </c>
    </row>
    <row r="668" spans="1:66" x14ac:dyDescent="0.25">
      <c r="A668" t="str">
        <f>HYPERLINK("https://elite.finviz.com/quote.ashx?t=GNTX&amp;ty=c&amp;p=d&amp;b=1", "GNTX")</f>
        <v>GNTX</v>
      </c>
      <c r="B668">
        <v>7</v>
      </c>
      <c r="C668">
        <v>138.38</v>
      </c>
      <c r="D668">
        <v>58.93</v>
      </c>
      <c r="E668" t="s">
        <v>10792</v>
      </c>
      <c r="F668" t="s">
        <v>107</v>
      </c>
      <c r="G668" t="s">
        <v>813</v>
      </c>
      <c r="H668" t="s">
        <v>814</v>
      </c>
      <c r="I668" t="s">
        <v>70</v>
      </c>
      <c r="J668" t="s">
        <v>321</v>
      </c>
      <c r="K668">
        <v>6288.37</v>
      </c>
      <c r="L668">
        <v>28.65</v>
      </c>
      <c r="M668" t="s">
        <v>3552</v>
      </c>
      <c r="N668">
        <v>171212</v>
      </c>
      <c r="O668">
        <v>16.239999999999998</v>
      </c>
      <c r="P668">
        <v>14.49</v>
      </c>
      <c r="Q668">
        <v>1.92</v>
      </c>
      <c r="R668">
        <v>2.64</v>
      </c>
      <c r="S668">
        <v>2.59</v>
      </c>
      <c r="T668" t="s">
        <v>2217</v>
      </c>
      <c r="U668">
        <v>0.48</v>
      </c>
      <c r="V668" t="s">
        <v>4489</v>
      </c>
      <c r="W668" t="s">
        <v>164</v>
      </c>
      <c r="X668" t="s">
        <v>164</v>
      </c>
      <c r="Y668" t="s">
        <v>3013</v>
      </c>
      <c r="Z668" t="s">
        <v>9223</v>
      </c>
      <c r="AA668">
        <v>1.76</v>
      </c>
      <c r="AB668" t="s">
        <v>1871</v>
      </c>
      <c r="AC668" t="s">
        <v>5745</v>
      </c>
      <c r="AD668" t="s">
        <v>3455</v>
      </c>
      <c r="AE668" t="s">
        <v>2582</v>
      </c>
      <c r="AF668" t="s">
        <v>10793</v>
      </c>
      <c r="AG668" t="s">
        <v>5045</v>
      </c>
      <c r="AH668" t="s">
        <v>10794</v>
      </c>
      <c r="AI668" t="s">
        <v>10795</v>
      </c>
      <c r="AJ668" t="s">
        <v>1202</v>
      </c>
      <c r="AK668" t="s">
        <v>10796</v>
      </c>
      <c r="AL668">
        <v>3.15</v>
      </c>
      <c r="AM668">
        <v>1.74</v>
      </c>
      <c r="AN668">
        <v>0.01</v>
      </c>
      <c r="AO668" t="s">
        <v>7580</v>
      </c>
      <c r="AP668" t="s">
        <v>10797</v>
      </c>
      <c r="AQ668" t="s">
        <v>10485</v>
      </c>
      <c r="AR668" t="s">
        <v>3551</v>
      </c>
      <c r="AS668" t="s">
        <v>2201</v>
      </c>
      <c r="AT668" t="s">
        <v>2630</v>
      </c>
      <c r="AU668" t="s">
        <v>161</v>
      </c>
      <c r="AV668" t="s">
        <v>1549</v>
      </c>
      <c r="AW668" t="s">
        <v>5195</v>
      </c>
      <c r="AX668" t="s">
        <v>10798</v>
      </c>
      <c r="AY668" t="s">
        <v>5707</v>
      </c>
      <c r="AZ668" t="s">
        <v>10799</v>
      </c>
      <c r="BA668">
        <v>2.56</v>
      </c>
      <c r="BB668">
        <v>2267.08</v>
      </c>
      <c r="BC668">
        <v>0.27</v>
      </c>
      <c r="BD668">
        <v>28.35</v>
      </c>
      <c r="BE668">
        <v>28.68</v>
      </c>
      <c r="BF668">
        <v>28.4</v>
      </c>
      <c r="BG668" t="s">
        <v>10800</v>
      </c>
      <c r="BH668" t="s">
        <v>10801</v>
      </c>
      <c r="BI668" t="s">
        <v>10802</v>
      </c>
      <c r="BJ668" t="s">
        <v>101</v>
      </c>
      <c r="BK668" t="s">
        <v>10782</v>
      </c>
      <c r="BL668" t="s">
        <v>10803</v>
      </c>
      <c r="BM668" t="s">
        <v>7230</v>
      </c>
      <c r="BN668" t="s">
        <v>4063</v>
      </c>
    </row>
    <row r="669" spans="1:66" x14ac:dyDescent="0.25">
      <c r="A669" t="str">
        <f>HYPERLINK("https://elite.finviz.com/quote.ashx?t=PDYN&amp;ty=c&amp;p=d&amp;b=1", "PDYN")</f>
        <v>PDYN</v>
      </c>
      <c r="B669">
        <v>7</v>
      </c>
      <c r="C669">
        <v>138.38</v>
      </c>
      <c r="D669">
        <v>59</v>
      </c>
      <c r="E669" t="s">
        <v>10804</v>
      </c>
      <c r="F669" t="s">
        <v>67</v>
      </c>
      <c r="G669" t="s">
        <v>108</v>
      </c>
      <c r="H669" t="s">
        <v>109</v>
      </c>
      <c r="I669" t="s">
        <v>70</v>
      </c>
      <c r="J669" t="s">
        <v>321</v>
      </c>
      <c r="K669">
        <v>360.76</v>
      </c>
      <c r="L669">
        <v>8.6</v>
      </c>
      <c r="M669" t="s">
        <v>5101</v>
      </c>
      <c r="N669">
        <v>785138</v>
      </c>
      <c r="R669">
        <v>82.74</v>
      </c>
      <c r="S669">
        <v>6.45</v>
      </c>
      <c r="AA669">
        <v>-1.87</v>
      </c>
      <c r="AB669" t="s">
        <v>7616</v>
      </c>
      <c r="AC669" t="s">
        <v>906</v>
      </c>
      <c r="AD669" t="s">
        <v>10805</v>
      </c>
      <c r="AE669" t="s">
        <v>3195</v>
      </c>
      <c r="AF669" t="s">
        <v>10806</v>
      </c>
      <c r="AG669" t="s">
        <v>79</v>
      </c>
      <c r="AH669" t="s">
        <v>10807</v>
      </c>
      <c r="AI669" t="s">
        <v>164</v>
      </c>
      <c r="AJ669" t="s">
        <v>10808</v>
      </c>
      <c r="AK669" t="s">
        <v>10809</v>
      </c>
      <c r="AL669">
        <v>17.12</v>
      </c>
      <c r="AM669">
        <v>17.100000000000001</v>
      </c>
      <c r="AN669">
        <v>0.19</v>
      </c>
      <c r="AO669" t="s">
        <v>8502</v>
      </c>
      <c r="AP669" t="s">
        <v>10810</v>
      </c>
      <c r="AQ669" t="s">
        <v>10811</v>
      </c>
      <c r="AR669" t="s">
        <v>3171</v>
      </c>
      <c r="AS669" t="s">
        <v>521</v>
      </c>
      <c r="AT669" t="s">
        <v>10812</v>
      </c>
      <c r="AU669" t="s">
        <v>3088</v>
      </c>
      <c r="AV669" t="s">
        <v>511</v>
      </c>
      <c r="AW669" t="s">
        <v>8204</v>
      </c>
      <c r="AX669" t="s">
        <v>10813</v>
      </c>
      <c r="AY669" t="s">
        <v>10814</v>
      </c>
      <c r="AZ669" t="s">
        <v>10815</v>
      </c>
      <c r="BA669">
        <v>2</v>
      </c>
      <c r="BB669">
        <v>2573.19</v>
      </c>
      <c r="BC669">
        <v>1.07</v>
      </c>
      <c r="BD669">
        <v>8.9700000000000006</v>
      </c>
      <c r="BE669">
        <v>9.23</v>
      </c>
      <c r="BF669">
        <v>8.57</v>
      </c>
      <c r="BG669" t="s">
        <v>10816</v>
      </c>
      <c r="BH669" t="s">
        <v>10817</v>
      </c>
      <c r="BI669" t="s">
        <v>10818</v>
      </c>
      <c r="BJ669" t="s">
        <v>101</v>
      </c>
      <c r="BK669" t="s">
        <v>10819</v>
      </c>
      <c r="BL669" t="s">
        <v>8393</v>
      </c>
      <c r="BM669" t="s">
        <v>10820</v>
      </c>
      <c r="BN669" t="s">
        <v>4063</v>
      </c>
    </row>
    <row r="670" spans="1:66" x14ac:dyDescent="0.25">
      <c r="A670" t="str">
        <f>HYPERLINK("https://elite.finviz.com/quote.ashx?t=LHAI&amp;ty=c&amp;p=d&amp;b=1", "LHAI")</f>
        <v>LHAI</v>
      </c>
      <c r="B670">
        <v>7</v>
      </c>
      <c r="C670">
        <v>138.38</v>
      </c>
      <c r="D670">
        <v>59</v>
      </c>
      <c r="E670" t="s">
        <v>10821</v>
      </c>
      <c r="F670" t="s">
        <v>107</v>
      </c>
      <c r="G670" t="s">
        <v>68</v>
      </c>
      <c r="H670" t="s">
        <v>7494</v>
      </c>
      <c r="I670" t="s">
        <v>70</v>
      </c>
      <c r="J670" t="s">
        <v>321</v>
      </c>
      <c r="K670">
        <v>150.61000000000001</v>
      </c>
      <c r="L670">
        <v>9.2799999999999994</v>
      </c>
      <c r="M670" t="s">
        <v>6245</v>
      </c>
      <c r="N670">
        <v>69778</v>
      </c>
      <c r="O670">
        <v>189.78</v>
      </c>
      <c r="R670">
        <v>10.199999999999999</v>
      </c>
      <c r="S670">
        <v>59.19</v>
      </c>
      <c r="AA670">
        <v>0.05</v>
      </c>
      <c r="AB670" t="s">
        <v>6167</v>
      </c>
      <c r="AF670" t="s">
        <v>10822</v>
      </c>
      <c r="AH670" t="s">
        <v>10823</v>
      </c>
      <c r="AJ670" t="s">
        <v>164</v>
      </c>
      <c r="AL670">
        <v>3.57</v>
      </c>
      <c r="AM670">
        <v>3.57</v>
      </c>
      <c r="AN670">
        <v>0.02</v>
      </c>
      <c r="AO670" t="s">
        <v>4965</v>
      </c>
      <c r="AP670" t="s">
        <v>2884</v>
      </c>
      <c r="AQ670" t="s">
        <v>4172</v>
      </c>
      <c r="AR670" t="s">
        <v>3100</v>
      </c>
      <c r="AS670" t="s">
        <v>6876</v>
      </c>
      <c r="AT670" t="s">
        <v>585</v>
      </c>
      <c r="AU670" t="s">
        <v>3546</v>
      </c>
      <c r="AV670" t="s">
        <v>3546</v>
      </c>
      <c r="AW670" t="s">
        <v>10824</v>
      </c>
      <c r="AX670" t="s">
        <v>9798</v>
      </c>
      <c r="AY670" t="s">
        <v>10824</v>
      </c>
      <c r="AZ670" t="s">
        <v>9798</v>
      </c>
      <c r="BB670">
        <v>1668.4</v>
      </c>
      <c r="BC670">
        <v>0.15</v>
      </c>
      <c r="BD670">
        <v>9.2100000000000009</v>
      </c>
      <c r="BE670">
        <v>9.3000000000000007</v>
      </c>
      <c r="BF670">
        <v>9.02</v>
      </c>
      <c r="BG670" t="s">
        <v>10825</v>
      </c>
      <c r="BH670" t="s">
        <v>10824</v>
      </c>
      <c r="BI670" t="s">
        <v>9798</v>
      </c>
      <c r="BJ670" t="s">
        <v>101</v>
      </c>
      <c r="BN670" t="s">
        <v>4063</v>
      </c>
    </row>
    <row r="671" spans="1:66" x14ac:dyDescent="0.25">
      <c r="A671" t="str">
        <f>HYPERLINK("https://elite.finviz.com/quote.ashx?t=PANW&amp;ty=c&amp;p=d&amp;b=1", "PANW")</f>
        <v>PANW</v>
      </c>
      <c r="B671">
        <v>7</v>
      </c>
      <c r="C671">
        <v>138.38</v>
      </c>
      <c r="D671">
        <v>59.01</v>
      </c>
      <c r="E671" t="s">
        <v>10826</v>
      </c>
      <c r="F671" t="s">
        <v>319</v>
      </c>
      <c r="G671" t="s">
        <v>108</v>
      </c>
      <c r="H671" t="s">
        <v>109</v>
      </c>
      <c r="I671" t="s">
        <v>70</v>
      </c>
      <c r="J671" t="s">
        <v>321</v>
      </c>
      <c r="K671">
        <v>134902.89000000001</v>
      </c>
      <c r="L671">
        <v>201.68</v>
      </c>
      <c r="M671" t="s">
        <v>2402</v>
      </c>
      <c r="N671">
        <v>1376649</v>
      </c>
      <c r="O671">
        <v>126.04</v>
      </c>
      <c r="P671">
        <v>46.83</v>
      </c>
      <c r="Q671">
        <v>9.39</v>
      </c>
      <c r="R671">
        <v>14.63</v>
      </c>
      <c r="S671">
        <v>17.22</v>
      </c>
      <c r="Z671" t="s">
        <v>164</v>
      </c>
      <c r="AA671">
        <v>1.6</v>
      </c>
      <c r="AD671" t="s">
        <v>1455</v>
      </c>
      <c r="AE671" t="s">
        <v>1561</v>
      </c>
      <c r="AF671" t="s">
        <v>7287</v>
      </c>
      <c r="AG671" t="s">
        <v>7303</v>
      </c>
      <c r="AH671" t="s">
        <v>2133</v>
      </c>
      <c r="AI671" t="s">
        <v>5150</v>
      </c>
      <c r="AJ671" t="s">
        <v>10827</v>
      </c>
      <c r="AK671" t="s">
        <v>10828</v>
      </c>
      <c r="AL671">
        <v>0.89</v>
      </c>
      <c r="AM671">
        <v>0.89</v>
      </c>
      <c r="AN671">
        <v>0.05</v>
      </c>
      <c r="AO671" t="s">
        <v>4413</v>
      </c>
      <c r="AP671" t="s">
        <v>2392</v>
      </c>
      <c r="AQ671" t="s">
        <v>10393</v>
      </c>
      <c r="AR671" t="s">
        <v>2582</v>
      </c>
      <c r="AS671" t="s">
        <v>3544</v>
      </c>
      <c r="AT671" t="s">
        <v>2509</v>
      </c>
      <c r="AU671" t="s">
        <v>6684</v>
      </c>
      <c r="AV671" t="s">
        <v>2193</v>
      </c>
      <c r="AW671" t="s">
        <v>6074</v>
      </c>
      <c r="AX671" t="s">
        <v>10829</v>
      </c>
      <c r="AY671" t="s">
        <v>6074</v>
      </c>
      <c r="AZ671" t="s">
        <v>9213</v>
      </c>
      <c r="BA671">
        <v>1.7</v>
      </c>
      <c r="BB671">
        <v>8050.01</v>
      </c>
      <c r="BC671">
        <v>0.6</v>
      </c>
      <c r="BD671">
        <v>202.21</v>
      </c>
      <c r="BE671">
        <v>203.4</v>
      </c>
      <c r="BF671">
        <v>200.62</v>
      </c>
      <c r="BG671" t="s">
        <v>10830</v>
      </c>
      <c r="BH671" t="s">
        <v>6074</v>
      </c>
      <c r="BI671" t="s">
        <v>10831</v>
      </c>
      <c r="BJ671" t="s">
        <v>101</v>
      </c>
      <c r="BK671" t="s">
        <v>2418</v>
      </c>
      <c r="BL671" t="s">
        <v>6747</v>
      </c>
      <c r="BM671" t="s">
        <v>5758</v>
      </c>
      <c r="BN671" t="s">
        <v>4063</v>
      </c>
    </row>
    <row r="672" spans="1:66" x14ac:dyDescent="0.25">
      <c r="A672" t="str">
        <f>HYPERLINK("https://elite.finviz.com/quote.ashx?t=CVS&amp;ty=c&amp;p=d&amp;b=1", "CVS")</f>
        <v>CVS</v>
      </c>
      <c r="B672">
        <v>7</v>
      </c>
      <c r="C672">
        <v>138.38</v>
      </c>
      <c r="D672">
        <v>59.04</v>
      </c>
      <c r="E672" t="s">
        <v>10832</v>
      </c>
      <c r="F672" t="s">
        <v>195</v>
      </c>
      <c r="G672" t="s">
        <v>428</v>
      </c>
      <c r="H672" t="s">
        <v>7264</v>
      </c>
      <c r="I672" t="s">
        <v>70</v>
      </c>
      <c r="J672" t="s">
        <v>71</v>
      </c>
      <c r="K672">
        <v>94832.76</v>
      </c>
      <c r="L672">
        <v>74.77</v>
      </c>
      <c r="M672" t="s">
        <v>497</v>
      </c>
      <c r="N672">
        <v>696743</v>
      </c>
      <c r="O672">
        <v>20.86</v>
      </c>
      <c r="P672">
        <v>10.45</v>
      </c>
      <c r="Q672">
        <v>1.46</v>
      </c>
      <c r="R672">
        <v>0.25</v>
      </c>
      <c r="S672">
        <v>1.22</v>
      </c>
      <c r="T672" t="s">
        <v>2822</v>
      </c>
      <c r="U672">
        <v>2.66</v>
      </c>
      <c r="V672" t="s">
        <v>10833</v>
      </c>
      <c r="W672" t="s">
        <v>4819</v>
      </c>
      <c r="X672" t="s">
        <v>2093</v>
      </c>
      <c r="Y672" t="s">
        <v>2408</v>
      </c>
      <c r="Z672" t="s">
        <v>10834</v>
      </c>
      <c r="AA672">
        <v>3.58</v>
      </c>
      <c r="AB672" t="s">
        <v>4054</v>
      </c>
      <c r="AC672" t="s">
        <v>657</v>
      </c>
      <c r="AD672" t="s">
        <v>2660</v>
      </c>
      <c r="AE672" t="s">
        <v>6593</v>
      </c>
      <c r="AF672" t="s">
        <v>1927</v>
      </c>
      <c r="AG672" t="s">
        <v>7622</v>
      </c>
      <c r="AH672" t="s">
        <v>3050</v>
      </c>
      <c r="AI672" t="s">
        <v>5344</v>
      </c>
      <c r="AJ672" t="s">
        <v>10835</v>
      </c>
      <c r="AK672" t="s">
        <v>10836</v>
      </c>
      <c r="AL672">
        <v>0.8</v>
      </c>
      <c r="AM672">
        <v>0.62</v>
      </c>
      <c r="AN672">
        <v>1.07</v>
      </c>
      <c r="AO672" t="s">
        <v>5798</v>
      </c>
      <c r="AP672" t="s">
        <v>295</v>
      </c>
      <c r="AQ672" t="s">
        <v>6732</v>
      </c>
      <c r="AR672" t="s">
        <v>4154</v>
      </c>
      <c r="AS672" t="s">
        <v>4839</v>
      </c>
      <c r="AT672" t="s">
        <v>2881</v>
      </c>
      <c r="AU672" t="s">
        <v>5607</v>
      </c>
      <c r="AV672" t="s">
        <v>8015</v>
      </c>
      <c r="AW672" t="s">
        <v>799</v>
      </c>
      <c r="AX672" t="s">
        <v>7177</v>
      </c>
      <c r="AY672" t="s">
        <v>799</v>
      </c>
      <c r="AZ672" t="s">
        <v>6423</v>
      </c>
      <c r="BA672">
        <v>1.48</v>
      </c>
      <c r="BB672">
        <v>7591.63</v>
      </c>
      <c r="BC672">
        <v>0.32</v>
      </c>
      <c r="BD672">
        <v>74.61</v>
      </c>
      <c r="BE672">
        <v>75.42</v>
      </c>
      <c r="BF672">
        <v>74.53</v>
      </c>
      <c r="BG672" t="s">
        <v>10837</v>
      </c>
      <c r="BH672" t="s">
        <v>10838</v>
      </c>
      <c r="BI672" t="s">
        <v>10839</v>
      </c>
      <c r="BJ672" t="s">
        <v>101</v>
      </c>
      <c r="BK672" t="s">
        <v>2559</v>
      </c>
      <c r="BL672" t="s">
        <v>4857</v>
      </c>
      <c r="BM672" t="s">
        <v>8719</v>
      </c>
      <c r="BN672" t="s">
        <v>4063</v>
      </c>
    </row>
    <row r="673" spans="1:66" x14ac:dyDescent="0.25">
      <c r="A673" t="str">
        <f>HYPERLINK("https://elite.finviz.com/quote.ashx?t=IRM&amp;ty=c&amp;p=d&amp;b=1", "IRM")</f>
        <v>IRM</v>
      </c>
      <c r="B673">
        <v>7</v>
      </c>
      <c r="C673">
        <v>138.38</v>
      </c>
      <c r="D673">
        <v>59.07</v>
      </c>
      <c r="E673" t="s">
        <v>10840</v>
      </c>
      <c r="F673" t="s">
        <v>195</v>
      </c>
      <c r="G673" t="s">
        <v>68</v>
      </c>
      <c r="H673" t="s">
        <v>7227</v>
      </c>
      <c r="I673" t="s">
        <v>70</v>
      </c>
      <c r="J673" t="s">
        <v>71</v>
      </c>
      <c r="K673">
        <v>29815.4</v>
      </c>
      <c r="L673">
        <v>100.95</v>
      </c>
      <c r="M673" t="s">
        <v>183</v>
      </c>
      <c r="N673">
        <v>155867</v>
      </c>
      <c r="O673">
        <v>735.25</v>
      </c>
      <c r="P673">
        <v>43.49</v>
      </c>
      <c r="Q673">
        <v>53.59</v>
      </c>
      <c r="R673">
        <v>4.63</v>
      </c>
      <c r="T673" t="s">
        <v>295</v>
      </c>
      <c r="U673">
        <v>3.07</v>
      </c>
      <c r="V673" t="s">
        <v>3833</v>
      </c>
      <c r="W673" t="s">
        <v>1283</v>
      </c>
      <c r="X673" t="s">
        <v>4569</v>
      </c>
      <c r="Y673" t="s">
        <v>633</v>
      </c>
      <c r="Z673" t="s">
        <v>10841</v>
      </c>
      <c r="AA673">
        <v>0.14000000000000001</v>
      </c>
      <c r="AB673" t="s">
        <v>10366</v>
      </c>
      <c r="AC673" t="s">
        <v>6403</v>
      </c>
      <c r="AD673" t="s">
        <v>5587</v>
      </c>
      <c r="AE673" t="s">
        <v>5841</v>
      </c>
      <c r="AF673" t="s">
        <v>1652</v>
      </c>
      <c r="AG673" t="s">
        <v>438</v>
      </c>
      <c r="AH673" t="s">
        <v>7216</v>
      </c>
      <c r="AI673" t="s">
        <v>10842</v>
      </c>
      <c r="AJ673" t="s">
        <v>4318</v>
      </c>
      <c r="AK673" t="s">
        <v>10843</v>
      </c>
      <c r="AL673">
        <v>0.63</v>
      </c>
      <c r="AM673">
        <v>0.63</v>
      </c>
      <c r="AO673" t="s">
        <v>10799</v>
      </c>
      <c r="AP673" t="s">
        <v>4331</v>
      </c>
      <c r="AQ673" t="s">
        <v>3463</v>
      </c>
      <c r="AR673" t="s">
        <v>1776</v>
      </c>
      <c r="AS673" t="s">
        <v>3635</v>
      </c>
      <c r="AT673" t="s">
        <v>4765</v>
      </c>
      <c r="AU673" t="s">
        <v>2064</v>
      </c>
      <c r="AV673" t="s">
        <v>169</v>
      </c>
      <c r="AW673" t="s">
        <v>5725</v>
      </c>
      <c r="AX673" t="s">
        <v>1723</v>
      </c>
      <c r="AY673" t="s">
        <v>10844</v>
      </c>
      <c r="AZ673" t="s">
        <v>8783</v>
      </c>
      <c r="BA673">
        <v>1.58</v>
      </c>
      <c r="BB673">
        <v>1529.78</v>
      </c>
      <c r="BC673">
        <v>0.36</v>
      </c>
      <c r="BD673">
        <v>100.8</v>
      </c>
      <c r="BE673">
        <v>101.96</v>
      </c>
      <c r="BF673">
        <v>99.5</v>
      </c>
      <c r="BG673" t="s">
        <v>10845</v>
      </c>
      <c r="BH673" t="s">
        <v>10844</v>
      </c>
      <c r="BI673" t="s">
        <v>10846</v>
      </c>
      <c r="BJ673" t="s">
        <v>101</v>
      </c>
      <c r="BK673" t="s">
        <v>3831</v>
      </c>
      <c r="BL673" t="s">
        <v>3968</v>
      </c>
      <c r="BM673" t="s">
        <v>10847</v>
      </c>
      <c r="BN673" t="s">
        <v>4063</v>
      </c>
    </row>
    <row r="674" spans="1:66" x14ac:dyDescent="0.25">
      <c r="A674" t="str">
        <f>HYPERLINK("https://elite.finviz.com/quote.ashx?t=LITE&amp;ty=c&amp;p=d&amp;b=1", "LITE")</f>
        <v>LITE</v>
      </c>
      <c r="B674">
        <v>7</v>
      </c>
      <c r="C674">
        <v>138.38</v>
      </c>
      <c r="D674">
        <v>59.14</v>
      </c>
      <c r="E674" t="s">
        <v>10848</v>
      </c>
      <c r="F674" t="s">
        <v>107</v>
      </c>
      <c r="G674" t="s">
        <v>108</v>
      </c>
      <c r="H674" t="s">
        <v>1921</v>
      </c>
      <c r="I674" t="s">
        <v>70</v>
      </c>
      <c r="J674" t="s">
        <v>321</v>
      </c>
      <c r="K674">
        <v>11110.61</v>
      </c>
      <c r="L674">
        <v>158.94999999999999</v>
      </c>
      <c r="M674" t="s">
        <v>2638</v>
      </c>
      <c r="N674">
        <v>1087308</v>
      </c>
      <c r="O674">
        <v>674.09</v>
      </c>
      <c r="P674">
        <v>24.49</v>
      </c>
      <c r="Q674">
        <v>12.82</v>
      </c>
      <c r="R674">
        <v>6.75</v>
      </c>
      <c r="S674">
        <v>9.7799999999999994</v>
      </c>
      <c r="Z674" t="s">
        <v>164</v>
      </c>
      <c r="AA674">
        <v>0.24</v>
      </c>
      <c r="AB674" t="s">
        <v>10849</v>
      </c>
      <c r="AC674" t="s">
        <v>9874</v>
      </c>
      <c r="AD674" t="s">
        <v>10850</v>
      </c>
      <c r="AE674" t="s">
        <v>10851</v>
      </c>
      <c r="AF674" t="s">
        <v>10852</v>
      </c>
      <c r="AG674" t="s">
        <v>2486</v>
      </c>
      <c r="AH674" t="s">
        <v>7271</v>
      </c>
      <c r="AI674" t="s">
        <v>1676</v>
      </c>
      <c r="AJ674" t="s">
        <v>9711</v>
      </c>
      <c r="AK674" t="s">
        <v>10853</v>
      </c>
      <c r="AL674">
        <v>4.37</v>
      </c>
      <c r="AM674">
        <v>3.18</v>
      </c>
      <c r="AN674">
        <v>2.2999999999999998</v>
      </c>
      <c r="AO674" t="s">
        <v>10854</v>
      </c>
      <c r="AP674" t="s">
        <v>10855</v>
      </c>
      <c r="AQ674" t="s">
        <v>2720</v>
      </c>
      <c r="AR674" t="s">
        <v>2174</v>
      </c>
      <c r="AS674" t="s">
        <v>7978</v>
      </c>
      <c r="AT674" t="s">
        <v>2175</v>
      </c>
      <c r="AU674" t="s">
        <v>4693</v>
      </c>
      <c r="AV674" t="s">
        <v>6919</v>
      </c>
      <c r="AW674" t="s">
        <v>5085</v>
      </c>
      <c r="AX674" t="s">
        <v>10856</v>
      </c>
      <c r="AY674" t="s">
        <v>5085</v>
      </c>
      <c r="AZ674" t="s">
        <v>10857</v>
      </c>
      <c r="BA674">
        <v>1.6</v>
      </c>
      <c r="BB674">
        <v>3202.92</v>
      </c>
      <c r="BC674">
        <v>1.2</v>
      </c>
      <c r="BD674">
        <v>159.11000000000001</v>
      </c>
      <c r="BE674">
        <v>159.62</v>
      </c>
      <c r="BF674">
        <v>156.07</v>
      </c>
      <c r="BG674" t="s">
        <v>10858</v>
      </c>
      <c r="BH674" t="s">
        <v>5085</v>
      </c>
      <c r="BI674" t="s">
        <v>10859</v>
      </c>
      <c r="BJ674" t="s">
        <v>101</v>
      </c>
      <c r="BK674" t="s">
        <v>10860</v>
      </c>
      <c r="BL674" t="s">
        <v>10861</v>
      </c>
      <c r="BM674" t="s">
        <v>10862</v>
      </c>
      <c r="BN674" t="s">
        <v>4063</v>
      </c>
    </row>
    <row r="675" spans="1:66" x14ac:dyDescent="0.25">
      <c r="A675" t="str">
        <f>HYPERLINK("https://elite.finviz.com/quote.ashx?t=NXT&amp;ty=c&amp;p=d&amp;b=1", "NXT")</f>
        <v>NXT</v>
      </c>
      <c r="B675">
        <v>7</v>
      </c>
      <c r="C675">
        <v>138.38</v>
      </c>
      <c r="D675">
        <v>59.2</v>
      </c>
      <c r="E675" t="s">
        <v>10863</v>
      </c>
      <c r="F675" t="s">
        <v>67</v>
      </c>
      <c r="G675" t="s">
        <v>108</v>
      </c>
      <c r="H675" t="s">
        <v>2924</v>
      </c>
      <c r="I675" t="s">
        <v>70</v>
      </c>
      <c r="J675" t="s">
        <v>321</v>
      </c>
      <c r="K675">
        <v>10663.76</v>
      </c>
      <c r="L675">
        <v>72.069999999999993</v>
      </c>
      <c r="M675" t="s">
        <v>1225</v>
      </c>
      <c r="N675">
        <v>516849</v>
      </c>
      <c r="O675">
        <v>19.64</v>
      </c>
      <c r="P675">
        <v>16.32</v>
      </c>
      <c r="Q675">
        <v>3.66</v>
      </c>
      <c r="R675">
        <v>3.44</v>
      </c>
      <c r="S675">
        <v>5.9</v>
      </c>
      <c r="Z675" t="s">
        <v>164</v>
      </c>
      <c r="AA675">
        <v>3.67</v>
      </c>
      <c r="AB675" t="s">
        <v>10066</v>
      </c>
      <c r="AC675" t="s">
        <v>4547</v>
      </c>
      <c r="AD675" t="s">
        <v>5027</v>
      </c>
      <c r="AE675" t="s">
        <v>6737</v>
      </c>
      <c r="AF675" t="s">
        <v>1162</v>
      </c>
      <c r="AG675" t="s">
        <v>774</v>
      </c>
      <c r="AH675" t="s">
        <v>5719</v>
      </c>
      <c r="AI675" t="s">
        <v>333</v>
      </c>
      <c r="AJ675" t="s">
        <v>8343</v>
      </c>
      <c r="AK675" t="s">
        <v>10864</v>
      </c>
      <c r="AL675">
        <v>2.16</v>
      </c>
      <c r="AM675">
        <v>1.9</v>
      </c>
      <c r="AN675">
        <v>0.01</v>
      </c>
      <c r="AO675" t="s">
        <v>392</v>
      </c>
      <c r="AP675" t="s">
        <v>10865</v>
      </c>
      <c r="AQ675" t="s">
        <v>3668</v>
      </c>
      <c r="AR675" t="s">
        <v>372</v>
      </c>
      <c r="AS675" t="s">
        <v>169</v>
      </c>
      <c r="AT675" t="s">
        <v>353</v>
      </c>
      <c r="AU675" t="s">
        <v>3079</v>
      </c>
      <c r="AV675" t="s">
        <v>10089</v>
      </c>
      <c r="AW675" t="s">
        <v>2218</v>
      </c>
      <c r="AX675" t="s">
        <v>10446</v>
      </c>
      <c r="AY675" t="s">
        <v>2218</v>
      </c>
      <c r="AZ675" t="s">
        <v>10866</v>
      </c>
      <c r="BA675">
        <v>1.86</v>
      </c>
      <c r="BB675">
        <v>2450.19</v>
      </c>
      <c r="BC675">
        <v>0.74</v>
      </c>
      <c r="BD675">
        <v>73.510000000000005</v>
      </c>
      <c r="BE675">
        <v>73.459999999999994</v>
      </c>
      <c r="BF675">
        <v>70.92</v>
      </c>
      <c r="BG675" t="s">
        <v>10867</v>
      </c>
      <c r="BH675" t="s">
        <v>2218</v>
      </c>
      <c r="BI675" t="s">
        <v>10868</v>
      </c>
      <c r="BJ675" t="s">
        <v>101</v>
      </c>
      <c r="BK675" t="s">
        <v>3926</v>
      </c>
      <c r="BL675" t="s">
        <v>10869</v>
      </c>
      <c r="BM675" t="s">
        <v>10870</v>
      </c>
      <c r="BN675" t="s">
        <v>4063</v>
      </c>
    </row>
    <row r="676" spans="1:66" x14ac:dyDescent="0.25">
      <c r="A676" t="str">
        <f>HYPERLINK("https://elite.finviz.com/quote.ashx?t=LIXT&amp;ty=c&amp;p=d&amp;b=1", "LIXT")</f>
        <v>LIXT</v>
      </c>
      <c r="B676">
        <v>7</v>
      </c>
      <c r="C676">
        <v>138.38</v>
      </c>
      <c r="D676">
        <v>59.21</v>
      </c>
      <c r="E676" t="s">
        <v>10871</v>
      </c>
      <c r="F676" t="s">
        <v>107</v>
      </c>
      <c r="G676" t="s">
        <v>428</v>
      </c>
      <c r="H676" t="s">
        <v>429</v>
      </c>
      <c r="I676" t="s">
        <v>70</v>
      </c>
      <c r="J676" t="s">
        <v>321</v>
      </c>
      <c r="K676">
        <v>24.52</v>
      </c>
      <c r="L676">
        <v>5.38</v>
      </c>
      <c r="M676" t="s">
        <v>4839</v>
      </c>
      <c r="N676">
        <v>109790</v>
      </c>
      <c r="S676">
        <v>22.75</v>
      </c>
      <c r="AA676">
        <v>-1.29</v>
      </c>
      <c r="AB676" t="s">
        <v>10872</v>
      </c>
      <c r="AC676" t="s">
        <v>6183</v>
      </c>
      <c r="AJ676" t="s">
        <v>164</v>
      </c>
      <c r="AK676" t="s">
        <v>4956</v>
      </c>
      <c r="AL676">
        <v>1.84</v>
      </c>
      <c r="AM676">
        <v>1.84</v>
      </c>
      <c r="AN676">
        <v>0</v>
      </c>
      <c r="AR676" t="s">
        <v>290</v>
      </c>
      <c r="AS676" t="s">
        <v>3492</v>
      </c>
      <c r="AT676" t="s">
        <v>3957</v>
      </c>
      <c r="AU676" t="s">
        <v>1814</v>
      </c>
      <c r="AV676" t="s">
        <v>10873</v>
      </c>
      <c r="AW676" t="s">
        <v>117</v>
      </c>
      <c r="AX676" t="s">
        <v>10874</v>
      </c>
      <c r="AY676" t="s">
        <v>117</v>
      </c>
      <c r="AZ676" t="s">
        <v>10875</v>
      </c>
      <c r="BB676">
        <v>2077.4299999999998</v>
      </c>
      <c r="BC676">
        <v>0.19</v>
      </c>
      <c r="BD676">
        <v>5.25</v>
      </c>
      <c r="BE676">
        <v>5.87</v>
      </c>
      <c r="BF676">
        <v>5.25</v>
      </c>
      <c r="BG676" t="s">
        <v>10876</v>
      </c>
      <c r="BH676" t="s">
        <v>10877</v>
      </c>
      <c r="BI676" t="s">
        <v>10875</v>
      </c>
      <c r="BJ676" t="s">
        <v>101</v>
      </c>
      <c r="BK676" t="s">
        <v>10878</v>
      </c>
      <c r="BL676" t="s">
        <v>10879</v>
      </c>
      <c r="BM676" t="s">
        <v>10880</v>
      </c>
      <c r="BN676" t="s">
        <v>4063</v>
      </c>
    </row>
    <row r="677" spans="1:66" x14ac:dyDescent="0.25">
      <c r="A677" t="str">
        <f>HYPERLINK("https://elite.finviz.com/quote.ashx?t=UNFI&amp;ty=c&amp;p=d&amp;b=1", "UNFI")</f>
        <v>UNFI</v>
      </c>
      <c r="B677">
        <v>7</v>
      </c>
      <c r="C677">
        <v>138.38</v>
      </c>
      <c r="D677">
        <v>59.22</v>
      </c>
      <c r="E677" t="s">
        <v>10881</v>
      </c>
      <c r="F677" t="s">
        <v>67</v>
      </c>
      <c r="G677" t="s">
        <v>2244</v>
      </c>
      <c r="H677" t="s">
        <v>6825</v>
      </c>
      <c r="I677" t="s">
        <v>70</v>
      </c>
      <c r="J677" t="s">
        <v>71</v>
      </c>
      <c r="K677">
        <v>1831.33</v>
      </c>
      <c r="L677">
        <v>30.24</v>
      </c>
      <c r="M677" t="s">
        <v>6156</v>
      </c>
      <c r="N677">
        <v>190395</v>
      </c>
      <c r="P677">
        <v>20.29</v>
      </c>
      <c r="R677">
        <v>0.06</v>
      </c>
      <c r="S677">
        <v>1.1299999999999999</v>
      </c>
      <c r="AA677">
        <v>-1.1399999999999999</v>
      </c>
      <c r="AC677" t="s">
        <v>850</v>
      </c>
      <c r="AD677" t="s">
        <v>10882</v>
      </c>
      <c r="AE677" t="s">
        <v>6106</v>
      </c>
      <c r="AF677" t="s">
        <v>2774</v>
      </c>
      <c r="AG677" t="s">
        <v>506</v>
      </c>
      <c r="AH677" t="s">
        <v>1283</v>
      </c>
      <c r="AI677" t="s">
        <v>10883</v>
      </c>
      <c r="AJ677" t="s">
        <v>164</v>
      </c>
      <c r="AK677" t="s">
        <v>10884</v>
      </c>
      <c r="AL677">
        <v>1.41</v>
      </c>
      <c r="AM677">
        <v>0.51</v>
      </c>
      <c r="AN677">
        <v>2.2000000000000002</v>
      </c>
      <c r="AO677" t="s">
        <v>9736</v>
      </c>
      <c r="AP677" t="s">
        <v>5253</v>
      </c>
      <c r="AQ677" t="s">
        <v>2468</v>
      </c>
      <c r="AR677" t="s">
        <v>2822</v>
      </c>
      <c r="AS677" t="s">
        <v>4499</v>
      </c>
      <c r="AT677" t="s">
        <v>3482</v>
      </c>
      <c r="AU677" t="s">
        <v>2492</v>
      </c>
      <c r="AV677" t="s">
        <v>3505</v>
      </c>
      <c r="AW677" t="s">
        <v>2978</v>
      </c>
      <c r="AX677" t="s">
        <v>6675</v>
      </c>
      <c r="AY677" t="s">
        <v>10885</v>
      </c>
      <c r="AZ677" t="s">
        <v>10886</v>
      </c>
      <c r="BA677">
        <v>2.36</v>
      </c>
      <c r="BB677">
        <v>1042.8599999999999</v>
      </c>
      <c r="BC677">
        <v>0.64</v>
      </c>
      <c r="BD677">
        <v>30.19</v>
      </c>
      <c r="BE677">
        <v>30.59</v>
      </c>
      <c r="BF677">
        <v>30.04</v>
      </c>
      <c r="BG677" t="s">
        <v>10887</v>
      </c>
      <c r="BH677" t="s">
        <v>10888</v>
      </c>
      <c r="BI677" t="s">
        <v>10889</v>
      </c>
      <c r="BJ677" t="s">
        <v>101</v>
      </c>
      <c r="BK677" t="s">
        <v>10890</v>
      </c>
      <c r="BL677" t="s">
        <v>231</v>
      </c>
      <c r="BM677" t="s">
        <v>10891</v>
      </c>
      <c r="BN677" t="s">
        <v>4063</v>
      </c>
    </row>
    <row r="678" spans="1:66" x14ac:dyDescent="0.25">
      <c r="A678" t="str">
        <f>HYPERLINK("https://elite.finviz.com/quote.ashx?t=AXL&amp;ty=c&amp;p=d&amp;b=1", "AXL")</f>
        <v>AXL</v>
      </c>
      <c r="B678">
        <v>7</v>
      </c>
      <c r="C678">
        <v>138.38</v>
      </c>
      <c r="D678">
        <v>59.25</v>
      </c>
      <c r="E678" t="s">
        <v>10892</v>
      </c>
      <c r="F678" t="s">
        <v>67</v>
      </c>
      <c r="G678" t="s">
        <v>813</v>
      </c>
      <c r="H678" t="s">
        <v>814</v>
      </c>
      <c r="I678" t="s">
        <v>70</v>
      </c>
      <c r="J678" t="s">
        <v>71</v>
      </c>
      <c r="K678">
        <v>729.19</v>
      </c>
      <c r="L678">
        <v>6.14</v>
      </c>
      <c r="M678" t="s">
        <v>1547</v>
      </c>
      <c r="N678">
        <v>612020</v>
      </c>
      <c r="O678">
        <v>17.850000000000001</v>
      </c>
      <c r="P678">
        <v>10.16</v>
      </c>
      <c r="Q678">
        <v>0.69</v>
      </c>
      <c r="R678">
        <v>0.13</v>
      </c>
      <c r="S678">
        <v>1.08</v>
      </c>
      <c r="V678" t="s">
        <v>10893</v>
      </c>
      <c r="Z678" t="s">
        <v>164</v>
      </c>
      <c r="AA678">
        <v>0.34</v>
      </c>
      <c r="AB678" t="s">
        <v>10894</v>
      </c>
      <c r="AD678" t="s">
        <v>10895</v>
      </c>
      <c r="AE678" t="s">
        <v>10896</v>
      </c>
      <c r="AF678" t="s">
        <v>4254</v>
      </c>
      <c r="AG678" t="s">
        <v>6449</v>
      </c>
      <c r="AH678" t="s">
        <v>402</v>
      </c>
      <c r="AI678" t="s">
        <v>8306</v>
      </c>
      <c r="AJ678" t="s">
        <v>164</v>
      </c>
      <c r="AK678" t="s">
        <v>2070</v>
      </c>
      <c r="AL678">
        <v>1.77</v>
      </c>
      <c r="AM678">
        <v>1.4</v>
      </c>
      <c r="AN678">
        <v>4.0599999999999996</v>
      </c>
      <c r="AO678" t="s">
        <v>531</v>
      </c>
      <c r="AP678" t="s">
        <v>3519</v>
      </c>
      <c r="AQ678" t="s">
        <v>3047</v>
      </c>
      <c r="AR678" t="s">
        <v>6121</v>
      </c>
      <c r="AS678" t="s">
        <v>122</v>
      </c>
      <c r="AT678" t="s">
        <v>4856</v>
      </c>
      <c r="AU678" t="s">
        <v>2740</v>
      </c>
      <c r="AV678" t="s">
        <v>3623</v>
      </c>
      <c r="AW678" t="s">
        <v>8670</v>
      </c>
      <c r="AX678" t="s">
        <v>10897</v>
      </c>
      <c r="AY678" t="s">
        <v>4842</v>
      </c>
      <c r="AZ678" t="s">
        <v>10898</v>
      </c>
      <c r="BA678">
        <v>2.44</v>
      </c>
      <c r="BB678">
        <v>3776.13</v>
      </c>
      <c r="BC678">
        <v>0.56999999999999995</v>
      </c>
      <c r="BD678">
        <v>6.15</v>
      </c>
      <c r="BE678">
        <v>6.2</v>
      </c>
      <c r="BF678">
        <v>6.09</v>
      </c>
      <c r="BG678" t="s">
        <v>10899</v>
      </c>
      <c r="BH678" t="s">
        <v>10900</v>
      </c>
      <c r="BI678" t="s">
        <v>10901</v>
      </c>
      <c r="BJ678" t="s">
        <v>101</v>
      </c>
      <c r="BK678" t="s">
        <v>5829</v>
      </c>
      <c r="BL678" t="s">
        <v>4419</v>
      </c>
      <c r="BM678" t="s">
        <v>1765</v>
      </c>
      <c r="BN678" t="s">
        <v>4063</v>
      </c>
    </row>
    <row r="679" spans="1:66" x14ac:dyDescent="0.25">
      <c r="A679" t="str">
        <f>HYPERLINK("https://elite.finviz.com/quote.ashx?t=GNL&amp;ty=c&amp;p=d&amp;b=1", "GNL")</f>
        <v>GNL</v>
      </c>
      <c r="B679">
        <v>7</v>
      </c>
      <c r="C679">
        <v>138.38</v>
      </c>
      <c r="D679">
        <v>59.29</v>
      </c>
      <c r="E679" t="s">
        <v>10902</v>
      </c>
      <c r="F679" t="s">
        <v>67</v>
      </c>
      <c r="G679" t="s">
        <v>68</v>
      </c>
      <c r="H679" t="s">
        <v>4656</v>
      </c>
      <c r="I679" t="s">
        <v>70</v>
      </c>
      <c r="J679" t="s">
        <v>71</v>
      </c>
      <c r="K679">
        <v>1794.26</v>
      </c>
      <c r="L679">
        <v>8.1199999999999992</v>
      </c>
      <c r="M679" t="s">
        <v>3336</v>
      </c>
      <c r="N679">
        <v>121309</v>
      </c>
      <c r="R679">
        <v>2.75</v>
      </c>
      <c r="S679">
        <v>0.98</v>
      </c>
      <c r="T679" t="s">
        <v>1110</v>
      </c>
      <c r="U679">
        <v>0.93</v>
      </c>
      <c r="V679" t="s">
        <v>10903</v>
      </c>
      <c r="W679" t="s">
        <v>10904</v>
      </c>
      <c r="X679" t="s">
        <v>6798</v>
      </c>
      <c r="Y679" t="s">
        <v>7449</v>
      </c>
      <c r="AA679">
        <v>-1.22</v>
      </c>
      <c r="AB679" t="s">
        <v>10905</v>
      </c>
      <c r="AE679" t="s">
        <v>10906</v>
      </c>
      <c r="AF679" t="s">
        <v>2815</v>
      </c>
      <c r="AG679" t="s">
        <v>1990</v>
      </c>
      <c r="AH679" t="s">
        <v>10907</v>
      </c>
      <c r="AI679" t="s">
        <v>10908</v>
      </c>
      <c r="AJ679" t="s">
        <v>6305</v>
      </c>
      <c r="AK679" t="s">
        <v>10909</v>
      </c>
      <c r="AL679">
        <v>6.84</v>
      </c>
      <c r="AM679">
        <v>6.84</v>
      </c>
      <c r="AN679">
        <v>1.65</v>
      </c>
      <c r="AO679" t="s">
        <v>10910</v>
      </c>
      <c r="AP679" t="s">
        <v>733</v>
      </c>
      <c r="AQ679" t="s">
        <v>10911</v>
      </c>
      <c r="AR679" t="s">
        <v>3447</v>
      </c>
      <c r="AS679" t="s">
        <v>2175</v>
      </c>
      <c r="AT679" t="s">
        <v>4271</v>
      </c>
      <c r="AU679" t="s">
        <v>2777</v>
      </c>
      <c r="AV679" t="s">
        <v>2698</v>
      </c>
      <c r="AW679" t="s">
        <v>4698</v>
      </c>
      <c r="AX679" t="s">
        <v>10912</v>
      </c>
      <c r="AY679" t="s">
        <v>9471</v>
      </c>
      <c r="AZ679" t="s">
        <v>7375</v>
      </c>
      <c r="BA679">
        <v>1.86</v>
      </c>
      <c r="BB679">
        <v>1600.45</v>
      </c>
      <c r="BC679">
        <v>0.27</v>
      </c>
      <c r="BD679">
        <v>8.08</v>
      </c>
      <c r="BE679">
        <v>8.18</v>
      </c>
      <c r="BF679">
        <v>8.11</v>
      </c>
      <c r="BG679" t="s">
        <v>10913</v>
      </c>
      <c r="BH679" t="s">
        <v>10914</v>
      </c>
      <c r="BI679" t="s">
        <v>7375</v>
      </c>
      <c r="BJ679" t="s">
        <v>101</v>
      </c>
      <c r="BK679" t="s">
        <v>1676</v>
      </c>
      <c r="BL679" t="s">
        <v>910</v>
      </c>
      <c r="BM679" t="s">
        <v>2335</v>
      </c>
      <c r="BN679" t="s">
        <v>4063</v>
      </c>
    </row>
    <row r="680" spans="1:66" x14ac:dyDescent="0.25">
      <c r="A680" t="str">
        <f>HYPERLINK("https://elite.finviz.com/quote.ashx?t=AJG&amp;ty=c&amp;p=d&amp;b=1", "AJG")</f>
        <v>AJG</v>
      </c>
      <c r="B680">
        <v>7</v>
      </c>
      <c r="C680">
        <v>138.38</v>
      </c>
      <c r="D680">
        <v>59.33</v>
      </c>
      <c r="E680" t="s">
        <v>10915</v>
      </c>
      <c r="F680" t="s">
        <v>195</v>
      </c>
      <c r="G680" t="s">
        <v>550</v>
      </c>
      <c r="H680" t="s">
        <v>10916</v>
      </c>
      <c r="I680" t="s">
        <v>70</v>
      </c>
      <c r="J680" t="s">
        <v>71</v>
      </c>
      <c r="K680">
        <v>78486.17</v>
      </c>
      <c r="L680">
        <v>306.11</v>
      </c>
      <c r="M680" t="s">
        <v>1457</v>
      </c>
      <c r="N680">
        <v>163403</v>
      </c>
      <c r="O680">
        <v>46.14</v>
      </c>
      <c r="P680">
        <v>22.46</v>
      </c>
      <c r="Q680">
        <v>3.14</v>
      </c>
      <c r="R680">
        <v>6.31</v>
      </c>
      <c r="S680">
        <v>3.41</v>
      </c>
      <c r="T680" t="s">
        <v>2734</v>
      </c>
      <c r="U680">
        <v>2.5499999999999998</v>
      </c>
      <c r="V680" t="s">
        <v>4548</v>
      </c>
      <c r="W680" t="s">
        <v>290</v>
      </c>
      <c r="X680" t="s">
        <v>4512</v>
      </c>
      <c r="Y680" t="s">
        <v>1691</v>
      </c>
      <c r="Z680" t="s">
        <v>4560</v>
      </c>
      <c r="AA680">
        <v>6.63</v>
      </c>
      <c r="AB680" t="s">
        <v>10917</v>
      </c>
      <c r="AC680" t="s">
        <v>4109</v>
      </c>
      <c r="AD680" t="s">
        <v>10918</v>
      </c>
      <c r="AE680" t="s">
        <v>2289</v>
      </c>
      <c r="AF680" t="s">
        <v>1959</v>
      </c>
      <c r="AG680" t="s">
        <v>6315</v>
      </c>
      <c r="AH680" t="s">
        <v>5627</v>
      </c>
      <c r="AI680" t="s">
        <v>7646</v>
      </c>
      <c r="AJ680" t="s">
        <v>6162</v>
      </c>
      <c r="AK680" t="s">
        <v>10919</v>
      </c>
      <c r="AL680">
        <v>1.36</v>
      </c>
      <c r="AM680">
        <v>1.36</v>
      </c>
      <c r="AN680">
        <v>0.57999999999999996</v>
      </c>
      <c r="AO680" t="s">
        <v>10920</v>
      </c>
      <c r="AP680" t="s">
        <v>5793</v>
      </c>
      <c r="AQ680" t="s">
        <v>3077</v>
      </c>
      <c r="AR680" t="s">
        <v>2274</v>
      </c>
      <c r="AS680" t="s">
        <v>3257</v>
      </c>
      <c r="AT680" t="s">
        <v>679</v>
      </c>
      <c r="AU680" t="s">
        <v>89</v>
      </c>
      <c r="AV680" t="s">
        <v>3811</v>
      </c>
      <c r="AW680" t="s">
        <v>5356</v>
      </c>
      <c r="AX680" t="s">
        <v>2579</v>
      </c>
      <c r="AY680" t="s">
        <v>526</v>
      </c>
      <c r="AZ680" t="s">
        <v>1395</v>
      </c>
      <c r="BA680">
        <v>2</v>
      </c>
      <c r="BB680">
        <v>1512.3</v>
      </c>
      <c r="BC680">
        <v>0.38</v>
      </c>
      <c r="BD680">
        <v>303.08</v>
      </c>
      <c r="BE680">
        <v>307.81</v>
      </c>
      <c r="BF680">
        <v>303.51</v>
      </c>
      <c r="BG680" t="s">
        <v>10921</v>
      </c>
      <c r="BH680" t="s">
        <v>526</v>
      </c>
      <c r="BI680" t="s">
        <v>10922</v>
      </c>
      <c r="BJ680" t="s">
        <v>101</v>
      </c>
      <c r="BK680" t="s">
        <v>331</v>
      </c>
      <c r="BL680" t="s">
        <v>10332</v>
      </c>
      <c r="BM680" t="s">
        <v>2459</v>
      </c>
      <c r="BN680" t="s">
        <v>4063</v>
      </c>
    </row>
    <row r="681" spans="1:66" x14ac:dyDescent="0.25">
      <c r="A681" t="str">
        <f>HYPERLINK("https://elite.finviz.com/quote.ashx?t=CNK&amp;ty=c&amp;p=d&amp;b=1", "CNK")</f>
        <v>CNK</v>
      </c>
      <c r="B681">
        <v>7</v>
      </c>
      <c r="C681">
        <v>138.38</v>
      </c>
      <c r="D681">
        <v>59.34</v>
      </c>
      <c r="E681" t="s">
        <v>10923</v>
      </c>
      <c r="F681" t="s">
        <v>67</v>
      </c>
      <c r="G681" t="s">
        <v>598</v>
      </c>
      <c r="H681" t="s">
        <v>4247</v>
      </c>
      <c r="I681" t="s">
        <v>70</v>
      </c>
      <c r="J681" t="s">
        <v>71</v>
      </c>
      <c r="K681">
        <v>3279.09</v>
      </c>
      <c r="L681">
        <v>28.5</v>
      </c>
      <c r="M681" t="s">
        <v>1765</v>
      </c>
      <c r="N681">
        <v>284642</v>
      </c>
      <c r="O681">
        <v>15.64</v>
      </c>
      <c r="P681">
        <v>13.73</v>
      </c>
      <c r="Q681">
        <v>2.89</v>
      </c>
      <c r="R681">
        <v>1.02</v>
      </c>
      <c r="S681">
        <v>7.32</v>
      </c>
      <c r="T681" t="s">
        <v>2881</v>
      </c>
      <c r="U681">
        <v>0.24</v>
      </c>
      <c r="V681" t="s">
        <v>7842</v>
      </c>
      <c r="Z681" t="s">
        <v>164</v>
      </c>
      <c r="AA681">
        <v>1.82</v>
      </c>
      <c r="AC681" t="s">
        <v>995</v>
      </c>
      <c r="AD681" t="s">
        <v>6956</v>
      </c>
      <c r="AE681" t="s">
        <v>981</v>
      </c>
      <c r="AF681" t="s">
        <v>1569</v>
      </c>
      <c r="AG681" t="s">
        <v>525</v>
      </c>
      <c r="AH681" t="s">
        <v>10924</v>
      </c>
      <c r="AI681" t="s">
        <v>7543</v>
      </c>
      <c r="AJ681" t="s">
        <v>1226</v>
      </c>
      <c r="AK681" t="s">
        <v>10925</v>
      </c>
      <c r="AL681">
        <v>0.91</v>
      </c>
      <c r="AM681">
        <v>0.88</v>
      </c>
      <c r="AN681">
        <v>7.72</v>
      </c>
      <c r="AO681" t="s">
        <v>3667</v>
      </c>
      <c r="AP681" t="s">
        <v>293</v>
      </c>
      <c r="AQ681" t="s">
        <v>7567</v>
      </c>
      <c r="AR681" t="s">
        <v>205</v>
      </c>
      <c r="AS681" t="s">
        <v>2643</v>
      </c>
      <c r="AT681" t="s">
        <v>3670</v>
      </c>
      <c r="AU681" t="s">
        <v>10926</v>
      </c>
      <c r="AV681" t="s">
        <v>4436</v>
      </c>
      <c r="AW681" t="s">
        <v>3266</v>
      </c>
      <c r="AX681" t="s">
        <v>6752</v>
      </c>
      <c r="AY681" t="s">
        <v>5406</v>
      </c>
      <c r="AZ681" t="s">
        <v>5437</v>
      </c>
      <c r="BA681">
        <v>1.62</v>
      </c>
      <c r="BB681">
        <v>4307.8900000000003</v>
      </c>
      <c r="BC681">
        <v>0.23</v>
      </c>
      <c r="BD681">
        <v>28.39</v>
      </c>
      <c r="BE681">
        <v>28.72</v>
      </c>
      <c r="BF681">
        <v>28.33</v>
      </c>
      <c r="BG681" t="s">
        <v>10927</v>
      </c>
      <c r="BH681" t="s">
        <v>894</v>
      </c>
      <c r="BI681" t="s">
        <v>10928</v>
      </c>
      <c r="BJ681" t="s">
        <v>101</v>
      </c>
      <c r="BK681" t="s">
        <v>7285</v>
      </c>
      <c r="BL681" t="s">
        <v>6532</v>
      </c>
      <c r="BM681" t="s">
        <v>862</v>
      </c>
      <c r="BN681" t="s">
        <v>4063</v>
      </c>
    </row>
    <row r="682" spans="1:66" x14ac:dyDescent="0.25">
      <c r="A682" t="str">
        <f>HYPERLINK("https://elite.finviz.com/quote.ashx?t=MNKD&amp;ty=c&amp;p=d&amp;b=1", "MNKD")</f>
        <v>MNKD</v>
      </c>
      <c r="B682">
        <v>7</v>
      </c>
      <c r="C682">
        <v>138.38</v>
      </c>
      <c r="D682">
        <v>59.36</v>
      </c>
      <c r="E682" t="s">
        <v>10929</v>
      </c>
      <c r="F682" t="s">
        <v>67</v>
      </c>
      <c r="G682" t="s">
        <v>428</v>
      </c>
      <c r="H682" t="s">
        <v>429</v>
      </c>
      <c r="I682" t="s">
        <v>70</v>
      </c>
      <c r="J682" t="s">
        <v>321</v>
      </c>
      <c r="K682">
        <v>1662.65</v>
      </c>
      <c r="L682">
        <v>5.42</v>
      </c>
      <c r="M682" t="s">
        <v>2082</v>
      </c>
      <c r="N682">
        <v>1475899</v>
      </c>
      <c r="O682">
        <v>49.58</v>
      </c>
      <c r="P682">
        <v>40.36</v>
      </c>
      <c r="Q682">
        <v>2.33</v>
      </c>
      <c r="R682">
        <v>5.51</v>
      </c>
      <c r="Z682" t="s">
        <v>164</v>
      </c>
      <c r="AA682">
        <v>0.11</v>
      </c>
      <c r="AD682" t="s">
        <v>8153</v>
      </c>
      <c r="AE682" t="s">
        <v>5556</v>
      </c>
      <c r="AF682" t="s">
        <v>10930</v>
      </c>
      <c r="AG682" t="s">
        <v>10931</v>
      </c>
      <c r="AH682" t="s">
        <v>7685</v>
      </c>
      <c r="AI682" t="s">
        <v>579</v>
      </c>
      <c r="AJ682" t="s">
        <v>3905</v>
      </c>
      <c r="AK682" t="s">
        <v>10932</v>
      </c>
      <c r="AL682">
        <v>2.5</v>
      </c>
      <c r="AM682">
        <v>2.2400000000000002</v>
      </c>
      <c r="AO682" t="s">
        <v>10933</v>
      </c>
      <c r="AP682" t="s">
        <v>5039</v>
      </c>
      <c r="AQ682" t="s">
        <v>7777</v>
      </c>
      <c r="AR682" t="s">
        <v>1087</v>
      </c>
      <c r="AS682" t="s">
        <v>3958</v>
      </c>
      <c r="AT682" t="s">
        <v>1998</v>
      </c>
      <c r="AU682" t="s">
        <v>10934</v>
      </c>
      <c r="AV682" t="s">
        <v>3064</v>
      </c>
      <c r="AW682" t="s">
        <v>10935</v>
      </c>
      <c r="AX682" t="s">
        <v>10936</v>
      </c>
      <c r="AY682" t="s">
        <v>10937</v>
      </c>
      <c r="AZ682" t="s">
        <v>10936</v>
      </c>
      <c r="BA682">
        <v>1</v>
      </c>
      <c r="BB682">
        <v>4066.9</v>
      </c>
      <c r="BC682">
        <v>1.28</v>
      </c>
      <c r="BD682">
        <v>5.33</v>
      </c>
      <c r="BE682">
        <v>5.44</v>
      </c>
      <c r="BF682">
        <v>5.3</v>
      </c>
      <c r="BG682" t="s">
        <v>10938</v>
      </c>
      <c r="BH682" t="s">
        <v>10939</v>
      </c>
      <c r="BI682" t="s">
        <v>10940</v>
      </c>
      <c r="BJ682" t="s">
        <v>101</v>
      </c>
      <c r="BK682" t="s">
        <v>5044</v>
      </c>
      <c r="BL682" t="s">
        <v>229</v>
      </c>
      <c r="BM682" t="s">
        <v>10941</v>
      </c>
      <c r="BN682" t="s">
        <v>4063</v>
      </c>
    </row>
    <row r="683" spans="1:66" x14ac:dyDescent="0.25">
      <c r="A683" t="str">
        <f>HYPERLINK("https://elite.finviz.com/quote.ashx?t=MKSI&amp;ty=c&amp;p=d&amp;b=1", "MKSI")</f>
        <v>MKSI</v>
      </c>
      <c r="B683">
        <v>7</v>
      </c>
      <c r="C683">
        <v>138.38</v>
      </c>
      <c r="D683">
        <v>59.45</v>
      </c>
      <c r="E683" t="s">
        <v>10942</v>
      </c>
      <c r="F683" t="s">
        <v>107</v>
      </c>
      <c r="G683" t="s">
        <v>108</v>
      </c>
      <c r="H683" t="s">
        <v>9222</v>
      </c>
      <c r="I683" t="s">
        <v>70</v>
      </c>
      <c r="J683" t="s">
        <v>321</v>
      </c>
      <c r="K683">
        <v>8102.78</v>
      </c>
      <c r="L683">
        <v>120.65</v>
      </c>
      <c r="M683" t="s">
        <v>2176</v>
      </c>
      <c r="N683">
        <v>126878</v>
      </c>
      <c r="O683">
        <v>30.66</v>
      </c>
      <c r="P683">
        <v>14.57</v>
      </c>
      <c r="Q683">
        <v>2.61</v>
      </c>
      <c r="R683">
        <v>2.17</v>
      </c>
      <c r="S683">
        <v>3.18</v>
      </c>
      <c r="T683" t="s">
        <v>5036</v>
      </c>
      <c r="U683">
        <v>0.88</v>
      </c>
      <c r="V683" t="s">
        <v>10943</v>
      </c>
      <c r="W683" t="s">
        <v>164</v>
      </c>
      <c r="X683" t="s">
        <v>84</v>
      </c>
      <c r="Y683" t="s">
        <v>3118</v>
      </c>
      <c r="Z683" t="s">
        <v>4400</v>
      </c>
      <c r="AA683">
        <v>3.93</v>
      </c>
      <c r="AB683" t="s">
        <v>10944</v>
      </c>
      <c r="AC683" t="s">
        <v>3856</v>
      </c>
      <c r="AD683" t="s">
        <v>1206</v>
      </c>
      <c r="AE683" t="s">
        <v>5045</v>
      </c>
      <c r="AF683" t="s">
        <v>2945</v>
      </c>
      <c r="AG683" t="s">
        <v>3259</v>
      </c>
      <c r="AH683" t="s">
        <v>2635</v>
      </c>
      <c r="AI683" t="s">
        <v>8727</v>
      </c>
      <c r="AJ683" t="s">
        <v>6640</v>
      </c>
      <c r="AK683" t="s">
        <v>10945</v>
      </c>
      <c r="AL683">
        <v>2.99</v>
      </c>
      <c r="AM683">
        <v>1.88</v>
      </c>
      <c r="AN683">
        <v>1.84</v>
      </c>
      <c r="AO683" t="s">
        <v>10946</v>
      </c>
      <c r="AP683" t="s">
        <v>1549</v>
      </c>
      <c r="AQ683" t="s">
        <v>274</v>
      </c>
      <c r="AR683" t="s">
        <v>4956</v>
      </c>
      <c r="AS683" t="s">
        <v>2764</v>
      </c>
      <c r="AT683" t="s">
        <v>1872</v>
      </c>
      <c r="AU683" t="s">
        <v>5680</v>
      </c>
      <c r="AV683" t="s">
        <v>10947</v>
      </c>
      <c r="AW683" t="s">
        <v>9417</v>
      </c>
      <c r="AX683" t="s">
        <v>10948</v>
      </c>
      <c r="AY683" t="s">
        <v>9417</v>
      </c>
      <c r="AZ683" t="s">
        <v>10949</v>
      </c>
      <c r="BA683">
        <v>1.62</v>
      </c>
      <c r="BB683">
        <v>1145.73</v>
      </c>
      <c r="BC683">
        <v>0.39</v>
      </c>
      <c r="BD683">
        <v>122.25</v>
      </c>
      <c r="BE683">
        <v>122.72</v>
      </c>
      <c r="BF683">
        <v>120.11</v>
      </c>
      <c r="BG683" t="s">
        <v>10950</v>
      </c>
      <c r="BH683" t="s">
        <v>10951</v>
      </c>
      <c r="BI683" t="s">
        <v>10952</v>
      </c>
      <c r="BJ683" t="s">
        <v>101</v>
      </c>
      <c r="BK683" t="s">
        <v>8466</v>
      </c>
      <c r="BL683" t="s">
        <v>9572</v>
      </c>
      <c r="BM683" t="s">
        <v>6122</v>
      </c>
      <c r="BN683" t="s">
        <v>4063</v>
      </c>
    </row>
    <row r="684" spans="1:66" x14ac:dyDescent="0.25">
      <c r="A684" t="str">
        <f>HYPERLINK("https://elite.finviz.com/quote.ashx?t=HCC&amp;ty=c&amp;p=d&amp;b=1", "HCC")</f>
        <v>HCC</v>
      </c>
      <c r="B684">
        <v>7</v>
      </c>
      <c r="C684">
        <v>138.38</v>
      </c>
      <c r="D684">
        <v>59.48</v>
      </c>
      <c r="E684" t="s">
        <v>10953</v>
      </c>
      <c r="F684" t="s">
        <v>67</v>
      </c>
      <c r="G684" t="s">
        <v>355</v>
      </c>
      <c r="H684" t="s">
        <v>10954</v>
      </c>
      <c r="I684" t="s">
        <v>70</v>
      </c>
      <c r="J684" t="s">
        <v>71</v>
      </c>
      <c r="K684">
        <v>3338.94</v>
      </c>
      <c r="L684">
        <v>63.51</v>
      </c>
      <c r="M684" t="s">
        <v>2768</v>
      </c>
      <c r="N684">
        <v>111943</v>
      </c>
      <c r="O684">
        <v>82.52</v>
      </c>
      <c r="P684">
        <v>13.82</v>
      </c>
      <c r="Q684">
        <v>7.22</v>
      </c>
      <c r="R684">
        <v>2.73</v>
      </c>
      <c r="S684">
        <v>1.61</v>
      </c>
      <c r="T684" t="s">
        <v>4271</v>
      </c>
      <c r="U684">
        <v>0.32</v>
      </c>
      <c r="V684" t="s">
        <v>1762</v>
      </c>
      <c r="W684" t="s">
        <v>2169</v>
      </c>
      <c r="X684" t="s">
        <v>87</v>
      </c>
      <c r="Y684" t="s">
        <v>1066</v>
      </c>
      <c r="Z684" t="s">
        <v>1160</v>
      </c>
      <c r="AA684">
        <v>0.77</v>
      </c>
      <c r="AB684" t="s">
        <v>7851</v>
      </c>
      <c r="AC684" t="s">
        <v>4673</v>
      </c>
      <c r="AD684" t="s">
        <v>6331</v>
      </c>
      <c r="AE684" t="s">
        <v>8713</v>
      </c>
      <c r="AF684" t="s">
        <v>1925</v>
      </c>
      <c r="AG684" t="s">
        <v>2108</v>
      </c>
      <c r="AH684" t="s">
        <v>10955</v>
      </c>
      <c r="AI684" t="s">
        <v>10956</v>
      </c>
      <c r="AJ684" t="s">
        <v>2560</v>
      </c>
      <c r="AK684" t="s">
        <v>10957</v>
      </c>
      <c r="AL684">
        <v>4.59</v>
      </c>
      <c r="AM684">
        <v>3.44</v>
      </c>
      <c r="AN684">
        <v>0.11</v>
      </c>
      <c r="AO684" t="s">
        <v>3952</v>
      </c>
      <c r="AP684" t="s">
        <v>6151</v>
      </c>
      <c r="AQ684" t="s">
        <v>3636</v>
      </c>
      <c r="AR684" t="s">
        <v>3173</v>
      </c>
      <c r="AS684" t="s">
        <v>1088</v>
      </c>
      <c r="AT684" t="s">
        <v>7978</v>
      </c>
      <c r="AU684" t="s">
        <v>8050</v>
      </c>
      <c r="AV684" t="s">
        <v>6022</v>
      </c>
      <c r="AW684" t="s">
        <v>10958</v>
      </c>
      <c r="AX684" t="s">
        <v>10959</v>
      </c>
      <c r="AY684" t="s">
        <v>5980</v>
      </c>
      <c r="AZ684" t="s">
        <v>10960</v>
      </c>
      <c r="BA684">
        <v>2</v>
      </c>
      <c r="BB684">
        <v>1047.78</v>
      </c>
      <c r="BC684">
        <v>0.38</v>
      </c>
      <c r="BD684">
        <v>64.22</v>
      </c>
      <c r="BE684">
        <v>64.209999999999994</v>
      </c>
      <c r="BF684">
        <v>63.22</v>
      </c>
      <c r="BG684" t="s">
        <v>10961</v>
      </c>
      <c r="BH684" t="s">
        <v>10962</v>
      </c>
      <c r="BI684" t="s">
        <v>10963</v>
      </c>
      <c r="BJ684" t="s">
        <v>101</v>
      </c>
      <c r="BK684" t="s">
        <v>10964</v>
      </c>
      <c r="BL684" t="s">
        <v>3961</v>
      </c>
      <c r="BM684" t="s">
        <v>464</v>
      </c>
      <c r="BN684" t="s">
        <v>4063</v>
      </c>
    </row>
    <row r="685" spans="1:66" x14ac:dyDescent="0.25">
      <c r="A685" t="str">
        <f>HYPERLINK("https://elite.finviz.com/quote.ashx?t=LUMN&amp;ty=c&amp;p=d&amp;b=1", "LUMN")</f>
        <v>LUMN</v>
      </c>
      <c r="B685">
        <v>7</v>
      </c>
      <c r="C685">
        <v>138.38</v>
      </c>
      <c r="D685">
        <v>59.49</v>
      </c>
      <c r="E685" t="s">
        <v>10965</v>
      </c>
      <c r="F685" t="s">
        <v>67</v>
      </c>
      <c r="G685" t="s">
        <v>598</v>
      </c>
      <c r="H685" t="s">
        <v>6147</v>
      </c>
      <c r="I685" t="s">
        <v>70</v>
      </c>
      <c r="J685" t="s">
        <v>71</v>
      </c>
      <c r="K685">
        <v>6074.24</v>
      </c>
      <c r="L685">
        <v>5.92</v>
      </c>
      <c r="M685" t="s">
        <v>4809</v>
      </c>
      <c r="N685">
        <v>2807860</v>
      </c>
      <c r="R685">
        <v>0.47</v>
      </c>
      <c r="V685" t="s">
        <v>10966</v>
      </c>
      <c r="AA685">
        <v>-1.19</v>
      </c>
      <c r="AC685" t="s">
        <v>9450</v>
      </c>
      <c r="AD685" t="s">
        <v>10967</v>
      </c>
      <c r="AE685" t="s">
        <v>2594</v>
      </c>
      <c r="AF685" t="s">
        <v>10968</v>
      </c>
      <c r="AG685" t="s">
        <v>7587</v>
      </c>
      <c r="AH685" t="s">
        <v>9927</v>
      </c>
      <c r="AI685" t="s">
        <v>10969</v>
      </c>
      <c r="AJ685" t="s">
        <v>182</v>
      </c>
      <c r="AK685" t="s">
        <v>10970</v>
      </c>
      <c r="AL685">
        <v>2.0699999999999998</v>
      </c>
      <c r="AM685">
        <v>2.0299999999999998</v>
      </c>
      <c r="AO685" t="s">
        <v>10971</v>
      </c>
      <c r="AP685" t="s">
        <v>8013</v>
      </c>
      <c r="AQ685" t="s">
        <v>10972</v>
      </c>
      <c r="AR685" t="s">
        <v>6272</v>
      </c>
      <c r="AS685" t="s">
        <v>191</v>
      </c>
      <c r="AT685" t="s">
        <v>2232</v>
      </c>
      <c r="AU685" t="s">
        <v>112</v>
      </c>
      <c r="AV685" t="s">
        <v>4490</v>
      </c>
      <c r="AW685" t="s">
        <v>1156</v>
      </c>
      <c r="AX685" t="s">
        <v>10973</v>
      </c>
      <c r="AY685" t="s">
        <v>10974</v>
      </c>
      <c r="AZ685" t="s">
        <v>10975</v>
      </c>
      <c r="BA685">
        <v>2.86</v>
      </c>
      <c r="BB685">
        <v>14517.87</v>
      </c>
      <c r="BC685">
        <v>0.68</v>
      </c>
      <c r="BD685">
        <v>5.95</v>
      </c>
      <c r="BE685">
        <v>6.05</v>
      </c>
      <c r="BF685">
        <v>5.79</v>
      </c>
      <c r="BG685" t="s">
        <v>10976</v>
      </c>
      <c r="BH685" t="s">
        <v>10977</v>
      </c>
      <c r="BI685" t="s">
        <v>10978</v>
      </c>
      <c r="BJ685" t="s">
        <v>101</v>
      </c>
      <c r="BK685" t="s">
        <v>8883</v>
      </c>
      <c r="BL685" t="s">
        <v>4205</v>
      </c>
      <c r="BM685" t="s">
        <v>10979</v>
      </c>
      <c r="BN685" t="s">
        <v>4063</v>
      </c>
    </row>
    <row r="686" spans="1:66" x14ac:dyDescent="0.25">
      <c r="A686" t="str">
        <f>HYPERLINK("https://elite.finviz.com/quote.ashx?t=VEEE&amp;ty=c&amp;p=d&amp;b=1", "VEEE")</f>
        <v>VEEE</v>
      </c>
      <c r="B686">
        <v>7</v>
      </c>
      <c r="C686">
        <v>138.38</v>
      </c>
      <c r="D686">
        <v>59.49</v>
      </c>
      <c r="E686" t="s">
        <v>10980</v>
      </c>
      <c r="F686" t="s">
        <v>107</v>
      </c>
      <c r="G686" t="s">
        <v>813</v>
      </c>
      <c r="H686" t="s">
        <v>5716</v>
      </c>
      <c r="I686" t="s">
        <v>70</v>
      </c>
      <c r="J686" t="s">
        <v>321</v>
      </c>
      <c r="K686">
        <v>5.92</v>
      </c>
      <c r="L686">
        <v>2.65</v>
      </c>
      <c r="M686" t="s">
        <v>552</v>
      </c>
      <c r="N686">
        <v>46332</v>
      </c>
      <c r="R686">
        <v>0.45</v>
      </c>
      <c r="S686">
        <v>0.32</v>
      </c>
      <c r="AA686">
        <v>-8.1</v>
      </c>
      <c r="AB686" t="s">
        <v>10981</v>
      </c>
      <c r="AC686" t="s">
        <v>10982</v>
      </c>
      <c r="AE686" t="s">
        <v>167</v>
      </c>
      <c r="AF686" t="s">
        <v>10774</v>
      </c>
      <c r="AG686" t="s">
        <v>521</v>
      </c>
      <c r="AH686" t="s">
        <v>4089</v>
      </c>
      <c r="AJ686" t="s">
        <v>164</v>
      </c>
      <c r="AK686" t="s">
        <v>2554</v>
      </c>
      <c r="AL686">
        <v>4.18</v>
      </c>
      <c r="AM686">
        <v>3.34</v>
      </c>
      <c r="AN686">
        <v>0.04</v>
      </c>
      <c r="AO686" t="s">
        <v>10983</v>
      </c>
      <c r="AP686" t="s">
        <v>10984</v>
      </c>
      <c r="AQ686" t="s">
        <v>10985</v>
      </c>
      <c r="AR686" t="s">
        <v>3141</v>
      </c>
      <c r="AS686" t="s">
        <v>5405</v>
      </c>
      <c r="AT686" t="s">
        <v>4852</v>
      </c>
      <c r="AU686" t="s">
        <v>7192</v>
      </c>
      <c r="AV686" t="s">
        <v>7857</v>
      </c>
      <c r="AW686" t="s">
        <v>10986</v>
      </c>
      <c r="AX686" t="s">
        <v>10987</v>
      </c>
      <c r="AY686" t="s">
        <v>10988</v>
      </c>
      <c r="AZ686" t="s">
        <v>10987</v>
      </c>
      <c r="BA686">
        <v>1</v>
      </c>
      <c r="BB686">
        <v>1651.28</v>
      </c>
      <c r="BC686">
        <v>0.1</v>
      </c>
      <c r="BD686">
        <v>2.76</v>
      </c>
      <c r="BE686">
        <v>2.75</v>
      </c>
      <c r="BF686">
        <v>2.61</v>
      </c>
      <c r="BG686" t="s">
        <v>10989</v>
      </c>
      <c r="BH686" t="s">
        <v>10990</v>
      </c>
      <c r="BI686" t="s">
        <v>10987</v>
      </c>
      <c r="BJ686" t="s">
        <v>101</v>
      </c>
      <c r="BK686" t="s">
        <v>7789</v>
      </c>
      <c r="BL686" t="s">
        <v>10991</v>
      </c>
      <c r="BM686" t="s">
        <v>10992</v>
      </c>
      <c r="BN686" t="s">
        <v>4063</v>
      </c>
    </row>
    <row r="687" spans="1:66" x14ac:dyDescent="0.25">
      <c r="A687" t="str">
        <f>HYPERLINK("https://elite.finviz.com/quote.ashx?t=BZAI&amp;ty=c&amp;p=d&amp;b=1", "BZAI")</f>
        <v>BZAI</v>
      </c>
      <c r="B687">
        <v>7</v>
      </c>
      <c r="C687">
        <v>138.38</v>
      </c>
      <c r="D687">
        <v>59.51</v>
      </c>
      <c r="E687" t="s">
        <v>10993</v>
      </c>
      <c r="F687" t="s">
        <v>67</v>
      </c>
      <c r="G687" t="s">
        <v>108</v>
      </c>
      <c r="H687" t="s">
        <v>136</v>
      </c>
      <c r="I687" t="s">
        <v>70</v>
      </c>
      <c r="J687" t="s">
        <v>321</v>
      </c>
      <c r="K687">
        <v>398.17</v>
      </c>
      <c r="L687">
        <v>3.88</v>
      </c>
      <c r="M687" t="s">
        <v>4809</v>
      </c>
      <c r="N687">
        <v>748064</v>
      </c>
      <c r="R687">
        <v>133.16999999999999</v>
      </c>
      <c r="AA687">
        <v>-2.12</v>
      </c>
      <c r="AB687" t="s">
        <v>10994</v>
      </c>
      <c r="AI687" t="s">
        <v>10995</v>
      </c>
      <c r="AJ687" t="s">
        <v>164</v>
      </c>
      <c r="AK687" t="s">
        <v>7696</v>
      </c>
      <c r="AL687">
        <v>1.19</v>
      </c>
      <c r="AM687">
        <v>0.98</v>
      </c>
      <c r="AO687" t="s">
        <v>10996</v>
      </c>
      <c r="AP687" t="s">
        <v>10997</v>
      </c>
      <c r="AQ687" t="s">
        <v>10998</v>
      </c>
      <c r="AR687" t="s">
        <v>2085</v>
      </c>
      <c r="AS687" t="s">
        <v>2653</v>
      </c>
      <c r="AT687" t="s">
        <v>794</v>
      </c>
      <c r="AU687" t="s">
        <v>4052</v>
      </c>
      <c r="AV687" t="s">
        <v>4301</v>
      </c>
      <c r="AW687" t="s">
        <v>10999</v>
      </c>
      <c r="AX687" t="s">
        <v>2379</v>
      </c>
      <c r="AY687" t="s">
        <v>11000</v>
      </c>
      <c r="AZ687" t="s">
        <v>11001</v>
      </c>
      <c r="BA687">
        <v>1</v>
      </c>
      <c r="BB687">
        <v>3025.04</v>
      </c>
      <c r="BC687">
        <v>0.87</v>
      </c>
      <c r="BD687">
        <v>3.9</v>
      </c>
      <c r="BE687">
        <v>3.95</v>
      </c>
      <c r="BF687">
        <v>3.8</v>
      </c>
      <c r="BG687" t="s">
        <v>11002</v>
      </c>
      <c r="BH687" t="s">
        <v>11000</v>
      </c>
      <c r="BI687" t="s">
        <v>11001</v>
      </c>
      <c r="BJ687" t="s">
        <v>101</v>
      </c>
      <c r="BK687" t="s">
        <v>11003</v>
      </c>
      <c r="BL687" t="s">
        <v>8783</v>
      </c>
      <c r="BM687" t="s">
        <v>11004</v>
      </c>
      <c r="BN687" t="s">
        <v>4063</v>
      </c>
    </row>
    <row r="688" spans="1:66" x14ac:dyDescent="0.25">
      <c r="A688" t="str">
        <f>HYPERLINK("https://elite.finviz.com/quote.ashx?t=AREB&amp;ty=c&amp;p=d&amp;b=1", "AREB")</f>
        <v>AREB</v>
      </c>
      <c r="B688">
        <v>7</v>
      </c>
      <c r="C688">
        <v>138.38</v>
      </c>
      <c r="D688">
        <v>59.54</v>
      </c>
      <c r="E688" t="s">
        <v>11005</v>
      </c>
      <c r="F688" t="s">
        <v>107</v>
      </c>
      <c r="G688" t="s">
        <v>813</v>
      </c>
      <c r="H688" t="s">
        <v>4043</v>
      </c>
      <c r="I688" t="s">
        <v>70</v>
      </c>
      <c r="J688" t="s">
        <v>321</v>
      </c>
      <c r="K688">
        <v>11.67</v>
      </c>
      <c r="L688">
        <v>1.1399999999999999</v>
      </c>
      <c r="M688" t="s">
        <v>3901</v>
      </c>
      <c r="N688">
        <v>304995</v>
      </c>
      <c r="R688">
        <v>1.23</v>
      </c>
      <c r="AA688">
        <v>-283.67</v>
      </c>
      <c r="AB688" t="s">
        <v>11006</v>
      </c>
      <c r="AC688" t="s">
        <v>11007</v>
      </c>
      <c r="AE688" t="s">
        <v>11008</v>
      </c>
      <c r="AF688" t="s">
        <v>11009</v>
      </c>
      <c r="AG688" t="s">
        <v>11010</v>
      </c>
      <c r="AH688" t="s">
        <v>10968</v>
      </c>
      <c r="AI688" t="s">
        <v>11011</v>
      </c>
      <c r="AJ688" t="s">
        <v>11012</v>
      </c>
      <c r="AK688" t="s">
        <v>307</v>
      </c>
      <c r="AL688">
        <v>0.72</v>
      </c>
      <c r="AM688">
        <v>0.49</v>
      </c>
      <c r="AO688" t="s">
        <v>11013</v>
      </c>
      <c r="AP688" t="s">
        <v>11014</v>
      </c>
      <c r="AQ688" t="s">
        <v>11015</v>
      </c>
      <c r="AR688" t="s">
        <v>9808</v>
      </c>
      <c r="AS688" t="s">
        <v>3073</v>
      </c>
      <c r="AT688" t="s">
        <v>10348</v>
      </c>
      <c r="AU688" t="s">
        <v>216</v>
      </c>
      <c r="AV688" t="s">
        <v>11016</v>
      </c>
      <c r="AW688" t="s">
        <v>8250</v>
      </c>
      <c r="AX688" t="s">
        <v>11017</v>
      </c>
      <c r="AY688" t="s">
        <v>11018</v>
      </c>
      <c r="AZ688" t="s">
        <v>11017</v>
      </c>
      <c r="BA688">
        <v>1</v>
      </c>
      <c r="BB688">
        <v>1204.8399999999999</v>
      </c>
      <c r="BC688">
        <v>0.89</v>
      </c>
      <c r="BD688">
        <v>1.03</v>
      </c>
      <c r="BE688">
        <v>1.1399999999999999</v>
      </c>
      <c r="BF688">
        <v>1.03</v>
      </c>
      <c r="BG688" t="s">
        <v>11019</v>
      </c>
      <c r="BH688" t="s">
        <v>579</v>
      </c>
      <c r="BI688" t="s">
        <v>11017</v>
      </c>
      <c r="BJ688" t="s">
        <v>101</v>
      </c>
      <c r="BK688" t="s">
        <v>2504</v>
      </c>
      <c r="BL688" t="s">
        <v>11020</v>
      </c>
      <c r="BM688" t="s">
        <v>11021</v>
      </c>
      <c r="BN688" t="s">
        <v>4063</v>
      </c>
    </row>
    <row r="689" spans="1:66" x14ac:dyDescent="0.25">
      <c r="A689" t="str">
        <f>HYPERLINK("https://elite.finviz.com/quote.ashx?t=BTSG&amp;ty=c&amp;p=d&amp;b=1", "BTSG")</f>
        <v>BTSG</v>
      </c>
      <c r="B689">
        <v>7</v>
      </c>
      <c r="C689">
        <v>138.38</v>
      </c>
      <c r="D689">
        <v>59.7</v>
      </c>
      <c r="E689" t="s">
        <v>11022</v>
      </c>
      <c r="F689" t="s">
        <v>67</v>
      </c>
      <c r="G689" t="s">
        <v>428</v>
      </c>
      <c r="H689" t="s">
        <v>2075</v>
      </c>
      <c r="I689" t="s">
        <v>70</v>
      </c>
      <c r="J689" t="s">
        <v>321</v>
      </c>
      <c r="K689">
        <v>4758.21</v>
      </c>
      <c r="L689">
        <v>26.86</v>
      </c>
      <c r="M689" t="s">
        <v>629</v>
      </c>
      <c r="N689">
        <v>1018867</v>
      </c>
      <c r="O689">
        <v>90.87</v>
      </c>
      <c r="P689">
        <v>22.45</v>
      </c>
      <c r="Q689">
        <v>2.4900000000000002</v>
      </c>
      <c r="R689">
        <v>0.4</v>
      </c>
      <c r="S689">
        <v>2.73</v>
      </c>
      <c r="AA689">
        <v>0.3</v>
      </c>
      <c r="AC689" t="s">
        <v>673</v>
      </c>
      <c r="AD689" t="s">
        <v>11023</v>
      </c>
      <c r="AE689" t="s">
        <v>5691</v>
      </c>
      <c r="AF689" t="s">
        <v>11024</v>
      </c>
      <c r="AG689" t="s">
        <v>876</v>
      </c>
      <c r="AH689" t="s">
        <v>3058</v>
      </c>
      <c r="AI689" t="s">
        <v>6249</v>
      </c>
      <c r="AJ689" t="s">
        <v>11025</v>
      </c>
      <c r="AK689" t="s">
        <v>11026</v>
      </c>
      <c r="AL689">
        <v>1.76</v>
      </c>
      <c r="AM689">
        <v>1.34</v>
      </c>
      <c r="AN689">
        <v>1.56</v>
      </c>
      <c r="AO689" t="s">
        <v>584</v>
      </c>
      <c r="AP689" t="s">
        <v>205</v>
      </c>
      <c r="AQ689" t="s">
        <v>2418</v>
      </c>
      <c r="AR689" t="s">
        <v>4569</v>
      </c>
      <c r="AS689" t="s">
        <v>316</v>
      </c>
      <c r="AT689" t="s">
        <v>1129</v>
      </c>
      <c r="AU689" t="s">
        <v>11027</v>
      </c>
      <c r="AV689" t="s">
        <v>5401</v>
      </c>
      <c r="AW689" t="s">
        <v>8346</v>
      </c>
      <c r="AX689" t="s">
        <v>9724</v>
      </c>
      <c r="AY689" t="s">
        <v>8346</v>
      </c>
      <c r="AZ689" t="s">
        <v>11028</v>
      </c>
      <c r="BA689">
        <v>1.1499999999999999</v>
      </c>
      <c r="BB689">
        <v>2651.98</v>
      </c>
      <c r="BC689">
        <v>1.35</v>
      </c>
      <c r="BD689">
        <v>26.85</v>
      </c>
      <c r="BE689">
        <v>27.07</v>
      </c>
      <c r="BF689">
        <v>26.36</v>
      </c>
      <c r="BG689" t="s">
        <v>11029</v>
      </c>
      <c r="BH689" t="s">
        <v>8346</v>
      </c>
      <c r="BI689" t="s">
        <v>11030</v>
      </c>
      <c r="BJ689" t="s">
        <v>101</v>
      </c>
      <c r="BK689" t="s">
        <v>5840</v>
      </c>
      <c r="BL689" t="s">
        <v>5945</v>
      </c>
      <c r="BM689" t="s">
        <v>11031</v>
      </c>
      <c r="BN689" t="s">
        <v>4063</v>
      </c>
    </row>
    <row r="690" spans="1:66" x14ac:dyDescent="0.25">
      <c r="A690" t="str">
        <f>HYPERLINK("https://elite.finviz.com/quote.ashx?t=AEE&amp;ty=c&amp;p=d&amp;b=1", "AEE")</f>
        <v>AEE</v>
      </c>
      <c r="B690">
        <v>7</v>
      </c>
      <c r="C690">
        <v>138.38</v>
      </c>
      <c r="D690">
        <v>59.75</v>
      </c>
      <c r="E690" t="s">
        <v>11032</v>
      </c>
      <c r="F690" t="s">
        <v>195</v>
      </c>
      <c r="G690" t="s">
        <v>287</v>
      </c>
      <c r="H690" t="s">
        <v>676</v>
      </c>
      <c r="I690" t="s">
        <v>70</v>
      </c>
      <c r="J690" t="s">
        <v>71</v>
      </c>
      <c r="K690">
        <v>27504.74</v>
      </c>
      <c r="L690">
        <v>101.71</v>
      </c>
      <c r="M690" t="s">
        <v>3761</v>
      </c>
      <c r="N690">
        <v>196827</v>
      </c>
      <c r="O690">
        <v>22.34</v>
      </c>
      <c r="P690">
        <v>19.09</v>
      </c>
      <c r="Q690">
        <v>3.01</v>
      </c>
      <c r="R690">
        <v>3.26</v>
      </c>
      <c r="S690">
        <v>2.23</v>
      </c>
      <c r="T690" t="s">
        <v>3173</v>
      </c>
      <c r="U690">
        <v>2.8</v>
      </c>
      <c r="V690" t="s">
        <v>163</v>
      </c>
      <c r="W690" t="s">
        <v>713</v>
      </c>
      <c r="X690" t="s">
        <v>9703</v>
      </c>
      <c r="Y690" t="s">
        <v>6674</v>
      </c>
      <c r="Z690" t="s">
        <v>7249</v>
      </c>
      <c r="AA690">
        <v>4.55</v>
      </c>
      <c r="AB690" t="s">
        <v>161</v>
      </c>
      <c r="AC690" t="s">
        <v>1772</v>
      </c>
      <c r="AD690" t="s">
        <v>699</v>
      </c>
      <c r="AE690" t="s">
        <v>420</v>
      </c>
      <c r="AF690" t="s">
        <v>4077</v>
      </c>
      <c r="AG690" t="s">
        <v>4173</v>
      </c>
      <c r="AH690" t="s">
        <v>11033</v>
      </c>
      <c r="AI690" t="s">
        <v>180</v>
      </c>
      <c r="AJ690" t="s">
        <v>2741</v>
      </c>
      <c r="AK690" t="s">
        <v>11034</v>
      </c>
      <c r="AL690">
        <v>0.8</v>
      </c>
      <c r="AM690">
        <v>0.56000000000000005</v>
      </c>
      <c r="AN690">
        <v>1.62</v>
      </c>
      <c r="AO690" t="s">
        <v>11035</v>
      </c>
      <c r="AP690" t="s">
        <v>2862</v>
      </c>
      <c r="AQ690" t="s">
        <v>4666</v>
      </c>
      <c r="AR690" t="s">
        <v>4856</v>
      </c>
      <c r="AS690" t="s">
        <v>102</v>
      </c>
      <c r="AT690" t="s">
        <v>6336</v>
      </c>
      <c r="AU690" t="s">
        <v>6732</v>
      </c>
      <c r="AV690" t="s">
        <v>121</v>
      </c>
      <c r="AW690" t="s">
        <v>6597</v>
      </c>
      <c r="AX690" t="s">
        <v>5210</v>
      </c>
      <c r="AY690" t="s">
        <v>6149</v>
      </c>
      <c r="AZ690" t="s">
        <v>11036</v>
      </c>
      <c r="BA690">
        <v>2.12</v>
      </c>
      <c r="BB690">
        <v>1477.04</v>
      </c>
      <c r="BC690">
        <v>0.47</v>
      </c>
      <c r="BD690">
        <v>100.78</v>
      </c>
      <c r="BE690">
        <v>102.47</v>
      </c>
      <c r="BF690">
        <v>101.16</v>
      </c>
      <c r="BG690" t="s">
        <v>11037</v>
      </c>
      <c r="BH690" t="s">
        <v>6149</v>
      </c>
      <c r="BI690" t="s">
        <v>11038</v>
      </c>
      <c r="BJ690" t="s">
        <v>101</v>
      </c>
      <c r="BK690" t="s">
        <v>8855</v>
      </c>
      <c r="BL690" t="s">
        <v>7088</v>
      </c>
      <c r="BM690" t="s">
        <v>11039</v>
      </c>
      <c r="BN690" t="s">
        <v>4063</v>
      </c>
    </row>
    <row r="691" spans="1:66" x14ac:dyDescent="0.25">
      <c r="A691" t="str">
        <f>HYPERLINK("https://elite.finviz.com/quote.ashx?t=APPS&amp;ty=c&amp;p=d&amp;b=1", "APPS")</f>
        <v>APPS</v>
      </c>
      <c r="B691">
        <v>7</v>
      </c>
      <c r="C691">
        <v>138.38</v>
      </c>
      <c r="D691">
        <v>59.78</v>
      </c>
      <c r="E691" t="s">
        <v>11040</v>
      </c>
      <c r="F691" t="s">
        <v>67</v>
      </c>
      <c r="G691" t="s">
        <v>108</v>
      </c>
      <c r="H691" t="s">
        <v>136</v>
      </c>
      <c r="I691" t="s">
        <v>70</v>
      </c>
      <c r="J691" t="s">
        <v>321</v>
      </c>
      <c r="K691">
        <v>570.59</v>
      </c>
      <c r="L691">
        <v>5.26</v>
      </c>
      <c r="M691" t="s">
        <v>2757</v>
      </c>
      <c r="N691">
        <v>424368</v>
      </c>
      <c r="P691">
        <v>7.21</v>
      </c>
      <c r="R691">
        <v>1.1299999999999999</v>
      </c>
      <c r="S691">
        <v>3.73</v>
      </c>
      <c r="AA691">
        <v>-0.78</v>
      </c>
      <c r="AE691" t="s">
        <v>7332</v>
      </c>
      <c r="AF691" t="s">
        <v>6479</v>
      </c>
      <c r="AG691" t="s">
        <v>8719</v>
      </c>
      <c r="AH691" t="s">
        <v>602</v>
      </c>
      <c r="AI691" t="s">
        <v>11041</v>
      </c>
      <c r="AJ691" t="s">
        <v>164</v>
      </c>
      <c r="AK691" t="s">
        <v>9568</v>
      </c>
      <c r="AL691">
        <v>1.0900000000000001</v>
      </c>
      <c r="AM691">
        <v>1.0900000000000001</v>
      </c>
      <c r="AN691">
        <v>2.69</v>
      </c>
      <c r="AO691" t="s">
        <v>9422</v>
      </c>
      <c r="AP691" t="s">
        <v>1164</v>
      </c>
      <c r="AQ691" t="s">
        <v>489</v>
      </c>
      <c r="AR691" t="s">
        <v>3981</v>
      </c>
      <c r="AS691" t="s">
        <v>6593</v>
      </c>
      <c r="AT691" t="s">
        <v>1700</v>
      </c>
      <c r="AU691" t="s">
        <v>4852</v>
      </c>
      <c r="AV691" t="s">
        <v>2002</v>
      </c>
      <c r="AW691" t="s">
        <v>11042</v>
      </c>
      <c r="AX691" t="s">
        <v>4206</v>
      </c>
      <c r="AY691" t="s">
        <v>11043</v>
      </c>
      <c r="AZ691" t="s">
        <v>11044</v>
      </c>
      <c r="BA691">
        <v>2.33</v>
      </c>
      <c r="BB691">
        <v>3952.75</v>
      </c>
      <c r="BC691">
        <v>0.38</v>
      </c>
      <c r="BD691">
        <v>5.26</v>
      </c>
      <c r="BE691">
        <v>5.31</v>
      </c>
      <c r="BF691">
        <v>5.2</v>
      </c>
      <c r="BG691" t="s">
        <v>11045</v>
      </c>
      <c r="BH691" t="s">
        <v>11046</v>
      </c>
      <c r="BI691" t="s">
        <v>11047</v>
      </c>
      <c r="BJ691" t="s">
        <v>101</v>
      </c>
      <c r="BK691" t="s">
        <v>7954</v>
      </c>
      <c r="BL691" t="s">
        <v>11048</v>
      </c>
      <c r="BM691" t="s">
        <v>11049</v>
      </c>
      <c r="BN691" t="s">
        <v>4063</v>
      </c>
    </row>
    <row r="692" spans="1:66" x14ac:dyDescent="0.25">
      <c r="A692" t="str">
        <f>HYPERLINK("https://elite.finviz.com/quote.ashx?t=MOH&amp;ty=c&amp;p=d&amp;b=1", "MOH")</f>
        <v>MOH</v>
      </c>
      <c r="B692">
        <v>7</v>
      </c>
      <c r="C692">
        <v>138.38</v>
      </c>
      <c r="D692">
        <v>59.8</v>
      </c>
      <c r="E692" t="s">
        <v>11050</v>
      </c>
      <c r="F692" t="s">
        <v>195</v>
      </c>
      <c r="G692" t="s">
        <v>428</v>
      </c>
      <c r="H692" t="s">
        <v>7264</v>
      </c>
      <c r="I692" t="s">
        <v>70</v>
      </c>
      <c r="J692" t="s">
        <v>71</v>
      </c>
      <c r="K692">
        <v>10319.68</v>
      </c>
      <c r="L692">
        <v>190.4</v>
      </c>
      <c r="M692" t="s">
        <v>2571</v>
      </c>
      <c r="N692">
        <v>148428</v>
      </c>
      <c r="O692">
        <v>9.39</v>
      </c>
      <c r="P692">
        <v>9.64</v>
      </c>
      <c r="Q692">
        <v>5.05</v>
      </c>
      <c r="R692">
        <v>0.24</v>
      </c>
      <c r="S692">
        <v>2.23</v>
      </c>
      <c r="Z692" t="s">
        <v>164</v>
      </c>
      <c r="AA692">
        <v>20.28</v>
      </c>
      <c r="AB692" t="s">
        <v>7303</v>
      </c>
      <c r="AC692" t="s">
        <v>2471</v>
      </c>
      <c r="AD692" t="s">
        <v>2219</v>
      </c>
      <c r="AE692" t="s">
        <v>8579</v>
      </c>
      <c r="AF692" t="s">
        <v>5390</v>
      </c>
      <c r="AG692" t="s">
        <v>11036</v>
      </c>
      <c r="AH692" t="s">
        <v>6746</v>
      </c>
      <c r="AI692" t="s">
        <v>6002</v>
      </c>
      <c r="AJ692" t="s">
        <v>5498</v>
      </c>
      <c r="AK692" t="s">
        <v>11051</v>
      </c>
      <c r="AL692">
        <v>1.66</v>
      </c>
      <c r="AN692">
        <v>0.77</v>
      </c>
      <c r="AP692" t="s">
        <v>2493</v>
      </c>
      <c r="AQ692" t="s">
        <v>2742</v>
      </c>
      <c r="AR692" t="s">
        <v>2108</v>
      </c>
      <c r="AS692" t="s">
        <v>6726</v>
      </c>
      <c r="AT692" t="s">
        <v>5090</v>
      </c>
      <c r="AU692" t="s">
        <v>6573</v>
      </c>
      <c r="AV692" t="s">
        <v>9421</v>
      </c>
      <c r="AW692" t="s">
        <v>7746</v>
      </c>
      <c r="AX692" t="s">
        <v>11052</v>
      </c>
      <c r="AY692" t="s">
        <v>11053</v>
      </c>
      <c r="AZ692" t="s">
        <v>11052</v>
      </c>
      <c r="BA692">
        <v>2.74</v>
      </c>
      <c r="BB692">
        <v>1634.89</v>
      </c>
      <c r="BC692">
        <v>0.32</v>
      </c>
      <c r="BD692">
        <v>189.3</v>
      </c>
      <c r="BE692">
        <v>192.04</v>
      </c>
      <c r="BF692">
        <v>189.01</v>
      </c>
      <c r="BG692" t="s">
        <v>11054</v>
      </c>
      <c r="BH692" t="s">
        <v>5771</v>
      </c>
      <c r="BI692" t="s">
        <v>11055</v>
      </c>
      <c r="BJ692" t="s">
        <v>101</v>
      </c>
      <c r="BK692" t="s">
        <v>8332</v>
      </c>
      <c r="BL692" t="s">
        <v>11056</v>
      </c>
      <c r="BM692" t="s">
        <v>11057</v>
      </c>
      <c r="BN692" t="s">
        <v>4063</v>
      </c>
    </row>
    <row r="693" spans="1:66" x14ac:dyDescent="0.25">
      <c r="A693" t="str">
        <f>HYPERLINK("https://elite.finviz.com/quote.ashx?t=NRG&amp;ty=c&amp;p=d&amp;b=1", "NRG")</f>
        <v>NRG</v>
      </c>
      <c r="B693">
        <v>7</v>
      </c>
      <c r="C693">
        <v>138.38</v>
      </c>
      <c r="D693">
        <v>59.85</v>
      </c>
      <c r="E693" t="s">
        <v>11058</v>
      </c>
      <c r="F693" t="s">
        <v>195</v>
      </c>
      <c r="G693" t="s">
        <v>287</v>
      </c>
      <c r="H693" t="s">
        <v>7551</v>
      </c>
      <c r="I693" t="s">
        <v>70</v>
      </c>
      <c r="J693" t="s">
        <v>71</v>
      </c>
      <c r="K693">
        <v>32124.98</v>
      </c>
      <c r="L693">
        <v>166.08</v>
      </c>
      <c r="M693" t="s">
        <v>909</v>
      </c>
      <c r="N693">
        <v>519944</v>
      </c>
      <c r="O693">
        <v>70.28</v>
      </c>
      <c r="P693">
        <v>18.64</v>
      </c>
      <c r="Q693">
        <v>4.59</v>
      </c>
      <c r="R693">
        <v>1.0900000000000001</v>
      </c>
      <c r="S693">
        <v>19.73</v>
      </c>
      <c r="T693" t="s">
        <v>344</v>
      </c>
      <c r="U693">
        <v>1.73</v>
      </c>
      <c r="V693" t="s">
        <v>4066</v>
      </c>
      <c r="W693" t="s">
        <v>2447</v>
      </c>
      <c r="X693" t="s">
        <v>7566</v>
      </c>
      <c r="Y693" t="s">
        <v>11059</v>
      </c>
      <c r="Z693" t="s">
        <v>11060</v>
      </c>
      <c r="AA693">
        <v>2.36</v>
      </c>
      <c r="AB693" t="s">
        <v>349</v>
      </c>
      <c r="AC693" t="s">
        <v>11061</v>
      </c>
      <c r="AD693" t="s">
        <v>11062</v>
      </c>
      <c r="AE693" t="s">
        <v>3671</v>
      </c>
      <c r="AF693" t="s">
        <v>5610</v>
      </c>
      <c r="AG693" t="s">
        <v>10580</v>
      </c>
      <c r="AH693" t="s">
        <v>4154</v>
      </c>
      <c r="AI693" t="s">
        <v>5574</v>
      </c>
      <c r="AJ693" t="s">
        <v>1175</v>
      </c>
      <c r="AK693" t="s">
        <v>11063</v>
      </c>
      <c r="AL693">
        <v>0.93</v>
      </c>
      <c r="AM693">
        <v>0.88</v>
      </c>
      <c r="AN693">
        <v>4.8600000000000003</v>
      </c>
      <c r="AO693" t="s">
        <v>3059</v>
      </c>
      <c r="AP693" t="s">
        <v>2351</v>
      </c>
      <c r="AQ693" t="s">
        <v>9136</v>
      </c>
      <c r="AR693" t="s">
        <v>3613</v>
      </c>
      <c r="AS693" t="s">
        <v>4189</v>
      </c>
      <c r="AT693" t="s">
        <v>3874</v>
      </c>
      <c r="AU693" t="s">
        <v>8925</v>
      </c>
      <c r="AV693" t="s">
        <v>11064</v>
      </c>
      <c r="AW693" t="s">
        <v>4021</v>
      </c>
      <c r="AX693" t="s">
        <v>10809</v>
      </c>
      <c r="AY693" t="s">
        <v>4021</v>
      </c>
      <c r="AZ693" t="s">
        <v>11065</v>
      </c>
      <c r="BA693">
        <v>1.92</v>
      </c>
      <c r="BB693">
        <v>2762.72</v>
      </c>
      <c r="BC693">
        <v>0.66</v>
      </c>
      <c r="BD693">
        <v>162.96</v>
      </c>
      <c r="BE693">
        <v>168.17</v>
      </c>
      <c r="BF693">
        <v>163.98</v>
      </c>
      <c r="BG693" t="s">
        <v>11066</v>
      </c>
      <c r="BH693" t="s">
        <v>4021</v>
      </c>
      <c r="BI693" t="s">
        <v>11067</v>
      </c>
      <c r="BJ693" t="s">
        <v>101</v>
      </c>
      <c r="BK693" t="s">
        <v>6975</v>
      </c>
      <c r="BL693" t="s">
        <v>7910</v>
      </c>
      <c r="BM693" t="s">
        <v>11068</v>
      </c>
      <c r="BN693" t="s">
        <v>4063</v>
      </c>
    </row>
    <row r="694" spans="1:66" x14ac:dyDescent="0.25">
      <c r="A694" t="str">
        <f>HYPERLINK("https://elite.finviz.com/quote.ashx?t=UMAC&amp;ty=c&amp;p=d&amp;b=1", "UMAC")</f>
        <v>UMAC</v>
      </c>
      <c r="B694">
        <v>7</v>
      </c>
      <c r="C694">
        <v>138.38</v>
      </c>
      <c r="D694">
        <v>59.86</v>
      </c>
      <c r="E694" t="s">
        <v>11069</v>
      </c>
      <c r="F694" t="s">
        <v>107</v>
      </c>
      <c r="G694" t="s">
        <v>108</v>
      </c>
      <c r="H694" t="s">
        <v>496</v>
      </c>
      <c r="I694" t="s">
        <v>70</v>
      </c>
      <c r="J694" t="s">
        <v>383</v>
      </c>
      <c r="K694">
        <v>388.83</v>
      </c>
      <c r="L694">
        <v>12.77</v>
      </c>
      <c r="M694" t="s">
        <v>3031</v>
      </c>
      <c r="N694">
        <v>514637</v>
      </c>
      <c r="R694">
        <v>50.5</v>
      </c>
      <c r="S694">
        <v>6.29</v>
      </c>
      <c r="AA694">
        <v>-3.93</v>
      </c>
      <c r="AB694" t="s">
        <v>11070</v>
      </c>
      <c r="AD694" t="s">
        <v>11071</v>
      </c>
      <c r="AE694" t="s">
        <v>11072</v>
      </c>
      <c r="AF694" t="s">
        <v>11073</v>
      </c>
      <c r="AH694" t="s">
        <v>11074</v>
      </c>
      <c r="AI694" t="s">
        <v>11075</v>
      </c>
      <c r="AJ694" t="s">
        <v>4430</v>
      </c>
      <c r="AK694" t="s">
        <v>239</v>
      </c>
      <c r="AL694">
        <v>51.38</v>
      </c>
      <c r="AM694">
        <v>47.83</v>
      </c>
      <c r="AN694">
        <v>0.01</v>
      </c>
      <c r="AO694" t="s">
        <v>6704</v>
      </c>
      <c r="AP694" t="s">
        <v>11076</v>
      </c>
      <c r="AQ694" t="s">
        <v>11077</v>
      </c>
      <c r="AR694" t="s">
        <v>7555</v>
      </c>
      <c r="AS694" t="s">
        <v>2487</v>
      </c>
      <c r="AT694" t="s">
        <v>10254</v>
      </c>
      <c r="AU694" t="s">
        <v>3073</v>
      </c>
      <c r="AV694" t="s">
        <v>2519</v>
      </c>
      <c r="AW694" t="s">
        <v>2128</v>
      </c>
      <c r="AX694" t="s">
        <v>11078</v>
      </c>
      <c r="AY694" t="s">
        <v>11079</v>
      </c>
      <c r="AZ694" t="s">
        <v>11080</v>
      </c>
      <c r="BA694">
        <v>1</v>
      </c>
      <c r="BB694">
        <v>3842</v>
      </c>
      <c r="BC694">
        <v>0.47</v>
      </c>
      <c r="BD694">
        <v>13.11</v>
      </c>
      <c r="BE694">
        <v>13.2</v>
      </c>
      <c r="BF694">
        <v>12.51</v>
      </c>
      <c r="BG694" t="s">
        <v>11081</v>
      </c>
      <c r="BH694" t="s">
        <v>11079</v>
      </c>
      <c r="BI694" t="s">
        <v>11082</v>
      </c>
      <c r="BJ694" t="s">
        <v>101</v>
      </c>
      <c r="BK694" t="s">
        <v>11083</v>
      </c>
      <c r="BL694" t="s">
        <v>6240</v>
      </c>
      <c r="BM694" t="s">
        <v>11084</v>
      </c>
      <c r="BN694" t="s">
        <v>4063</v>
      </c>
    </row>
    <row r="695" spans="1:66" x14ac:dyDescent="0.25">
      <c r="A695" t="str">
        <f>HYPERLINK("https://elite.finviz.com/quote.ashx?t=GXO&amp;ty=c&amp;p=d&amp;b=1", "GXO")</f>
        <v>GXO</v>
      </c>
      <c r="B695">
        <v>7</v>
      </c>
      <c r="C695">
        <v>138.38</v>
      </c>
      <c r="D695">
        <v>59.88</v>
      </c>
      <c r="E695" t="s">
        <v>11085</v>
      </c>
      <c r="F695" t="s">
        <v>107</v>
      </c>
      <c r="G695" t="s">
        <v>260</v>
      </c>
      <c r="H695" t="s">
        <v>7853</v>
      </c>
      <c r="I695" t="s">
        <v>70</v>
      </c>
      <c r="J695" t="s">
        <v>71</v>
      </c>
      <c r="K695">
        <v>6091.13</v>
      </c>
      <c r="L695">
        <v>53.21</v>
      </c>
      <c r="M695" t="s">
        <v>2881</v>
      </c>
      <c r="N695">
        <v>156720</v>
      </c>
      <c r="O695">
        <v>100.81</v>
      </c>
      <c r="P695">
        <v>17.23</v>
      </c>
      <c r="Q695">
        <v>14.36</v>
      </c>
      <c r="R695">
        <v>0.48</v>
      </c>
      <c r="S695">
        <v>2.0699999999999998</v>
      </c>
      <c r="Z695" t="s">
        <v>164</v>
      </c>
      <c r="AA695">
        <v>0.53</v>
      </c>
      <c r="AB695" t="s">
        <v>3140</v>
      </c>
      <c r="AC695" t="s">
        <v>11086</v>
      </c>
      <c r="AD695" t="s">
        <v>1243</v>
      </c>
      <c r="AE695" t="s">
        <v>1819</v>
      </c>
      <c r="AF695" t="s">
        <v>4961</v>
      </c>
      <c r="AG695" t="s">
        <v>73</v>
      </c>
      <c r="AH695" t="s">
        <v>146</v>
      </c>
      <c r="AI695" t="s">
        <v>3443</v>
      </c>
      <c r="AJ695" t="s">
        <v>164</v>
      </c>
      <c r="AK695" t="s">
        <v>11087</v>
      </c>
      <c r="AL695">
        <v>0.76</v>
      </c>
      <c r="AM695">
        <v>0.76</v>
      </c>
      <c r="AN695">
        <v>1.91</v>
      </c>
      <c r="AO695" t="s">
        <v>330</v>
      </c>
      <c r="AP695" t="s">
        <v>2624</v>
      </c>
      <c r="AQ695" t="s">
        <v>3336</v>
      </c>
      <c r="AR695" t="s">
        <v>756</v>
      </c>
      <c r="AS695" t="s">
        <v>5256</v>
      </c>
      <c r="AT695" t="s">
        <v>2493</v>
      </c>
      <c r="AU695" t="s">
        <v>6121</v>
      </c>
      <c r="AV695" t="s">
        <v>9217</v>
      </c>
      <c r="AW695" t="s">
        <v>4222</v>
      </c>
      <c r="AX695" t="s">
        <v>2737</v>
      </c>
      <c r="AY695" t="s">
        <v>11088</v>
      </c>
      <c r="AZ695" t="s">
        <v>11089</v>
      </c>
      <c r="BA695">
        <v>1.39</v>
      </c>
      <c r="BB695">
        <v>1084.18</v>
      </c>
      <c r="BC695">
        <v>0.51</v>
      </c>
      <c r="BD695">
        <v>52.71</v>
      </c>
      <c r="BE695">
        <v>53.88</v>
      </c>
      <c r="BF695">
        <v>52.75</v>
      </c>
      <c r="BG695" t="s">
        <v>11090</v>
      </c>
      <c r="BH695" t="s">
        <v>11091</v>
      </c>
      <c r="BI695" t="s">
        <v>11089</v>
      </c>
      <c r="BJ695" t="s">
        <v>101</v>
      </c>
      <c r="BK695" t="s">
        <v>7616</v>
      </c>
      <c r="BL695" t="s">
        <v>10890</v>
      </c>
      <c r="BM695" t="s">
        <v>3035</v>
      </c>
      <c r="BN695" t="s">
        <v>4063</v>
      </c>
    </row>
    <row r="696" spans="1:66" x14ac:dyDescent="0.25">
      <c r="A696" t="str">
        <f>HYPERLINK("https://elite.finviz.com/quote.ashx?t=ALEC&amp;ty=c&amp;p=d&amp;b=1", "ALEC")</f>
        <v>ALEC</v>
      </c>
      <c r="B696">
        <v>7</v>
      </c>
      <c r="C696">
        <v>138.38</v>
      </c>
      <c r="D696">
        <v>59.91</v>
      </c>
      <c r="E696" t="s">
        <v>11092</v>
      </c>
      <c r="F696" t="s">
        <v>67</v>
      </c>
      <c r="G696" t="s">
        <v>428</v>
      </c>
      <c r="H696" t="s">
        <v>429</v>
      </c>
      <c r="I696" t="s">
        <v>70</v>
      </c>
      <c r="J696" t="s">
        <v>321</v>
      </c>
      <c r="K696">
        <v>311.23</v>
      </c>
      <c r="L696">
        <v>3.08</v>
      </c>
      <c r="M696" t="s">
        <v>7978</v>
      </c>
      <c r="N696">
        <v>135245</v>
      </c>
      <c r="R696">
        <v>3.84</v>
      </c>
      <c r="S696">
        <v>4.37</v>
      </c>
      <c r="AA696">
        <v>-1.17</v>
      </c>
      <c r="AB696" t="s">
        <v>11093</v>
      </c>
      <c r="AC696" t="s">
        <v>3148</v>
      </c>
      <c r="AD696" t="s">
        <v>8379</v>
      </c>
      <c r="AE696" t="s">
        <v>11094</v>
      </c>
      <c r="AF696" t="s">
        <v>2588</v>
      </c>
      <c r="AG696" t="s">
        <v>6794</v>
      </c>
      <c r="AH696" t="s">
        <v>8263</v>
      </c>
      <c r="AI696" t="s">
        <v>3185</v>
      </c>
      <c r="AJ696" t="s">
        <v>5312</v>
      </c>
      <c r="AK696" t="s">
        <v>11095</v>
      </c>
      <c r="AL696">
        <v>3.78</v>
      </c>
      <c r="AM696">
        <v>3.78</v>
      </c>
      <c r="AN696">
        <v>0.55000000000000004</v>
      </c>
      <c r="AO696" t="s">
        <v>8122</v>
      </c>
      <c r="AP696" t="s">
        <v>11096</v>
      </c>
      <c r="AQ696" t="s">
        <v>11097</v>
      </c>
      <c r="AR696" t="s">
        <v>296</v>
      </c>
      <c r="AS696" t="s">
        <v>2848</v>
      </c>
      <c r="AT696" t="s">
        <v>4686</v>
      </c>
      <c r="AU696" t="s">
        <v>11098</v>
      </c>
      <c r="AV696" t="s">
        <v>11099</v>
      </c>
      <c r="AW696" t="s">
        <v>6755</v>
      </c>
      <c r="AX696" t="s">
        <v>11100</v>
      </c>
      <c r="AY696" t="s">
        <v>11101</v>
      </c>
      <c r="AZ696" t="s">
        <v>11102</v>
      </c>
      <c r="BA696">
        <v>2</v>
      </c>
      <c r="BB696">
        <v>1107.96</v>
      </c>
      <c r="BC696">
        <v>0.43</v>
      </c>
      <c r="BD696">
        <v>2.93</v>
      </c>
      <c r="BE696">
        <v>3.08</v>
      </c>
      <c r="BF696">
        <v>2.93</v>
      </c>
      <c r="BG696" t="s">
        <v>11103</v>
      </c>
      <c r="BH696" t="s">
        <v>11104</v>
      </c>
      <c r="BI696" t="s">
        <v>11102</v>
      </c>
      <c r="BJ696" t="s">
        <v>101</v>
      </c>
      <c r="BK696" t="s">
        <v>11105</v>
      </c>
      <c r="BL696" t="s">
        <v>11106</v>
      </c>
      <c r="BM696" t="s">
        <v>11107</v>
      </c>
      <c r="BN696" t="s">
        <v>4063</v>
      </c>
    </row>
    <row r="697" spans="1:66" x14ac:dyDescent="0.25">
      <c r="A697" t="str">
        <f>HYPERLINK("https://elite.finviz.com/quote.ashx?t=SGD&amp;ty=c&amp;p=d&amp;b=1", "SGD")</f>
        <v>SGD</v>
      </c>
      <c r="B697">
        <v>7</v>
      </c>
      <c r="C697">
        <v>138.38</v>
      </c>
      <c r="D697">
        <v>59.93</v>
      </c>
      <c r="E697" t="s">
        <v>11108</v>
      </c>
      <c r="F697" t="s">
        <v>107</v>
      </c>
      <c r="G697" t="s">
        <v>68</v>
      </c>
      <c r="H697" t="s">
        <v>11109</v>
      </c>
      <c r="I697" t="s">
        <v>70</v>
      </c>
      <c r="J697" t="s">
        <v>321</v>
      </c>
      <c r="K697">
        <v>5.64</v>
      </c>
      <c r="L697">
        <v>1.5</v>
      </c>
      <c r="M697" t="s">
        <v>8830</v>
      </c>
      <c r="N697">
        <v>52788</v>
      </c>
      <c r="R697">
        <v>3.66</v>
      </c>
      <c r="S697">
        <v>1.08</v>
      </c>
      <c r="AA697">
        <v>-6.8</v>
      </c>
      <c r="AB697" t="s">
        <v>11110</v>
      </c>
      <c r="AE697" t="s">
        <v>11111</v>
      </c>
      <c r="AH697" t="s">
        <v>11112</v>
      </c>
      <c r="AJ697" t="s">
        <v>164</v>
      </c>
      <c r="AK697" t="s">
        <v>1822</v>
      </c>
      <c r="AL697">
        <v>0.12</v>
      </c>
      <c r="AM697">
        <v>0.09</v>
      </c>
      <c r="AN697">
        <v>6.34</v>
      </c>
      <c r="AO697" t="s">
        <v>11113</v>
      </c>
      <c r="AP697" t="s">
        <v>11114</v>
      </c>
      <c r="AQ697" t="s">
        <v>11115</v>
      </c>
      <c r="AR697" t="s">
        <v>2712</v>
      </c>
      <c r="AS697" t="s">
        <v>3918</v>
      </c>
      <c r="AT697" t="s">
        <v>11116</v>
      </c>
      <c r="AU697" t="s">
        <v>7134</v>
      </c>
      <c r="AV697" t="s">
        <v>1581</v>
      </c>
      <c r="AW697" t="s">
        <v>11117</v>
      </c>
      <c r="AX697" t="s">
        <v>11118</v>
      </c>
      <c r="AY697" t="s">
        <v>11119</v>
      </c>
      <c r="AZ697" t="s">
        <v>11120</v>
      </c>
      <c r="BB697">
        <v>2703.42</v>
      </c>
      <c r="BC697">
        <v>7.0000000000000007E-2</v>
      </c>
      <c r="BD697">
        <v>1.58</v>
      </c>
      <c r="BE697">
        <v>1.57</v>
      </c>
      <c r="BF697">
        <v>1.49</v>
      </c>
      <c r="BG697" t="s">
        <v>11121</v>
      </c>
      <c r="BH697" t="s">
        <v>11122</v>
      </c>
      <c r="BI697" t="s">
        <v>11120</v>
      </c>
      <c r="BJ697" t="s">
        <v>101</v>
      </c>
      <c r="BK697" t="s">
        <v>11123</v>
      </c>
      <c r="BL697" t="s">
        <v>3951</v>
      </c>
      <c r="BM697" t="s">
        <v>11124</v>
      </c>
      <c r="BN697" t="s">
        <v>4063</v>
      </c>
    </row>
    <row r="698" spans="1:66" x14ac:dyDescent="0.25">
      <c r="A698" t="str">
        <f>HYPERLINK("https://elite.finviz.com/quote.ashx?t=HOOD&amp;ty=c&amp;p=d&amp;b=1", "HOOD")</f>
        <v>HOOD</v>
      </c>
      <c r="B698">
        <v>7</v>
      </c>
      <c r="C698">
        <v>138.38</v>
      </c>
      <c r="D698">
        <v>59.95</v>
      </c>
      <c r="E698" t="s">
        <v>11125</v>
      </c>
      <c r="F698" t="s">
        <v>195</v>
      </c>
      <c r="G698" t="s">
        <v>550</v>
      </c>
      <c r="H698" t="s">
        <v>551</v>
      </c>
      <c r="I698" t="s">
        <v>70</v>
      </c>
      <c r="J698" t="s">
        <v>321</v>
      </c>
      <c r="K698">
        <v>108005.13</v>
      </c>
      <c r="L698">
        <v>121.54</v>
      </c>
      <c r="M698" t="s">
        <v>2374</v>
      </c>
      <c r="N698">
        <v>9602608</v>
      </c>
      <c r="O698">
        <v>61.73</v>
      </c>
      <c r="P698">
        <v>61.59</v>
      </c>
      <c r="Q698">
        <v>3.78</v>
      </c>
      <c r="R698">
        <v>30.11</v>
      </c>
      <c r="S698">
        <v>13.37</v>
      </c>
      <c r="Z698" t="s">
        <v>164</v>
      </c>
      <c r="AA698">
        <v>1.97</v>
      </c>
      <c r="AD698" t="s">
        <v>4250</v>
      </c>
      <c r="AE698" t="s">
        <v>11126</v>
      </c>
      <c r="AF698" t="s">
        <v>7866</v>
      </c>
      <c r="AG698" t="s">
        <v>11127</v>
      </c>
      <c r="AH698" t="s">
        <v>8761</v>
      </c>
      <c r="AI698" t="s">
        <v>11128</v>
      </c>
      <c r="AJ698" t="s">
        <v>10411</v>
      </c>
      <c r="AK698" t="s">
        <v>11129</v>
      </c>
      <c r="AL698">
        <v>1.25</v>
      </c>
      <c r="AM698">
        <v>1.25</v>
      </c>
      <c r="AN698">
        <v>1.96</v>
      </c>
      <c r="AO698" t="s">
        <v>11130</v>
      </c>
      <c r="AP698" t="s">
        <v>11131</v>
      </c>
      <c r="AQ698" t="s">
        <v>11132</v>
      </c>
      <c r="AR698" t="s">
        <v>1453</v>
      </c>
      <c r="AS698" t="s">
        <v>3520</v>
      </c>
      <c r="AT698" t="s">
        <v>754</v>
      </c>
      <c r="AU698" t="s">
        <v>4728</v>
      </c>
      <c r="AV698" t="s">
        <v>11133</v>
      </c>
      <c r="AW698" t="s">
        <v>4764</v>
      </c>
      <c r="AX698" t="s">
        <v>7673</v>
      </c>
      <c r="AY698" t="s">
        <v>4764</v>
      </c>
      <c r="AZ698" t="s">
        <v>11134</v>
      </c>
      <c r="BA698">
        <v>1.89</v>
      </c>
      <c r="BB698">
        <v>47627.44</v>
      </c>
      <c r="BC698">
        <v>0.71</v>
      </c>
      <c r="BD698">
        <v>122.65</v>
      </c>
      <c r="BE698">
        <v>125.06</v>
      </c>
      <c r="BF698">
        <v>120.86</v>
      </c>
      <c r="BG698" t="s">
        <v>11135</v>
      </c>
      <c r="BH698" t="s">
        <v>4764</v>
      </c>
      <c r="BI698" t="s">
        <v>11136</v>
      </c>
      <c r="BJ698" t="s">
        <v>101</v>
      </c>
      <c r="BK698" t="s">
        <v>2453</v>
      </c>
      <c r="BL698" t="s">
        <v>11137</v>
      </c>
      <c r="BM698" t="s">
        <v>11138</v>
      </c>
      <c r="BN698" t="s">
        <v>4063</v>
      </c>
    </row>
    <row r="699" spans="1:66" x14ac:dyDescent="0.25">
      <c r="A699" t="str">
        <f>HYPERLINK("https://elite.finviz.com/quote.ashx?t=RJF&amp;ty=c&amp;p=d&amp;b=1", "RJF")</f>
        <v>RJF</v>
      </c>
      <c r="B699">
        <v>7</v>
      </c>
      <c r="C699">
        <v>138.38</v>
      </c>
      <c r="D699">
        <v>60.03</v>
      </c>
      <c r="E699" t="s">
        <v>11139</v>
      </c>
      <c r="F699" t="s">
        <v>195</v>
      </c>
      <c r="G699" t="s">
        <v>550</v>
      </c>
      <c r="H699" t="s">
        <v>2597</v>
      </c>
      <c r="I699" t="s">
        <v>70</v>
      </c>
      <c r="J699" t="s">
        <v>71</v>
      </c>
      <c r="K699">
        <v>34696.800000000003</v>
      </c>
      <c r="L699">
        <v>174.02</v>
      </c>
      <c r="M699" t="s">
        <v>2650</v>
      </c>
      <c r="N699">
        <v>378825</v>
      </c>
      <c r="O699">
        <v>17.079999999999998</v>
      </c>
      <c r="P699">
        <v>14.87</v>
      </c>
      <c r="Q699">
        <v>1.76</v>
      </c>
      <c r="R699">
        <v>2.2000000000000002</v>
      </c>
      <c r="S699">
        <v>2.86</v>
      </c>
      <c r="T699" t="s">
        <v>2630</v>
      </c>
      <c r="U699">
        <v>1.95</v>
      </c>
      <c r="V699" t="s">
        <v>700</v>
      </c>
      <c r="W699" t="s">
        <v>5114</v>
      </c>
      <c r="X699" t="s">
        <v>7290</v>
      </c>
      <c r="Y699" t="s">
        <v>11140</v>
      </c>
      <c r="Z699" t="s">
        <v>731</v>
      </c>
      <c r="AA699">
        <v>10.19</v>
      </c>
      <c r="AB699" t="s">
        <v>7775</v>
      </c>
      <c r="AC699" t="s">
        <v>11141</v>
      </c>
      <c r="AD699" t="s">
        <v>2403</v>
      </c>
      <c r="AE699" t="s">
        <v>10557</v>
      </c>
      <c r="AF699" t="s">
        <v>1216</v>
      </c>
      <c r="AG699" t="s">
        <v>3924</v>
      </c>
      <c r="AH699" t="s">
        <v>3433</v>
      </c>
      <c r="AI699" t="s">
        <v>8230</v>
      </c>
      <c r="AJ699" t="s">
        <v>3752</v>
      </c>
      <c r="AK699" t="s">
        <v>11142</v>
      </c>
      <c r="AL699">
        <v>1.97</v>
      </c>
      <c r="AM699">
        <v>1.97</v>
      </c>
      <c r="AN699">
        <v>0.35</v>
      </c>
      <c r="AO699" t="s">
        <v>11143</v>
      </c>
      <c r="AP699" t="s">
        <v>10775</v>
      </c>
      <c r="AQ699" t="s">
        <v>4620</v>
      </c>
      <c r="AR699" t="s">
        <v>2640</v>
      </c>
      <c r="AS699" t="s">
        <v>3856</v>
      </c>
      <c r="AT699" t="s">
        <v>5660</v>
      </c>
      <c r="AU699" t="s">
        <v>2647</v>
      </c>
      <c r="AV699" t="s">
        <v>3243</v>
      </c>
      <c r="AW699" t="s">
        <v>1180</v>
      </c>
      <c r="AX699" t="s">
        <v>904</v>
      </c>
      <c r="AY699" t="s">
        <v>1180</v>
      </c>
      <c r="AZ699" t="s">
        <v>11144</v>
      </c>
      <c r="BA699">
        <v>2.4700000000000002</v>
      </c>
      <c r="BB699">
        <v>1060.47</v>
      </c>
      <c r="BC699">
        <v>1.26</v>
      </c>
      <c r="BD699">
        <v>171.89</v>
      </c>
      <c r="BE699">
        <v>176.32</v>
      </c>
      <c r="BF699">
        <v>172.65</v>
      </c>
      <c r="BG699" t="s">
        <v>11145</v>
      </c>
      <c r="BH699" t="s">
        <v>1180</v>
      </c>
      <c r="BI699" t="s">
        <v>11146</v>
      </c>
      <c r="BJ699" t="s">
        <v>101</v>
      </c>
      <c r="BK699" t="s">
        <v>7116</v>
      </c>
      <c r="BL699" t="s">
        <v>11147</v>
      </c>
      <c r="BM699" t="s">
        <v>11148</v>
      </c>
      <c r="BN699" t="s">
        <v>4063</v>
      </c>
    </row>
    <row r="700" spans="1:66" x14ac:dyDescent="0.25">
      <c r="A700" t="str">
        <f>HYPERLINK("https://elite.finviz.com/quote.ashx?t=STT&amp;ty=c&amp;p=d&amp;b=1", "STT")</f>
        <v>STT</v>
      </c>
      <c r="B700">
        <v>7</v>
      </c>
      <c r="C700">
        <v>138.38</v>
      </c>
      <c r="D700">
        <v>60.06</v>
      </c>
      <c r="E700" t="s">
        <v>11149</v>
      </c>
      <c r="F700" t="s">
        <v>195</v>
      </c>
      <c r="G700" t="s">
        <v>550</v>
      </c>
      <c r="H700" t="s">
        <v>2597</v>
      </c>
      <c r="I700" t="s">
        <v>70</v>
      </c>
      <c r="J700" t="s">
        <v>71</v>
      </c>
      <c r="K700">
        <v>32637.73</v>
      </c>
      <c r="L700">
        <v>115.04</v>
      </c>
      <c r="M700" t="s">
        <v>3047</v>
      </c>
      <c r="N700">
        <v>181072</v>
      </c>
      <c r="O700">
        <v>12.89</v>
      </c>
      <c r="P700">
        <v>10.49</v>
      </c>
      <c r="Q700">
        <v>0.98</v>
      </c>
      <c r="R700">
        <v>1.51</v>
      </c>
      <c r="S700">
        <v>1.38</v>
      </c>
      <c r="T700" t="s">
        <v>5780</v>
      </c>
      <c r="U700">
        <v>3.04</v>
      </c>
      <c r="V700" t="s">
        <v>700</v>
      </c>
      <c r="W700" t="s">
        <v>2877</v>
      </c>
      <c r="X700" t="s">
        <v>6344</v>
      </c>
      <c r="Y700" t="s">
        <v>3837</v>
      </c>
      <c r="Z700" t="s">
        <v>11150</v>
      </c>
      <c r="AA700">
        <v>8.92</v>
      </c>
      <c r="AB700" t="s">
        <v>247</v>
      </c>
      <c r="AC700" t="s">
        <v>2000</v>
      </c>
      <c r="AD700" t="s">
        <v>3430</v>
      </c>
      <c r="AE700" t="s">
        <v>11151</v>
      </c>
      <c r="AF700" t="s">
        <v>11152</v>
      </c>
      <c r="AG700" t="s">
        <v>6076</v>
      </c>
      <c r="AH700" t="s">
        <v>5969</v>
      </c>
      <c r="AI700" t="s">
        <v>2406</v>
      </c>
      <c r="AJ700" t="s">
        <v>11153</v>
      </c>
      <c r="AK700" t="s">
        <v>11154</v>
      </c>
      <c r="AL700">
        <v>3.81</v>
      </c>
      <c r="AN700">
        <v>1.4</v>
      </c>
      <c r="AP700" t="s">
        <v>1205</v>
      </c>
      <c r="AQ700" t="s">
        <v>2471</v>
      </c>
      <c r="AR700" t="s">
        <v>2720</v>
      </c>
      <c r="AS700" t="s">
        <v>908</v>
      </c>
      <c r="AT700" t="s">
        <v>3118</v>
      </c>
      <c r="AU700" t="s">
        <v>387</v>
      </c>
      <c r="AV700" t="s">
        <v>6387</v>
      </c>
      <c r="AW700" t="s">
        <v>5789</v>
      </c>
      <c r="AX700" t="s">
        <v>230</v>
      </c>
      <c r="AY700" t="s">
        <v>5789</v>
      </c>
      <c r="AZ700" t="s">
        <v>11155</v>
      </c>
      <c r="BA700">
        <v>1.89</v>
      </c>
      <c r="BB700">
        <v>1916.81</v>
      </c>
      <c r="BC700">
        <v>0.33</v>
      </c>
      <c r="BD700">
        <v>114.24</v>
      </c>
      <c r="BE700">
        <v>115.98</v>
      </c>
      <c r="BF700">
        <v>114.76</v>
      </c>
      <c r="BG700" t="s">
        <v>11156</v>
      </c>
      <c r="BH700" t="s">
        <v>5789</v>
      </c>
      <c r="BI700" t="s">
        <v>11157</v>
      </c>
      <c r="BJ700" t="s">
        <v>101</v>
      </c>
      <c r="BK700" t="s">
        <v>1700</v>
      </c>
      <c r="BL700" t="s">
        <v>9399</v>
      </c>
      <c r="BM700" t="s">
        <v>6926</v>
      </c>
      <c r="BN700" t="s">
        <v>4063</v>
      </c>
    </row>
    <row r="701" spans="1:66" x14ac:dyDescent="0.25">
      <c r="A701" t="str">
        <f>HYPERLINK("https://elite.finviz.com/quote.ashx?t=MDB&amp;ty=c&amp;p=d&amp;b=1", "MDB")</f>
        <v>MDB</v>
      </c>
      <c r="B701">
        <v>7</v>
      </c>
      <c r="C701">
        <v>138.38</v>
      </c>
      <c r="D701">
        <v>60.06</v>
      </c>
      <c r="E701" t="s">
        <v>11158</v>
      </c>
      <c r="F701" t="s">
        <v>107</v>
      </c>
      <c r="G701" t="s">
        <v>108</v>
      </c>
      <c r="H701" t="s">
        <v>109</v>
      </c>
      <c r="I701" t="s">
        <v>70</v>
      </c>
      <c r="J701" t="s">
        <v>321</v>
      </c>
      <c r="K701">
        <v>25645.31</v>
      </c>
      <c r="L701">
        <v>315.22000000000003</v>
      </c>
      <c r="M701" t="s">
        <v>3598</v>
      </c>
      <c r="N701">
        <v>233634</v>
      </c>
      <c r="P701">
        <v>71.819999999999993</v>
      </c>
      <c r="R701">
        <v>11.56</v>
      </c>
      <c r="S701">
        <v>8.73</v>
      </c>
      <c r="AA701">
        <v>-0.99</v>
      </c>
      <c r="AB701" t="s">
        <v>4668</v>
      </c>
      <c r="AC701" t="s">
        <v>11159</v>
      </c>
      <c r="AD701" t="s">
        <v>8848</v>
      </c>
      <c r="AE701" t="s">
        <v>8290</v>
      </c>
      <c r="AF701" t="s">
        <v>474</v>
      </c>
      <c r="AG701" t="s">
        <v>11160</v>
      </c>
      <c r="AH701" t="s">
        <v>7139</v>
      </c>
      <c r="AI701" t="s">
        <v>8563</v>
      </c>
      <c r="AJ701" t="s">
        <v>7165</v>
      </c>
      <c r="AK701" t="s">
        <v>11161</v>
      </c>
      <c r="AL701">
        <v>5.46</v>
      </c>
      <c r="AM701">
        <v>5.46</v>
      </c>
      <c r="AN701">
        <v>0.02</v>
      </c>
      <c r="AO701" t="s">
        <v>11162</v>
      </c>
      <c r="AP701" t="s">
        <v>11163</v>
      </c>
      <c r="AQ701" t="s">
        <v>8542</v>
      </c>
      <c r="AR701" t="s">
        <v>744</v>
      </c>
      <c r="AS701" t="s">
        <v>4324</v>
      </c>
      <c r="AT701" t="s">
        <v>8293</v>
      </c>
      <c r="AU701" t="s">
        <v>11164</v>
      </c>
      <c r="AV701" t="s">
        <v>11165</v>
      </c>
      <c r="AW701" t="s">
        <v>5964</v>
      </c>
      <c r="AX701" t="s">
        <v>7023</v>
      </c>
      <c r="AY701" t="s">
        <v>11166</v>
      </c>
      <c r="AZ701" t="s">
        <v>11167</v>
      </c>
      <c r="BA701">
        <v>1.62</v>
      </c>
      <c r="BB701">
        <v>2822.58</v>
      </c>
      <c r="BC701">
        <v>0.28999999999999998</v>
      </c>
      <c r="BD701">
        <v>315.32</v>
      </c>
      <c r="BE701">
        <v>317.45999999999998</v>
      </c>
      <c r="BF701">
        <v>313.99</v>
      </c>
      <c r="BG701" t="s">
        <v>11168</v>
      </c>
      <c r="BH701" t="s">
        <v>11169</v>
      </c>
      <c r="BI701" t="s">
        <v>11170</v>
      </c>
      <c r="BJ701" t="s">
        <v>101</v>
      </c>
      <c r="BK701" t="s">
        <v>11171</v>
      </c>
      <c r="BL701" t="s">
        <v>11172</v>
      </c>
      <c r="BM701" t="s">
        <v>6329</v>
      </c>
      <c r="BN701" t="s">
        <v>4063</v>
      </c>
    </row>
    <row r="702" spans="1:66" x14ac:dyDescent="0.25">
      <c r="A702" t="str">
        <f>HYPERLINK("https://elite.finviz.com/quote.ashx?t=LNT&amp;ty=c&amp;p=d&amp;b=1", "LNT")</f>
        <v>LNT</v>
      </c>
      <c r="B702">
        <v>7</v>
      </c>
      <c r="C702">
        <v>138.38</v>
      </c>
      <c r="D702">
        <v>60.09</v>
      </c>
      <c r="E702" t="s">
        <v>11173</v>
      </c>
      <c r="F702" t="s">
        <v>195</v>
      </c>
      <c r="G702" t="s">
        <v>287</v>
      </c>
      <c r="H702" t="s">
        <v>676</v>
      </c>
      <c r="I702" t="s">
        <v>70</v>
      </c>
      <c r="J702" t="s">
        <v>321</v>
      </c>
      <c r="K702">
        <v>16908.57</v>
      </c>
      <c r="L702">
        <v>65.8</v>
      </c>
      <c r="M702" t="s">
        <v>2864</v>
      </c>
      <c r="N702">
        <v>366608</v>
      </c>
      <c r="O702">
        <v>20.329999999999998</v>
      </c>
      <c r="P702">
        <v>19.16</v>
      </c>
      <c r="Q702">
        <v>3.02</v>
      </c>
      <c r="R702">
        <v>4.08</v>
      </c>
      <c r="S702">
        <v>2.36</v>
      </c>
      <c r="T702" t="s">
        <v>3638</v>
      </c>
      <c r="U702">
        <v>2</v>
      </c>
      <c r="V702" t="s">
        <v>5604</v>
      </c>
      <c r="W702" t="s">
        <v>1204</v>
      </c>
      <c r="X702" t="s">
        <v>8460</v>
      </c>
      <c r="Y702" t="s">
        <v>7767</v>
      </c>
      <c r="Z702" t="s">
        <v>11174</v>
      </c>
      <c r="AA702">
        <v>3.24</v>
      </c>
      <c r="AB702" t="s">
        <v>5036</v>
      </c>
      <c r="AC702" t="s">
        <v>2080</v>
      </c>
      <c r="AD702" t="s">
        <v>2945</v>
      </c>
      <c r="AE702" t="s">
        <v>4659</v>
      </c>
      <c r="AF702" t="s">
        <v>4945</v>
      </c>
      <c r="AG702" t="s">
        <v>5084</v>
      </c>
      <c r="AH702" t="s">
        <v>2193</v>
      </c>
      <c r="AI702" t="s">
        <v>3601</v>
      </c>
      <c r="AJ702" t="s">
        <v>164</v>
      </c>
      <c r="AK702" t="s">
        <v>11175</v>
      </c>
      <c r="AL702">
        <v>0.56999999999999995</v>
      </c>
      <c r="AM702">
        <v>0.46</v>
      </c>
      <c r="AN702">
        <v>1.58</v>
      </c>
      <c r="AO702" t="s">
        <v>6517</v>
      </c>
      <c r="AP702" t="s">
        <v>3864</v>
      </c>
      <c r="AQ702" t="s">
        <v>11176</v>
      </c>
      <c r="AR702" t="s">
        <v>4881</v>
      </c>
      <c r="AS702" t="s">
        <v>1417</v>
      </c>
      <c r="AT702" t="s">
        <v>2087</v>
      </c>
      <c r="AU702" t="s">
        <v>5380</v>
      </c>
      <c r="AV702" t="s">
        <v>1826</v>
      </c>
      <c r="AW702" t="s">
        <v>1119</v>
      </c>
      <c r="AX702" t="s">
        <v>7971</v>
      </c>
      <c r="AY702" t="s">
        <v>1119</v>
      </c>
      <c r="AZ702" t="s">
        <v>1005</v>
      </c>
      <c r="BA702">
        <v>2.36</v>
      </c>
      <c r="BB702">
        <v>1885.09</v>
      </c>
      <c r="BC702">
        <v>0.69</v>
      </c>
      <c r="BD702">
        <v>65.2</v>
      </c>
      <c r="BE702">
        <v>66.25</v>
      </c>
      <c r="BF702">
        <v>65.489999999999995</v>
      </c>
      <c r="BG702" t="s">
        <v>11177</v>
      </c>
      <c r="BH702" t="s">
        <v>1119</v>
      </c>
      <c r="BI702" t="s">
        <v>11178</v>
      </c>
      <c r="BJ702" t="s">
        <v>101</v>
      </c>
      <c r="BK702" t="s">
        <v>2984</v>
      </c>
      <c r="BL702" t="s">
        <v>353</v>
      </c>
      <c r="BM702" t="s">
        <v>2605</v>
      </c>
      <c r="BN702" t="s">
        <v>4063</v>
      </c>
    </row>
    <row r="703" spans="1:66" x14ac:dyDescent="0.25">
      <c r="A703" t="str">
        <f>HYPERLINK("https://elite.finviz.com/quote.ashx?t=CDNA&amp;ty=c&amp;p=d&amp;b=1", "CDNA")</f>
        <v>CDNA</v>
      </c>
      <c r="B703">
        <v>7</v>
      </c>
      <c r="C703">
        <v>138.38</v>
      </c>
      <c r="D703">
        <v>60.09</v>
      </c>
      <c r="E703" t="s">
        <v>11179</v>
      </c>
      <c r="F703" t="s">
        <v>67</v>
      </c>
      <c r="G703" t="s">
        <v>428</v>
      </c>
      <c r="H703" t="s">
        <v>4202</v>
      </c>
      <c r="I703" t="s">
        <v>70</v>
      </c>
      <c r="J703" t="s">
        <v>321</v>
      </c>
      <c r="K703">
        <v>796.8</v>
      </c>
      <c r="L703">
        <v>14.97</v>
      </c>
      <c r="M703" t="s">
        <v>4782</v>
      </c>
      <c r="N703">
        <v>382988</v>
      </c>
      <c r="O703">
        <v>14.66</v>
      </c>
      <c r="R703">
        <v>2.34</v>
      </c>
      <c r="S703">
        <v>2.4300000000000002</v>
      </c>
      <c r="Z703" t="s">
        <v>164</v>
      </c>
      <c r="AA703">
        <v>1.02</v>
      </c>
      <c r="AE703" t="s">
        <v>5082</v>
      </c>
      <c r="AF703" t="s">
        <v>4795</v>
      </c>
      <c r="AG703" t="s">
        <v>4851</v>
      </c>
      <c r="AH703" t="s">
        <v>1892</v>
      </c>
      <c r="AI703" t="s">
        <v>8254</v>
      </c>
      <c r="AJ703" t="s">
        <v>2431</v>
      </c>
      <c r="AK703" t="s">
        <v>9041</v>
      </c>
      <c r="AL703">
        <v>3.3</v>
      </c>
      <c r="AM703">
        <v>3</v>
      </c>
      <c r="AN703">
        <v>0.09</v>
      </c>
      <c r="AO703" t="s">
        <v>11180</v>
      </c>
      <c r="AP703" t="s">
        <v>6088</v>
      </c>
      <c r="AQ703" t="s">
        <v>1643</v>
      </c>
      <c r="AR703" t="s">
        <v>5885</v>
      </c>
      <c r="AS703" t="s">
        <v>2732</v>
      </c>
      <c r="AT703" t="s">
        <v>2386</v>
      </c>
      <c r="AU703" t="s">
        <v>6748</v>
      </c>
      <c r="AV703" t="s">
        <v>11181</v>
      </c>
      <c r="AW703" t="s">
        <v>11182</v>
      </c>
      <c r="AX703" t="s">
        <v>11183</v>
      </c>
      <c r="AY703" t="s">
        <v>11184</v>
      </c>
      <c r="AZ703" t="s">
        <v>11183</v>
      </c>
      <c r="BA703">
        <v>1.89</v>
      </c>
      <c r="BB703">
        <v>1679.84</v>
      </c>
      <c r="BC703">
        <v>0.8</v>
      </c>
      <c r="BD703">
        <v>14.87</v>
      </c>
      <c r="BE703">
        <v>15.16</v>
      </c>
      <c r="BF703">
        <v>14.68</v>
      </c>
      <c r="BG703" t="s">
        <v>11185</v>
      </c>
      <c r="BH703" t="s">
        <v>11186</v>
      </c>
      <c r="BI703" t="s">
        <v>11187</v>
      </c>
      <c r="BJ703" t="s">
        <v>101</v>
      </c>
      <c r="BK703" t="s">
        <v>11188</v>
      </c>
      <c r="BL703" t="s">
        <v>11189</v>
      </c>
      <c r="BM703" t="s">
        <v>11190</v>
      </c>
      <c r="BN703" t="s">
        <v>4063</v>
      </c>
    </row>
    <row r="704" spans="1:66" x14ac:dyDescent="0.25">
      <c r="A704" t="str">
        <f>HYPERLINK("https://elite.finviz.com/quote.ashx?t=TLN&amp;ty=c&amp;p=d&amp;b=1", "TLN")</f>
        <v>TLN</v>
      </c>
      <c r="B704">
        <v>7</v>
      </c>
      <c r="C704">
        <v>138.38</v>
      </c>
      <c r="D704">
        <v>60.13</v>
      </c>
      <c r="E704" t="s">
        <v>11191</v>
      </c>
      <c r="F704" t="s">
        <v>107</v>
      </c>
      <c r="G704" t="s">
        <v>287</v>
      </c>
      <c r="H704" t="s">
        <v>7551</v>
      </c>
      <c r="I704" t="s">
        <v>70</v>
      </c>
      <c r="J704" t="s">
        <v>321</v>
      </c>
      <c r="K704">
        <v>18764.330000000002</v>
      </c>
      <c r="L704">
        <v>410.73</v>
      </c>
      <c r="M704" t="s">
        <v>164</v>
      </c>
      <c r="N704">
        <v>88325</v>
      </c>
      <c r="O704">
        <v>117.27</v>
      </c>
      <c r="P704">
        <v>20.399999999999999</v>
      </c>
      <c r="Q704">
        <v>10.29</v>
      </c>
      <c r="R704">
        <v>5.0999999999999996</v>
      </c>
      <c r="S704">
        <v>15.05</v>
      </c>
      <c r="Z704" t="s">
        <v>164</v>
      </c>
      <c r="AA704">
        <v>3.5</v>
      </c>
      <c r="AD704" t="s">
        <v>7605</v>
      </c>
      <c r="AE704" t="s">
        <v>11192</v>
      </c>
      <c r="AF704" t="s">
        <v>11193</v>
      </c>
      <c r="AH704" t="s">
        <v>11194</v>
      </c>
      <c r="AI704" t="s">
        <v>11195</v>
      </c>
      <c r="AJ704" t="s">
        <v>11196</v>
      </c>
      <c r="AK704" t="s">
        <v>1261</v>
      </c>
      <c r="AL704">
        <v>1.84</v>
      </c>
      <c r="AM704">
        <v>1.34</v>
      </c>
      <c r="AN704">
        <v>2.46</v>
      </c>
      <c r="AO704" t="s">
        <v>1649</v>
      </c>
      <c r="AP704" t="s">
        <v>1117</v>
      </c>
      <c r="AQ704" t="s">
        <v>6419</v>
      </c>
      <c r="AR704" t="s">
        <v>862</v>
      </c>
      <c r="AS704" t="s">
        <v>911</v>
      </c>
      <c r="AT704" t="s">
        <v>8016</v>
      </c>
      <c r="AU704" t="s">
        <v>2848</v>
      </c>
      <c r="AV704" t="s">
        <v>11197</v>
      </c>
      <c r="AW704" t="s">
        <v>4559</v>
      </c>
      <c r="AX704" t="s">
        <v>10448</v>
      </c>
      <c r="AY704" t="s">
        <v>4559</v>
      </c>
      <c r="AZ704" t="s">
        <v>11198</v>
      </c>
      <c r="BA704">
        <v>1.41</v>
      </c>
      <c r="BB704">
        <v>1187.02</v>
      </c>
      <c r="BC704">
        <v>0.26</v>
      </c>
      <c r="BD704">
        <v>410.72</v>
      </c>
      <c r="BE704">
        <v>415.8</v>
      </c>
      <c r="BF704">
        <v>412.28</v>
      </c>
      <c r="BG704" t="s">
        <v>11199</v>
      </c>
      <c r="BH704" t="s">
        <v>4559</v>
      </c>
      <c r="BI704" t="s">
        <v>11200</v>
      </c>
      <c r="BJ704" t="s">
        <v>101</v>
      </c>
      <c r="BK704" t="s">
        <v>11201</v>
      </c>
      <c r="BL704" t="s">
        <v>11202</v>
      </c>
      <c r="BM704" t="s">
        <v>11203</v>
      </c>
      <c r="BN704" t="s">
        <v>4063</v>
      </c>
    </row>
    <row r="705" spans="1:66" x14ac:dyDescent="0.25">
      <c r="A705" t="str">
        <f>HYPERLINK("https://elite.finviz.com/quote.ashx?t=RIOT&amp;ty=c&amp;p=d&amp;b=1", "RIOT")</f>
        <v>RIOT</v>
      </c>
      <c r="B705">
        <v>7</v>
      </c>
      <c r="C705">
        <v>138.38</v>
      </c>
      <c r="D705">
        <v>60.14</v>
      </c>
      <c r="E705" t="s">
        <v>11204</v>
      </c>
      <c r="F705" t="s">
        <v>67</v>
      </c>
      <c r="G705" t="s">
        <v>550</v>
      </c>
      <c r="H705" t="s">
        <v>551</v>
      </c>
      <c r="I705" t="s">
        <v>70</v>
      </c>
      <c r="J705" t="s">
        <v>321</v>
      </c>
      <c r="K705">
        <v>6220.76</v>
      </c>
      <c r="L705">
        <v>16.829999999999998</v>
      </c>
      <c r="M705" t="s">
        <v>4901</v>
      </c>
      <c r="N705">
        <v>20068148</v>
      </c>
      <c r="R705">
        <v>11.48</v>
      </c>
      <c r="S705">
        <v>1.85</v>
      </c>
      <c r="V705" t="s">
        <v>11205</v>
      </c>
      <c r="Z705" t="s">
        <v>164</v>
      </c>
      <c r="AA705">
        <v>-0.46</v>
      </c>
      <c r="AE705" t="s">
        <v>11206</v>
      </c>
      <c r="AF705" t="s">
        <v>5933</v>
      </c>
      <c r="AG705" t="s">
        <v>11207</v>
      </c>
      <c r="AH705" t="s">
        <v>11208</v>
      </c>
      <c r="AI705" t="s">
        <v>11209</v>
      </c>
      <c r="AJ705" t="s">
        <v>3484</v>
      </c>
      <c r="AK705" t="s">
        <v>8472</v>
      </c>
      <c r="AL705">
        <v>1.38</v>
      </c>
      <c r="AM705">
        <v>1.38</v>
      </c>
      <c r="AN705">
        <v>0.26</v>
      </c>
      <c r="AO705" t="s">
        <v>11210</v>
      </c>
      <c r="AP705" t="s">
        <v>11211</v>
      </c>
      <c r="AQ705" t="s">
        <v>6320</v>
      </c>
      <c r="AR705" t="s">
        <v>2515</v>
      </c>
      <c r="AS705" t="s">
        <v>5025</v>
      </c>
      <c r="AT705" t="s">
        <v>6183</v>
      </c>
      <c r="AU705" t="s">
        <v>11212</v>
      </c>
      <c r="AV705" t="s">
        <v>838</v>
      </c>
      <c r="AW705" t="s">
        <v>11213</v>
      </c>
      <c r="AX705" t="s">
        <v>11214</v>
      </c>
      <c r="AY705" t="s">
        <v>11213</v>
      </c>
      <c r="AZ705" t="s">
        <v>11215</v>
      </c>
      <c r="BA705">
        <v>1.18</v>
      </c>
      <c r="BB705">
        <v>40415.46</v>
      </c>
      <c r="BC705">
        <v>1.75</v>
      </c>
      <c r="BD705">
        <v>16.739999999999998</v>
      </c>
      <c r="BE705">
        <v>17.96</v>
      </c>
      <c r="BF705">
        <v>16.48</v>
      </c>
      <c r="BG705" t="s">
        <v>11216</v>
      </c>
      <c r="BH705" t="s">
        <v>11217</v>
      </c>
      <c r="BI705" t="s">
        <v>11218</v>
      </c>
      <c r="BJ705" t="s">
        <v>101</v>
      </c>
      <c r="BK705" t="s">
        <v>8347</v>
      </c>
      <c r="BL705" t="s">
        <v>11219</v>
      </c>
      <c r="BM705" t="s">
        <v>11220</v>
      </c>
      <c r="BN705" t="s">
        <v>4063</v>
      </c>
    </row>
    <row r="706" spans="1:66" x14ac:dyDescent="0.25">
      <c r="A706" t="str">
        <f>HYPERLINK("https://elite.finviz.com/quote.ashx?t=PRME&amp;ty=c&amp;p=d&amp;b=1", "PRME")</f>
        <v>PRME</v>
      </c>
      <c r="B706">
        <v>7</v>
      </c>
      <c r="C706">
        <v>138.38</v>
      </c>
      <c r="D706">
        <v>60.15</v>
      </c>
      <c r="E706" t="s">
        <v>11221</v>
      </c>
      <c r="F706" t="s">
        <v>67</v>
      </c>
      <c r="G706" t="s">
        <v>428</v>
      </c>
      <c r="H706" t="s">
        <v>429</v>
      </c>
      <c r="I706" t="s">
        <v>70</v>
      </c>
      <c r="J706" t="s">
        <v>321</v>
      </c>
      <c r="K706">
        <v>883.85</v>
      </c>
      <c r="L706">
        <v>4.96</v>
      </c>
      <c r="M706" t="s">
        <v>8121</v>
      </c>
      <c r="N706">
        <v>839119</v>
      </c>
      <c r="R706">
        <v>178.2</v>
      </c>
      <c r="S706">
        <v>10.96</v>
      </c>
      <c r="AA706">
        <v>-1.6</v>
      </c>
      <c r="AB706" t="s">
        <v>7978</v>
      </c>
      <c r="AC706" t="s">
        <v>11222</v>
      </c>
      <c r="AD706" t="s">
        <v>1035</v>
      </c>
      <c r="AE706" t="s">
        <v>11223</v>
      </c>
      <c r="AI706" t="s">
        <v>4770</v>
      </c>
      <c r="AJ706" t="s">
        <v>7847</v>
      </c>
      <c r="AK706" t="s">
        <v>1007</v>
      </c>
      <c r="AL706">
        <v>3.56</v>
      </c>
      <c r="AM706">
        <v>3.56</v>
      </c>
      <c r="AN706">
        <v>1.97</v>
      </c>
      <c r="AO706" t="s">
        <v>11224</v>
      </c>
      <c r="AP706" t="s">
        <v>11225</v>
      </c>
      <c r="AQ706" t="s">
        <v>11226</v>
      </c>
      <c r="AR706" t="s">
        <v>2655</v>
      </c>
      <c r="AS706" t="s">
        <v>776</v>
      </c>
      <c r="AT706" t="s">
        <v>5897</v>
      </c>
      <c r="AU706" t="s">
        <v>5041</v>
      </c>
      <c r="AV706" t="s">
        <v>6389</v>
      </c>
      <c r="AW706" t="s">
        <v>388</v>
      </c>
      <c r="AX706" t="s">
        <v>11227</v>
      </c>
      <c r="AY706" t="s">
        <v>388</v>
      </c>
      <c r="AZ706" t="s">
        <v>11228</v>
      </c>
      <c r="BA706">
        <v>1.73</v>
      </c>
      <c r="BB706">
        <v>4292.6899999999996</v>
      </c>
      <c r="BC706">
        <v>0.69</v>
      </c>
      <c r="BD706">
        <v>5.22</v>
      </c>
      <c r="BE706">
        <v>5.3</v>
      </c>
      <c r="BF706">
        <v>4.91</v>
      </c>
      <c r="BG706" t="s">
        <v>11229</v>
      </c>
      <c r="BH706" t="s">
        <v>11230</v>
      </c>
      <c r="BI706" t="s">
        <v>11228</v>
      </c>
      <c r="BJ706" t="s">
        <v>101</v>
      </c>
      <c r="BK706" t="s">
        <v>11231</v>
      </c>
      <c r="BL706" t="s">
        <v>11232</v>
      </c>
      <c r="BM706" t="s">
        <v>11233</v>
      </c>
      <c r="BN706" t="s">
        <v>4063</v>
      </c>
    </row>
    <row r="707" spans="1:66" x14ac:dyDescent="0.25">
      <c r="A707" t="str">
        <f>HYPERLINK("https://elite.finviz.com/quote.ashx?t=GE&amp;ty=c&amp;p=d&amp;b=1", "GE")</f>
        <v>GE</v>
      </c>
      <c r="B707">
        <v>7</v>
      </c>
      <c r="C707">
        <v>138.38</v>
      </c>
      <c r="D707">
        <v>60.19</v>
      </c>
      <c r="E707" t="s">
        <v>11234</v>
      </c>
      <c r="F707" t="s">
        <v>195</v>
      </c>
      <c r="G707" t="s">
        <v>260</v>
      </c>
      <c r="H707" t="s">
        <v>4779</v>
      </c>
      <c r="I707" t="s">
        <v>70</v>
      </c>
      <c r="J707" t="s">
        <v>71</v>
      </c>
      <c r="K707">
        <v>312691.74</v>
      </c>
      <c r="L707">
        <v>294.87</v>
      </c>
      <c r="M707" t="s">
        <v>241</v>
      </c>
      <c r="N707">
        <v>1080148</v>
      </c>
      <c r="O707">
        <v>41.16</v>
      </c>
      <c r="P707">
        <v>42.82</v>
      </c>
      <c r="Q707">
        <v>2.09</v>
      </c>
      <c r="R707">
        <v>7.51</v>
      </c>
      <c r="S707">
        <v>16.34</v>
      </c>
      <c r="T707" t="s">
        <v>149</v>
      </c>
      <c r="U707">
        <v>1.28</v>
      </c>
      <c r="V707" t="s">
        <v>2598</v>
      </c>
      <c r="W707" t="s">
        <v>9913</v>
      </c>
      <c r="X707" t="s">
        <v>7378</v>
      </c>
      <c r="Y707" t="s">
        <v>5267</v>
      </c>
      <c r="Z707" t="s">
        <v>9483</v>
      </c>
      <c r="AA707">
        <v>7.16</v>
      </c>
      <c r="AC707" t="s">
        <v>11235</v>
      </c>
      <c r="AD707" t="s">
        <v>2636</v>
      </c>
      <c r="AE707" t="s">
        <v>11236</v>
      </c>
      <c r="AF707" t="s">
        <v>11237</v>
      </c>
      <c r="AG707" t="s">
        <v>11238</v>
      </c>
      <c r="AH707" t="s">
        <v>6892</v>
      </c>
      <c r="AI707" t="s">
        <v>11239</v>
      </c>
      <c r="AJ707" t="s">
        <v>4273</v>
      </c>
      <c r="AK707" t="s">
        <v>11240</v>
      </c>
      <c r="AL707">
        <v>1.04</v>
      </c>
      <c r="AM707">
        <v>0.73</v>
      </c>
      <c r="AN707">
        <v>1.05</v>
      </c>
      <c r="AO707" t="s">
        <v>11241</v>
      </c>
      <c r="AP707" t="s">
        <v>10775</v>
      </c>
      <c r="AQ707" t="s">
        <v>1085</v>
      </c>
      <c r="AR707" t="s">
        <v>2421</v>
      </c>
      <c r="AS707" t="s">
        <v>212</v>
      </c>
      <c r="AT707" t="s">
        <v>6430</v>
      </c>
      <c r="AU707" t="s">
        <v>1474</v>
      </c>
      <c r="AV707" t="s">
        <v>6771</v>
      </c>
      <c r="AW707" t="s">
        <v>11242</v>
      </c>
      <c r="AX707" t="s">
        <v>3238</v>
      </c>
      <c r="AY707" t="s">
        <v>11242</v>
      </c>
      <c r="AZ707" t="s">
        <v>11243</v>
      </c>
      <c r="BA707">
        <v>1.8</v>
      </c>
      <c r="BB707">
        <v>5509.11</v>
      </c>
      <c r="BC707">
        <v>0.69</v>
      </c>
      <c r="BD707">
        <v>297.18</v>
      </c>
      <c r="BE707">
        <v>301.95999999999998</v>
      </c>
      <c r="BF707">
        <v>293.7</v>
      </c>
      <c r="BG707" t="s">
        <v>11244</v>
      </c>
      <c r="BH707" t="s">
        <v>11242</v>
      </c>
      <c r="BI707" t="s">
        <v>11245</v>
      </c>
      <c r="BJ707" t="s">
        <v>101</v>
      </c>
      <c r="BK707" t="s">
        <v>11086</v>
      </c>
      <c r="BL707" t="s">
        <v>6742</v>
      </c>
      <c r="BM707" t="s">
        <v>782</v>
      </c>
      <c r="BN707" t="s">
        <v>4063</v>
      </c>
    </row>
    <row r="708" spans="1:66" x14ac:dyDescent="0.25">
      <c r="A708" t="str">
        <f>HYPERLINK("https://elite.finviz.com/quote.ashx?t=JNJ&amp;ty=c&amp;p=d&amp;b=1", "JNJ")</f>
        <v>JNJ</v>
      </c>
      <c r="B708">
        <v>7</v>
      </c>
      <c r="C708">
        <v>138.38</v>
      </c>
      <c r="D708">
        <v>60.2</v>
      </c>
      <c r="E708" t="s">
        <v>11246</v>
      </c>
      <c r="F708" t="s">
        <v>1759</v>
      </c>
      <c r="G708" t="s">
        <v>428</v>
      </c>
      <c r="H708" t="s">
        <v>4701</v>
      </c>
      <c r="I708" t="s">
        <v>70</v>
      </c>
      <c r="J708" t="s">
        <v>71</v>
      </c>
      <c r="K708">
        <v>432212.53</v>
      </c>
      <c r="L708">
        <v>179.46</v>
      </c>
      <c r="M708" t="s">
        <v>5055</v>
      </c>
      <c r="N708">
        <v>2321963</v>
      </c>
      <c r="O708">
        <v>19.190000000000001</v>
      </c>
      <c r="P708">
        <v>15.78</v>
      </c>
      <c r="Q708">
        <v>2.81</v>
      </c>
      <c r="R708">
        <v>4.7699999999999996</v>
      </c>
      <c r="S708">
        <v>5.5</v>
      </c>
      <c r="T708" t="s">
        <v>465</v>
      </c>
      <c r="U708">
        <v>5.08</v>
      </c>
      <c r="V708" t="s">
        <v>2882</v>
      </c>
      <c r="W708" t="s">
        <v>5045</v>
      </c>
      <c r="X708" t="s">
        <v>5591</v>
      </c>
      <c r="Y708" t="s">
        <v>1871</v>
      </c>
      <c r="Z708" t="s">
        <v>11247</v>
      </c>
      <c r="AA708">
        <v>9.35</v>
      </c>
      <c r="AB708" t="s">
        <v>7190</v>
      </c>
      <c r="AC708" t="s">
        <v>2418</v>
      </c>
      <c r="AD708" t="s">
        <v>3126</v>
      </c>
      <c r="AE708" t="s">
        <v>2523</v>
      </c>
      <c r="AF708" t="s">
        <v>4149</v>
      </c>
      <c r="AG708" t="s">
        <v>4275</v>
      </c>
      <c r="AH708" t="s">
        <v>5527</v>
      </c>
      <c r="AI708" t="s">
        <v>5593</v>
      </c>
      <c r="AJ708" t="s">
        <v>94</v>
      </c>
      <c r="AK708" t="s">
        <v>11248</v>
      </c>
      <c r="AL708">
        <v>1.01</v>
      </c>
      <c r="AM708">
        <v>0.76</v>
      </c>
      <c r="AN708">
        <v>0.65</v>
      </c>
      <c r="AO708" t="s">
        <v>11249</v>
      </c>
      <c r="AP708" t="s">
        <v>11250</v>
      </c>
      <c r="AQ708" t="s">
        <v>11251</v>
      </c>
      <c r="AR708" t="s">
        <v>7780</v>
      </c>
      <c r="AS708" t="s">
        <v>5745</v>
      </c>
      <c r="AT708" t="s">
        <v>5158</v>
      </c>
      <c r="AU708" t="s">
        <v>2624</v>
      </c>
      <c r="AV708" t="s">
        <v>5837</v>
      </c>
      <c r="AW708" t="s">
        <v>5721</v>
      </c>
      <c r="AX708" t="s">
        <v>2786</v>
      </c>
      <c r="AY708" t="s">
        <v>5721</v>
      </c>
      <c r="AZ708" t="s">
        <v>3685</v>
      </c>
      <c r="BA708">
        <v>2.15</v>
      </c>
      <c r="BB708">
        <v>8449.57</v>
      </c>
      <c r="BC708">
        <v>0.97</v>
      </c>
      <c r="BD708">
        <v>177.73</v>
      </c>
      <c r="BE708">
        <v>179.46</v>
      </c>
      <c r="BF708">
        <v>177.35</v>
      </c>
      <c r="BG708" t="s">
        <v>11252</v>
      </c>
      <c r="BH708" t="s">
        <v>11253</v>
      </c>
      <c r="BI708" t="s">
        <v>11254</v>
      </c>
      <c r="BJ708" t="s">
        <v>101</v>
      </c>
      <c r="BK708" t="s">
        <v>6357</v>
      </c>
      <c r="BL708" t="s">
        <v>4783</v>
      </c>
      <c r="BM708" t="s">
        <v>8401</v>
      </c>
      <c r="BN708" t="s">
        <v>4063</v>
      </c>
    </row>
    <row r="709" spans="1:66" x14ac:dyDescent="0.25">
      <c r="A709" t="str">
        <f>HYPERLINK("https://elite.finviz.com/quote.ashx?t=WULF&amp;ty=c&amp;p=d&amp;b=1", "WULF")</f>
        <v>WULF</v>
      </c>
      <c r="B709">
        <v>7</v>
      </c>
      <c r="C709">
        <v>138.38</v>
      </c>
      <c r="D709">
        <v>60.2</v>
      </c>
      <c r="E709" t="s">
        <v>11255</v>
      </c>
      <c r="F709" t="s">
        <v>67</v>
      </c>
      <c r="G709" t="s">
        <v>550</v>
      </c>
      <c r="H709" t="s">
        <v>551</v>
      </c>
      <c r="I709" t="s">
        <v>70</v>
      </c>
      <c r="J709" t="s">
        <v>321</v>
      </c>
      <c r="K709">
        <v>4380.75</v>
      </c>
      <c r="L709">
        <v>10.74</v>
      </c>
      <c r="M709" t="s">
        <v>1863</v>
      </c>
      <c r="N709">
        <v>8570299</v>
      </c>
      <c r="R709">
        <v>30.4</v>
      </c>
      <c r="S709">
        <v>25.38</v>
      </c>
      <c r="V709" t="s">
        <v>11256</v>
      </c>
      <c r="AA709">
        <v>-0.34</v>
      </c>
      <c r="AB709" t="s">
        <v>1668</v>
      </c>
      <c r="AC709" t="s">
        <v>1369</v>
      </c>
      <c r="AE709" t="s">
        <v>8893</v>
      </c>
      <c r="AG709" t="s">
        <v>11257</v>
      </c>
      <c r="AH709" t="s">
        <v>11258</v>
      </c>
      <c r="AI709" t="s">
        <v>8441</v>
      </c>
      <c r="AJ709" t="s">
        <v>3752</v>
      </c>
      <c r="AK709" t="s">
        <v>11259</v>
      </c>
      <c r="AL709">
        <v>0.66</v>
      </c>
      <c r="AM709">
        <v>0.66</v>
      </c>
      <c r="AN709">
        <v>2.87</v>
      </c>
      <c r="AO709" t="s">
        <v>11260</v>
      </c>
      <c r="AP709" t="s">
        <v>11261</v>
      </c>
      <c r="AQ709" t="s">
        <v>11262</v>
      </c>
      <c r="AR709" t="s">
        <v>2492</v>
      </c>
      <c r="AS709" t="s">
        <v>8155</v>
      </c>
      <c r="AT709" t="s">
        <v>6104</v>
      </c>
      <c r="AU709" t="s">
        <v>9303</v>
      </c>
      <c r="AV709" t="s">
        <v>11263</v>
      </c>
      <c r="AW709" t="s">
        <v>11264</v>
      </c>
      <c r="AX709" t="s">
        <v>11265</v>
      </c>
      <c r="AY709" t="s">
        <v>11264</v>
      </c>
      <c r="AZ709" t="s">
        <v>11266</v>
      </c>
      <c r="BA709">
        <v>1.17</v>
      </c>
      <c r="BB709">
        <v>53282.6</v>
      </c>
      <c r="BC709">
        <v>0.56999999999999995</v>
      </c>
      <c r="BD709">
        <v>10.97</v>
      </c>
      <c r="BE709">
        <v>11.13</v>
      </c>
      <c r="BF709">
        <v>10.62</v>
      </c>
      <c r="BG709" t="s">
        <v>11267</v>
      </c>
      <c r="BH709" t="s">
        <v>11268</v>
      </c>
      <c r="BI709" t="s">
        <v>11269</v>
      </c>
      <c r="BJ709" t="s">
        <v>101</v>
      </c>
      <c r="BK709" t="s">
        <v>11270</v>
      </c>
      <c r="BL709" t="s">
        <v>11271</v>
      </c>
      <c r="BM709" t="s">
        <v>11272</v>
      </c>
      <c r="BN709" t="s">
        <v>4063</v>
      </c>
    </row>
    <row r="710" spans="1:66" x14ac:dyDescent="0.25">
      <c r="A710" t="str">
        <f>HYPERLINK("https://elite.finviz.com/quote.ashx?t=OLO&amp;ty=c&amp;p=d&amp;b=1", "OLO")</f>
        <v>OLO</v>
      </c>
      <c r="B710">
        <v>7</v>
      </c>
      <c r="C710">
        <v>138.38</v>
      </c>
      <c r="D710">
        <v>60.25</v>
      </c>
      <c r="E710" t="s">
        <v>11273</v>
      </c>
      <c r="F710" t="s">
        <v>107</v>
      </c>
      <c r="G710" t="s">
        <v>108</v>
      </c>
      <c r="H710" t="s">
        <v>136</v>
      </c>
      <c r="I710" t="s">
        <v>70</v>
      </c>
      <c r="J710" t="s">
        <v>71</v>
      </c>
      <c r="K710">
        <v>1741.12</v>
      </c>
      <c r="L710">
        <v>10.26</v>
      </c>
      <c r="M710" t="s">
        <v>164</v>
      </c>
      <c r="N710">
        <v>0</v>
      </c>
      <c r="P710">
        <v>34.200000000000003</v>
      </c>
      <c r="R710">
        <v>5.54</v>
      </c>
      <c r="S710">
        <v>2.4500000000000002</v>
      </c>
      <c r="AA710">
        <v>-0.01</v>
      </c>
      <c r="AB710" t="s">
        <v>11274</v>
      </c>
      <c r="AC710" t="s">
        <v>3377</v>
      </c>
      <c r="AE710" t="s">
        <v>11275</v>
      </c>
      <c r="AF710" t="s">
        <v>11250</v>
      </c>
      <c r="AG710" t="s">
        <v>11276</v>
      </c>
      <c r="AH710" t="s">
        <v>6437</v>
      </c>
      <c r="AI710" t="s">
        <v>6253</v>
      </c>
      <c r="AJ710" t="s">
        <v>1564</v>
      </c>
      <c r="AK710" t="s">
        <v>11277</v>
      </c>
      <c r="AL710">
        <v>7.62</v>
      </c>
      <c r="AM710">
        <v>7.62</v>
      </c>
      <c r="AN710">
        <v>0.02</v>
      </c>
      <c r="AO710" t="s">
        <v>11278</v>
      </c>
      <c r="AP710" t="s">
        <v>3853</v>
      </c>
      <c r="AQ710" t="s">
        <v>4703</v>
      </c>
      <c r="AR710" t="s">
        <v>2642</v>
      </c>
      <c r="AS710" t="s">
        <v>4266</v>
      </c>
      <c r="AT710" t="s">
        <v>2880</v>
      </c>
      <c r="AU710" t="s">
        <v>4623</v>
      </c>
      <c r="AV710" t="s">
        <v>1669</v>
      </c>
      <c r="AW710" t="s">
        <v>3315</v>
      </c>
      <c r="AX710" t="s">
        <v>7055</v>
      </c>
      <c r="AY710" t="s">
        <v>3315</v>
      </c>
      <c r="AZ710" t="s">
        <v>11279</v>
      </c>
      <c r="BA710">
        <v>3</v>
      </c>
      <c r="BB710">
        <v>4867.84</v>
      </c>
      <c r="BC710">
        <v>0</v>
      </c>
      <c r="BD710">
        <v>10.26</v>
      </c>
      <c r="BE710">
        <v>10.26</v>
      </c>
      <c r="BF710">
        <v>10.26</v>
      </c>
      <c r="BG710" t="s">
        <v>11280</v>
      </c>
      <c r="BH710" t="s">
        <v>11281</v>
      </c>
      <c r="BI710" t="s">
        <v>11282</v>
      </c>
      <c r="BJ710" t="s">
        <v>101</v>
      </c>
      <c r="BK710" t="s">
        <v>11283</v>
      </c>
      <c r="BL710" t="s">
        <v>9896</v>
      </c>
      <c r="BM710" t="s">
        <v>11284</v>
      </c>
      <c r="BN710" t="s">
        <v>4063</v>
      </c>
    </row>
    <row r="711" spans="1:66" x14ac:dyDescent="0.25">
      <c r="A711" t="str">
        <f>HYPERLINK("https://elite.finviz.com/quote.ashx?t=SO&amp;ty=c&amp;p=d&amp;b=1", "SO")</f>
        <v>SO</v>
      </c>
      <c r="B711">
        <v>7</v>
      </c>
      <c r="C711">
        <v>138.38</v>
      </c>
      <c r="D711">
        <v>60.27</v>
      </c>
      <c r="E711" t="s">
        <v>11285</v>
      </c>
      <c r="F711" t="s">
        <v>195</v>
      </c>
      <c r="G711" t="s">
        <v>287</v>
      </c>
      <c r="H711" t="s">
        <v>676</v>
      </c>
      <c r="I711" t="s">
        <v>70</v>
      </c>
      <c r="J711" t="s">
        <v>71</v>
      </c>
      <c r="K711">
        <v>103706.97</v>
      </c>
      <c r="L711">
        <v>94.28</v>
      </c>
      <c r="M711" t="s">
        <v>4308</v>
      </c>
      <c r="N711">
        <v>673802</v>
      </c>
      <c r="O711">
        <v>24.34</v>
      </c>
      <c r="P711">
        <v>20.54</v>
      </c>
      <c r="Q711">
        <v>3.6</v>
      </c>
      <c r="R711">
        <v>3.66</v>
      </c>
      <c r="S711">
        <v>3.05</v>
      </c>
      <c r="T711" t="s">
        <v>7088</v>
      </c>
      <c r="U711">
        <v>2.92</v>
      </c>
      <c r="V711" t="s">
        <v>1440</v>
      </c>
      <c r="W711" t="s">
        <v>5425</v>
      </c>
      <c r="X711" t="s">
        <v>7154</v>
      </c>
      <c r="Y711" t="s">
        <v>2473</v>
      </c>
      <c r="Z711" t="s">
        <v>11286</v>
      </c>
      <c r="AA711">
        <v>3.87</v>
      </c>
      <c r="AB711" t="s">
        <v>315</v>
      </c>
      <c r="AC711" t="s">
        <v>5809</v>
      </c>
      <c r="AD711" t="s">
        <v>4966</v>
      </c>
      <c r="AE711" t="s">
        <v>1700</v>
      </c>
      <c r="AF711" t="s">
        <v>9228</v>
      </c>
      <c r="AG711" t="s">
        <v>2774</v>
      </c>
      <c r="AH711" t="s">
        <v>2678</v>
      </c>
      <c r="AI711" t="s">
        <v>6419</v>
      </c>
      <c r="AJ711" t="s">
        <v>4408</v>
      </c>
      <c r="AK711" t="s">
        <v>8128</v>
      </c>
      <c r="AL711">
        <v>0.74</v>
      </c>
      <c r="AM711">
        <v>0.53</v>
      </c>
      <c r="AN711">
        <v>2.08</v>
      </c>
      <c r="AO711" t="s">
        <v>8867</v>
      </c>
      <c r="AP711" t="s">
        <v>5261</v>
      </c>
      <c r="AQ711" t="s">
        <v>3875</v>
      </c>
      <c r="AR711" t="s">
        <v>4275</v>
      </c>
      <c r="AS711" t="s">
        <v>273</v>
      </c>
      <c r="AT711" t="s">
        <v>2808</v>
      </c>
      <c r="AU711" t="s">
        <v>6245</v>
      </c>
      <c r="AV711" t="s">
        <v>7682</v>
      </c>
      <c r="AW711" t="s">
        <v>6640</v>
      </c>
      <c r="AX711" t="s">
        <v>3520</v>
      </c>
      <c r="AY711" t="s">
        <v>6640</v>
      </c>
      <c r="AZ711" t="s">
        <v>3272</v>
      </c>
      <c r="BA711">
        <v>2.37</v>
      </c>
      <c r="BB711">
        <v>4914.7700000000004</v>
      </c>
      <c r="BC711">
        <v>0.48</v>
      </c>
      <c r="BD711">
        <v>93.69</v>
      </c>
      <c r="BE711">
        <v>94.61</v>
      </c>
      <c r="BF711">
        <v>94.02</v>
      </c>
      <c r="BG711" t="s">
        <v>11287</v>
      </c>
      <c r="BH711" t="s">
        <v>6640</v>
      </c>
      <c r="BI711" t="s">
        <v>11288</v>
      </c>
      <c r="BJ711" t="s">
        <v>101</v>
      </c>
      <c r="BK711" t="s">
        <v>3482</v>
      </c>
      <c r="BL711" t="s">
        <v>372</v>
      </c>
      <c r="BM711" t="s">
        <v>3887</v>
      </c>
      <c r="BN711" t="s">
        <v>4063</v>
      </c>
    </row>
    <row r="712" spans="1:66" x14ac:dyDescent="0.25">
      <c r="A712" t="str">
        <f>HYPERLINK("https://elite.finviz.com/quote.ashx?t=INDV&amp;ty=c&amp;p=d&amp;b=1", "INDV")</f>
        <v>INDV</v>
      </c>
      <c r="B712">
        <v>7</v>
      </c>
      <c r="C712">
        <v>138.38</v>
      </c>
      <c r="D712">
        <v>60.28</v>
      </c>
      <c r="E712" t="s">
        <v>11289</v>
      </c>
      <c r="F712" t="s">
        <v>67</v>
      </c>
      <c r="G712" t="s">
        <v>428</v>
      </c>
      <c r="H712" t="s">
        <v>1296</v>
      </c>
      <c r="I712" t="s">
        <v>70</v>
      </c>
      <c r="J712" t="s">
        <v>321</v>
      </c>
      <c r="K712">
        <v>3000.71</v>
      </c>
      <c r="L712">
        <v>24.05</v>
      </c>
      <c r="M712" t="s">
        <v>2123</v>
      </c>
      <c r="N712">
        <v>921305</v>
      </c>
      <c r="O712">
        <v>33.93</v>
      </c>
      <c r="P712">
        <v>11.83</v>
      </c>
      <c r="Q712">
        <v>2.88</v>
      </c>
      <c r="R712">
        <v>2.56</v>
      </c>
      <c r="Z712" t="s">
        <v>164</v>
      </c>
      <c r="AA712">
        <v>0.71</v>
      </c>
      <c r="AB712" t="s">
        <v>11290</v>
      </c>
      <c r="AC712" t="s">
        <v>11291</v>
      </c>
      <c r="AD712" t="s">
        <v>3079</v>
      </c>
      <c r="AE712" t="s">
        <v>6003</v>
      </c>
      <c r="AF712" t="s">
        <v>11292</v>
      </c>
      <c r="AG712" t="s">
        <v>848</v>
      </c>
      <c r="AH712" t="s">
        <v>1457</v>
      </c>
      <c r="AI712" t="s">
        <v>11293</v>
      </c>
      <c r="AJ712" t="s">
        <v>164</v>
      </c>
      <c r="AK712" t="s">
        <v>11294</v>
      </c>
      <c r="AL712">
        <v>0.9</v>
      </c>
      <c r="AM712">
        <v>0.76</v>
      </c>
      <c r="AO712" t="s">
        <v>11295</v>
      </c>
      <c r="AP712" t="s">
        <v>11296</v>
      </c>
      <c r="AQ712" t="s">
        <v>2351</v>
      </c>
      <c r="AR712" t="s">
        <v>3325</v>
      </c>
      <c r="AS712" t="s">
        <v>2543</v>
      </c>
      <c r="AT712" t="s">
        <v>2185</v>
      </c>
      <c r="AU712" t="s">
        <v>9159</v>
      </c>
      <c r="AV712" t="s">
        <v>11297</v>
      </c>
      <c r="AW712" t="s">
        <v>6080</v>
      </c>
      <c r="AX712" t="s">
        <v>9749</v>
      </c>
      <c r="AY712" t="s">
        <v>6080</v>
      </c>
      <c r="AZ712" t="s">
        <v>11298</v>
      </c>
      <c r="BA712">
        <v>1</v>
      </c>
      <c r="BB712">
        <v>3148</v>
      </c>
      <c r="BC712">
        <v>1.03</v>
      </c>
      <c r="BD712">
        <v>22.81</v>
      </c>
      <c r="BE712">
        <v>24.41</v>
      </c>
      <c r="BF712">
        <v>23.01</v>
      </c>
      <c r="BG712" t="s">
        <v>11299</v>
      </c>
      <c r="BH712" t="s">
        <v>11300</v>
      </c>
      <c r="BI712" t="s">
        <v>11301</v>
      </c>
      <c r="BJ712" t="s">
        <v>101</v>
      </c>
      <c r="BK712" t="s">
        <v>10460</v>
      </c>
      <c r="BL712" t="s">
        <v>11302</v>
      </c>
      <c r="BM712" t="s">
        <v>11303</v>
      </c>
      <c r="BN712" t="s">
        <v>4063</v>
      </c>
    </row>
    <row r="713" spans="1:66" x14ac:dyDescent="0.25">
      <c r="A713" t="str">
        <f>HYPERLINK("https://elite.finviz.com/quote.ashx?t=BRZE&amp;ty=c&amp;p=d&amp;b=1", "BRZE")</f>
        <v>BRZE</v>
      </c>
      <c r="B713">
        <v>7</v>
      </c>
      <c r="C713">
        <v>138.38</v>
      </c>
      <c r="D713">
        <v>60.32</v>
      </c>
      <c r="E713" t="s">
        <v>11304</v>
      </c>
      <c r="F713" t="s">
        <v>67</v>
      </c>
      <c r="G713" t="s">
        <v>108</v>
      </c>
      <c r="H713" t="s">
        <v>136</v>
      </c>
      <c r="I713" t="s">
        <v>70</v>
      </c>
      <c r="J713" t="s">
        <v>321</v>
      </c>
      <c r="K713">
        <v>3562.37</v>
      </c>
      <c r="L713">
        <v>32.049999999999997</v>
      </c>
      <c r="M713" t="s">
        <v>3635</v>
      </c>
      <c r="N713">
        <v>437639</v>
      </c>
      <c r="P713">
        <v>62.42</v>
      </c>
      <c r="R713">
        <v>5.44</v>
      </c>
      <c r="S713">
        <v>5.91</v>
      </c>
      <c r="AA713">
        <v>-1.04</v>
      </c>
      <c r="AB713" t="s">
        <v>4635</v>
      </c>
      <c r="AC713" t="s">
        <v>11305</v>
      </c>
      <c r="AD713" t="s">
        <v>11306</v>
      </c>
      <c r="AE713" t="s">
        <v>10270</v>
      </c>
      <c r="AF713" t="s">
        <v>11307</v>
      </c>
      <c r="AG713" t="s">
        <v>1230</v>
      </c>
      <c r="AH713" t="s">
        <v>11308</v>
      </c>
      <c r="AI713" t="s">
        <v>11309</v>
      </c>
      <c r="AJ713" t="s">
        <v>5777</v>
      </c>
      <c r="AK713" t="s">
        <v>11310</v>
      </c>
      <c r="AL713">
        <v>1.37</v>
      </c>
      <c r="AM713">
        <v>1.37</v>
      </c>
      <c r="AN713">
        <v>0.14000000000000001</v>
      </c>
      <c r="AO713" t="s">
        <v>8410</v>
      </c>
      <c r="AP713" t="s">
        <v>11311</v>
      </c>
      <c r="AQ713" t="s">
        <v>11312</v>
      </c>
      <c r="AR713" t="s">
        <v>2522</v>
      </c>
      <c r="AS713" t="s">
        <v>2842</v>
      </c>
      <c r="AT713" t="s">
        <v>5554</v>
      </c>
      <c r="AU713" t="s">
        <v>9097</v>
      </c>
      <c r="AV713" t="s">
        <v>11313</v>
      </c>
      <c r="AW713" t="s">
        <v>8109</v>
      </c>
      <c r="AX713" t="s">
        <v>11314</v>
      </c>
      <c r="AY713" t="s">
        <v>11315</v>
      </c>
      <c r="AZ713" t="s">
        <v>11314</v>
      </c>
      <c r="BA713">
        <v>1.1000000000000001</v>
      </c>
      <c r="BB713">
        <v>1802.68</v>
      </c>
      <c r="BC713">
        <v>0.86</v>
      </c>
      <c r="BD713">
        <v>31.27</v>
      </c>
      <c r="BE713">
        <v>32.1</v>
      </c>
      <c r="BF713">
        <v>31.34</v>
      </c>
      <c r="BG713" t="s">
        <v>11316</v>
      </c>
      <c r="BH713" t="s">
        <v>11317</v>
      </c>
      <c r="BI713" t="s">
        <v>8890</v>
      </c>
      <c r="BJ713" t="s">
        <v>101</v>
      </c>
      <c r="BK713" t="s">
        <v>2812</v>
      </c>
      <c r="BL713" t="s">
        <v>2988</v>
      </c>
      <c r="BM713" t="s">
        <v>6597</v>
      </c>
      <c r="BN713" t="s">
        <v>4063</v>
      </c>
    </row>
    <row r="714" spans="1:66" x14ac:dyDescent="0.25">
      <c r="A714" t="str">
        <f>HYPERLINK("https://elite.finviz.com/quote.ashx?t=CERS&amp;ty=c&amp;p=d&amp;b=1", "CERS")</f>
        <v>CERS</v>
      </c>
      <c r="B714">
        <v>7</v>
      </c>
      <c r="C714">
        <v>138.38</v>
      </c>
      <c r="D714">
        <v>60.33</v>
      </c>
      <c r="E714" t="s">
        <v>11318</v>
      </c>
      <c r="F714" t="s">
        <v>67</v>
      </c>
      <c r="G714" t="s">
        <v>428</v>
      </c>
      <c r="H714" t="s">
        <v>2051</v>
      </c>
      <c r="I714" t="s">
        <v>70</v>
      </c>
      <c r="J714" t="s">
        <v>321</v>
      </c>
      <c r="K714">
        <v>285.64</v>
      </c>
      <c r="L714">
        <v>1.49</v>
      </c>
      <c r="M714" t="s">
        <v>3831</v>
      </c>
      <c r="N714">
        <v>205198</v>
      </c>
      <c r="R714">
        <v>1.48</v>
      </c>
      <c r="S714">
        <v>5.15</v>
      </c>
      <c r="AA714">
        <v>-0.1</v>
      </c>
      <c r="AB714" t="s">
        <v>6809</v>
      </c>
      <c r="AC714" t="s">
        <v>4962</v>
      </c>
      <c r="AE714" t="s">
        <v>8181</v>
      </c>
      <c r="AF714" t="s">
        <v>1009</v>
      </c>
      <c r="AG714" t="s">
        <v>11319</v>
      </c>
      <c r="AH714" t="s">
        <v>7192</v>
      </c>
      <c r="AI714" t="s">
        <v>2632</v>
      </c>
      <c r="AJ714" t="s">
        <v>1083</v>
      </c>
      <c r="AK714" t="s">
        <v>11320</v>
      </c>
      <c r="AL714">
        <v>2</v>
      </c>
      <c r="AM714">
        <v>1.35</v>
      </c>
      <c r="AN714">
        <v>1.78</v>
      </c>
      <c r="AO714" t="s">
        <v>11321</v>
      </c>
      <c r="AP714" t="s">
        <v>11322</v>
      </c>
      <c r="AQ714" t="s">
        <v>8343</v>
      </c>
      <c r="AR714" t="s">
        <v>10114</v>
      </c>
      <c r="AS714" t="s">
        <v>1886</v>
      </c>
      <c r="AT714" t="s">
        <v>2824</v>
      </c>
      <c r="AU714" t="s">
        <v>3077</v>
      </c>
      <c r="AV714" t="s">
        <v>2217</v>
      </c>
      <c r="AW714" t="s">
        <v>2249</v>
      </c>
      <c r="AX714" t="s">
        <v>11323</v>
      </c>
      <c r="AY714" t="s">
        <v>8887</v>
      </c>
      <c r="AZ714" t="s">
        <v>11324</v>
      </c>
      <c r="BA714">
        <v>1.5</v>
      </c>
      <c r="BB714">
        <v>1275.8399999999999</v>
      </c>
      <c r="BC714">
        <v>0.56999999999999995</v>
      </c>
      <c r="BD714">
        <v>1.51</v>
      </c>
      <c r="BE714">
        <v>1.52</v>
      </c>
      <c r="BF714">
        <v>1.48</v>
      </c>
      <c r="BG714" t="s">
        <v>11325</v>
      </c>
      <c r="BH714" t="s">
        <v>11326</v>
      </c>
      <c r="BI714" t="s">
        <v>11327</v>
      </c>
      <c r="BJ714" t="s">
        <v>101</v>
      </c>
      <c r="BK714" t="s">
        <v>2385</v>
      </c>
      <c r="BL714" t="s">
        <v>2941</v>
      </c>
      <c r="BM714" t="s">
        <v>11328</v>
      </c>
      <c r="BN714" t="s">
        <v>4063</v>
      </c>
    </row>
    <row r="715" spans="1:66" x14ac:dyDescent="0.25">
      <c r="A715" t="str">
        <f>HYPERLINK("https://elite.finviz.com/quote.ashx?t=HIMS&amp;ty=c&amp;p=d&amp;b=1", "HIMS")</f>
        <v>HIMS</v>
      </c>
      <c r="B715">
        <v>7</v>
      </c>
      <c r="C715">
        <v>138.38</v>
      </c>
      <c r="D715">
        <v>60.37</v>
      </c>
      <c r="E715" t="s">
        <v>11329</v>
      </c>
      <c r="F715" t="s">
        <v>67</v>
      </c>
      <c r="G715" t="s">
        <v>428</v>
      </c>
      <c r="H715" t="s">
        <v>1296</v>
      </c>
      <c r="I715" t="s">
        <v>70</v>
      </c>
      <c r="J715" t="s">
        <v>71</v>
      </c>
      <c r="K715">
        <v>12971.26</v>
      </c>
      <c r="L715">
        <v>57.39</v>
      </c>
      <c r="M715" t="s">
        <v>4908</v>
      </c>
      <c r="N715">
        <v>9719620</v>
      </c>
      <c r="O715">
        <v>71.83</v>
      </c>
      <c r="P715">
        <v>72.680000000000007</v>
      </c>
      <c r="Q715">
        <v>2.82</v>
      </c>
      <c r="R715">
        <v>6.44</v>
      </c>
      <c r="S715">
        <v>23.03</v>
      </c>
      <c r="Z715" t="s">
        <v>164</v>
      </c>
      <c r="AA715">
        <v>0.8</v>
      </c>
      <c r="AC715" t="s">
        <v>8735</v>
      </c>
      <c r="AD715" t="s">
        <v>1371</v>
      </c>
      <c r="AE715" t="s">
        <v>11330</v>
      </c>
      <c r="AF715" t="s">
        <v>11331</v>
      </c>
      <c r="AH715" t="s">
        <v>11332</v>
      </c>
      <c r="AI715" t="s">
        <v>2724</v>
      </c>
      <c r="AJ715" t="s">
        <v>11333</v>
      </c>
      <c r="AK715" t="s">
        <v>11334</v>
      </c>
      <c r="AL715">
        <v>4.9800000000000004</v>
      </c>
      <c r="AM715">
        <v>4.46</v>
      </c>
      <c r="AN715">
        <v>1.86</v>
      </c>
      <c r="AO715" t="s">
        <v>11335</v>
      </c>
      <c r="AP715" t="s">
        <v>9703</v>
      </c>
      <c r="AQ715" t="s">
        <v>7209</v>
      </c>
      <c r="AR715" t="s">
        <v>8460</v>
      </c>
      <c r="AS715" t="s">
        <v>11336</v>
      </c>
      <c r="AT715" t="s">
        <v>3003</v>
      </c>
      <c r="AU715" t="s">
        <v>11337</v>
      </c>
      <c r="AV715" t="s">
        <v>11338</v>
      </c>
      <c r="AW715" t="s">
        <v>2931</v>
      </c>
      <c r="AX715" t="s">
        <v>10534</v>
      </c>
      <c r="AY715" t="s">
        <v>11339</v>
      </c>
      <c r="AZ715" t="s">
        <v>11340</v>
      </c>
      <c r="BA715">
        <v>2.82</v>
      </c>
      <c r="BB715">
        <v>31695.23</v>
      </c>
      <c r="BC715">
        <v>1.08</v>
      </c>
      <c r="BD715">
        <v>54.87</v>
      </c>
      <c r="BE715">
        <v>57.46</v>
      </c>
      <c r="BF715">
        <v>54.11</v>
      </c>
      <c r="BG715" t="s">
        <v>11341</v>
      </c>
      <c r="BH715" t="s">
        <v>11339</v>
      </c>
      <c r="BI715" t="s">
        <v>11342</v>
      </c>
      <c r="BJ715" t="s">
        <v>101</v>
      </c>
      <c r="BK715" t="s">
        <v>2912</v>
      </c>
      <c r="BL715" t="s">
        <v>11343</v>
      </c>
      <c r="BM715" t="s">
        <v>11344</v>
      </c>
      <c r="BN715" t="s">
        <v>4063</v>
      </c>
    </row>
    <row r="716" spans="1:66" x14ac:dyDescent="0.25">
      <c r="A716" t="str">
        <f>HYPERLINK("https://elite.finviz.com/quote.ashx?t=SXC&amp;ty=c&amp;p=d&amp;b=1", "SXC")</f>
        <v>SXC</v>
      </c>
      <c r="B716">
        <v>7</v>
      </c>
      <c r="C716">
        <v>138.38</v>
      </c>
      <c r="D716">
        <v>60.38</v>
      </c>
      <c r="E716" t="s">
        <v>11345</v>
      </c>
      <c r="F716" t="s">
        <v>67</v>
      </c>
      <c r="G716" t="s">
        <v>355</v>
      </c>
      <c r="H716" t="s">
        <v>10954</v>
      </c>
      <c r="I716" t="s">
        <v>70</v>
      </c>
      <c r="J716" t="s">
        <v>71</v>
      </c>
      <c r="K716">
        <v>688.02</v>
      </c>
      <c r="L716">
        <v>8.1300000000000008</v>
      </c>
      <c r="M716" t="s">
        <v>2216</v>
      </c>
      <c r="N716">
        <v>134203</v>
      </c>
      <c r="O716">
        <v>9.43</v>
      </c>
      <c r="P716">
        <v>12.5</v>
      </c>
      <c r="R716">
        <v>0.37</v>
      </c>
      <c r="S716">
        <v>1.02</v>
      </c>
      <c r="T716" t="s">
        <v>3204</v>
      </c>
      <c r="U716">
        <v>0.48</v>
      </c>
      <c r="V716" t="s">
        <v>3046</v>
      </c>
      <c r="W716" t="s">
        <v>10317</v>
      </c>
      <c r="X716" t="s">
        <v>1819</v>
      </c>
      <c r="Y716" t="s">
        <v>9890</v>
      </c>
      <c r="Z716" t="s">
        <v>11346</v>
      </c>
      <c r="AA716">
        <v>0.86</v>
      </c>
      <c r="AB716" t="s">
        <v>9007</v>
      </c>
      <c r="AD716" t="s">
        <v>11347</v>
      </c>
      <c r="AE716" t="s">
        <v>11348</v>
      </c>
      <c r="AF716" t="s">
        <v>10273</v>
      </c>
      <c r="AG716" t="s">
        <v>2384</v>
      </c>
      <c r="AH716" t="s">
        <v>6246</v>
      </c>
      <c r="AI716" t="s">
        <v>11349</v>
      </c>
      <c r="AJ716" t="s">
        <v>164</v>
      </c>
      <c r="AK716" t="s">
        <v>11350</v>
      </c>
      <c r="AL716">
        <v>2.61</v>
      </c>
      <c r="AM716">
        <v>1.45</v>
      </c>
      <c r="AN716">
        <v>0.73</v>
      </c>
      <c r="AO716" t="s">
        <v>4089</v>
      </c>
      <c r="AP716" t="s">
        <v>1215</v>
      </c>
      <c r="AQ716" t="s">
        <v>4142</v>
      </c>
      <c r="AR716" t="s">
        <v>89</v>
      </c>
      <c r="AS716" t="s">
        <v>248</v>
      </c>
      <c r="AT716" t="s">
        <v>2838</v>
      </c>
      <c r="AU716" t="s">
        <v>926</v>
      </c>
      <c r="AV716" t="s">
        <v>2433</v>
      </c>
      <c r="AW716" t="s">
        <v>9417</v>
      </c>
      <c r="AX716" t="s">
        <v>604</v>
      </c>
      <c r="AY716" t="s">
        <v>8696</v>
      </c>
      <c r="AZ716" t="s">
        <v>604</v>
      </c>
      <c r="BA716">
        <v>2</v>
      </c>
      <c r="BB716">
        <v>1028.22</v>
      </c>
      <c r="BC716">
        <v>0.46</v>
      </c>
      <c r="BD716">
        <v>8.08</v>
      </c>
      <c r="BE716">
        <v>8.16</v>
      </c>
      <c r="BF716">
        <v>8.02</v>
      </c>
      <c r="BG716" t="s">
        <v>11351</v>
      </c>
      <c r="BH716" t="s">
        <v>11352</v>
      </c>
      <c r="BI716" t="s">
        <v>11353</v>
      </c>
      <c r="BJ716" t="s">
        <v>101</v>
      </c>
      <c r="BK716" t="s">
        <v>2331</v>
      </c>
      <c r="BL716" t="s">
        <v>11354</v>
      </c>
      <c r="BM716" t="s">
        <v>7332</v>
      </c>
      <c r="BN716" t="s">
        <v>4063</v>
      </c>
    </row>
    <row r="717" spans="1:66" x14ac:dyDescent="0.25">
      <c r="A717" t="str">
        <f>HYPERLINK("https://elite.finviz.com/quote.ashx?t=MPW&amp;ty=c&amp;p=d&amp;b=1", "MPW")</f>
        <v>MPW</v>
      </c>
      <c r="B717">
        <v>7</v>
      </c>
      <c r="C717">
        <v>138.38</v>
      </c>
      <c r="D717">
        <v>60.42</v>
      </c>
      <c r="E717" t="s">
        <v>11355</v>
      </c>
      <c r="F717" t="s">
        <v>107</v>
      </c>
      <c r="G717" t="s">
        <v>68</v>
      </c>
      <c r="H717" t="s">
        <v>6072</v>
      </c>
      <c r="I717" t="s">
        <v>70</v>
      </c>
      <c r="J717" t="s">
        <v>71</v>
      </c>
      <c r="K717">
        <v>2942.39</v>
      </c>
      <c r="L717">
        <v>4.8899999999999997</v>
      </c>
      <c r="M717" t="s">
        <v>2757</v>
      </c>
      <c r="N717">
        <v>1001472</v>
      </c>
      <c r="P717">
        <v>39.130000000000003</v>
      </c>
      <c r="R717">
        <v>3.19</v>
      </c>
      <c r="S717">
        <v>0.61</v>
      </c>
      <c r="T717" t="s">
        <v>9186</v>
      </c>
      <c r="U717">
        <v>0.32</v>
      </c>
      <c r="V717" t="s">
        <v>7788</v>
      </c>
      <c r="W717" t="s">
        <v>11356</v>
      </c>
      <c r="X717" t="s">
        <v>11357</v>
      </c>
      <c r="Y717" t="s">
        <v>11358</v>
      </c>
      <c r="AA717">
        <v>-2.38</v>
      </c>
      <c r="AE717" t="s">
        <v>11359</v>
      </c>
      <c r="AF717" t="s">
        <v>10983</v>
      </c>
      <c r="AG717" t="s">
        <v>3500</v>
      </c>
      <c r="AH717" t="s">
        <v>2850</v>
      </c>
      <c r="AI717" t="s">
        <v>11360</v>
      </c>
      <c r="AJ717" t="s">
        <v>3598</v>
      </c>
      <c r="AK717" t="s">
        <v>11361</v>
      </c>
      <c r="AL717">
        <v>2.76</v>
      </c>
      <c r="AM717">
        <v>2.76</v>
      </c>
      <c r="AN717">
        <v>2</v>
      </c>
      <c r="AO717" t="s">
        <v>1447</v>
      </c>
      <c r="AP717" t="s">
        <v>3013</v>
      </c>
      <c r="AQ717" t="s">
        <v>11362</v>
      </c>
      <c r="AR717" t="s">
        <v>205</v>
      </c>
      <c r="AS717" t="s">
        <v>4093</v>
      </c>
      <c r="AT717" t="s">
        <v>5780</v>
      </c>
      <c r="AU717" t="s">
        <v>2786</v>
      </c>
      <c r="AV717" t="s">
        <v>2764</v>
      </c>
      <c r="AW717" t="s">
        <v>6345</v>
      </c>
      <c r="AX717" t="s">
        <v>8093</v>
      </c>
      <c r="AY717" t="s">
        <v>11363</v>
      </c>
      <c r="AZ717" t="s">
        <v>8936</v>
      </c>
      <c r="BA717">
        <v>3.3</v>
      </c>
      <c r="BB717">
        <v>9372.1299999999992</v>
      </c>
      <c r="BC717">
        <v>0.38</v>
      </c>
      <c r="BD717">
        <v>4.8899999999999997</v>
      </c>
      <c r="BE717">
        <v>4.95</v>
      </c>
      <c r="BF717">
        <v>4.8899999999999997</v>
      </c>
      <c r="BG717" t="s">
        <v>11364</v>
      </c>
      <c r="BH717" t="s">
        <v>11365</v>
      </c>
      <c r="BI717" t="s">
        <v>11366</v>
      </c>
      <c r="BJ717" t="s">
        <v>101</v>
      </c>
      <c r="BK717" t="s">
        <v>4965</v>
      </c>
      <c r="BL717" t="s">
        <v>619</v>
      </c>
      <c r="BM717" t="s">
        <v>7009</v>
      </c>
      <c r="BN717" t="s">
        <v>4063</v>
      </c>
    </row>
    <row r="718" spans="1:66" x14ac:dyDescent="0.25">
      <c r="A718" t="str">
        <f>HYPERLINK("https://elite.finviz.com/quote.ashx?t=REAL&amp;ty=c&amp;p=d&amp;b=1", "REAL")</f>
        <v>REAL</v>
      </c>
      <c r="B718">
        <v>7</v>
      </c>
      <c r="C718">
        <v>138.38</v>
      </c>
      <c r="D718">
        <v>60.49</v>
      </c>
      <c r="E718" t="s">
        <v>11367</v>
      </c>
      <c r="F718" t="s">
        <v>67</v>
      </c>
      <c r="G718" t="s">
        <v>813</v>
      </c>
      <c r="H718" t="s">
        <v>4185</v>
      </c>
      <c r="I718" t="s">
        <v>70</v>
      </c>
      <c r="J718" t="s">
        <v>321</v>
      </c>
      <c r="K718">
        <v>1131.6300000000001</v>
      </c>
      <c r="L718">
        <v>9.82</v>
      </c>
      <c r="M718" t="s">
        <v>7262</v>
      </c>
      <c r="N718">
        <v>822240</v>
      </c>
      <c r="R718">
        <v>1.78</v>
      </c>
      <c r="AA718">
        <v>-1.06</v>
      </c>
      <c r="AB718" t="s">
        <v>11368</v>
      </c>
      <c r="AC718" t="s">
        <v>11369</v>
      </c>
      <c r="AE718" t="s">
        <v>945</v>
      </c>
      <c r="AF718" t="s">
        <v>346</v>
      </c>
      <c r="AG718" t="s">
        <v>5609</v>
      </c>
      <c r="AH718" t="s">
        <v>1161</v>
      </c>
      <c r="AI718" t="s">
        <v>5908</v>
      </c>
      <c r="AJ718" t="s">
        <v>3559</v>
      </c>
      <c r="AK718" t="s">
        <v>8920</v>
      </c>
      <c r="AL718">
        <v>0.8</v>
      </c>
      <c r="AM718">
        <v>0.66</v>
      </c>
      <c r="AO718" t="s">
        <v>11370</v>
      </c>
      <c r="AP718" t="s">
        <v>217</v>
      </c>
      <c r="AQ718" t="s">
        <v>5301</v>
      </c>
      <c r="AR718" t="s">
        <v>1576</v>
      </c>
      <c r="AS718" t="s">
        <v>7118</v>
      </c>
      <c r="AT718" t="s">
        <v>4690</v>
      </c>
      <c r="AU718" t="s">
        <v>9373</v>
      </c>
      <c r="AV718" t="s">
        <v>2054</v>
      </c>
      <c r="AW718" t="s">
        <v>9083</v>
      </c>
      <c r="AX718" t="s">
        <v>257</v>
      </c>
      <c r="AY718" t="s">
        <v>5423</v>
      </c>
      <c r="AZ718" t="s">
        <v>11371</v>
      </c>
      <c r="BA718">
        <v>1.86</v>
      </c>
      <c r="BB718">
        <v>3757.89</v>
      </c>
      <c r="BC718">
        <v>0.77</v>
      </c>
      <c r="BD718">
        <v>10.09</v>
      </c>
      <c r="BE718">
        <v>10.130000000000001</v>
      </c>
      <c r="BF718">
        <v>9.68</v>
      </c>
      <c r="BG718" t="s">
        <v>11372</v>
      </c>
      <c r="BH718" t="s">
        <v>4613</v>
      </c>
      <c r="BI718" t="s">
        <v>11373</v>
      </c>
      <c r="BJ718" t="s">
        <v>101</v>
      </c>
      <c r="BK718" t="s">
        <v>11374</v>
      </c>
      <c r="BL718" t="s">
        <v>11375</v>
      </c>
      <c r="BM718" t="s">
        <v>11376</v>
      </c>
      <c r="BN718" t="s">
        <v>4063</v>
      </c>
    </row>
    <row r="719" spans="1:66" x14ac:dyDescent="0.25">
      <c r="A719" t="str">
        <f>HYPERLINK("https://elite.finviz.com/quote.ashx?t=ASPI&amp;ty=c&amp;p=d&amp;b=1", "ASPI")</f>
        <v>ASPI</v>
      </c>
      <c r="B719">
        <v>7</v>
      </c>
      <c r="C719">
        <v>138.38</v>
      </c>
      <c r="D719">
        <v>60.5</v>
      </c>
      <c r="E719" t="s">
        <v>11377</v>
      </c>
      <c r="F719" t="s">
        <v>67</v>
      </c>
      <c r="G719" t="s">
        <v>355</v>
      </c>
      <c r="H719" t="s">
        <v>5130</v>
      </c>
      <c r="I719" t="s">
        <v>70</v>
      </c>
      <c r="J719" t="s">
        <v>321</v>
      </c>
      <c r="K719">
        <v>993.58</v>
      </c>
      <c r="L719">
        <v>10.81</v>
      </c>
      <c r="M719" t="s">
        <v>4552</v>
      </c>
      <c r="N719">
        <v>845674</v>
      </c>
      <c r="R719">
        <v>216.94</v>
      </c>
      <c r="S719">
        <v>35.950000000000003</v>
      </c>
      <c r="AA719">
        <v>-1.4</v>
      </c>
      <c r="AB719" t="s">
        <v>11378</v>
      </c>
      <c r="AD719" t="s">
        <v>901</v>
      </c>
      <c r="AE719" t="s">
        <v>11379</v>
      </c>
      <c r="AH719" t="s">
        <v>8735</v>
      </c>
      <c r="AI719" t="s">
        <v>164</v>
      </c>
      <c r="AJ719" t="s">
        <v>9725</v>
      </c>
      <c r="AK719" t="s">
        <v>11380</v>
      </c>
      <c r="AL719">
        <v>14.72</v>
      </c>
      <c r="AM719">
        <v>14.56</v>
      </c>
      <c r="AN719">
        <v>4.03</v>
      </c>
      <c r="AO719" t="s">
        <v>11381</v>
      </c>
      <c r="AP719" t="s">
        <v>11382</v>
      </c>
      <c r="AQ719" t="s">
        <v>11383</v>
      </c>
      <c r="AR719" t="s">
        <v>177</v>
      </c>
      <c r="AS719" t="s">
        <v>5528</v>
      </c>
      <c r="AT719" t="s">
        <v>11384</v>
      </c>
      <c r="AU719" t="s">
        <v>5224</v>
      </c>
      <c r="AV719" t="s">
        <v>7023</v>
      </c>
      <c r="AW719" t="s">
        <v>11385</v>
      </c>
      <c r="AX719" t="s">
        <v>11386</v>
      </c>
      <c r="AY719" t="s">
        <v>11385</v>
      </c>
      <c r="AZ719" t="s">
        <v>11387</v>
      </c>
      <c r="BA719">
        <v>1</v>
      </c>
      <c r="BB719">
        <v>4826.1400000000003</v>
      </c>
      <c r="BC719">
        <v>0.62</v>
      </c>
      <c r="BD719">
        <v>10.68</v>
      </c>
      <c r="BE719">
        <v>10.81</v>
      </c>
      <c r="BF719">
        <v>10.42</v>
      </c>
      <c r="BG719" t="s">
        <v>11388</v>
      </c>
      <c r="BH719" t="s">
        <v>11385</v>
      </c>
      <c r="BI719" t="s">
        <v>11389</v>
      </c>
      <c r="BJ719" t="s">
        <v>101</v>
      </c>
      <c r="BK719" t="s">
        <v>4441</v>
      </c>
      <c r="BL719" t="s">
        <v>11390</v>
      </c>
      <c r="BM719" t="s">
        <v>5531</v>
      </c>
      <c r="BN719" t="s">
        <v>4063</v>
      </c>
    </row>
    <row r="720" spans="1:66" x14ac:dyDescent="0.25">
      <c r="A720" t="str">
        <f>HYPERLINK("https://elite.finviz.com/quote.ashx?t=CF&amp;ty=c&amp;p=d&amp;b=1", "CF")</f>
        <v>CF</v>
      </c>
      <c r="B720">
        <v>7</v>
      </c>
      <c r="C720">
        <v>138.38</v>
      </c>
      <c r="D720">
        <v>60.52</v>
      </c>
      <c r="E720" t="s">
        <v>11391</v>
      </c>
      <c r="F720" t="s">
        <v>195</v>
      </c>
      <c r="G720" t="s">
        <v>355</v>
      </c>
      <c r="H720" t="s">
        <v>9610</v>
      </c>
      <c r="I720" t="s">
        <v>70</v>
      </c>
      <c r="J720" t="s">
        <v>71</v>
      </c>
      <c r="K720">
        <v>14593.76</v>
      </c>
      <c r="L720">
        <v>90.1</v>
      </c>
      <c r="M720" t="s">
        <v>7464</v>
      </c>
      <c r="N720">
        <v>434720</v>
      </c>
      <c r="O720">
        <v>11.78</v>
      </c>
      <c r="P720">
        <v>12.73</v>
      </c>
      <c r="R720">
        <v>2.2599999999999998</v>
      </c>
      <c r="S720">
        <v>2.94</v>
      </c>
      <c r="T720" t="s">
        <v>2868</v>
      </c>
      <c r="U720">
        <v>2</v>
      </c>
      <c r="V720" t="s">
        <v>3046</v>
      </c>
      <c r="W720" t="s">
        <v>2621</v>
      </c>
      <c r="X720" t="s">
        <v>731</v>
      </c>
      <c r="Y720" t="s">
        <v>10073</v>
      </c>
      <c r="Z720" t="s">
        <v>7032</v>
      </c>
      <c r="AA720">
        <v>7.65</v>
      </c>
      <c r="AB720" t="s">
        <v>4532</v>
      </c>
      <c r="AC720" t="s">
        <v>3760</v>
      </c>
      <c r="AD720" t="s">
        <v>1842</v>
      </c>
      <c r="AE720" t="s">
        <v>9515</v>
      </c>
      <c r="AF720" t="s">
        <v>3322</v>
      </c>
      <c r="AG720" t="s">
        <v>3948</v>
      </c>
      <c r="AH720" t="s">
        <v>4832</v>
      </c>
      <c r="AI720" t="s">
        <v>8470</v>
      </c>
      <c r="AJ720" t="s">
        <v>4920</v>
      </c>
      <c r="AK720" t="s">
        <v>10279</v>
      </c>
      <c r="AL720">
        <v>3.22</v>
      </c>
      <c r="AM720">
        <v>2.84</v>
      </c>
      <c r="AN720">
        <v>0.67</v>
      </c>
      <c r="AO720" t="s">
        <v>1425</v>
      </c>
      <c r="AP720" t="s">
        <v>8682</v>
      </c>
      <c r="AQ720" t="s">
        <v>4885</v>
      </c>
      <c r="AR720" t="s">
        <v>1934</v>
      </c>
      <c r="AS720" t="s">
        <v>2582</v>
      </c>
      <c r="AT720" t="s">
        <v>247</v>
      </c>
      <c r="AU720" t="s">
        <v>205</v>
      </c>
      <c r="AV720" t="s">
        <v>5685</v>
      </c>
      <c r="AW720" t="s">
        <v>9711</v>
      </c>
      <c r="AX720" t="s">
        <v>9864</v>
      </c>
      <c r="AY720" t="s">
        <v>3010</v>
      </c>
      <c r="AZ720" t="s">
        <v>11392</v>
      </c>
      <c r="BA720">
        <v>2.67</v>
      </c>
      <c r="BB720">
        <v>2646.95</v>
      </c>
      <c r="BC720">
        <v>0.57999999999999996</v>
      </c>
      <c r="BD720">
        <v>89.71</v>
      </c>
      <c r="BE720">
        <v>90.14</v>
      </c>
      <c r="BF720">
        <v>88.94</v>
      </c>
      <c r="BG720" t="s">
        <v>11393</v>
      </c>
      <c r="BH720" t="s">
        <v>6011</v>
      </c>
      <c r="BI720" t="s">
        <v>11394</v>
      </c>
      <c r="BJ720" t="s">
        <v>101</v>
      </c>
      <c r="BK720" t="s">
        <v>1722</v>
      </c>
      <c r="BL720" t="s">
        <v>5262</v>
      </c>
      <c r="BM720" t="s">
        <v>2985</v>
      </c>
      <c r="BN720" t="s">
        <v>4063</v>
      </c>
    </row>
    <row r="721" spans="1:66" x14ac:dyDescent="0.25">
      <c r="A721" t="str">
        <f>HYPERLINK("https://elite.finviz.com/quote.ashx?t=LEVI&amp;ty=c&amp;p=d&amp;b=1", "LEVI")</f>
        <v>LEVI</v>
      </c>
      <c r="B721">
        <v>7</v>
      </c>
      <c r="C721">
        <v>138.38</v>
      </c>
      <c r="D721">
        <v>60.56</v>
      </c>
      <c r="E721" t="s">
        <v>11395</v>
      </c>
      <c r="F721" t="s">
        <v>107</v>
      </c>
      <c r="G721" t="s">
        <v>813</v>
      </c>
      <c r="H721" t="s">
        <v>7446</v>
      </c>
      <c r="I721" t="s">
        <v>70</v>
      </c>
      <c r="J721" t="s">
        <v>71</v>
      </c>
      <c r="K721">
        <v>9054.5499999999993</v>
      </c>
      <c r="L721">
        <v>22.89</v>
      </c>
      <c r="M721" t="s">
        <v>2290</v>
      </c>
      <c r="N721">
        <v>240150</v>
      </c>
      <c r="O721">
        <v>22.61</v>
      </c>
      <c r="P721">
        <v>15.76</v>
      </c>
      <c r="Q721">
        <v>2.58</v>
      </c>
      <c r="R721">
        <v>1.43</v>
      </c>
      <c r="S721">
        <v>4.33</v>
      </c>
      <c r="T721" t="s">
        <v>3208</v>
      </c>
      <c r="U721">
        <v>0.53</v>
      </c>
      <c r="V721" t="s">
        <v>11396</v>
      </c>
      <c r="W721" t="s">
        <v>2841</v>
      </c>
      <c r="X721" t="s">
        <v>11397</v>
      </c>
      <c r="Y721" t="s">
        <v>7092</v>
      </c>
      <c r="Z721" t="s">
        <v>11398</v>
      </c>
      <c r="AA721">
        <v>1.01</v>
      </c>
      <c r="AB721" t="s">
        <v>11399</v>
      </c>
      <c r="AC721" t="s">
        <v>11400</v>
      </c>
      <c r="AD721" t="s">
        <v>2192</v>
      </c>
      <c r="AE721" t="s">
        <v>4687</v>
      </c>
      <c r="AF721" t="s">
        <v>6770</v>
      </c>
      <c r="AG721" t="s">
        <v>5258</v>
      </c>
      <c r="AH721" t="s">
        <v>2290</v>
      </c>
      <c r="AI721" t="s">
        <v>5516</v>
      </c>
      <c r="AJ721" t="s">
        <v>1249</v>
      </c>
      <c r="AK721" t="s">
        <v>9960</v>
      </c>
      <c r="AL721">
        <v>1.48</v>
      </c>
      <c r="AM721">
        <v>0.85</v>
      </c>
      <c r="AN721">
        <v>1.07</v>
      </c>
      <c r="AO721" t="s">
        <v>11401</v>
      </c>
      <c r="AP721" t="s">
        <v>1297</v>
      </c>
      <c r="AQ721" t="s">
        <v>7542</v>
      </c>
      <c r="AR721" t="s">
        <v>1761</v>
      </c>
      <c r="AS721" t="s">
        <v>4891</v>
      </c>
      <c r="AT721" t="s">
        <v>2082</v>
      </c>
      <c r="AU721" t="s">
        <v>9703</v>
      </c>
      <c r="AV721" t="s">
        <v>3034</v>
      </c>
      <c r="AW721" t="s">
        <v>11402</v>
      </c>
      <c r="AX721" t="s">
        <v>233</v>
      </c>
      <c r="AY721" t="s">
        <v>11402</v>
      </c>
      <c r="AZ721" t="s">
        <v>11403</v>
      </c>
      <c r="BA721">
        <v>1.73</v>
      </c>
      <c r="BB721">
        <v>2637.09</v>
      </c>
      <c r="BC721">
        <v>0.32</v>
      </c>
      <c r="BD721">
        <v>22.81</v>
      </c>
      <c r="BE721">
        <v>23.14</v>
      </c>
      <c r="BF721">
        <v>22.82</v>
      </c>
      <c r="BG721" t="s">
        <v>11404</v>
      </c>
      <c r="BH721" t="s">
        <v>11405</v>
      </c>
      <c r="BI721" t="s">
        <v>11406</v>
      </c>
      <c r="BJ721" t="s">
        <v>101</v>
      </c>
      <c r="BK721" t="s">
        <v>7733</v>
      </c>
      <c r="BL721" t="s">
        <v>10038</v>
      </c>
      <c r="BM721" t="s">
        <v>7419</v>
      </c>
      <c r="BN721" t="s">
        <v>4063</v>
      </c>
    </row>
    <row r="722" spans="1:66" x14ac:dyDescent="0.25">
      <c r="A722" t="str">
        <f>HYPERLINK("https://elite.finviz.com/quote.ashx?t=XERS&amp;ty=c&amp;p=d&amp;b=1", "XERS")</f>
        <v>XERS</v>
      </c>
      <c r="B722">
        <v>7</v>
      </c>
      <c r="C722">
        <v>138.38</v>
      </c>
      <c r="D722">
        <v>60.58</v>
      </c>
      <c r="E722" t="s">
        <v>11407</v>
      </c>
      <c r="F722" t="s">
        <v>67</v>
      </c>
      <c r="G722" t="s">
        <v>428</v>
      </c>
      <c r="H722" t="s">
        <v>429</v>
      </c>
      <c r="I722" t="s">
        <v>70</v>
      </c>
      <c r="J722" t="s">
        <v>321</v>
      </c>
      <c r="K722">
        <v>1304.76</v>
      </c>
      <c r="L722">
        <v>8.08</v>
      </c>
      <c r="M722" t="s">
        <v>307</v>
      </c>
      <c r="N722">
        <v>343616</v>
      </c>
      <c r="P722">
        <v>32.11</v>
      </c>
      <c r="R722">
        <v>5.3</v>
      </c>
      <c r="AA722">
        <v>-0.21</v>
      </c>
      <c r="AB722" t="s">
        <v>6762</v>
      </c>
      <c r="AC722" t="s">
        <v>11408</v>
      </c>
      <c r="AE722" t="s">
        <v>11409</v>
      </c>
      <c r="AF722" t="s">
        <v>11410</v>
      </c>
      <c r="AG722" t="s">
        <v>11411</v>
      </c>
      <c r="AH722" t="s">
        <v>11412</v>
      </c>
      <c r="AI722" t="s">
        <v>11413</v>
      </c>
      <c r="AJ722" t="s">
        <v>5257</v>
      </c>
      <c r="AK722" t="s">
        <v>4169</v>
      </c>
      <c r="AL722">
        <v>1.95</v>
      </c>
      <c r="AM722">
        <v>1.24</v>
      </c>
      <c r="AO722" t="s">
        <v>11414</v>
      </c>
      <c r="AP722" t="s">
        <v>552</v>
      </c>
      <c r="AQ722" t="s">
        <v>10885</v>
      </c>
      <c r="AR722" t="s">
        <v>4824</v>
      </c>
      <c r="AS722" t="s">
        <v>1934</v>
      </c>
      <c r="AT722" t="s">
        <v>2233</v>
      </c>
      <c r="AU722" t="s">
        <v>10361</v>
      </c>
      <c r="AV722" t="s">
        <v>11415</v>
      </c>
      <c r="AW722" t="s">
        <v>4168</v>
      </c>
      <c r="AX722" t="s">
        <v>4877</v>
      </c>
      <c r="AY722" t="s">
        <v>4168</v>
      </c>
      <c r="AZ722" t="s">
        <v>11416</v>
      </c>
      <c r="BA722">
        <v>1.33</v>
      </c>
      <c r="BB722">
        <v>2457.92</v>
      </c>
      <c r="BC722">
        <v>0.49</v>
      </c>
      <c r="BD722">
        <v>7.85</v>
      </c>
      <c r="BE722">
        <v>8.15</v>
      </c>
      <c r="BF722">
        <v>7.87</v>
      </c>
      <c r="BG722" t="s">
        <v>11417</v>
      </c>
      <c r="BH722" t="s">
        <v>11418</v>
      </c>
      <c r="BI722" t="s">
        <v>11419</v>
      </c>
      <c r="BJ722" t="s">
        <v>101</v>
      </c>
      <c r="BK722" t="s">
        <v>11420</v>
      </c>
      <c r="BL722" t="s">
        <v>11421</v>
      </c>
      <c r="BM722" t="s">
        <v>10117</v>
      </c>
      <c r="BN722" t="s">
        <v>4063</v>
      </c>
    </row>
    <row r="723" spans="1:66" x14ac:dyDescent="0.25">
      <c r="A723" t="str">
        <f>HYPERLINK("https://elite.finviz.com/quote.ashx?t=VEEV&amp;ty=c&amp;p=d&amp;b=1", "VEEV")</f>
        <v>VEEV</v>
      </c>
      <c r="B723">
        <v>7</v>
      </c>
      <c r="C723">
        <v>138.38</v>
      </c>
      <c r="D723">
        <v>60.59</v>
      </c>
      <c r="E723" t="s">
        <v>11422</v>
      </c>
      <c r="F723" t="s">
        <v>107</v>
      </c>
      <c r="G723" t="s">
        <v>428</v>
      </c>
      <c r="H723" t="s">
        <v>2075</v>
      </c>
      <c r="I723" t="s">
        <v>70</v>
      </c>
      <c r="J723" t="s">
        <v>71</v>
      </c>
      <c r="K723">
        <v>47380.83</v>
      </c>
      <c r="L723">
        <v>289.07</v>
      </c>
      <c r="M723" t="s">
        <v>4499</v>
      </c>
      <c r="N723">
        <v>370104</v>
      </c>
      <c r="O723">
        <v>59.3</v>
      </c>
      <c r="P723">
        <v>34.21</v>
      </c>
      <c r="Q723">
        <v>4.22</v>
      </c>
      <c r="R723">
        <v>15.96</v>
      </c>
      <c r="S723">
        <v>7.14</v>
      </c>
      <c r="Z723" t="s">
        <v>164</v>
      </c>
      <c r="AA723">
        <v>4.87</v>
      </c>
      <c r="AB723" t="s">
        <v>2663</v>
      </c>
      <c r="AC723" t="s">
        <v>7217</v>
      </c>
      <c r="AD723" t="s">
        <v>2626</v>
      </c>
      <c r="AE723" t="s">
        <v>10806</v>
      </c>
      <c r="AF723" t="s">
        <v>2626</v>
      </c>
      <c r="AG723" t="s">
        <v>8239</v>
      </c>
      <c r="AH723" t="s">
        <v>4532</v>
      </c>
      <c r="AI723" t="s">
        <v>3524</v>
      </c>
      <c r="AJ723" t="s">
        <v>2745</v>
      </c>
      <c r="AK723" t="s">
        <v>1392</v>
      </c>
      <c r="AL723">
        <v>5.57</v>
      </c>
      <c r="AM723">
        <v>5.57</v>
      </c>
      <c r="AN723">
        <v>0.01</v>
      </c>
      <c r="AO723" t="s">
        <v>11423</v>
      </c>
      <c r="AP723" t="s">
        <v>11424</v>
      </c>
      <c r="AQ723" t="s">
        <v>877</v>
      </c>
      <c r="AR723" t="s">
        <v>4891</v>
      </c>
      <c r="AS723" t="s">
        <v>4710</v>
      </c>
      <c r="AT723" t="s">
        <v>615</v>
      </c>
      <c r="AU723" t="s">
        <v>4687</v>
      </c>
      <c r="AV723" t="s">
        <v>5057</v>
      </c>
      <c r="AW723" t="s">
        <v>7193</v>
      </c>
      <c r="AX723" t="s">
        <v>6344</v>
      </c>
      <c r="AY723" t="s">
        <v>7193</v>
      </c>
      <c r="AZ723" t="s">
        <v>11425</v>
      </c>
      <c r="BA723">
        <v>1.94</v>
      </c>
      <c r="BB723">
        <v>1298.3800000000001</v>
      </c>
      <c r="BC723">
        <v>1</v>
      </c>
      <c r="BD723">
        <v>279.93</v>
      </c>
      <c r="BE723">
        <v>289.17</v>
      </c>
      <c r="BF723">
        <v>280.14999999999998</v>
      </c>
      <c r="BG723" t="s">
        <v>11426</v>
      </c>
      <c r="BH723" t="s">
        <v>11427</v>
      </c>
      <c r="BI723" t="s">
        <v>11428</v>
      </c>
      <c r="BJ723" t="s">
        <v>101</v>
      </c>
      <c r="BK723" t="s">
        <v>1439</v>
      </c>
      <c r="BL723" t="s">
        <v>2485</v>
      </c>
      <c r="BM723" t="s">
        <v>412</v>
      </c>
      <c r="BN723" t="s">
        <v>4063</v>
      </c>
    </row>
    <row r="724" spans="1:66" x14ac:dyDescent="0.25">
      <c r="A724" t="str">
        <f>HYPERLINK("https://elite.finviz.com/quote.ashx?t=ATI&amp;ty=c&amp;p=d&amp;b=1", "ATI")</f>
        <v>ATI</v>
      </c>
      <c r="B724">
        <v>7</v>
      </c>
      <c r="C724">
        <v>138.38</v>
      </c>
      <c r="D724">
        <v>60.65</v>
      </c>
      <c r="E724" t="s">
        <v>11429</v>
      </c>
      <c r="F724" t="s">
        <v>107</v>
      </c>
      <c r="G724" t="s">
        <v>260</v>
      </c>
      <c r="H724" t="s">
        <v>2223</v>
      </c>
      <c r="I724" t="s">
        <v>70</v>
      </c>
      <c r="J724" t="s">
        <v>71</v>
      </c>
      <c r="K724">
        <v>11301.3</v>
      </c>
      <c r="L724">
        <v>81.99</v>
      </c>
      <c r="M724" t="s">
        <v>351</v>
      </c>
      <c r="N724">
        <v>738385</v>
      </c>
      <c r="O724">
        <v>28.34</v>
      </c>
      <c r="P724">
        <v>22.14</v>
      </c>
      <c r="Q724">
        <v>1.31</v>
      </c>
      <c r="R724">
        <v>2.5099999999999998</v>
      </c>
      <c r="S724">
        <v>6.48</v>
      </c>
      <c r="V724" t="s">
        <v>11430</v>
      </c>
      <c r="Z724" t="s">
        <v>164</v>
      </c>
      <c r="AA724">
        <v>2.89</v>
      </c>
      <c r="AC724" t="s">
        <v>4760</v>
      </c>
      <c r="AD724" t="s">
        <v>791</v>
      </c>
      <c r="AE724" t="s">
        <v>521</v>
      </c>
      <c r="AF724" t="s">
        <v>1680</v>
      </c>
      <c r="AG724" t="s">
        <v>1279</v>
      </c>
      <c r="AH724" t="s">
        <v>2170</v>
      </c>
      <c r="AI724" t="s">
        <v>3481</v>
      </c>
      <c r="AJ724" t="s">
        <v>10304</v>
      </c>
      <c r="AK724" t="s">
        <v>9138</v>
      </c>
      <c r="AL724">
        <v>2.52</v>
      </c>
      <c r="AM724">
        <v>1.2</v>
      </c>
      <c r="AN724">
        <v>1.08</v>
      </c>
      <c r="AO724" t="s">
        <v>1035</v>
      </c>
      <c r="AP724" t="s">
        <v>4648</v>
      </c>
      <c r="AQ724" t="s">
        <v>10619</v>
      </c>
      <c r="AR724" t="s">
        <v>465</v>
      </c>
      <c r="AS724" t="s">
        <v>2543</v>
      </c>
      <c r="AT724" t="s">
        <v>3303</v>
      </c>
      <c r="AU724" t="s">
        <v>2662</v>
      </c>
      <c r="AV724" t="s">
        <v>5933</v>
      </c>
      <c r="AW724" t="s">
        <v>7973</v>
      </c>
      <c r="AX724" t="s">
        <v>5119</v>
      </c>
      <c r="AY724" t="s">
        <v>7973</v>
      </c>
      <c r="AZ724" t="s">
        <v>4924</v>
      </c>
      <c r="BA724">
        <v>1.45</v>
      </c>
      <c r="BB724">
        <v>1853.34</v>
      </c>
      <c r="BC724">
        <v>1.4</v>
      </c>
      <c r="BD724">
        <v>77.41</v>
      </c>
      <c r="BE724">
        <v>82.42</v>
      </c>
      <c r="BF724">
        <v>78.209999999999994</v>
      </c>
      <c r="BG724" t="s">
        <v>11431</v>
      </c>
      <c r="BH724" t="s">
        <v>4102</v>
      </c>
      <c r="BI724" t="s">
        <v>11432</v>
      </c>
      <c r="BJ724" t="s">
        <v>101</v>
      </c>
      <c r="BK724" t="s">
        <v>7380</v>
      </c>
      <c r="BL724" t="s">
        <v>782</v>
      </c>
      <c r="BM724" t="s">
        <v>11433</v>
      </c>
      <c r="BN724" t="s">
        <v>4063</v>
      </c>
    </row>
    <row r="725" spans="1:66" x14ac:dyDescent="0.25">
      <c r="A725" t="str">
        <f>HYPERLINK("https://elite.finviz.com/quote.ashx?t=OGE&amp;ty=c&amp;p=d&amp;b=1", "OGE")</f>
        <v>OGE</v>
      </c>
      <c r="B725">
        <v>7</v>
      </c>
      <c r="C725">
        <v>138.38</v>
      </c>
      <c r="D725">
        <v>60.74</v>
      </c>
      <c r="E725" t="s">
        <v>11434</v>
      </c>
      <c r="F725" t="s">
        <v>107</v>
      </c>
      <c r="G725" t="s">
        <v>287</v>
      </c>
      <c r="H725" t="s">
        <v>676</v>
      </c>
      <c r="I725" t="s">
        <v>70</v>
      </c>
      <c r="J725" t="s">
        <v>71</v>
      </c>
      <c r="K725">
        <v>9170.23</v>
      </c>
      <c r="L725">
        <v>45.53</v>
      </c>
      <c r="M725" t="s">
        <v>5055</v>
      </c>
      <c r="N725">
        <v>79929</v>
      </c>
      <c r="O725">
        <v>18.7</v>
      </c>
      <c r="P725">
        <v>18.72</v>
      </c>
      <c r="Q725">
        <v>2.89</v>
      </c>
      <c r="R725">
        <v>2.85</v>
      </c>
      <c r="S725">
        <v>1.97</v>
      </c>
      <c r="T725" t="s">
        <v>1050</v>
      </c>
      <c r="U725">
        <v>1.68</v>
      </c>
      <c r="V725" t="s">
        <v>11435</v>
      </c>
      <c r="W725" t="s">
        <v>1417</v>
      </c>
      <c r="X725" t="s">
        <v>4552</v>
      </c>
      <c r="Y725" t="s">
        <v>679</v>
      </c>
      <c r="Z725" t="s">
        <v>11436</v>
      </c>
      <c r="AA725">
        <v>2.4300000000000002</v>
      </c>
      <c r="AB725" t="s">
        <v>11437</v>
      </c>
      <c r="AC725" t="s">
        <v>2641</v>
      </c>
      <c r="AD725" t="s">
        <v>2066</v>
      </c>
      <c r="AE725" t="s">
        <v>10359</v>
      </c>
      <c r="AF725" t="s">
        <v>3401</v>
      </c>
      <c r="AG725" t="s">
        <v>7090</v>
      </c>
      <c r="AH725" t="s">
        <v>5387</v>
      </c>
      <c r="AI725" t="s">
        <v>3118</v>
      </c>
      <c r="AJ725" t="s">
        <v>5824</v>
      </c>
      <c r="AK725" t="s">
        <v>11438</v>
      </c>
      <c r="AL725">
        <v>0.78</v>
      </c>
      <c r="AM725">
        <v>0.4</v>
      </c>
      <c r="AN725">
        <v>1.27</v>
      </c>
      <c r="AO725" t="s">
        <v>4205</v>
      </c>
      <c r="AP725" t="s">
        <v>927</v>
      </c>
      <c r="AQ725" t="s">
        <v>1788</v>
      </c>
      <c r="AR725" t="s">
        <v>4280</v>
      </c>
      <c r="AS725" t="s">
        <v>2509</v>
      </c>
      <c r="AT725" t="s">
        <v>4976</v>
      </c>
      <c r="AU725" t="s">
        <v>6056</v>
      </c>
      <c r="AV725" t="s">
        <v>2700</v>
      </c>
      <c r="AW725" t="s">
        <v>7598</v>
      </c>
      <c r="AX725" t="s">
        <v>3066</v>
      </c>
      <c r="AY725" t="s">
        <v>3640</v>
      </c>
      <c r="AZ725" t="s">
        <v>2788</v>
      </c>
      <c r="BA725">
        <v>2.7</v>
      </c>
      <c r="BB725">
        <v>1088.6500000000001</v>
      </c>
      <c r="BC725">
        <v>0.26</v>
      </c>
      <c r="BD725">
        <v>45.09</v>
      </c>
      <c r="BE725">
        <v>45.82</v>
      </c>
      <c r="BF725">
        <v>45.27</v>
      </c>
      <c r="BG725" t="s">
        <v>11439</v>
      </c>
      <c r="BH725" t="s">
        <v>3640</v>
      </c>
      <c r="BI725" t="s">
        <v>11440</v>
      </c>
      <c r="BJ725" t="s">
        <v>101</v>
      </c>
      <c r="BK725" t="s">
        <v>4569</v>
      </c>
      <c r="BL725" t="s">
        <v>3447</v>
      </c>
      <c r="BM725" t="s">
        <v>8530</v>
      </c>
      <c r="BN725" t="s">
        <v>4063</v>
      </c>
    </row>
    <row r="726" spans="1:66" x14ac:dyDescent="0.25">
      <c r="A726" t="str">
        <f>HYPERLINK("https://elite.finviz.com/quote.ashx?t=MGY&amp;ty=c&amp;p=d&amp;b=1", "MGY")</f>
        <v>MGY</v>
      </c>
      <c r="B726">
        <v>7</v>
      </c>
      <c r="C726">
        <v>138.38</v>
      </c>
      <c r="D726">
        <v>60.81</v>
      </c>
      <c r="E726" t="s">
        <v>11441</v>
      </c>
      <c r="F726" t="s">
        <v>67</v>
      </c>
      <c r="G726" t="s">
        <v>1048</v>
      </c>
      <c r="H726" t="s">
        <v>1049</v>
      </c>
      <c r="I726" t="s">
        <v>70</v>
      </c>
      <c r="J726" t="s">
        <v>71</v>
      </c>
      <c r="K726">
        <v>4828.5600000000004</v>
      </c>
      <c r="L726">
        <v>25.31</v>
      </c>
      <c r="M726" t="s">
        <v>5968</v>
      </c>
      <c r="N726">
        <v>259986</v>
      </c>
      <c r="O726">
        <v>13.19</v>
      </c>
      <c r="P726">
        <v>12.84</v>
      </c>
      <c r="Q726">
        <v>2.54</v>
      </c>
      <c r="R726">
        <v>3.63</v>
      </c>
      <c r="S726">
        <v>2.4900000000000002</v>
      </c>
      <c r="T726" t="s">
        <v>3671</v>
      </c>
      <c r="U726">
        <v>0.57999999999999996</v>
      </c>
      <c r="V726" t="s">
        <v>893</v>
      </c>
      <c r="W726" t="s">
        <v>1470</v>
      </c>
      <c r="X726" t="s">
        <v>11442</v>
      </c>
      <c r="Z726" t="s">
        <v>11443</v>
      </c>
      <c r="AA726">
        <v>1.92</v>
      </c>
      <c r="AB726" t="s">
        <v>11444</v>
      </c>
      <c r="AC726" t="s">
        <v>4006</v>
      </c>
      <c r="AD726" t="s">
        <v>6226</v>
      </c>
      <c r="AE726" t="s">
        <v>4216</v>
      </c>
      <c r="AF726" t="s">
        <v>6584</v>
      </c>
      <c r="AG726" t="s">
        <v>8852</v>
      </c>
      <c r="AH726" t="s">
        <v>11445</v>
      </c>
      <c r="AI726" t="s">
        <v>2572</v>
      </c>
      <c r="AJ726" t="s">
        <v>2275</v>
      </c>
      <c r="AK726" t="s">
        <v>11446</v>
      </c>
      <c r="AL726">
        <v>1.44</v>
      </c>
      <c r="AM726">
        <v>1.44</v>
      </c>
      <c r="AN726">
        <v>0.21</v>
      </c>
      <c r="AO726" t="s">
        <v>11447</v>
      </c>
      <c r="AP726" t="s">
        <v>1101</v>
      </c>
      <c r="AQ726" t="s">
        <v>10599</v>
      </c>
      <c r="AR726" t="s">
        <v>2643</v>
      </c>
      <c r="AS726" t="s">
        <v>5929</v>
      </c>
      <c r="AT726" t="s">
        <v>5164</v>
      </c>
      <c r="AU726" t="s">
        <v>1475</v>
      </c>
      <c r="AV726" t="s">
        <v>265</v>
      </c>
      <c r="AW726" t="s">
        <v>4955</v>
      </c>
      <c r="AX726" t="s">
        <v>239</v>
      </c>
      <c r="AY726" t="s">
        <v>6700</v>
      </c>
      <c r="AZ726" t="s">
        <v>11448</v>
      </c>
      <c r="BA726">
        <v>2.41</v>
      </c>
      <c r="BB726">
        <v>2515.75</v>
      </c>
      <c r="BC726">
        <v>0.36</v>
      </c>
      <c r="BD726">
        <v>24.8</v>
      </c>
      <c r="BE726">
        <v>25.42</v>
      </c>
      <c r="BF726">
        <v>24.64</v>
      </c>
      <c r="BG726" t="s">
        <v>11449</v>
      </c>
      <c r="BH726" t="s">
        <v>10941</v>
      </c>
      <c r="BI726" t="s">
        <v>11450</v>
      </c>
      <c r="BJ726" t="s">
        <v>101</v>
      </c>
      <c r="BK726" t="s">
        <v>5914</v>
      </c>
      <c r="BL726" t="s">
        <v>770</v>
      </c>
      <c r="BM726" t="s">
        <v>575</v>
      </c>
      <c r="BN726" t="s">
        <v>4063</v>
      </c>
    </row>
    <row r="727" spans="1:66" x14ac:dyDescent="0.25">
      <c r="A727" t="str">
        <f>HYPERLINK("https://elite.finviz.com/quote.ashx?t=MVIS&amp;ty=c&amp;p=d&amp;b=1", "MVIS")</f>
        <v>MVIS</v>
      </c>
      <c r="B727">
        <v>7</v>
      </c>
      <c r="C727">
        <v>138.38</v>
      </c>
      <c r="D727">
        <v>60.95</v>
      </c>
      <c r="E727" t="s">
        <v>11451</v>
      </c>
      <c r="F727" t="s">
        <v>67</v>
      </c>
      <c r="G727" t="s">
        <v>108</v>
      </c>
      <c r="H727" t="s">
        <v>9222</v>
      </c>
      <c r="I727" t="s">
        <v>70</v>
      </c>
      <c r="J727" t="s">
        <v>321</v>
      </c>
      <c r="K727">
        <v>385.23</v>
      </c>
      <c r="L727">
        <v>1.28</v>
      </c>
      <c r="M727" t="s">
        <v>241</v>
      </c>
      <c r="N727">
        <v>1739491</v>
      </c>
      <c r="R727">
        <v>149.31</v>
      </c>
      <c r="S727">
        <v>4.62</v>
      </c>
      <c r="AA727">
        <v>-0.39</v>
      </c>
      <c r="AB727" t="s">
        <v>11452</v>
      </c>
      <c r="AC727" t="s">
        <v>11453</v>
      </c>
      <c r="AD727" t="s">
        <v>11454</v>
      </c>
      <c r="AE727" t="s">
        <v>11455</v>
      </c>
      <c r="AF727" t="s">
        <v>5464</v>
      </c>
      <c r="AG727" t="s">
        <v>7858</v>
      </c>
      <c r="AH727" t="s">
        <v>11456</v>
      </c>
      <c r="AI727" t="s">
        <v>1496</v>
      </c>
      <c r="AJ727" t="s">
        <v>164</v>
      </c>
      <c r="AK727" t="s">
        <v>10345</v>
      </c>
      <c r="AL727">
        <v>2.41</v>
      </c>
      <c r="AM727">
        <v>2.27</v>
      </c>
      <c r="AN727">
        <v>0.66</v>
      </c>
      <c r="AO727" t="s">
        <v>11457</v>
      </c>
      <c r="AP727" t="s">
        <v>11458</v>
      </c>
      <c r="AQ727" t="s">
        <v>11459</v>
      </c>
      <c r="AR727" t="s">
        <v>5319</v>
      </c>
      <c r="AS727" t="s">
        <v>1452</v>
      </c>
      <c r="AT727" t="s">
        <v>438</v>
      </c>
      <c r="AU727" t="s">
        <v>5658</v>
      </c>
      <c r="AV727" t="s">
        <v>5467</v>
      </c>
      <c r="AW727" t="s">
        <v>11460</v>
      </c>
      <c r="AX727" t="s">
        <v>4833</v>
      </c>
      <c r="AY727" t="s">
        <v>11461</v>
      </c>
      <c r="AZ727" t="s">
        <v>8778</v>
      </c>
      <c r="BA727">
        <v>1</v>
      </c>
      <c r="BB727">
        <v>6495.49</v>
      </c>
      <c r="BC727">
        <v>0.94</v>
      </c>
      <c r="BD727">
        <v>1.29</v>
      </c>
      <c r="BE727">
        <v>1.32</v>
      </c>
      <c r="BF727">
        <v>1.26</v>
      </c>
      <c r="BG727" t="s">
        <v>11462</v>
      </c>
      <c r="BH727" t="s">
        <v>11463</v>
      </c>
      <c r="BI727" t="s">
        <v>11464</v>
      </c>
      <c r="BJ727" t="s">
        <v>101</v>
      </c>
      <c r="BK727" t="s">
        <v>7221</v>
      </c>
      <c r="BL727" t="s">
        <v>3967</v>
      </c>
      <c r="BM727" t="s">
        <v>6946</v>
      </c>
      <c r="BN727" t="s">
        <v>4063</v>
      </c>
    </row>
    <row r="728" spans="1:66" x14ac:dyDescent="0.25">
      <c r="A728" t="str">
        <f>HYPERLINK("https://elite.finviz.com/quote.ashx?t=CTRE&amp;ty=c&amp;p=d&amp;b=1", "CTRE")</f>
        <v>CTRE</v>
      </c>
      <c r="B728">
        <v>7</v>
      </c>
      <c r="C728">
        <v>138.38</v>
      </c>
      <c r="D728">
        <v>60.96</v>
      </c>
      <c r="E728" t="s">
        <v>11465</v>
      </c>
      <c r="F728" t="s">
        <v>67</v>
      </c>
      <c r="G728" t="s">
        <v>68</v>
      </c>
      <c r="H728" t="s">
        <v>6072</v>
      </c>
      <c r="I728" t="s">
        <v>70</v>
      </c>
      <c r="J728" t="s">
        <v>71</v>
      </c>
      <c r="K728">
        <v>7799.88</v>
      </c>
      <c r="L728">
        <v>34.93</v>
      </c>
      <c r="M728" t="s">
        <v>3019</v>
      </c>
      <c r="N728">
        <v>280899</v>
      </c>
      <c r="O728">
        <v>29.14</v>
      </c>
      <c r="P728">
        <v>22.5</v>
      </c>
      <c r="Q728">
        <v>1.05</v>
      </c>
      <c r="R728">
        <v>20.89</v>
      </c>
      <c r="S728">
        <v>2.11</v>
      </c>
      <c r="T728" t="s">
        <v>2493</v>
      </c>
      <c r="U728">
        <v>1.18</v>
      </c>
      <c r="V728" t="s">
        <v>198</v>
      </c>
      <c r="W728" t="s">
        <v>975</v>
      </c>
      <c r="X728" t="s">
        <v>1769</v>
      </c>
      <c r="Y728" t="s">
        <v>2542</v>
      </c>
      <c r="Z728" t="s">
        <v>11466</v>
      </c>
      <c r="AA728">
        <v>1.2</v>
      </c>
      <c r="AB728" t="s">
        <v>90</v>
      </c>
      <c r="AC728" t="s">
        <v>3171</v>
      </c>
      <c r="AD728" t="s">
        <v>11467</v>
      </c>
      <c r="AE728" t="s">
        <v>11468</v>
      </c>
      <c r="AF728" t="s">
        <v>10558</v>
      </c>
      <c r="AG728" t="s">
        <v>1609</v>
      </c>
      <c r="AH728" t="s">
        <v>1170</v>
      </c>
      <c r="AI728" t="s">
        <v>4892</v>
      </c>
      <c r="AJ728" t="s">
        <v>164</v>
      </c>
      <c r="AK728" t="s">
        <v>7882</v>
      </c>
      <c r="AL728">
        <v>6.87</v>
      </c>
      <c r="AM728">
        <v>6.87</v>
      </c>
      <c r="AN728">
        <v>0.35</v>
      </c>
      <c r="AO728" t="s">
        <v>3935</v>
      </c>
      <c r="AP728" t="s">
        <v>11469</v>
      </c>
      <c r="AQ728" t="s">
        <v>11470</v>
      </c>
      <c r="AR728" t="s">
        <v>5084</v>
      </c>
      <c r="AS728" t="s">
        <v>2082</v>
      </c>
      <c r="AT728" t="s">
        <v>2202</v>
      </c>
      <c r="AU728" t="s">
        <v>121</v>
      </c>
      <c r="AV728" t="s">
        <v>5465</v>
      </c>
      <c r="AW728" t="s">
        <v>7346</v>
      </c>
      <c r="AX728" t="s">
        <v>6343</v>
      </c>
      <c r="AY728" t="s">
        <v>7346</v>
      </c>
      <c r="AZ728" t="s">
        <v>6473</v>
      </c>
      <c r="BA728">
        <v>1.33</v>
      </c>
      <c r="BB728">
        <v>2467.42</v>
      </c>
      <c r="BC728">
        <v>0.4</v>
      </c>
      <c r="BD728">
        <v>34.44</v>
      </c>
      <c r="BE728">
        <v>35.18</v>
      </c>
      <c r="BF728">
        <v>34.630000000000003</v>
      </c>
      <c r="BG728" t="s">
        <v>11471</v>
      </c>
      <c r="BH728" t="s">
        <v>7346</v>
      </c>
      <c r="BI728" t="s">
        <v>11472</v>
      </c>
      <c r="BJ728" t="s">
        <v>101</v>
      </c>
      <c r="BK728" t="s">
        <v>11027</v>
      </c>
      <c r="BL728" t="s">
        <v>11473</v>
      </c>
      <c r="BM728" t="s">
        <v>1455</v>
      </c>
      <c r="BN728" t="s">
        <v>4063</v>
      </c>
    </row>
    <row r="729" spans="1:66" x14ac:dyDescent="0.25">
      <c r="A729" t="str">
        <f>HYPERLINK("https://elite.finviz.com/quote.ashx?t=EVGO&amp;ty=c&amp;p=d&amp;b=1", "EVGO")</f>
        <v>EVGO</v>
      </c>
      <c r="B729">
        <v>7</v>
      </c>
      <c r="C729">
        <v>138.38</v>
      </c>
      <c r="D729">
        <v>60.97</v>
      </c>
      <c r="E729" t="s">
        <v>11474</v>
      </c>
      <c r="F729" t="s">
        <v>67</v>
      </c>
      <c r="G729" t="s">
        <v>813</v>
      </c>
      <c r="H729" t="s">
        <v>2262</v>
      </c>
      <c r="I729" t="s">
        <v>70</v>
      </c>
      <c r="J729" t="s">
        <v>321</v>
      </c>
      <c r="K729">
        <v>1397.54</v>
      </c>
      <c r="L729">
        <v>4.55</v>
      </c>
      <c r="M729" t="s">
        <v>9618</v>
      </c>
      <c r="N729">
        <v>693068</v>
      </c>
      <c r="R729">
        <v>4.53</v>
      </c>
      <c r="AA729">
        <v>-0.4</v>
      </c>
      <c r="AB729" t="s">
        <v>11475</v>
      </c>
      <c r="AC729" t="s">
        <v>8223</v>
      </c>
      <c r="AD729" t="s">
        <v>4885</v>
      </c>
      <c r="AE729" t="s">
        <v>11476</v>
      </c>
      <c r="AF729" t="s">
        <v>11477</v>
      </c>
      <c r="AH729" t="s">
        <v>11478</v>
      </c>
      <c r="AI729" t="s">
        <v>900</v>
      </c>
      <c r="AJ729" t="s">
        <v>9084</v>
      </c>
      <c r="AK729" t="s">
        <v>11479</v>
      </c>
      <c r="AL729">
        <v>1.93</v>
      </c>
      <c r="AM729">
        <v>1.93</v>
      </c>
      <c r="AO729" t="s">
        <v>6674</v>
      </c>
      <c r="AP729" t="s">
        <v>11480</v>
      </c>
      <c r="AQ729" t="s">
        <v>11481</v>
      </c>
      <c r="AR729" t="s">
        <v>3127</v>
      </c>
      <c r="AS729" t="s">
        <v>892</v>
      </c>
      <c r="AT729" t="s">
        <v>3837</v>
      </c>
      <c r="AU729" t="s">
        <v>11482</v>
      </c>
      <c r="AV729" t="s">
        <v>3427</v>
      </c>
      <c r="AW729" t="s">
        <v>217</v>
      </c>
      <c r="AX729" t="s">
        <v>11483</v>
      </c>
      <c r="AY729" t="s">
        <v>7456</v>
      </c>
      <c r="AZ729" t="s">
        <v>1705</v>
      </c>
      <c r="BA729">
        <v>1.64</v>
      </c>
      <c r="BB729">
        <v>4115.47</v>
      </c>
      <c r="BC729">
        <v>0.59</v>
      </c>
      <c r="BD729">
        <v>4.63</v>
      </c>
      <c r="BE729">
        <v>4.68</v>
      </c>
      <c r="BF729">
        <v>4.5</v>
      </c>
      <c r="BG729" t="s">
        <v>11484</v>
      </c>
      <c r="BH729" t="s">
        <v>11485</v>
      </c>
      <c r="BI729" t="s">
        <v>11486</v>
      </c>
      <c r="BJ729" t="s">
        <v>101</v>
      </c>
      <c r="BK729" t="s">
        <v>10649</v>
      </c>
      <c r="BL729" t="s">
        <v>11487</v>
      </c>
      <c r="BM729" t="s">
        <v>7232</v>
      </c>
      <c r="BN729" t="s">
        <v>4063</v>
      </c>
    </row>
    <row r="730" spans="1:66" x14ac:dyDescent="0.25">
      <c r="A730" t="str">
        <f>HYPERLINK("https://elite.finviz.com/quote.ashx?t=SEE&amp;ty=c&amp;p=d&amp;b=1", "SEE")</f>
        <v>SEE</v>
      </c>
      <c r="B730">
        <v>7</v>
      </c>
      <c r="C730">
        <v>138.38</v>
      </c>
      <c r="D730">
        <v>60.98</v>
      </c>
      <c r="E730" t="s">
        <v>11488</v>
      </c>
      <c r="F730" t="s">
        <v>107</v>
      </c>
      <c r="G730" t="s">
        <v>813</v>
      </c>
      <c r="H730" t="s">
        <v>7355</v>
      </c>
      <c r="I730" t="s">
        <v>70</v>
      </c>
      <c r="J730" t="s">
        <v>71</v>
      </c>
      <c r="K730">
        <v>5004.8999999999996</v>
      </c>
      <c r="L730">
        <v>34.03</v>
      </c>
      <c r="M730" t="s">
        <v>3544</v>
      </c>
      <c r="N730">
        <v>329513</v>
      </c>
      <c r="O730">
        <v>16.68</v>
      </c>
      <c r="P730">
        <v>10.199999999999999</v>
      </c>
      <c r="Q730">
        <v>3.35</v>
      </c>
      <c r="R730">
        <v>0.94</v>
      </c>
      <c r="S730">
        <v>5.25</v>
      </c>
      <c r="T730" t="s">
        <v>617</v>
      </c>
      <c r="U730">
        <v>0.8</v>
      </c>
      <c r="V730" t="s">
        <v>2620</v>
      </c>
      <c r="W730" t="s">
        <v>164</v>
      </c>
      <c r="X730" t="s">
        <v>3257</v>
      </c>
      <c r="Y730" t="s">
        <v>371</v>
      </c>
      <c r="Z730" t="s">
        <v>11489</v>
      </c>
      <c r="AA730">
        <v>2.04</v>
      </c>
      <c r="AB730" t="s">
        <v>11490</v>
      </c>
      <c r="AC730" t="s">
        <v>1358</v>
      </c>
      <c r="AD730" t="s">
        <v>4824</v>
      </c>
      <c r="AE730" t="s">
        <v>1444</v>
      </c>
      <c r="AF730" t="s">
        <v>5693</v>
      </c>
      <c r="AG730" t="s">
        <v>744</v>
      </c>
      <c r="AH730" t="s">
        <v>240</v>
      </c>
      <c r="AI730" t="s">
        <v>3138</v>
      </c>
      <c r="AJ730" t="s">
        <v>164</v>
      </c>
      <c r="AK730" t="s">
        <v>11491</v>
      </c>
      <c r="AL730">
        <v>1.19</v>
      </c>
      <c r="AM730">
        <v>0.71</v>
      </c>
      <c r="AN730">
        <v>4.66</v>
      </c>
      <c r="AO730" t="s">
        <v>11492</v>
      </c>
      <c r="AP730" t="s">
        <v>11493</v>
      </c>
      <c r="AQ730" t="s">
        <v>3949</v>
      </c>
      <c r="AR730" t="s">
        <v>3208</v>
      </c>
      <c r="AS730" t="s">
        <v>4255</v>
      </c>
      <c r="AT730" t="s">
        <v>714</v>
      </c>
      <c r="AU730" t="s">
        <v>1653</v>
      </c>
      <c r="AV730" t="s">
        <v>11494</v>
      </c>
      <c r="AW730" t="s">
        <v>133</v>
      </c>
      <c r="AX730" t="s">
        <v>11495</v>
      </c>
      <c r="AY730" t="s">
        <v>1905</v>
      </c>
      <c r="AZ730" t="s">
        <v>11496</v>
      </c>
      <c r="BA730">
        <v>1.84</v>
      </c>
      <c r="BB730">
        <v>1449.89</v>
      </c>
      <c r="BC730">
        <v>0.8</v>
      </c>
      <c r="BD730">
        <v>33.299999999999997</v>
      </c>
      <c r="BE730">
        <v>34.11</v>
      </c>
      <c r="BF730">
        <v>33.28</v>
      </c>
      <c r="BG730" t="s">
        <v>11497</v>
      </c>
      <c r="BH730" t="s">
        <v>11498</v>
      </c>
      <c r="BI730" t="s">
        <v>11499</v>
      </c>
      <c r="BJ730" t="s">
        <v>101</v>
      </c>
      <c r="BK730" t="s">
        <v>5697</v>
      </c>
      <c r="BL730" t="s">
        <v>3875</v>
      </c>
      <c r="BM730" t="s">
        <v>8607</v>
      </c>
      <c r="BN730" t="s">
        <v>4063</v>
      </c>
    </row>
    <row r="731" spans="1:66" x14ac:dyDescent="0.25">
      <c r="A731" t="str">
        <f>HYPERLINK("https://elite.finviz.com/quote.ashx?t=RDN&amp;ty=c&amp;p=d&amp;b=1", "RDN")</f>
        <v>RDN</v>
      </c>
      <c r="B731">
        <v>7</v>
      </c>
      <c r="C731">
        <v>138.38</v>
      </c>
      <c r="D731">
        <v>60.98</v>
      </c>
      <c r="E731" t="s">
        <v>11500</v>
      </c>
      <c r="F731" t="s">
        <v>67</v>
      </c>
      <c r="G731" t="s">
        <v>550</v>
      </c>
      <c r="H731" t="s">
        <v>4675</v>
      </c>
      <c r="I731" t="s">
        <v>70</v>
      </c>
      <c r="J731" t="s">
        <v>71</v>
      </c>
      <c r="K731">
        <v>4962.91</v>
      </c>
      <c r="L731">
        <v>36.64</v>
      </c>
      <c r="M731" t="s">
        <v>3598</v>
      </c>
      <c r="N731">
        <v>147822</v>
      </c>
      <c r="O731">
        <v>9.23</v>
      </c>
      <c r="P731">
        <v>8.36</v>
      </c>
      <c r="Q731">
        <v>1.83</v>
      </c>
      <c r="R731">
        <v>3.86</v>
      </c>
      <c r="S731">
        <v>1.1000000000000001</v>
      </c>
      <c r="T731" t="s">
        <v>5780</v>
      </c>
      <c r="U731">
        <v>1.01</v>
      </c>
      <c r="V731" t="s">
        <v>10943</v>
      </c>
      <c r="W731" t="s">
        <v>660</v>
      </c>
      <c r="X731" t="s">
        <v>11501</v>
      </c>
      <c r="Y731" t="s">
        <v>11502</v>
      </c>
      <c r="Z731" t="s">
        <v>2621</v>
      </c>
      <c r="AA731">
        <v>3.97</v>
      </c>
      <c r="AB731" t="s">
        <v>1283</v>
      </c>
      <c r="AC731" t="s">
        <v>2841</v>
      </c>
      <c r="AD731" t="s">
        <v>2429</v>
      </c>
      <c r="AE731" t="s">
        <v>6182</v>
      </c>
      <c r="AF731" t="s">
        <v>1722</v>
      </c>
      <c r="AG731" t="s">
        <v>2149</v>
      </c>
      <c r="AH731" t="s">
        <v>1722</v>
      </c>
      <c r="AI731" t="s">
        <v>8013</v>
      </c>
      <c r="AJ731" t="s">
        <v>528</v>
      </c>
      <c r="AK731" t="s">
        <v>6261</v>
      </c>
      <c r="AL731">
        <v>0.93</v>
      </c>
      <c r="AN731">
        <v>0.41</v>
      </c>
      <c r="AP731" t="s">
        <v>11503</v>
      </c>
      <c r="AQ731" t="s">
        <v>11504</v>
      </c>
      <c r="AR731" t="s">
        <v>3925</v>
      </c>
      <c r="AS731" t="s">
        <v>1303</v>
      </c>
      <c r="AT731" t="s">
        <v>2383</v>
      </c>
      <c r="AU731" t="s">
        <v>4403</v>
      </c>
      <c r="AV731" t="s">
        <v>11505</v>
      </c>
      <c r="AW731" t="s">
        <v>8889</v>
      </c>
      <c r="AX731" t="s">
        <v>5390</v>
      </c>
      <c r="AY731" t="s">
        <v>8889</v>
      </c>
      <c r="AZ731" t="s">
        <v>11506</v>
      </c>
      <c r="BA731">
        <v>3</v>
      </c>
      <c r="BB731">
        <v>1070.49</v>
      </c>
      <c r="BC731">
        <v>0.49</v>
      </c>
      <c r="BD731">
        <v>36.65</v>
      </c>
      <c r="BE731">
        <v>37.229999999999997</v>
      </c>
      <c r="BF731">
        <v>36.53</v>
      </c>
      <c r="BG731" t="s">
        <v>11507</v>
      </c>
      <c r="BH731" t="s">
        <v>11508</v>
      </c>
      <c r="BI731" t="s">
        <v>11509</v>
      </c>
      <c r="BJ731" t="s">
        <v>101</v>
      </c>
      <c r="BK731" t="s">
        <v>3118</v>
      </c>
      <c r="BL731" t="s">
        <v>5618</v>
      </c>
      <c r="BM731" t="s">
        <v>2123</v>
      </c>
      <c r="BN731" t="s">
        <v>4063</v>
      </c>
    </row>
    <row r="732" spans="1:66" x14ac:dyDescent="0.25">
      <c r="A732" t="str">
        <f>HYPERLINK("https://elite.finviz.com/quote.ashx?t=DBX&amp;ty=c&amp;p=d&amp;b=1", "DBX")</f>
        <v>DBX</v>
      </c>
      <c r="B732">
        <v>7</v>
      </c>
      <c r="C732">
        <v>138.38</v>
      </c>
      <c r="D732">
        <v>61</v>
      </c>
      <c r="E732" t="s">
        <v>11510</v>
      </c>
      <c r="F732" t="s">
        <v>107</v>
      </c>
      <c r="G732" t="s">
        <v>108</v>
      </c>
      <c r="H732" t="s">
        <v>109</v>
      </c>
      <c r="I732" t="s">
        <v>70</v>
      </c>
      <c r="J732" t="s">
        <v>321</v>
      </c>
      <c r="K732">
        <v>8170.58</v>
      </c>
      <c r="L732">
        <v>31.24</v>
      </c>
      <c r="M732" t="s">
        <v>406</v>
      </c>
      <c r="N732">
        <v>352489</v>
      </c>
      <c r="O732">
        <v>19.11</v>
      </c>
      <c r="P732">
        <v>10.64</v>
      </c>
      <c r="Q732">
        <v>2.4500000000000002</v>
      </c>
      <c r="R732">
        <v>3.23</v>
      </c>
      <c r="Z732" t="s">
        <v>164</v>
      </c>
      <c r="AA732">
        <v>1.63</v>
      </c>
      <c r="AB732" t="s">
        <v>10695</v>
      </c>
      <c r="AD732" t="s">
        <v>2515</v>
      </c>
      <c r="AE732" t="s">
        <v>3227</v>
      </c>
      <c r="AF732" t="s">
        <v>1772</v>
      </c>
      <c r="AG732" t="s">
        <v>4193</v>
      </c>
      <c r="AH732" t="s">
        <v>4938</v>
      </c>
      <c r="AI732" t="s">
        <v>9736</v>
      </c>
      <c r="AJ732" t="s">
        <v>2374</v>
      </c>
      <c r="AK732" t="s">
        <v>11511</v>
      </c>
      <c r="AL732">
        <v>0.59</v>
      </c>
      <c r="AM732">
        <v>0.59</v>
      </c>
      <c r="AO732" t="s">
        <v>11512</v>
      </c>
      <c r="AP732" t="s">
        <v>4988</v>
      </c>
      <c r="AQ732" t="s">
        <v>1645</v>
      </c>
      <c r="AR732" t="s">
        <v>910</v>
      </c>
      <c r="AS732" t="s">
        <v>2876</v>
      </c>
      <c r="AT732" t="s">
        <v>2307</v>
      </c>
      <c r="AU732" t="s">
        <v>5528</v>
      </c>
      <c r="AV732" t="s">
        <v>2428</v>
      </c>
      <c r="AW732" t="s">
        <v>11513</v>
      </c>
      <c r="AX732" t="s">
        <v>8327</v>
      </c>
      <c r="AY732" t="s">
        <v>4667</v>
      </c>
      <c r="AZ732" t="s">
        <v>11514</v>
      </c>
      <c r="BA732">
        <v>3.46</v>
      </c>
      <c r="BB732">
        <v>3504.06</v>
      </c>
      <c r="BC732">
        <v>0.35</v>
      </c>
      <c r="BD732">
        <v>31.24</v>
      </c>
      <c r="BE732">
        <v>31.34</v>
      </c>
      <c r="BF732">
        <v>31.03</v>
      </c>
      <c r="BG732" t="s">
        <v>11515</v>
      </c>
      <c r="BH732" t="s">
        <v>11516</v>
      </c>
      <c r="BI732" t="s">
        <v>11517</v>
      </c>
      <c r="BJ732" t="s">
        <v>101</v>
      </c>
      <c r="BK732" t="s">
        <v>1935</v>
      </c>
      <c r="BL732" t="s">
        <v>10361</v>
      </c>
      <c r="BM732" t="s">
        <v>10467</v>
      </c>
      <c r="BN732" t="s">
        <v>4063</v>
      </c>
    </row>
    <row r="733" spans="1:66" x14ac:dyDescent="0.25">
      <c r="A733" t="str">
        <f>HYPERLINK("https://elite.finviz.com/quote.ashx?t=VNOM&amp;ty=c&amp;p=d&amp;b=1", "VNOM")</f>
        <v>VNOM</v>
      </c>
      <c r="B733">
        <v>7</v>
      </c>
      <c r="C733">
        <v>138.38</v>
      </c>
      <c r="D733">
        <v>61.05</v>
      </c>
      <c r="E733" t="s">
        <v>11518</v>
      </c>
      <c r="F733" t="s">
        <v>107</v>
      </c>
      <c r="G733" t="s">
        <v>1048</v>
      </c>
      <c r="H733" t="s">
        <v>3915</v>
      </c>
      <c r="I733" t="s">
        <v>70</v>
      </c>
      <c r="J733" t="s">
        <v>321</v>
      </c>
      <c r="K733">
        <v>13151.15</v>
      </c>
      <c r="L733">
        <v>40.24</v>
      </c>
      <c r="M733" t="s">
        <v>7423</v>
      </c>
      <c r="N733">
        <v>321710</v>
      </c>
      <c r="O733">
        <v>11.63</v>
      </c>
      <c r="P733">
        <v>23.3</v>
      </c>
      <c r="R733">
        <v>13.63</v>
      </c>
      <c r="S733">
        <v>1.54</v>
      </c>
      <c r="T733" t="s">
        <v>3506</v>
      </c>
      <c r="U733">
        <v>1.22</v>
      </c>
      <c r="V733" t="s">
        <v>2708</v>
      </c>
      <c r="W733" t="s">
        <v>11519</v>
      </c>
      <c r="X733" t="s">
        <v>1061</v>
      </c>
      <c r="Y733" t="s">
        <v>2205</v>
      </c>
      <c r="Z733" t="s">
        <v>4212</v>
      </c>
      <c r="AA733">
        <v>3.46</v>
      </c>
      <c r="AB733" t="s">
        <v>11520</v>
      </c>
      <c r="AC733" t="s">
        <v>11521</v>
      </c>
      <c r="AD733" t="s">
        <v>4238</v>
      </c>
      <c r="AE733" t="s">
        <v>6131</v>
      </c>
      <c r="AF733" t="s">
        <v>4331</v>
      </c>
      <c r="AG733" t="s">
        <v>8957</v>
      </c>
      <c r="AH733" t="s">
        <v>9008</v>
      </c>
      <c r="AI733" t="s">
        <v>1960</v>
      </c>
      <c r="AJ733" t="s">
        <v>164</v>
      </c>
      <c r="AK733" t="s">
        <v>11522</v>
      </c>
      <c r="AL733">
        <v>6.15</v>
      </c>
      <c r="AM733">
        <v>6.15</v>
      </c>
      <c r="AN733">
        <v>0.32</v>
      </c>
      <c r="AO733" t="s">
        <v>6262</v>
      </c>
      <c r="AP733" t="s">
        <v>11523</v>
      </c>
      <c r="AQ733" t="s">
        <v>11524</v>
      </c>
      <c r="AR733" t="s">
        <v>4916</v>
      </c>
      <c r="AS733" t="s">
        <v>7154</v>
      </c>
      <c r="AT733" t="s">
        <v>5045</v>
      </c>
      <c r="AU733" t="s">
        <v>4995</v>
      </c>
      <c r="AV733" t="s">
        <v>2304</v>
      </c>
      <c r="AW733" t="s">
        <v>2197</v>
      </c>
      <c r="AX733" t="s">
        <v>7655</v>
      </c>
      <c r="AY733" t="s">
        <v>2749</v>
      </c>
      <c r="AZ733" t="s">
        <v>11525</v>
      </c>
      <c r="BA733">
        <v>1.1599999999999999</v>
      </c>
      <c r="BB733">
        <v>2094.9499999999998</v>
      </c>
      <c r="BC733">
        <v>0.54</v>
      </c>
      <c r="BD733">
        <v>39.6</v>
      </c>
      <c r="BE733">
        <v>40.299999999999997</v>
      </c>
      <c r="BF733">
        <v>39.619999999999997</v>
      </c>
      <c r="BG733" t="s">
        <v>11526</v>
      </c>
      <c r="BH733" t="s">
        <v>2749</v>
      </c>
      <c r="BI733" t="s">
        <v>11527</v>
      </c>
      <c r="BJ733" t="s">
        <v>101</v>
      </c>
      <c r="BK733" t="s">
        <v>4133</v>
      </c>
      <c r="BL733" t="s">
        <v>11528</v>
      </c>
      <c r="BM733" t="s">
        <v>11529</v>
      </c>
      <c r="BN733" t="s">
        <v>4063</v>
      </c>
    </row>
    <row r="734" spans="1:66" x14ac:dyDescent="0.25">
      <c r="A734" t="str">
        <f>HYPERLINK("https://elite.finviz.com/quote.ashx?t=CFG&amp;ty=c&amp;p=d&amp;b=1", "CFG")</f>
        <v>CFG</v>
      </c>
      <c r="B734">
        <v>7</v>
      </c>
      <c r="C734">
        <v>138.38</v>
      </c>
      <c r="D734">
        <v>61.16</v>
      </c>
      <c r="E734" t="s">
        <v>11530</v>
      </c>
      <c r="F734" t="s">
        <v>195</v>
      </c>
      <c r="G734" t="s">
        <v>550</v>
      </c>
      <c r="H734" t="s">
        <v>697</v>
      </c>
      <c r="I734" t="s">
        <v>70</v>
      </c>
      <c r="J734" t="s">
        <v>71</v>
      </c>
      <c r="K734">
        <v>22829.15</v>
      </c>
      <c r="L734">
        <v>52.92</v>
      </c>
      <c r="M734" t="s">
        <v>580</v>
      </c>
      <c r="N734">
        <v>995950</v>
      </c>
      <c r="O734">
        <v>16.14</v>
      </c>
      <c r="P734">
        <v>10.66</v>
      </c>
      <c r="Q734">
        <v>0.6</v>
      </c>
      <c r="R734">
        <v>1.89</v>
      </c>
      <c r="S734">
        <v>0.99</v>
      </c>
      <c r="T734" t="s">
        <v>8013</v>
      </c>
      <c r="U734">
        <v>1.68</v>
      </c>
      <c r="V734" t="s">
        <v>5604</v>
      </c>
      <c r="W734" t="s">
        <v>164</v>
      </c>
      <c r="X734" t="s">
        <v>6430</v>
      </c>
      <c r="Y734" t="s">
        <v>3443</v>
      </c>
      <c r="Z734" t="s">
        <v>11531</v>
      </c>
      <c r="AA734">
        <v>3.28</v>
      </c>
      <c r="AB734" t="s">
        <v>11532</v>
      </c>
      <c r="AC734" t="s">
        <v>4396</v>
      </c>
      <c r="AD734" t="s">
        <v>11533</v>
      </c>
      <c r="AE734" t="s">
        <v>2893</v>
      </c>
      <c r="AF734" t="s">
        <v>6316</v>
      </c>
      <c r="AG734" t="s">
        <v>660</v>
      </c>
      <c r="AH734" t="s">
        <v>4920</v>
      </c>
      <c r="AI734" t="s">
        <v>2484</v>
      </c>
      <c r="AJ734" t="s">
        <v>164</v>
      </c>
      <c r="AK734" t="s">
        <v>11534</v>
      </c>
      <c r="AL734">
        <v>0.08</v>
      </c>
      <c r="AN734">
        <v>0.51</v>
      </c>
      <c r="AP734" t="s">
        <v>928</v>
      </c>
      <c r="AQ734" t="s">
        <v>4068</v>
      </c>
      <c r="AR734" t="s">
        <v>5071</v>
      </c>
      <c r="AS734" t="s">
        <v>5071</v>
      </c>
      <c r="AT734" t="s">
        <v>5158</v>
      </c>
      <c r="AU734" t="s">
        <v>2123</v>
      </c>
      <c r="AV734" t="s">
        <v>6595</v>
      </c>
      <c r="AW734" t="s">
        <v>4149</v>
      </c>
      <c r="AX734" t="s">
        <v>3058</v>
      </c>
      <c r="AY734" t="s">
        <v>4149</v>
      </c>
      <c r="AZ734" t="s">
        <v>11535</v>
      </c>
      <c r="BA734">
        <v>1.56</v>
      </c>
      <c r="BB734">
        <v>4727.1099999999997</v>
      </c>
      <c r="BC734">
        <v>0.74</v>
      </c>
      <c r="BD734">
        <v>52.89</v>
      </c>
      <c r="BE734">
        <v>53.67</v>
      </c>
      <c r="BF734">
        <v>52.82</v>
      </c>
      <c r="BG734" t="s">
        <v>11536</v>
      </c>
      <c r="BH734" t="s">
        <v>4635</v>
      </c>
      <c r="BI734" t="s">
        <v>11537</v>
      </c>
      <c r="BJ734" t="s">
        <v>101</v>
      </c>
      <c r="BK734" t="s">
        <v>9557</v>
      </c>
      <c r="BL734" t="s">
        <v>9434</v>
      </c>
      <c r="BM734" t="s">
        <v>11538</v>
      </c>
      <c r="BN734" t="s">
        <v>4063</v>
      </c>
    </row>
    <row r="735" spans="1:66" x14ac:dyDescent="0.25">
      <c r="A735" t="str">
        <f>HYPERLINK("https://elite.finviz.com/quote.ashx?t=APLD&amp;ty=c&amp;p=d&amp;b=1", "APLD")</f>
        <v>APLD</v>
      </c>
      <c r="B735">
        <v>7</v>
      </c>
      <c r="C735">
        <v>138.38</v>
      </c>
      <c r="D735">
        <v>61.16</v>
      </c>
      <c r="E735" t="s">
        <v>11539</v>
      </c>
      <c r="F735" t="s">
        <v>67</v>
      </c>
      <c r="G735" t="s">
        <v>108</v>
      </c>
      <c r="H735" t="s">
        <v>1322</v>
      </c>
      <c r="I735" t="s">
        <v>70</v>
      </c>
      <c r="J735" t="s">
        <v>321</v>
      </c>
      <c r="K735">
        <v>5511.53</v>
      </c>
      <c r="L735">
        <v>21.08</v>
      </c>
      <c r="M735" t="s">
        <v>6538</v>
      </c>
      <c r="N735">
        <v>8773347</v>
      </c>
      <c r="R735">
        <v>25.57</v>
      </c>
      <c r="S735">
        <v>9.52</v>
      </c>
      <c r="AA735">
        <v>-1.1000000000000001</v>
      </c>
      <c r="AB735" t="s">
        <v>358</v>
      </c>
      <c r="AC735" t="s">
        <v>11540</v>
      </c>
      <c r="AE735" t="s">
        <v>11541</v>
      </c>
      <c r="AF735" t="s">
        <v>11542</v>
      </c>
      <c r="AH735" t="s">
        <v>10885</v>
      </c>
      <c r="AI735" t="s">
        <v>11543</v>
      </c>
      <c r="AJ735" t="s">
        <v>3831</v>
      </c>
      <c r="AK735" t="s">
        <v>9355</v>
      </c>
      <c r="AL735">
        <v>0.77</v>
      </c>
      <c r="AM735">
        <v>0.77</v>
      </c>
      <c r="AN735">
        <v>1.1100000000000001</v>
      </c>
      <c r="AO735" t="s">
        <v>11544</v>
      </c>
      <c r="AP735" t="s">
        <v>1232</v>
      </c>
      <c r="AQ735" t="s">
        <v>11545</v>
      </c>
      <c r="AR735" t="s">
        <v>5838</v>
      </c>
      <c r="AS735" t="s">
        <v>1282</v>
      </c>
      <c r="AT735" t="s">
        <v>9843</v>
      </c>
      <c r="AU735" t="s">
        <v>11546</v>
      </c>
      <c r="AV735" t="s">
        <v>11547</v>
      </c>
      <c r="AW735" t="s">
        <v>2292</v>
      </c>
      <c r="AX735" t="s">
        <v>11548</v>
      </c>
      <c r="AY735" t="s">
        <v>2292</v>
      </c>
      <c r="AZ735" t="s">
        <v>11549</v>
      </c>
      <c r="BA735">
        <v>1</v>
      </c>
      <c r="BB735">
        <v>31542.9</v>
      </c>
      <c r="BC735">
        <v>0.98</v>
      </c>
      <c r="BD735">
        <v>22.59</v>
      </c>
      <c r="BE735">
        <v>22.71</v>
      </c>
      <c r="BF735">
        <v>20.89</v>
      </c>
      <c r="BG735" t="s">
        <v>11550</v>
      </c>
      <c r="BH735" t="s">
        <v>11551</v>
      </c>
      <c r="BJ735" t="s">
        <v>101</v>
      </c>
      <c r="BK735" t="s">
        <v>11552</v>
      </c>
      <c r="BL735" t="s">
        <v>11553</v>
      </c>
      <c r="BM735" t="s">
        <v>11554</v>
      </c>
      <c r="BN735" t="s">
        <v>4063</v>
      </c>
    </row>
    <row r="736" spans="1:66" x14ac:dyDescent="0.25">
      <c r="A736" t="str">
        <f>HYPERLINK("https://elite.finviz.com/quote.ashx?t=ABBV&amp;ty=c&amp;p=d&amp;b=1", "ABBV")</f>
        <v>ABBV</v>
      </c>
      <c r="B736">
        <v>7</v>
      </c>
      <c r="C736">
        <v>138.38</v>
      </c>
      <c r="D736">
        <v>61.17</v>
      </c>
      <c r="E736" t="s">
        <v>11555</v>
      </c>
      <c r="F736" t="s">
        <v>195</v>
      </c>
      <c r="G736" t="s">
        <v>428</v>
      </c>
      <c r="H736" t="s">
        <v>4701</v>
      </c>
      <c r="I736" t="s">
        <v>70</v>
      </c>
      <c r="J736" t="s">
        <v>71</v>
      </c>
      <c r="K736">
        <v>386558.28</v>
      </c>
      <c r="L736">
        <v>218.82</v>
      </c>
      <c r="M736" t="s">
        <v>4494</v>
      </c>
      <c r="N736">
        <v>778875</v>
      </c>
      <c r="O736">
        <v>104.14</v>
      </c>
      <c r="P736">
        <v>15.32</v>
      </c>
      <c r="Q736">
        <v>6.45</v>
      </c>
      <c r="R736">
        <v>6.63</v>
      </c>
      <c r="T736" t="s">
        <v>6118</v>
      </c>
      <c r="U736">
        <v>6.47</v>
      </c>
      <c r="V736" t="s">
        <v>7373</v>
      </c>
      <c r="W736" t="s">
        <v>2732</v>
      </c>
      <c r="X736" t="s">
        <v>7210</v>
      </c>
      <c r="Y736" t="s">
        <v>7236</v>
      </c>
      <c r="Z736" t="s">
        <v>11556</v>
      </c>
      <c r="AA736">
        <v>2.1</v>
      </c>
      <c r="AB736" t="s">
        <v>11516</v>
      </c>
      <c r="AC736" t="s">
        <v>11557</v>
      </c>
      <c r="AD736" t="s">
        <v>1784</v>
      </c>
      <c r="AE736" t="s">
        <v>8460</v>
      </c>
      <c r="AF736" t="s">
        <v>4539</v>
      </c>
      <c r="AG736" t="s">
        <v>821</v>
      </c>
      <c r="AH736" t="s">
        <v>6330</v>
      </c>
      <c r="AI736" t="s">
        <v>6104</v>
      </c>
      <c r="AJ736" t="s">
        <v>2604</v>
      </c>
      <c r="AK736" t="s">
        <v>4889</v>
      </c>
      <c r="AL736">
        <v>0.74</v>
      </c>
      <c r="AM736">
        <v>0.61</v>
      </c>
      <c r="AO736" t="s">
        <v>11558</v>
      </c>
      <c r="AP736" t="s">
        <v>2532</v>
      </c>
      <c r="AQ736" t="s">
        <v>4476</v>
      </c>
      <c r="AR736" t="s">
        <v>3024</v>
      </c>
      <c r="AS736" t="s">
        <v>3550</v>
      </c>
      <c r="AT736" t="s">
        <v>2144</v>
      </c>
      <c r="AU736" t="s">
        <v>3229</v>
      </c>
      <c r="AV736" t="s">
        <v>4390</v>
      </c>
      <c r="AW736" t="s">
        <v>4113</v>
      </c>
      <c r="AX736" t="s">
        <v>11559</v>
      </c>
      <c r="AY736" t="s">
        <v>4113</v>
      </c>
      <c r="AZ736" t="s">
        <v>8683</v>
      </c>
      <c r="BA736">
        <v>1.84</v>
      </c>
      <c r="BB736">
        <v>5601.16</v>
      </c>
      <c r="BC736">
        <v>0.49</v>
      </c>
      <c r="BD736">
        <v>218.54</v>
      </c>
      <c r="BE736">
        <v>220.65</v>
      </c>
      <c r="BF736">
        <v>218.32</v>
      </c>
      <c r="BG736" t="s">
        <v>11560</v>
      </c>
      <c r="BH736" t="s">
        <v>4113</v>
      </c>
      <c r="BI736" t="s">
        <v>11561</v>
      </c>
      <c r="BJ736" t="s">
        <v>101</v>
      </c>
      <c r="BK736" t="s">
        <v>1667</v>
      </c>
      <c r="BL736" t="s">
        <v>223</v>
      </c>
      <c r="BM736" t="s">
        <v>4258</v>
      </c>
      <c r="BN736" t="s">
        <v>4063</v>
      </c>
    </row>
    <row r="737" spans="1:66" x14ac:dyDescent="0.25">
      <c r="A737" t="str">
        <f>HYPERLINK("https://elite.finviz.com/quote.ashx?t=PWR&amp;ty=c&amp;p=d&amp;b=1", "PWR")</f>
        <v>PWR</v>
      </c>
      <c r="B737">
        <v>7</v>
      </c>
      <c r="C737">
        <v>138.38</v>
      </c>
      <c r="D737">
        <v>61.2</v>
      </c>
      <c r="E737" t="s">
        <v>11562</v>
      </c>
      <c r="F737" t="s">
        <v>195</v>
      </c>
      <c r="G737" t="s">
        <v>260</v>
      </c>
      <c r="H737" t="s">
        <v>2944</v>
      </c>
      <c r="I737" t="s">
        <v>70</v>
      </c>
      <c r="J737" t="s">
        <v>71</v>
      </c>
      <c r="K737">
        <v>59385.69</v>
      </c>
      <c r="L737">
        <v>403.08</v>
      </c>
      <c r="M737" t="s">
        <v>4782</v>
      </c>
      <c r="N737">
        <v>140769</v>
      </c>
      <c r="O737">
        <v>62.52</v>
      </c>
      <c r="P737">
        <v>32.590000000000003</v>
      </c>
      <c r="Q737">
        <v>3.71</v>
      </c>
      <c r="R737">
        <v>2.2799999999999998</v>
      </c>
      <c r="S737">
        <v>7.62</v>
      </c>
      <c r="T737" t="s">
        <v>2757</v>
      </c>
      <c r="U737">
        <v>0.39</v>
      </c>
      <c r="V737" t="s">
        <v>700</v>
      </c>
      <c r="W737" t="s">
        <v>709</v>
      </c>
      <c r="X737" t="s">
        <v>11319</v>
      </c>
      <c r="Y737" t="s">
        <v>4601</v>
      </c>
      <c r="Z737" t="s">
        <v>2985</v>
      </c>
      <c r="AA737">
        <v>6.45</v>
      </c>
      <c r="AB737" t="s">
        <v>11563</v>
      </c>
      <c r="AC737" t="s">
        <v>8735</v>
      </c>
      <c r="AD737" t="s">
        <v>11564</v>
      </c>
      <c r="AE737" t="s">
        <v>9460</v>
      </c>
      <c r="AF737" t="s">
        <v>10649</v>
      </c>
      <c r="AG737" t="s">
        <v>7108</v>
      </c>
      <c r="AH737" t="s">
        <v>11565</v>
      </c>
      <c r="AI737" t="s">
        <v>3551</v>
      </c>
      <c r="AJ737" t="s">
        <v>164</v>
      </c>
      <c r="AK737" t="s">
        <v>11566</v>
      </c>
      <c r="AL737">
        <v>1.37</v>
      </c>
      <c r="AM737">
        <v>1.32</v>
      </c>
      <c r="AN737">
        <v>0.65</v>
      </c>
      <c r="AO737" t="s">
        <v>3231</v>
      </c>
      <c r="AP737" t="s">
        <v>636</v>
      </c>
      <c r="AQ737" t="s">
        <v>8818</v>
      </c>
      <c r="AR737" t="s">
        <v>862</v>
      </c>
      <c r="AS737" t="s">
        <v>4154</v>
      </c>
      <c r="AT737" t="s">
        <v>372</v>
      </c>
      <c r="AU737" t="s">
        <v>3613</v>
      </c>
      <c r="AV737" t="s">
        <v>2441</v>
      </c>
      <c r="AW737" t="s">
        <v>11567</v>
      </c>
      <c r="AX737" t="s">
        <v>1652</v>
      </c>
      <c r="AY737" t="s">
        <v>11567</v>
      </c>
      <c r="AZ737" t="s">
        <v>11568</v>
      </c>
      <c r="BA737">
        <v>2.0299999999999998</v>
      </c>
      <c r="BB737">
        <v>1104.73</v>
      </c>
      <c r="BC737">
        <v>0.45</v>
      </c>
      <c r="BD737">
        <v>400.41</v>
      </c>
      <c r="BE737">
        <v>404.24</v>
      </c>
      <c r="BF737">
        <v>399.19</v>
      </c>
      <c r="BG737" t="s">
        <v>11569</v>
      </c>
      <c r="BH737" t="s">
        <v>11567</v>
      </c>
      <c r="BI737" t="s">
        <v>11570</v>
      </c>
      <c r="BJ737" t="s">
        <v>101</v>
      </c>
      <c r="BK737" t="s">
        <v>7685</v>
      </c>
      <c r="BL737" t="s">
        <v>4662</v>
      </c>
      <c r="BM737" t="s">
        <v>11571</v>
      </c>
      <c r="BN737" t="s">
        <v>4063</v>
      </c>
    </row>
    <row r="738" spans="1:66" x14ac:dyDescent="0.25">
      <c r="A738" t="str">
        <f>HYPERLINK("https://elite.finviz.com/quote.ashx?t=OXY&amp;ty=c&amp;p=d&amp;b=1", "OXY")</f>
        <v>OXY</v>
      </c>
      <c r="B738">
        <v>7</v>
      </c>
      <c r="C738">
        <v>138.38</v>
      </c>
      <c r="D738">
        <v>61.23</v>
      </c>
      <c r="E738" t="s">
        <v>11572</v>
      </c>
      <c r="F738" t="s">
        <v>195</v>
      </c>
      <c r="G738" t="s">
        <v>1048</v>
      </c>
      <c r="H738" t="s">
        <v>1049</v>
      </c>
      <c r="I738" t="s">
        <v>70</v>
      </c>
      <c r="J738" t="s">
        <v>71</v>
      </c>
      <c r="K738">
        <v>47331.87</v>
      </c>
      <c r="L738">
        <v>48.08</v>
      </c>
      <c r="M738" t="s">
        <v>2640</v>
      </c>
      <c r="N738">
        <v>4381265</v>
      </c>
      <c r="O738">
        <v>28.25</v>
      </c>
      <c r="P738">
        <v>16.89</v>
      </c>
      <c r="Q738">
        <v>8.9700000000000006</v>
      </c>
      <c r="R738">
        <v>1.74</v>
      </c>
      <c r="S738">
        <v>1.73</v>
      </c>
      <c r="T738" t="s">
        <v>2087</v>
      </c>
      <c r="U738">
        <v>0.94</v>
      </c>
      <c r="V738" t="s">
        <v>5717</v>
      </c>
      <c r="W738" t="s">
        <v>10317</v>
      </c>
      <c r="X738" t="s">
        <v>11573</v>
      </c>
      <c r="Y738" t="s">
        <v>5074</v>
      </c>
      <c r="Z738" t="s">
        <v>11574</v>
      </c>
      <c r="AA738">
        <v>1.7</v>
      </c>
      <c r="AB738" t="s">
        <v>5749</v>
      </c>
      <c r="AD738" t="s">
        <v>5779</v>
      </c>
      <c r="AE738" t="s">
        <v>7039</v>
      </c>
      <c r="AF738" t="s">
        <v>3551</v>
      </c>
      <c r="AG738" t="s">
        <v>661</v>
      </c>
      <c r="AH738" t="s">
        <v>7954</v>
      </c>
      <c r="AI738" t="s">
        <v>11575</v>
      </c>
      <c r="AJ738" t="s">
        <v>164</v>
      </c>
      <c r="AK738" t="s">
        <v>11576</v>
      </c>
      <c r="AL738">
        <v>1.05</v>
      </c>
      <c r="AM738">
        <v>0.83</v>
      </c>
      <c r="AN738">
        <v>0.68</v>
      </c>
      <c r="AO738" t="s">
        <v>11577</v>
      </c>
      <c r="AP738" t="s">
        <v>11578</v>
      </c>
      <c r="AQ738" t="s">
        <v>464</v>
      </c>
      <c r="AR738" t="s">
        <v>714</v>
      </c>
      <c r="AS738" t="s">
        <v>6430</v>
      </c>
      <c r="AT738" t="s">
        <v>7284</v>
      </c>
      <c r="AU738" t="s">
        <v>6183</v>
      </c>
      <c r="AV738" t="s">
        <v>4551</v>
      </c>
      <c r="AW738" t="s">
        <v>3752</v>
      </c>
      <c r="AX738" t="s">
        <v>7727</v>
      </c>
      <c r="AY738" t="s">
        <v>11579</v>
      </c>
      <c r="AZ738" t="s">
        <v>11580</v>
      </c>
      <c r="BA738">
        <v>2.73</v>
      </c>
      <c r="BB738">
        <v>9756.2000000000007</v>
      </c>
      <c r="BC738">
        <v>1.58</v>
      </c>
      <c r="BD738">
        <v>46.99</v>
      </c>
      <c r="BE738">
        <v>48.51</v>
      </c>
      <c r="BF738">
        <v>47.08</v>
      </c>
      <c r="BG738" t="s">
        <v>11581</v>
      </c>
      <c r="BH738" t="s">
        <v>11582</v>
      </c>
      <c r="BI738" t="s">
        <v>11583</v>
      </c>
      <c r="BJ738" t="s">
        <v>101</v>
      </c>
      <c r="BK738" t="s">
        <v>9097</v>
      </c>
      <c r="BL738" t="s">
        <v>7948</v>
      </c>
      <c r="BM738" t="s">
        <v>4053</v>
      </c>
      <c r="BN738" t="s">
        <v>4063</v>
      </c>
    </row>
    <row r="739" spans="1:66" x14ac:dyDescent="0.25">
      <c r="A739" t="str">
        <f>HYPERLINK("https://elite.finviz.com/quote.ashx?t=SSKN&amp;ty=c&amp;p=d&amp;b=1", "SSKN")</f>
        <v>SSKN</v>
      </c>
      <c r="B739">
        <v>7</v>
      </c>
      <c r="C739">
        <v>138.38</v>
      </c>
      <c r="D739">
        <v>61.26</v>
      </c>
      <c r="E739" t="s">
        <v>11584</v>
      </c>
      <c r="F739" t="s">
        <v>107</v>
      </c>
      <c r="G739" t="s">
        <v>428</v>
      </c>
      <c r="H739" t="s">
        <v>2051</v>
      </c>
      <c r="I739" t="s">
        <v>70</v>
      </c>
      <c r="J739" t="s">
        <v>321</v>
      </c>
      <c r="K739">
        <v>13.28</v>
      </c>
      <c r="L739">
        <v>2.52</v>
      </c>
      <c r="M739" t="s">
        <v>8003</v>
      </c>
      <c r="N739">
        <v>659347</v>
      </c>
      <c r="R739">
        <v>0.4</v>
      </c>
      <c r="S739">
        <v>34.130000000000003</v>
      </c>
      <c r="AA739">
        <v>-2.78</v>
      </c>
      <c r="AB739" t="s">
        <v>11585</v>
      </c>
      <c r="AC739" t="s">
        <v>11586</v>
      </c>
      <c r="AE739" t="s">
        <v>2642</v>
      </c>
      <c r="AF739" t="s">
        <v>122</v>
      </c>
      <c r="AG739" t="s">
        <v>4552</v>
      </c>
      <c r="AH739" t="s">
        <v>1851</v>
      </c>
      <c r="AI739" t="s">
        <v>1017</v>
      </c>
      <c r="AJ739" t="s">
        <v>164</v>
      </c>
      <c r="AK739" t="s">
        <v>7026</v>
      </c>
      <c r="AL739">
        <v>0.98</v>
      </c>
      <c r="AM739">
        <v>0.75</v>
      </c>
      <c r="AN739">
        <v>52.74</v>
      </c>
      <c r="AO739" t="s">
        <v>8066</v>
      </c>
      <c r="AP739" t="s">
        <v>11587</v>
      </c>
      <c r="AQ739" t="s">
        <v>11588</v>
      </c>
      <c r="AR739" t="s">
        <v>2862</v>
      </c>
      <c r="AS739" t="s">
        <v>3128</v>
      </c>
      <c r="AT739" t="s">
        <v>686</v>
      </c>
      <c r="AU739" t="s">
        <v>8683</v>
      </c>
      <c r="AV739" t="s">
        <v>2421</v>
      </c>
      <c r="AW739" t="s">
        <v>11589</v>
      </c>
      <c r="AX739" t="s">
        <v>11590</v>
      </c>
      <c r="AY739" t="s">
        <v>11589</v>
      </c>
      <c r="AZ739" t="s">
        <v>11590</v>
      </c>
      <c r="BA739">
        <v>1</v>
      </c>
      <c r="BB739">
        <v>2822.01</v>
      </c>
      <c r="BC739">
        <v>0.82</v>
      </c>
      <c r="BD739">
        <v>1.96</v>
      </c>
      <c r="BE739">
        <v>2.5299999999999998</v>
      </c>
      <c r="BF739">
        <v>1.95</v>
      </c>
      <c r="BG739" t="s">
        <v>11591</v>
      </c>
      <c r="BH739" t="s">
        <v>1194</v>
      </c>
      <c r="BI739" t="s">
        <v>11590</v>
      </c>
      <c r="BJ739" t="s">
        <v>101</v>
      </c>
      <c r="BK739" t="s">
        <v>1514</v>
      </c>
      <c r="BL739" t="s">
        <v>11592</v>
      </c>
      <c r="BM739" t="s">
        <v>11593</v>
      </c>
      <c r="BN739" t="s">
        <v>4063</v>
      </c>
    </row>
    <row r="740" spans="1:66" x14ac:dyDescent="0.25">
      <c r="A740" t="str">
        <f>HYPERLINK("https://elite.finviz.com/quote.ashx?t=XPRO&amp;ty=c&amp;p=d&amp;b=1", "XPRO")</f>
        <v>XPRO</v>
      </c>
      <c r="B740">
        <v>7</v>
      </c>
      <c r="C740">
        <v>138.38</v>
      </c>
      <c r="D740">
        <v>61.34</v>
      </c>
      <c r="E740" t="s">
        <v>11594</v>
      </c>
      <c r="F740" t="s">
        <v>67</v>
      </c>
      <c r="G740" t="s">
        <v>1048</v>
      </c>
      <c r="H740" t="s">
        <v>8341</v>
      </c>
      <c r="I740" t="s">
        <v>70</v>
      </c>
      <c r="J740" t="s">
        <v>71</v>
      </c>
      <c r="K740">
        <v>1459.38</v>
      </c>
      <c r="L740">
        <v>12.63</v>
      </c>
      <c r="M740" t="s">
        <v>5929</v>
      </c>
      <c r="N740">
        <v>137473</v>
      </c>
      <c r="O740">
        <v>20.78</v>
      </c>
      <c r="P740">
        <v>12.54</v>
      </c>
      <c r="Q740">
        <v>0.68</v>
      </c>
      <c r="R740">
        <v>0.87</v>
      </c>
      <c r="S740">
        <v>0.96</v>
      </c>
      <c r="V740" t="s">
        <v>11595</v>
      </c>
      <c r="Z740" t="s">
        <v>164</v>
      </c>
      <c r="AA740">
        <v>0.61</v>
      </c>
      <c r="AD740" t="s">
        <v>8281</v>
      </c>
      <c r="AE740" t="s">
        <v>4216</v>
      </c>
      <c r="AF740" t="s">
        <v>3439</v>
      </c>
      <c r="AG740" t="s">
        <v>1185</v>
      </c>
      <c r="AH740" t="s">
        <v>7269</v>
      </c>
      <c r="AI740" t="s">
        <v>11596</v>
      </c>
      <c r="AJ740" t="s">
        <v>8979</v>
      </c>
      <c r="AK740" t="s">
        <v>8111</v>
      </c>
      <c r="AL740">
        <v>2.14</v>
      </c>
      <c r="AM740">
        <v>1.78</v>
      </c>
      <c r="AN740">
        <v>0.14000000000000001</v>
      </c>
      <c r="AO740" t="s">
        <v>8928</v>
      </c>
      <c r="AP740" t="s">
        <v>3818</v>
      </c>
      <c r="AQ740" t="s">
        <v>165</v>
      </c>
      <c r="AR740" t="s">
        <v>9130</v>
      </c>
      <c r="AS740" t="s">
        <v>2764</v>
      </c>
      <c r="AT740" t="s">
        <v>2146</v>
      </c>
      <c r="AU740" t="s">
        <v>4087</v>
      </c>
      <c r="AV740" t="s">
        <v>620</v>
      </c>
      <c r="AW740" t="s">
        <v>1722</v>
      </c>
      <c r="AX740" t="s">
        <v>11597</v>
      </c>
      <c r="AY740" t="s">
        <v>1058</v>
      </c>
      <c r="AZ740" t="s">
        <v>11598</v>
      </c>
      <c r="BA740">
        <v>1.83</v>
      </c>
      <c r="BB740">
        <v>1253.6500000000001</v>
      </c>
      <c r="BC740">
        <v>0.39</v>
      </c>
      <c r="BD740">
        <v>12.28</v>
      </c>
      <c r="BE740">
        <v>12.68</v>
      </c>
      <c r="BF740">
        <v>12.32</v>
      </c>
      <c r="BG740" t="s">
        <v>11599</v>
      </c>
      <c r="BH740" t="s">
        <v>11600</v>
      </c>
      <c r="BI740" t="s">
        <v>11598</v>
      </c>
      <c r="BJ740" t="s">
        <v>101</v>
      </c>
      <c r="BK740" t="s">
        <v>11601</v>
      </c>
      <c r="BL740" t="s">
        <v>11602</v>
      </c>
      <c r="BM740" t="s">
        <v>11603</v>
      </c>
      <c r="BN740" t="s">
        <v>4063</v>
      </c>
    </row>
    <row r="741" spans="1:66" x14ac:dyDescent="0.25">
      <c r="A741" t="str">
        <f>HYPERLINK("https://elite.finviz.com/quote.ashx?t=CRGY&amp;ty=c&amp;p=d&amp;b=1", "CRGY")</f>
        <v>CRGY</v>
      </c>
      <c r="B741">
        <v>7</v>
      </c>
      <c r="C741">
        <v>138.38</v>
      </c>
      <c r="D741">
        <v>61.41</v>
      </c>
      <c r="E741" t="s">
        <v>11604</v>
      </c>
      <c r="F741" t="s">
        <v>67</v>
      </c>
      <c r="G741" t="s">
        <v>1048</v>
      </c>
      <c r="H741" t="s">
        <v>10235</v>
      </c>
      <c r="I741" t="s">
        <v>70</v>
      </c>
      <c r="J741" t="s">
        <v>71</v>
      </c>
      <c r="K741">
        <v>2514.33</v>
      </c>
      <c r="L741">
        <v>9.8800000000000008</v>
      </c>
      <c r="M741" t="s">
        <v>5026</v>
      </c>
      <c r="N741">
        <v>1436151</v>
      </c>
      <c r="P741">
        <v>5.79</v>
      </c>
      <c r="R741">
        <v>0.72</v>
      </c>
      <c r="S741">
        <v>0.56000000000000005</v>
      </c>
      <c r="T741" t="s">
        <v>3343</v>
      </c>
      <c r="U741">
        <v>0.48</v>
      </c>
      <c r="V741" t="s">
        <v>1440</v>
      </c>
      <c r="W741" t="s">
        <v>11605</v>
      </c>
      <c r="AA741">
        <v>-0.18</v>
      </c>
      <c r="AB741" t="s">
        <v>9109</v>
      </c>
      <c r="AD741" t="s">
        <v>862</v>
      </c>
      <c r="AE741" t="s">
        <v>11606</v>
      </c>
      <c r="AF741" t="s">
        <v>2001</v>
      </c>
      <c r="AG741" t="s">
        <v>1130</v>
      </c>
      <c r="AH741" t="s">
        <v>859</v>
      </c>
      <c r="AI741" t="s">
        <v>11144</v>
      </c>
      <c r="AJ741" t="s">
        <v>164</v>
      </c>
      <c r="AK741" t="s">
        <v>11607</v>
      </c>
      <c r="AL741">
        <v>0.88</v>
      </c>
      <c r="AM741">
        <v>0.88</v>
      </c>
      <c r="AN741">
        <v>0.75</v>
      </c>
      <c r="AO741" t="s">
        <v>1368</v>
      </c>
      <c r="AP741" t="s">
        <v>11151</v>
      </c>
      <c r="AQ741" t="s">
        <v>4782</v>
      </c>
      <c r="AR741" t="s">
        <v>1104</v>
      </c>
      <c r="AS741" t="s">
        <v>372</v>
      </c>
      <c r="AT741" t="s">
        <v>185</v>
      </c>
      <c r="AU741" t="s">
        <v>2655</v>
      </c>
      <c r="AV741" t="s">
        <v>8562</v>
      </c>
      <c r="AW741" t="s">
        <v>4312</v>
      </c>
      <c r="AX741" t="s">
        <v>11608</v>
      </c>
      <c r="AY741" t="s">
        <v>11609</v>
      </c>
      <c r="AZ741" t="s">
        <v>5155</v>
      </c>
      <c r="BA741">
        <v>1.1299999999999999</v>
      </c>
      <c r="BB741">
        <v>4257.74</v>
      </c>
      <c r="BC741">
        <v>1.19</v>
      </c>
      <c r="BD741">
        <v>9.4600000000000009</v>
      </c>
      <c r="BE741">
        <v>9.9700000000000006</v>
      </c>
      <c r="BF741">
        <v>9.4499999999999993</v>
      </c>
      <c r="BG741" t="s">
        <v>11610</v>
      </c>
      <c r="BH741" t="s">
        <v>11611</v>
      </c>
      <c r="BI741" t="s">
        <v>5155</v>
      </c>
      <c r="BJ741" t="s">
        <v>101</v>
      </c>
      <c r="BK741" t="s">
        <v>4288</v>
      </c>
      <c r="BL741" t="s">
        <v>6918</v>
      </c>
      <c r="BM741" t="s">
        <v>11612</v>
      </c>
      <c r="BN741" t="s">
        <v>4063</v>
      </c>
    </row>
    <row r="742" spans="1:66" x14ac:dyDescent="0.25">
      <c r="A742" t="str">
        <f>HYPERLINK("https://elite.finviz.com/quote.ashx?t=UNH&amp;ty=c&amp;p=d&amp;b=1", "UNH")</f>
        <v>UNH</v>
      </c>
      <c r="B742">
        <v>7</v>
      </c>
      <c r="C742">
        <v>138.38</v>
      </c>
      <c r="D742">
        <v>61.42</v>
      </c>
      <c r="E742" t="s">
        <v>11613</v>
      </c>
      <c r="F742" t="s">
        <v>1759</v>
      </c>
      <c r="G742" t="s">
        <v>428</v>
      </c>
      <c r="H742" t="s">
        <v>7264</v>
      </c>
      <c r="I742" t="s">
        <v>70</v>
      </c>
      <c r="J742" t="s">
        <v>71</v>
      </c>
      <c r="K742">
        <v>311044.56</v>
      </c>
      <c r="L742">
        <v>343.44</v>
      </c>
      <c r="M742" t="s">
        <v>1202</v>
      </c>
      <c r="N742">
        <v>2413344</v>
      </c>
      <c r="O742">
        <v>14.88</v>
      </c>
      <c r="P742">
        <v>19.440000000000001</v>
      </c>
      <c r="R742">
        <v>0.74</v>
      </c>
      <c r="S742">
        <v>3.28</v>
      </c>
      <c r="T742" t="s">
        <v>4547</v>
      </c>
      <c r="U742">
        <v>8.6199999999999992</v>
      </c>
      <c r="V742" t="s">
        <v>3833</v>
      </c>
      <c r="W742" t="s">
        <v>3406</v>
      </c>
      <c r="X742" t="s">
        <v>4390</v>
      </c>
      <c r="Y742" t="s">
        <v>1563</v>
      </c>
      <c r="Z742" t="s">
        <v>11614</v>
      </c>
      <c r="AA742">
        <v>23.09</v>
      </c>
      <c r="AB742" t="s">
        <v>10175</v>
      </c>
      <c r="AC742" t="s">
        <v>1760</v>
      </c>
      <c r="AD742" t="s">
        <v>5939</v>
      </c>
      <c r="AE742" t="s">
        <v>6344</v>
      </c>
      <c r="AF742" t="s">
        <v>8209</v>
      </c>
      <c r="AG742" t="s">
        <v>326</v>
      </c>
      <c r="AH742" t="s">
        <v>1116</v>
      </c>
      <c r="AI742" t="s">
        <v>11615</v>
      </c>
      <c r="AJ742" t="s">
        <v>5969</v>
      </c>
      <c r="AK742" t="s">
        <v>11616</v>
      </c>
      <c r="AL742">
        <v>0.85</v>
      </c>
      <c r="AN742">
        <v>0.84</v>
      </c>
      <c r="AP742" t="s">
        <v>296</v>
      </c>
      <c r="AQ742" t="s">
        <v>2429</v>
      </c>
      <c r="AR742" t="s">
        <v>387</v>
      </c>
      <c r="AS742" t="s">
        <v>3456</v>
      </c>
      <c r="AT742" t="s">
        <v>4547</v>
      </c>
      <c r="AU742" t="s">
        <v>8437</v>
      </c>
      <c r="AV742" t="s">
        <v>11617</v>
      </c>
      <c r="AW742" t="s">
        <v>9711</v>
      </c>
      <c r="AX742" t="s">
        <v>9882</v>
      </c>
      <c r="AY742" t="s">
        <v>11618</v>
      </c>
      <c r="AZ742" t="s">
        <v>9882</v>
      </c>
      <c r="BA742">
        <v>1.93</v>
      </c>
      <c r="BB742">
        <v>16422.23</v>
      </c>
      <c r="BC742">
        <v>0.52</v>
      </c>
      <c r="BD742">
        <v>345.56</v>
      </c>
      <c r="BE742">
        <v>349.97</v>
      </c>
      <c r="BF742">
        <v>341.4</v>
      </c>
      <c r="BG742" t="s">
        <v>11619</v>
      </c>
      <c r="BH742" t="s">
        <v>11618</v>
      </c>
      <c r="BI742" t="s">
        <v>11620</v>
      </c>
      <c r="BJ742" t="s">
        <v>101</v>
      </c>
      <c r="BK742" t="s">
        <v>821</v>
      </c>
      <c r="BL742" t="s">
        <v>11621</v>
      </c>
      <c r="BM742" t="s">
        <v>9073</v>
      </c>
      <c r="BN742" t="s">
        <v>4063</v>
      </c>
    </row>
    <row r="743" spans="1:66" x14ac:dyDescent="0.25">
      <c r="A743" t="str">
        <f>HYPERLINK("https://elite.finviz.com/quote.ashx?t=PTON&amp;ty=c&amp;p=d&amp;b=1", "PTON")</f>
        <v>PTON</v>
      </c>
      <c r="B743">
        <v>7</v>
      </c>
      <c r="C743">
        <v>138.38</v>
      </c>
      <c r="D743">
        <v>61.48</v>
      </c>
      <c r="E743" t="s">
        <v>11622</v>
      </c>
      <c r="F743" t="s">
        <v>67</v>
      </c>
      <c r="G743" t="s">
        <v>813</v>
      </c>
      <c r="H743" t="s">
        <v>5941</v>
      </c>
      <c r="I743" t="s">
        <v>70</v>
      </c>
      <c r="J743" t="s">
        <v>321</v>
      </c>
      <c r="K743">
        <v>3512.88</v>
      </c>
      <c r="L743">
        <v>8.61</v>
      </c>
      <c r="M743" t="s">
        <v>2640</v>
      </c>
      <c r="N743">
        <v>3347128</v>
      </c>
      <c r="P743">
        <v>63.19</v>
      </c>
      <c r="R743">
        <v>1.41</v>
      </c>
      <c r="AA743">
        <v>-0.31</v>
      </c>
      <c r="AB743" t="s">
        <v>11623</v>
      </c>
      <c r="AC743" t="s">
        <v>6155</v>
      </c>
      <c r="AE743" t="s">
        <v>5641</v>
      </c>
      <c r="AF743" t="s">
        <v>7101</v>
      </c>
      <c r="AG743" t="s">
        <v>3115</v>
      </c>
      <c r="AH743" t="s">
        <v>3859</v>
      </c>
      <c r="AI743" t="s">
        <v>11624</v>
      </c>
      <c r="AJ743" t="s">
        <v>11625</v>
      </c>
      <c r="AK743" t="s">
        <v>11626</v>
      </c>
      <c r="AL743">
        <v>1.79</v>
      </c>
      <c r="AM743">
        <v>1.53</v>
      </c>
      <c r="AO743" t="s">
        <v>11627</v>
      </c>
      <c r="AP743" t="s">
        <v>5369</v>
      </c>
      <c r="AQ743" t="s">
        <v>11628</v>
      </c>
      <c r="AR743" t="s">
        <v>11629</v>
      </c>
      <c r="AS743" t="s">
        <v>3957</v>
      </c>
      <c r="AT743" t="s">
        <v>5552</v>
      </c>
      <c r="AU743" t="s">
        <v>2863</v>
      </c>
      <c r="AV743" t="s">
        <v>10361</v>
      </c>
      <c r="AW743" t="s">
        <v>997</v>
      </c>
      <c r="AX743" t="s">
        <v>11630</v>
      </c>
      <c r="AY743" t="s">
        <v>11631</v>
      </c>
      <c r="AZ743" t="s">
        <v>11632</v>
      </c>
      <c r="BA743">
        <v>2.1</v>
      </c>
      <c r="BB743">
        <v>12401.6</v>
      </c>
      <c r="BC743">
        <v>0.95</v>
      </c>
      <c r="BD743">
        <v>8.42</v>
      </c>
      <c r="BE743">
        <v>8.74</v>
      </c>
      <c r="BF743">
        <v>8.31</v>
      </c>
      <c r="BG743" t="s">
        <v>11633</v>
      </c>
      <c r="BH743" t="s">
        <v>11634</v>
      </c>
      <c r="BI743" t="s">
        <v>11635</v>
      </c>
      <c r="BJ743" t="s">
        <v>101</v>
      </c>
      <c r="BK743" t="s">
        <v>5207</v>
      </c>
      <c r="BL743" t="s">
        <v>2815</v>
      </c>
      <c r="BM743" t="s">
        <v>11636</v>
      </c>
      <c r="BN743" t="s">
        <v>4063</v>
      </c>
    </row>
    <row r="744" spans="1:66" x14ac:dyDescent="0.25">
      <c r="A744" t="str">
        <f>HYPERLINK("https://elite.finviz.com/quote.ashx?t=CARG&amp;ty=c&amp;p=d&amp;b=1", "CARG")</f>
        <v>CARG</v>
      </c>
      <c r="B744">
        <v>7</v>
      </c>
      <c r="C744">
        <v>138.38</v>
      </c>
      <c r="D744">
        <v>61.48</v>
      </c>
      <c r="E744" t="s">
        <v>11637</v>
      </c>
      <c r="F744" t="s">
        <v>67</v>
      </c>
      <c r="G744" t="s">
        <v>813</v>
      </c>
      <c r="H744" t="s">
        <v>5888</v>
      </c>
      <c r="I744" t="s">
        <v>70</v>
      </c>
      <c r="J744" t="s">
        <v>321</v>
      </c>
      <c r="K744">
        <v>3684.73</v>
      </c>
      <c r="L744">
        <v>37.119999999999997</v>
      </c>
      <c r="M744" t="s">
        <v>193</v>
      </c>
      <c r="N744">
        <v>108244</v>
      </c>
      <c r="O744">
        <v>29.91</v>
      </c>
      <c r="P744">
        <v>15.15</v>
      </c>
      <c r="Q744">
        <v>1.62</v>
      </c>
      <c r="R744">
        <v>4.01</v>
      </c>
      <c r="S744">
        <v>8.44</v>
      </c>
      <c r="Z744" t="s">
        <v>164</v>
      </c>
      <c r="AA744">
        <v>1.24</v>
      </c>
      <c r="AC744" t="s">
        <v>11638</v>
      </c>
      <c r="AD744" t="s">
        <v>9865</v>
      </c>
      <c r="AE744" t="s">
        <v>1950</v>
      </c>
      <c r="AF744" t="s">
        <v>4150</v>
      </c>
      <c r="AG744" t="s">
        <v>11639</v>
      </c>
      <c r="AH744" t="s">
        <v>7942</v>
      </c>
      <c r="AI744" t="s">
        <v>5620</v>
      </c>
      <c r="AJ744" t="s">
        <v>3124</v>
      </c>
      <c r="AK744" t="s">
        <v>11640</v>
      </c>
      <c r="AL744">
        <v>3.03</v>
      </c>
      <c r="AM744">
        <v>3.02</v>
      </c>
      <c r="AN744">
        <v>0.45</v>
      </c>
      <c r="AO744" t="s">
        <v>5744</v>
      </c>
      <c r="AP744" t="s">
        <v>10795</v>
      </c>
      <c r="AQ744" t="s">
        <v>10917</v>
      </c>
      <c r="AR744" t="s">
        <v>4710</v>
      </c>
      <c r="AS744" t="s">
        <v>2640</v>
      </c>
      <c r="AT744" t="s">
        <v>1439</v>
      </c>
      <c r="AU744" t="s">
        <v>660</v>
      </c>
      <c r="AV744" t="s">
        <v>11641</v>
      </c>
      <c r="AW744" t="s">
        <v>5120</v>
      </c>
      <c r="AX744" t="s">
        <v>7796</v>
      </c>
      <c r="AY744" t="s">
        <v>11642</v>
      </c>
      <c r="AZ744" t="s">
        <v>3017</v>
      </c>
      <c r="BA744">
        <v>1.86</v>
      </c>
      <c r="BB744">
        <v>1039.45</v>
      </c>
      <c r="BC744">
        <v>0.37</v>
      </c>
      <c r="BD744">
        <v>37.020000000000003</v>
      </c>
      <c r="BE744">
        <v>37.380000000000003</v>
      </c>
      <c r="BF744">
        <v>37.01</v>
      </c>
      <c r="BG744" t="s">
        <v>11643</v>
      </c>
      <c r="BH744" t="s">
        <v>11644</v>
      </c>
      <c r="BI744" t="s">
        <v>11645</v>
      </c>
      <c r="BJ744" t="s">
        <v>101</v>
      </c>
      <c r="BK744" t="s">
        <v>5446</v>
      </c>
      <c r="BL744" t="s">
        <v>11646</v>
      </c>
      <c r="BM744" t="s">
        <v>5938</v>
      </c>
      <c r="BN744" t="s">
        <v>4063</v>
      </c>
    </row>
    <row r="745" spans="1:66" x14ac:dyDescent="0.25">
      <c r="A745" t="str">
        <f>HYPERLINK("https://elite.finviz.com/quote.ashx?t=ETR&amp;ty=c&amp;p=d&amp;b=1", "ETR")</f>
        <v>ETR</v>
      </c>
      <c r="B745">
        <v>7</v>
      </c>
      <c r="C745">
        <v>138.38</v>
      </c>
      <c r="D745">
        <v>61.52</v>
      </c>
      <c r="E745" t="s">
        <v>11647</v>
      </c>
      <c r="F745" t="s">
        <v>195</v>
      </c>
      <c r="G745" t="s">
        <v>287</v>
      </c>
      <c r="H745" t="s">
        <v>676</v>
      </c>
      <c r="I745" t="s">
        <v>70</v>
      </c>
      <c r="J745" t="s">
        <v>71</v>
      </c>
      <c r="K745">
        <v>40917.85</v>
      </c>
      <c r="L745">
        <v>91.66</v>
      </c>
      <c r="M745" t="s">
        <v>5610</v>
      </c>
      <c r="N745">
        <v>409716</v>
      </c>
      <c r="O745">
        <v>22.81</v>
      </c>
      <c r="P745">
        <v>21.01</v>
      </c>
      <c r="Q745">
        <v>2.2799999999999998</v>
      </c>
      <c r="R745">
        <v>3.34</v>
      </c>
      <c r="S745">
        <v>2.52</v>
      </c>
      <c r="T745" t="s">
        <v>5929</v>
      </c>
      <c r="U745">
        <v>2.4</v>
      </c>
      <c r="V745" t="s">
        <v>8649</v>
      </c>
      <c r="W745" t="s">
        <v>5336</v>
      </c>
      <c r="X745" t="s">
        <v>2408</v>
      </c>
      <c r="Y745" t="s">
        <v>4908</v>
      </c>
      <c r="Z745" t="s">
        <v>138</v>
      </c>
      <c r="AA745">
        <v>4.0199999999999996</v>
      </c>
      <c r="AB745" t="s">
        <v>5621</v>
      </c>
      <c r="AC745" t="s">
        <v>10703</v>
      </c>
      <c r="AD745" t="s">
        <v>3962</v>
      </c>
      <c r="AE745" t="s">
        <v>1025</v>
      </c>
      <c r="AF745" t="s">
        <v>1657</v>
      </c>
      <c r="AG745" t="s">
        <v>5258</v>
      </c>
      <c r="AH745" t="s">
        <v>2622</v>
      </c>
      <c r="AI745" t="s">
        <v>8837</v>
      </c>
      <c r="AJ745" t="s">
        <v>6480</v>
      </c>
      <c r="AK745" t="s">
        <v>11648</v>
      </c>
      <c r="AL745">
        <v>0.77</v>
      </c>
      <c r="AM745">
        <v>0.49</v>
      </c>
      <c r="AN745">
        <v>1.85</v>
      </c>
      <c r="AO745" t="s">
        <v>10391</v>
      </c>
      <c r="AP745" t="s">
        <v>5157</v>
      </c>
      <c r="AQ745" t="s">
        <v>1549</v>
      </c>
      <c r="AR745" t="s">
        <v>2274</v>
      </c>
      <c r="AS745" t="s">
        <v>4275</v>
      </c>
      <c r="AT745" t="s">
        <v>3500</v>
      </c>
      <c r="AU745" t="s">
        <v>5425</v>
      </c>
      <c r="AV745" t="s">
        <v>3776</v>
      </c>
      <c r="AW745" t="s">
        <v>174</v>
      </c>
      <c r="AX745" t="s">
        <v>8401</v>
      </c>
      <c r="AY745" t="s">
        <v>174</v>
      </c>
      <c r="AZ745" t="s">
        <v>11649</v>
      </c>
      <c r="BA745">
        <v>1.82</v>
      </c>
      <c r="BB745">
        <v>2584.02</v>
      </c>
      <c r="BC745">
        <v>0.56000000000000005</v>
      </c>
      <c r="BD745">
        <v>90.33</v>
      </c>
      <c r="BE745">
        <v>92.11</v>
      </c>
      <c r="BF745">
        <v>90.48</v>
      </c>
      <c r="BG745" t="s">
        <v>11650</v>
      </c>
      <c r="BH745" t="s">
        <v>174</v>
      </c>
      <c r="BI745" t="s">
        <v>11651</v>
      </c>
      <c r="BJ745" t="s">
        <v>101</v>
      </c>
      <c r="BK745" t="s">
        <v>8691</v>
      </c>
      <c r="BL745" t="s">
        <v>290</v>
      </c>
      <c r="BM745" t="s">
        <v>11652</v>
      </c>
      <c r="BN745" t="s">
        <v>4063</v>
      </c>
    </row>
    <row r="746" spans="1:66" x14ac:dyDescent="0.25">
      <c r="A746" t="str">
        <f>HYPERLINK("https://elite.finviz.com/quote.ashx?t=RUN&amp;ty=c&amp;p=d&amp;b=1", "RUN")</f>
        <v>RUN</v>
      </c>
      <c r="B746">
        <v>7</v>
      </c>
      <c r="C746">
        <v>138.38</v>
      </c>
      <c r="D746">
        <v>61.56</v>
      </c>
      <c r="E746" t="s">
        <v>11653</v>
      </c>
      <c r="F746" t="s">
        <v>67</v>
      </c>
      <c r="G746" t="s">
        <v>108</v>
      </c>
      <c r="H746" t="s">
        <v>2924</v>
      </c>
      <c r="I746" t="s">
        <v>70</v>
      </c>
      <c r="J746" t="s">
        <v>321</v>
      </c>
      <c r="K746">
        <v>4068.97</v>
      </c>
      <c r="L746">
        <v>17.64</v>
      </c>
      <c r="M746" t="s">
        <v>5672</v>
      </c>
      <c r="N746">
        <v>4959929</v>
      </c>
      <c r="P746">
        <v>21.17</v>
      </c>
      <c r="R746">
        <v>1.91</v>
      </c>
      <c r="S746">
        <v>1.39</v>
      </c>
      <c r="AA746">
        <v>-11.62</v>
      </c>
      <c r="AB746" t="s">
        <v>11654</v>
      </c>
      <c r="AE746" t="s">
        <v>2317</v>
      </c>
      <c r="AF746" t="s">
        <v>7511</v>
      </c>
      <c r="AG746" t="s">
        <v>4592</v>
      </c>
      <c r="AH746" t="s">
        <v>1388</v>
      </c>
      <c r="AI746" t="s">
        <v>11655</v>
      </c>
      <c r="AJ746" t="s">
        <v>7089</v>
      </c>
      <c r="AK746" t="s">
        <v>11656</v>
      </c>
      <c r="AL746">
        <v>1.41</v>
      </c>
      <c r="AM746">
        <v>1.02</v>
      </c>
      <c r="AN746">
        <v>4.83</v>
      </c>
      <c r="AO746" t="s">
        <v>10303</v>
      </c>
      <c r="AP746" t="s">
        <v>11657</v>
      </c>
      <c r="AQ746" t="s">
        <v>11658</v>
      </c>
      <c r="AR746" t="s">
        <v>1021</v>
      </c>
      <c r="AS746" t="s">
        <v>3126</v>
      </c>
      <c r="AT746" t="s">
        <v>954</v>
      </c>
      <c r="AU746" t="s">
        <v>11659</v>
      </c>
      <c r="AV746" t="s">
        <v>11660</v>
      </c>
      <c r="AW746" t="s">
        <v>11661</v>
      </c>
      <c r="AX746" t="s">
        <v>11662</v>
      </c>
      <c r="AY746" t="s">
        <v>11663</v>
      </c>
      <c r="AZ746" t="s">
        <v>11664</v>
      </c>
      <c r="BA746">
        <v>2</v>
      </c>
      <c r="BB746">
        <v>16457.990000000002</v>
      </c>
      <c r="BC746">
        <v>1.06</v>
      </c>
      <c r="BD746">
        <v>16.91</v>
      </c>
      <c r="BE746">
        <v>17.73</v>
      </c>
      <c r="BF746">
        <v>16.87</v>
      </c>
      <c r="BG746" t="s">
        <v>11665</v>
      </c>
      <c r="BH746" t="s">
        <v>11666</v>
      </c>
      <c r="BI746" t="s">
        <v>11667</v>
      </c>
      <c r="BJ746" t="s">
        <v>101</v>
      </c>
      <c r="BK746" t="s">
        <v>1850</v>
      </c>
      <c r="BL746" t="s">
        <v>11668</v>
      </c>
      <c r="BM746" t="s">
        <v>9725</v>
      </c>
      <c r="BN746" t="s">
        <v>4063</v>
      </c>
    </row>
    <row r="747" spans="1:66" x14ac:dyDescent="0.25">
      <c r="A747" t="str">
        <f>HYPERLINK("https://elite.finviz.com/quote.ashx?t=CRWD&amp;ty=c&amp;p=d&amp;b=1", "CRWD")</f>
        <v>CRWD</v>
      </c>
      <c r="B747">
        <v>7</v>
      </c>
      <c r="C747">
        <v>138.38</v>
      </c>
      <c r="D747">
        <v>61.58</v>
      </c>
      <c r="E747" t="s">
        <v>11669</v>
      </c>
      <c r="F747" t="s">
        <v>319</v>
      </c>
      <c r="G747" t="s">
        <v>108</v>
      </c>
      <c r="H747" t="s">
        <v>109</v>
      </c>
      <c r="I747" t="s">
        <v>70</v>
      </c>
      <c r="J747" t="s">
        <v>321</v>
      </c>
      <c r="K747">
        <v>120161.09</v>
      </c>
      <c r="L747">
        <v>478.82</v>
      </c>
      <c r="M747" t="s">
        <v>6155</v>
      </c>
      <c r="N747">
        <v>764454</v>
      </c>
      <c r="P747">
        <v>100.45</v>
      </c>
      <c r="R747">
        <v>27.68</v>
      </c>
      <c r="S747">
        <v>31.97</v>
      </c>
      <c r="AA747">
        <v>-1.2</v>
      </c>
      <c r="AB747" t="s">
        <v>11670</v>
      </c>
      <c r="AC747" t="s">
        <v>11671</v>
      </c>
      <c r="AD747" t="s">
        <v>5012</v>
      </c>
      <c r="AE747" t="s">
        <v>3748</v>
      </c>
      <c r="AF747" t="s">
        <v>11672</v>
      </c>
      <c r="AG747" t="s">
        <v>11673</v>
      </c>
      <c r="AH747" t="s">
        <v>11674</v>
      </c>
      <c r="AI747" t="s">
        <v>1206</v>
      </c>
      <c r="AJ747" t="s">
        <v>11675</v>
      </c>
      <c r="AK747" t="s">
        <v>11676</v>
      </c>
      <c r="AL747">
        <v>1.77</v>
      </c>
      <c r="AM747">
        <v>1.77</v>
      </c>
      <c r="AN747">
        <v>0.22</v>
      </c>
      <c r="AO747" t="s">
        <v>11677</v>
      </c>
      <c r="AP747" t="s">
        <v>4021</v>
      </c>
      <c r="AQ747" t="s">
        <v>4282</v>
      </c>
      <c r="AR747" t="s">
        <v>4976</v>
      </c>
      <c r="AS747" t="s">
        <v>2941</v>
      </c>
      <c r="AT747" t="s">
        <v>2945</v>
      </c>
      <c r="AU747" t="s">
        <v>1771</v>
      </c>
      <c r="AV747" t="s">
        <v>5901</v>
      </c>
      <c r="AW747" t="s">
        <v>7289</v>
      </c>
      <c r="AX747" t="s">
        <v>620</v>
      </c>
      <c r="AY747" t="s">
        <v>4259</v>
      </c>
      <c r="AZ747" t="s">
        <v>11678</v>
      </c>
      <c r="BA747">
        <v>1.87</v>
      </c>
      <c r="BB747">
        <v>3166.67</v>
      </c>
      <c r="BC747">
        <v>0.85</v>
      </c>
      <c r="BD747">
        <v>473.09</v>
      </c>
      <c r="BE747">
        <v>483.66</v>
      </c>
      <c r="BF747">
        <v>470.29</v>
      </c>
      <c r="BG747" t="s">
        <v>11679</v>
      </c>
      <c r="BH747" t="s">
        <v>4259</v>
      </c>
      <c r="BI747" t="s">
        <v>11680</v>
      </c>
      <c r="BJ747" t="s">
        <v>101</v>
      </c>
      <c r="BK747" t="s">
        <v>5650</v>
      </c>
      <c r="BL747" t="s">
        <v>8867</v>
      </c>
      <c r="BM747" t="s">
        <v>11681</v>
      </c>
      <c r="BN747" t="s">
        <v>4063</v>
      </c>
    </row>
    <row r="748" spans="1:66" x14ac:dyDescent="0.25">
      <c r="A748" t="str">
        <f>HYPERLINK("https://elite.finviz.com/quote.ashx?t=FYBR&amp;ty=c&amp;p=d&amp;b=1", "FYBR")</f>
        <v>FYBR</v>
      </c>
      <c r="B748">
        <v>7</v>
      </c>
      <c r="C748">
        <v>138.38</v>
      </c>
      <c r="D748">
        <v>61.62</v>
      </c>
      <c r="E748" t="s">
        <v>11682</v>
      </c>
      <c r="F748" t="s">
        <v>107</v>
      </c>
      <c r="G748" t="s">
        <v>598</v>
      </c>
      <c r="H748" t="s">
        <v>6147</v>
      </c>
      <c r="I748" t="s">
        <v>70</v>
      </c>
      <c r="J748" t="s">
        <v>321</v>
      </c>
      <c r="K748">
        <v>9357.8799999999992</v>
      </c>
      <c r="L748">
        <v>37.380000000000003</v>
      </c>
      <c r="M748" t="s">
        <v>2275</v>
      </c>
      <c r="N748">
        <v>315937</v>
      </c>
      <c r="R748">
        <v>1.55</v>
      </c>
      <c r="S748">
        <v>1.97</v>
      </c>
      <c r="AA748">
        <v>-1.55</v>
      </c>
      <c r="AC748" t="s">
        <v>11683</v>
      </c>
      <c r="AD748" t="s">
        <v>11684</v>
      </c>
      <c r="AE748" t="s">
        <v>4526</v>
      </c>
      <c r="AF748" t="s">
        <v>6204</v>
      </c>
      <c r="AG748" t="s">
        <v>2951</v>
      </c>
      <c r="AH748" t="s">
        <v>4142</v>
      </c>
      <c r="AI748" t="s">
        <v>11685</v>
      </c>
      <c r="AJ748" t="s">
        <v>164</v>
      </c>
      <c r="AK748" t="s">
        <v>11686</v>
      </c>
      <c r="AL748">
        <v>0.36</v>
      </c>
      <c r="AM748">
        <v>0.36</v>
      </c>
      <c r="AN748">
        <v>2.4900000000000002</v>
      </c>
      <c r="AO748" t="s">
        <v>7498</v>
      </c>
      <c r="AP748" t="s">
        <v>437</v>
      </c>
      <c r="AQ748" t="s">
        <v>11444</v>
      </c>
      <c r="AR748" t="s">
        <v>3112</v>
      </c>
      <c r="AS748" t="s">
        <v>7464</v>
      </c>
      <c r="AT748" t="s">
        <v>822</v>
      </c>
      <c r="AU748" t="s">
        <v>2630</v>
      </c>
      <c r="AV748" t="s">
        <v>3636</v>
      </c>
      <c r="AW748" t="s">
        <v>4828</v>
      </c>
      <c r="AX748" t="s">
        <v>2361</v>
      </c>
      <c r="AY748" t="s">
        <v>4828</v>
      </c>
      <c r="AZ748" t="s">
        <v>537</v>
      </c>
      <c r="BA748">
        <v>3.17</v>
      </c>
      <c r="BB748">
        <v>2948.39</v>
      </c>
      <c r="BC748">
        <v>0.38</v>
      </c>
      <c r="BD748">
        <v>37.340000000000003</v>
      </c>
      <c r="BE748">
        <v>37.450000000000003</v>
      </c>
      <c r="BF748">
        <v>37.340000000000003</v>
      </c>
      <c r="BG748" t="s">
        <v>11687</v>
      </c>
      <c r="BH748" t="s">
        <v>2431</v>
      </c>
      <c r="BI748" t="s">
        <v>11688</v>
      </c>
      <c r="BJ748" t="s">
        <v>101</v>
      </c>
      <c r="BK748" t="s">
        <v>6118</v>
      </c>
      <c r="BL748" t="s">
        <v>1981</v>
      </c>
      <c r="BM748" t="s">
        <v>10926</v>
      </c>
      <c r="BN748" t="s">
        <v>4063</v>
      </c>
    </row>
    <row r="749" spans="1:66" x14ac:dyDescent="0.25">
      <c r="A749" t="str">
        <f>HYPERLINK("https://elite.finviz.com/quote.ashx?t=VTLE&amp;ty=c&amp;p=d&amp;b=1", "VTLE")</f>
        <v>VTLE</v>
      </c>
      <c r="B749">
        <v>7</v>
      </c>
      <c r="C749">
        <v>138.38</v>
      </c>
      <c r="D749">
        <v>61.62</v>
      </c>
      <c r="E749" t="s">
        <v>11689</v>
      </c>
      <c r="F749" t="s">
        <v>67</v>
      </c>
      <c r="G749" t="s">
        <v>1048</v>
      </c>
      <c r="H749" t="s">
        <v>1049</v>
      </c>
      <c r="I749" t="s">
        <v>70</v>
      </c>
      <c r="J749" t="s">
        <v>71</v>
      </c>
      <c r="K749">
        <v>724.78</v>
      </c>
      <c r="L749">
        <v>18.73</v>
      </c>
      <c r="M749" t="s">
        <v>2385</v>
      </c>
      <c r="N749">
        <v>389850</v>
      </c>
      <c r="P749">
        <v>3.96</v>
      </c>
      <c r="R749">
        <v>0.37</v>
      </c>
      <c r="S749">
        <v>0.34</v>
      </c>
      <c r="AA749">
        <v>-19.79</v>
      </c>
      <c r="AC749" t="s">
        <v>11690</v>
      </c>
      <c r="AD749" t="s">
        <v>2431</v>
      </c>
      <c r="AE749" t="s">
        <v>3981</v>
      </c>
      <c r="AF749" t="s">
        <v>904</v>
      </c>
      <c r="AG749" t="s">
        <v>9865</v>
      </c>
      <c r="AH749" t="s">
        <v>8343</v>
      </c>
      <c r="AI749" t="s">
        <v>2777</v>
      </c>
      <c r="AJ749" t="s">
        <v>5061</v>
      </c>
      <c r="AK749" t="s">
        <v>5649</v>
      </c>
      <c r="AL749">
        <v>0.79</v>
      </c>
      <c r="AM749">
        <v>0.79</v>
      </c>
      <c r="AN749">
        <v>1.1399999999999999</v>
      </c>
      <c r="AO749" t="s">
        <v>6358</v>
      </c>
      <c r="AP749" t="s">
        <v>6903</v>
      </c>
      <c r="AQ749" t="s">
        <v>11691</v>
      </c>
      <c r="AR749" t="s">
        <v>4476</v>
      </c>
      <c r="AS749" t="s">
        <v>3957</v>
      </c>
      <c r="AT749" t="s">
        <v>7361</v>
      </c>
      <c r="AU749" t="s">
        <v>1297</v>
      </c>
      <c r="AV749" t="s">
        <v>11692</v>
      </c>
      <c r="AW749" t="s">
        <v>11693</v>
      </c>
      <c r="AX749" t="s">
        <v>11694</v>
      </c>
      <c r="AY749" t="s">
        <v>6510</v>
      </c>
      <c r="AZ749" t="s">
        <v>11695</v>
      </c>
      <c r="BA749">
        <v>3.09</v>
      </c>
      <c r="BB749">
        <v>1512.43</v>
      </c>
      <c r="BC749">
        <v>0.91</v>
      </c>
      <c r="BD749">
        <v>17.850000000000001</v>
      </c>
      <c r="BE749">
        <v>18.84</v>
      </c>
      <c r="BF749">
        <v>17.77</v>
      </c>
      <c r="BG749" t="s">
        <v>11696</v>
      </c>
      <c r="BH749" t="s">
        <v>11697</v>
      </c>
      <c r="BI749" t="s">
        <v>11698</v>
      </c>
      <c r="BJ749" t="s">
        <v>101</v>
      </c>
      <c r="BK749" t="s">
        <v>6202</v>
      </c>
      <c r="BL749" t="s">
        <v>11699</v>
      </c>
      <c r="BM749" t="s">
        <v>11700</v>
      </c>
      <c r="BN749" t="s">
        <v>4063</v>
      </c>
    </row>
    <row r="750" spans="1:66" x14ac:dyDescent="0.25">
      <c r="A750" t="str">
        <f>HYPERLINK("https://elite.finviz.com/quote.ashx?t=STTK&amp;ty=c&amp;p=d&amp;b=1", "STTK")</f>
        <v>STTK</v>
      </c>
      <c r="B750">
        <v>7</v>
      </c>
      <c r="C750">
        <v>138.38</v>
      </c>
      <c r="D750">
        <v>61.63</v>
      </c>
      <c r="E750" t="s">
        <v>11701</v>
      </c>
      <c r="F750" t="s">
        <v>107</v>
      </c>
      <c r="G750" t="s">
        <v>428</v>
      </c>
      <c r="H750" t="s">
        <v>429</v>
      </c>
      <c r="I750" t="s">
        <v>70</v>
      </c>
      <c r="J750" t="s">
        <v>321</v>
      </c>
      <c r="K750">
        <v>136.12</v>
      </c>
      <c r="L750">
        <v>2.16</v>
      </c>
      <c r="M750" t="s">
        <v>11702</v>
      </c>
      <c r="N750">
        <v>94805</v>
      </c>
      <c r="R750">
        <v>45.37</v>
      </c>
      <c r="S750">
        <v>1.81</v>
      </c>
      <c r="AA750">
        <v>-1.21</v>
      </c>
      <c r="AB750" t="s">
        <v>10222</v>
      </c>
      <c r="AC750" t="s">
        <v>11631</v>
      </c>
      <c r="AD750" t="s">
        <v>442</v>
      </c>
      <c r="AE750" t="s">
        <v>11703</v>
      </c>
      <c r="AF750" t="s">
        <v>6639</v>
      </c>
      <c r="AG750" t="s">
        <v>3975</v>
      </c>
      <c r="AH750" t="s">
        <v>579</v>
      </c>
      <c r="AI750" t="s">
        <v>5968</v>
      </c>
      <c r="AJ750" t="s">
        <v>11704</v>
      </c>
      <c r="AK750" t="s">
        <v>11705</v>
      </c>
      <c r="AL750">
        <v>10.25</v>
      </c>
      <c r="AM750">
        <v>10.25</v>
      </c>
      <c r="AN750">
        <v>0.05</v>
      </c>
      <c r="AO750" t="s">
        <v>1010</v>
      </c>
      <c r="AP750" t="s">
        <v>11706</v>
      </c>
      <c r="AQ750" t="s">
        <v>11707</v>
      </c>
      <c r="AR750" t="s">
        <v>5912</v>
      </c>
      <c r="AS750" t="s">
        <v>3531</v>
      </c>
      <c r="AT750" t="s">
        <v>5798</v>
      </c>
      <c r="AU750" t="s">
        <v>11708</v>
      </c>
      <c r="AV750" t="s">
        <v>11709</v>
      </c>
      <c r="AW750" t="s">
        <v>8048</v>
      </c>
      <c r="AX750" t="s">
        <v>11710</v>
      </c>
      <c r="AY750" t="s">
        <v>11711</v>
      </c>
      <c r="AZ750" t="s">
        <v>11712</v>
      </c>
      <c r="BA750">
        <v>1.67</v>
      </c>
      <c r="BB750">
        <v>2292.6</v>
      </c>
      <c r="BC750">
        <v>0.15</v>
      </c>
      <c r="BD750">
        <v>2.29</v>
      </c>
      <c r="BE750">
        <v>2.2400000000000002</v>
      </c>
      <c r="BF750">
        <v>2.13</v>
      </c>
      <c r="BG750" t="s">
        <v>11713</v>
      </c>
      <c r="BH750" t="s">
        <v>11714</v>
      </c>
      <c r="BI750" t="s">
        <v>11712</v>
      </c>
      <c r="BJ750" t="s">
        <v>101</v>
      </c>
      <c r="BK750" t="s">
        <v>11715</v>
      </c>
      <c r="BL750" t="s">
        <v>11716</v>
      </c>
      <c r="BM750" t="s">
        <v>509</v>
      </c>
      <c r="BN750" t="s">
        <v>4063</v>
      </c>
    </row>
    <row r="751" spans="1:66" x14ac:dyDescent="0.25">
      <c r="A751" t="str">
        <f>HYPERLINK("https://elite.finviz.com/quote.ashx?t=SHLS&amp;ty=c&amp;p=d&amp;b=1", "SHLS")</f>
        <v>SHLS</v>
      </c>
      <c r="B751">
        <v>7</v>
      </c>
      <c r="C751">
        <v>138.38</v>
      </c>
      <c r="D751">
        <v>61.64</v>
      </c>
      <c r="E751" t="s">
        <v>11717</v>
      </c>
      <c r="F751" t="s">
        <v>67</v>
      </c>
      <c r="G751" t="s">
        <v>108</v>
      </c>
      <c r="H751" t="s">
        <v>2924</v>
      </c>
      <c r="I751" t="s">
        <v>70</v>
      </c>
      <c r="J751" t="s">
        <v>321</v>
      </c>
      <c r="K751">
        <v>1262.02</v>
      </c>
      <c r="L751">
        <v>7.54</v>
      </c>
      <c r="M751" t="s">
        <v>148</v>
      </c>
      <c r="N751">
        <v>517156</v>
      </c>
      <c r="O751">
        <v>59.7</v>
      </c>
      <c r="P751">
        <v>15.59</v>
      </c>
      <c r="Q751">
        <v>3.32</v>
      </c>
      <c r="R751">
        <v>3.15</v>
      </c>
      <c r="S751">
        <v>2.19</v>
      </c>
      <c r="Z751" t="s">
        <v>164</v>
      </c>
      <c r="AA751">
        <v>0.13</v>
      </c>
      <c r="AB751" t="s">
        <v>5243</v>
      </c>
      <c r="AC751" t="s">
        <v>6214</v>
      </c>
      <c r="AD751" t="s">
        <v>4855</v>
      </c>
      <c r="AE751" t="s">
        <v>4095</v>
      </c>
      <c r="AF751" t="s">
        <v>865</v>
      </c>
      <c r="AG751" t="s">
        <v>1778</v>
      </c>
      <c r="AH751" t="s">
        <v>8530</v>
      </c>
      <c r="AI751" t="s">
        <v>3161</v>
      </c>
      <c r="AJ751" t="s">
        <v>164</v>
      </c>
      <c r="AK751" t="s">
        <v>11718</v>
      </c>
      <c r="AL751">
        <v>2.34</v>
      </c>
      <c r="AM751">
        <v>1.64</v>
      </c>
      <c r="AN751">
        <v>0.23</v>
      </c>
      <c r="AO751" t="s">
        <v>4279</v>
      </c>
      <c r="AP751" t="s">
        <v>3526</v>
      </c>
      <c r="AQ751" t="s">
        <v>3948</v>
      </c>
      <c r="AR751" t="s">
        <v>1370</v>
      </c>
      <c r="AS751" t="s">
        <v>661</v>
      </c>
      <c r="AT751" t="s">
        <v>636</v>
      </c>
      <c r="AU751" t="s">
        <v>8641</v>
      </c>
      <c r="AV751" t="s">
        <v>11719</v>
      </c>
      <c r="AW751" t="s">
        <v>2265</v>
      </c>
      <c r="AX751" t="s">
        <v>11720</v>
      </c>
      <c r="AY751" t="s">
        <v>2265</v>
      </c>
      <c r="AZ751" t="s">
        <v>11721</v>
      </c>
      <c r="BA751">
        <v>1.85</v>
      </c>
      <c r="BB751">
        <v>5588.64</v>
      </c>
      <c r="BC751">
        <v>0.33</v>
      </c>
      <c r="BD751">
        <v>7.58</v>
      </c>
      <c r="BE751">
        <v>7.69</v>
      </c>
      <c r="BF751">
        <v>7.43</v>
      </c>
      <c r="BG751" t="s">
        <v>11722</v>
      </c>
      <c r="BH751" t="s">
        <v>11723</v>
      </c>
      <c r="BI751" t="s">
        <v>11721</v>
      </c>
      <c r="BJ751" t="s">
        <v>101</v>
      </c>
      <c r="BK751" t="s">
        <v>11129</v>
      </c>
      <c r="BL751" t="s">
        <v>11724</v>
      </c>
      <c r="BM751" t="s">
        <v>8694</v>
      </c>
      <c r="BN751" t="s">
        <v>4063</v>
      </c>
    </row>
    <row r="752" spans="1:66" x14ac:dyDescent="0.25">
      <c r="A752" t="str">
        <f>HYPERLINK("https://elite.finviz.com/quote.ashx?t=SPG&amp;ty=c&amp;p=d&amp;b=1", "SPG")</f>
        <v>SPG</v>
      </c>
      <c r="B752">
        <v>7</v>
      </c>
      <c r="C752">
        <v>138.38</v>
      </c>
      <c r="D752">
        <v>61.69</v>
      </c>
      <c r="E752" t="s">
        <v>11725</v>
      </c>
      <c r="F752" t="s">
        <v>195</v>
      </c>
      <c r="G752" t="s">
        <v>68</v>
      </c>
      <c r="H752" t="s">
        <v>160</v>
      </c>
      <c r="I752" t="s">
        <v>70</v>
      </c>
      <c r="J752" t="s">
        <v>71</v>
      </c>
      <c r="K752">
        <v>69292.92</v>
      </c>
      <c r="L752">
        <v>183.7</v>
      </c>
      <c r="M752" t="s">
        <v>1763</v>
      </c>
      <c r="N752">
        <v>174900</v>
      </c>
      <c r="O752">
        <v>26</v>
      </c>
      <c r="P752">
        <v>27.08</v>
      </c>
      <c r="R752">
        <v>11.48</v>
      </c>
      <c r="S752">
        <v>24.88</v>
      </c>
      <c r="T752" t="s">
        <v>3119</v>
      </c>
      <c r="U752">
        <v>8.44</v>
      </c>
      <c r="V752" t="s">
        <v>163</v>
      </c>
      <c r="W752" t="s">
        <v>11639</v>
      </c>
      <c r="X752" t="s">
        <v>292</v>
      </c>
      <c r="Y752" t="s">
        <v>4273</v>
      </c>
      <c r="Z752" t="s">
        <v>11726</v>
      </c>
      <c r="AA752">
        <v>7.07</v>
      </c>
      <c r="AB752" t="s">
        <v>6075</v>
      </c>
      <c r="AC752" t="s">
        <v>212</v>
      </c>
      <c r="AD752" t="s">
        <v>4436</v>
      </c>
      <c r="AE752" t="s">
        <v>3542</v>
      </c>
      <c r="AF752" t="s">
        <v>3958</v>
      </c>
      <c r="AG752" t="s">
        <v>3447</v>
      </c>
      <c r="AH752" t="s">
        <v>4945</v>
      </c>
      <c r="AI752" t="s">
        <v>3368</v>
      </c>
      <c r="AJ752" t="s">
        <v>3358</v>
      </c>
      <c r="AK752" t="s">
        <v>11727</v>
      </c>
      <c r="AL752">
        <v>0.96</v>
      </c>
      <c r="AM752">
        <v>0.96</v>
      </c>
      <c r="AN752">
        <v>10.78</v>
      </c>
      <c r="AO752" t="s">
        <v>9568</v>
      </c>
      <c r="AP752" t="s">
        <v>3900</v>
      </c>
      <c r="AQ752" t="s">
        <v>4435</v>
      </c>
      <c r="AR752" t="s">
        <v>3019</v>
      </c>
      <c r="AS752" t="s">
        <v>3349</v>
      </c>
      <c r="AT752" t="s">
        <v>273</v>
      </c>
      <c r="AU752" t="s">
        <v>3602</v>
      </c>
      <c r="AV752" t="s">
        <v>11728</v>
      </c>
      <c r="AW752" t="s">
        <v>1086</v>
      </c>
      <c r="AX752" t="s">
        <v>2289</v>
      </c>
      <c r="AY752" t="s">
        <v>2357</v>
      </c>
      <c r="AZ752" t="s">
        <v>11729</v>
      </c>
      <c r="BA752">
        <v>2.27</v>
      </c>
      <c r="BB752">
        <v>1652.03</v>
      </c>
      <c r="BC752">
        <v>0.37</v>
      </c>
      <c r="BD752">
        <v>182.61</v>
      </c>
      <c r="BE752">
        <v>185.27</v>
      </c>
      <c r="BF752">
        <v>182.22</v>
      </c>
      <c r="BG752" t="s">
        <v>11730</v>
      </c>
      <c r="BH752" t="s">
        <v>10021</v>
      </c>
      <c r="BI752" t="s">
        <v>11731</v>
      </c>
      <c r="BJ752" t="s">
        <v>101</v>
      </c>
      <c r="BK752" t="s">
        <v>11732</v>
      </c>
      <c r="BL752" t="s">
        <v>10073</v>
      </c>
      <c r="BM752" t="s">
        <v>238</v>
      </c>
      <c r="BN752" t="s">
        <v>4063</v>
      </c>
    </row>
    <row r="753" spans="1:66" x14ac:dyDescent="0.25">
      <c r="A753" t="str">
        <f>HYPERLINK("https://elite.finviz.com/quote.ashx?t=SMTC&amp;ty=c&amp;p=d&amp;b=1", "SMTC")</f>
        <v>SMTC</v>
      </c>
      <c r="B753">
        <v>7</v>
      </c>
      <c r="C753">
        <v>138.38</v>
      </c>
      <c r="D753">
        <v>61.78</v>
      </c>
      <c r="E753" t="s">
        <v>11733</v>
      </c>
      <c r="F753" t="s">
        <v>67</v>
      </c>
      <c r="G753" t="s">
        <v>108</v>
      </c>
      <c r="H753" t="s">
        <v>1808</v>
      </c>
      <c r="I753" t="s">
        <v>70</v>
      </c>
      <c r="J753" t="s">
        <v>321</v>
      </c>
      <c r="K753">
        <v>5386.93</v>
      </c>
      <c r="L753">
        <v>62.08</v>
      </c>
      <c r="M753" t="s">
        <v>5036</v>
      </c>
      <c r="N753">
        <v>184663</v>
      </c>
      <c r="O753">
        <v>262.94</v>
      </c>
      <c r="P753">
        <v>29.28</v>
      </c>
      <c r="Q753">
        <v>5.75</v>
      </c>
      <c r="R753">
        <v>5.41</v>
      </c>
      <c r="S753">
        <v>9.74</v>
      </c>
      <c r="AA753">
        <v>0.24</v>
      </c>
      <c r="AD753" t="s">
        <v>11734</v>
      </c>
      <c r="AE753" t="s">
        <v>10317</v>
      </c>
      <c r="AF753" t="s">
        <v>2448</v>
      </c>
      <c r="AG753" t="s">
        <v>3901</v>
      </c>
      <c r="AH753" t="s">
        <v>11735</v>
      </c>
      <c r="AI753" t="s">
        <v>3916</v>
      </c>
      <c r="AJ753" t="s">
        <v>11445</v>
      </c>
      <c r="AK753" t="s">
        <v>11736</v>
      </c>
      <c r="AL753">
        <v>2.5299999999999998</v>
      </c>
      <c r="AM753">
        <v>1.78</v>
      </c>
      <c r="AN753">
        <v>0.99</v>
      </c>
      <c r="AO753" t="s">
        <v>3563</v>
      </c>
      <c r="AP753" t="s">
        <v>6528</v>
      </c>
      <c r="AQ753" t="s">
        <v>744</v>
      </c>
      <c r="AR753" t="s">
        <v>3481</v>
      </c>
      <c r="AS753" t="s">
        <v>2108</v>
      </c>
      <c r="AT753" t="s">
        <v>3916</v>
      </c>
      <c r="AU753" t="s">
        <v>2595</v>
      </c>
      <c r="AV753" t="s">
        <v>11737</v>
      </c>
      <c r="AW753" t="s">
        <v>5444</v>
      </c>
      <c r="AX753" t="s">
        <v>11738</v>
      </c>
      <c r="AY753" t="s">
        <v>6709</v>
      </c>
      <c r="AZ753" t="s">
        <v>11739</v>
      </c>
      <c r="BA753">
        <v>1.43</v>
      </c>
      <c r="BB753">
        <v>1889.26</v>
      </c>
      <c r="BC753">
        <v>0.34</v>
      </c>
      <c r="BD753">
        <v>61.63</v>
      </c>
      <c r="BE753">
        <v>62.49</v>
      </c>
      <c r="BF753">
        <v>61.26</v>
      </c>
      <c r="BG753" t="s">
        <v>11740</v>
      </c>
      <c r="BH753" t="s">
        <v>11741</v>
      </c>
      <c r="BI753" t="s">
        <v>11742</v>
      </c>
      <c r="BJ753" t="s">
        <v>101</v>
      </c>
      <c r="BK753" t="s">
        <v>11743</v>
      </c>
      <c r="BL753" t="s">
        <v>957</v>
      </c>
      <c r="BM753" t="s">
        <v>11744</v>
      </c>
      <c r="BN753" t="s">
        <v>4063</v>
      </c>
    </row>
    <row r="754" spans="1:66" x14ac:dyDescent="0.25">
      <c r="A754" t="str">
        <f>HYPERLINK("https://elite.finviz.com/quote.ashx?t=TLS&amp;ty=c&amp;p=d&amp;b=1", "TLS")</f>
        <v>TLS</v>
      </c>
      <c r="B754">
        <v>7</v>
      </c>
      <c r="C754">
        <v>138.38</v>
      </c>
      <c r="D754">
        <v>61.8</v>
      </c>
      <c r="E754" t="s">
        <v>11745</v>
      </c>
      <c r="F754" t="s">
        <v>67</v>
      </c>
      <c r="G754" t="s">
        <v>108</v>
      </c>
      <c r="H754" t="s">
        <v>109</v>
      </c>
      <c r="I754" t="s">
        <v>70</v>
      </c>
      <c r="J754" t="s">
        <v>321</v>
      </c>
      <c r="K754">
        <v>504.56</v>
      </c>
      <c r="L754">
        <v>6.94</v>
      </c>
      <c r="M754" t="s">
        <v>7089</v>
      </c>
      <c r="N754">
        <v>201394</v>
      </c>
      <c r="P754">
        <v>106.77</v>
      </c>
      <c r="R754">
        <v>4.32</v>
      </c>
      <c r="S754">
        <v>4.25</v>
      </c>
      <c r="AA754">
        <v>-0.77</v>
      </c>
      <c r="AB754" t="s">
        <v>2998</v>
      </c>
      <c r="AC754" t="s">
        <v>833</v>
      </c>
      <c r="AE754" t="s">
        <v>11746</v>
      </c>
      <c r="AF754" t="s">
        <v>2388</v>
      </c>
      <c r="AG754" t="s">
        <v>502</v>
      </c>
      <c r="AH754" t="s">
        <v>11747</v>
      </c>
      <c r="AI754" t="s">
        <v>6669</v>
      </c>
      <c r="AJ754" t="s">
        <v>10469</v>
      </c>
      <c r="AK754" t="s">
        <v>11748</v>
      </c>
      <c r="AL754">
        <v>2.5</v>
      </c>
      <c r="AM754">
        <v>2.39</v>
      </c>
      <c r="AN754">
        <v>0.08</v>
      </c>
      <c r="AO754" t="s">
        <v>11749</v>
      </c>
      <c r="AP754" t="s">
        <v>1106</v>
      </c>
      <c r="AQ754" t="s">
        <v>11750</v>
      </c>
      <c r="AR754" t="s">
        <v>3036</v>
      </c>
      <c r="AS754" t="s">
        <v>1474</v>
      </c>
      <c r="AT754" t="s">
        <v>3482</v>
      </c>
      <c r="AU754" t="s">
        <v>9524</v>
      </c>
      <c r="AV754" t="s">
        <v>11751</v>
      </c>
      <c r="AW754" t="s">
        <v>3423</v>
      </c>
      <c r="AX754" t="s">
        <v>11752</v>
      </c>
      <c r="AY754" t="s">
        <v>3423</v>
      </c>
      <c r="AZ754" t="s">
        <v>11753</v>
      </c>
      <c r="BA754">
        <v>1.8</v>
      </c>
      <c r="BB754">
        <v>1554.4</v>
      </c>
      <c r="BC754">
        <v>0.46</v>
      </c>
      <c r="BD754">
        <v>7.04</v>
      </c>
      <c r="BE754">
        <v>7.18</v>
      </c>
      <c r="BF754">
        <v>6.89</v>
      </c>
      <c r="BG754" t="s">
        <v>11754</v>
      </c>
      <c r="BH754" t="s">
        <v>11755</v>
      </c>
      <c r="BI754" t="s">
        <v>11756</v>
      </c>
      <c r="BJ754" t="s">
        <v>101</v>
      </c>
      <c r="BK754" t="s">
        <v>11757</v>
      </c>
      <c r="BL754" t="s">
        <v>11758</v>
      </c>
      <c r="BM754" t="s">
        <v>11759</v>
      </c>
      <c r="BN754" t="s">
        <v>4063</v>
      </c>
    </row>
    <row r="755" spans="1:66" x14ac:dyDescent="0.25">
      <c r="A755" t="str">
        <f>HYPERLINK("https://elite.finviz.com/quote.ashx?t=LUNR&amp;ty=c&amp;p=d&amp;b=1", "LUNR")</f>
        <v>LUNR</v>
      </c>
      <c r="B755">
        <v>7</v>
      </c>
      <c r="C755">
        <v>138.38</v>
      </c>
      <c r="D755">
        <v>61.81</v>
      </c>
      <c r="E755" t="s">
        <v>11760</v>
      </c>
      <c r="F755" t="s">
        <v>67</v>
      </c>
      <c r="G755" t="s">
        <v>260</v>
      </c>
      <c r="H755" t="s">
        <v>4779</v>
      </c>
      <c r="I755" t="s">
        <v>70</v>
      </c>
      <c r="J755" t="s">
        <v>321</v>
      </c>
      <c r="K755">
        <v>1812.21</v>
      </c>
      <c r="L755">
        <v>10.14</v>
      </c>
      <c r="M755" t="s">
        <v>2423</v>
      </c>
      <c r="N755">
        <v>2294701</v>
      </c>
      <c r="R755">
        <v>8.02</v>
      </c>
      <c r="AA755">
        <v>-2.64</v>
      </c>
      <c r="AB755" t="s">
        <v>11761</v>
      </c>
      <c r="AC755" t="s">
        <v>11762</v>
      </c>
      <c r="AE755" t="s">
        <v>6852</v>
      </c>
      <c r="AG755" t="s">
        <v>11763</v>
      </c>
      <c r="AH755" t="s">
        <v>7749</v>
      </c>
      <c r="AI755" t="s">
        <v>11764</v>
      </c>
      <c r="AJ755" t="s">
        <v>7413</v>
      </c>
      <c r="AK755" t="s">
        <v>11765</v>
      </c>
      <c r="AL755">
        <v>3.67</v>
      </c>
      <c r="AM755">
        <v>3.67</v>
      </c>
      <c r="AO755" t="s">
        <v>1864</v>
      </c>
      <c r="AP755" t="s">
        <v>11766</v>
      </c>
      <c r="AQ755" t="s">
        <v>11767</v>
      </c>
      <c r="AR755" t="s">
        <v>5122</v>
      </c>
      <c r="AS755" t="s">
        <v>4172</v>
      </c>
      <c r="AT755" t="s">
        <v>6587</v>
      </c>
      <c r="AU755" t="s">
        <v>5420</v>
      </c>
      <c r="AV755" t="s">
        <v>11768</v>
      </c>
      <c r="AW755" t="s">
        <v>11769</v>
      </c>
      <c r="AX755" t="s">
        <v>1472</v>
      </c>
      <c r="AY755" t="s">
        <v>11770</v>
      </c>
      <c r="AZ755" t="s">
        <v>11771</v>
      </c>
      <c r="BA755">
        <v>1.62</v>
      </c>
      <c r="BB755">
        <v>7730.74</v>
      </c>
      <c r="BC755">
        <v>1.05</v>
      </c>
      <c r="BD755">
        <v>10.1</v>
      </c>
      <c r="BE755">
        <v>10.55</v>
      </c>
      <c r="BF755">
        <v>10</v>
      </c>
      <c r="BG755" t="s">
        <v>11772</v>
      </c>
      <c r="BH755" t="s">
        <v>11773</v>
      </c>
      <c r="BI755" t="s">
        <v>11774</v>
      </c>
      <c r="BJ755" t="s">
        <v>101</v>
      </c>
      <c r="BK755" t="s">
        <v>11775</v>
      </c>
      <c r="BL755" t="s">
        <v>9461</v>
      </c>
      <c r="BM755" t="s">
        <v>7816</v>
      </c>
      <c r="BN755" t="s">
        <v>4063</v>
      </c>
    </row>
    <row r="756" spans="1:66" x14ac:dyDescent="0.25">
      <c r="A756" t="str">
        <f>HYPERLINK("https://elite.finviz.com/quote.ashx?t=QCOM&amp;ty=c&amp;p=d&amp;b=1", "QCOM")</f>
        <v>QCOM</v>
      </c>
      <c r="B756">
        <v>7</v>
      </c>
      <c r="C756">
        <v>138.38</v>
      </c>
      <c r="D756">
        <v>61.82</v>
      </c>
      <c r="E756" t="s">
        <v>11776</v>
      </c>
      <c r="F756" t="s">
        <v>319</v>
      </c>
      <c r="G756" t="s">
        <v>108</v>
      </c>
      <c r="H756" t="s">
        <v>1808</v>
      </c>
      <c r="I756" t="s">
        <v>70</v>
      </c>
      <c r="J756" t="s">
        <v>321</v>
      </c>
      <c r="K756">
        <v>182205.34</v>
      </c>
      <c r="L756">
        <v>168.87</v>
      </c>
      <c r="M756" t="s">
        <v>4886</v>
      </c>
      <c r="N756">
        <v>1268450</v>
      </c>
      <c r="O756">
        <v>16.29</v>
      </c>
      <c r="P756">
        <v>13.8</v>
      </c>
      <c r="Q756">
        <v>1.98</v>
      </c>
      <c r="R756">
        <v>4.21</v>
      </c>
      <c r="S756">
        <v>6.73</v>
      </c>
      <c r="T756" t="s">
        <v>2421</v>
      </c>
      <c r="U756">
        <v>3.48</v>
      </c>
      <c r="V756" t="s">
        <v>6223</v>
      </c>
      <c r="W756" t="s">
        <v>2232</v>
      </c>
      <c r="X756" t="s">
        <v>3228</v>
      </c>
      <c r="Y756" t="s">
        <v>4907</v>
      </c>
      <c r="Z756" t="s">
        <v>11777</v>
      </c>
      <c r="AA756">
        <v>10.37</v>
      </c>
      <c r="AB756" t="s">
        <v>2842</v>
      </c>
      <c r="AC756" t="s">
        <v>11778</v>
      </c>
      <c r="AD756" t="s">
        <v>3100</v>
      </c>
      <c r="AE756" t="s">
        <v>8400</v>
      </c>
      <c r="AF756" t="s">
        <v>6419</v>
      </c>
      <c r="AG756" t="s">
        <v>1491</v>
      </c>
      <c r="AH756" t="s">
        <v>10247</v>
      </c>
      <c r="AI756" t="s">
        <v>5263</v>
      </c>
      <c r="AJ756" t="s">
        <v>7036</v>
      </c>
      <c r="AK756" t="s">
        <v>11779</v>
      </c>
      <c r="AL756">
        <v>3.19</v>
      </c>
      <c r="AM756">
        <v>2.14</v>
      </c>
      <c r="AN756">
        <v>0.54</v>
      </c>
      <c r="AO756" t="s">
        <v>11780</v>
      </c>
      <c r="AP756" t="s">
        <v>1813</v>
      </c>
      <c r="AQ756" t="s">
        <v>4112</v>
      </c>
      <c r="AR756" t="s">
        <v>4839</v>
      </c>
      <c r="AS756" t="s">
        <v>5420</v>
      </c>
      <c r="AT756" t="s">
        <v>911</v>
      </c>
      <c r="AU756" t="s">
        <v>291</v>
      </c>
      <c r="AV756" t="s">
        <v>6791</v>
      </c>
      <c r="AW756" t="s">
        <v>1081</v>
      </c>
      <c r="AX756" t="s">
        <v>2121</v>
      </c>
      <c r="AY756" t="s">
        <v>9240</v>
      </c>
      <c r="AZ756" t="s">
        <v>7919</v>
      </c>
      <c r="BA756">
        <v>2.2599999999999998</v>
      </c>
      <c r="BB756">
        <v>7962.66</v>
      </c>
      <c r="BC756">
        <v>0.56000000000000005</v>
      </c>
      <c r="BD756">
        <v>169.68</v>
      </c>
      <c r="BE756">
        <v>170.84</v>
      </c>
      <c r="BF756">
        <v>168.13</v>
      </c>
      <c r="BG756" t="s">
        <v>11781</v>
      </c>
      <c r="BH756" t="s">
        <v>498</v>
      </c>
      <c r="BI756" t="s">
        <v>11782</v>
      </c>
      <c r="BJ756" t="s">
        <v>101</v>
      </c>
      <c r="BK756" t="s">
        <v>291</v>
      </c>
      <c r="BL756" t="s">
        <v>6674</v>
      </c>
      <c r="BM756" t="s">
        <v>1488</v>
      </c>
      <c r="BN756" t="s">
        <v>4063</v>
      </c>
    </row>
    <row r="757" spans="1:66" x14ac:dyDescent="0.25">
      <c r="A757" t="str">
        <f>HYPERLINK("https://elite.finviz.com/quote.ashx?t=VG&amp;ty=c&amp;p=d&amp;b=1", "VG")</f>
        <v>VG</v>
      </c>
      <c r="B757">
        <v>7</v>
      </c>
      <c r="C757">
        <v>138.38</v>
      </c>
      <c r="D757">
        <v>61.93</v>
      </c>
      <c r="E757" t="s">
        <v>11783</v>
      </c>
      <c r="F757" t="s">
        <v>107</v>
      </c>
      <c r="G757" t="s">
        <v>1048</v>
      </c>
      <c r="H757" t="s">
        <v>3915</v>
      </c>
      <c r="I757" t="s">
        <v>70</v>
      </c>
      <c r="J757" t="s">
        <v>71</v>
      </c>
      <c r="K757">
        <v>36030.730000000003</v>
      </c>
      <c r="L757">
        <v>14.84</v>
      </c>
      <c r="M757" t="s">
        <v>306</v>
      </c>
      <c r="N757">
        <v>2197452</v>
      </c>
      <c r="O757">
        <v>27.89</v>
      </c>
      <c r="P757">
        <v>13.67</v>
      </c>
      <c r="R757">
        <v>4.2699999999999996</v>
      </c>
      <c r="S757">
        <v>6.83</v>
      </c>
      <c r="T757" t="s">
        <v>141</v>
      </c>
      <c r="U757">
        <v>0.05</v>
      </c>
      <c r="V757" t="s">
        <v>7552</v>
      </c>
      <c r="AA757">
        <v>0.53</v>
      </c>
      <c r="AD757" t="s">
        <v>10228</v>
      </c>
      <c r="AE757" t="s">
        <v>11784</v>
      </c>
      <c r="AH757" t="s">
        <v>11785</v>
      </c>
      <c r="AI757" t="s">
        <v>10904</v>
      </c>
      <c r="AJ757" t="s">
        <v>2638</v>
      </c>
      <c r="AK757" t="s">
        <v>1843</v>
      </c>
      <c r="AL757">
        <v>1.39</v>
      </c>
      <c r="AM757">
        <v>1.33</v>
      </c>
      <c r="AN757">
        <v>4.4800000000000004</v>
      </c>
      <c r="AO757" t="s">
        <v>6213</v>
      </c>
      <c r="AP757" t="s">
        <v>10090</v>
      </c>
      <c r="AQ757" t="s">
        <v>4640</v>
      </c>
      <c r="AR757" t="s">
        <v>10926</v>
      </c>
      <c r="AS757" t="s">
        <v>5331</v>
      </c>
      <c r="AT757" t="s">
        <v>2861</v>
      </c>
      <c r="AU757" t="s">
        <v>2351</v>
      </c>
      <c r="AV757" t="s">
        <v>4672</v>
      </c>
      <c r="AW757" t="s">
        <v>11786</v>
      </c>
      <c r="AX757" t="s">
        <v>11787</v>
      </c>
      <c r="AY757" t="s">
        <v>11788</v>
      </c>
      <c r="AZ757" t="s">
        <v>11789</v>
      </c>
      <c r="BA757">
        <v>2</v>
      </c>
      <c r="BB757">
        <v>6857.26</v>
      </c>
      <c r="BC757">
        <v>1.1299999999999999</v>
      </c>
      <c r="BD757">
        <v>14.75</v>
      </c>
      <c r="BE757">
        <v>15.29</v>
      </c>
      <c r="BF757">
        <v>14.76</v>
      </c>
      <c r="BG757" t="s">
        <v>11790</v>
      </c>
      <c r="BH757" t="s">
        <v>11788</v>
      </c>
      <c r="BI757" t="s">
        <v>11789</v>
      </c>
      <c r="BJ757" t="s">
        <v>101</v>
      </c>
      <c r="BK757" t="s">
        <v>6693</v>
      </c>
      <c r="BL757" t="s">
        <v>11791</v>
      </c>
      <c r="BN757" t="s">
        <v>4063</v>
      </c>
    </row>
    <row r="758" spans="1:66" x14ac:dyDescent="0.25">
      <c r="A758" t="str">
        <f>HYPERLINK("https://elite.finviz.com/quote.ashx?t=YUM&amp;ty=c&amp;p=d&amp;b=1", "YUM")</f>
        <v>YUM</v>
      </c>
      <c r="B758">
        <v>7</v>
      </c>
      <c r="C758">
        <v>138.38</v>
      </c>
      <c r="D758">
        <v>61.95</v>
      </c>
      <c r="E758" t="s">
        <v>11792</v>
      </c>
      <c r="F758" t="s">
        <v>195</v>
      </c>
      <c r="G758" t="s">
        <v>813</v>
      </c>
      <c r="H758" t="s">
        <v>2285</v>
      </c>
      <c r="I758" t="s">
        <v>70</v>
      </c>
      <c r="J758" t="s">
        <v>71</v>
      </c>
      <c r="K758">
        <v>42120.2</v>
      </c>
      <c r="L758">
        <v>151.76</v>
      </c>
      <c r="M758" t="s">
        <v>3493</v>
      </c>
      <c r="N758">
        <v>130198</v>
      </c>
      <c r="O758">
        <v>29.97</v>
      </c>
      <c r="P758">
        <v>22.77</v>
      </c>
      <c r="Q758">
        <v>2.58</v>
      </c>
      <c r="R758">
        <v>5.33</v>
      </c>
      <c r="T758" t="s">
        <v>910</v>
      </c>
      <c r="U758">
        <v>2.8</v>
      </c>
      <c r="V758" t="s">
        <v>2187</v>
      </c>
      <c r="W758" t="s">
        <v>6532</v>
      </c>
      <c r="X758" t="s">
        <v>8401</v>
      </c>
      <c r="Y758" t="s">
        <v>1558</v>
      </c>
      <c r="Z758" t="s">
        <v>4843</v>
      </c>
      <c r="AA758">
        <v>5.0599999999999996</v>
      </c>
      <c r="AB758" t="s">
        <v>1249</v>
      </c>
      <c r="AC758" t="s">
        <v>2774</v>
      </c>
      <c r="AD758" t="s">
        <v>2595</v>
      </c>
      <c r="AE758" t="s">
        <v>9187</v>
      </c>
      <c r="AF758" t="s">
        <v>3874</v>
      </c>
      <c r="AG758" t="s">
        <v>2776</v>
      </c>
      <c r="AH758" t="s">
        <v>127</v>
      </c>
      <c r="AI758" t="s">
        <v>2176</v>
      </c>
      <c r="AJ758" t="s">
        <v>9592</v>
      </c>
      <c r="AK758" t="s">
        <v>11793</v>
      </c>
      <c r="AL758">
        <v>0.82</v>
      </c>
      <c r="AM758">
        <v>0.82</v>
      </c>
      <c r="AO758" t="s">
        <v>11794</v>
      </c>
      <c r="AP758" t="s">
        <v>9525</v>
      </c>
      <c r="AQ758" t="s">
        <v>3710</v>
      </c>
      <c r="AR758" t="s">
        <v>3757</v>
      </c>
      <c r="AS758" t="s">
        <v>2274</v>
      </c>
      <c r="AT758" t="s">
        <v>2892</v>
      </c>
      <c r="AU758" t="s">
        <v>4956</v>
      </c>
      <c r="AV758" t="s">
        <v>995</v>
      </c>
      <c r="AW758" t="s">
        <v>530</v>
      </c>
      <c r="AX758" t="s">
        <v>1078</v>
      </c>
      <c r="AY758" t="s">
        <v>11795</v>
      </c>
      <c r="AZ758" t="s">
        <v>5011</v>
      </c>
      <c r="BA758">
        <v>2.44</v>
      </c>
      <c r="BB758">
        <v>2001.76</v>
      </c>
      <c r="BC758">
        <v>0.23</v>
      </c>
      <c r="BD758">
        <v>150.41</v>
      </c>
      <c r="BE758">
        <v>151.94999999999999</v>
      </c>
      <c r="BF758">
        <v>150.69999999999999</v>
      </c>
      <c r="BG758" t="s">
        <v>11796</v>
      </c>
      <c r="BH758" t="s">
        <v>11795</v>
      </c>
      <c r="BI758" t="s">
        <v>11797</v>
      </c>
      <c r="BJ758" t="s">
        <v>101</v>
      </c>
      <c r="BK758" t="s">
        <v>1599</v>
      </c>
      <c r="BL758" t="s">
        <v>4636</v>
      </c>
      <c r="BM758" t="s">
        <v>1455</v>
      </c>
      <c r="BN758" t="s">
        <v>4063</v>
      </c>
    </row>
    <row r="759" spans="1:66" x14ac:dyDescent="0.25">
      <c r="A759" t="str">
        <f>HYPERLINK("https://elite.finviz.com/quote.ashx?t=CLOV&amp;ty=c&amp;p=d&amp;b=1", "CLOV")</f>
        <v>CLOV</v>
      </c>
      <c r="B759">
        <v>7</v>
      </c>
      <c r="C759">
        <v>138.38</v>
      </c>
      <c r="D759">
        <v>61.97</v>
      </c>
      <c r="E759" t="s">
        <v>11798</v>
      </c>
      <c r="F759" t="s">
        <v>67</v>
      </c>
      <c r="G759" t="s">
        <v>428</v>
      </c>
      <c r="H759" t="s">
        <v>7264</v>
      </c>
      <c r="I759" t="s">
        <v>70</v>
      </c>
      <c r="J759" t="s">
        <v>321</v>
      </c>
      <c r="K759">
        <v>1628.98</v>
      </c>
      <c r="L759">
        <v>3.18</v>
      </c>
      <c r="M759" t="s">
        <v>2571</v>
      </c>
      <c r="N759">
        <v>684260</v>
      </c>
      <c r="R759">
        <v>1.01</v>
      </c>
      <c r="S759">
        <v>4.46</v>
      </c>
      <c r="AA759">
        <v>-0.09</v>
      </c>
      <c r="AB759" t="s">
        <v>11799</v>
      </c>
      <c r="AC759" t="s">
        <v>11800</v>
      </c>
      <c r="AE759" t="s">
        <v>11801</v>
      </c>
      <c r="AF759" t="s">
        <v>5913</v>
      </c>
      <c r="AH759" t="s">
        <v>11802</v>
      </c>
      <c r="AI759" t="s">
        <v>11803</v>
      </c>
      <c r="AJ759" t="s">
        <v>6156</v>
      </c>
      <c r="AK759" t="s">
        <v>11804</v>
      </c>
      <c r="AL759">
        <v>1.8</v>
      </c>
      <c r="AN759">
        <v>0</v>
      </c>
      <c r="AP759" t="s">
        <v>11805</v>
      </c>
      <c r="AQ759" t="s">
        <v>7262</v>
      </c>
      <c r="AR759" t="s">
        <v>5620</v>
      </c>
      <c r="AS759" t="s">
        <v>5467</v>
      </c>
      <c r="AT759" t="s">
        <v>5025</v>
      </c>
      <c r="AU759" t="s">
        <v>435</v>
      </c>
      <c r="AV759" t="s">
        <v>9738</v>
      </c>
      <c r="AW759" t="s">
        <v>4048</v>
      </c>
      <c r="AX759" t="s">
        <v>11806</v>
      </c>
      <c r="AY759" t="s">
        <v>423</v>
      </c>
      <c r="AZ759" t="s">
        <v>11806</v>
      </c>
      <c r="BA759">
        <v>2</v>
      </c>
      <c r="BB759">
        <v>8775.42</v>
      </c>
      <c r="BC759">
        <v>0.27</v>
      </c>
      <c r="BD759">
        <v>3.16</v>
      </c>
      <c r="BE759">
        <v>3.2</v>
      </c>
      <c r="BF759">
        <v>3.13</v>
      </c>
      <c r="BG759" t="s">
        <v>11807</v>
      </c>
      <c r="BH759" t="s">
        <v>11808</v>
      </c>
      <c r="BI759" t="s">
        <v>11809</v>
      </c>
      <c r="BJ759" t="s">
        <v>101</v>
      </c>
      <c r="BK759" t="s">
        <v>8456</v>
      </c>
      <c r="BL759" t="s">
        <v>5028</v>
      </c>
      <c r="BM759" t="s">
        <v>4377</v>
      </c>
      <c r="BN759" t="s">
        <v>4063</v>
      </c>
    </row>
    <row r="760" spans="1:66" x14ac:dyDescent="0.25">
      <c r="A760" t="str">
        <f>HYPERLINK("https://elite.finviz.com/quote.ashx?t=ANNX&amp;ty=c&amp;p=d&amp;b=1", "ANNX")</f>
        <v>ANNX</v>
      </c>
      <c r="B760">
        <v>7</v>
      </c>
      <c r="C760">
        <v>138.38</v>
      </c>
      <c r="D760">
        <v>62.02</v>
      </c>
      <c r="E760" t="s">
        <v>11810</v>
      </c>
      <c r="F760" t="s">
        <v>67</v>
      </c>
      <c r="G760" t="s">
        <v>428</v>
      </c>
      <c r="H760" t="s">
        <v>429</v>
      </c>
      <c r="I760" t="s">
        <v>70</v>
      </c>
      <c r="J760" t="s">
        <v>321</v>
      </c>
      <c r="K760">
        <v>311.52</v>
      </c>
      <c r="L760">
        <v>2.84</v>
      </c>
      <c r="M760" t="s">
        <v>6990</v>
      </c>
      <c r="N760">
        <v>235014</v>
      </c>
      <c r="S760">
        <v>1.56</v>
      </c>
      <c r="AA760">
        <v>-1.29</v>
      </c>
      <c r="AB760" t="s">
        <v>11811</v>
      </c>
      <c r="AC760" t="s">
        <v>6192</v>
      </c>
      <c r="AD760" t="s">
        <v>8535</v>
      </c>
      <c r="AI760" t="s">
        <v>1159</v>
      </c>
      <c r="AJ760" t="s">
        <v>580</v>
      </c>
      <c r="AK760" t="s">
        <v>11812</v>
      </c>
      <c r="AL760">
        <v>5.67</v>
      </c>
      <c r="AM760">
        <v>5.67</v>
      </c>
      <c r="AN760">
        <v>0.14000000000000001</v>
      </c>
      <c r="AR760" t="s">
        <v>438</v>
      </c>
      <c r="AS760" t="s">
        <v>296</v>
      </c>
      <c r="AT760" t="s">
        <v>3965</v>
      </c>
      <c r="AU760" t="s">
        <v>3668</v>
      </c>
      <c r="AV760" t="s">
        <v>909</v>
      </c>
      <c r="AW760" t="s">
        <v>1092</v>
      </c>
      <c r="AX760" t="s">
        <v>11813</v>
      </c>
      <c r="AY760" t="s">
        <v>918</v>
      </c>
      <c r="AZ760" t="s">
        <v>11814</v>
      </c>
      <c r="BA760">
        <v>1</v>
      </c>
      <c r="BB760">
        <v>1645.18</v>
      </c>
      <c r="BC760">
        <v>0.5</v>
      </c>
      <c r="BD760">
        <v>2.79</v>
      </c>
      <c r="BE760">
        <v>2.83</v>
      </c>
      <c r="BF760">
        <v>2.77</v>
      </c>
      <c r="BG760" t="s">
        <v>11815</v>
      </c>
      <c r="BH760" t="s">
        <v>11773</v>
      </c>
      <c r="BI760" t="s">
        <v>11814</v>
      </c>
      <c r="BJ760" t="s">
        <v>101</v>
      </c>
      <c r="BK760" t="s">
        <v>7406</v>
      </c>
      <c r="BL760" t="s">
        <v>8888</v>
      </c>
      <c r="BM760" t="s">
        <v>11816</v>
      </c>
      <c r="BN760" t="s">
        <v>4063</v>
      </c>
    </row>
    <row r="761" spans="1:66" x14ac:dyDescent="0.25">
      <c r="A761" t="str">
        <f>HYPERLINK("https://elite.finviz.com/quote.ashx?t=RES&amp;ty=c&amp;p=d&amp;b=1", "RES")</f>
        <v>RES</v>
      </c>
      <c r="B761">
        <v>7</v>
      </c>
      <c r="C761">
        <v>138.38</v>
      </c>
      <c r="D761">
        <v>62.05</v>
      </c>
      <c r="E761" t="s">
        <v>11817</v>
      </c>
      <c r="F761" t="s">
        <v>67</v>
      </c>
      <c r="G761" t="s">
        <v>1048</v>
      </c>
      <c r="H761" t="s">
        <v>8341</v>
      </c>
      <c r="I761" t="s">
        <v>70</v>
      </c>
      <c r="J761" t="s">
        <v>71</v>
      </c>
      <c r="K761">
        <v>1082.94</v>
      </c>
      <c r="L761">
        <v>4.91</v>
      </c>
      <c r="M761" t="s">
        <v>3635</v>
      </c>
      <c r="N761">
        <v>215435</v>
      </c>
      <c r="O761">
        <v>19.73</v>
      </c>
      <c r="P761">
        <v>16.93</v>
      </c>
      <c r="R761">
        <v>0.76</v>
      </c>
      <c r="S761">
        <v>0.99</v>
      </c>
      <c r="T761" t="s">
        <v>5968</v>
      </c>
      <c r="U761">
        <v>0.16</v>
      </c>
      <c r="V761" t="s">
        <v>893</v>
      </c>
      <c r="W761" t="s">
        <v>164</v>
      </c>
      <c r="Y761" t="s">
        <v>2509</v>
      </c>
      <c r="Z761" t="s">
        <v>3044</v>
      </c>
      <c r="AA761">
        <v>0.25</v>
      </c>
      <c r="AB761" t="s">
        <v>11818</v>
      </c>
      <c r="AD761" t="s">
        <v>3300</v>
      </c>
      <c r="AE761" t="s">
        <v>9085</v>
      </c>
      <c r="AF761" t="s">
        <v>7663</v>
      </c>
      <c r="AG761" t="s">
        <v>2383</v>
      </c>
      <c r="AH761" t="s">
        <v>328</v>
      </c>
      <c r="AI761" t="s">
        <v>3502</v>
      </c>
      <c r="AJ761" t="s">
        <v>164</v>
      </c>
      <c r="AK761" t="s">
        <v>11819</v>
      </c>
      <c r="AL761">
        <v>2.64</v>
      </c>
      <c r="AM761">
        <v>2.16</v>
      </c>
      <c r="AN761">
        <v>7.0000000000000007E-2</v>
      </c>
      <c r="AO761" t="s">
        <v>8837</v>
      </c>
      <c r="AP761" t="s">
        <v>926</v>
      </c>
      <c r="AQ761" t="s">
        <v>3482</v>
      </c>
      <c r="AR761" t="s">
        <v>4093</v>
      </c>
      <c r="AS761" t="s">
        <v>3205</v>
      </c>
      <c r="AT761" t="s">
        <v>3957</v>
      </c>
      <c r="AU761" t="s">
        <v>5527</v>
      </c>
      <c r="AV761" t="s">
        <v>4691</v>
      </c>
      <c r="AW761" t="s">
        <v>7948</v>
      </c>
      <c r="AX761" t="s">
        <v>6087</v>
      </c>
      <c r="AY761" t="s">
        <v>11820</v>
      </c>
      <c r="AZ761" t="s">
        <v>8415</v>
      </c>
      <c r="BA761">
        <v>2.83</v>
      </c>
      <c r="BB761">
        <v>1754.42</v>
      </c>
      <c r="BC761">
        <v>0.43</v>
      </c>
      <c r="BD761">
        <v>4.79</v>
      </c>
      <c r="BE761">
        <v>4.95</v>
      </c>
      <c r="BF761">
        <v>4.82</v>
      </c>
      <c r="BG761" t="s">
        <v>11821</v>
      </c>
      <c r="BH761" t="s">
        <v>11822</v>
      </c>
      <c r="BI761" t="s">
        <v>11823</v>
      </c>
      <c r="BJ761" t="s">
        <v>101</v>
      </c>
      <c r="BK761" t="s">
        <v>3035</v>
      </c>
      <c r="BL761" t="s">
        <v>11824</v>
      </c>
      <c r="BM761" t="s">
        <v>11825</v>
      </c>
      <c r="BN761" t="s">
        <v>4063</v>
      </c>
    </row>
    <row r="762" spans="1:66" x14ac:dyDescent="0.25">
      <c r="A762" t="str">
        <f>HYPERLINK("https://elite.finviz.com/quote.ashx?t=TVTX&amp;ty=c&amp;p=d&amp;b=1", "TVTX")</f>
        <v>TVTX</v>
      </c>
      <c r="B762">
        <v>7</v>
      </c>
      <c r="C762">
        <v>138.38</v>
      </c>
      <c r="D762">
        <v>62.08</v>
      </c>
      <c r="E762" t="s">
        <v>11826</v>
      </c>
      <c r="F762" t="s">
        <v>67</v>
      </c>
      <c r="G762" t="s">
        <v>428</v>
      </c>
      <c r="H762" t="s">
        <v>429</v>
      </c>
      <c r="I762" t="s">
        <v>70</v>
      </c>
      <c r="J762" t="s">
        <v>321</v>
      </c>
      <c r="K762">
        <v>2178.5500000000002</v>
      </c>
      <c r="L762">
        <v>24.44</v>
      </c>
      <c r="M762" t="s">
        <v>3495</v>
      </c>
      <c r="N762">
        <v>155556</v>
      </c>
      <c r="P762">
        <v>60.52</v>
      </c>
      <c r="R762">
        <v>6.53</v>
      </c>
      <c r="S762">
        <v>66.5</v>
      </c>
      <c r="AA762">
        <v>-2.04</v>
      </c>
      <c r="AB762" t="s">
        <v>411</v>
      </c>
      <c r="AC762" t="s">
        <v>5426</v>
      </c>
      <c r="AE762" t="s">
        <v>11827</v>
      </c>
      <c r="AF762" t="s">
        <v>2734</v>
      </c>
      <c r="AG762" t="s">
        <v>2408</v>
      </c>
      <c r="AH762" t="s">
        <v>11828</v>
      </c>
      <c r="AI762" t="s">
        <v>11829</v>
      </c>
      <c r="AJ762" t="s">
        <v>11830</v>
      </c>
      <c r="AK762" t="s">
        <v>11831</v>
      </c>
      <c r="AL762">
        <v>2</v>
      </c>
      <c r="AM762">
        <v>1.98</v>
      </c>
      <c r="AN762">
        <v>12.2</v>
      </c>
      <c r="AO762" t="s">
        <v>11832</v>
      </c>
      <c r="AP762" t="s">
        <v>11833</v>
      </c>
      <c r="AQ762" t="s">
        <v>11834</v>
      </c>
      <c r="AR762" t="s">
        <v>454</v>
      </c>
      <c r="AS762" t="s">
        <v>5944</v>
      </c>
      <c r="AT762" t="s">
        <v>4760</v>
      </c>
      <c r="AU762" t="s">
        <v>6477</v>
      </c>
      <c r="AV762" t="s">
        <v>11835</v>
      </c>
      <c r="AW762" t="s">
        <v>3725</v>
      </c>
      <c r="AX762" t="s">
        <v>1907</v>
      </c>
      <c r="AY762" t="s">
        <v>3725</v>
      </c>
      <c r="AZ762" t="s">
        <v>11836</v>
      </c>
      <c r="BA762">
        <v>1.27</v>
      </c>
      <c r="BB762">
        <v>1949.53</v>
      </c>
      <c r="BC762">
        <v>0.28000000000000003</v>
      </c>
      <c r="BD762">
        <v>24.6</v>
      </c>
      <c r="BE762">
        <v>25.08</v>
      </c>
      <c r="BF762">
        <v>24.43</v>
      </c>
      <c r="BG762" t="s">
        <v>11837</v>
      </c>
      <c r="BH762" t="s">
        <v>2992</v>
      </c>
      <c r="BI762" t="s">
        <v>11838</v>
      </c>
      <c r="BJ762" t="s">
        <v>101</v>
      </c>
      <c r="BK762" t="s">
        <v>11839</v>
      </c>
      <c r="BL762" t="s">
        <v>11840</v>
      </c>
      <c r="BM762" t="s">
        <v>11841</v>
      </c>
      <c r="BN762" t="s">
        <v>4063</v>
      </c>
    </row>
    <row r="763" spans="1:66" x14ac:dyDescent="0.25">
      <c r="A763" t="str">
        <f>HYPERLINK("https://elite.finviz.com/quote.ashx?t=IVZ&amp;ty=c&amp;p=d&amp;b=1", "IVZ")</f>
        <v>IVZ</v>
      </c>
      <c r="B763">
        <v>7</v>
      </c>
      <c r="C763">
        <v>138.38</v>
      </c>
      <c r="D763">
        <v>62.16</v>
      </c>
      <c r="E763" t="s">
        <v>11842</v>
      </c>
      <c r="F763" t="s">
        <v>195</v>
      </c>
      <c r="G763" t="s">
        <v>550</v>
      </c>
      <c r="H763" t="s">
        <v>2597</v>
      </c>
      <c r="I763" t="s">
        <v>70</v>
      </c>
      <c r="J763" t="s">
        <v>71</v>
      </c>
      <c r="K763">
        <v>10074.32</v>
      </c>
      <c r="L763">
        <v>22.59</v>
      </c>
      <c r="M763" t="s">
        <v>2144</v>
      </c>
      <c r="N763">
        <v>1200741</v>
      </c>
      <c r="O763">
        <v>24.26</v>
      </c>
      <c r="P763">
        <v>9.91</v>
      </c>
      <c r="Q763">
        <v>1.66</v>
      </c>
      <c r="R763">
        <v>1.64</v>
      </c>
      <c r="S763">
        <v>0.93</v>
      </c>
      <c r="T763" t="s">
        <v>1050</v>
      </c>
      <c r="U763">
        <v>0.83</v>
      </c>
      <c r="V763" t="s">
        <v>2708</v>
      </c>
      <c r="W763" t="s">
        <v>1776</v>
      </c>
      <c r="X763" t="s">
        <v>6008</v>
      </c>
      <c r="Y763" t="s">
        <v>6195</v>
      </c>
      <c r="Z763" t="s">
        <v>11843</v>
      </c>
      <c r="AA763">
        <v>0.93</v>
      </c>
      <c r="AB763" t="s">
        <v>11844</v>
      </c>
      <c r="AC763" t="s">
        <v>123</v>
      </c>
      <c r="AD763" t="s">
        <v>11845</v>
      </c>
      <c r="AE763" t="s">
        <v>506</v>
      </c>
      <c r="AF763" t="s">
        <v>3998</v>
      </c>
      <c r="AG763" t="s">
        <v>2426</v>
      </c>
      <c r="AH763" t="s">
        <v>3670</v>
      </c>
      <c r="AI763" t="s">
        <v>11846</v>
      </c>
      <c r="AJ763" t="s">
        <v>5686</v>
      </c>
      <c r="AK763" t="s">
        <v>9767</v>
      </c>
      <c r="AL763">
        <v>1.04</v>
      </c>
      <c r="AM763">
        <v>1.04</v>
      </c>
      <c r="AN763">
        <v>0.62</v>
      </c>
      <c r="AO763" t="s">
        <v>3854</v>
      </c>
      <c r="AP763" t="s">
        <v>11062</v>
      </c>
      <c r="AQ763" t="s">
        <v>6584</v>
      </c>
      <c r="AR763" t="s">
        <v>352</v>
      </c>
      <c r="AS763" t="s">
        <v>2430</v>
      </c>
      <c r="AT763" t="s">
        <v>3494</v>
      </c>
      <c r="AU763" t="s">
        <v>3119</v>
      </c>
      <c r="AV763" t="s">
        <v>6623</v>
      </c>
      <c r="AW763" t="s">
        <v>181</v>
      </c>
      <c r="AX763" t="s">
        <v>1008</v>
      </c>
      <c r="AY763" t="s">
        <v>181</v>
      </c>
      <c r="AZ763" t="s">
        <v>11847</v>
      </c>
      <c r="BA763">
        <v>2.67</v>
      </c>
      <c r="BB763">
        <v>5696.65</v>
      </c>
      <c r="BC763">
        <v>0.74</v>
      </c>
      <c r="BD763">
        <v>22.36</v>
      </c>
      <c r="BE763">
        <v>22.87</v>
      </c>
      <c r="BF763">
        <v>22.39</v>
      </c>
      <c r="BG763" t="s">
        <v>11848</v>
      </c>
      <c r="BH763" t="s">
        <v>11849</v>
      </c>
      <c r="BI763" t="s">
        <v>11850</v>
      </c>
      <c r="BJ763" t="s">
        <v>101</v>
      </c>
      <c r="BK763" t="s">
        <v>11851</v>
      </c>
      <c r="BL763" t="s">
        <v>4414</v>
      </c>
      <c r="BM763" t="s">
        <v>1875</v>
      </c>
      <c r="BN763" t="s">
        <v>4063</v>
      </c>
    </row>
    <row r="764" spans="1:66" x14ac:dyDescent="0.25">
      <c r="A764" t="str">
        <f>HYPERLINK("https://elite.finviz.com/quote.ashx?t=NTLA&amp;ty=c&amp;p=d&amp;b=1", "NTLA")</f>
        <v>NTLA</v>
      </c>
      <c r="B764">
        <v>7</v>
      </c>
      <c r="C764">
        <v>138.38</v>
      </c>
      <c r="D764">
        <v>62.19</v>
      </c>
      <c r="E764" t="s">
        <v>11852</v>
      </c>
      <c r="F764" t="s">
        <v>67</v>
      </c>
      <c r="G764" t="s">
        <v>428</v>
      </c>
      <c r="H764" t="s">
        <v>429</v>
      </c>
      <c r="I764" t="s">
        <v>70</v>
      </c>
      <c r="J764" t="s">
        <v>321</v>
      </c>
      <c r="K764">
        <v>1676.22</v>
      </c>
      <c r="L764">
        <v>15.61</v>
      </c>
      <c r="M764" t="s">
        <v>2206</v>
      </c>
      <c r="N764">
        <v>1906804</v>
      </c>
      <c r="R764">
        <v>31.71</v>
      </c>
      <c r="S764">
        <v>2.2999999999999998</v>
      </c>
      <c r="AA764">
        <v>-4.6900000000000004</v>
      </c>
      <c r="AB764" t="s">
        <v>612</v>
      </c>
      <c r="AC764" t="s">
        <v>10504</v>
      </c>
      <c r="AD764" t="s">
        <v>115</v>
      </c>
      <c r="AE764" t="s">
        <v>1342</v>
      </c>
      <c r="AF764" t="s">
        <v>6938</v>
      </c>
      <c r="AG764" t="s">
        <v>7541</v>
      </c>
      <c r="AH764" t="s">
        <v>6481</v>
      </c>
      <c r="AI764" t="s">
        <v>4765</v>
      </c>
      <c r="AJ764" t="s">
        <v>4780</v>
      </c>
      <c r="AK764" t="s">
        <v>8708</v>
      </c>
      <c r="AL764">
        <v>5.19</v>
      </c>
      <c r="AM764">
        <v>5.19</v>
      </c>
      <c r="AN764">
        <v>0.14000000000000001</v>
      </c>
      <c r="AO764" t="s">
        <v>11853</v>
      </c>
      <c r="AP764" t="s">
        <v>11854</v>
      </c>
      <c r="AQ764" t="s">
        <v>11855</v>
      </c>
      <c r="AR764" t="s">
        <v>2559</v>
      </c>
      <c r="AS764" t="s">
        <v>4437</v>
      </c>
      <c r="AT764" t="s">
        <v>11856</v>
      </c>
      <c r="AU764" t="s">
        <v>11857</v>
      </c>
      <c r="AV764" t="s">
        <v>11858</v>
      </c>
      <c r="AW764" t="s">
        <v>4238</v>
      </c>
      <c r="AX764" t="s">
        <v>1697</v>
      </c>
      <c r="AY764" t="s">
        <v>6004</v>
      </c>
      <c r="AZ764" t="s">
        <v>11859</v>
      </c>
      <c r="BA764">
        <v>1.62</v>
      </c>
      <c r="BB764">
        <v>5118.62</v>
      </c>
      <c r="BC764">
        <v>1.31</v>
      </c>
      <c r="BD764">
        <v>16.61</v>
      </c>
      <c r="BE764">
        <v>16.61</v>
      </c>
      <c r="BF764">
        <v>15.45</v>
      </c>
      <c r="BG764" t="s">
        <v>11860</v>
      </c>
      <c r="BH764" t="s">
        <v>11861</v>
      </c>
      <c r="BI764" t="s">
        <v>11859</v>
      </c>
      <c r="BJ764" t="s">
        <v>101</v>
      </c>
      <c r="BK764" t="s">
        <v>11862</v>
      </c>
      <c r="BL764" t="s">
        <v>11863</v>
      </c>
      <c r="BM764" t="s">
        <v>6004</v>
      </c>
      <c r="BN764" t="s">
        <v>4063</v>
      </c>
    </row>
    <row r="765" spans="1:66" x14ac:dyDescent="0.25">
      <c r="A765" t="str">
        <f>HYPERLINK("https://elite.finviz.com/quote.ashx?t=DOC&amp;ty=c&amp;p=d&amp;b=1", "DOC")</f>
        <v>DOC</v>
      </c>
      <c r="B765">
        <v>7</v>
      </c>
      <c r="C765">
        <v>138.38</v>
      </c>
      <c r="D765">
        <v>62.22</v>
      </c>
      <c r="E765" t="s">
        <v>11864</v>
      </c>
      <c r="F765" t="s">
        <v>195</v>
      </c>
      <c r="G765" t="s">
        <v>68</v>
      </c>
      <c r="H765" t="s">
        <v>6072</v>
      </c>
      <c r="I765" t="s">
        <v>70</v>
      </c>
      <c r="J765" t="s">
        <v>71</v>
      </c>
      <c r="K765">
        <v>13296.86</v>
      </c>
      <c r="L765">
        <v>18.73</v>
      </c>
      <c r="M765" t="s">
        <v>5577</v>
      </c>
      <c r="N765">
        <v>1147712</v>
      </c>
      <c r="O765">
        <v>79.8</v>
      </c>
      <c r="P765">
        <v>65.650000000000006</v>
      </c>
      <c r="R765">
        <v>4.76</v>
      </c>
      <c r="S765">
        <v>1.64</v>
      </c>
      <c r="T765" t="s">
        <v>8125</v>
      </c>
      <c r="U765">
        <v>1.1000000000000001</v>
      </c>
      <c r="V765" t="s">
        <v>7552</v>
      </c>
      <c r="W765" t="s">
        <v>164</v>
      </c>
      <c r="X765" t="s">
        <v>164</v>
      </c>
      <c r="Y765" t="s">
        <v>5650</v>
      </c>
      <c r="Z765" t="s">
        <v>11865</v>
      </c>
      <c r="AA765">
        <v>0.23</v>
      </c>
      <c r="AB765" t="s">
        <v>5260</v>
      </c>
      <c r="AC765" t="s">
        <v>11866</v>
      </c>
      <c r="AD765" t="s">
        <v>4705</v>
      </c>
      <c r="AE765" t="s">
        <v>5702</v>
      </c>
      <c r="AF765" t="s">
        <v>11867</v>
      </c>
      <c r="AG765" t="s">
        <v>2211</v>
      </c>
      <c r="AH765" t="s">
        <v>1554</v>
      </c>
      <c r="AI765" t="s">
        <v>11868</v>
      </c>
      <c r="AJ765" t="s">
        <v>5425</v>
      </c>
      <c r="AK765" t="s">
        <v>11869</v>
      </c>
      <c r="AL765">
        <v>440.03</v>
      </c>
      <c r="AM765">
        <v>440.03</v>
      </c>
      <c r="AN765">
        <v>1.18</v>
      </c>
      <c r="AO765" t="s">
        <v>11870</v>
      </c>
      <c r="AP765" t="s">
        <v>6736</v>
      </c>
      <c r="AQ765" t="s">
        <v>2408</v>
      </c>
      <c r="AR765" t="s">
        <v>7338</v>
      </c>
      <c r="AS765" t="s">
        <v>3257</v>
      </c>
      <c r="AT765" t="s">
        <v>2789</v>
      </c>
      <c r="AU765" t="s">
        <v>3758</v>
      </c>
      <c r="AV765" t="s">
        <v>1554</v>
      </c>
      <c r="AW765" t="s">
        <v>6838</v>
      </c>
      <c r="AX765" t="s">
        <v>11871</v>
      </c>
      <c r="AY765" t="s">
        <v>11872</v>
      </c>
      <c r="AZ765" t="s">
        <v>11871</v>
      </c>
      <c r="BA765">
        <v>1.83</v>
      </c>
      <c r="BB765">
        <v>7177.13</v>
      </c>
      <c r="BC765">
        <v>0.56000000000000005</v>
      </c>
      <c r="BD765">
        <v>18.54</v>
      </c>
      <c r="BE765">
        <v>18.89</v>
      </c>
      <c r="BF765">
        <v>18.61</v>
      </c>
      <c r="BG765" t="s">
        <v>11873</v>
      </c>
      <c r="BH765" t="s">
        <v>11874</v>
      </c>
      <c r="BI765" t="s">
        <v>11875</v>
      </c>
      <c r="BJ765" t="s">
        <v>101</v>
      </c>
      <c r="BK765" t="s">
        <v>2678</v>
      </c>
      <c r="BL765" t="s">
        <v>5134</v>
      </c>
      <c r="BM765" t="s">
        <v>4318</v>
      </c>
      <c r="BN765" t="s">
        <v>4063</v>
      </c>
    </row>
    <row r="766" spans="1:66" x14ac:dyDescent="0.25">
      <c r="A766" t="str">
        <f>HYPERLINK("https://elite.finviz.com/quote.ashx?t=WYNN&amp;ty=c&amp;p=d&amp;b=1", "WYNN")</f>
        <v>WYNN</v>
      </c>
      <c r="B766">
        <v>7</v>
      </c>
      <c r="C766">
        <v>138.38</v>
      </c>
      <c r="D766">
        <v>62.23</v>
      </c>
      <c r="E766" t="s">
        <v>11876</v>
      </c>
      <c r="F766" t="s">
        <v>195</v>
      </c>
      <c r="G766" t="s">
        <v>813</v>
      </c>
      <c r="H766" t="s">
        <v>2763</v>
      </c>
      <c r="I766" t="s">
        <v>70</v>
      </c>
      <c r="J766" t="s">
        <v>321</v>
      </c>
      <c r="K766">
        <v>13331.35</v>
      </c>
      <c r="L766">
        <v>128.21</v>
      </c>
      <c r="M766" t="s">
        <v>2609</v>
      </c>
      <c r="N766">
        <v>315335</v>
      </c>
      <c r="O766">
        <v>37.82</v>
      </c>
      <c r="P766">
        <v>22.08</v>
      </c>
      <c r="Q766">
        <v>19.010000000000002</v>
      </c>
      <c r="R766">
        <v>1.91</v>
      </c>
      <c r="T766" t="s">
        <v>458</v>
      </c>
      <c r="U766">
        <v>1</v>
      </c>
      <c r="V766" t="s">
        <v>1440</v>
      </c>
      <c r="W766" t="s">
        <v>10378</v>
      </c>
      <c r="Y766" t="s">
        <v>10564</v>
      </c>
      <c r="Z766" t="s">
        <v>2961</v>
      </c>
      <c r="AA766">
        <v>3.39</v>
      </c>
      <c r="AC766" t="s">
        <v>11877</v>
      </c>
      <c r="AD766" t="s">
        <v>3856</v>
      </c>
      <c r="AE766" t="s">
        <v>214</v>
      </c>
      <c r="AF766" t="s">
        <v>2465</v>
      </c>
      <c r="AG766" t="s">
        <v>3349</v>
      </c>
      <c r="AH766" t="s">
        <v>193</v>
      </c>
      <c r="AI766" t="s">
        <v>5939</v>
      </c>
      <c r="AJ766" t="s">
        <v>2175</v>
      </c>
      <c r="AK766" t="s">
        <v>11878</v>
      </c>
      <c r="AL766">
        <v>1.03</v>
      </c>
      <c r="AM766">
        <v>1</v>
      </c>
      <c r="AO766" t="s">
        <v>11879</v>
      </c>
      <c r="AP766" t="s">
        <v>6721</v>
      </c>
      <c r="AQ766" t="s">
        <v>1475</v>
      </c>
      <c r="AR766" t="s">
        <v>7322</v>
      </c>
      <c r="AS766" t="s">
        <v>2743</v>
      </c>
      <c r="AT766" t="s">
        <v>5425</v>
      </c>
      <c r="AU766" t="s">
        <v>4852</v>
      </c>
      <c r="AV766" t="s">
        <v>11150</v>
      </c>
      <c r="AW766" t="s">
        <v>3559</v>
      </c>
      <c r="AX766" t="s">
        <v>11880</v>
      </c>
      <c r="AY766" t="s">
        <v>3559</v>
      </c>
      <c r="AZ766" t="s">
        <v>11881</v>
      </c>
      <c r="BA766">
        <v>1.52</v>
      </c>
      <c r="BB766">
        <v>1946.3</v>
      </c>
      <c r="BC766">
        <v>0.56999999999999995</v>
      </c>
      <c r="BD766">
        <v>125.84</v>
      </c>
      <c r="BE766">
        <v>129.09</v>
      </c>
      <c r="BF766">
        <v>125.66</v>
      </c>
      <c r="BG766" t="s">
        <v>11882</v>
      </c>
      <c r="BH766" t="s">
        <v>11883</v>
      </c>
      <c r="BI766" t="s">
        <v>11884</v>
      </c>
      <c r="BJ766" t="s">
        <v>101</v>
      </c>
      <c r="BK766" t="s">
        <v>870</v>
      </c>
      <c r="BL766" t="s">
        <v>11885</v>
      </c>
      <c r="BM766" t="s">
        <v>11886</v>
      </c>
      <c r="BN766" t="s">
        <v>4063</v>
      </c>
    </row>
    <row r="767" spans="1:66" x14ac:dyDescent="0.25">
      <c r="A767" t="str">
        <f>HYPERLINK("https://elite.finviz.com/quote.ashx?t=OVV&amp;ty=c&amp;p=d&amp;b=1", "OVV")</f>
        <v>OVV</v>
      </c>
      <c r="B767">
        <v>7</v>
      </c>
      <c r="C767">
        <v>138.38</v>
      </c>
      <c r="D767">
        <v>62.31</v>
      </c>
      <c r="E767" t="s">
        <v>11887</v>
      </c>
      <c r="F767" t="s">
        <v>107</v>
      </c>
      <c r="G767" t="s">
        <v>1048</v>
      </c>
      <c r="H767" t="s">
        <v>1049</v>
      </c>
      <c r="I767" t="s">
        <v>70</v>
      </c>
      <c r="J767" t="s">
        <v>71</v>
      </c>
      <c r="K767">
        <v>11273.65</v>
      </c>
      <c r="L767">
        <v>43.86</v>
      </c>
      <c r="M767" t="s">
        <v>1768</v>
      </c>
      <c r="N767">
        <v>622238</v>
      </c>
      <c r="O767">
        <v>19.41</v>
      </c>
      <c r="P767">
        <v>7.55</v>
      </c>
      <c r="Q767">
        <v>2.7</v>
      </c>
      <c r="R767">
        <v>1.25</v>
      </c>
      <c r="S767">
        <v>1.0900000000000001</v>
      </c>
      <c r="T767" t="s">
        <v>2361</v>
      </c>
      <c r="U767">
        <v>1.2</v>
      </c>
      <c r="V767" t="s">
        <v>3833</v>
      </c>
      <c r="W767" t="s">
        <v>3520</v>
      </c>
      <c r="X767" t="s">
        <v>11888</v>
      </c>
      <c r="Y767" t="s">
        <v>9539</v>
      </c>
      <c r="Z767" t="s">
        <v>11889</v>
      </c>
      <c r="AA767">
        <v>2.2599999999999998</v>
      </c>
      <c r="AB767" t="s">
        <v>2332</v>
      </c>
      <c r="AC767" t="s">
        <v>2986</v>
      </c>
      <c r="AD767" t="s">
        <v>3121</v>
      </c>
      <c r="AE767" t="s">
        <v>1208</v>
      </c>
      <c r="AF767" t="s">
        <v>2845</v>
      </c>
      <c r="AG767" t="s">
        <v>2385</v>
      </c>
      <c r="AH767" t="s">
        <v>3550</v>
      </c>
      <c r="AI767" t="s">
        <v>1438</v>
      </c>
      <c r="AJ767" t="s">
        <v>7346</v>
      </c>
      <c r="AK767" t="s">
        <v>11890</v>
      </c>
      <c r="AL767">
        <v>0.43</v>
      </c>
      <c r="AM767">
        <v>0.43</v>
      </c>
      <c r="AN767">
        <v>0.64</v>
      </c>
      <c r="AO767" t="s">
        <v>3819</v>
      </c>
      <c r="AP767" t="s">
        <v>11563</v>
      </c>
      <c r="AQ767" t="s">
        <v>3429</v>
      </c>
      <c r="AR767" t="s">
        <v>2496</v>
      </c>
      <c r="AS767" t="s">
        <v>2383</v>
      </c>
      <c r="AT767" t="s">
        <v>7699</v>
      </c>
      <c r="AU767" t="s">
        <v>1159</v>
      </c>
      <c r="AV767" t="s">
        <v>127</v>
      </c>
      <c r="AW767" t="s">
        <v>102</v>
      </c>
      <c r="AX767" t="s">
        <v>10806</v>
      </c>
      <c r="AY767" t="s">
        <v>972</v>
      </c>
      <c r="AZ767" t="s">
        <v>11891</v>
      </c>
      <c r="BA767">
        <v>1.63</v>
      </c>
      <c r="BB767">
        <v>3125.18</v>
      </c>
      <c r="BC767">
        <v>0.7</v>
      </c>
      <c r="BD767">
        <v>42.71</v>
      </c>
      <c r="BE767">
        <v>44.07</v>
      </c>
      <c r="BF767">
        <v>42.74</v>
      </c>
      <c r="BG767" t="s">
        <v>11892</v>
      </c>
      <c r="BH767" t="s">
        <v>11893</v>
      </c>
      <c r="BI767" t="s">
        <v>11894</v>
      </c>
      <c r="BJ767" t="s">
        <v>101</v>
      </c>
      <c r="BK767" t="s">
        <v>3420</v>
      </c>
      <c r="BL767" t="s">
        <v>3350</v>
      </c>
      <c r="BM767" t="s">
        <v>4114</v>
      </c>
      <c r="BN767" t="s">
        <v>4063</v>
      </c>
    </row>
    <row r="768" spans="1:66" x14ac:dyDescent="0.25">
      <c r="A768" t="str">
        <f>HYPERLINK("https://elite.finviz.com/quote.ashx?t=SGMO&amp;ty=c&amp;p=d&amp;b=1", "SGMO")</f>
        <v>SGMO</v>
      </c>
      <c r="B768">
        <v>7</v>
      </c>
      <c r="C768">
        <v>138.38</v>
      </c>
      <c r="D768">
        <v>62.39</v>
      </c>
      <c r="E768" t="s">
        <v>11895</v>
      </c>
      <c r="F768" t="s">
        <v>107</v>
      </c>
      <c r="G768" t="s">
        <v>428</v>
      </c>
      <c r="H768" t="s">
        <v>429</v>
      </c>
      <c r="I768" t="s">
        <v>70</v>
      </c>
      <c r="J768" t="s">
        <v>321</v>
      </c>
      <c r="K768">
        <v>184.92</v>
      </c>
      <c r="L768">
        <v>0.61</v>
      </c>
      <c r="M768" t="s">
        <v>11896</v>
      </c>
      <c r="N768">
        <v>2216108</v>
      </c>
      <c r="R768">
        <v>2.2599999999999998</v>
      </c>
      <c r="S768">
        <v>8.5299999999999994</v>
      </c>
      <c r="AA768">
        <v>-0.28000000000000003</v>
      </c>
      <c r="AB768" t="s">
        <v>11897</v>
      </c>
      <c r="AC768" t="s">
        <v>326</v>
      </c>
      <c r="AD768" t="s">
        <v>11898</v>
      </c>
      <c r="AE768" t="s">
        <v>11899</v>
      </c>
      <c r="AF768" t="s">
        <v>7793</v>
      </c>
      <c r="AG768" t="s">
        <v>10240</v>
      </c>
      <c r="AH768" t="s">
        <v>11900</v>
      </c>
      <c r="AI768" t="s">
        <v>11901</v>
      </c>
      <c r="AJ768" t="s">
        <v>164</v>
      </c>
      <c r="AK768" t="s">
        <v>2866</v>
      </c>
      <c r="AL768">
        <v>1.05</v>
      </c>
      <c r="AM768">
        <v>1.05</v>
      </c>
      <c r="AN768">
        <v>1.2</v>
      </c>
      <c r="AO768" t="s">
        <v>11902</v>
      </c>
      <c r="AP768" t="s">
        <v>11903</v>
      </c>
      <c r="AQ768" t="s">
        <v>11281</v>
      </c>
      <c r="AR768" t="s">
        <v>2438</v>
      </c>
      <c r="AS768" t="s">
        <v>8808</v>
      </c>
      <c r="AT768" t="s">
        <v>5390</v>
      </c>
      <c r="AU768" t="s">
        <v>2111</v>
      </c>
      <c r="AV768" t="s">
        <v>6544</v>
      </c>
      <c r="AW768" t="s">
        <v>11904</v>
      </c>
      <c r="AX768" t="s">
        <v>9061</v>
      </c>
      <c r="AY768" t="s">
        <v>11905</v>
      </c>
      <c r="AZ768" t="s">
        <v>7812</v>
      </c>
      <c r="BA768">
        <v>1.83</v>
      </c>
      <c r="BB768">
        <v>5529.94</v>
      </c>
      <c r="BC768">
        <v>1.41</v>
      </c>
      <c r="BD768">
        <v>0.63</v>
      </c>
      <c r="BE768">
        <v>0.66</v>
      </c>
      <c r="BF768">
        <v>0.61</v>
      </c>
      <c r="BG768" t="s">
        <v>11906</v>
      </c>
      <c r="BH768" t="s">
        <v>11907</v>
      </c>
      <c r="BI768" t="s">
        <v>11908</v>
      </c>
      <c r="BJ768" t="s">
        <v>101</v>
      </c>
      <c r="BK768" t="s">
        <v>3231</v>
      </c>
      <c r="BL768" t="s">
        <v>11909</v>
      </c>
      <c r="BM768" t="s">
        <v>11910</v>
      </c>
      <c r="BN768" t="s">
        <v>4063</v>
      </c>
    </row>
    <row r="769" spans="1:66" x14ac:dyDescent="0.25">
      <c r="A769" t="str">
        <f>HYPERLINK("https://elite.finviz.com/quote.ashx?t=ELAN&amp;ty=c&amp;p=d&amp;b=1", "ELAN")</f>
        <v>ELAN</v>
      </c>
      <c r="B769">
        <v>7</v>
      </c>
      <c r="C769">
        <v>138.38</v>
      </c>
      <c r="D769">
        <v>62.41</v>
      </c>
      <c r="E769" t="s">
        <v>11911</v>
      </c>
      <c r="F769" t="s">
        <v>107</v>
      </c>
      <c r="G769" t="s">
        <v>428</v>
      </c>
      <c r="H769" t="s">
        <v>1296</v>
      </c>
      <c r="I769" t="s">
        <v>70</v>
      </c>
      <c r="J769" t="s">
        <v>71</v>
      </c>
      <c r="K769">
        <v>9543.7999999999993</v>
      </c>
      <c r="L769">
        <v>19.21</v>
      </c>
      <c r="M769" t="s">
        <v>6056</v>
      </c>
      <c r="N769">
        <v>522761</v>
      </c>
      <c r="O769">
        <v>22.01</v>
      </c>
      <c r="P769">
        <v>19.41</v>
      </c>
      <c r="Q769">
        <v>2.98</v>
      </c>
      <c r="R769">
        <v>2.13</v>
      </c>
      <c r="S769">
        <v>1.41</v>
      </c>
      <c r="Z769" t="s">
        <v>164</v>
      </c>
      <c r="AA769">
        <v>0.87</v>
      </c>
      <c r="AC769" t="s">
        <v>9048</v>
      </c>
      <c r="AD769" t="s">
        <v>5739</v>
      </c>
      <c r="AE769" t="s">
        <v>2906</v>
      </c>
      <c r="AF769" t="s">
        <v>4688</v>
      </c>
      <c r="AG769" t="s">
        <v>1771</v>
      </c>
      <c r="AH769" t="s">
        <v>121</v>
      </c>
      <c r="AI769" t="s">
        <v>11912</v>
      </c>
      <c r="AJ769" t="s">
        <v>164</v>
      </c>
      <c r="AK769" t="s">
        <v>11913</v>
      </c>
      <c r="AL769">
        <v>2.6</v>
      </c>
      <c r="AM769">
        <v>1.4</v>
      </c>
      <c r="AN769">
        <v>0.62</v>
      </c>
      <c r="AO769" t="s">
        <v>7932</v>
      </c>
      <c r="AP769" t="s">
        <v>3874</v>
      </c>
      <c r="AQ769" t="s">
        <v>2438</v>
      </c>
      <c r="AR769" t="s">
        <v>7437</v>
      </c>
      <c r="AS769" t="s">
        <v>2735</v>
      </c>
      <c r="AT769" t="s">
        <v>4394</v>
      </c>
      <c r="AU769" t="s">
        <v>10393</v>
      </c>
      <c r="AV769" t="s">
        <v>11914</v>
      </c>
      <c r="AW769" t="s">
        <v>4086</v>
      </c>
      <c r="AX769" t="s">
        <v>9314</v>
      </c>
      <c r="AY769" t="s">
        <v>4086</v>
      </c>
      <c r="AZ769" t="s">
        <v>11915</v>
      </c>
      <c r="BA769">
        <v>1.8</v>
      </c>
      <c r="BB769">
        <v>6996.39</v>
      </c>
      <c r="BC769">
        <v>0.26</v>
      </c>
      <c r="BD769">
        <v>18.920000000000002</v>
      </c>
      <c r="BE769">
        <v>19.239999999999998</v>
      </c>
      <c r="BF769">
        <v>18.93</v>
      </c>
      <c r="BG769" t="s">
        <v>11916</v>
      </c>
      <c r="BH769" t="s">
        <v>11917</v>
      </c>
      <c r="BI769" t="s">
        <v>11918</v>
      </c>
      <c r="BJ769" t="s">
        <v>101</v>
      </c>
      <c r="BK769" t="s">
        <v>11919</v>
      </c>
      <c r="BL769" t="s">
        <v>6089</v>
      </c>
      <c r="BM769" t="s">
        <v>11524</v>
      </c>
      <c r="BN769" t="s">
        <v>4063</v>
      </c>
    </row>
    <row r="770" spans="1:66" x14ac:dyDescent="0.25">
      <c r="A770" t="str">
        <f>HYPERLINK("https://elite.finviz.com/quote.ashx?t=CXW&amp;ty=c&amp;p=d&amp;b=1", "CXW")</f>
        <v>CXW</v>
      </c>
      <c r="B770">
        <v>7</v>
      </c>
      <c r="C770">
        <v>138.38</v>
      </c>
      <c r="D770">
        <v>62.48</v>
      </c>
      <c r="E770" t="s">
        <v>11920</v>
      </c>
      <c r="F770" t="s">
        <v>67</v>
      </c>
      <c r="G770" t="s">
        <v>260</v>
      </c>
      <c r="H770" t="s">
        <v>4162</v>
      </c>
      <c r="I770" t="s">
        <v>70</v>
      </c>
      <c r="J770" t="s">
        <v>71</v>
      </c>
      <c r="K770">
        <v>2317.85</v>
      </c>
      <c r="L770">
        <v>21.65</v>
      </c>
      <c r="M770" t="s">
        <v>80</v>
      </c>
      <c r="N770">
        <v>78473</v>
      </c>
      <c r="O770">
        <v>22.82</v>
      </c>
      <c r="P770">
        <v>14.58</v>
      </c>
      <c r="R770">
        <v>1.1599999999999999</v>
      </c>
      <c r="S770">
        <v>1.57</v>
      </c>
      <c r="V770" t="s">
        <v>11921</v>
      </c>
      <c r="Z770" t="s">
        <v>164</v>
      </c>
      <c r="AA770">
        <v>0.95</v>
      </c>
      <c r="AC770" t="s">
        <v>11922</v>
      </c>
      <c r="AE770" t="s">
        <v>2186</v>
      </c>
      <c r="AF770" t="s">
        <v>2195</v>
      </c>
      <c r="AG770" t="s">
        <v>1648</v>
      </c>
      <c r="AH770" t="s">
        <v>9342</v>
      </c>
      <c r="AI770" t="s">
        <v>6396</v>
      </c>
      <c r="AJ770" t="s">
        <v>4259</v>
      </c>
      <c r="AK770" t="s">
        <v>11923</v>
      </c>
      <c r="AL770">
        <v>1.6</v>
      </c>
      <c r="AM770">
        <v>1.6</v>
      </c>
      <c r="AN770">
        <v>0.69</v>
      </c>
      <c r="AO770" t="s">
        <v>339</v>
      </c>
      <c r="AP770" t="s">
        <v>7698</v>
      </c>
      <c r="AQ770" t="s">
        <v>2542</v>
      </c>
      <c r="AR770" t="s">
        <v>92</v>
      </c>
      <c r="AS770" t="s">
        <v>2789</v>
      </c>
      <c r="AT770" t="s">
        <v>4269</v>
      </c>
      <c r="AU770" t="s">
        <v>7210</v>
      </c>
      <c r="AV770" t="s">
        <v>1100</v>
      </c>
      <c r="AW770" t="s">
        <v>2899</v>
      </c>
      <c r="AX770" t="s">
        <v>11924</v>
      </c>
      <c r="AY770" t="s">
        <v>11925</v>
      </c>
      <c r="AZ770" t="s">
        <v>11926</v>
      </c>
      <c r="BA770">
        <v>1</v>
      </c>
      <c r="BB770">
        <v>1023.44</v>
      </c>
      <c r="BC770">
        <v>0.27</v>
      </c>
      <c r="BD770">
        <v>21.38</v>
      </c>
      <c r="BE770">
        <v>21.76</v>
      </c>
      <c r="BF770">
        <v>21.43</v>
      </c>
      <c r="BG770" t="s">
        <v>11927</v>
      </c>
      <c r="BH770" t="s">
        <v>11928</v>
      </c>
      <c r="BI770" t="s">
        <v>11929</v>
      </c>
      <c r="BJ770" t="s">
        <v>101</v>
      </c>
      <c r="BK770" t="s">
        <v>3519</v>
      </c>
      <c r="BL770" t="s">
        <v>3450</v>
      </c>
      <c r="BM770" t="s">
        <v>1292</v>
      </c>
      <c r="BN770" t="s">
        <v>4063</v>
      </c>
    </row>
    <row r="771" spans="1:66" x14ac:dyDescent="0.25">
      <c r="A771" t="str">
        <f>HYPERLINK("https://elite.finviz.com/quote.ashx?t=SCS&amp;ty=c&amp;p=d&amp;b=1", "SCS")</f>
        <v>SCS</v>
      </c>
      <c r="B771">
        <v>7</v>
      </c>
      <c r="C771">
        <v>138.38</v>
      </c>
      <c r="D771">
        <v>62.5</v>
      </c>
      <c r="E771" t="s">
        <v>11930</v>
      </c>
      <c r="F771" t="s">
        <v>67</v>
      </c>
      <c r="G771" t="s">
        <v>813</v>
      </c>
      <c r="H771" t="s">
        <v>3866</v>
      </c>
      <c r="I771" t="s">
        <v>70</v>
      </c>
      <c r="J771" t="s">
        <v>71</v>
      </c>
      <c r="K771">
        <v>1942.75</v>
      </c>
      <c r="L771">
        <v>16.940000000000001</v>
      </c>
      <c r="M771" t="s">
        <v>2554</v>
      </c>
      <c r="N771">
        <v>770631</v>
      </c>
      <c r="O771">
        <v>21.36</v>
      </c>
      <c r="P771">
        <v>13.39</v>
      </c>
      <c r="R771">
        <v>0.6</v>
      </c>
      <c r="S771">
        <v>1.98</v>
      </c>
      <c r="T771" t="s">
        <v>352</v>
      </c>
      <c r="U771">
        <v>0.4</v>
      </c>
      <c r="V771" t="s">
        <v>11435</v>
      </c>
      <c r="W771" t="s">
        <v>164</v>
      </c>
      <c r="X771" t="s">
        <v>1245</v>
      </c>
      <c r="Y771" t="s">
        <v>4226</v>
      </c>
      <c r="Z771" t="s">
        <v>359</v>
      </c>
      <c r="AA771">
        <v>0.79</v>
      </c>
      <c r="AB771" t="s">
        <v>11931</v>
      </c>
      <c r="AC771" t="s">
        <v>11932</v>
      </c>
      <c r="AE771" t="s">
        <v>4395</v>
      </c>
      <c r="AF771" t="s">
        <v>6459</v>
      </c>
      <c r="AG771" t="s">
        <v>3554</v>
      </c>
      <c r="AH771" t="s">
        <v>3545</v>
      </c>
      <c r="AI771" t="s">
        <v>5437</v>
      </c>
      <c r="AJ771" t="s">
        <v>770</v>
      </c>
      <c r="AK771" t="s">
        <v>11933</v>
      </c>
      <c r="AL771">
        <v>1.66</v>
      </c>
      <c r="AM771">
        <v>1.18</v>
      </c>
      <c r="AN771">
        <v>0.61</v>
      </c>
      <c r="AO771" t="s">
        <v>11934</v>
      </c>
      <c r="AP771" t="s">
        <v>2235</v>
      </c>
      <c r="AQ771" t="s">
        <v>862</v>
      </c>
      <c r="AR771" t="s">
        <v>3349</v>
      </c>
      <c r="AS771" t="s">
        <v>3550</v>
      </c>
      <c r="AT771" t="s">
        <v>2290</v>
      </c>
      <c r="AU771" t="s">
        <v>3920</v>
      </c>
      <c r="AV771" t="s">
        <v>11408</v>
      </c>
      <c r="AW771" t="s">
        <v>6533</v>
      </c>
      <c r="AX771" t="s">
        <v>11935</v>
      </c>
      <c r="AY771" t="s">
        <v>6533</v>
      </c>
      <c r="AZ771" t="s">
        <v>11936</v>
      </c>
      <c r="BA771">
        <v>2</v>
      </c>
      <c r="BB771">
        <v>2081.61</v>
      </c>
      <c r="BC771">
        <v>1.3</v>
      </c>
      <c r="BD771">
        <v>16.7</v>
      </c>
      <c r="BE771">
        <v>17.010000000000002</v>
      </c>
      <c r="BF771">
        <v>16.77</v>
      </c>
      <c r="BG771" t="s">
        <v>11937</v>
      </c>
      <c r="BH771" t="s">
        <v>11938</v>
      </c>
      <c r="BI771" t="s">
        <v>11939</v>
      </c>
      <c r="BJ771" t="s">
        <v>101</v>
      </c>
      <c r="BK771" t="s">
        <v>11940</v>
      </c>
      <c r="BL771" t="s">
        <v>11941</v>
      </c>
      <c r="BM771" t="s">
        <v>5669</v>
      </c>
      <c r="BN771" t="s">
        <v>4063</v>
      </c>
    </row>
    <row r="772" spans="1:66" x14ac:dyDescent="0.25">
      <c r="A772" t="str">
        <f>HYPERLINK("https://elite.finviz.com/quote.ashx?t=TRGP&amp;ty=c&amp;p=d&amp;b=1", "TRGP")</f>
        <v>TRGP</v>
      </c>
      <c r="B772">
        <v>7</v>
      </c>
      <c r="C772">
        <v>138.38</v>
      </c>
      <c r="D772">
        <v>62.5</v>
      </c>
      <c r="E772" t="s">
        <v>11942</v>
      </c>
      <c r="F772" t="s">
        <v>195</v>
      </c>
      <c r="G772" t="s">
        <v>1048</v>
      </c>
      <c r="H772" t="s">
        <v>3915</v>
      </c>
      <c r="I772" t="s">
        <v>70</v>
      </c>
      <c r="J772" t="s">
        <v>71</v>
      </c>
      <c r="K772">
        <v>37477.83</v>
      </c>
      <c r="L772">
        <v>174.16</v>
      </c>
      <c r="M772" t="s">
        <v>2554</v>
      </c>
      <c r="N772">
        <v>162573</v>
      </c>
      <c r="O772">
        <v>24.94</v>
      </c>
      <c r="P772">
        <v>17.86</v>
      </c>
      <c r="Q772">
        <v>0.97</v>
      </c>
      <c r="R772">
        <v>2.17</v>
      </c>
      <c r="S772">
        <v>14.5</v>
      </c>
      <c r="T772" t="s">
        <v>1438</v>
      </c>
      <c r="U772">
        <v>3.5</v>
      </c>
      <c r="V772" t="s">
        <v>5604</v>
      </c>
      <c r="W772" t="s">
        <v>11943</v>
      </c>
      <c r="X772" t="s">
        <v>11944</v>
      </c>
      <c r="Y772" t="s">
        <v>9738</v>
      </c>
      <c r="Z772" t="s">
        <v>6941</v>
      </c>
      <c r="AA772">
        <v>6.98</v>
      </c>
      <c r="AD772" t="s">
        <v>6672</v>
      </c>
      <c r="AE772" t="s">
        <v>4907</v>
      </c>
      <c r="AF772" t="s">
        <v>6265</v>
      </c>
      <c r="AG772" t="s">
        <v>7079</v>
      </c>
      <c r="AH772" t="s">
        <v>483</v>
      </c>
      <c r="AI772" t="s">
        <v>11945</v>
      </c>
      <c r="AJ772" t="s">
        <v>1864</v>
      </c>
      <c r="AK772" t="s">
        <v>1899</v>
      </c>
      <c r="AL772">
        <v>0.69</v>
      </c>
      <c r="AM772">
        <v>0.56000000000000005</v>
      </c>
      <c r="AN772">
        <v>6.51</v>
      </c>
      <c r="AO772" t="s">
        <v>3073</v>
      </c>
      <c r="AP772" t="s">
        <v>4283</v>
      </c>
      <c r="AQ772" t="s">
        <v>1822</v>
      </c>
      <c r="AR772" t="s">
        <v>203</v>
      </c>
      <c r="AS772" t="s">
        <v>4976</v>
      </c>
      <c r="AT772" t="s">
        <v>161</v>
      </c>
      <c r="AU772" t="s">
        <v>1452</v>
      </c>
      <c r="AV772" t="s">
        <v>5824</v>
      </c>
      <c r="AW772" t="s">
        <v>2215</v>
      </c>
      <c r="AX772" t="s">
        <v>1585</v>
      </c>
      <c r="AY772" t="s">
        <v>11946</v>
      </c>
      <c r="AZ772" t="s">
        <v>5192</v>
      </c>
      <c r="BA772">
        <v>1.29</v>
      </c>
      <c r="BB772">
        <v>1470.49</v>
      </c>
      <c r="BC772">
        <v>0.39</v>
      </c>
      <c r="BD772">
        <v>171.74</v>
      </c>
      <c r="BE772">
        <v>175.74</v>
      </c>
      <c r="BF772">
        <v>172.55</v>
      </c>
      <c r="BG772" t="s">
        <v>11947</v>
      </c>
      <c r="BH772" t="s">
        <v>11946</v>
      </c>
      <c r="BI772" t="s">
        <v>11948</v>
      </c>
      <c r="BJ772" t="s">
        <v>101</v>
      </c>
      <c r="BK772" t="s">
        <v>1842</v>
      </c>
      <c r="BL772" t="s">
        <v>11949</v>
      </c>
      <c r="BM772" t="s">
        <v>9718</v>
      </c>
      <c r="BN772" t="s">
        <v>4063</v>
      </c>
    </row>
    <row r="773" spans="1:66" x14ac:dyDescent="0.25">
      <c r="A773" t="str">
        <f>HYPERLINK("https://elite.finviz.com/quote.ashx?t=PSNL&amp;ty=c&amp;p=d&amp;b=1", "PSNL")</f>
        <v>PSNL</v>
      </c>
      <c r="B773">
        <v>7</v>
      </c>
      <c r="C773">
        <v>138.38</v>
      </c>
      <c r="D773">
        <v>62.55</v>
      </c>
      <c r="E773" t="s">
        <v>11950</v>
      </c>
      <c r="F773" t="s">
        <v>67</v>
      </c>
      <c r="G773" t="s">
        <v>428</v>
      </c>
      <c r="H773" t="s">
        <v>4202</v>
      </c>
      <c r="I773" t="s">
        <v>70</v>
      </c>
      <c r="J773" t="s">
        <v>321</v>
      </c>
      <c r="K773">
        <v>539.6</v>
      </c>
      <c r="L773">
        <v>6.09</v>
      </c>
      <c r="M773" t="s">
        <v>5084</v>
      </c>
      <c r="N773">
        <v>147594</v>
      </c>
      <c r="R773">
        <v>6.72</v>
      </c>
      <c r="S773">
        <v>2.83</v>
      </c>
      <c r="AA773">
        <v>-1.27</v>
      </c>
      <c r="AB773" t="s">
        <v>2643</v>
      </c>
      <c r="AC773" t="s">
        <v>5247</v>
      </c>
      <c r="AD773" t="s">
        <v>2121</v>
      </c>
      <c r="AE773" t="s">
        <v>2642</v>
      </c>
      <c r="AF773" t="s">
        <v>9925</v>
      </c>
      <c r="AG773" t="s">
        <v>3957</v>
      </c>
      <c r="AH773" t="s">
        <v>11951</v>
      </c>
      <c r="AI773" t="s">
        <v>2841</v>
      </c>
      <c r="AJ773" t="s">
        <v>1249</v>
      </c>
      <c r="AK773" t="s">
        <v>11952</v>
      </c>
      <c r="AL773">
        <v>6.07</v>
      </c>
      <c r="AM773">
        <v>5.92</v>
      </c>
      <c r="AN773">
        <v>0.23</v>
      </c>
      <c r="AO773" t="s">
        <v>11953</v>
      </c>
      <c r="AP773" t="s">
        <v>11954</v>
      </c>
      <c r="AQ773" t="s">
        <v>11955</v>
      </c>
      <c r="AR773" t="s">
        <v>454</v>
      </c>
      <c r="AS773" t="s">
        <v>204</v>
      </c>
      <c r="AT773" t="s">
        <v>3687</v>
      </c>
      <c r="AU773" t="s">
        <v>920</v>
      </c>
      <c r="AV773" t="s">
        <v>3457</v>
      </c>
      <c r="AW773" t="s">
        <v>11904</v>
      </c>
      <c r="AX773" t="s">
        <v>11956</v>
      </c>
      <c r="AY773" t="s">
        <v>5613</v>
      </c>
      <c r="AZ773" t="s">
        <v>11957</v>
      </c>
      <c r="BA773">
        <v>1.25</v>
      </c>
      <c r="BB773">
        <v>1197.46</v>
      </c>
      <c r="BC773">
        <v>0.43</v>
      </c>
      <c r="BD773">
        <v>5.98</v>
      </c>
      <c r="BE773">
        <v>6.16</v>
      </c>
      <c r="BF773">
        <v>5.9</v>
      </c>
      <c r="BG773" t="s">
        <v>11958</v>
      </c>
      <c r="BH773" t="s">
        <v>7770</v>
      </c>
      <c r="BI773" t="s">
        <v>11959</v>
      </c>
      <c r="BJ773" t="s">
        <v>101</v>
      </c>
      <c r="BK773" t="s">
        <v>5138</v>
      </c>
      <c r="BL773" t="s">
        <v>5520</v>
      </c>
      <c r="BM773" t="s">
        <v>11960</v>
      </c>
      <c r="BN773" t="s">
        <v>4063</v>
      </c>
    </row>
    <row r="774" spans="1:66" x14ac:dyDescent="0.25">
      <c r="A774" t="str">
        <f>HYPERLINK("https://elite.finviz.com/quote.ashx?t=GME&amp;ty=c&amp;p=d&amp;b=1", "GME")</f>
        <v>GME</v>
      </c>
      <c r="B774">
        <v>7</v>
      </c>
      <c r="C774">
        <v>138.38</v>
      </c>
      <c r="D774">
        <v>62.68</v>
      </c>
      <c r="E774" t="s">
        <v>11961</v>
      </c>
      <c r="F774" t="s">
        <v>107</v>
      </c>
      <c r="G774" t="s">
        <v>813</v>
      </c>
      <c r="H774" t="s">
        <v>2262</v>
      </c>
      <c r="I774" t="s">
        <v>70</v>
      </c>
      <c r="J774" t="s">
        <v>71</v>
      </c>
      <c r="K774">
        <v>11809.44</v>
      </c>
      <c r="L774">
        <v>26.38</v>
      </c>
      <c r="M774" t="s">
        <v>5026</v>
      </c>
      <c r="N774">
        <v>3636494</v>
      </c>
      <c r="O774">
        <v>36.06</v>
      </c>
      <c r="P774">
        <v>32.57</v>
      </c>
      <c r="R774">
        <v>3.07</v>
      </c>
      <c r="S774">
        <v>2.2799999999999998</v>
      </c>
      <c r="V774" t="s">
        <v>11962</v>
      </c>
      <c r="Z774" t="s">
        <v>164</v>
      </c>
      <c r="AA774">
        <v>0.73</v>
      </c>
      <c r="AE774" t="s">
        <v>5980</v>
      </c>
      <c r="AF774" t="s">
        <v>3109</v>
      </c>
      <c r="AG774" t="s">
        <v>7408</v>
      </c>
      <c r="AH774" t="s">
        <v>11963</v>
      </c>
      <c r="AI774" t="s">
        <v>7626</v>
      </c>
      <c r="AJ774" t="s">
        <v>1559</v>
      </c>
      <c r="AK774" t="s">
        <v>11964</v>
      </c>
      <c r="AL774">
        <v>11.37</v>
      </c>
      <c r="AM774">
        <v>10.79</v>
      </c>
      <c r="AN774">
        <v>0.85</v>
      </c>
      <c r="AO774" t="s">
        <v>6360</v>
      </c>
      <c r="AP774" t="s">
        <v>1100</v>
      </c>
      <c r="AQ774" t="s">
        <v>3147</v>
      </c>
      <c r="AR774" t="s">
        <v>4093</v>
      </c>
      <c r="AS774" t="s">
        <v>203</v>
      </c>
      <c r="AT774" t="s">
        <v>3777</v>
      </c>
      <c r="AU774" t="s">
        <v>330</v>
      </c>
      <c r="AV774" t="s">
        <v>2202</v>
      </c>
      <c r="AW774" t="s">
        <v>3905</v>
      </c>
      <c r="AX774" t="s">
        <v>11965</v>
      </c>
      <c r="AY774" t="s">
        <v>11966</v>
      </c>
      <c r="AZ774" t="s">
        <v>9048</v>
      </c>
      <c r="BA774">
        <v>4</v>
      </c>
      <c r="BB774">
        <v>8643.82</v>
      </c>
      <c r="BC774">
        <v>1.48</v>
      </c>
      <c r="BD774">
        <v>25.27</v>
      </c>
      <c r="BE774">
        <v>26.8</v>
      </c>
      <c r="BF774">
        <v>25.44</v>
      </c>
      <c r="BG774" t="s">
        <v>11967</v>
      </c>
      <c r="BH774" t="s">
        <v>11968</v>
      </c>
      <c r="BI774" t="s">
        <v>11969</v>
      </c>
      <c r="BJ774" t="s">
        <v>101</v>
      </c>
      <c r="BK774" t="s">
        <v>6466</v>
      </c>
      <c r="BL774" t="s">
        <v>4515</v>
      </c>
      <c r="BM774" t="s">
        <v>1038</v>
      </c>
      <c r="BN774" t="s">
        <v>4063</v>
      </c>
    </row>
    <row r="775" spans="1:66" x14ac:dyDescent="0.25">
      <c r="A775" t="str">
        <f>HYPERLINK("https://elite.finviz.com/quote.ashx?t=OPFI&amp;ty=c&amp;p=d&amp;b=1", "OPFI")</f>
        <v>OPFI</v>
      </c>
      <c r="B775">
        <v>7</v>
      </c>
      <c r="C775">
        <v>138.38</v>
      </c>
      <c r="D775">
        <v>62.7</v>
      </c>
      <c r="E775" t="s">
        <v>11970</v>
      </c>
      <c r="F775" t="s">
        <v>67</v>
      </c>
      <c r="G775" t="s">
        <v>550</v>
      </c>
      <c r="H775" t="s">
        <v>3744</v>
      </c>
      <c r="I775" t="s">
        <v>70</v>
      </c>
      <c r="J775" t="s">
        <v>71</v>
      </c>
      <c r="K775">
        <v>1054.49</v>
      </c>
      <c r="L775">
        <v>12.08</v>
      </c>
      <c r="M775" t="s">
        <v>3831</v>
      </c>
      <c r="N775">
        <v>369526</v>
      </c>
      <c r="P775">
        <v>7.61</v>
      </c>
      <c r="R775">
        <v>1.9</v>
      </c>
      <c r="S775">
        <v>78.77</v>
      </c>
      <c r="V775" t="s">
        <v>11971</v>
      </c>
      <c r="Z775" t="s">
        <v>164</v>
      </c>
      <c r="AA775">
        <v>-1.33</v>
      </c>
      <c r="AB775" t="s">
        <v>11972</v>
      </c>
      <c r="AC775" t="s">
        <v>6939</v>
      </c>
      <c r="AD775" t="s">
        <v>5926</v>
      </c>
      <c r="AE775" t="s">
        <v>506</v>
      </c>
      <c r="AF775" t="s">
        <v>3756</v>
      </c>
      <c r="AG775" t="s">
        <v>5701</v>
      </c>
      <c r="AH775" t="s">
        <v>915</v>
      </c>
      <c r="AI775" t="s">
        <v>11973</v>
      </c>
      <c r="AJ775" t="s">
        <v>4528</v>
      </c>
      <c r="AK775" t="s">
        <v>1383</v>
      </c>
      <c r="AL775">
        <v>7.62</v>
      </c>
      <c r="AM775">
        <v>7.62</v>
      </c>
      <c r="AN775">
        <v>24.13</v>
      </c>
      <c r="AO775" t="s">
        <v>11974</v>
      </c>
      <c r="AP775" t="s">
        <v>7869</v>
      </c>
      <c r="AQ775" t="s">
        <v>2951</v>
      </c>
      <c r="AR775" t="s">
        <v>4476</v>
      </c>
      <c r="AS775" t="s">
        <v>5907</v>
      </c>
      <c r="AT775" t="s">
        <v>1775</v>
      </c>
      <c r="AU775" t="s">
        <v>662</v>
      </c>
      <c r="AV775" t="s">
        <v>435</v>
      </c>
      <c r="AW775" t="s">
        <v>6074</v>
      </c>
      <c r="AX775" t="s">
        <v>11975</v>
      </c>
      <c r="AY775" t="s">
        <v>11976</v>
      </c>
      <c r="AZ775" t="s">
        <v>202</v>
      </c>
      <c r="BA775">
        <v>1.67</v>
      </c>
      <c r="BB775">
        <v>1115.6199999999999</v>
      </c>
      <c r="BC775">
        <v>1.17</v>
      </c>
      <c r="BD775">
        <v>12.24</v>
      </c>
      <c r="BE775">
        <v>12.4</v>
      </c>
      <c r="BF775">
        <v>12.06</v>
      </c>
      <c r="BG775" t="s">
        <v>11977</v>
      </c>
      <c r="BH775" t="s">
        <v>11976</v>
      </c>
      <c r="BI775" t="s">
        <v>11978</v>
      </c>
      <c r="BJ775" t="s">
        <v>101</v>
      </c>
      <c r="BK775" t="s">
        <v>11979</v>
      </c>
      <c r="BL775" t="s">
        <v>11879</v>
      </c>
      <c r="BM775" t="s">
        <v>11980</v>
      </c>
      <c r="BN775" t="s">
        <v>4063</v>
      </c>
    </row>
    <row r="776" spans="1:66" x14ac:dyDescent="0.25">
      <c r="A776" t="str">
        <f>HYPERLINK("https://elite.finviz.com/quote.ashx?t=NOG&amp;ty=c&amp;p=d&amp;b=1", "NOG")</f>
        <v>NOG</v>
      </c>
      <c r="B776">
        <v>7</v>
      </c>
      <c r="C776">
        <v>138.38</v>
      </c>
      <c r="D776">
        <v>62.73</v>
      </c>
      <c r="E776" t="s">
        <v>11981</v>
      </c>
      <c r="F776" t="s">
        <v>67</v>
      </c>
      <c r="G776" t="s">
        <v>1048</v>
      </c>
      <c r="H776" t="s">
        <v>1049</v>
      </c>
      <c r="I776" t="s">
        <v>70</v>
      </c>
      <c r="J776" t="s">
        <v>71</v>
      </c>
      <c r="K776">
        <v>2708.74</v>
      </c>
      <c r="L776">
        <v>27.75</v>
      </c>
      <c r="M776" t="s">
        <v>2735</v>
      </c>
      <c r="N776">
        <v>330213</v>
      </c>
      <c r="O776">
        <v>4.58</v>
      </c>
      <c r="P776">
        <v>8.49</v>
      </c>
      <c r="R776">
        <v>1.22</v>
      </c>
      <c r="S776">
        <v>1.1200000000000001</v>
      </c>
      <c r="T776" t="s">
        <v>3115</v>
      </c>
      <c r="U776">
        <v>1.74</v>
      </c>
      <c r="V776" t="s">
        <v>2598</v>
      </c>
      <c r="W776" t="s">
        <v>8441</v>
      </c>
      <c r="X776" t="s">
        <v>11982</v>
      </c>
      <c r="Z776" t="s">
        <v>11983</v>
      </c>
      <c r="AA776">
        <v>6.06</v>
      </c>
      <c r="AD776" t="s">
        <v>6088</v>
      </c>
      <c r="AE776" t="s">
        <v>304</v>
      </c>
      <c r="AF776" t="s">
        <v>4724</v>
      </c>
      <c r="AG776" t="s">
        <v>7514</v>
      </c>
      <c r="AH776" t="s">
        <v>5121</v>
      </c>
      <c r="AI776" t="s">
        <v>11984</v>
      </c>
      <c r="AJ776" t="s">
        <v>164</v>
      </c>
      <c r="AK776" t="s">
        <v>11985</v>
      </c>
      <c r="AL776">
        <v>1.21</v>
      </c>
      <c r="AM776">
        <v>1.21</v>
      </c>
      <c r="AN776">
        <v>0.98</v>
      </c>
      <c r="AO776" t="s">
        <v>9128</v>
      </c>
      <c r="AP776" t="s">
        <v>11986</v>
      </c>
      <c r="AQ776" t="s">
        <v>4798</v>
      </c>
      <c r="AR776" t="s">
        <v>5164</v>
      </c>
      <c r="AS776" t="s">
        <v>3205</v>
      </c>
      <c r="AT776" t="s">
        <v>4850</v>
      </c>
      <c r="AU776" t="s">
        <v>4819</v>
      </c>
      <c r="AV776" t="s">
        <v>4226</v>
      </c>
      <c r="AW776" t="s">
        <v>269</v>
      </c>
      <c r="AX776" t="s">
        <v>7303</v>
      </c>
      <c r="AY776" t="s">
        <v>522</v>
      </c>
      <c r="AZ776" t="s">
        <v>7908</v>
      </c>
      <c r="BA776">
        <v>2.08</v>
      </c>
      <c r="BB776">
        <v>1791.29</v>
      </c>
      <c r="BC776">
        <v>0.65</v>
      </c>
      <c r="BD776">
        <v>26.94</v>
      </c>
      <c r="BE776">
        <v>27.88</v>
      </c>
      <c r="BF776">
        <v>26.93</v>
      </c>
      <c r="BG776" t="s">
        <v>11987</v>
      </c>
      <c r="BH776" t="s">
        <v>11988</v>
      </c>
      <c r="BI776" t="s">
        <v>11989</v>
      </c>
      <c r="BJ776" t="s">
        <v>101</v>
      </c>
      <c r="BK776" t="s">
        <v>6092</v>
      </c>
      <c r="BL776" t="s">
        <v>11990</v>
      </c>
      <c r="BM776" t="s">
        <v>11405</v>
      </c>
      <c r="BN776" t="s">
        <v>4063</v>
      </c>
    </row>
    <row r="777" spans="1:66" x14ac:dyDescent="0.25">
      <c r="A777" t="str">
        <f>HYPERLINK("https://elite.finviz.com/quote.ashx?t=AR&amp;ty=c&amp;p=d&amp;b=1", "AR")</f>
        <v>AR</v>
      </c>
      <c r="B777">
        <v>7</v>
      </c>
      <c r="C777">
        <v>138.38</v>
      </c>
      <c r="D777">
        <v>62.82</v>
      </c>
      <c r="E777" t="s">
        <v>11991</v>
      </c>
      <c r="F777" t="s">
        <v>107</v>
      </c>
      <c r="G777" t="s">
        <v>1048</v>
      </c>
      <c r="H777" t="s">
        <v>1049</v>
      </c>
      <c r="I777" t="s">
        <v>70</v>
      </c>
      <c r="J777" t="s">
        <v>71</v>
      </c>
      <c r="K777">
        <v>10583.98</v>
      </c>
      <c r="L777">
        <v>34.26</v>
      </c>
      <c r="M777" t="s">
        <v>4308</v>
      </c>
      <c r="N777">
        <v>684596</v>
      </c>
      <c r="O777">
        <v>23.87</v>
      </c>
      <c r="P777">
        <v>9.5500000000000007</v>
      </c>
      <c r="Q777">
        <v>0.2</v>
      </c>
      <c r="R777">
        <v>2.16</v>
      </c>
      <c r="S777">
        <v>1.45</v>
      </c>
      <c r="Z777" t="s">
        <v>164</v>
      </c>
      <c r="AA777">
        <v>1.44</v>
      </c>
      <c r="AD777" t="s">
        <v>11992</v>
      </c>
      <c r="AE777" t="s">
        <v>8209</v>
      </c>
      <c r="AF777" t="s">
        <v>11993</v>
      </c>
      <c r="AG777" t="s">
        <v>2219</v>
      </c>
      <c r="AH777" t="s">
        <v>7897</v>
      </c>
      <c r="AI777" t="s">
        <v>11994</v>
      </c>
      <c r="AJ777" t="s">
        <v>4126</v>
      </c>
      <c r="AK777" t="s">
        <v>11995</v>
      </c>
      <c r="AL777">
        <v>0.3</v>
      </c>
      <c r="AM777">
        <v>0.3</v>
      </c>
      <c r="AN777">
        <v>0.48</v>
      </c>
      <c r="AO777" t="s">
        <v>5239</v>
      </c>
      <c r="AP777" t="s">
        <v>292</v>
      </c>
      <c r="AQ777" t="s">
        <v>582</v>
      </c>
      <c r="AR777" t="s">
        <v>7154</v>
      </c>
      <c r="AS777" t="s">
        <v>295</v>
      </c>
      <c r="AT777" t="s">
        <v>3545</v>
      </c>
      <c r="AU777" t="s">
        <v>1452</v>
      </c>
      <c r="AV777" t="s">
        <v>1052</v>
      </c>
      <c r="AW777" t="s">
        <v>3792</v>
      </c>
      <c r="AX777" t="s">
        <v>6230</v>
      </c>
      <c r="AY777" t="s">
        <v>11996</v>
      </c>
      <c r="AZ777" t="s">
        <v>11997</v>
      </c>
      <c r="BA777">
        <v>1.65</v>
      </c>
      <c r="BB777">
        <v>5110.4399999999996</v>
      </c>
      <c r="BC777">
        <v>0.47</v>
      </c>
      <c r="BD777">
        <v>34.049999999999997</v>
      </c>
      <c r="BE777">
        <v>34.49</v>
      </c>
      <c r="BF777">
        <v>33.82</v>
      </c>
      <c r="BG777" t="s">
        <v>11998</v>
      </c>
      <c r="BH777" t="s">
        <v>8726</v>
      </c>
      <c r="BI777" t="s">
        <v>11999</v>
      </c>
      <c r="BJ777" t="s">
        <v>101</v>
      </c>
      <c r="BK777" t="s">
        <v>12000</v>
      </c>
      <c r="BL777" t="s">
        <v>12001</v>
      </c>
      <c r="BM777" t="s">
        <v>1062</v>
      </c>
      <c r="BN777" t="s">
        <v>4063</v>
      </c>
    </row>
    <row r="778" spans="1:66" x14ac:dyDescent="0.25">
      <c r="A778" t="str">
        <f>HYPERLINK("https://elite.finviz.com/quote.ashx?t=BWXT&amp;ty=c&amp;p=d&amp;b=1", "BWXT")</f>
        <v>BWXT</v>
      </c>
      <c r="B778">
        <v>7</v>
      </c>
      <c r="C778">
        <v>138.38</v>
      </c>
      <c r="D778">
        <v>62.85</v>
      </c>
      <c r="E778" t="s">
        <v>12002</v>
      </c>
      <c r="F778" t="s">
        <v>107</v>
      </c>
      <c r="G778" t="s">
        <v>260</v>
      </c>
      <c r="H778" t="s">
        <v>4779</v>
      </c>
      <c r="I778" t="s">
        <v>70</v>
      </c>
      <c r="J778" t="s">
        <v>71</v>
      </c>
      <c r="K778">
        <v>16359</v>
      </c>
      <c r="L778">
        <v>178.99</v>
      </c>
      <c r="M778" t="s">
        <v>2720</v>
      </c>
      <c r="N778">
        <v>182237</v>
      </c>
      <c r="O778">
        <v>55.84</v>
      </c>
      <c r="P778">
        <v>44.35</v>
      </c>
      <c r="Q778">
        <v>4.37</v>
      </c>
      <c r="R778">
        <v>5.71</v>
      </c>
      <c r="S778">
        <v>13.81</v>
      </c>
      <c r="T778" t="s">
        <v>914</v>
      </c>
      <c r="U778">
        <v>0.99</v>
      </c>
      <c r="V778" t="s">
        <v>1440</v>
      </c>
      <c r="W778" t="s">
        <v>3520</v>
      </c>
      <c r="X778" t="s">
        <v>4104</v>
      </c>
      <c r="Y778" t="s">
        <v>5114</v>
      </c>
      <c r="Z778" t="s">
        <v>12003</v>
      </c>
      <c r="AA778">
        <v>3.21</v>
      </c>
      <c r="AB778" t="s">
        <v>11830</v>
      </c>
      <c r="AC778" t="s">
        <v>1934</v>
      </c>
      <c r="AD778" t="s">
        <v>1959</v>
      </c>
      <c r="AE778" t="s">
        <v>9300</v>
      </c>
      <c r="AF778" t="s">
        <v>8050</v>
      </c>
      <c r="AG778" t="s">
        <v>5383</v>
      </c>
      <c r="AH778" t="s">
        <v>231</v>
      </c>
      <c r="AI778" t="s">
        <v>12004</v>
      </c>
      <c r="AJ778" t="s">
        <v>8073</v>
      </c>
      <c r="AK778" t="s">
        <v>6585</v>
      </c>
      <c r="AL778">
        <v>1.69</v>
      </c>
      <c r="AM778">
        <v>1.6</v>
      </c>
      <c r="AN778">
        <v>1.29</v>
      </c>
      <c r="AO778" t="s">
        <v>3078</v>
      </c>
      <c r="AP778" t="s">
        <v>2399</v>
      </c>
      <c r="AQ778" t="s">
        <v>797</v>
      </c>
      <c r="AR778" t="s">
        <v>6104</v>
      </c>
      <c r="AS778" t="s">
        <v>5425</v>
      </c>
      <c r="AT778" t="s">
        <v>5591</v>
      </c>
      <c r="AU778" t="s">
        <v>10714</v>
      </c>
      <c r="AV778" t="s">
        <v>9705</v>
      </c>
      <c r="AW778" t="s">
        <v>6693</v>
      </c>
      <c r="AX778" t="s">
        <v>12005</v>
      </c>
      <c r="AY778" t="s">
        <v>6693</v>
      </c>
      <c r="AZ778" t="s">
        <v>12006</v>
      </c>
      <c r="BA778">
        <v>2.0699999999999998</v>
      </c>
      <c r="BB778">
        <v>1193.67</v>
      </c>
      <c r="BC778">
        <v>0.54</v>
      </c>
      <c r="BD778">
        <v>176.21</v>
      </c>
      <c r="BE778">
        <v>180.58</v>
      </c>
      <c r="BF778">
        <v>177.75</v>
      </c>
      <c r="BG778" t="s">
        <v>12007</v>
      </c>
      <c r="BH778" t="s">
        <v>6693</v>
      </c>
      <c r="BI778" t="s">
        <v>12008</v>
      </c>
      <c r="BJ778" t="s">
        <v>101</v>
      </c>
      <c r="BK778" t="s">
        <v>2621</v>
      </c>
      <c r="BL778" t="s">
        <v>12009</v>
      </c>
      <c r="BM778" t="s">
        <v>12010</v>
      </c>
      <c r="BN778" t="s">
        <v>4063</v>
      </c>
    </row>
    <row r="779" spans="1:66" x14ac:dyDescent="0.25">
      <c r="A779" t="str">
        <f>HYPERLINK("https://elite.finviz.com/quote.ashx?t=HBI&amp;ty=c&amp;p=d&amp;b=1", "HBI")</f>
        <v>HBI</v>
      </c>
      <c r="B779">
        <v>7</v>
      </c>
      <c r="C779">
        <v>138.38</v>
      </c>
      <c r="D779">
        <v>62.86</v>
      </c>
      <c r="E779" t="s">
        <v>12011</v>
      </c>
      <c r="F779" t="s">
        <v>67</v>
      </c>
      <c r="G779" t="s">
        <v>813</v>
      </c>
      <c r="H779" t="s">
        <v>7446</v>
      </c>
      <c r="I779" t="s">
        <v>70</v>
      </c>
      <c r="J779" t="s">
        <v>71</v>
      </c>
      <c r="K779">
        <v>2294.2199999999998</v>
      </c>
      <c r="L779">
        <v>6.49</v>
      </c>
      <c r="M779" t="s">
        <v>2294</v>
      </c>
      <c r="N779">
        <v>610559</v>
      </c>
      <c r="O779">
        <v>14.58</v>
      </c>
      <c r="P779">
        <v>9.7100000000000009</v>
      </c>
      <c r="Q779">
        <v>0.68</v>
      </c>
      <c r="R779">
        <v>0.64</v>
      </c>
      <c r="S779">
        <v>13.79</v>
      </c>
      <c r="V779" t="s">
        <v>12012</v>
      </c>
      <c r="AA779">
        <v>0.44</v>
      </c>
      <c r="AD779" t="s">
        <v>7749</v>
      </c>
      <c r="AE779" t="s">
        <v>6236</v>
      </c>
      <c r="AF779" t="s">
        <v>157</v>
      </c>
      <c r="AG779" t="s">
        <v>8021</v>
      </c>
      <c r="AH779" t="s">
        <v>337</v>
      </c>
      <c r="AI779" t="s">
        <v>5908</v>
      </c>
      <c r="AJ779" t="s">
        <v>164</v>
      </c>
      <c r="AK779" t="s">
        <v>12013</v>
      </c>
      <c r="AL779">
        <v>1.52</v>
      </c>
      <c r="AM779">
        <v>0.74</v>
      </c>
      <c r="AN779">
        <v>15.54</v>
      </c>
      <c r="AO779" t="s">
        <v>2191</v>
      </c>
      <c r="AP779" t="s">
        <v>5096</v>
      </c>
      <c r="AQ779" t="s">
        <v>5885</v>
      </c>
      <c r="AR779" t="s">
        <v>6692</v>
      </c>
      <c r="AS779" t="s">
        <v>2808</v>
      </c>
      <c r="AT779" t="s">
        <v>617</v>
      </c>
      <c r="AU779" t="s">
        <v>7033</v>
      </c>
      <c r="AV779" t="s">
        <v>1341</v>
      </c>
      <c r="AW779" t="s">
        <v>12014</v>
      </c>
      <c r="AX779" t="s">
        <v>11095</v>
      </c>
      <c r="AY779" t="s">
        <v>12015</v>
      </c>
      <c r="AZ779" t="s">
        <v>11095</v>
      </c>
      <c r="BA779">
        <v>2.88</v>
      </c>
      <c r="BB779">
        <v>8297.51</v>
      </c>
      <c r="BC779">
        <v>0.26</v>
      </c>
      <c r="BD779">
        <v>6.5</v>
      </c>
      <c r="BE779">
        <v>6.55</v>
      </c>
      <c r="BF779">
        <v>6.48</v>
      </c>
      <c r="BG779" t="s">
        <v>12016</v>
      </c>
      <c r="BH779" t="s">
        <v>12017</v>
      </c>
      <c r="BI779" t="s">
        <v>12018</v>
      </c>
      <c r="BJ779" t="s">
        <v>101</v>
      </c>
      <c r="BK779" t="s">
        <v>12019</v>
      </c>
      <c r="BL779" t="s">
        <v>3505</v>
      </c>
      <c r="BM779" t="s">
        <v>7289</v>
      </c>
      <c r="BN779" t="s">
        <v>4063</v>
      </c>
    </row>
    <row r="780" spans="1:66" x14ac:dyDescent="0.25">
      <c r="A780" t="str">
        <f>HYPERLINK("https://elite.finviz.com/quote.ashx?t=MVST&amp;ty=c&amp;p=d&amp;b=1", "MVST")</f>
        <v>MVST</v>
      </c>
      <c r="B780">
        <v>7</v>
      </c>
      <c r="C780">
        <v>138.38</v>
      </c>
      <c r="D780">
        <v>62.96</v>
      </c>
      <c r="E780" t="s">
        <v>12020</v>
      </c>
      <c r="F780" t="s">
        <v>67</v>
      </c>
      <c r="G780" t="s">
        <v>813</v>
      </c>
      <c r="H780" t="s">
        <v>814</v>
      </c>
      <c r="I780" t="s">
        <v>70</v>
      </c>
      <c r="J780" t="s">
        <v>321</v>
      </c>
      <c r="K780">
        <v>1216.83</v>
      </c>
      <c r="L780">
        <v>3.74</v>
      </c>
      <c r="M780" t="s">
        <v>7689</v>
      </c>
      <c r="N780">
        <v>1833417</v>
      </c>
      <c r="P780">
        <v>18.7</v>
      </c>
      <c r="R780">
        <v>2.88</v>
      </c>
      <c r="S780">
        <v>3.4</v>
      </c>
      <c r="AA780">
        <v>-0.45</v>
      </c>
      <c r="AB780" t="s">
        <v>12021</v>
      </c>
      <c r="AE780" t="s">
        <v>6969</v>
      </c>
      <c r="AF780" t="s">
        <v>12022</v>
      </c>
      <c r="AH780" t="s">
        <v>1423</v>
      </c>
      <c r="AI780" t="s">
        <v>8070</v>
      </c>
      <c r="AJ780" t="s">
        <v>164</v>
      </c>
      <c r="AK780" t="s">
        <v>3844</v>
      </c>
      <c r="AL780">
        <v>0.83</v>
      </c>
      <c r="AM780">
        <v>0.56000000000000005</v>
      </c>
      <c r="AN780">
        <v>1.1299999999999999</v>
      </c>
      <c r="AO780" t="s">
        <v>12023</v>
      </c>
      <c r="AP780" t="s">
        <v>3526</v>
      </c>
      <c r="AQ780" t="s">
        <v>12024</v>
      </c>
      <c r="AR780" t="s">
        <v>827</v>
      </c>
      <c r="AS780" t="s">
        <v>4850</v>
      </c>
      <c r="AT780" t="s">
        <v>12025</v>
      </c>
      <c r="AU780" t="s">
        <v>6154</v>
      </c>
      <c r="AV780" t="s">
        <v>7848</v>
      </c>
      <c r="AW780" t="s">
        <v>12026</v>
      </c>
      <c r="AX780" t="s">
        <v>12027</v>
      </c>
      <c r="AY780" t="s">
        <v>3813</v>
      </c>
      <c r="AZ780" t="s">
        <v>12028</v>
      </c>
      <c r="BA780">
        <v>1</v>
      </c>
      <c r="BB780">
        <v>7240.42</v>
      </c>
      <c r="BC780">
        <v>0.89</v>
      </c>
      <c r="BD780">
        <v>3.89</v>
      </c>
      <c r="BE780">
        <v>3.92</v>
      </c>
      <c r="BF780">
        <v>3.73</v>
      </c>
      <c r="BG780" t="s">
        <v>12029</v>
      </c>
      <c r="BH780" t="s">
        <v>12030</v>
      </c>
      <c r="BI780" t="s">
        <v>12028</v>
      </c>
      <c r="BJ780" t="s">
        <v>101</v>
      </c>
      <c r="BK780" t="s">
        <v>5703</v>
      </c>
      <c r="BL780" t="s">
        <v>12031</v>
      </c>
      <c r="BM780" t="s">
        <v>12032</v>
      </c>
      <c r="BN780" t="s">
        <v>4063</v>
      </c>
    </row>
    <row r="781" spans="1:66" x14ac:dyDescent="0.25">
      <c r="A781" t="str">
        <f>HYPERLINK("https://elite.finviz.com/quote.ashx?t=ZVRA&amp;ty=c&amp;p=d&amp;b=1", "ZVRA")</f>
        <v>ZVRA</v>
      </c>
      <c r="B781">
        <v>7</v>
      </c>
      <c r="C781">
        <v>138.38</v>
      </c>
      <c r="D781">
        <v>62.97</v>
      </c>
      <c r="E781" t="s">
        <v>12033</v>
      </c>
      <c r="F781" t="s">
        <v>67</v>
      </c>
      <c r="G781" t="s">
        <v>428</v>
      </c>
      <c r="H781" t="s">
        <v>429</v>
      </c>
      <c r="I781" t="s">
        <v>70</v>
      </c>
      <c r="J781" t="s">
        <v>321</v>
      </c>
      <c r="K781">
        <v>549.01</v>
      </c>
      <c r="L781">
        <v>9.7799999999999994</v>
      </c>
      <c r="M781" t="s">
        <v>2361</v>
      </c>
      <c r="N781">
        <v>709645</v>
      </c>
      <c r="P781">
        <v>17.82</v>
      </c>
      <c r="R781">
        <v>8.85</v>
      </c>
      <c r="S781">
        <v>4.5999999999999996</v>
      </c>
      <c r="AA781">
        <v>-0.05</v>
      </c>
      <c r="AB781" t="s">
        <v>4367</v>
      </c>
      <c r="AC781" t="s">
        <v>12034</v>
      </c>
      <c r="AE781" t="s">
        <v>12035</v>
      </c>
      <c r="AF781" t="s">
        <v>703</v>
      </c>
      <c r="AG781" t="s">
        <v>1794</v>
      </c>
      <c r="AH781" t="s">
        <v>12036</v>
      </c>
      <c r="AI781" t="s">
        <v>12037</v>
      </c>
      <c r="AJ781" t="s">
        <v>1022</v>
      </c>
      <c r="AK781" t="s">
        <v>6031</v>
      </c>
      <c r="AL781">
        <v>7.85</v>
      </c>
      <c r="AM781">
        <v>7.81</v>
      </c>
      <c r="AN781">
        <v>0.53</v>
      </c>
      <c r="AO781" t="s">
        <v>4169</v>
      </c>
      <c r="AP781" t="s">
        <v>12038</v>
      </c>
      <c r="AQ781" t="s">
        <v>165</v>
      </c>
      <c r="AR781" t="s">
        <v>3664</v>
      </c>
      <c r="AS781" t="s">
        <v>1026</v>
      </c>
      <c r="AT781" t="s">
        <v>3272</v>
      </c>
      <c r="AU781" t="s">
        <v>3169</v>
      </c>
      <c r="AV781" t="s">
        <v>9861</v>
      </c>
      <c r="AW781" t="s">
        <v>12039</v>
      </c>
      <c r="AX781" t="s">
        <v>11183</v>
      </c>
      <c r="AY781" t="s">
        <v>166</v>
      </c>
      <c r="AZ781" t="s">
        <v>2313</v>
      </c>
      <c r="BA781">
        <v>1</v>
      </c>
      <c r="BB781">
        <v>1677.47</v>
      </c>
      <c r="BC781">
        <v>1.49</v>
      </c>
      <c r="BD781">
        <v>9.52</v>
      </c>
      <c r="BE781">
        <v>9.9499999999999993</v>
      </c>
      <c r="BF781">
        <v>9.5299999999999994</v>
      </c>
      <c r="BG781" t="s">
        <v>12040</v>
      </c>
      <c r="BH781" t="s">
        <v>12041</v>
      </c>
      <c r="BI781" t="s">
        <v>12042</v>
      </c>
      <c r="BJ781" t="s">
        <v>101</v>
      </c>
      <c r="BK781" t="s">
        <v>2428</v>
      </c>
      <c r="BL781" t="s">
        <v>3308</v>
      </c>
      <c r="BM781" t="s">
        <v>9460</v>
      </c>
      <c r="BN781" t="s">
        <v>4063</v>
      </c>
    </row>
    <row r="782" spans="1:66" x14ac:dyDescent="0.25">
      <c r="A782" t="str">
        <f>HYPERLINK("https://elite.finviz.com/quote.ashx?t=PSKY&amp;ty=c&amp;p=d&amp;b=1", "PSKY")</f>
        <v>PSKY</v>
      </c>
      <c r="B782">
        <v>7</v>
      </c>
      <c r="C782">
        <v>138.38</v>
      </c>
      <c r="D782">
        <v>62.98</v>
      </c>
      <c r="E782" t="s">
        <v>12043</v>
      </c>
      <c r="F782" t="s">
        <v>195</v>
      </c>
      <c r="G782" t="s">
        <v>598</v>
      </c>
      <c r="H782" t="s">
        <v>4247</v>
      </c>
      <c r="I782" t="s">
        <v>70</v>
      </c>
      <c r="J782" t="s">
        <v>321</v>
      </c>
      <c r="K782">
        <v>19909.02</v>
      </c>
      <c r="L782">
        <v>18.7</v>
      </c>
      <c r="M782" t="s">
        <v>1864</v>
      </c>
      <c r="N782">
        <v>1141169</v>
      </c>
      <c r="P782">
        <v>14.91</v>
      </c>
      <c r="R782">
        <v>0.69</v>
      </c>
      <c r="S782">
        <v>0.76</v>
      </c>
      <c r="T782" t="s">
        <v>5055</v>
      </c>
      <c r="U782">
        <v>0.2</v>
      </c>
      <c r="V782" t="s">
        <v>3833</v>
      </c>
      <c r="W782" t="s">
        <v>12044</v>
      </c>
      <c r="X782" t="s">
        <v>12045</v>
      </c>
      <c r="Y782" t="s">
        <v>9109</v>
      </c>
      <c r="AA782">
        <v>-0.03</v>
      </c>
      <c r="AD782" t="s">
        <v>4704</v>
      </c>
      <c r="AE782" t="s">
        <v>11830</v>
      </c>
      <c r="AF782" t="s">
        <v>5036</v>
      </c>
      <c r="AG782" t="s">
        <v>2449</v>
      </c>
      <c r="AH782" t="s">
        <v>2362</v>
      </c>
      <c r="AI782" t="s">
        <v>12046</v>
      </c>
      <c r="AJ782" t="s">
        <v>164</v>
      </c>
      <c r="AK782" t="s">
        <v>12047</v>
      </c>
      <c r="AL782">
        <v>1.39</v>
      </c>
      <c r="AM782">
        <v>1.21</v>
      </c>
      <c r="AN782">
        <v>0.93</v>
      </c>
      <c r="AO782" t="s">
        <v>4418</v>
      </c>
      <c r="AP782" t="s">
        <v>8050</v>
      </c>
      <c r="AQ782" t="s">
        <v>3752</v>
      </c>
      <c r="AR782" t="s">
        <v>5150</v>
      </c>
      <c r="AS782" t="s">
        <v>8843</v>
      </c>
      <c r="AT782" t="s">
        <v>12048</v>
      </c>
      <c r="AU782" t="s">
        <v>6862</v>
      </c>
      <c r="AV782" t="s">
        <v>8776</v>
      </c>
      <c r="AW782" t="s">
        <v>601</v>
      </c>
      <c r="AX782" t="s">
        <v>11827</v>
      </c>
      <c r="AY782" t="s">
        <v>601</v>
      </c>
      <c r="AZ782" t="s">
        <v>11827</v>
      </c>
      <c r="BA782">
        <v>3.54</v>
      </c>
      <c r="BB782">
        <v>17089.29</v>
      </c>
      <c r="BC782">
        <v>0.24</v>
      </c>
      <c r="BD782">
        <v>18.93</v>
      </c>
      <c r="BE782">
        <v>19.14</v>
      </c>
      <c r="BF782">
        <v>18.68</v>
      </c>
      <c r="BG782" t="s">
        <v>12049</v>
      </c>
      <c r="BH782" t="s">
        <v>12050</v>
      </c>
      <c r="BI782" t="s">
        <v>6067</v>
      </c>
      <c r="BJ782" t="s">
        <v>101</v>
      </c>
      <c r="BK782" t="s">
        <v>12051</v>
      </c>
      <c r="BL782" t="s">
        <v>673</v>
      </c>
      <c r="BM782" t="s">
        <v>12052</v>
      </c>
      <c r="BN782" t="s">
        <v>4063</v>
      </c>
    </row>
    <row r="783" spans="1:66" x14ac:dyDescent="0.25">
      <c r="A783" t="str">
        <f>HYPERLINK("https://elite.finviz.com/quote.ashx?t=PUMP&amp;ty=c&amp;p=d&amp;b=1", "PUMP")</f>
        <v>PUMP</v>
      </c>
      <c r="B783">
        <v>7</v>
      </c>
      <c r="C783">
        <v>138.38</v>
      </c>
      <c r="D783">
        <v>63.05</v>
      </c>
      <c r="E783" t="s">
        <v>12053</v>
      </c>
      <c r="F783" t="s">
        <v>67</v>
      </c>
      <c r="G783" t="s">
        <v>1048</v>
      </c>
      <c r="H783" t="s">
        <v>8341</v>
      </c>
      <c r="I783" t="s">
        <v>70</v>
      </c>
      <c r="J783" t="s">
        <v>71</v>
      </c>
      <c r="K783">
        <v>568.76</v>
      </c>
      <c r="L783">
        <v>5.47</v>
      </c>
      <c r="M783" t="s">
        <v>3433</v>
      </c>
      <c r="N783">
        <v>465418</v>
      </c>
      <c r="R783">
        <v>0.42</v>
      </c>
      <c r="S783">
        <v>0.69</v>
      </c>
      <c r="AA783">
        <v>-1.46</v>
      </c>
      <c r="AB783" t="s">
        <v>12054</v>
      </c>
      <c r="AE783" t="s">
        <v>6107</v>
      </c>
      <c r="AF783" t="s">
        <v>9344</v>
      </c>
      <c r="AG783" t="s">
        <v>9725</v>
      </c>
      <c r="AH783" t="s">
        <v>9998</v>
      </c>
      <c r="AI783" t="s">
        <v>12055</v>
      </c>
      <c r="AJ783" t="s">
        <v>8425</v>
      </c>
      <c r="AK783" t="s">
        <v>12056</v>
      </c>
      <c r="AL783">
        <v>1.42</v>
      </c>
      <c r="AM783">
        <v>1.35</v>
      </c>
      <c r="AN783">
        <v>0.2</v>
      </c>
      <c r="AO783" t="s">
        <v>6315</v>
      </c>
      <c r="AP783" t="s">
        <v>4839</v>
      </c>
      <c r="AQ783" t="s">
        <v>12057</v>
      </c>
      <c r="AR783" t="s">
        <v>7971</v>
      </c>
      <c r="AS783" t="s">
        <v>322</v>
      </c>
      <c r="AT783" t="s">
        <v>12058</v>
      </c>
      <c r="AU783" t="s">
        <v>2698</v>
      </c>
      <c r="AV783" t="s">
        <v>12059</v>
      </c>
      <c r="AW783" t="s">
        <v>12060</v>
      </c>
      <c r="AX783" t="s">
        <v>12021</v>
      </c>
      <c r="AY783" t="s">
        <v>12061</v>
      </c>
      <c r="AZ783" t="s">
        <v>12021</v>
      </c>
      <c r="BA783">
        <v>2.33</v>
      </c>
      <c r="BB783">
        <v>2573.5500000000002</v>
      </c>
      <c r="BC783">
        <v>0.64</v>
      </c>
      <c r="BD783">
        <v>5.26</v>
      </c>
      <c r="BE783">
        <v>5.47</v>
      </c>
      <c r="BF783">
        <v>5.24</v>
      </c>
      <c r="BG783" t="s">
        <v>12062</v>
      </c>
      <c r="BH783" t="s">
        <v>12063</v>
      </c>
      <c r="BI783" t="s">
        <v>12064</v>
      </c>
      <c r="BJ783" t="s">
        <v>101</v>
      </c>
      <c r="BK783" t="s">
        <v>1219</v>
      </c>
      <c r="BL783" t="s">
        <v>12065</v>
      </c>
      <c r="BM783" t="s">
        <v>12066</v>
      </c>
      <c r="BN783" t="s">
        <v>4063</v>
      </c>
    </row>
    <row r="784" spans="1:66" x14ac:dyDescent="0.25">
      <c r="A784" t="str">
        <f>HYPERLINK("https://elite.finviz.com/quote.ashx?t=CLMT&amp;ty=c&amp;p=d&amp;b=1", "CLMT")</f>
        <v>CLMT</v>
      </c>
      <c r="B784">
        <v>7</v>
      </c>
      <c r="C784">
        <v>138.38</v>
      </c>
      <c r="D784">
        <v>63.11</v>
      </c>
      <c r="E784" t="s">
        <v>12067</v>
      </c>
      <c r="F784" t="s">
        <v>67</v>
      </c>
      <c r="G784" t="s">
        <v>355</v>
      </c>
      <c r="H784" t="s">
        <v>1147</v>
      </c>
      <c r="I784" t="s">
        <v>70</v>
      </c>
      <c r="J784" t="s">
        <v>321</v>
      </c>
      <c r="K784">
        <v>1615.32</v>
      </c>
      <c r="L784">
        <v>18.62</v>
      </c>
      <c r="M784" t="s">
        <v>7568</v>
      </c>
      <c r="N784">
        <v>79525</v>
      </c>
      <c r="R784">
        <v>0.4</v>
      </c>
      <c r="V784" t="s">
        <v>12068</v>
      </c>
      <c r="AA784">
        <v>-5.23</v>
      </c>
      <c r="AB784" t="s">
        <v>2174</v>
      </c>
      <c r="AC784" t="s">
        <v>522</v>
      </c>
      <c r="AD784" t="s">
        <v>12069</v>
      </c>
      <c r="AE784" t="s">
        <v>7392</v>
      </c>
      <c r="AF784" t="s">
        <v>6448</v>
      </c>
      <c r="AG784" t="s">
        <v>4125</v>
      </c>
      <c r="AH784" t="s">
        <v>12070</v>
      </c>
      <c r="AI784" t="s">
        <v>12071</v>
      </c>
      <c r="AJ784" t="s">
        <v>9511</v>
      </c>
      <c r="AK784" t="s">
        <v>12072</v>
      </c>
      <c r="AL784">
        <v>0.76</v>
      </c>
      <c r="AM784">
        <v>0.45</v>
      </c>
      <c r="AO784" t="s">
        <v>2059</v>
      </c>
      <c r="AP784" t="s">
        <v>8670</v>
      </c>
      <c r="AQ784" t="s">
        <v>528</v>
      </c>
      <c r="AR784" t="s">
        <v>3244</v>
      </c>
      <c r="AS784" t="s">
        <v>2842</v>
      </c>
      <c r="AT784" t="s">
        <v>3469</v>
      </c>
      <c r="AU784" t="s">
        <v>3259</v>
      </c>
      <c r="AV784" t="s">
        <v>631</v>
      </c>
      <c r="AW784" t="s">
        <v>11628</v>
      </c>
      <c r="AX784" t="s">
        <v>12073</v>
      </c>
      <c r="AY784" t="s">
        <v>12074</v>
      </c>
      <c r="AZ784" t="s">
        <v>12075</v>
      </c>
      <c r="BA784">
        <v>2</v>
      </c>
      <c r="BB784">
        <v>1017.62</v>
      </c>
      <c r="BC784">
        <v>0.28000000000000003</v>
      </c>
      <c r="BD784">
        <v>18.82</v>
      </c>
      <c r="BE784">
        <v>18.95</v>
      </c>
      <c r="BF784">
        <v>18.010000000000002</v>
      </c>
      <c r="BG784" t="s">
        <v>12076</v>
      </c>
      <c r="BH784" t="s">
        <v>12077</v>
      </c>
      <c r="BI784" t="s">
        <v>12078</v>
      </c>
      <c r="BJ784" t="s">
        <v>101</v>
      </c>
      <c r="BK784" t="s">
        <v>12079</v>
      </c>
      <c r="BL784" t="s">
        <v>12080</v>
      </c>
      <c r="BM784" t="s">
        <v>9228</v>
      </c>
      <c r="BN784" t="s">
        <v>4063</v>
      </c>
    </row>
    <row r="785" spans="1:66" x14ac:dyDescent="0.25">
      <c r="A785" t="str">
        <f>HYPERLINK("https://elite.finviz.com/quote.ashx?t=AREC&amp;ty=c&amp;p=d&amp;b=1", "AREC")</f>
        <v>AREC</v>
      </c>
      <c r="B785">
        <v>7</v>
      </c>
      <c r="C785">
        <v>138.38</v>
      </c>
      <c r="D785">
        <v>63.12</v>
      </c>
      <c r="E785" t="s">
        <v>12081</v>
      </c>
      <c r="F785" t="s">
        <v>107</v>
      </c>
      <c r="G785" t="s">
        <v>355</v>
      </c>
      <c r="H785" t="s">
        <v>10954</v>
      </c>
      <c r="I785" t="s">
        <v>70</v>
      </c>
      <c r="J785" t="s">
        <v>321</v>
      </c>
      <c r="K785">
        <v>234.28</v>
      </c>
      <c r="L785">
        <v>2.77</v>
      </c>
      <c r="M785" t="s">
        <v>2290</v>
      </c>
      <c r="N785">
        <v>1044069</v>
      </c>
      <c r="R785">
        <v>709.94</v>
      </c>
      <c r="AA785">
        <v>-0.54</v>
      </c>
      <c r="AB785" t="s">
        <v>1751</v>
      </c>
      <c r="AC785" t="s">
        <v>8442</v>
      </c>
      <c r="AD785" t="s">
        <v>4681</v>
      </c>
      <c r="AE785" t="s">
        <v>12082</v>
      </c>
      <c r="AF785" t="s">
        <v>12083</v>
      </c>
      <c r="AG785" t="s">
        <v>12084</v>
      </c>
      <c r="AH785" t="s">
        <v>12085</v>
      </c>
      <c r="AJ785" t="s">
        <v>164</v>
      </c>
      <c r="AK785" t="s">
        <v>127</v>
      </c>
      <c r="AL785">
        <v>0.12</v>
      </c>
      <c r="AM785">
        <v>0.1</v>
      </c>
      <c r="AO785" t="s">
        <v>12086</v>
      </c>
      <c r="AP785" t="s">
        <v>12087</v>
      </c>
      <c r="AQ785" t="s">
        <v>12088</v>
      </c>
      <c r="AR785" t="s">
        <v>4829</v>
      </c>
      <c r="AS785" t="s">
        <v>9387</v>
      </c>
      <c r="AT785" t="s">
        <v>555</v>
      </c>
      <c r="AU785" t="s">
        <v>12089</v>
      </c>
      <c r="AV785" t="s">
        <v>12090</v>
      </c>
      <c r="AW785" t="s">
        <v>12091</v>
      </c>
      <c r="AX785" t="s">
        <v>12092</v>
      </c>
      <c r="AY785" t="s">
        <v>12091</v>
      </c>
      <c r="AZ785" t="s">
        <v>12093</v>
      </c>
      <c r="BA785">
        <v>1</v>
      </c>
      <c r="BB785">
        <v>3236.66</v>
      </c>
      <c r="BC785">
        <v>1.1399999999999999</v>
      </c>
      <c r="BD785">
        <v>2.76</v>
      </c>
      <c r="BE785">
        <v>2.88</v>
      </c>
      <c r="BF785">
        <v>2.73</v>
      </c>
      <c r="BG785" t="s">
        <v>12094</v>
      </c>
      <c r="BH785" t="s">
        <v>4360</v>
      </c>
      <c r="BI785" t="s">
        <v>12095</v>
      </c>
      <c r="BJ785" t="s">
        <v>101</v>
      </c>
      <c r="BK785" t="s">
        <v>12096</v>
      </c>
      <c r="BL785" t="s">
        <v>12097</v>
      </c>
      <c r="BM785" t="s">
        <v>12098</v>
      </c>
      <c r="BN785" t="s">
        <v>4063</v>
      </c>
    </row>
    <row r="786" spans="1:66" x14ac:dyDescent="0.25">
      <c r="A786" t="str">
        <f>HYPERLINK("https://elite.finviz.com/quote.ashx?t=ARVN&amp;ty=c&amp;p=d&amp;b=1", "ARVN")</f>
        <v>ARVN</v>
      </c>
      <c r="B786">
        <v>7</v>
      </c>
      <c r="C786">
        <v>138.38</v>
      </c>
      <c r="D786">
        <v>63.15</v>
      </c>
      <c r="E786" t="s">
        <v>12099</v>
      </c>
      <c r="F786" t="s">
        <v>67</v>
      </c>
      <c r="G786" t="s">
        <v>428</v>
      </c>
      <c r="H786" t="s">
        <v>429</v>
      </c>
      <c r="I786" t="s">
        <v>70</v>
      </c>
      <c r="J786" t="s">
        <v>321</v>
      </c>
      <c r="K786">
        <v>594.63</v>
      </c>
      <c r="L786">
        <v>8.1</v>
      </c>
      <c r="M786" t="s">
        <v>1091</v>
      </c>
      <c r="N786">
        <v>388276</v>
      </c>
      <c r="R786">
        <v>3.69</v>
      </c>
      <c r="S786">
        <v>0.97</v>
      </c>
      <c r="AA786">
        <v>-2.08</v>
      </c>
      <c r="AB786" t="s">
        <v>3468</v>
      </c>
      <c r="AC786" t="s">
        <v>6345</v>
      </c>
      <c r="AD786" t="s">
        <v>600</v>
      </c>
      <c r="AE786" t="s">
        <v>6061</v>
      </c>
      <c r="AF786" t="s">
        <v>12100</v>
      </c>
      <c r="AG786" t="s">
        <v>12101</v>
      </c>
      <c r="AH786" t="s">
        <v>12102</v>
      </c>
      <c r="AI786" t="s">
        <v>9342</v>
      </c>
      <c r="AJ786" t="s">
        <v>6182</v>
      </c>
      <c r="AK786" t="s">
        <v>12103</v>
      </c>
      <c r="AL786">
        <v>5.64</v>
      </c>
      <c r="AM786">
        <v>5.64</v>
      </c>
      <c r="AN786">
        <v>0.02</v>
      </c>
      <c r="AO786" t="s">
        <v>1647</v>
      </c>
      <c r="AP786" t="s">
        <v>12104</v>
      </c>
      <c r="AQ786" t="s">
        <v>12105</v>
      </c>
      <c r="AR786" t="s">
        <v>7453</v>
      </c>
      <c r="AS786" t="s">
        <v>4172</v>
      </c>
      <c r="AT786" t="s">
        <v>615</v>
      </c>
      <c r="AU786" t="s">
        <v>7511</v>
      </c>
      <c r="AV786" t="s">
        <v>1978</v>
      </c>
      <c r="AW786" t="s">
        <v>3967</v>
      </c>
      <c r="AX786" t="s">
        <v>12106</v>
      </c>
      <c r="AY786" t="s">
        <v>12107</v>
      </c>
      <c r="AZ786" t="s">
        <v>12108</v>
      </c>
      <c r="BA786">
        <v>2.0499999999999998</v>
      </c>
      <c r="BB786">
        <v>1900.88</v>
      </c>
      <c r="BC786">
        <v>0.72</v>
      </c>
      <c r="BD786">
        <v>7.75</v>
      </c>
      <c r="BE786">
        <v>8.11</v>
      </c>
      <c r="BF786">
        <v>7.73</v>
      </c>
      <c r="BG786" t="s">
        <v>12109</v>
      </c>
      <c r="BH786" t="s">
        <v>12110</v>
      </c>
      <c r="BI786" t="s">
        <v>12108</v>
      </c>
      <c r="BJ786" t="s">
        <v>101</v>
      </c>
      <c r="BK786" t="s">
        <v>699</v>
      </c>
      <c r="BL786" t="s">
        <v>1764</v>
      </c>
      <c r="BM786" t="s">
        <v>12111</v>
      </c>
      <c r="BN786" t="s">
        <v>4063</v>
      </c>
    </row>
    <row r="787" spans="1:66" x14ac:dyDescent="0.25">
      <c r="A787" t="str">
        <f>HYPERLINK("https://elite.finviz.com/quote.ashx?t=CORZ&amp;ty=c&amp;p=d&amp;b=1", "CORZ")</f>
        <v>CORZ</v>
      </c>
      <c r="B787">
        <v>7</v>
      </c>
      <c r="C787">
        <v>138.38</v>
      </c>
      <c r="D787">
        <v>63.19</v>
      </c>
      <c r="E787" t="s">
        <v>12112</v>
      </c>
      <c r="F787" t="s">
        <v>67</v>
      </c>
      <c r="G787" t="s">
        <v>108</v>
      </c>
      <c r="H787" t="s">
        <v>109</v>
      </c>
      <c r="I787" t="s">
        <v>70</v>
      </c>
      <c r="J787" t="s">
        <v>321</v>
      </c>
      <c r="K787">
        <v>5074.3599999999997</v>
      </c>
      <c r="L787">
        <v>16.61</v>
      </c>
      <c r="M787" t="s">
        <v>2826</v>
      </c>
      <c r="N787">
        <v>2628757</v>
      </c>
      <c r="P787">
        <v>39.01</v>
      </c>
      <c r="R787">
        <v>14.56</v>
      </c>
      <c r="AA787">
        <v>-0.56999999999999995</v>
      </c>
      <c r="AC787" t="s">
        <v>12113</v>
      </c>
      <c r="AE787" t="s">
        <v>12114</v>
      </c>
      <c r="AF787" t="s">
        <v>1863</v>
      </c>
      <c r="AH787" t="s">
        <v>12115</v>
      </c>
      <c r="AI787" t="s">
        <v>12116</v>
      </c>
      <c r="AJ787" t="s">
        <v>7346</v>
      </c>
      <c r="AK787" t="s">
        <v>12117</v>
      </c>
      <c r="AL787">
        <v>1.78</v>
      </c>
      <c r="AM787">
        <v>1.78</v>
      </c>
      <c r="AO787" t="s">
        <v>3855</v>
      </c>
      <c r="AP787" t="s">
        <v>10023</v>
      </c>
      <c r="AQ787" t="s">
        <v>5360</v>
      </c>
      <c r="AR787" t="s">
        <v>3981</v>
      </c>
      <c r="AS787" t="s">
        <v>615</v>
      </c>
      <c r="AT787" t="s">
        <v>8960</v>
      </c>
      <c r="AU787" t="s">
        <v>3789</v>
      </c>
      <c r="AV787" t="s">
        <v>5605</v>
      </c>
      <c r="AW787" t="s">
        <v>5880</v>
      </c>
      <c r="AX787" t="s">
        <v>11983</v>
      </c>
      <c r="AY787" t="s">
        <v>10240</v>
      </c>
      <c r="AZ787" t="s">
        <v>12118</v>
      </c>
      <c r="BA787">
        <v>2.3199999999999998</v>
      </c>
      <c r="BB787">
        <v>19803.400000000001</v>
      </c>
      <c r="BC787">
        <v>0.47</v>
      </c>
      <c r="BD787">
        <v>16.84</v>
      </c>
      <c r="BE787">
        <v>16.989999999999998</v>
      </c>
      <c r="BF787">
        <v>16.2</v>
      </c>
      <c r="BG787" t="s">
        <v>12119</v>
      </c>
      <c r="BH787" t="s">
        <v>10240</v>
      </c>
      <c r="BI787" t="s">
        <v>12120</v>
      </c>
      <c r="BJ787" t="s">
        <v>101</v>
      </c>
      <c r="BK787" t="s">
        <v>2468</v>
      </c>
      <c r="BL787" t="s">
        <v>12121</v>
      </c>
      <c r="BM787" t="s">
        <v>7796</v>
      </c>
      <c r="BN787" t="s">
        <v>4063</v>
      </c>
    </row>
    <row r="788" spans="1:66" x14ac:dyDescent="0.25">
      <c r="A788" t="str">
        <f>HYPERLINK("https://elite.finviz.com/quote.ashx?t=SCPH&amp;ty=c&amp;p=d&amp;b=1", "SCPH")</f>
        <v>SCPH</v>
      </c>
      <c r="B788">
        <v>7</v>
      </c>
      <c r="C788">
        <v>138.38</v>
      </c>
      <c r="D788">
        <v>63.22</v>
      </c>
      <c r="E788" t="s">
        <v>12122</v>
      </c>
      <c r="F788" t="s">
        <v>67</v>
      </c>
      <c r="G788" t="s">
        <v>428</v>
      </c>
      <c r="H788" t="s">
        <v>429</v>
      </c>
      <c r="I788" t="s">
        <v>70</v>
      </c>
      <c r="J788" t="s">
        <v>321</v>
      </c>
      <c r="K788">
        <v>302.75</v>
      </c>
      <c r="L788">
        <v>5.64</v>
      </c>
      <c r="M788" t="s">
        <v>2362</v>
      </c>
      <c r="N788">
        <v>238205</v>
      </c>
      <c r="R788">
        <v>6.06</v>
      </c>
      <c r="AA788">
        <v>-1.81</v>
      </c>
      <c r="AB788" t="s">
        <v>2497</v>
      </c>
      <c r="AC788" t="s">
        <v>5879</v>
      </c>
      <c r="AE788" t="s">
        <v>12123</v>
      </c>
      <c r="AH788" t="s">
        <v>12124</v>
      </c>
      <c r="AI788" t="s">
        <v>9230</v>
      </c>
      <c r="AJ788" t="s">
        <v>164</v>
      </c>
      <c r="AK788" t="s">
        <v>12125</v>
      </c>
      <c r="AL788">
        <v>3.85</v>
      </c>
      <c r="AM788">
        <v>3.14</v>
      </c>
      <c r="AO788" t="s">
        <v>8575</v>
      </c>
      <c r="AP788" t="s">
        <v>12126</v>
      </c>
      <c r="AQ788" t="s">
        <v>12127</v>
      </c>
      <c r="AR788" t="s">
        <v>4801</v>
      </c>
      <c r="AS788" t="s">
        <v>4840</v>
      </c>
      <c r="AT788" t="s">
        <v>4865</v>
      </c>
      <c r="AU788" t="s">
        <v>5944</v>
      </c>
      <c r="AV788" t="s">
        <v>780</v>
      </c>
      <c r="AW788" t="s">
        <v>12128</v>
      </c>
      <c r="AX788" t="s">
        <v>8559</v>
      </c>
      <c r="AY788" t="s">
        <v>12128</v>
      </c>
      <c r="AZ788" t="s">
        <v>12129</v>
      </c>
      <c r="BA788">
        <v>2.5</v>
      </c>
      <c r="BB788">
        <v>1075.3800000000001</v>
      </c>
      <c r="BC788">
        <v>0.78</v>
      </c>
      <c r="BD788">
        <v>5.61</v>
      </c>
      <c r="BE788">
        <v>5.64</v>
      </c>
      <c r="BF788">
        <v>5.62</v>
      </c>
      <c r="BG788" t="s">
        <v>12130</v>
      </c>
      <c r="BH788" t="s">
        <v>12131</v>
      </c>
      <c r="BI788" t="s">
        <v>12129</v>
      </c>
      <c r="BJ788" t="s">
        <v>101</v>
      </c>
      <c r="BK788" t="s">
        <v>12132</v>
      </c>
      <c r="BL788" t="s">
        <v>12133</v>
      </c>
      <c r="BM788" t="s">
        <v>7969</v>
      </c>
      <c r="BN788" t="s">
        <v>4063</v>
      </c>
    </row>
    <row r="789" spans="1:66" x14ac:dyDescent="0.25">
      <c r="A789" t="str">
        <f>HYPERLINK("https://elite.finviz.com/quote.ashx?t=HWM&amp;ty=c&amp;p=d&amp;b=1", "HWM")</f>
        <v>HWM</v>
      </c>
      <c r="B789">
        <v>7</v>
      </c>
      <c r="C789">
        <v>138.38</v>
      </c>
      <c r="D789">
        <v>63.25</v>
      </c>
      <c r="E789" t="s">
        <v>12134</v>
      </c>
      <c r="F789" t="s">
        <v>195</v>
      </c>
      <c r="G789" t="s">
        <v>260</v>
      </c>
      <c r="H789" t="s">
        <v>4779</v>
      </c>
      <c r="I789" t="s">
        <v>70</v>
      </c>
      <c r="J789" t="s">
        <v>71</v>
      </c>
      <c r="K789">
        <v>77542.149999999994</v>
      </c>
      <c r="L789">
        <v>192.35</v>
      </c>
      <c r="M789" t="s">
        <v>4881</v>
      </c>
      <c r="N789">
        <v>500577</v>
      </c>
      <c r="O789">
        <v>56.21</v>
      </c>
      <c r="P789">
        <v>44.49</v>
      </c>
      <c r="Q789">
        <v>2.41</v>
      </c>
      <c r="R789">
        <v>10.039999999999999</v>
      </c>
      <c r="S789">
        <v>15.58</v>
      </c>
      <c r="T789" t="s">
        <v>822</v>
      </c>
      <c r="U789">
        <v>0.4</v>
      </c>
      <c r="V789" t="s">
        <v>1762</v>
      </c>
      <c r="W789" t="s">
        <v>1447</v>
      </c>
      <c r="X789" t="s">
        <v>11442</v>
      </c>
      <c r="Y789" t="s">
        <v>1562</v>
      </c>
      <c r="Z789" t="s">
        <v>9280</v>
      </c>
      <c r="AA789">
        <v>3.42</v>
      </c>
      <c r="AB789" t="s">
        <v>12135</v>
      </c>
      <c r="AC789" t="s">
        <v>12136</v>
      </c>
      <c r="AD789" t="s">
        <v>12137</v>
      </c>
      <c r="AE789" t="s">
        <v>2000</v>
      </c>
      <c r="AF789" t="s">
        <v>2660</v>
      </c>
      <c r="AG789" t="s">
        <v>2864</v>
      </c>
      <c r="AH789" t="s">
        <v>605</v>
      </c>
      <c r="AI789" t="s">
        <v>6936</v>
      </c>
      <c r="AJ789" t="s">
        <v>7844</v>
      </c>
      <c r="AK789" t="s">
        <v>12138</v>
      </c>
      <c r="AL789">
        <v>2.31</v>
      </c>
      <c r="AM789">
        <v>1.08</v>
      </c>
      <c r="AN789">
        <v>0.68</v>
      </c>
      <c r="AO789" t="s">
        <v>5487</v>
      </c>
      <c r="AP789" t="s">
        <v>4557</v>
      </c>
      <c r="AQ789" t="s">
        <v>433</v>
      </c>
      <c r="AR789" t="s">
        <v>4600</v>
      </c>
      <c r="AS789" t="s">
        <v>180</v>
      </c>
      <c r="AT789" t="s">
        <v>2484</v>
      </c>
      <c r="AU789" t="s">
        <v>7118</v>
      </c>
      <c r="AV789" t="s">
        <v>8797</v>
      </c>
      <c r="AW789" t="s">
        <v>609</v>
      </c>
      <c r="AX789" t="s">
        <v>2111</v>
      </c>
      <c r="AY789" t="s">
        <v>609</v>
      </c>
      <c r="AZ789" t="s">
        <v>12139</v>
      </c>
      <c r="BA789">
        <v>1.52</v>
      </c>
      <c r="BB789">
        <v>2946.63</v>
      </c>
      <c r="BC789">
        <v>0.6</v>
      </c>
      <c r="BD789">
        <v>189.85</v>
      </c>
      <c r="BE789">
        <v>194.88</v>
      </c>
      <c r="BF789">
        <v>191.27</v>
      </c>
      <c r="BG789" t="s">
        <v>12140</v>
      </c>
      <c r="BH789" t="s">
        <v>609</v>
      </c>
      <c r="BI789" t="s">
        <v>12141</v>
      </c>
      <c r="BJ789" t="s">
        <v>101</v>
      </c>
      <c r="BK789" t="s">
        <v>926</v>
      </c>
      <c r="BL789" t="s">
        <v>1994</v>
      </c>
      <c r="BM789" t="s">
        <v>12142</v>
      </c>
      <c r="BN789" t="s">
        <v>4063</v>
      </c>
    </row>
    <row r="790" spans="1:66" x14ac:dyDescent="0.25">
      <c r="A790" t="str">
        <f>HYPERLINK("https://elite.finviz.com/quote.ashx?t=CCO&amp;ty=c&amp;p=d&amp;b=1", "CCO")</f>
        <v>CCO</v>
      </c>
      <c r="B790">
        <v>7</v>
      </c>
      <c r="C790">
        <v>138.38</v>
      </c>
      <c r="D790">
        <v>63.27</v>
      </c>
      <c r="E790" t="s">
        <v>12143</v>
      </c>
      <c r="F790" t="s">
        <v>107</v>
      </c>
      <c r="G790" t="s">
        <v>598</v>
      </c>
      <c r="H790" t="s">
        <v>1020</v>
      </c>
      <c r="I790" t="s">
        <v>70</v>
      </c>
      <c r="J790" t="s">
        <v>71</v>
      </c>
      <c r="K790">
        <v>738.56</v>
      </c>
      <c r="L790">
        <v>1.49</v>
      </c>
      <c r="M790" t="s">
        <v>8425</v>
      </c>
      <c r="N790">
        <v>360829</v>
      </c>
      <c r="R790">
        <v>0.43</v>
      </c>
      <c r="AA790">
        <v>-0.14000000000000001</v>
      </c>
      <c r="AB790" t="s">
        <v>113</v>
      </c>
      <c r="AC790" t="s">
        <v>8886</v>
      </c>
      <c r="AD790" t="s">
        <v>11886</v>
      </c>
      <c r="AE790" t="s">
        <v>7259</v>
      </c>
      <c r="AF790" t="s">
        <v>11692</v>
      </c>
      <c r="AG790" t="s">
        <v>1156</v>
      </c>
      <c r="AH790" t="s">
        <v>6236</v>
      </c>
      <c r="AI790" t="s">
        <v>12144</v>
      </c>
      <c r="AJ790" t="s">
        <v>7811</v>
      </c>
      <c r="AK790" t="s">
        <v>6361</v>
      </c>
      <c r="AL790">
        <v>1.1499999999999999</v>
      </c>
      <c r="AM790">
        <v>1.1499999999999999</v>
      </c>
      <c r="AO790" t="s">
        <v>3609</v>
      </c>
      <c r="AP790" t="s">
        <v>12145</v>
      </c>
      <c r="AQ790" t="s">
        <v>2870</v>
      </c>
      <c r="AR790" t="s">
        <v>8054</v>
      </c>
      <c r="AS790" t="s">
        <v>3036</v>
      </c>
      <c r="AT790" t="s">
        <v>1252</v>
      </c>
      <c r="AU790" t="s">
        <v>2812</v>
      </c>
      <c r="AV790" t="s">
        <v>12146</v>
      </c>
      <c r="AW790" t="s">
        <v>7557</v>
      </c>
      <c r="AX790" t="s">
        <v>8681</v>
      </c>
      <c r="AY790" t="s">
        <v>12147</v>
      </c>
      <c r="AZ790" t="s">
        <v>12148</v>
      </c>
      <c r="BA790">
        <v>3</v>
      </c>
      <c r="BB790">
        <v>3997.21</v>
      </c>
      <c r="BC790">
        <v>0.32</v>
      </c>
      <c r="BD790">
        <v>1.49</v>
      </c>
      <c r="BE790">
        <v>1.49</v>
      </c>
      <c r="BF790">
        <v>1.47</v>
      </c>
      <c r="BG790" t="s">
        <v>12149</v>
      </c>
      <c r="BH790" t="s">
        <v>12150</v>
      </c>
      <c r="BI790" t="s">
        <v>12151</v>
      </c>
      <c r="BJ790" t="s">
        <v>101</v>
      </c>
      <c r="BK790" t="s">
        <v>1687</v>
      </c>
      <c r="BL790" t="s">
        <v>11338</v>
      </c>
      <c r="BM790" t="s">
        <v>7587</v>
      </c>
      <c r="BN790" t="s">
        <v>4063</v>
      </c>
    </row>
    <row r="791" spans="1:66" x14ac:dyDescent="0.25">
      <c r="A791" t="str">
        <f>HYPERLINK("https://elite.finviz.com/quote.ashx?t=DVN&amp;ty=c&amp;p=d&amp;b=1", "DVN")</f>
        <v>DVN</v>
      </c>
      <c r="B791">
        <v>7</v>
      </c>
      <c r="C791">
        <v>138.38</v>
      </c>
      <c r="D791">
        <v>63.33</v>
      </c>
      <c r="E791" t="s">
        <v>12152</v>
      </c>
      <c r="F791" t="s">
        <v>195</v>
      </c>
      <c r="G791" t="s">
        <v>1048</v>
      </c>
      <c r="H791" t="s">
        <v>1049</v>
      </c>
      <c r="I791" t="s">
        <v>70</v>
      </c>
      <c r="J791" t="s">
        <v>71</v>
      </c>
      <c r="K791">
        <v>23522.52</v>
      </c>
      <c r="L791">
        <v>37.06</v>
      </c>
      <c r="M791" t="s">
        <v>3325</v>
      </c>
      <c r="N791">
        <v>3090239</v>
      </c>
      <c r="O791">
        <v>8.3000000000000007</v>
      </c>
      <c r="P791">
        <v>8.48</v>
      </c>
      <c r="Q791">
        <v>1.93</v>
      </c>
      <c r="R791">
        <v>1.4</v>
      </c>
      <c r="S791">
        <v>1.56</v>
      </c>
      <c r="T791" t="s">
        <v>2643</v>
      </c>
      <c r="U791">
        <v>0.94</v>
      </c>
      <c r="V791" t="s">
        <v>3833</v>
      </c>
      <c r="W791" t="s">
        <v>12153</v>
      </c>
      <c r="X791" t="s">
        <v>5675</v>
      </c>
      <c r="Y791" t="s">
        <v>12154</v>
      </c>
      <c r="Z791" t="s">
        <v>12155</v>
      </c>
      <c r="AA791">
        <v>4.46</v>
      </c>
      <c r="AB791" t="s">
        <v>4687</v>
      </c>
      <c r="AD791" t="s">
        <v>5672</v>
      </c>
      <c r="AE791" t="s">
        <v>8188</v>
      </c>
      <c r="AF791" t="s">
        <v>6460</v>
      </c>
      <c r="AG791" t="s">
        <v>12156</v>
      </c>
      <c r="AH791" t="s">
        <v>7231</v>
      </c>
      <c r="AI791" t="s">
        <v>4113</v>
      </c>
      <c r="AJ791" t="s">
        <v>7709</v>
      </c>
      <c r="AK791" t="s">
        <v>12157</v>
      </c>
      <c r="AL791">
        <v>1.22</v>
      </c>
      <c r="AM791">
        <v>1.1299999999999999</v>
      </c>
      <c r="AN791">
        <v>0.6</v>
      </c>
      <c r="AO791" t="s">
        <v>12158</v>
      </c>
      <c r="AP791" t="s">
        <v>112</v>
      </c>
      <c r="AQ791" t="s">
        <v>10252</v>
      </c>
      <c r="AR791" t="s">
        <v>90</v>
      </c>
      <c r="AS791" t="s">
        <v>3456</v>
      </c>
      <c r="AT791" t="s">
        <v>3949</v>
      </c>
      <c r="AU791" t="s">
        <v>418</v>
      </c>
      <c r="AV791" t="s">
        <v>2085</v>
      </c>
      <c r="AW791" t="s">
        <v>5692</v>
      </c>
      <c r="AX791" t="s">
        <v>3428</v>
      </c>
      <c r="AY791" t="s">
        <v>6373</v>
      </c>
      <c r="AZ791" t="s">
        <v>12159</v>
      </c>
      <c r="BA791">
        <v>1.69</v>
      </c>
      <c r="BB791">
        <v>7309.07</v>
      </c>
      <c r="BC791">
        <v>1.49</v>
      </c>
      <c r="BD791">
        <v>35.76</v>
      </c>
      <c r="BE791">
        <v>37.26</v>
      </c>
      <c r="BF791">
        <v>35.79</v>
      </c>
      <c r="BG791" t="s">
        <v>12160</v>
      </c>
      <c r="BH791" t="s">
        <v>12161</v>
      </c>
      <c r="BI791" t="s">
        <v>12162</v>
      </c>
      <c r="BJ791" t="s">
        <v>101</v>
      </c>
      <c r="BK791" t="s">
        <v>1231</v>
      </c>
      <c r="BL791" t="s">
        <v>149</v>
      </c>
      <c r="BM791" t="s">
        <v>12163</v>
      </c>
      <c r="BN791" t="s">
        <v>4063</v>
      </c>
    </row>
    <row r="792" spans="1:66" x14ac:dyDescent="0.25">
      <c r="A792" t="str">
        <f>HYPERLINK("https://elite.finviz.com/quote.ashx?t=SONO&amp;ty=c&amp;p=d&amp;b=1", "SONO")</f>
        <v>SONO</v>
      </c>
      <c r="B792">
        <v>7</v>
      </c>
      <c r="C792">
        <v>138.38</v>
      </c>
      <c r="D792">
        <v>63.45</v>
      </c>
      <c r="E792" t="s">
        <v>12164</v>
      </c>
      <c r="F792" t="s">
        <v>67</v>
      </c>
      <c r="G792" t="s">
        <v>108</v>
      </c>
      <c r="H792" t="s">
        <v>994</v>
      </c>
      <c r="I792" t="s">
        <v>70</v>
      </c>
      <c r="J792" t="s">
        <v>321</v>
      </c>
      <c r="K792">
        <v>1848.26</v>
      </c>
      <c r="L792">
        <v>15.29</v>
      </c>
      <c r="M792" t="s">
        <v>164</v>
      </c>
      <c r="N792">
        <v>180913</v>
      </c>
      <c r="R792">
        <v>1.31</v>
      </c>
      <c r="S792">
        <v>4.67</v>
      </c>
      <c r="AA792">
        <v>-0.65</v>
      </c>
      <c r="AC792" t="s">
        <v>6638</v>
      </c>
      <c r="AD792" t="s">
        <v>12165</v>
      </c>
      <c r="AE792" t="s">
        <v>12166</v>
      </c>
      <c r="AF792" t="s">
        <v>1373</v>
      </c>
      <c r="AG792" t="s">
        <v>2108</v>
      </c>
      <c r="AH792" t="s">
        <v>12167</v>
      </c>
      <c r="AI792" t="s">
        <v>10197</v>
      </c>
      <c r="AJ792" t="s">
        <v>12168</v>
      </c>
      <c r="AK792" t="s">
        <v>12169</v>
      </c>
      <c r="AL792">
        <v>1.59</v>
      </c>
      <c r="AM792">
        <v>1.23</v>
      </c>
      <c r="AN792">
        <v>0.16</v>
      </c>
      <c r="AO792" t="s">
        <v>12170</v>
      </c>
      <c r="AP792" t="s">
        <v>2149</v>
      </c>
      <c r="AQ792" t="s">
        <v>9148</v>
      </c>
      <c r="AR792" t="s">
        <v>5929</v>
      </c>
      <c r="AS792" t="s">
        <v>4945</v>
      </c>
      <c r="AT792" t="s">
        <v>3671</v>
      </c>
      <c r="AU792" t="s">
        <v>8400</v>
      </c>
      <c r="AV792" t="s">
        <v>8110</v>
      </c>
      <c r="AW792" t="s">
        <v>6074</v>
      </c>
      <c r="AX792" t="s">
        <v>12171</v>
      </c>
      <c r="AY792" t="s">
        <v>6074</v>
      </c>
      <c r="AZ792" t="s">
        <v>12172</v>
      </c>
      <c r="BA792">
        <v>2.5</v>
      </c>
      <c r="BB792">
        <v>2022.28</v>
      </c>
      <c r="BC792">
        <v>0.32</v>
      </c>
      <c r="BD792">
        <v>15.29</v>
      </c>
      <c r="BE792">
        <v>15.52</v>
      </c>
      <c r="BF792">
        <v>15.27</v>
      </c>
      <c r="BG792" t="s">
        <v>12173</v>
      </c>
      <c r="BH792" t="s">
        <v>12174</v>
      </c>
      <c r="BI792" t="s">
        <v>12175</v>
      </c>
      <c r="BJ792" t="s">
        <v>101</v>
      </c>
      <c r="BK792" t="s">
        <v>4821</v>
      </c>
      <c r="BL792" t="s">
        <v>5103</v>
      </c>
      <c r="BM792" t="s">
        <v>4599</v>
      </c>
      <c r="BN792" t="s">
        <v>4063</v>
      </c>
    </row>
    <row r="793" spans="1:66" x14ac:dyDescent="0.25">
      <c r="A793" t="str">
        <f>HYPERLINK("https://elite.finviz.com/quote.ashx?t=COP&amp;ty=c&amp;p=d&amp;b=1", "COP")</f>
        <v>COP</v>
      </c>
      <c r="B793">
        <v>7</v>
      </c>
      <c r="C793">
        <v>138.38</v>
      </c>
      <c r="D793">
        <v>63.54</v>
      </c>
      <c r="E793" t="s">
        <v>12176</v>
      </c>
      <c r="F793" t="s">
        <v>195</v>
      </c>
      <c r="G793" t="s">
        <v>1048</v>
      </c>
      <c r="H793" t="s">
        <v>1049</v>
      </c>
      <c r="I793" t="s">
        <v>70</v>
      </c>
      <c r="J793" t="s">
        <v>71</v>
      </c>
      <c r="K793">
        <v>123876.34</v>
      </c>
      <c r="L793">
        <v>99.18</v>
      </c>
      <c r="M793" t="s">
        <v>5121</v>
      </c>
      <c r="N793">
        <v>1790270</v>
      </c>
      <c r="O793">
        <v>13.31</v>
      </c>
      <c r="P793">
        <v>14.75</v>
      </c>
      <c r="Q793">
        <v>3.17</v>
      </c>
      <c r="R793">
        <v>2.15</v>
      </c>
      <c r="S793">
        <v>1.89</v>
      </c>
      <c r="T793" t="s">
        <v>1391</v>
      </c>
      <c r="U793">
        <v>3.12</v>
      </c>
      <c r="V793" t="s">
        <v>1440</v>
      </c>
      <c r="W793" t="s">
        <v>3203</v>
      </c>
      <c r="X793" t="s">
        <v>87</v>
      </c>
      <c r="Y793" t="s">
        <v>705</v>
      </c>
      <c r="Z793" t="s">
        <v>11964</v>
      </c>
      <c r="AA793">
        <v>7.45</v>
      </c>
      <c r="AB793" t="s">
        <v>2428</v>
      </c>
      <c r="AC793" t="s">
        <v>2419</v>
      </c>
      <c r="AD793" t="s">
        <v>5331</v>
      </c>
      <c r="AE793" t="s">
        <v>5121</v>
      </c>
      <c r="AF793" t="s">
        <v>3733</v>
      </c>
      <c r="AG793" t="s">
        <v>7556</v>
      </c>
      <c r="AH793" t="s">
        <v>5425</v>
      </c>
      <c r="AI793" t="s">
        <v>3303</v>
      </c>
      <c r="AJ793" t="s">
        <v>2362</v>
      </c>
      <c r="AK793" t="s">
        <v>12177</v>
      </c>
      <c r="AL793">
        <v>1.27</v>
      </c>
      <c r="AM793">
        <v>1.1000000000000001</v>
      </c>
      <c r="AN793">
        <v>0.36</v>
      </c>
      <c r="AO793" t="s">
        <v>12178</v>
      </c>
      <c r="AP793" t="s">
        <v>6903</v>
      </c>
      <c r="AQ793" t="s">
        <v>4846</v>
      </c>
      <c r="AR793" t="s">
        <v>179</v>
      </c>
      <c r="AS793" t="s">
        <v>4600</v>
      </c>
      <c r="AT793" t="s">
        <v>5620</v>
      </c>
      <c r="AU793" t="s">
        <v>3343</v>
      </c>
      <c r="AV793" t="s">
        <v>615</v>
      </c>
      <c r="AW793" t="s">
        <v>2426</v>
      </c>
      <c r="AX793" t="s">
        <v>2459</v>
      </c>
      <c r="AY793" t="s">
        <v>2452</v>
      </c>
      <c r="AZ793" t="s">
        <v>8207</v>
      </c>
      <c r="BA793">
        <v>1.53</v>
      </c>
      <c r="BB793">
        <v>6676.04</v>
      </c>
      <c r="BC793">
        <v>0.94</v>
      </c>
      <c r="BD793">
        <v>96.81</v>
      </c>
      <c r="BE793">
        <v>99.47</v>
      </c>
      <c r="BF793">
        <v>96.88</v>
      </c>
      <c r="BG793" t="s">
        <v>12179</v>
      </c>
      <c r="BH793" t="s">
        <v>12074</v>
      </c>
      <c r="BI793" t="s">
        <v>12180</v>
      </c>
      <c r="BJ793" t="s">
        <v>101</v>
      </c>
      <c r="BK793" t="s">
        <v>3962</v>
      </c>
      <c r="BL793" t="s">
        <v>8542</v>
      </c>
      <c r="BM793" t="s">
        <v>12181</v>
      </c>
      <c r="BN793" t="s">
        <v>4063</v>
      </c>
    </row>
    <row r="794" spans="1:66" x14ac:dyDescent="0.25">
      <c r="A794" t="str">
        <f>HYPERLINK("https://elite.finviz.com/quote.ashx?t=SPTN&amp;ty=c&amp;p=d&amp;b=1", "SPTN")</f>
        <v>SPTN</v>
      </c>
      <c r="B794">
        <v>7</v>
      </c>
      <c r="C794">
        <v>138.38</v>
      </c>
      <c r="D794">
        <v>63.59</v>
      </c>
      <c r="E794" t="s">
        <v>12182</v>
      </c>
      <c r="F794" t="s">
        <v>107</v>
      </c>
      <c r="G794" t="s">
        <v>2244</v>
      </c>
      <c r="H794" t="s">
        <v>6825</v>
      </c>
      <c r="I794" t="s">
        <v>70</v>
      </c>
      <c r="J794" t="s">
        <v>321</v>
      </c>
      <c r="K794">
        <v>910.78</v>
      </c>
      <c r="L794">
        <v>26.9</v>
      </c>
      <c r="M794" t="s">
        <v>164</v>
      </c>
      <c r="N794">
        <v>0</v>
      </c>
      <c r="P794">
        <v>15.46</v>
      </c>
      <c r="R794">
        <v>0.09</v>
      </c>
      <c r="S794">
        <v>1.23</v>
      </c>
      <c r="T794" t="s">
        <v>2317</v>
      </c>
      <c r="U794">
        <v>0.88</v>
      </c>
      <c r="V794" t="s">
        <v>3833</v>
      </c>
      <c r="W794" t="s">
        <v>5166</v>
      </c>
      <c r="X794" t="s">
        <v>2080</v>
      </c>
      <c r="Y794" t="s">
        <v>4658</v>
      </c>
      <c r="Z794" t="s">
        <v>12183</v>
      </c>
      <c r="AA794">
        <v>-0.48</v>
      </c>
      <c r="AB794" t="s">
        <v>12184</v>
      </c>
      <c r="AC794" t="s">
        <v>12185</v>
      </c>
      <c r="AE794" t="s">
        <v>2572</v>
      </c>
      <c r="AF794" t="s">
        <v>1599</v>
      </c>
      <c r="AG794" t="s">
        <v>6003</v>
      </c>
      <c r="AH794" t="s">
        <v>3925</v>
      </c>
      <c r="AI794" t="s">
        <v>6272</v>
      </c>
      <c r="AJ794" t="s">
        <v>164</v>
      </c>
      <c r="AK794" t="s">
        <v>12186</v>
      </c>
      <c r="AL794">
        <v>1.57</v>
      </c>
      <c r="AM794">
        <v>0.8</v>
      </c>
      <c r="AN794">
        <v>1.43</v>
      </c>
      <c r="AO794" t="s">
        <v>9208</v>
      </c>
      <c r="AP794" t="s">
        <v>102</v>
      </c>
      <c r="AQ794" t="s">
        <v>4955</v>
      </c>
      <c r="AR794" t="s">
        <v>5055</v>
      </c>
      <c r="AS794" t="s">
        <v>3336</v>
      </c>
      <c r="AT794" t="s">
        <v>7388</v>
      </c>
      <c r="AU794" t="s">
        <v>3018</v>
      </c>
      <c r="AV794" t="s">
        <v>12187</v>
      </c>
      <c r="AW794" t="s">
        <v>8374</v>
      </c>
      <c r="AX794" t="s">
        <v>307</v>
      </c>
      <c r="AY794" t="s">
        <v>8374</v>
      </c>
      <c r="AZ794" t="s">
        <v>8060</v>
      </c>
      <c r="BA794">
        <v>3</v>
      </c>
      <c r="BB794">
        <v>1037.57</v>
      </c>
      <c r="BC794">
        <v>0</v>
      </c>
      <c r="BD794">
        <v>26.9</v>
      </c>
      <c r="BE794">
        <v>26.9</v>
      </c>
      <c r="BF794">
        <v>26.9</v>
      </c>
      <c r="BG794" t="s">
        <v>12188</v>
      </c>
      <c r="BH794" t="s">
        <v>12189</v>
      </c>
      <c r="BI794" t="s">
        <v>12190</v>
      </c>
      <c r="BJ794" t="s">
        <v>101</v>
      </c>
      <c r="BK794" t="s">
        <v>12191</v>
      </c>
      <c r="BL794" t="s">
        <v>12106</v>
      </c>
      <c r="BM794" t="s">
        <v>9461</v>
      </c>
      <c r="BN794" t="s">
        <v>4063</v>
      </c>
    </row>
    <row r="795" spans="1:66" x14ac:dyDescent="0.25">
      <c r="A795" t="str">
        <f>HYPERLINK("https://elite.finviz.com/quote.ashx?t=HTZ&amp;ty=c&amp;p=d&amp;b=1", "HTZ")</f>
        <v>HTZ</v>
      </c>
      <c r="B795">
        <v>7</v>
      </c>
      <c r="C795">
        <v>138.38</v>
      </c>
      <c r="D795">
        <v>63.63</v>
      </c>
      <c r="E795" t="s">
        <v>12192</v>
      </c>
      <c r="F795" t="s">
        <v>67</v>
      </c>
      <c r="G795" t="s">
        <v>260</v>
      </c>
      <c r="H795" t="s">
        <v>7905</v>
      </c>
      <c r="I795" t="s">
        <v>70</v>
      </c>
      <c r="J795" t="s">
        <v>321</v>
      </c>
      <c r="K795">
        <v>2145.98</v>
      </c>
      <c r="L795">
        <v>6.91</v>
      </c>
      <c r="M795" t="s">
        <v>6659</v>
      </c>
      <c r="N795">
        <v>2760031</v>
      </c>
      <c r="R795">
        <v>0.25</v>
      </c>
      <c r="AA795">
        <v>-8.2899999999999991</v>
      </c>
      <c r="AB795" t="s">
        <v>12193</v>
      </c>
      <c r="AC795" t="s">
        <v>12194</v>
      </c>
      <c r="AE795" t="s">
        <v>76</v>
      </c>
      <c r="AF795" t="s">
        <v>578</v>
      </c>
      <c r="AG795" t="s">
        <v>3967</v>
      </c>
      <c r="AH795" t="s">
        <v>1659</v>
      </c>
      <c r="AI795" t="s">
        <v>2733</v>
      </c>
      <c r="AJ795" t="s">
        <v>6194</v>
      </c>
      <c r="AK795" t="s">
        <v>12195</v>
      </c>
      <c r="AL795">
        <v>1.1000000000000001</v>
      </c>
      <c r="AM795">
        <v>1.1000000000000001</v>
      </c>
      <c r="AO795" t="s">
        <v>6420</v>
      </c>
      <c r="AP795" t="s">
        <v>4920</v>
      </c>
      <c r="AQ795" t="s">
        <v>12196</v>
      </c>
      <c r="AR795" t="s">
        <v>1215</v>
      </c>
      <c r="AS795" t="s">
        <v>2124</v>
      </c>
      <c r="AT795" t="s">
        <v>237</v>
      </c>
      <c r="AU795" t="s">
        <v>4110</v>
      </c>
      <c r="AV795" t="s">
        <v>3407</v>
      </c>
      <c r="AW795" t="s">
        <v>1622</v>
      </c>
      <c r="AX795" t="s">
        <v>12197</v>
      </c>
      <c r="AY795" t="s">
        <v>12198</v>
      </c>
      <c r="AZ795" t="s">
        <v>12199</v>
      </c>
      <c r="BA795">
        <v>3.7</v>
      </c>
      <c r="BB795">
        <v>8037.97</v>
      </c>
      <c r="BC795">
        <v>1.21</v>
      </c>
      <c r="BD795">
        <v>7.03</v>
      </c>
      <c r="BE795">
        <v>7</v>
      </c>
      <c r="BF795">
        <v>6.74</v>
      </c>
      <c r="BG795" t="s">
        <v>12200</v>
      </c>
      <c r="BH795" t="s">
        <v>12201</v>
      </c>
      <c r="BI795" t="s">
        <v>12202</v>
      </c>
      <c r="BJ795" t="s">
        <v>101</v>
      </c>
      <c r="BK795" t="s">
        <v>4688</v>
      </c>
      <c r="BL795" t="s">
        <v>12203</v>
      </c>
      <c r="BM795" t="s">
        <v>6261</v>
      </c>
      <c r="BN795" t="s">
        <v>4063</v>
      </c>
    </row>
    <row r="796" spans="1:66" x14ac:dyDescent="0.25">
      <c r="A796" t="str">
        <f>HYPERLINK("https://elite.finviz.com/quote.ashx?t=WEC&amp;ty=c&amp;p=d&amp;b=1", "WEC")</f>
        <v>WEC</v>
      </c>
      <c r="B796">
        <v>7</v>
      </c>
      <c r="C796">
        <v>138.38</v>
      </c>
      <c r="D796">
        <v>63.66</v>
      </c>
      <c r="E796" t="s">
        <v>12204</v>
      </c>
      <c r="F796" t="s">
        <v>195</v>
      </c>
      <c r="G796" t="s">
        <v>287</v>
      </c>
      <c r="H796" t="s">
        <v>676</v>
      </c>
      <c r="I796" t="s">
        <v>70</v>
      </c>
      <c r="J796" t="s">
        <v>71</v>
      </c>
      <c r="K796">
        <v>36138.550000000003</v>
      </c>
      <c r="L796">
        <v>112.28</v>
      </c>
      <c r="M796" t="s">
        <v>3761</v>
      </c>
      <c r="N796">
        <v>233117</v>
      </c>
      <c r="O796">
        <v>21.52</v>
      </c>
      <c r="P796">
        <v>20.11</v>
      </c>
      <c r="Q796">
        <v>3.04</v>
      </c>
      <c r="R796">
        <v>3.88</v>
      </c>
      <c r="S796">
        <v>2.73</v>
      </c>
      <c r="T796" t="s">
        <v>4204</v>
      </c>
      <c r="U796">
        <v>3.51</v>
      </c>
      <c r="V796" t="s">
        <v>2708</v>
      </c>
      <c r="W796" t="s">
        <v>8852</v>
      </c>
      <c r="X796" t="s">
        <v>5999</v>
      </c>
      <c r="Y796" t="s">
        <v>3432</v>
      </c>
      <c r="Z796" t="s">
        <v>12205</v>
      </c>
      <c r="AA796">
        <v>5.22</v>
      </c>
      <c r="AB796" t="s">
        <v>5859</v>
      </c>
      <c r="AC796" t="s">
        <v>4686</v>
      </c>
      <c r="AD796" t="s">
        <v>2448</v>
      </c>
      <c r="AE796" t="s">
        <v>265</v>
      </c>
      <c r="AF796" t="s">
        <v>273</v>
      </c>
      <c r="AG796" t="s">
        <v>2496</v>
      </c>
      <c r="AH796" t="s">
        <v>7298</v>
      </c>
      <c r="AI796" t="s">
        <v>1090</v>
      </c>
      <c r="AJ796" t="s">
        <v>12206</v>
      </c>
      <c r="AK796" t="s">
        <v>6178</v>
      </c>
      <c r="AL796">
        <v>0.55000000000000004</v>
      </c>
      <c r="AM796">
        <v>0.4</v>
      </c>
      <c r="AN796">
        <v>1.55</v>
      </c>
      <c r="AO796" t="s">
        <v>10924</v>
      </c>
      <c r="AP796" t="s">
        <v>2129</v>
      </c>
      <c r="AQ796" t="s">
        <v>10638</v>
      </c>
      <c r="AR796" t="s">
        <v>3019</v>
      </c>
      <c r="AS796" t="s">
        <v>5745</v>
      </c>
      <c r="AT796" t="s">
        <v>5780</v>
      </c>
      <c r="AU796" t="s">
        <v>2624</v>
      </c>
      <c r="AV796" t="s">
        <v>3121</v>
      </c>
      <c r="AW796" t="s">
        <v>6194</v>
      </c>
      <c r="AX796" t="s">
        <v>2945</v>
      </c>
      <c r="AY796" t="s">
        <v>6194</v>
      </c>
      <c r="AZ796" t="s">
        <v>7501</v>
      </c>
      <c r="BA796">
        <v>2.67</v>
      </c>
      <c r="BB796">
        <v>2061.0700000000002</v>
      </c>
      <c r="BC796">
        <v>0.4</v>
      </c>
      <c r="BD796">
        <v>111.24</v>
      </c>
      <c r="BE796">
        <v>112.76</v>
      </c>
      <c r="BF796">
        <v>111.38</v>
      </c>
      <c r="BG796" t="s">
        <v>12207</v>
      </c>
      <c r="BH796" t="s">
        <v>6194</v>
      </c>
      <c r="BI796" t="s">
        <v>12208</v>
      </c>
      <c r="BJ796" t="s">
        <v>101</v>
      </c>
      <c r="BK796" t="s">
        <v>10542</v>
      </c>
      <c r="BL796" t="s">
        <v>1772</v>
      </c>
      <c r="BM796" t="s">
        <v>12209</v>
      </c>
      <c r="BN796" t="s">
        <v>4063</v>
      </c>
    </row>
    <row r="797" spans="1:66" x14ac:dyDescent="0.25">
      <c r="A797" t="str">
        <f>HYPERLINK("https://elite.finviz.com/quote.ashx?t=FDX&amp;ty=c&amp;p=d&amp;b=1", "FDX")</f>
        <v>FDX</v>
      </c>
      <c r="B797">
        <v>7</v>
      </c>
      <c r="C797">
        <v>138.38</v>
      </c>
      <c r="D797">
        <v>63.66</v>
      </c>
      <c r="E797" t="s">
        <v>12210</v>
      </c>
      <c r="F797" t="s">
        <v>195</v>
      </c>
      <c r="G797" t="s">
        <v>260</v>
      </c>
      <c r="H797" t="s">
        <v>7853</v>
      </c>
      <c r="I797" t="s">
        <v>70</v>
      </c>
      <c r="J797" t="s">
        <v>71</v>
      </c>
      <c r="K797">
        <v>56363.86</v>
      </c>
      <c r="L797">
        <v>238.88</v>
      </c>
      <c r="M797" t="s">
        <v>2610</v>
      </c>
      <c r="N797">
        <v>476203</v>
      </c>
      <c r="O797">
        <v>13.96</v>
      </c>
      <c r="P797">
        <v>11.4</v>
      </c>
      <c r="Q797">
        <v>1.57</v>
      </c>
      <c r="R797">
        <v>0.64</v>
      </c>
      <c r="S797">
        <v>2.0299999999999998</v>
      </c>
      <c r="T797" t="s">
        <v>4710</v>
      </c>
      <c r="U797">
        <v>5.66</v>
      </c>
      <c r="V797" t="s">
        <v>9611</v>
      </c>
      <c r="W797" t="s">
        <v>9570</v>
      </c>
      <c r="X797" t="s">
        <v>1778</v>
      </c>
      <c r="Y797" t="s">
        <v>1999</v>
      </c>
      <c r="Z797" t="s">
        <v>946</v>
      </c>
      <c r="AA797">
        <v>17.11</v>
      </c>
      <c r="AB797" t="s">
        <v>6956</v>
      </c>
      <c r="AC797" t="s">
        <v>10345</v>
      </c>
      <c r="AD797" t="s">
        <v>10542</v>
      </c>
      <c r="AE797" t="s">
        <v>1279</v>
      </c>
      <c r="AF797" t="s">
        <v>10581</v>
      </c>
      <c r="AG797" t="s">
        <v>246</v>
      </c>
      <c r="AH797" t="s">
        <v>5188</v>
      </c>
      <c r="AI797" t="s">
        <v>3148</v>
      </c>
      <c r="AJ797" t="s">
        <v>4086</v>
      </c>
      <c r="AK797" t="s">
        <v>12211</v>
      </c>
      <c r="AL797">
        <v>1.25</v>
      </c>
      <c r="AM797">
        <v>1.21</v>
      </c>
      <c r="AN797">
        <v>1.36</v>
      </c>
      <c r="AO797" t="s">
        <v>7254</v>
      </c>
      <c r="AP797" t="s">
        <v>4999</v>
      </c>
      <c r="AQ797" t="s">
        <v>2809</v>
      </c>
      <c r="AR797" t="s">
        <v>5121</v>
      </c>
      <c r="AS797" t="s">
        <v>714</v>
      </c>
      <c r="AT797" t="s">
        <v>8625</v>
      </c>
      <c r="AU797" t="s">
        <v>5331</v>
      </c>
      <c r="AV797" t="s">
        <v>2213</v>
      </c>
      <c r="AW797" t="s">
        <v>8293</v>
      </c>
      <c r="AX797" t="s">
        <v>2376</v>
      </c>
      <c r="AY797" t="s">
        <v>12212</v>
      </c>
      <c r="AZ797" t="s">
        <v>12213</v>
      </c>
      <c r="BA797">
        <v>2.0299999999999998</v>
      </c>
      <c r="BB797">
        <v>2176.27</v>
      </c>
      <c r="BC797">
        <v>0.77</v>
      </c>
      <c r="BD797">
        <v>236.42</v>
      </c>
      <c r="BE797">
        <v>242</v>
      </c>
      <c r="BF797">
        <v>236.96</v>
      </c>
      <c r="BG797" t="s">
        <v>12214</v>
      </c>
      <c r="BH797" t="s">
        <v>12215</v>
      </c>
      <c r="BI797" t="s">
        <v>12216</v>
      </c>
      <c r="BJ797" t="s">
        <v>101</v>
      </c>
      <c r="BK797" t="s">
        <v>3520</v>
      </c>
      <c r="BL797" t="s">
        <v>2190</v>
      </c>
      <c r="BM797" t="s">
        <v>8794</v>
      </c>
      <c r="BN797" t="s">
        <v>4063</v>
      </c>
    </row>
    <row r="798" spans="1:66" x14ac:dyDescent="0.25">
      <c r="A798" t="str">
        <f>HYPERLINK("https://elite.finviz.com/quote.ashx?t=FCEL&amp;ty=c&amp;p=d&amp;b=1", "FCEL")</f>
        <v>FCEL</v>
      </c>
      <c r="B798">
        <v>7</v>
      </c>
      <c r="C798">
        <v>138.38</v>
      </c>
      <c r="D798">
        <v>63.69</v>
      </c>
      <c r="E798" t="s">
        <v>12217</v>
      </c>
      <c r="F798" t="s">
        <v>107</v>
      </c>
      <c r="G798" t="s">
        <v>260</v>
      </c>
      <c r="H798" t="s">
        <v>1128</v>
      </c>
      <c r="I798" t="s">
        <v>70</v>
      </c>
      <c r="J798" t="s">
        <v>321</v>
      </c>
      <c r="K798">
        <v>256.91000000000003</v>
      </c>
      <c r="L798">
        <v>7.95</v>
      </c>
      <c r="M798" t="s">
        <v>2881</v>
      </c>
      <c r="N798">
        <v>1038483</v>
      </c>
      <c r="R798">
        <v>1.69</v>
      </c>
      <c r="S798">
        <v>0.42</v>
      </c>
      <c r="AA798">
        <v>-9.2100000000000009</v>
      </c>
      <c r="AB798" t="s">
        <v>4641</v>
      </c>
      <c r="AC798" t="s">
        <v>12218</v>
      </c>
      <c r="AD798" t="s">
        <v>10513</v>
      </c>
      <c r="AE798" t="s">
        <v>12219</v>
      </c>
      <c r="AF798" t="s">
        <v>12220</v>
      </c>
      <c r="AG798" t="s">
        <v>1470</v>
      </c>
      <c r="AH798" t="s">
        <v>8443</v>
      </c>
      <c r="AI798" t="s">
        <v>12221</v>
      </c>
      <c r="AJ798" t="s">
        <v>164</v>
      </c>
      <c r="AK798" t="s">
        <v>12222</v>
      </c>
      <c r="AL798">
        <v>5.37</v>
      </c>
      <c r="AM798">
        <v>3.85</v>
      </c>
      <c r="AN798">
        <v>0.22</v>
      </c>
      <c r="AO798" t="s">
        <v>12223</v>
      </c>
      <c r="AP798" t="s">
        <v>12224</v>
      </c>
      <c r="AQ798" t="s">
        <v>12225</v>
      </c>
      <c r="AR798" t="s">
        <v>4109</v>
      </c>
      <c r="AS798" t="s">
        <v>1395</v>
      </c>
      <c r="AT798" t="s">
        <v>6515</v>
      </c>
      <c r="AU798" t="s">
        <v>12226</v>
      </c>
      <c r="AV798" t="s">
        <v>8237</v>
      </c>
      <c r="AW798" t="s">
        <v>10211</v>
      </c>
      <c r="AX798" t="s">
        <v>12227</v>
      </c>
      <c r="AY798" t="s">
        <v>1109</v>
      </c>
      <c r="AZ798" t="s">
        <v>12228</v>
      </c>
      <c r="BA798">
        <v>3.5</v>
      </c>
      <c r="BB798">
        <v>2624.48</v>
      </c>
      <c r="BC798">
        <v>1.39</v>
      </c>
      <c r="BD798">
        <v>7.88</v>
      </c>
      <c r="BE798">
        <v>8.17</v>
      </c>
      <c r="BF798">
        <v>7.72</v>
      </c>
      <c r="BG798" t="s">
        <v>12229</v>
      </c>
      <c r="BH798" t="s">
        <v>579</v>
      </c>
      <c r="BI798" t="s">
        <v>12228</v>
      </c>
      <c r="BJ798" t="s">
        <v>101</v>
      </c>
      <c r="BK798" t="s">
        <v>12116</v>
      </c>
      <c r="BL798" t="s">
        <v>12230</v>
      </c>
      <c r="BM798" t="s">
        <v>12231</v>
      </c>
      <c r="BN798" t="s">
        <v>4063</v>
      </c>
    </row>
    <row r="799" spans="1:66" x14ac:dyDescent="0.25">
      <c r="A799" t="str">
        <f>HYPERLINK("https://elite.finviz.com/quote.ashx?t=PTIX&amp;ty=c&amp;p=d&amp;b=1", "PTIX")</f>
        <v>PTIX</v>
      </c>
      <c r="B799">
        <v>7</v>
      </c>
      <c r="C799">
        <v>138.38</v>
      </c>
      <c r="D799">
        <v>63.74</v>
      </c>
      <c r="E799" t="s">
        <v>12232</v>
      </c>
      <c r="F799" t="s">
        <v>107</v>
      </c>
      <c r="G799" t="s">
        <v>428</v>
      </c>
      <c r="H799" t="s">
        <v>429</v>
      </c>
      <c r="I799" t="s">
        <v>70</v>
      </c>
      <c r="J799" t="s">
        <v>321</v>
      </c>
      <c r="K799">
        <v>8.27</v>
      </c>
      <c r="L799">
        <v>4.32</v>
      </c>
      <c r="M799" t="s">
        <v>2609</v>
      </c>
      <c r="N799">
        <v>16503</v>
      </c>
      <c r="AA799">
        <v>-11.76</v>
      </c>
      <c r="AB799" t="s">
        <v>5780</v>
      </c>
      <c r="AC799" t="s">
        <v>7151</v>
      </c>
      <c r="AJ799" t="s">
        <v>164</v>
      </c>
      <c r="AK799" t="s">
        <v>7710</v>
      </c>
      <c r="AL799">
        <v>0.41</v>
      </c>
      <c r="AM799">
        <v>0.41</v>
      </c>
      <c r="AR799" t="s">
        <v>5607</v>
      </c>
      <c r="AS799" t="s">
        <v>8727</v>
      </c>
      <c r="AT799" t="s">
        <v>6969</v>
      </c>
      <c r="AU799" t="s">
        <v>5487</v>
      </c>
      <c r="AV799" t="s">
        <v>6117</v>
      </c>
      <c r="AW799" t="s">
        <v>12233</v>
      </c>
      <c r="AX799" t="s">
        <v>12234</v>
      </c>
      <c r="AY799" t="s">
        <v>10554</v>
      </c>
      <c r="AZ799" t="s">
        <v>12234</v>
      </c>
      <c r="BB799">
        <v>2706.39</v>
      </c>
      <c r="BC799">
        <v>0.02</v>
      </c>
      <c r="BD799">
        <v>4.24</v>
      </c>
      <c r="BE799">
        <v>4.32</v>
      </c>
      <c r="BF799">
        <v>4.21</v>
      </c>
      <c r="BG799" t="s">
        <v>12235</v>
      </c>
      <c r="BH799" t="s">
        <v>579</v>
      </c>
      <c r="BI799" t="s">
        <v>12234</v>
      </c>
      <c r="BJ799" t="s">
        <v>101</v>
      </c>
      <c r="BK799" t="s">
        <v>4130</v>
      </c>
      <c r="BL799" t="s">
        <v>7640</v>
      </c>
      <c r="BM799" t="s">
        <v>12236</v>
      </c>
      <c r="BN799" t="s">
        <v>4063</v>
      </c>
    </row>
    <row r="800" spans="1:66" x14ac:dyDescent="0.25">
      <c r="A800" t="str">
        <f>HYPERLINK("https://elite.finviz.com/quote.ashx?t=AFL&amp;ty=c&amp;p=d&amp;b=1", "AFL")</f>
        <v>AFL</v>
      </c>
      <c r="B800">
        <v>7</v>
      </c>
      <c r="C800">
        <v>138.38</v>
      </c>
      <c r="D800">
        <v>63.75</v>
      </c>
      <c r="E800" t="s">
        <v>12237</v>
      </c>
      <c r="F800" t="s">
        <v>195</v>
      </c>
      <c r="G800" t="s">
        <v>550</v>
      </c>
      <c r="H800" t="s">
        <v>5652</v>
      </c>
      <c r="I800" t="s">
        <v>70</v>
      </c>
      <c r="J800" t="s">
        <v>71</v>
      </c>
      <c r="K800">
        <v>59187.12</v>
      </c>
      <c r="L800">
        <v>110.67</v>
      </c>
      <c r="M800" t="s">
        <v>344</v>
      </c>
      <c r="N800">
        <v>314886</v>
      </c>
      <c r="O800">
        <v>25.02</v>
      </c>
      <c r="P800">
        <v>15.13</v>
      </c>
      <c r="Q800">
        <v>10.56</v>
      </c>
      <c r="R800">
        <v>3.72</v>
      </c>
      <c r="S800">
        <v>2.1800000000000002</v>
      </c>
      <c r="T800" t="s">
        <v>6151</v>
      </c>
      <c r="U800">
        <v>2.2400000000000002</v>
      </c>
      <c r="V800" t="s">
        <v>5737</v>
      </c>
      <c r="W800" t="s">
        <v>10711</v>
      </c>
      <c r="X800" t="s">
        <v>4295</v>
      </c>
      <c r="Y800" t="s">
        <v>1557</v>
      </c>
      <c r="Z800" t="s">
        <v>12238</v>
      </c>
      <c r="AA800">
        <v>4.42</v>
      </c>
      <c r="AB800" t="s">
        <v>8848</v>
      </c>
      <c r="AC800" t="s">
        <v>4601</v>
      </c>
      <c r="AD800" t="s">
        <v>4600</v>
      </c>
      <c r="AE800" t="s">
        <v>12239</v>
      </c>
      <c r="AF800" t="s">
        <v>10194</v>
      </c>
      <c r="AG800" t="s">
        <v>4168</v>
      </c>
      <c r="AH800" t="s">
        <v>11872</v>
      </c>
      <c r="AI800" t="s">
        <v>1872</v>
      </c>
      <c r="AJ800" t="s">
        <v>6192</v>
      </c>
      <c r="AK800" t="s">
        <v>12240</v>
      </c>
      <c r="AL800">
        <v>1.4</v>
      </c>
      <c r="AN800">
        <v>0.33</v>
      </c>
      <c r="AP800" t="s">
        <v>5492</v>
      </c>
      <c r="AQ800" t="s">
        <v>11062</v>
      </c>
      <c r="AR800" t="s">
        <v>2185</v>
      </c>
      <c r="AS800" t="s">
        <v>2145</v>
      </c>
      <c r="AT800" t="s">
        <v>1776</v>
      </c>
      <c r="AU800" t="s">
        <v>2744</v>
      </c>
      <c r="AV800" t="s">
        <v>3958</v>
      </c>
      <c r="AW800" t="s">
        <v>3336</v>
      </c>
      <c r="AX800" t="s">
        <v>11027</v>
      </c>
      <c r="AY800" t="s">
        <v>842</v>
      </c>
      <c r="AZ800" t="s">
        <v>11027</v>
      </c>
      <c r="BA800">
        <v>3.12</v>
      </c>
      <c r="BB800">
        <v>2610.59</v>
      </c>
      <c r="BC800">
        <v>0.42</v>
      </c>
      <c r="BD800">
        <v>109.48</v>
      </c>
      <c r="BE800">
        <v>111.27</v>
      </c>
      <c r="BF800">
        <v>109.94</v>
      </c>
      <c r="BG800" t="s">
        <v>12241</v>
      </c>
      <c r="BH800" t="s">
        <v>842</v>
      </c>
      <c r="BI800" t="s">
        <v>12242</v>
      </c>
      <c r="BJ800" t="s">
        <v>101</v>
      </c>
      <c r="BK800" t="s">
        <v>3066</v>
      </c>
      <c r="BL800" t="s">
        <v>2638</v>
      </c>
      <c r="BM800" t="s">
        <v>6829</v>
      </c>
      <c r="BN800" t="s">
        <v>4063</v>
      </c>
    </row>
    <row r="801" spans="1:66" x14ac:dyDescent="0.25">
      <c r="A801" t="str">
        <f>HYPERLINK("https://elite.finviz.com/quote.ashx?t=QS&amp;ty=c&amp;p=d&amp;b=1", "QS")</f>
        <v>QS</v>
      </c>
      <c r="B801">
        <v>7</v>
      </c>
      <c r="C801">
        <v>138.38</v>
      </c>
      <c r="D801">
        <v>63.78</v>
      </c>
      <c r="E801" t="s">
        <v>12243</v>
      </c>
      <c r="F801" t="s">
        <v>107</v>
      </c>
      <c r="G801" t="s">
        <v>813</v>
      </c>
      <c r="H801" t="s">
        <v>814</v>
      </c>
      <c r="I801" t="s">
        <v>70</v>
      </c>
      <c r="J801" t="s">
        <v>71</v>
      </c>
      <c r="K801">
        <v>6936.66</v>
      </c>
      <c r="L801">
        <v>12.26</v>
      </c>
      <c r="M801" t="s">
        <v>1225</v>
      </c>
      <c r="N801">
        <v>10681823</v>
      </c>
      <c r="S801">
        <v>6.76</v>
      </c>
      <c r="AA801">
        <v>-0.87</v>
      </c>
      <c r="AB801" t="s">
        <v>4470</v>
      </c>
      <c r="AC801" t="s">
        <v>12244</v>
      </c>
      <c r="AD801" t="s">
        <v>6530</v>
      </c>
      <c r="AI801" t="s">
        <v>2542</v>
      </c>
      <c r="AJ801" t="s">
        <v>9854</v>
      </c>
      <c r="AK801" t="s">
        <v>12245</v>
      </c>
      <c r="AL801">
        <v>16.399999999999999</v>
      </c>
      <c r="AM801">
        <v>16.399999999999999</v>
      </c>
      <c r="AN801">
        <v>0.09</v>
      </c>
      <c r="AR801" t="s">
        <v>2595</v>
      </c>
      <c r="AS801" t="s">
        <v>7945</v>
      </c>
      <c r="AT801" t="s">
        <v>11602</v>
      </c>
      <c r="AU801" t="s">
        <v>2897</v>
      </c>
      <c r="AV801" t="s">
        <v>12246</v>
      </c>
      <c r="AW801" t="s">
        <v>12247</v>
      </c>
      <c r="AX801" t="s">
        <v>12248</v>
      </c>
      <c r="AY801" t="s">
        <v>12247</v>
      </c>
      <c r="AZ801" t="s">
        <v>12249</v>
      </c>
      <c r="BA801">
        <v>3.5</v>
      </c>
      <c r="BB801">
        <v>47536.82</v>
      </c>
      <c r="BC801">
        <v>0.79</v>
      </c>
      <c r="BD801">
        <v>12.5</v>
      </c>
      <c r="BE801">
        <v>12.93</v>
      </c>
      <c r="BF801">
        <v>12.19</v>
      </c>
      <c r="BG801" t="s">
        <v>12250</v>
      </c>
      <c r="BH801" t="s">
        <v>12251</v>
      </c>
      <c r="BI801" t="s">
        <v>12249</v>
      </c>
      <c r="BJ801" t="s">
        <v>101</v>
      </c>
      <c r="BK801" t="s">
        <v>4661</v>
      </c>
      <c r="BL801" t="s">
        <v>12252</v>
      </c>
      <c r="BM801" t="s">
        <v>12253</v>
      </c>
      <c r="BN801" t="s">
        <v>4063</v>
      </c>
    </row>
    <row r="802" spans="1:66" x14ac:dyDescent="0.25">
      <c r="A802" t="str">
        <f>HYPERLINK("https://elite.finviz.com/quote.ashx?t=KNTK&amp;ty=c&amp;p=d&amp;b=1", "KNTK")</f>
        <v>KNTK</v>
      </c>
      <c r="B802">
        <v>7</v>
      </c>
      <c r="C802">
        <v>138.38</v>
      </c>
      <c r="D802">
        <v>63.83</v>
      </c>
      <c r="E802" t="s">
        <v>12254</v>
      </c>
      <c r="F802" t="s">
        <v>67</v>
      </c>
      <c r="G802" t="s">
        <v>1048</v>
      </c>
      <c r="H802" t="s">
        <v>3915</v>
      </c>
      <c r="I802" t="s">
        <v>70</v>
      </c>
      <c r="J802" t="s">
        <v>71</v>
      </c>
      <c r="K802">
        <v>7484.99</v>
      </c>
      <c r="L802">
        <v>46.22</v>
      </c>
      <c r="M802" t="s">
        <v>212</v>
      </c>
      <c r="N802">
        <v>216196</v>
      </c>
      <c r="O802">
        <v>63.89</v>
      </c>
      <c r="P802">
        <v>20.77</v>
      </c>
      <c r="Q802">
        <v>1.75</v>
      </c>
      <c r="R802">
        <v>4.53</v>
      </c>
      <c r="T802" t="s">
        <v>3566</v>
      </c>
      <c r="U802">
        <v>3.12</v>
      </c>
      <c r="V802" t="s">
        <v>12255</v>
      </c>
      <c r="W802" t="s">
        <v>1457</v>
      </c>
      <c r="X802" t="s">
        <v>2290</v>
      </c>
      <c r="Z802" t="s">
        <v>12256</v>
      </c>
      <c r="AA802">
        <v>0.72</v>
      </c>
      <c r="AD802" t="s">
        <v>8559</v>
      </c>
      <c r="AE802" t="s">
        <v>2883</v>
      </c>
      <c r="AF802" t="s">
        <v>12257</v>
      </c>
      <c r="AG802" t="s">
        <v>2679</v>
      </c>
      <c r="AH802" t="s">
        <v>907</v>
      </c>
      <c r="AI802" t="s">
        <v>12258</v>
      </c>
      <c r="AJ802" t="s">
        <v>9704</v>
      </c>
      <c r="AK802" t="s">
        <v>6855</v>
      </c>
      <c r="AL802">
        <v>0.62</v>
      </c>
      <c r="AM802">
        <v>0.62</v>
      </c>
      <c r="AO802" t="s">
        <v>7807</v>
      </c>
      <c r="AP802" t="s">
        <v>4829</v>
      </c>
      <c r="AQ802" t="s">
        <v>4976</v>
      </c>
      <c r="AR802" t="s">
        <v>749</v>
      </c>
      <c r="AS802" t="s">
        <v>2317</v>
      </c>
      <c r="AT802" t="s">
        <v>1691</v>
      </c>
      <c r="AU802" t="s">
        <v>3189</v>
      </c>
      <c r="AV802" t="s">
        <v>12259</v>
      </c>
      <c r="AW802" t="s">
        <v>7598</v>
      </c>
      <c r="AX802" t="s">
        <v>7255</v>
      </c>
      <c r="AY802" t="s">
        <v>2295</v>
      </c>
      <c r="AZ802" t="s">
        <v>7255</v>
      </c>
      <c r="BA802">
        <v>1.81</v>
      </c>
      <c r="BB802">
        <v>1298.77</v>
      </c>
      <c r="BC802">
        <v>0.59</v>
      </c>
      <c r="BD802">
        <v>45.26</v>
      </c>
      <c r="BE802">
        <v>46.62</v>
      </c>
      <c r="BF802">
        <v>45.21</v>
      </c>
      <c r="BG802" t="s">
        <v>12260</v>
      </c>
      <c r="BH802" t="s">
        <v>12261</v>
      </c>
      <c r="BI802" t="s">
        <v>12262</v>
      </c>
      <c r="BJ802" t="s">
        <v>101</v>
      </c>
      <c r="BK802" t="s">
        <v>161</v>
      </c>
      <c r="BL802" t="s">
        <v>10332</v>
      </c>
      <c r="BM802" t="s">
        <v>6464</v>
      </c>
      <c r="BN802" t="s">
        <v>4063</v>
      </c>
    </row>
    <row r="803" spans="1:66" x14ac:dyDescent="0.25">
      <c r="A803" t="str">
        <f>HYPERLINK("https://elite.finviz.com/quote.ashx?t=TTMI&amp;ty=c&amp;p=d&amp;b=1", "TTMI")</f>
        <v>TTMI</v>
      </c>
      <c r="B803">
        <v>7</v>
      </c>
      <c r="C803">
        <v>138.38</v>
      </c>
      <c r="D803">
        <v>63.85</v>
      </c>
      <c r="E803" t="s">
        <v>12263</v>
      </c>
      <c r="F803" t="s">
        <v>67</v>
      </c>
      <c r="G803" t="s">
        <v>108</v>
      </c>
      <c r="H803" t="s">
        <v>3346</v>
      </c>
      <c r="I803" t="s">
        <v>70</v>
      </c>
      <c r="J803" t="s">
        <v>321</v>
      </c>
      <c r="K803">
        <v>5628.51</v>
      </c>
      <c r="L803">
        <v>54.48</v>
      </c>
      <c r="M803" t="s">
        <v>2745</v>
      </c>
      <c r="N803">
        <v>590550</v>
      </c>
      <c r="O803">
        <v>61.14</v>
      </c>
      <c r="P803">
        <v>20.97</v>
      </c>
      <c r="Q803">
        <v>3.39</v>
      </c>
      <c r="R803">
        <v>2.13</v>
      </c>
      <c r="S803">
        <v>3.44</v>
      </c>
      <c r="Z803" t="s">
        <v>164</v>
      </c>
      <c r="AA803">
        <v>0.89</v>
      </c>
      <c r="AB803" t="s">
        <v>4800</v>
      </c>
      <c r="AC803" t="s">
        <v>5025</v>
      </c>
      <c r="AD803" t="s">
        <v>1643</v>
      </c>
      <c r="AE803" t="s">
        <v>8437</v>
      </c>
      <c r="AF803" t="s">
        <v>3173</v>
      </c>
      <c r="AG803" t="s">
        <v>2743</v>
      </c>
      <c r="AH803" t="s">
        <v>3065</v>
      </c>
      <c r="AI803" t="s">
        <v>483</v>
      </c>
      <c r="AJ803" t="s">
        <v>2951</v>
      </c>
      <c r="AK803" t="s">
        <v>12264</v>
      </c>
      <c r="AL803">
        <v>2.0299999999999998</v>
      </c>
      <c r="AM803">
        <v>1.72</v>
      </c>
      <c r="AN803">
        <v>0.63</v>
      </c>
      <c r="AO803" t="s">
        <v>12265</v>
      </c>
      <c r="AP803" t="s">
        <v>1515</v>
      </c>
      <c r="AQ803" t="s">
        <v>2495</v>
      </c>
      <c r="AR803" t="s">
        <v>351</v>
      </c>
      <c r="AS803" t="s">
        <v>246</v>
      </c>
      <c r="AT803" t="s">
        <v>1468</v>
      </c>
      <c r="AU803" t="s">
        <v>12266</v>
      </c>
      <c r="AV803" t="s">
        <v>12267</v>
      </c>
      <c r="AW803" t="s">
        <v>2616</v>
      </c>
      <c r="AX803" t="s">
        <v>10598</v>
      </c>
      <c r="AY803" t="s">
        <v>2616</v>
      </c>
      <c r="AZ803" t="s">
        <v>12268</v>
      </c>
      <c r="BA803">
        <v>1</v>
      </c>
      <c r="BB803">
        <v>2431.02</v>
      </c>
      <c r="BC803">
        <v>0.86</v>
      </c>
      <c r="BD803">
        <v>54.51</v>
      </c>
      <c r="BE803">
        <v>55.56</v>
      </c>
      <c r="BF803">
        <v>54.16</v>
      </c>
      <c r="BG803" t="s">
        <v>12269</v>
      </c>
      <c r="BH803" t="s">
        <v>2616</v>
      </c>
      <c r="BI803" t="s">
        <v>12270</v>
      </c>
      <c r="BJ803" t="s">
        <v>101</v>
      </c>
      <c r="BK803" t="s">
        <v>1017</v>
      </c>
      <c r="BL803" t="s">
        <v>12271</v>
      </c>
      <c r="BM803" t="s">
        <v>12272</v>
      </c>
      <c r="BN803" t="s">
        <v>4063</v>
      </c>
    </row>
    <row r="804" spans="1:66" x14ac:dyDescent="0.25">
      <c r="A804" t="str">
        <f>HYPERLINK("https://elite.finviz.com/quote.ashx?t=CHRW&amp;ty=c&amp;p=d&amp;b=1", "CHRW")</f>
        <v>CHRW</v>
      </c>
      <c r="B804">
        <v>7</v>
      </c>
      <c r="C804">
        <v>138.38</v>
      </c>
      <c r="D804">
        <v>63.93</v>
      </c>
      <c r="E804" t="s">
        <v>12273</v>
      </c>
      <c r="F804" t="s">
        <v>195</v>
      </c>
      <c r="G804" t="s">
        <v>260</v>
      </c>
      <c r="H804" t="s">
        <v>7853</v>
      </c>
      <c r="I804" t="s">
        <v>70</v>
      </c>
      <c r="J804" t="s">
        <v>321</v>
      </c>
      <c r="K804">
        <v>15738.01</v>
      </c>
      <c r="L804">
        <v>133.27000000000001</v>
      </c>
      <c r="M804" t="s">
        <v>7346</v>
      </c>
      <c r="N804">
        <v>198433</v>
      </c>
      <c r="O804">
        <v>30.34</v>
      </c>
      <c r="P804">
        <v>23.96</v>
      </c>
      <c r="Q804">
        <v>3.35</v>
      </c>
      <c r="R804">
        <v>0.93</v>
      </c>
      <c r="S804">
        <v>8.84</v>
      </c>
      <c r="T804" t="s">
        <v>910</v>
      </c>
      <c r="U804">
        <v>2.48</v>
      </c>
      <c r="V804" t="s">
        <v>4548</v>
      </c>
      <c r="W804" t="s">
        <v>969</v>
      </c>
      <c r="X804" t="s">
        <v>1026</v>
      </c>
      <c r="Y804" t="s">
        <v>2170</v>
      </c>
      <c r="Z804" t="s">
        <v>10160</v>
      </c>
      <c r="AA804">
        <v>4.3899999999999997</v>
      </c>
      <c r="AB804" t="s">
        <v>6482</v>
      </c>
      <c r="AC804" t="s">
        <v>9511</v>
      </c>
      <c r="AD804" t="s">
        <v>2625</v>
      </c>
      <c r="AE804" t="s">
        <v>132</v>
      </c>
      <c r="AF804" t="s">
        <v>6303</v>
      </c>
      <c r="AG804" t="s">
        <v>2383</v>
      </c>
      <c r="AH804" t="s">
        <v>8182</v>
      </c>
      <c r="AI804" t="s">
        <v>5446</v>
      </c>
      <c r="AJ804" t="s">
        <v>6162</v>
      </c>
      <c r="AK804" t="s">
        <v>8972</v>
      </c>
      <c r="AL804">
        <v>1.31</v>
      </c>
      <c r="AM804">
        <v>1.31</v>
      </c>
      <c r="AN804">
        <v>0.95</v>
      </c>
      <c r="AO804" t="s">
        <v>3672</v>
      </c>
      <c r="AP804" t="s">
        <v>6378</v>
      </c>
      <c r="AQ804" t="s">
        <v>911</v>
      </c>
      <c r="AR804" t="s">
        <v>6003</v>
      </c>
      <c r="AS804" t="s">
        <v>5968</v>
      </c>
      <c r="AT804" t="s">
        <v>907</v>
      </c>
      <c r="AU804" t="s">
        <v>341</v>
      </c>
      <c r="AV804" t="s">
        <v>10345</v>
      </c>
      <c r="AW804" t="s">
        <v>12274</v>
      </c>
      <c r="AX804" t="s">
        <v>12275</v>
      </c>
      <c r="AY804" t="s">
        <v>12274</v>
      </c>
      <c r="AZ804" t="s">
        <v>12276</v>
      </c>
      <c r="BA804">
        <v>2.2599999999999998</v>
      </c>
      <c r="BB804">
        <v>1516.4</v>
      </c>
      <c r="BC804">
        <v>0.46</v>
      </c>
      <c r="BD804">
        <v>133.84</v>
      </c>
      <c r="BE804">
        <v>134.15</v>
      </c>
      <c r="BF804">
        <v>133.16</v>
      </c>
      <c r="BG804" t="s">
        <v>12277</v>
      </c>
      <c r="BH804" t="s">
        <v>12274</v>
      </c>
      <c r="BI804" t="s">
        <v>12278</v>
      </c>
      <c r="BJ804" t="s">
        <v>101</v>
      </c>
      <c r="BK804" t="s">
        <v>11201</v>
      </c>
      <c r="BL804" t="s">
        <v>6771</v>
      </c>
      <c r="BM804" t="s">
        <v>9960</v>
      </c>
      <c r="BN804" t="s">
        <v>4063</v>
      </c>
    </row>
    <row r="805" spans="1:66" x14ac:dyDescent="0.25">
      <c r="A805" t="str">
        <f>HYPERLINK("https://elite.finviz.com/quote.ashx?t=TALO&amp;ty=c&amp;p=d&amp;b=1", "TALO")</f>
        <v>TALO</v>
      </c>
      <c r="B805">
        <v>7</v>
      </c>
      <c r="C805">
        <v>138.38</v>
      </c>
      <c r="D805">
        <v>63.94</v>
      </c>
      <c r="E805" t="s">
        <v>12279</v>
      </c>
      <c r="F805" t="s">
        <v>67</v>
      </c>
      <c r="G805" t="s">
        <v>1048</v>
      </c>
      <c r="H805" t="s">
        <v>1049</v>
      </c>
      <c r="I805" t="s">
        <v>70</v>
      </c>
      <c r="J805" t="s">
        <v>71</v>
      </c>
      <c r="K805">
        <v>1785</v>
      </c>
      <c r="L805">
        <v>10.220000000000001</v>
      </c>
      <c r="M805" t="s">
        <v>2274</v>
      </c>
      <c r="N805">
        <v>392704</v>
      </c>
      <c r="R805">
        <v>0.92</v>
      </c>
      <c r="S805">
        <v>0.71</v>
      </c>
      <c r="AA805">
        <v>-0.97</v>
      </c>
      <c r="AB805" t="s">
        <v>12280</v>
      </c>
      <c r="AE805" t="s">
        <v>237</v>
      </c>
      <c r="AF805" t="s">
        <v>3374</v>
      </c>
      <c r="AG805" t="s">
        <v>5060</v>
      </c>
      <c r="AH805" t="s">
        <v>6033</v>
      </c>
      <c r="AI805" t="s">
        <v>7907</v>
      </c>
      <c r="AJ805" t="s">
        <v>1249</v>
      </c>
      <c r="AK805" t="s">
        <v>12281</v>
      </c>
      <c r="AL805">
        <v>1.22</v>
      </c>
      <c r="AM805">
        <v>1.22</v>
      </c>
      <c r="AN805">
        <v>0.54</v>
      </c>
      <c r="AO805" t="s">
        <v>716</v>
      </c>
      <c r="AP805" t="s">
        <v>3494</v>
      </c>
      <c r="AQ805" t="s">
        <v>12282</v>
      </c>
      <c r="AR805" t="s">
        <v>5370</v>
      </c>
      <c r="AS805" t="s">
        <v>2736</v>
      </c>
      <c r="AT805" t="s">
        <v>636</v>
      </c>
      <c r="AU805" t="s">
        <v>6740</v>
      </c>
      <c r="AV805" t="s">
        <v>5386</v>
      </c>
      <c r="AW805" t="s">
        <v>2003</v>
      </c>
      <c r="AX805" t="s">
        <v>5655</v>
      </c>
      <c r="AY805" t="s">
        <v>3386</v>
      </c>
      <c r="AZ805" t="s">
        <v>12283</v>
      </c>
      <c r="BA805">
        <v>1.47</v>
      </c>
      <c r="BB805">
        <v>2582.2199999999998</v>
      </c>
      <c r="BC805">
        <v>0.54</v>
      </c>
      <c r="BD805">
        <v>10.050000000000001</v>
      </c>
      <c r="BE805">
        <v>10.34</v>
      </c>
      <c r="BF805">
        <v>10</v>
      </c>
      <c r="BG805" t="s">
        <v>12284</v>
      </c>
      <c r="BH805" t="s">
        <v>12285</v>
      </c>
      <c r="BI805" t="s">
        <v>12286</v>
      </c>
      <c r="BJ805" t="s">
        <v>101</v>
      </c>
      <c r="BK805" t="s">
        <v>1570</v>
      </c>
      <c r="BL805" t="s">
        <v>713</v>
      </c>
      <c r="BM805" t="s">
        <v>3091</v>
      </c>
      <c r="BN805" t="s">
        <v>4063</v>
      </c>
    </row>
    <row r="806" spans="1:66" x14ac:dyDescent="0.25">
      <c r="A806" t="str">
        <f>HYPERLINK("https://elite.finviz.com/quote.ashx?t=EVRG&amp;ty=c&amp;p=d&amp;b=1", "EVRG")</f>
        <v>EVRG</v>
      </c>
      <c r="B806">
        <v>7</v>
      </c>
      <c r="C806">
        <v>138.38</v>
      </c>
      <c r="D806">
        <v>64.040000000000006</v>
      </c>
      <c r="E806" t="s">
        <v>12287</v>
      </c>
      <c r="F806" t="s">
        <v>195</v>
      </c>
      <c r="G806" t="s">
        <v>287</v>
      </c>
      <c r="H806" t="s">
        <v>676</v>
      </c>
      <c r="I806" t="s">
        <v>70</v>
      </c>
      <c r="J806" t="s">
        <v>321</v>
      </c>
      <c r="K806">
        <v>16988.5</v>
      </c>
      <c r="L806">
        <v>73.81</v>
      </c>
      <c r="M806" t="s">
        <v>1765</v>
      </c>
      <c r="N806">
        <v>291491</v>
      </c>
      <c r="O806">
        <v>20.309999999999999</v>
      </c>
      <c r="P806">
        <v>17.239999999999998</v>
      </c>
      <c r="Q806">
        <v>3.36</v>
      </c>
      <c r="R806">
        <v>2.91</v>
      </c>
      <c r="S806">
        <v>1.71</v>
      </c>
      <c r="T806" t="s">
        <v>5111</v>
      </c>
      <c r="U806">
        <v>2.67</v>
      </c>
      <c r="V806" t="s">
        <v>4186</v>
      </c>
      <c r="W806" t="s">
        <v>5969</v>
      </c>
      <c r="X806" t="s">
        <v>8460</v>
      </c>
      <c r="Y806" t="s">
        <v>2985</v>
      </c>
      <c r="Z806" t="s">
        <v>12288</v>
      </c>
      <c r="AA806">
        <v>3.63</v>
      </c>
      <c r="AB806" t="s">
        <v>1564</v>
      </c>
      <c r="AC806" t="s">
        <v>336</v>
      </c>
      <c r="AD806" t="s">
        <v>8460</v>
      </c>
      <c r="AE806" t="s">
        <v>7284</v>
      </c>
      <c r="AF806" t="s">
        <v>5058</v>
      </c>
      <c r="AG806" t="s">
        <v>6430</v>
      </c>
      <c r="AH806" t="s">
        <v>123</v>
      </c>
      <c r="AI806" t="s">
        <v>3088</v>
      </c>
      <c r="AJ806" t="s">
        <v>386</v>
      </c>
      <c r="AK806" t="s">
        <v>5243</v>
      </c>
      <c r="AL806">
        <v>0.5</v>
      </c>
      <c r="AM806">
        <v>0.27</v>
      </c>
      <c r="AN806">
        <v>1.49</v>
      </c>
      <c r="AO806" t="s">
        <v>12218</v>
      </c>
      <c r="AP806" t="s">
        <v>8565</v>
      </c>
      <c r="AQ806" t="s">
        <v>8526</v>
      </c>
      <c r="AR806" t="s">
        <v>2186</v>
      </c>
      <c r="AS806" t="s">
        <v>80</v>
      </c>
      <c r="AT806" t="s">
        <v>4547</v>
      </c>
      <c r="AU806" t="s">
        <v>2383</v>
      </c>
      <c r="AV806" t="s">
        <v>2748</v>
      </c>
      <c r="AW806" t="s">
        <v>3113</v>
      </c>
      <c r="AX806" t="s">
        <v>3076</v>
      </c>
      <c r="AY806" t="s">
        <v>3113</v>
      </c>
      <c r="AZ806" t="s">
        <v>7515</v>
      </c>
      <c r="BA806">
        <v>2.08</v>
      </c>
      <c r="BB806">
        <v>2291.5500000000002</v>
      </c>
      <c r="BC806">
        <v>0.45</v>
      </c>
      <c r="BD806">
        <v>73.510000000000005</v>
      </c>
      <c r="BE806">
        <v>74.37</v>
      </c>
      <c r="BF806">
        <v>73.680000000000007</v>
      </c>
      <c r="BG806" t="s">
        <v>12289</v>
      </c>
      <c r="BH806" t="s">
        <v>1727</v>
      </c>
      <c r="BI806" t="s">
        <v>12290</v>
      </c>
      <c r="BJ806" t="s">
        <v>101</v>
      </c>
      <c r="BK806" t="s">
        <v>9478</v>
      </c>
      <c r="BL806" t="s">
        <v>3305</v>
      </c>
      <c r="BM806" t="s">
        <v>11735</v>
      </c>
      <c r="BN806" t="s">
        <v>4063</v>
      </c>
    </row>
    <row r="807" spans="1:66" x14ac:dyDescent="0.25">
      <c r="A807" t="str">
        <f>HYPERLINK("https://elite.finviz.com/quote.ashx?t=WFC&amp;ty=c&amp;p=d&amp;b=1", "WFC")</f>
        <v>WFC</v>
      </c>
      <c r="B807">
        <v>7</v>
      </c>
      <c r="C807">
        <v>138.38</v>
      </c>
      <c r="D807">
        <v>64.06</v>
      </c>
      <c r="E807" t="s">
        <v>12291</v>
      </c>
      <c r="F807" t="s">
        <v>195</v>
      </c>
      <c r="G807" t="s">
        <v>550</v>
      </c>
      <c r="H807" t="s">
        <v>12292</v>
      </c>
      <c r="I807" t="s">
        <v>70</v>
      </c>
      <c r="J807" t="s">
        <v>71</v>
      </c>
      <c r="K807">
        <v>271635.78999999998</v>
      </c>
      <c r="L807">
        <v>84.79</v>
      </c>
      <c r="M807" t="s">
        <v>6842</v>
      </c>
      <c r="N807">
        <v>1781237</v>
      </c>
      <c r="O807">
        <v>14.54</v>
      </c>
      <c r="P807">
        <v>12.61</v>
      </c>
      <c r="Q807">
        <v>1.1200000000000001</v>
      </c>
      <c r="R807">
        <v>2.2000000000000002</v>
      </c>
      <c r="S807">
        <v>1.66</v>
      </c>
      <c r="T807" t="s">
        <v>2307</v>
      </c>
      <c r="U807">
        <v>1.65</v>
      </c>
      <c r="V807" t="s">
        <v>1762</v>
      </c>
      <c r="W807" t="s">
        <v>5468</v>
      </c>
      <c r="X807" t="s">
        <v>7495</v>
      </c>
      <c r="Y807" t="s">
        <v>681</v>
      </c>
      <c r="Z807" t="s">
        <v>11424</v>
      </c>
      <c r="AA807">
        <v>5.83</v>
      </c>
      <c r="AB807" t="s">
        <v>4945</v>
      </c>
      <c r="AC807" t="s">
        <v>1576</v>
      </c>
      <c r="AD807" t="s">
        <v>12293</v>
      </c>
      <c r="AE807" t="s">
        <v>3000</v>
      </c>
      <c r="AF807" t="s">
        <v>7301</v>
      </c>
      <c r="AG807" t="s">
        <v>2764</v>
      </c>
      <c r="AH807" t="s">
        <v>11513</v>
      </c>
      <c r="AI807" t="s">
        <v>9164</v>
      </c>
      <c r="AJ807" t="s">
        <v>164</v>
      </c>
      <c r="AK807" t="s">
        <v>5797</v>
      </c>
      <c r="AL807">
        <v>0.47</v>
      </c>
      <c r="AN807">
        <v>2.0299999999999998</v>
      </c>
      <c r="AP807" t="s">
        <v>8491</v>
      </c>
      <c r="AQ807" t="s">
        <v>7477</v>
      </c>
      <c r="AR807" t="s">
        <v>3842</v>
      </c>
      <c r="AS807" t="s">
        <v>3671</v>
      </c>
      <c r="AT807" t="s">
        <v>911</v>
      </c>
      <c r="AU807" t="s">
        <v>5163</v>
      </c>
      <c r="AV807" t="s">
        <v>9196</v>
      </c>
      <c r="AW807" t="s">
        <v>9475</v>
      </c>
      <c r="AX807" t="s">
        <v>6528</v>
      </c>
      <c r="AY807" t="s">
        <v>9475</v>
      </c>
      <c r="AZ807" t="s">
        <v>12294</v>
      </c>
      <c r="BA807">
        <v>1.93</v>
      </c>
      <c r="BB807">
        <v>16097.6</v>
      </c>
      <c r="BC807">
        <v>0.39</v>
      </c>
      <c r="BD807">
        <v>84.32</v>
      </c>
      <c r="BE807">
        <v>85.64</v>
      </c>
      <c r="BF807">
        <v>84.56</v>
      </c>
      <c r="BG807" t="s">
        <v>12295</v>
      </c>
      <c r="BH807" t="s">
        <v>9475</v>
      </c>
      <c r="BI807" t="s">
        <v>12296</v>
      </c>
      <c r="BJ807" t="s">
        <v>101</v>
      </c>
      <c r="BK807" t="s">
        <v>8593</v>
      </c>
      <c r="BL807" t="s">
        <v>757</v>
      </c>
      <c r="BM807" t="s">
        <v>12297</v>
      </c>
      <c r="BN807" t="s">
        <v>4063</v>
      </c>
    </row>
    <row r="808" spans="1:66" x14ac:dyDescent="0.25">
      <c r="A808" t="str">
        <f>HYPERLINK("https://elite.finviz.com/quote.ashx?t=RLAY&amp;ty=c&amp;p=d&amp;b=1", "RLAY")</f>
        <v>RLAY</v>
      </c>
      <c r="B808">
        <v>7</v>
      </c>
      <c r="C808">
        <v>138.38</v>
      </c>
      <c r="D808">
        <v>64.099999999999994</v>
      </c>
      <c r="E808" t="s">
        <v>12298</v>
      </c>
      <c r="F808" t="s">
        <v>67</v>
      </c>
      <c r="G808" t="s">
        <v>428</v>
      </c>
      <c r="H808" t="s">
        <v>429</v>
      </c>
      <c r="I808" t="s">
        <v>70</v>
      </c>
      <c r="J808" t="s">
        <v>321</v>
      </c>
      <c r="K808">
        <v>782.06</v>
      </c>
      <c r="L808">
        <v>4.54</v>
      </c>
      <c r="M808" t="s">
        <v>6726</v>
      </c>
      <c r="N808">
        <v>520671</v>
      </c>
      <c r="R808">
        <v>93.55</v>
      </c>
      <c r="S808">
        <v>1.17</v>
      </c>
      <c r="AA808">
        <v>-1.95</v>
      </c>
      <c r="AB808" t="s">
        <v>10794</v>
      </c>
      <c r="AC808" t="s">
        <v>12299</v>
      </c>
      <c r="AD808" t="s">
        <v>7236</v>
      </c>
      <c r="AE808" t="s">
        <v>12300</v>
      </c>
      <c r="AF808" t="s">
        <v>12301</v>
      </c>
      <c r="AI808" t="s">
        <v>6064</v>
      </c>
      <c r="AJ808" t="s">
        <v>6298</v>
      </c>
      <c r="AK808" t="s">
        <v>12302</v>
      </c>
      <c r="AL808">
        <v>20.92</v>
      </c>
      <c r="AM808">
        <v>20.92</v>
      </c>
      <c r="AN808">
        <v>0.05</v>
      </c>
      <c r="AO808" t="s">
        <v>11630</v>
      </c>
      <c r="AP808" t="s">
        <v>12303</v>
      </c>
      <c r="AQ808" t="s">
        <v>12304</v>
      </c>
      <c r="AR808" t="s">
        <v>5497</v>
      </c>
      <c r="AS808" t="s">
        <v>3601</v>
      </c>
      <c r="AT808" t="s">
        <v>224</v>
      </c>
      <c r="AU808" t="s">
        <v>7807</v>
      </c>
      <c r="AV808" t="s">
        <v>9399</v>
      </c>
      <c r="AW808" t="s">
        <v>7468</v>
      </c>
      <c r="AX808" t="s">
        <v>3938</v>
      </c>
      <c r="AY808" t="s">
        <v>12305</v>
      </c>
      <c r="AZ808" t="s">
        <v>12306</v>
      </c>
      <c r="BA808">
        <v>1.42</v>
      </c>
      <c r="BB808">
        <v>1889.09</v>
      </c>
      <c r="BC808">
        <v>0.97</v>
      </c>
      <c r="BD808">
        <v>4.38</v>
      </c>
      <c r="BE808">
        <v>4.58</v>
      </c>
      <c r="BF808">
        <v>4.33</v>
      </c>
      <c r="BG808" t="s">
        <v>12307</v>
      </c>
      <c r="BH808" t="s">
        <v>12308</v>
      </c>
      <c r="BI808" t="s">
        <v>12306</v>
      </c>
      <c r="BJ808" t="s">
        <v>101</v>
      </c>
      <c r="BK808" t="s">
        <v>10365</v>
      </c>
      <c r="BL808" t="s">
        <v>12309</v>
      </c>
      <c r="BM808" t="s">
        <v>12310</v>
      </c>
      <c r="BN808" t="s">
        <v>4063</v>
      </c>
    </row>
    <row r="809" spans="1:66" x14ac:dyDescent="0.25">
      <c r="A809" t="str">
        <f>HYPERLINK("https://elite.finviz.com/quote.ashx?t=EBS&amp;ty=c&amp;p=d&amp;b=1", "EBS")</f>
        <v>EBS</v>
      </c>
      <c r="B809">
        <v>7</v>
      </c>
      <c r="C809">
        <v>138.38</v>
      </c>
      <c r="D809">
        <v>64.13</v>
      </c>
      <c r="E809" t="s">
        <v>12311</v>
      </c>
      <c r="F809" t="s">
        <v>67</v>
      </c>
      <c r="G809" t="s">
        <v>428</v>
      </c>
      <c r="H809" t="s">
        <v>1296</v>
      </c>
      <c r="I809" t="s">
        <v>70</v>
      </c>
      <c r="J809" t="s">
        <v>71</v>
      </c>
      <c r="K809">
        <v>474.29</v>
      </c>
      <c r="L809">
        <v>8.89</v>
      </c>
      <c r="M809" t="s">
        <v>3257</v>
      </c>
      <c r="N809">
        <v>539483</v>
      </c>
      <c r="O809">
        <v>3.62</v>
      </c>
      <c r="P809">
        <v>8.67</v>
      </c>
      <c r="R809">
        <v>0.56000000000000005</v>
      </c>
      <c r="S809">
        <v>0.89</v>
      </c>
      <c r="AA809">
        <v>2.4500000000000002</v>
      </c>
      <c r="AE809" t="s">
        <v>7149</v>
      </c>
      <c r="AF809" t="s">
        <v>4227</v>
      </c>
      <c r="AG809" t="s">
        <v>4312</v>
      </c>
      <c r="AH809" t="s">
        <v>12312</v>
      </c>
      <c r="AI809" t="s">
        <v>12313</v>
      </c>
      <c r="AJ809" t="s">
        <v>2175</v>
      </c>
      <c r="AK809" t="s">
        <v>12314</v>
      </c>
      <c r="AL809">
        <v>5.66</v>
      </c>
      <c r="AM809">
        <v>3</v>
      </c>
      <c r="AN809">
        <v>1.26</v>
      </c>
      <c r="AO809" t="s">
        <v>12315</v>
      </c>
      <c r="AP809" t="s">
        <v>12316</v>
      </c>
      <c r="AQ809" t="s">
        <v>976</v>
      </c>
      <c r="AR809" t="s">
        <v>7453</v>
      </c>
      <c r="AS809" t="s">
        <v>1950</v>
      </c>
      <c r="AT809" t="s">
        <v>230</v>
      </c>
      <c r="AU809" t="s">
        <v>4829</v>
      </c>
      <c r="AV809" t="s">
        <v>245</v>
      </c>
      <c r="AW809" t="s">
        <v>2587</v>
      </c>
      <c r="AX809" t="s">
        <v>1095</v>
      </c>
      <c r="AY809" t="s">
        <v>8863</v>
      </c>
      <c r="AZ809" t="s">
        <v>12317</v>
      </c>
      <c r="BA809">
        <v>2.33</v>
      </c>
      <c r="BB809">
        <v>1280.48</v>
      </c>
      <c r="BC809">
        <v>1.48</v>
      </c>
      <c r="BD809">
        <v>8.74</v>
      </c>
      <c r="BE809">
        <v>9.11</v>
      </c>
      <c r="BF809">
        <v>8.82</v>
      </c>
      <c r="BG809" t="s">
        <v>12318</v>
      </c>
      <c r="BH809" t="s">
        <v>12319</v>
      </c>
      <c r="BI809" t="s">
        <v>12320</v>
      </c>
      <c r="BJ809" t="s">
        <v>101</v>
      </c>
      <c r="BK809" t="s">
        <v>6398</v>
      </c>
      <c r="BL809" t="s">
        <v>12321</v>
      </c>
      <c r="BM809" t="s">
        <v>12322</v>
      </c>
      <c r="BN809" t="s">
        <v>4063</v>
      </c>
    </row>
    <row r="810" spans="1:66" x14ac:dyDescent="0.25">
      <c r="A810" t="str">
        <f>HYPERLINK("https://elite.finviz.com/quote.ashx?t=HLX&amp;ty=c&amp;p=d&amp;b=1", "HLX")</f>
        <v>HLX</v>
      </c>
      <c r="B810">
        <v>7</v>
      </c>
      <c r="C810">
        <v>138.38</v>
      </c>
      <c r="D810">
        <v>64.23</v>
      </c>
      <c r="E810" t="s">
        <v>12323</v>
      </c>
      <c r="F810" t="s">
        <v>67</v>
      </c>
      <c r="G810" t="s">
        <v>1048</v>
      </c>
      <c r="H810" t="s">
        <v>8341</v>
      </c>
      <c r="I810" t="s">
        <v>70</v>
      </c>
      <c r="J810" t="s">
        <v>71</v>
      </c>
      <c r="K810">
        <v>1014.36</v>
      </c>
      <c r="L810">
        <v>6.9</v>
      </c>
      <c r="M810" t="s">
        <v>387</v>
      </c>
      <c r="N810">
        <v>186504</v>
      </c>
      <c r="O810">
        <v>21.34</v>
      </c>
      <c r="P810">
        <v>15.88</v>
      </c>
      <c r="Q810">
        <v>1.1000000000000001</v>
      </c>
      <c r="R810">
        <v>0.79</v>
      </c>
      <c r="S810">
        <v>0.65</v>
      </c>
      <c r="Z810" t="s">
        <v>164</v>
      </c>
      <c r="AA810">
        <v>0.32</v>
      </c>
      <c r="AC810" t="s">
        <v>3484</v>
      </c>
      <c r="AD810" t="s">
        <v>7913</v>
      </c>
      <c r="AE810" t="s">
        <v>647</v>
      </c>
      <c r="AF810" t="s">
        <v>6651</v>
      </c>
      <c r="AG810" t="s">
        <v>794</v>
      </c>
      <c r="AH810" t="s">
        <v>4094</v>
      </c>
      <c r="AI810" t="s">
        <v>12324</v>
      </c>
      <c r="AJ810" t="s">
        <v>164</v>
      </c>
      <c r="AK810" t="s">
        <v>12325</v>
      </c>
      <c r="AL810">
        <v>2.0699999999999998</v>
      </c>
      <c r="AM810">
        <v>2.0699999999999998</v>
      </c>
      <c r="AN810">
        <v>0.41</v>
      </c>
      <c r="AO810" t="s">
        <v>4109</v>
      </c>
      <c r="AP810" t="s">
        <v>6684</v>
      </c>
      <c r="AQ810" t="s">
        <v>4395</v>
      </c>
      <c r="AR810" t="s">
        <v>4104</v>
      </c>
      <c r="AS810" t="s">
        <v>2493</v>
      </c>
      <c r="AT810" t="s">
        <v>1507</v>
      </c>
      <c r="AU810" t="s">
        <v>902</v>
      </c>
      <c r="AV810" t="s">
        <v>4540</v>
      </c>
      <c r="AW810" t="s">
        <v>7646</v>
      </c>
      <c r="AX810" t="s">
        <v>11787</v>
      </c>
      <c r="AY810" t="s">
        <v>12326</v>
      </c>
      <c r="AZ810" t="s">
        <v>11787</v>
      </c>
      <c r="BA810">
        <v>1.86</v>
      </c>
      <c r="BB810">
        <v>1685.21</v>
      </c>
      <c r="BC810">
        <v>0.39</v>
      </c>
      <c r="BD810">
        <v>6.73</v>
      </c>
      <c r="BE810">
        <v>6.91</v>
      </c>
      <c r="BF810">
        <v>6.76</v>
      </c>
      <c r="BG810" t="s">
        <v>12327</v>
      </c>
      <c r="BH810" t="s">
        <v>12328</v>
      </c>
      <c r="BI810" t="s">
        <v>12329</v>
      </c>
      <c r="BJ810" t="s">
        <v>101</v>
      </c>
      <c r="BK810" t="s">
        <v>4728</v>
      </c>
      <c r="BL810" t="s">
        <v>12330</v>
      </c>
      <c r="BM810" t="s">
        <v>5202</v>
      </c>
      <c r="BN810" t="s">
        <v>4063</v>
      </c>
    </row>
    <row r="811" spans="1:66" x14ac:dyDescent="0.25">
      <c r="A811" t="str">
        <f>HYPERLINK("https://elite.finviz.com/quote.ashx?t=HKPD&amp;ty=c&amp;p=d&amp;b=1", "HKPD")</f>
        <v>HKPD</v>
      </c>
      <c r="B811">
        <v>7</v>
      </c>
      <c r="C811">
        <v>138.38</v>
      </c>
      <c r="D811">
        <v>64.23</v>
      </c>
      <c r="E811" t="s">
        <v>12331</v>
      </c>
      <c r="F811" t="s">
        <v>107</v>
      </c>
      <c r="G811" t="s">
        <v>428</v>
      </c>
      <c r="H811" t="s">
        <v>12332</v>
      </c>
      <c r="I811" t="s">
        <v>70</v>
      </c>
      <c r="J811" t="s">
        <v>321</v>
      </c>
      <c r="L811">
        <v>1.63</v>
      </c>
      <c r="M811" t="s">
        <v>12333</v>
      </c>
      <c r="N811">
        <v>34747</v>
      </c>
      <c r="AR811" t="s">
        <v>7567</v>
      </c>
      <c r="AS811" t="s">
        <v>8916</v>
      </c>
      <c r="AT811" t="s">
        <v>12334</v>
      </c>
      <c r="AU811" t="s">
        <v>12335</v>
      </c>
      <c r="AV811" t="s">
        <v>9208</v>
      </c>
      <c r="AW811" t="s">
        <v>12336</v>
      </c>
      <c r="AX811" t="s">
        <v>12337</v>
      </c>
      <c r="AY811" t="s">
        <v>1605</v>
      </c>
      <c r="AZ811" t="s">
        <v>12338</v>
      </c>
      <c r="BB811">
        <v>2955.62</v>
      </c>
      <c r="BC811">
        <v>0.04</v>
      </c>
      <c r="BD811">
        <v>1.74</v>
      </c>
      <c r="BE811">
        <v>1.74</v>
      </c>
      <c r="BF811">
        <v>1.56</v>
      </c>
      <c r="BG811" t="s">
        <v>12339</v>
      </c>
      <c r="BH811" t="s">
        <v>1605</v>
      </c>
      <c r="BI811" t="s">
        <v>12338</v>
      </c>
      <c r="BJ811" t="s">
        <v>101</v>
      </c>
      <c r="BK811" t="s">
        <v>1629</v>
      </c>
      <c r="BL811" t="s">
        <v>1663</v>
      </c>
      <c r="BN811" t="s">
        <v>4063</v>
      </c>
    </row>
    <row r="812" spans="1:66" x14ac:dyDescent="0.25">
      <c r="A812" t="str">
        <f>HYPERLINK("https://elite.finviz.com/quote.ashx?t=DAY&amp;ty=c&amp;p=d&amp;b=1", "DAY")</f>
        <v>DAY</v>
      </c>
      <c r="B812">
        <v>7</v>
      </c>
      <c r="C812">
        <v>138.38</v>
      </c>
      <c r="D812">
        <v>64.239999999999995</v>
      </c>
      <c r="E812" t="s">
        <v>12340</v>
      </c>
      <c r="F812" t="s">
        <v>195</v>
      </c>
      <c r="G812" t="s">
        <v>108</v>
      </c>
      <c r="H812" t="s">
        <v>136</v>
      </c>
      <c r="I812" t="s">
        <v>70</v>
      </c>
      <c r="J812" t="s">
        <v>71</v>
      </c>
      <c r="K812">
        <v>10867.75</v>
      </c>
      <c r="L812">
        <v>68.87</v>
      </c>
      <c r="M812" t="s">
        <v>5549</v>
      </c>
      <c r="N812">
        <v>220962</v>
      </c>
      <c r="O812">
        <v>226.84</v>
      </c>
      <c r="P812">
        <v>25.17</v>
      </c>
      <c r="Q812">
        <v>11.86</v>
      </c>
      <c r="R812">
        <v>5.87</v>
      </c>
      <c r="S812">
        <v>4.07</v>
      </c>
      <c r="Z812" t="s">
        <v>164</v>
      </c>
      <c r="AA812">
        <v>0.3</v>
      </c>
      <c r="AC812" t="s">
        <v>12341</v>
      </c>
      <c r="AD812" t="s">
        <v>9557</v>
      </c>
      <c r="AE812" t="s">
        <v>4390</v>
      </c>
      <c r="AF812" t="s">
        <v>11602</v>
      </c>
      <c r="AG812" t="s">
        <v>2163</v>
      </c>
      <c r="AH812" t="s">
        <v>5653</v>
      </c>
      <c r="AI812" t="s">
        <v>5119</v>
      </c>
      <c r="AJ812" t="s">
        <v>1086</v>
      </c>
      <c r="AK812" t="s">
        <v>12342</v>
      </c>
      <c r="AL812">
        <v>1.04</v>
      </c>
      <c r="AM812">
        <v>1.04</v>
      </c>
      <c r="AN812">
        <v>0.45</v>
      </c>
      <c r="AO812" t="s">
        <v>12343</v>
      </c>
      <c r="AP812" t="s">
        <v>2877</v>
      </c>
      <c r="AQ812" t="s">
        <v>213</v>
      </c>
      <c r="AR812" t="s">
        <v>4266</v>
      </c>
      <c r="AS812" t="s">
        <v>4849</v>
      </c>
      <c r="AT812" t="s">
        <v>2760</v>
      </c>
      <c r="AU812" t="s">
        <v>776</v>
      </c>
      <c r="AV812" t="s">
        <v>4996</v>
      </c>
      <c r="AW812" t="s">
        <v>7598</v>
      </c>
      <c r="AX812" t="s">
        <v>7887</v>
      </c>
      <c r="AY812" t="s">
        <v>12344</v>
      </c>
      <c r="AZ812" t="s">
        <v>12345</v>
      </c>
      <c r="BA812">
        <v>2.79</v>
      </c>
      <c r="BB812">
        <v>2498.96</v>
      </c>
      <c r="BC812">
        <v>0.31</v>
      </c>
      <c r="BD812">
        <v>68.849999999999994</v>
      </c>
      <c r="BE812">
        <v>68.94</v>
      </c>
      <c r="BF812">
        <v>68.86</v>
      </c>
      <c r="BG812" t="s">
        <v>12346</v>
      </c>
      <c r="BH812" t="s">
        <v>12347</v>
      </c>
      <c r="BI812" t="s">
        <v>12348</v>
      </c>
      <c r="BJ812" t="s">
        <v>101</v>
      </c>
      <c r="BK812" t="s">
        <v>2970</v>
      </c>
      <c r="BL812" t="s">
        <v>7843</v>
      </c>
      <c r="BM812" t="s">
        <v>1360</v>
      </c>
      <c r="BN812" t="s">
        <v>4063</v>
      </c>
    </row>
    <row r="813" spans="1:66" x14ac:dyDescent="0.25">
      <c r="A813" t="str">
        <f>HYPERLINK("https://elite.finviz.com/quote.ashx?t=IPST&amp;ty=c&amp;p=d&amp;b=1", "IPST")</f>
        <v>IPST</v>
      </c>
      <c r="B813">
        <v>7</v>
      </c>
      <c r="C813">
        <v>138.38</v>
      </c>
      <c r="D813">
        <v>64.290000000000006</v>
      </c>
      <c r="E813" t="s">
        <v>12349</v>
      </c>
      <c r="F813" t="s">
        <v>107</v>
      </c>
      <c r="G813" t="s">
        <v>2244</v>
      </c>
      <c r="H813" t="s">
        <v>2245</v>
      </c>
      <c r="I813" t="s">
        <v>70</v>
      </c>
      <c r="J813" t="s">
        <v>321</v>
      </c>
      <c r="L813">
        <v>0.84</v>
      </c>
      <c r="M813" t="s">
        <v>12145</v>
      </c>
      <c r="N813">
        <v>1580671</v>
      </c>
      <c r="AR813" t="s">
        <v>12350</v>
      </c>
      <c r="AS813" t="s">
        <v>11164</v>
      </c>
      <c r="AT813" t="s">
        <v>12351</v>
      </c>
      <c r="AU813" t="s">
        <v>4980</v>
      </c>
      <c r="AV813" t="s">
        <v>5253</v>
      </c>
      <c r="AW813" t="s">
        <v>12352</v>
      </c>
      <c r="AX813" t="s">
        <v>12353</v>
      </c>
      <c r="AY813" t="s">
        <v>12354</v>
      </c>
      <c r="AZ813" t="s">
        <v>12355</v>
      </c>
      <c r="BB813">
        <v>4007.1</v>
      </c>
      <c r="BC813">
        <v>1.39</v>
      </c>
      <c r="BD813">
        <v>0.73</v>
      </c>
      <c r="BE813">
        <v>0.85</v>
      </c>
      <c r="BF813">
        <v>0.75</v>
      </c>
      <c r="BG813" t="s">
        <v>12356</v>
      </c>
      <c r="BH813" t="s">
        <v>12354</v>
      </c>
      <c r="BI813" t="s">
        <v>12355</v>
      </c>
      <c r="BJ813" t="s">
        <v>101</v>
      </c>
      <c r="BK813" t="s">
        <v>12357</v>
      </c>
      <c r="BL813" t="s">
        <v>12358</v>
      </c>
      <c r="BN813" t="s">
        <v>4063</v>
      </c>
    </row>
    <row r="814" spans="1:66" x14ac:dyDescent="0.25">
      <c r="A814" t="str">
        <f>HYPERLINK("https://elite.finviz.com/quote.ashx?t=TLPH&amp;ty=c&amp;p=d&amp;b=1", "TLPH")</f>
        <v>TLPH</v>
      </c>
      <c r="B814">
        <v>7</v>
      </c>
      <c r="C814">
        <v>138.38</v>
      </c>
      <c r="D814">
        <v>64.3</v>
      </c>
      <c r="E814" t="s">
        <v>12359</v>
      </c>
      <c r="F814" t="s">
        <v>107</v>
      </c>
      <c r="G814" t="s">
        <v>428</v>
      </c>
      <c r="H814" t="s">
        <v>1296</v>
      </c>
      <c r="I814" t="s">
        <v>70</v>
      </c>
      <c r="J814" t="s">
        <v>321</v>
      </c>
      <c r="K814">
        <v>41.02</v>
      </c>
      <c r="L814">
        <v>0.9</v>
      </c>
      <c r="M814" t="s">
        <v>2294</v>
      </c>
      <c r="N814">
        <v>108706</v>
      </c>
      <c r="R814">
        <v>1367.48</v>
      </c>
      <c r="S814">
        <v>2.79</v>
      </c>
      <c r="AA814">
        <v>-0.4</v>
      </c>
      <c r="AB814" t="s">
        <v>8092</v>
      </c>
      <c r="AC814" t="s">
        <v>12360</v>
      </c>
      <c r="AD814" t="s">
        <v>1552</v>
      </c>
      <c r="AE814" t="s">
        <v>12361</v>
      </c>
      <c r="AI814" t="s">
        <v>4833</v>
      </c>
      <c r="AJ814" t="s">
        <v>2125</v>
      </c>
      <c r="AK814" t="s">
        <v>11233</v>
      </c>
      <c r="AL814">
        <v>2.93</v>
      </c>
      <c r="AM814">
        <v>2.93</v>
      </c>
      <c r="AN814">
        <v>0.98</v>
      </c>
      <c r="AO814" t="s">
        <v>164</v>
      </c>
      <c r="AP814" t="s">
        <v>12362</v>
      </c>
      <c r="AQ814" t="s">
        <v>12363</v>
      </c>
      <c r="AR814" t="s">
        <v>1507</v>
      </c>
      <c r="AS814" t="s">
        <v>6230</v>
      </c>
      <c r="AT814" t="s">
        <v>2438</v>
      </c>
      <c r="AU814" t="s">
        <v>12364</v>
      </c>
      <c r="AV814" t="s">
        <v>12365</v>
      </c>
      <c r="AW814" t="s">
        <v>1427</v>
      </c>
      <c r="AX814" t="s">
        <v>12366</v>
      </c>
      <c r="AY814" t="s">
        <v>1427</v>
      </c>
      <c r="AZ814" t="s">
        <v>12367</v>
      </c>
      <c r="BA814">
        <v>1</v>
      </c>
      <c r="BB814">
        <v>2628.01</v>
      </c>
      <c r="BC814">
        <v>0.15</v>
      </c>
      <c r="BD814">
        <v>0.9</v>
      </c>
      <c r="BE814">
        <v>0.93</v>
      </c>
      <c r="BF814">
        <v>0.88</v>
      </c>
      <c r="BG814" t="s">
        <v>12368</v>
      </c>
      <c r="BH814" t="s">
        <v>12369</v>
      </c>
      <c r="BI814" t="s">
        <v>12367</v>
      </c>
      <c r="BJ814" t="s">
        <v>101</v>
      </c>
      <c r="BK814" t="s">
        <v>6853</v>
      </c>
      <c r="BL814" t="s">
        <v>1031</v>
      </c>
      <c r="BM814" t="s">
        <v>3035</v>
      </c>
      <c r="BN814" t="s">
        <v>4063</v>
      </c>
    </row>
    <row r="815" spans="1:66" x14ac:dyDescent="0.25">
      <c r="A815" t="str">
        <f>HYPERLINK("https://elite.finviz.com/quote.ashx?t=PARR&amp;ty=c&amp;p=d&amp;b=1", "PARR")</f>
        <v>PARR</v>
      </c>
      <c r="B815">
        <v>7</v>
      </c>
      <c r="C815">
        <v>138.38</v>
      </c>
      <c r="D815">
        <v>64.319999999999993</v>
      </c>
      <c r="E815" t="s">
        <v>12370</v>
      </c>
      <c r="F815" t="s">
        <v>67</v>
      </c>
      <c r="G815" t="s">
        <v>1048</v>
      </c>
      <c r="H815" t="s">
        <v>3886</v>
      </c>
      <c r="I815" t="s">
        <v>70</v>
      </c>
      <c r="J815" t="s">
        <v>71</v>
      </c>
      <c r="K815">
        <v>1906.06</v>
      </c>
      <c r="L815">
        <v>37.51</v>
      </c>
      <c r="M815" t="s">
        <v>2899</v>
      </c>
      <c r="N815">
        <v>230469</v>
      </c>
      <c r="P815">
        <v>9.74</v>
      </c>
      <c r="R815">
        <v>0.25</v>
      </c>
      <c r="S815">
        <v>1.66</v>
      </c>
      <c r="AA815">
        <v>-0.27</v>
      </c>
      <c r="AB815" t="s">
        <v>12371</v>
      </c>
      <c r="AD815" t="s">
        <v>12372</v>
      </c>
      <c r="AE815" t="s">
        <v>8048</v>
      </c>
      <c r="AF815" t="s">
        <v>9137</v>
      </c>
      <c r="AG815" t="s">
        <v>2655</v>
      </c>
      <c r="AH815" t="s">
        <v>5359</v>
      </c>
      <c r="AI815" t="s">
        <v>12373</v>
      </c>
      <c r="AJ815" t="s">
        <v>3113</v>
      </c>
      <c r="AK815" t="s">
        <v>12374</v>
      </c>
      <c r="AL815">
        <v>1.42</v>
      </c>
      <c r="AM815">
        <v>0.56000000000000005</v>
      </c>
      <c r="AN815">
        <v>1.53</v>
      </c>
      <c r="AO815" t="s">
        <v>1338</v>
      </c>
      <c r="AP815" t="s">
        <v>4191</v>
      </c>
      <c r="AQ815" t="s">
        <v>4538</v>
      </c>
      <c r="AR815" t="s">
        <v>1872</v>
      </c>
      <c r="AS815" t="s">
        <v>5100</v>
      </c>
      <c r="AT815" t="s">
        <v>11629</v>
      </c>
      <c r="AU815" t="s">
        <v>10611</v>
      </c>
      <c r="AV815" t="s">
        <v>12375</v>
      </c>
      <c r="AW815" t="s">
        <v>4113</v>
      </c>
      <c r="AX815" t="s">
        <v>9449</v>
      </c>
      <c r="AY815" t="s">
        <v>4113</v>
      </c>
      <c r="AZ815" t="s">
        <v>12376</v>
      </c>
      <c r="BA815">
        <v>2.12</v>
      </c>
      <c r="BB815">
        <v>1509.94</v>
      </c>
      <c r="BC815">
        <v>0.54</v>
      </c>
      <c r="BD815">
        <v>37.840000000000003</v>
      </c>
      <c r="BE815">
        <v>37.76</v>
      </c>
      <c r="BF815">
        <v>37.1</v>
      </c>
      <c r="BG815" t="s">
        <v>12377</v>
      </c>
      <c r="BH815" t="s">
        <v>2023</v>
      </c>
      <c r="BI815" t="s">
        <v>12378</v>
      </c>
      <c r="BJ815" t="s">
        <v>101</v>
      </c>
      <c r="BK815" t="s">
        <v>12379</v>
      </c>
      <c r="BL815" t="s">
        <v>12380</v>
      </c>
      <c r="BM815" t="s">
        <v>12381</v>
      </c>
      <c r="BN815" t="s">
        <v>4063</v>
      </c>
    </row>
    <row r="816" spans="1:66" x14ac:dyDescent="0.25">
      <c r="A816" t="str">
        <f>HYPERLINK("https://elite.finviz.com/quote.ashx?t=ONTO&amp;ty=c&amp;p=d&amp;b=1", "ONTO")</f>
        <v>ONTO</v>
      </c>
      <c r="B816">
        <v>7</v>
      </c>
      <c r="C816">
        <v>138.38</v>
      </c>
      <c r="D816">
        <v>64.33</v>
      </c>
      <c r="E816" t="s">
        <v>12382</v>
      </c>
      <c r="F816" t="s">
        <v>107</v>
      </c>
      <c r="G816" t="s">
        <v>108</v>
      </c>
      <c r="H816" t="s">
        <v>2097</v>
      </c>
      <c r="I816" t="s">
        <v>70</v>
      </c>
      <c r="J816" t="s">
        <v>71</v>
      </c>
      <c r="K816">
        <v>6267.07</v>
      </c>
      <c r="L816">
        <v>127.89</v>
      </c>
      <c r="M816" t="s">
        <v>3598</v>
      </c>
      <c r="N816">
        <v>120305</v>
      </c>
      <c r="O816">
        <v>31.65</v>
      </c>
      <c r="P816">
        <v>22.85</v>
      </c>
      <c r="Q816">
        <v>3.45</v>
      </c>
      <c r="R816">
        <v>6.05</v>
      </c>
      <c r="S816">
        <v>3.19</v>
      </c>
      <c r="Z816" t="s">
        <v>164</v>
      </c>
      <c r="AA816">
        <v>4.04</v>
      </c>
      <c r="AB816" t="s">
        <v>10577</v>
      </c>
      <c r="AC816" t="s">
        <v>6987</v>
      </c>
      <c r="AD816" t="s">
        <v>12383</v>
      </c>
      <c r="AE816" t="s">
        <v>7617</v>
      </c>
      <c r="AF816" t="s">
        <v>1021</v>
      </c>
      <c r="AG816" t="s">
        <v>5571</v>
      </c>
      <c r="AH816" t="s">
        <v>2809</v>
      </c>
      <c r="AI816" t="s">
        <v>4595</v>
      </c>
      <c r="AJ816" t="s">
        <v>164</v>
      </c>
      <c r="AK816" t="s">
        <v>12384</v>
      </c>
      <c r="AL816">
        <v>9.59</v>
      </c>
      <c r="AM816">
        <v>7.86</v>
      </c>
      <c r="AN816">
        <v>0.01</v>
      </c>
      <c r="AO816" t="s">
        <v>4263</v>
      </c>
      <c r="AP816" t="s">
        <v>8351</v>
      </c>
      <c r="AQ816" t="s">
        <v>11036</v>
      </c>
      <c r="AR816" t="s">
        <v>4323</v>
      </c>
      <c r="AS816" t="s">
        <v>2494</v>
      </c>
      <c r="AT816" t="s">
        <v>5265</v>
      </c>
      <c r="AU816" t="s">
        <v>4468</v>
      </c>
      <c r="AV816" t="s">
        <v>1413</v>
      </c>
      <c r="AW816" t="s">
        <v>6687</v>
      </c>
      <c r="AX816" t="s">
        <v>5961</v>
      </c>
      <c r="AY816" t="s">
        <v>8142</v>
      </c>
      <c r="AZ816" t="s">
        <v>12385</v>
      </c>
      <c r="BA816">
        <v>1.89</v>
      </c>
      <c r="BB816">
        <v>1380.11</v>
      </c>
      <c r="BC816">
        <v>0.31</v>
      </c>
      <c r="BD816">
        <v>127.93</v>
      </c>
      <c r="BE816">
        <v>128.65</v>
      </c>
      <c r="BF816">
        <v>126.53</v>
      </c>
      <c r="BG816" t="s">
        <v>12386</v>
      </c>
      <c r="BH816" t="s">
        <v>12387</v>
      </c>
      <c r="BI816" t="s">
        <v>12388</v>
      </c>
      <c r="BJ816" t="s">
        <v>101</v>
      </c>
      <c r="BK816" t="s">
        <v>2966</v>
      </c>
      <c r="BL816" t="s">
        <v>337</v>
      </c>
      <c r="BM816" t="s">
        <v>9403</v>
      </c>
      <c r="BN816" t="s">
        <v>4063</v>
      </c>
    </row>
    <row r="817" spans="1:66" x14ac:dyDescent="0.25">
      <c r="A817" t="str">
        <f>HYPERLINK("https://elite.finviz.com/quote.ashx?t=PINC&amp;ty=c&amp;p=d&amp;b=1", "PINC")</f>
        <v>PINC</v>
      </c>
      <c r="B817">
        <v>7</v>
      </c>
      <c r="C817">
        <v>138.38</v>
      </c>
      <c r="D817">
        <v>64.400000000000006</v>
      </c>
      <c r="E817" t="s">
        <v>12389</v>
      </c>
      <c r="F817" t="s">
        <v>67</v>
      </c>
      <c r="G817" t="s">
        <v>428</v>
      </c>
      <c r="H817" t="s">
        <v>2075</v>
      </c>
      <c r="I817" t="s">
        <v>70</v>
      </c>
      <c r="J817" t="s">
        <v>321</v>
      </c>
      <c r="K817">
        <v>2293.2199999999998</v>
      </c>
      <c r="L817">
        <v>27.78</v>
      </c>
      <c r="M817" t="s">
        <v>3227</v>
      </c>
      <c r="N817">
        <v>234654</v>
      </c>
      <c r="O817">
        <v>128.13999999999999</v>
      </c>
      <c r="P817">
        <v>16.88</v>
      </c>
      <c r="Q817">
        <v>26.64</v>
      </c>
      <c r="R817">
        <v>2.2599999999999998</v>
      </c>
      <c r="S817">
        <v>1.5</v>
      </c>
      <c r="T817" t="s">
        <v>4499</v>
      </c>
      <c r="U817">
        <v>0.84</v>
      </c>
      <c r="V817" t="s">
        <v>4882</v>
      </c>
      <c r="W817" t="s">
        <v>164</v>
      </c>
      <c r="X817" t="s">
        <v>3487</v>
      </c>
      <c r="Z817" t="s">
        <v>12390</v>
      </c>
      <c r="AA817">
        <v>0.22</v>
      </c>
      <c r="AB817" t="s">
        <v>12391</v>
      </c>
      <c r="AC817" t="s">
        <v>12392</v>
      </c>
      <c r="AD817" t="s">
        <v>121</v>
      </c>
      <c r="AE817" t="s">
        <v>12393</v>
      </c>
      <c r="AF817" t="s">
        <v>7341</v>
      </c>
      <c r="AG817" t="s">
        <v>11801</v>
      </c>
      <c r="AH817" t="s">
        <v>12394</v>
      </c>
      <c r="AI817" t="s">
        <v>12395</v>
      </c>
      <c r="AJ817" t="s">
        <v>11805</v>
      </c>
      <c r="AK817" t="s">
        <v>12396</v>
      </c>
      <c r="AL817">
        <v>0.62</v>
      </c>
      <c r="AM817">
        <v>0.62</v>
      </c>
      <c r="AN817">
        <v>0.19</v>
      </c>
      <c r="AO817" t="s">
        <v>1961</v>
      </c>
      <c r="AP817" t="s">
        <v>5775</v>
      </c>
      <c r="AQ817" t="s">
        <v>1439</v>
      </c>
      <c r="AR817" t="s">
        <v>3916</v>
      </c>
      <c r="AS817" t="s">
        <v>1761</v>
      </c>
      <c r="AT817" t="s">
        <v>323</v>
      </c>
      <c r="AU817" t="s">
        <v>1359</v>
      </c>
      <c r="AV817" t="s">
        <v>12397</v>
      </c>
      <c r="AW817" t="s">
        <v>5763</v>
      </c>
      <c r="AX817" t="s">
        <v>12398</v>
      </c>
      <c r="AY817" t="s">
        <v>5763</v>
      </c>
      <c r="AZ817" t="s">
        <v>12399</v>
      </c>
      <c r="BA817">
        <v>3.12</v>
      </c>
      <c r="BB817">
        <v>2033.89</v>
      </c>
      <c r="BC817">
        <v>0.41</v>
      </c>
      <c r="BD817">
        <v>27.79</v>
      </c>
      <c r="BE817">
        <v>27.86</v>
      </c>
      <c r="BF817">
        <v>27.78</v>
      </c>
      <c r="BG817" t="s">
        <v>12400</v>
      </c>
      <c r="BH817" t="s">
        <v>12401</v>
      </c>
      <c r="BI817" t="s">
        <v>12399</v>
      </c>
      <c r="BJ817" t="s">
        <v>101</v>
      </c>
      <c r="BK817" t="s">
        <v>8851</v>
      </c>
      <c r="BL817" t="s">
        <v>12402</v>
      </c>
      <c r="BM817" t="s">
        <v>12403</v>
      </c>
      <c r="BN817" t="s">
        <v>4063</v>
      </c>
    </row>
    <row r="818" spans="1:66" x14ac:dyDescent="0.25">
      <c r="A818" t="str">
        <f>HYPERLINK("https://elite.finviz.com/quote.ashx?t=BLNE&amp;ty=c&amp;p=d&amp;b=1", "BLNE")</f>
        <v>BLNE</v>
      </c>
      <c r="B818">
        <v>7</v>
      </c>
      <c r="C818">
        <v>138.38</v>
      </c>
      <c r="D818">
        <v>64.400000000000006</v>
      </c>
      <c r="E818" t="s">
        <v>12404</v>
      </c>
      <c r="F818" t="s">
        <v>107</v>
      </c>
      <c r="G818" t="s">
        <v>550</v>
      </c>
      <c r="H818" t="s">
        <v>3699</v>
      </c>
      <c r="I818" t="s">
        <v>70</v>
      </c>
      <c r="J818" t="s">
        <v>321</v>
      </c>
      <c r="K818">
        <v>79.42</v>
      </c>
      <c r="L818">
        <v>4.05</v>
      </c>
      <c r="M818" t="s">
        <v>1092</v>
      </c>
      <c r="N818">
        <v>436148</v>
      </c>
      <c r="P818">
        <v>101.25</v>
      </c>
      <c r="R818">
        <v>10.029999999999999</v>
      </c>
      <c r="S818">
        <v>1.36</v>
      </c>
      <c r="AA818">
        <v>-27.85</v>
      </c>
      <c r="AB818" t="s">
        <v>3439</v>
      </c>
      <c r="AC818" t="s">
        <v>11386</v>
      </c>
      <c r="AE818" t="s">
        <v>12405</v>
      </c>
      <c r="AF818" t="s">
        <v>4979</v>
      </c>
      <c r="AG818" t="s">
        <v>12406</v>
      </c>
      <c r="AH818" t="s">
        <v>12407</v>
      </c>
      <c r="AI818" t="s">
        <v>1959</v>
      </c>
      <c r="AJ818" t="s">
        <v>6752</v>
      </c>
      <c r="AK818" t="s">
        <v>2424</v>
      </c>
      <c r="AL818">
        <v>1.22</v>
      </c>
      <c r="AM818">
        <v>1.22</v>
      </c>
      <c r="AN818">
        <v>0.16</v>
      </c>
      <c r="AO818" t="s">
        <v>5164</v>
      </c>
      <c r="AP818" t="s">
        <v>12408</v>
      </c>
      <c r="AQ818" t="s">
        <v>12409</v>
      </c>
      <c r="AR818" t="s">
        <v>672</v>
      </c>
      <c r="AS818" t="s">
        <v>12410</v>
      </c>
      <c r="AT818" t="s">
        <v>12411</v>
      </c>
      <c r="AU818" t="s">
        <v>12412</v>
      </c>
      <c r="AV818" t="s">
        <v>10221</v>
      </c>
      <c r="AW818" t="s">
        <v>9260</v>
      </c>
      <c r="AX818" t="s">
        <v>12413</v>
      </c>
      <c r="AY818" t="s">
        <v>12414</v>
      </c>
      <c r="AZ818" t="s">
        <v>12415</v>
      </c>
      <c r="BA818">
        <v>1</v>
      </c>
      <c r="BB818">
        <v>2538.9899999999998</v>
      </c>
      <c r="BC818">
        <v>0.61</v>
      </c>
      <c r="BD818">
        <v>4.3499999999999996</v>
      </c>
      <c r="BE818">
        <v>4.41</v>
      </c>
      <c r="BF818">
        <v>3.95</v>
      </c>
      <c r="BG818" t="s">
        <v>12416</v>
      </c>
      <c r="BH818" t="s">
        <v>3320</v>
      </c>
      <c r="BI818" t="s">
        <v>12415</v>
      </c>
      <c r="BJ818" t="s">
        <v>101</v>
      </c>
      <c r="BK818" t="s">
        <v>12417</v>
      </c>
      <c r="BL818" t="s">
        <v>12418</v>
      </c>
      <c r="BM818" t="s">
        <v>9977</v>
      </c>
      <c r="BN818" t="s">
        <v>4063</v>
      </c>
    </row>
    <row r="819" spans="1:66" x14ac:dyDescent="0.25">
      <c r="A819" t="str">
        <f>HYPERLINK("https://elite.finviz.com/quote.ashx?t=M&amp;ty=c&amp;p=d&amp;b=1", "M")</f>
        <v>M</v>
      </c>
      <c r="B819">
        <v>7</v>
      </c>
      <c r="C819">
        <v>138.38</v>
      </c>
      <c r="D819">
        <v>64.48</v>
      </c>
      <c r="E819" t="s">
        <v>12419</v>
      </c>
      <c r="F819" t="s">
        <v>107</v>
      </c>
      <c r="G819" t="s">
        <v>813</v>
      </c>
      <c r="H819" t="s">
        <v>8117</v>
      </c>
      <c r="I819" t="s">
        <v>70</v>
      </c>
      <c r="J819" t="s">
        <v>71</v>
      </c>
      <c r="K819">
        <v>4654.25</v>
      </c>
      <c r="L819">
        <v>17.329999999999998</v>
      </c>
      <c r="M819" t="s">
        <v>3550</v>
      </c>
      <c r="N819">
        <v>1256531</v>
      </c>
      <c r="O819">
        <v>9.85</v>
      </c>
      <c r="P819">
        <v>8.73</v>
      </c>
      <c r="R819">
        <v>0.21</v>
      </c>
      <c r="S819">
        <v>1.05</v>
      </c>
      <c r="T819" t="s">
        <v>165</v>
      </c>
      <c r="U819">
        <v>0.72</v>
      </c>
      <c r="V819" t="s">
        <v>3833</v>
      </c>
      <c r="W819" t="s">
        <v>2523</v>
      </c>
      <c r="Y819" t="s">
        <v>360</v>
      </c>
      <c r="Z819" t="s">
        <v>2476</v>
      </c>
      <c r="AA819">
        <v>1.76</v>
      </c>
      <c r="AB819" t="s">
        <v>8746</v>
      </c>
      <c r="AC819" t="s">
        <v>4976</v>
      </c>
      <c r="AD819" t="s">
        <v>9261</v>
      </c>
      <c r="AE819" t="s">
        <v>1082</v>
      </c>
      <c r="AF819" t="s">
        <v>9022</v>
      </c>
      <c r="AG819" t="s">
        <v>5765</v>
      </c>
      <c r="AH819" t="s">
        <v>5365</v>
      </c>
      <c r="AI819" t="s">
        <v>12420</v>
      </c>
      <c r="AJ819" t="s">
        <v>10324</v>
      </c>
      <c r="AK819" t="s">
        <v>12421</v>
      </c>
      <c r="AL819">
        <v>1.38</v>
      </c>
      <c r="AM819">
        <v>0.35</v>
      </c>
      <c r="AN819">
        <v>1.23</v>
      </c>
      <c r="AO819" t="s">
        <v>4706</v>
      </c>
      <c r="AP819" t="s">
        <v>5592</v>
      </c>
      <c r="AQ819" t="s">
        <v>3544</v>
      </c>
      <c r="AR819" t="s">
        <v>2543</v>
      </c>
      <c r="AS819" t="s">
        <v>3244</v>
      </c>
      <c r="AT819" t="s">
        <v>295</v>
      </c>
      <c r="AU819" t="s">
        <v>7710</v>
      </c>
      <c r="AV819" t="s">
        <v>6350</v>
      </c>
      <c r="AW819" t="s">
        <v>6058</v>
      </c>
      <c r="AX819" t="s">
        <v>12422</v>
      </c>
      <c r="AY819" t="s">
        <v>8520</v>
      </c>
      <c r="AZ819" t="s">
        <v>12423</v>
      </c>
      <c r="BA819">
        <v>2.93</v>
      </c>
      <c r="BB819">
        <v>8856.84</v>
      </c>
      <c r="BC819">
        <v>0.5</v>
      </c>
      <c r="BD819">
        <v>17.079999999999998</v>
      </c>
      <c r="BE819">
        <v>17.39</v>
      </c>
      <c r="BF819">
        <v>17.07</v>
      </c>
      <c r="BG819" t="s">
        <v>12424</v>
      </c>
      <c r="BH819" t="s">
        <v>12425</v>
      </c>
      <c r="BI819" t="s">
        <v>12426</v>
      </c>
      <c r="BJ819" t="s">
        <v>101</v>
      </c>
      <c r="BK819" t="s">
        <v>12427</v>
      </c>
      <c r="BL819" t="s">
        <v>12428</v>
      </c>
      <c r="BM819" t="s">
        <v>6201</v>
      </c>
      <c r="BN819" t="s">
        <v>4063</v>
      </c>
    </row>
    <row r="820" spans="1:66" x14ac:dyDescent="0.25">
      <c r="A820" t="str">
        <f>HYPERLINK("https://elite.finviz.com/quote.ashx?t=FTI&amp;ty=c&amp;p=d&amp;b=1", "FTI")</f>
        <v>FTI</v>
      </c>
      <c r="B820">
        <v>7</v>
      </c>
      <c r="C820">
        <v>138.38</v>
      </c>
      <c r="D820">
        <v>64.5</v>
      </c>
      <c r="E820" t="s">
        <v>12429</v>
      </c>
      <c r="F820" t="s">
        <v>107</v>
      </c>
      <c r="G820" t="s">
        <v>1048</v>
      </c>
      <c r="H820" t="s">
        <v>8341</v>
      </c>
      <c r="I820" t="s">
        <v>70</v>
      </c>
      <c r="J820" t="s">
        <v>71</v>
      </c>
      <c r="K820">
        <v>16600.96</v>
      </c>
      <c r="L820">
        <v>40.39</v>
      </c>
      <c r="M820" t="s">
        <v>1488</v>
      </c>
      <c r="N820">
        <v>560810</v>
      </c>
      <c r="O820">
        <v>19.13</v>
      </c>
      <c r="P820">
        <v>15.39</v>
      </c>
      <c r="Q820">
        <v>1.02</v>
      </c>
      <c r="R820">
        <v>1.75</v>
      </c>
      <c r="S820">
        <v>5.1100000000000003</v>
      </c>
      <c r="T820" t="s">
        <v>1657</v>
      </c>
      <c r="U820">
        <v>0.2</v>
      </c>
      <c r="V820" t="s">
        <v>10236</v>
      </c>
      <c r="W820" t="s">
        <v>1647</v>
      </c>
      <c r="Y820" t="s">
        <v>12430</v>
      </c>
      <c r="Z820" t="s">
        <v>1110</v>
      </c>
      <c r="AA820">
        <v>2.11</v>
      </c>
      <c r="AB820" t="s">
        <v>12431</v>
      </c>
      <c r="AD820" t="s">
        <v>7287</v>
      </c>
      <c r="AE820" t="s">
        <v>5282</v>
      </c>
      <c r="AF820" t="s">
        <v>239</v>
      </c>
      <c r="AG820" t="s">
        <v>1164</v>
      </c>
      <c r="AH820" t="s">
        <v>9515</v>
      </c>
      <c r="AI820" t="s">
        <v>1643</v>
      </c>
      <c r="AJ820" t="s">
        <v>12432</v>
      </c>
      <c r="AK820" t="s">
        <v>12433</v>
      </c>
      <c r="AL820">
        <v>1.1000000000000001</v>
      </c>
      <c r="AM820">
        <v>0.84</v>
      </c>
      <c r="AN820">
        <v>0.49</v>
      </c>
      <c r="AO820" t="s">
        <v>3663</v>
      </c>
      <c r="AP820" t="s">
        <v>9196</v>
      </c>
      <c r="AQ820" t="s">
        <v>2605</v>
      </c>
      <c r="AR820" t="s">
        <v>2643</v>
      </c>
      <c r="AS820" t="s">
        <v>451</v>
      </c>
      <c r="AT820" t="s">
        <v>205</v>
      </c>
      <c r="AU820" t="s">
        <v>2886</v>
      </c>
      <c r="AV820" t="s">
        <v>97</v>
      </c>
      <c r="AW820" t="s">
        <v>8763</v>
      </c>
      <c r="AX820" t="s">
        <v>5207</v>
      </c>
      <c r="AY820" t="s">
        <v>8763</v>
      </c>
      <c r="AZ820" t="s">
        <v>12434</v>
      </c>
      <c r="BA820">
        <v>1.88</v>
      </c>
      <c r="BB820">
        <v>5324.7</v>
      </c>
      <c r="BC820">
        <v>0.37</v>
      </c>
      <c r="BD820">
        <v>39.93</v>
      </c>
      <c r="BE820">
        <v>40.93</v>
      </c>
      <c r="BF820">
        <v>40.22</v>
      </c>
      <c r="BG820" t="s">
        <v>12435</v>
      </c>
      <c r="BH820" t="s">
        <v>8763</v>
      </c>
      <c r="BI820" t="s">
        <v>12436</v>
      </c>
      <c r="BJ820" t="s">
        <v>101</v>
      </c>
      <c r="BK820" t="s">
        <v>12437</v>
      </c>
      <c r="BL820" t="s">
        <v>7374</v>
      </c>
      <c r="BM820" t="s">
        <v>6252</v>
      </c>
      <c r="BN820" t="s">
        <v>4063</v>
      </c>
    </row>
    <row r="821" spans="1:66" x14ac:dyDescent="0.25">
      <c r="A821" t="str">
        <f>HYPERLINK("https://elite.finviz.com/quote.ashx?t=VIAV&amp;ty=c&amp;p=d&amp;b=1", "VIAV")</f>
        <v>VIAV</v>
      </c>
      <c r="B821">
        <v>7</v>
      </c>
      <c r="C821">
        <v>138.38</v>
      </c>
      <c r="D821">
        <v>64.52</v>
      </c>
      <c r="E821" t="s">
        <v>12438</v>
      </c>
      <c r="F821" t="s">
        <v>67</v>
      </c>
      <c r="G821" t="s">
        <v>108</v>
      </c>
      <c r="H821" t="s">
        <v>1921</v>
      </c>
      <c r="I821" t="s">
        <v>70</v>
      </c>
      <c r="J821" t="s">
        <v>321</v>
      </c>
      <c r="K821">
        <v>2723.6</v>
      </c>
      <c r="L821">
        <v>12.2</v>
      </c>
      <c r="M821" t="s">
        <v>9084</v>
      </c>
      <c r="N821">
        <v>162735</v>
      </c>
      <c r="O821">
        <v>79.430000000000007</v>
      </c>
      <c r="P821">
        <v>18.260000000000002</v>
      </c>
      <c r="Q821">
        <v>3.26</v>
      </c>
      <c r="R821">
        <v>2.5099999999999998</v>
      </c>
      <c r="S821">
        <v>3.49</v>
      </c>
      <c r="Z821" t="s">
        <v>164</v>
      </c>
      <c r="AA821">
        <v>0.15</v>
      </c>
      <c r="AB821" t="s">
        <v>4793</v>
      </c>
      <c r="AC821" t="s">
        <v>3874</v>
      </c>
      <c r="AD821" t="s">
        <v>2524</v>
      </c>
      <c r="AE821" t="s">
        <v>224</v>
      </c>
      <c r="AF821" t="s">
        <v>4234</v>
      </c>
      <c r="AG821" t="s">
        <v>3950</v>
      </c>
      <c r="AH821" t="s">
        <v>1224</v>
      </c>
      <c r="AI821" t="s">
        <v>10221</v>
      </c>
      <c r="AJ821" t="s">
        <v>842</v>
      </c>
      <c r="AK821" t="s">
        <v>12439</v>
      </c>
      <c r="AL821">
        <v>1.5</v>
      </c>
      <c r="AM821">
        <v>1.3</v>
      </c>
      <c r="AN821">
        <v>0.89</v>
      </c>
      <c r="AO821" t="s">
        <v>12440</v>
      </c>
      <c r="AP821" t="s">
        <v>9186</v>
      </c>
      <c r="AQ821" t="s">
        <v>8013</v>
      </c>
      <c r="AR821" t="s">
        <v>1438</v>
      </c>
      <c r="AS821" t="s">
        <v>206</v>
      </c>
      <c r="AT821" t="s">
        <v>4946</v>
      </c>
      <c r="AU821" t="s">
        <v>9342</v>
      </c>
      <c r="AV821" t="s">
        <v>10558</v>
      </c>
      <c r="AW821" t="s">
        <v>10774</v>
      </c>
      <c r="AX821" t="s">
        <v>8030</v>
      </c>
      <c r="AY821" t="s">
        <v>5628</v>
      </c>
      <c r="AZ821" t="s">
        <v>12441</v>
      </c>
      <c r="BA821">
        <v>1.5</v>
      </c>
      <c r="BB821">
        <v>2757.93</v>
      </c>
      <c r="BC821">
        <v>0.21</v>
      </c>
      <c r="BD821">
        <v>12.29</v>
      </c>
      <c r="BE821">
        <v>12.28</v>
      </c>
      <c r="BF821">
        <v>12.18</v>
      </c>
      <c r="BG821" t="s">
        <v>12442</v>
      </c>
      <c r="BH821" t="s">
        <v>12443</v>
      </c>
      <c r="BI821" t="s">
        <v>12444</v>
      </c>
      <c r="BJ821" t="s">
        <v>101</v>
      </c>
      <c r="BK821" t="s">
        <v>11147</v>
      </c>
      <c r="BL821" t="s">
        <v>274</v>
      </c>
      <c r="BM821" t="s">
        <v>12445</v>
      </c>
      <c r="BN821" t="s">
        <v>4063</v>
      </c>
    </row>
    <row r="822" spans="1:66" x14ac:dyDescent="0.25">
      <c r="A822" t="str">
        <f>HYPERLINK("https://elite.finviz.com/quote.ashx?t=CYH&amp;ty=c&amp;p=d&amp;b=1", "CYH")</f>
        <v>CYH</v>
      </c>
      <c r="B822">
        <v>7</v>
      </c>
      <c r="C822">
        <v>138.38</v>
      </c>
      <c r="D822">
        <v>64.53</v>
      </c>
      <c r="E822" t="s">
        <v>12446</v>
      </c>
      <c r="F822" t="s">
        <v>67</v>
      </c>
      <c r="G822" t="s">
        <v>428</v>
      </c>
      <c r="H822" t="s">
        <v>3160</v>
      </c>
      <c r="I822" t="s">
        <v>70</v>
      </c>
      <c r="J822" t="s">
        <v>71</v>
      </c>
      <c r="K822">
        <v>445.41</v>
      </c>
      <c r="L822">
        <v>3.18</v>
      </c>
      <c r="M822" t="s">
        <v>3227</v>
      </c>
      <c r="N822">
        <v>203112</v>
      </c>
      <c r="R822">
        <v>0.04</v>
      </c>
      <c r="V822" t="s">
        <v>923</v>
      </c>
      <c r="AA822">
        <v>-1.49</v>
      </c>
      <c r="AC822" t="s">
        <v>7938</v>
      </c>
      <c r="AD822" t="s">
        <v>12447</v>
      </c>
      <c r="AE822" t="s">
        <v>2785</v>
      </c>
      <c r="AF822" t="s">
        <v>4865</v>
      </c>
      <c r="AG822" t="s">
        <v>745</v>
      </c>
      <c r="AH822" t="s">
        <v>4191</v>
      </c>
      <c r="AI822" t="s">
        <v>12448</v>
      </c>
      <c r="AJ822" t="s">
        <v>164</v>
      </c>
      <c r="AK822" t="s">
        <v>12449</v>
      </c>
      <c r="AL822">
        <v>1.59</v>
      </c>
      <c r="AM822">
        <v>1.45</v>
      </c>
      <c r="AO822" t="s">
        <v>12450</v>
      </c>
      <c r="AP822" t="s">
        <v>12450</v>
      </c>
      <c r="AQ822" t="s">
        <v>5879</v>
      </c>
      <c r="AR822" t="s">
        <v>2234</v>
      </c>
      <c r="AS822" t="s">
        <v>2811</v>
      </c>
      <c r="AT822" t="s">
        <v>10237</v>
      </c>
      <c r="AU822" t="s">
        <v>7556</v>
      </c>
      <c r="AV822" t="s">
        <v>3832</v>
      </c>
      <c r="AW822" t="s">
        <v>9825</v>
      </c>
      <c r="AX822" t="s">
        <v>4479</v>
      </c>
      <c r="AY822" t="s">
        <v>8283</v>
      </c>
      <c r="AZ822" t="s">
        <v>12451</v>
      </c>
      <c r="BA822">
        <v>3</v>
      </c>
      <c r="BB822">
        <v>2546.7399999999998</v>
      </c>
      <c r="BC822">
        <v>0.28000000000000003</v>
      </c>
      <c r="BD822">
        <v>3.18</v>
      </c>
      <c r="BE822">
        <v>3.23</v>
      </c>
      <c r="BF822">
        <v>3.15</v>
      </c>
      <c r="BG822" t="s">
        <v>12452</v>
      </c>
      <c r="BH822" t="s">
        <v>12453</v>
      </c>
      <c r="BI822" t="s">
        <v>11006</v>
      </c>
      <c r="BJ822" t="s">
        <v>101</v>
      </c>
      <c r="BK822" t="s">
        <v>4517</v>
      </c>
      <c r="BL822" t="s">
        <v>3965</v>
      </c>
      <c r="BM822" t="s">
        <v>12454</v>
      </c>
      <c r="BN822" t="s">
        <v>4063</v>
      </c>
    </row>
    <row r="823" spans="1:66" x14ac:dyDescent="0.25">
      <c r="A823" t="str">
        <f>HYPERLINK("https://elite.finviz.com/quote.ashx?t=FANG&amp;ty=c&amp;p=d&amp;b=1", "FANG")</f>
        <v>FANG</v>
      </c>
      <c r="B823">
        <v>7</v>
      </c>
      <c r="C823">
        <v>138.38</v>
      </c>
      <c r="D823">
        <v>64.569999999999993</v>
      </c>
      <c r="E823" t="s">
        <v>12455</v>
      </c>
      <c r="F823" t="s">
        <v>319</v>
      </c>
      <c r="G823" t="s">
        <v>1048</v>
      </c>
      <c r="H823" t="s">
        <v>1049</v>
      </c>
      <c r="I823" t="s">
        <v>70</v>
      </c>
      <c r="J823" t="s">
        <v>321</v>
      </c>
      <c r="K823">
        <v>43456.56</v>
      </c>
      <c r="L823">
        <v>150.12</v>
      </c>
      <c r="M823" t="s">
        <v>2383</v>
      </c>
      <c r="N823">
        <v>427067</v>
      </c>
      <c r="O823">
        <v>10.67</v>
      </c>
      <c r="P823">
        <v>12.16</v>
      </c>
      <c r="R823">
        <v>3.09</v>
      </c>
      <c r="S823">
        <v>1.1200000000000001</v>
      </c>
      <c r="T823" t="s">
        <v>89</v>
      </c>
      <c r="U823">
        <v>3.9</v>
      </c>
      <c r="V823" t="s">
        <v>2708</v>
      </c>
      <c r="W823" t="s">
        <v>749</v>
      </c>
      <c r="X823" t="s">
        <v>9152</v>
      </c>
      <c r="Y823" t="s">
        <v>12456</v>
      </c>
      <c r="Z823" t="s">
        <v>1412</v>
      </c>
      <c r="AA823">
        <v>14.07</v>
      </c>
      <c r="AB823" t="s">
        <v>9636</v>
      </c>
      <c r="AC823" t="s">
        <v>6224</v>
      </c>
      <c r="AD823" t="s">
        <v>174</v>
      </c>
      <c r="AE823" t="s">
        <v>12457</v>
      </c>
      <c r="AF823" t="s">
        <v>2733</v>
      </c>
      <c r="AG823" t="s">
        <v>4181</v>
      </c>
      <c r="AH823" t="s">
        <v>12458</v>
      </c>
      <c r="AI823" t="s">
        <v>9087</v>
      </c>
      <c r="AJ823" t="s">
        <v>3227</v>
      </c>
      <c r="AK823" t="s">
        <v>12459</v>
      </c>
      <c r="AL823">
        <v>0.55000000000000004</v>
      </c>
      <c r="AM823">
        <v>0.52</v>
      </c>
      <c r="AN823">
        <v>0.39</v>
      </c>
      <c r="AO823" t="s">
        <v>1780</v>
      </c>
      <c r="AP823" t="s">
        <v>12460</v>
      </c>
      <c r="AQ823" t="s">
        <v>3407</v>
      </c>
      <c r="AR823" t="s">
        <v>5425</v>
      </c>
      <c r="AS823" t="s">
        <v>5780</v>
      </c>
      <c r="AT823" t="s">
        <v>216</v>
      </c>
      <c r="AU823" t="s">
        <v>2293</v>
      </c>
      <c r="AV823" t="s">
        <v>5745</v>
      </c>
      <c r="AW823" t="s">
        <v>1866</v>
      </c>
      <c r="AX823" t="s">
        <v>3327</v>
      </c>
      <c r="AY823" t="s">
        <v>12461</v>
      </c>
      <c r="AZ823" t="s">
        <v>9454</v>
      </c>
      <c r="BA823">
        <v>1.26</v>
      </c>
      <c r="BB823">
        <v>1986.21</v>
      </c>
      <c r="BC823">
        <v>0.76</v>
      </c>
      <c r="BD823">
        <v>145.79</v>
      </c>
      <c r="BE823">
        <v>150.77000000000001</v>
      </c>
      <c r="BF823">
        <v>145.31</v>
      </c>
      <c r="BG823" t="s">
        <v>12462</v>
      </c>
      <c r="BH823" t="s">
        <v>12463</v>
      </c>
      <c r="BI823" t="s">
        <v>12464</v>
      </c>
      <c r="BJ823" t="s">
        <v>101</v>
      </c>
      <c r="BK823" t="s">
        <v>12465</v>
      </c>
      <c r="BL823" t="s">
        <v>12466</v>
      </c>
      <c r="BM823" t="s">
        <v>12467</v>
      </c>
      <c r="BN823" t="s">
        <v>4063</v>
      </c>
    </row>
    <row r="824" spans="1:66" x14ac:dyDescent="0.25">
      <c r="A824" t="str">
        <f>HYPERLINK("https://elite.finviz.com/quote.ashx?t=MLI&amp;ty=c&amp;p=d&amp;b=1", "MLI")</f>
        <v>MLI</v>
      </c>
      <c r="B824">
        <v>7</v>
      </c>
      <c r="C824">
        <v>138.38</v>
      </c>
      <c r="D824">
        <v>64.61</v>
      </c>
      <c r="E824" t="s">
        <v>12468</v>
      </c>
      <c r="F824" t="s">
        <v>107</v>
      </c>
      <c r="G824" t="s">
        <v>260</v>
      </c>
      <c r="H824" t="s">
        <v>2223</v>
      </c>
      <c r="I824" t="s">
        <v>70</v>
      </c>
      <c r="J824" t="s">
        <v>71</v>
      </c>
      <c r="K824">
        <v>11134.83</v>
      </c>
      <c r="L824">
        <v>100.58</v>
      </c>
      <c r="M824" t="s">
        <v>227</v>
      </c>
      <c r="N824">
        <v>103989</v>
      </c>
      <c r="O824">
        <v>15.97</v>
      </c>
      <c r="P824">
        <v>14.33</v>
      </c>
      <c r="Q824">
        <v>1.81</v>
      </c>
      <c r="R824">
        <v>2.74</v>
      </c>
      <c r="S824">
        <v>3.82</v>
      </c>
      <c r="T824" t="s">
        <v>1338</v>
      </c>
      <c r="U824">
        <v>0.95</v>
      </c>
      <c r="V824" t="s">
        <v>4548</v>
      </c>
      <c r="W824" t="s">
        <v>10378</v>
      </c>
      <c r="X824" t="s">
        <v>12469</v>
      </c>
      <c r="Y824" t="s">
        <v>7463</v>
      </c>
      <c r="Z824" t="s">
        <v>7735</v>
      </c>
      <c r="AA824">
        <v>6.3</v>
      </c>
      <c r="AB824" t="s">
        <v>147</v>
      </c>
      <c r="AC824" t="s">
        <v>1692</v>
      </c>
      <c r="AD824" t="s">
        <v>7781</v>
      </c>
      <c r="AE824" t="s">
        <v>4515</v>
      </c>
      <c r="AF824" t="s">
        <v>1249</v>
      </c>
      <c r="AG824" t="s">
        <v>2559</v>
      </c>
      <c r="AH824" t="s">
        <v>775</v>
      </c>
      <c r="AI824" t="s">
        <v>7287</v>
      </c>
      <c r="AJ824" t="s">
        <v>8933</v>
      </c>
      <c r="AK824" t="s">
        <v>9902</v>
      </c>
      <c r="AL824">
        <v>4.8600000000000003</v>
      </c>
      <c r="AM824">
        <v>3.73</v>
      </c>
      <c r="AN824">
        <v>0.01</v>
      </c>
      <c r="AO824" t="s">
        <v>12470</v>
      </c>
      <c r="AP824" t="s">
        <v>5681</v>
      </c>
      <c r="AQ824" t="s">
        <v>5003</v>
      </c>
      <c r="AR824" t="s">
        <v>617</v>
      </c>
      <c r="AS824" t="s">
        <v>2202</v>
      </c>
      <c r="AT824" t="s">
        <v>714</v>
      </c>
      <c r="AU824" t="s">
        <v>3982</v>
      </c>
      <c r="AV824" t="s">
        <v>12471</v>
      </c>
      <c r="AW824" t="s">
        <v>1863</v>
      </c>
      <c r="AX824" t="s">
        <v>6022</v>
      </c>
      <c r="AY824" t="s">
        <v>1863</v>
      </c>
      <c r="AZ824" t="s">
        <v>12472</v>
      </c>
      <c r="BA824">
        <v>1</v>
      </c>
      <c r="BB824">
        <v>1161.6400000000001</v>
      </c>
      <c r="BC824">
        <v>0.32</v>
      </c>
      <c r="BD824">
        <v>99.94</v>
      </c>
      <c r="BE824">
        <v>100.93</v>
      </c>
      <c r="BF824">
        <v>100.03</v>
      </c>
      <c r="BG824" t="s">
        <v>12473</v>
      </c>
      <c r="BH824" t="s">
        <v>1863</v>
      </c>
      <c r="BI824" t="s">
        <v>12474</v>
      </c>
      <c r="BJ824" t="s">
        <v>101</v>
      </c>
      <c r="BK824" t="s">
        <v>12475</v>
      </c>
      <c r="BL824" t="s">
        <v>210</v>
      </c>
      <c r="BM824" t="s">
        <v>12476</v>
      </c>
      <c r="BN824" t="s">
        <v>4063</v>
      </c>
    </row>
    <row r="825" spans="1:66" x14ac:dyDescent="0.25">
      <c r="A825" t="str">
        <f>HYPERLINK("https://elite.finviz.com/quote.ashx?t=APH&amp;ty=c&amp;p=d&amp;b=1", "APH")</f>
        <v>APH</v>
      </c>
      <c r="B825">
        <v>7</v>
      </c>
      <c r="C825">
        <v>138.38</v>
      </c>
      <c r="D825">
        <v>64.62</v>
      </c>
      <c r="E825" t="s">
        <v>12477</v>
      </c>
      <c r="F825" t="s">
        <v>195</v>
      </c>
      <c r="G825" t="s">
        <v>108</v>
      </c>
      <c r="H825" t="s">
        <v>3346</v>
      </c>
      <c r="I825" t="s">
        <v>70</v>
      </c>
      <c r="J825" t="s">
        <v>71</v>
      </c>
      <c r="K825">
        <v>149092.79</v>
      </c>
      <c r="L825">
        <v>122.11</v>
      </c>
      <c r="M825" t="s">
        <v>2906</v>
      </c>
      <c r="N825">
        <v>1423332</v>
      </c>
      <c r="O825">
        <v>48.72</v>
      </c>
      <c r="P825">
        <v>35.42</v>
      </c>
      <c r="Q825">
        <v>1.78</v>
      </c>
      <c r="R825">
        <v>7.92</v>
      </c>
      <c r="S825">
        <v>12.95</v>
      </c>
      <c r="T825" t="s">
        <v>2418</v>
      </c>
      <c r="U825">
        <v>0.66</v>
      </c>
      <c r="V825" t="s">
        <v>5925</v>
      </c>
      <c r="W825" t="s">
        <v>5140</v>
      </c>
      <c r="X825" t="s">
        <v>3258</v>
      </c>
      <c r="Y825" t="s">
        <v>1843</v>
      </c>
      <c r="Z825" t="s">
        <v>11804</v>
      </c>
      <c r="AA825">
        <v>2.5099999999999998</v>
      </c>
      <c r="AB825" t="s">
        <v>2628</v>
      </c>
      <c r="AC825" t="s">
        <v>5057</v>
      </c>
      <c r="AD825" t="s">
        <v>7578</v>
      </c>
      <c r="AE825" t="s">
        <v>1780</v>
      </c>
      <c r="AF825" t="s">
        <v>6751</v>
      </c>
      <c r="AG825" t="s">
        <v>6202</v>
      </c>
      <c r="AH825" t="s">
        <v>12478</v>
      </c>
      <c r="AI825" t="s">
        <v>7749</v>
      </c>
      <c r="AJ825" t="s">
        <v>12479</v>
      </c>
      <c r="AK825" t="s">
        <v>12480</v>
      </c>
      <c r="AL825">
        <v>2.02</v>
      </c>
      <c r="AM825">
        <v>1.46</v>
      </c>
      <c r="AN825">
        <v>0.7</v>
      </c>
      <c r="AO825" t="s">
        <v>12481</v>
      </c>
      <c r="AP825" t="s">
        <v>12482</v>
      </c>
      <c r="AQ825" t="s">
        <v>3199</v>
      </c>
      <c r="AR825" t="s">
        <v>715</v>
      </c>
      <c r="AS825" t="s">
        <v>1560</v>
      </c>
      <c r="AT825" t="s">
        <v>9130</v>
      </c>
      <c r="AU825" t="s">
        <v>9280</v>
      </c>
      <c r="AV825" t="s">
        <v>6959</v>
      </c>
      <c r="AW825" t="s">
        <v>7907</v>
      </c>
      <c r="AX825" t="s">
        <v>8673</v>
      </c>
      <c r="AY825" t="s">
        <v>7907</v>
      </c>
      <c r="AZ825" t="s">
        <v>12483</v>
      </c>
      <c r="BA825">
        <v>1.85</v>
      </c>
      <c r="BB825">
        <v>8911.86</v>
      </c>
      <c r="BC825">
        <v>0.56000000000000005</v>
      </c>
      <c r="BD825">
        <v>122.33</v>
      </c>
      <c r="BE825">
        <v>123.07</v>
      </c>
      <c r="BF825">
        <v>121.34</v>
      </c>
      <c r="BG825" t="s">
        <v>12484</v>
      </c>
      <c r="BH825" t="s">
        <v>7907</v>
      </c>
      <c r="BI825" t="s">
        <v>12485</v>
      </c>
      <c r="BJ825" t="s">
        <v>101</v>
      </c>
      <c r="BK825" t="s">
        <v>6602</v>
      </c>
      <c r="BL825" t="s">
        <v>6290</v>
      </c>
      <c r="BM825" t="s">
        <v>12486</v>
      </c>
      <c r="BN825" t="s">
        <v>4063</v>
      </c>
    </row>
    <row r="826" spans="1:66" x14ac:dyDescent="0.25">
      <c r="A826" t="str">
        <f>HYPERLINK("https://elite.finviz.com/quote.ashx?t=HCA&amp;ty=c&amp;p=d&amp;b=1", "HCA")</f>
        <v>HCA</v>
      </c>
      <c r="B826">
        <v>7</v>
      </c>
      <c r="C826">
        <v>138.38</v>
      </c>
      <c r="D826">
        <v>64.62</v>
      </c>
      <c r="E826" t="s">
        <v>12487</v>
      </c>
      <c r="F826" t="s">
        <v>195</v>
      </c>
      <c r="G826" t="s">
        <v>428</v>
      </c>
      <c r="H826" t="s">
        <v>3160</v>
      </c>
      <c r="I826" t="s">
        <v>70</v>
      </c>
      <c r="J826" t="s">
        <v>71</v>
      </c>
      <c r="K826">
        <v>98036.26</v>
      </c>
      <c r="L826">
        <v>418.97</v>
      </c>
      <c r="M826" t="s">
        <v>5055</v>
      </c>
      <c r="N826">
        <v>181890</v>
      </c>
      <c r="O826">
        <v>17.600000000000001</v>
      </c>
      <c r="P826">
        <v>14.75</v>
      </c>
      <c r="Q826">
        <v>1.35</v>
      </c>
      <c r="R826">
        <v>1.35</v>
      </c>
      <c r="T826" t="s">
        <v>5253</v>
      </c>
      <c r="U826">
        <v>2.82</v>
      </c>
      <c r="V826" t="s">
        <v>5925</v>
      </c>
      <c r="W826" t="s">
        <v>3962</v>
      </c>
      <c r="X826" t="s">
        <v>6293</v>
      </c>
      <c r="Y826" t="s">
        <v>11544</v>
      </c>
      <c r="Z826" t="s">
        <v>1514</v>
      </c>
      <c r="AA826">
        <v>23.81</v>
      </c>
      <c r="AB826" t="s">
        <v>1559</v>
      </c>
      <c r="AC826" t="s">
        <v>6830</v>
      </c>
      <c r="AD826" t="s">
        <v>7883</v>
      </c>
      <c r="AE826" t="s">
        <v>463</v>
      </c>
      <c r="AF826" t="s">
        <v>3229</v>
      </c>
      <c r="AG826" t="s">
        <v>3429</v>
      </c>
      <c r="AH826" t="s">
        <v>3777</v>
      </c>
      <c r="AI826" t="s">
        <v>1388</v>
      </c>
      <c r="AJ826" t="s">
        <v>3598</v>
      </c>
      <c r="AK826" t="s">
        <v>12488</v>
      </c>
      <c r="AL826">
        <v>0.98</v>
      </c>
      <c r="AM826">
        <v>0.86</v>
      </c>
      <c r="AO826" t="s">
        <v>2415</v>
      </c>
      <c r="AP826" t="s">
        <v>2415</v>
      </c>
      <c r="AQ826" t="s">
        <v>6348</v>
      </c>
      <c r="AR826" t="s">
        <v>4276</v>
      </c>
      <c r="AS826" t="s">
        <v>90</v>
      </c>
      <c r="AT826" t="s">
        <v>2361</v>
      </c>
      <c r="AU826" t="s">
        <v>4512</v>
      </c>
      <c r="AV826" t="s">
        <v>8057</v>
      </c>
      <c r="AW826" t="s">
        <v>4886</v>
      </c>
      <c r="AX826" t="s">
        <v>12489</v>
      </c>
      <c r="AY826" t="s">
        <v>4886</v>
      </c>
      <c r="AZ826" t="s">
        <v>12490</v>
      </c>
      <c r="BA826">
        <v>2.11</v>
      </c>
      <c r="BB826">
        <v>1351.05</v>
      </c>
      <c r="BC826">
        <v>0.47</v>
      </c>
      <c r="BD826">
        <v>414.89</v>
      </c>
      <c r="BE826">
        <v>419.76</v>
      </c>
      <c r="BF826">
        <v>416.57</v>
      </c>
      <c r="BG826" t="s">
        <v>12491</v>
      </c>
      <c r="BH826" t="s">
        <v>4886</v>
      </c>
      <c r="BI826" t="s">
        <v>12492</v>
      </c>
      <c r="BJ826" t="s">
        <v>101</v>
      </c>
      <c r="BK826" t="s">
        <v>6122</v>
      </c>
      <c r="BL826" t="s">
        <v>5794</v>
      </c>
      <c r="BM826" t="s">
        <v>4744</v>
      </c>
      <c r="BN826" t="s">
        <v>4063</v>
      </c>
    </row>
    <row r="827" spans="1:66" x14ac:dyDescent="0.25">
      <c r="A827" t="str">
        <f>HYPERLINK("https://elite.finviz.com/quote.ashx?t=MU&amp;ty=c&amp;p=d&amp;b=1", "MU")</f>
        <v>MU</v>
      </c>
      <c r="B827">
        <v>7</v>
      </c>
      <c r="C827">
        <v>138.38</v>
      </c>
      <c r="D827">
        <v>64.72</v>
      </c>
      <c r="E827" t="s">
        <v>12493</v>
      </c>
      <c r="F827" t="s">
        <v>319</v>
      </c>
      <c r="G827" t="s">
        <v>108</v>
      </c>
      <c r="H827" t="s">
        <v>1808</v>
      </c>
      <c r="I827" t="s">
        <v>70</v>
      </c>
      <c r="J827" t="s">
        <v>321</v>
      </c>
      <c r="K827">
        <v>177090.24</v>
      </c>
      <c r="L827">
        <v>158.24</v>
      </c>
      <c r="M827" t="s">
        <v>3493</v>
      </c>
      <c r="N827">
        <v>11073279</v>
      </c>
      <c r="O827">
        <v>20.87</v>
      </c>
      <c r="P827">
        <v>9.02</v>
      </c>
      <c r="Q827">
        <v>0.79</v>
      </c>
      <c r="R827">
        <v>4.74</v>
      </c>
      <c r="S827">
        <v>3.49</v>
      </c>
      <c r="T827" t="s">
        <v>3446</v>
      </c>
      <c r="U827">
        <v>0.46</v>
      </c>
      <c r="V827" t="s">
        <v>4105</v>
      </c>
      <c r="W827" t="s">
        <v>164</v>
      </c>
      <c r="X827" t="s">
        <v>6003</v>
      </c>
      <c r="Z827" t="s">
        <v>3951</v>
      </c>
      <c r="AA827">
        <v>7.58</v>
      </c>
      <c r="AB827" t="s">
        <v>2331</v>
      </c>
      <c r="AC827" t="s">
        <v>603</v>
      </c>
      <c r="AD827" t="s">
        <v>1669</v>
      </c>
      <c r="AE827" t="s">
        <v>12494</v>
      </c>
      <c r="AF827" t="s">
        <v>3372</v>
      </c>
      <c r="AG827" t="s">
        <v>1199</v>
      </c>
      <c r="AH827" t="s">
        <v>2865</v>
      </c>
      <c r="AI827" t="s">
        <v>4907</v>
      </c>
      <c r="AJ827" t="s">
        <v>12495</v>
      </c>
      <c r="AK827" t="s">
        <v>12496</v>
      </c>
      <c r="AL827">
        <v>2.52</v>
      </c>
      <c r="AM827">
        <v>1.79</v>
      </c>
      <c r="AN827">
        <v>0.28000000000000003</v>
      </c>
      <c r="AO827" t="s">
        <v>12297</v>
      </c>
      <c r="AP827" t="s">
        <v>8110</v>
      </c>
      <c r="AQ827" t="s">
        <v>235</v>
      </c>
      <c r="AR827" t="s">
        <v>5187</v>
      </c>
      <c r="AS827" t="s">
        <v>4394</v>
      </c>
      <c r="AT827" t="s">
        <v>2796</v>
      </c>
      <c r="AU827" t="s">
        <v>4930</v>
      </c>
      <c r="AV827" t="s">
        <v>4302</v>
      </c>
      <c r="AW827" t="s">
        <v>4226</v>
      </c>
      <c r="AX827" t="s">
        <v>9982</v>
      </c>
      <c r="AY827" t="s">
        <v>4226</v>
      </c>
      <c r="AZ827" t="s">
        <v>12497</v>
      </c>
      <c r="BA827">
        <v>1.57</v>
      </c>
      <c r="BB827">
        <v>23319.61</v>
      </c>
      <c r="BC827">
        <v>1.67</v>
      </c>
      <c r="BD827">
        <v>156.83000000000001</v>
      </c>
      <c r="BE827">
        <v>158.9</v>
      </c>
      <c r="BF827">
        <v>155.56</v>
      </c>
      <c r="BG827" t="s">
        <v>12498</v>
      </c>
      <c r="BH827" t="s">
        <v>4226</v>
      </c>
      <c r="BI827" t="s">
        <v>12499</v>
      </c>
      <c r="BJ827" t="s">
        <v>101</v>
      </c>
      <c r="BK827" t="s">
        <v>12500</v>
      </c>
      <c r="BL827" t="s">
        <v>12501</v>
      </c>
      <c r="BM827" t="s">
        <v>12502</v>
      </c>
      <c r="BN827" t="s">
        <v>4063</v>
      </c>
    </row>
    <row r="828" spans="1:66" x14ac:dyDescent="0.25">
      <c r="A828" t="str">
        <f>HYPERLINK("https://elite.finviz.com/quote.ashx?t=NPWR&amp;ty=c&amp;p=d&amp;b=1", "NPWR")</f>
        <v>NPWR</v>
      </c>
      <c r="B828">
        <v>7</v>
      </c>
      <c r="C828">
        <v>138.38</v>
      </c>
      <c r="D828">
        <v>64.8</v>
      </c>
      <c r="E828" t="s">
        <v>12503</v>
      </c>
      <c r="F828" t="s">
        <v>67</v>
      </c>
      <c r="G828" t="s">
        <v>260</v>
      </c>
      <c r="H828" t="s">
        <v>261</v>
      </c>
      <c r="I828" t="s">
        <v>70</v>
      </c>
      <c r="J828" t="s">
        <v>71</v>
      </c>
      <c r="K828">
        <v>658.77</v>
      </c>
      <c r="L828">
        <v>3.01</v>
      </c>
      <c r="M828" t="s">
        <v>3286</v>
      </c>
      <c r="N828">
        <v>273773</v>
      </c>
      <c r="R828">
        <v>65876.5</v>
      </c>
      <c r="S828">
        <v>0.38</v>
      </c>
      <c r="AA828">
        <v>-2.35</v>
      </c>
      <c r="AB828" t="s">
        <v>12504</v>
      </c>
      <c r="AD828" t="s">
        <v>5886</v>
      </c>
      <c r="AE828" t="s">
        <v>11634</v>
      </c>
      <c r="AH828" t="s">
        <v>579</v>
      </c>
      <c r="AI828" t="s">
        <v>12505</v>
      </c>
      <c r="AJ828" t="s">
        <v>133</v>
      </c>
      <c r="AK828" t="s">
        <v>4176</v>
      </c>
      <c r="AL828">
        <v>9.77</v>
      </c>
      <c r="AM828">
        <v>9.77</v>
      </c>
      <c r="AN828">
        <v>0.01</v>
      </c>
      <c r="AO828" t="s">
        <v>12506</v>
      </c>
      <c r="AR828" t="s">
        <v>293</v>
      </c>
      <c r="AS828" t="s">
        <v>1889</v>
      </c>
      <c r="AT828" t="s">
        <v>12507</v>
      </c>
      <c r="AU828" t="s">
        <v>7629</v>
      </c>
      <c r="AV828" t="s">
        <v>12508</v>
      </c>
      <c r="AW828" t="s">
        <v>7525</v>
      </c>
      <c r="AX828" t="s">
        <v>7061</v>
      </c>
      <c r="AY828" t="s">
        <v>12509</v>
      </c>
      <c r="AZ828" t="s">
        <v>12510</v>
      </c>
      <c r="BA828">
        <v>2.25</v>
      </c>
      <c r="BB828">
        <v>1479.32</v>
      </c>
      <c r="BC828">
        <v>0.65</v>
      </c>
      <c r="BD828">
        <v>3.05</v>
      </c>
      <c r="BE828">
        <v>3.15</v>
      </c>
      <c r="BF828">
        <v>3.01</v>
      </c>
      <c r="BG828" t="s">
        <v>12511</v>
      </c>
      <c r="BH828" t="s">
        <v>12512</v>
      </c>
      <c r="BI828" t="s">
        <v>12510</v>
      </c>
      <c r="BJ828" t="s">
        <v>101</v>
      </c>
      <c r="BK828" t="s">
        <v>7087</v>
      </c>
      <c r="BL828" t="s">
        <v>3505</v>
      </c>
      <c r="BM828" t="s">
        <v>11928</v>
      </c>
      <c r="BN828" t="s">
        <v>4063</v>
      </c>
    </row>
    <row r="829" spans="1:66" x14ac:dyDescent="0.25">
      <c r="A829" t="str">
        <f>HYPERLINK("https://elite.finviz.com/quote.ashx?t=ALB&amp;ty=c&amp;p=d&amp;b=1", "ALB")</f>
        <v>ALB</v>
      </c>
      <c r="B829">
        <v>7</v>
      </c>
      <c r="C829">
        <v>138.38</v>
      </c>
      <c r="D829">
        <v>64.819999999999993</v>
      </c>
      <c r="E829" t="s">
        <v>12513</v>
      </c>
      <c r="F829" t="s">
        <v>195</v>
      </c>
      <c r="G829" t="s">
        <v>355</v>
      </c>
      <c r="H829" t="s">
        <v>1147</v>
      </c>
      <c r="I829" t="s">
        <v>70</v>
      </c>
      <c r="J829" t="s">
        <v>71</v>
      </c>
      <c r="K829">
        <v>10351.39</v>
      </c>
      <c r="L829">
        <v>87.96</v>
      </c>
      <c r="M829" t="s">
        <v>1453</v>
      </c>
      <c r="N829">
        <v>1744880</v>
      </c>
      <c r="P829">
        <v>178.28</v>
      </c>
      <c r="R829">
        <v>2.0699999999999998</v>
      </c>
      <c r="S829">
        <v>1.29</v>
      </c>
      <c r="T829" t="s">
        <v>4267</v>
      </c>
      <c r="U829">
        <v>1.62</v>
      </c>
      <c r="V829" t="s">
        <v>2620</v>
      </c>
      <c r="W829" t="s">
        <v>4840</v>
      </c>
      <c r="X829" t="s">
        <v>3552</v>
      </c>
      <c r="Y829" t="s">
        <v>2339</v>
      </c>
      <c r="AA829">
        <v>-9.33</v>
      </c>
      <c r="AE829" t="s">
        <v>12514</v>
      </c>
      <c r="AF829" t="s">
        <v>12515</v>
      </c>
      <c r="AG829" t="s">
        <v>10714</v>
      </c>
      <c r="AH829" t="s">
        <v>94</v>
      </c>
      <c r="AI829" t="s">
        <v>12516</v>
      </c>
      <c r="AJ829" t="s">
        <v>164</v>
      </c>
      <c r="AK829" t="s">
        <v>12517</v>
      </c>
      <c r="AL829">
        <v>2.31</v>
      </c>
      <c r="AM829">
        <v>1.47</v>
      </c>
      <c r="AN829">
        <v>0.37</v>
      </c>
      <c r="AO829" t="s">
        <v>4512</v>
      </c>
      <c r="AP829" t="s">
        <v>3622</v>
      </c>
      <c r="AQ829" t="s">
        <v>4357</v>
      </c>
      <c r="AR829" t="s">
        <v>1104</v>
      </c>
      <c r="AS829" t="s">
        <v>2842</v>
      </c>
      <c r="AT829" t="s">
        <v>236</v>
      </c>
      <c r="AU829" t="s">
        <v>3003</v>
      </c>
      <c r="AV829" t="s">
        <v>1085</v>
      </c>
      <c r="AW829" t="s">
        <v>1249</v>
      </c>
      <c r="AX829" t="s">
        <v>8043</v>
      </c>
      <c r="AY829" t="s">
        <v>12518</v>
      </c>
      <c r="AZ829" t="s">
        <v>12519</v>
      </c>
      <c r="BA829">
        <v>2.56</v>
      </c>
      <c r="BB829">
        <v>4460.51</v>
      </c>
      <c r="BC829">
        <v>1.38</v>
      </c>
      <c r="BD829">
        <v>84.83</v>
      </c>
      <c r="BE829">
        <v>89.35</v>
      </c>
      <c r="BF829">
        <v>83.4</v>
      </c>
      <c r="BG829" t="s">
        <v>12520</v>
      </c>
      <c r="BH829" t="s">
        <v>12521</v>
      </c>
      <c r="BI829" t="s">
        <v>12522</v>
      </c>
      <c r="BJ829" t="s">
        <v>101</v>
      </c>
      <c r="BK829" t="s">
        <v>8043</v>
      </c>
      <c r="BL829" t="s">
        <v>535</v>
      </c>
      <c r="BM829" t="s">
        <v>7356</v>
      </c>
      <c r="BN829" t="s">
        <v>4063</v>
      </c>
    </row>
    <row r="830" spans="1:66" x14ac:dyDescent="0.25">
      <c r="A830" t="str">
        <f>HYPERLINK("https://elite.finviz.com/quote.ashx?t=BHF&amp;ty=c&amp;p=d&amp;b=1", "BHF")</f>
        <v>BHF</v>
      </c>
      <c r="B830">
        <v>7</v>
      </c>
      <c r="C830">
        <v>138.38</v>
      </c>
      <c r="D830">
        <v>64.930000000000007</v>
      </c>
      <c r="E830" t="s">
        <v>12523</v>
      </c>
      <c r="F830" t="s">
        <v>107</v>
      </c>
      <c r="G830" t="s">
        <v>550</v>
      </c>
      <c r="H830" t="s">
        <v>5652</v>
      </c>
      <c r="I830" t="s">
        <v>70</v>
      </c>
      <c r="J830" t="s">
        <v>321</v>
      </c>
      <c r="K830">
        <v>3185.1</v>
      </c>
      <c r="L830">
        <v>55.73</v>
      </c>
      <c r="M830" t="s">
        <v>3551</v>
      </c>
      <c r="N830">
        <v>206653</v>
      </c>
      <c r="O830">
        <v>6.02</v>
      </c>
      <c r="P830">
        <v>2.61</v>
      </c>
      <c r="Q830">
        <v>1.27</v>
      </c>
      <c r="R830">
        <v>0.49</v>
      </c>
      <c r="S830">
        <v>0.56000000000000005</v>
      </c>
      <c r="Z830" t="s">
        <v>164</v>
      </c>
      <c r="AA830">
        <v>9.25</v>
      </c>
      <c r="AD830" t="s">
        <v>995</v>
      </c>
      <c r="AE830" t="s">
        <v>12524</v>
      </c>
      <c r="AF830" t="s">
        <v>8294</v>
      </c>
      <c r="AG830" t="s">
        <v>5857</v>
      </c>
      <c r="AH830" t="s">
        <v>12525</v>
      </c>
      <c r="AI830" t="s">
        <v>2787</v>
      </c>
      <c r="AJ830" t="s">
        <v>1929</v>
      </c>
      <c r="AK830" t="s">
        <v>12526</v>
      </c>
      <c r="AL830">
        <v>8.4</v>
      </c>
      <c r="AN830">
        <v>0.56000000000000005</v>
      </c>
      <c r="AP830" t="s">
        <v>2711</v>
      </c>
      <c r="AQ830" t="s">
        <v>2428</v>
      </c>
      <c r="AR830" t="s">
        <v>8401</v>
      </c>
      <c r="AS830" t="s">
        <v>1749</v>
      </c>
      <c r="AT830" t="s">
        <v>6087</v>
      </c>
      <c r="AU830" t="s">
        <v>9096</v>
      </c>
      <c r="AV830" t="s">
        <v>585</v>
      </c>
      <c r="AW830" t="s">
        <v>9741</v>
      </c>
      <c r="AX830" t="s">
        <v>12527</v>
      </c>
      <c r="AY830" t="s">
        <v>12528</v>
      </c>
      <c r="AZ830" t="s">
        <v>12527</v>
      </c>
      <c r="BA830">
        <v>3.09</v>
      </c>
      <c r="BB830">
        <v>1099.25</v>
      </c>
      <c r="BC830">
        <v>0.66</v>
      </c>
      <c r="BD830">
        <v>54.94</v>
      </c>
      <c r="BE830">
        <v>56.12</v>
      </c>
      <c r="BF830">
        <v>54.96</v>
      </c>
      <c r="BG830" t="s">
        <v>12529</v>
      </c>
      <c r="BH830" t="s">
        <v>12530</v>
      </c>
      <c r="BI830" t="s">
        <v>12531</v>
      </c>
      <c r="BJ830" t="s">
        <v>101</v>
      </c>
      <c r="BK830" t="s">
        <v>4600</v>
      </c>
      <c r="BL830" t="s">
        <v>6354</v>
      </c>
      <c r="BM830" t="s">
        <v>1813</v>
      </c>
      <c r="BN830" t="s">
        <v>4063</v>
      </c>
    </row>
    <row r="831" spans="1:66" x14ac:dyDescent="0.25">
      <c r="A831" t="str">
        <f>HYPERLINK("https://elite.finviz.com/quote.ashx?t=RMBS&amp;ty=c&amp;p=d&amp;b=1", "RMBS")</f>
        <v>RMBS</v>
      </c>
      <c r="B831">
        <v>7</v>
      </c>
      <c r="C831">
        <v>138.38</v>
      </c>
      <c r="D831">
        <v>65.069999999999993</v>
      </c>
      <c r="E831" t="s">
        <v>12532</v>
      </c>
      <c r="F831" t="s">
        <v>67</v>
      </c>
      <c r="G831" t="s">
        <v>108</v>
      </c>
      <c r="H831" t="s">
        <v>1808</v>
      </c>
      <c r="I831" t="s">
        <v>70</v>
      </c>
      <c r="J831" t="s">
        <v>321</v>
      </c>
      <c r="K831">
        <v>10819.47</v>
      </c>
      <c r="L831">
        <v>100.56</v>
      </c>
      <c r="M831" t="s">
        <v>2213</v>
      </c>
      <c r="N831">
        <v>360064</v>
      </c>
      <c r="O831">
        <v>47.59</v>
      </c>
      <c r="P831">
        <v>34.65</v>
      </c>
      <c r="Q831">
        <v>1.86</v>
      </c>
      <c r="R831">
        <v>16.760000000000002</v>
      </c>
      <c r="S831">
        <v>8.81</v>
      </c>
      <c r="Z831" t="s">
        <v>164</v>
      </c>
      <c r="AA831">
        <v>2.11</v>
      </c>
      <c r="AB831" t="s">
        <v>12533</v>
      </c>
      <c r="AD831" t="s">
        <v>12534</v>
      </c>
      <c r="AE831" t="s">
        <v>12535</v>
      </c>
      <c r="AF831" t="s">
        <v>8464</v>
      </c>
      <c r="AG831" t="s">
        <v>6001</v>
      </c>
      <c r="AH831" t="s">
        <v>5896</v>
      </c>
      <c r="AI831" t="s">
        <v>1794</v>
      </c>
      <c r="AJ831" t="s">
        <v>5853</v>
      </c>
      <c r="AK831" t="s">
        <v>12536</v>
      </c>
      <c r="AL831">
        <v>10.85</v>
      </c>
      <c r="AM831">
        <v>10.32</v>
      </c>
      <c r="AN831">
        <v>0.02</v>
      </c>
      <c r="AO831" t="s">
        <v>8871</v>
      </c>
      <c r="AP831" t="s">
        <v>5977</v>
      </c>
      <c r="AQ831" t="s">
        <v>129</v>
      </c>
      <c r="AR831" t="s">
        <v>3429</v>
      </c>
      <c r="AS831" t="s">
        <v>3777</v>
      </c>
      <c r="AT831" t="s">
        <v>1369</v>
      </c>
      <c r="AU831" t="s">
        <v>9973</v>
      </c>
      <c r="AV831" t="s">
        <v>7275</v>
      </c>
      <c r="AW831" t="s">
        <v>8230</v>
      </c>
      <c r="AX831" t="s">
        <v>673</v>
      </c>
      <c r="AY831" t="s">
        <v>8230</v>
      </c>
      <c r="AZ831" t="s">
        <v>12537</v>
      </c>
      <c r="BA831">
        <v>1.55</v>
      </c>
      <c r="BB831">
        <v>1704.88</v>
      </c>
      <c r="BC831">
        <v>0.74</v>
      </c>
      <c r="BD831">
        <v>100.76</v>
      </c>
      <c r="BE831">
        <v>102.32</v>
      </c>
      <c r="BF831">
        <v>99.87</v>
      </c>
      <c r="BG831" t="s">
        <v>12538</v>
      </c>
      <c r="BH831" t="s">
        <v>12539</v>
      </c>
      <c r="BI831" t="s">
        <v>12540</v>
      </c>
      <c r="BJ831" t="s">
        <v>101</v>
      </c>
      <c r="BK831" t="s">
        <v>12541</v>
      </c>
      <c r="BL831" t="s">
        <v>12542</v>
      </c>
      <c r="BM831" t="s">
        <v>12543</v>
      </c>
      <c r="BN831" t="s">
        <v>4063</v>
      </c>
    </row>
    <row r="832" spans="1:66" x14ac:dyDescent="0.25">
      <c r="A832" t="str">
        <f>HYPERLINK("https://elite.finviz.com/quote.ashx?t=MDU&amp;ty=c&amp;p=d&amp;b=1", "MDU")</f>
        <v>MDU</v>
      </c>
      <c r="B832">
        <v>7</v>
      </c>
      <c r="C832">
        <v>138.38</v>
      </c>
      <c r="D832">
        <v>65.08</v>
      </c>
      <c r="E832" t="s">
        <v>12544</v>
      </c>
      <c r="F832" t="s">
        <v>107</v>
      </c>
      <c r="G832" t="s">
        <v>287</v>
      </c>
      <c r="H832" t="s">
        <v>3541</v>
      </c>
      <c r="I832" t="s">
        <v>70</v>
      </c>
      <c r="J832" t="s">
        <v>71</v>
      </c>
      <c r="K832">
        <v>3533.23</v>
      </c>
      <c r="L832">
        <v>17.29</v>
      </c>
      <c r="M832" t="s">
        <v>4280</v>
      </c>
      <c r="N832">
        <v>270945</v>
      </c>
      <c r="O832">
        <v>16.440000000000001</v>
      </c>
      <c r="P832">
        <v>16.57</v>
      </c>
      <c r="Q832">
        <v>2.17</v>
      </c>
      <c r="R832">
        <v>1.35</v>
      </c>
      <c r="S832">
        <v>1.29</v>
      </c>
      <c r="T832" t="s">
        <v>911</v>
      </c>
      <c r="U832">
        <v>0.53</v>
      </c>
      <c r="V832" t="s">
        <v>7788</v>
      </c>
      <c r="W832" t="s">
        <v>12545</v>
      </c>
      <c r="X832" t="s">
        <v>5133</v>
      </c>
      <c r="Y832" t="s">
        <v>10064</v>
      </c>
      <c r="Z832" t="s">
        <v>5601</v>
      </c>
      <c r="AA832">
        <v>1.05</v>
      </c>
      <c r="AB832" t="s">
        <v>501</v>
      </c>
      <c r="AC832" t="s">
        <v>1770</v>
      </c>
      <c r="AD832" t="s">
        <v>2796</v>
      </c>
      <c r="AE832" t="s">
        <v>12546</v>
      </c>
      <c r="AF832" t="s">
        <v>7411</v>
      </c>
      <c r="AG832" t="s">
        <v>12547</v>
      </c>
      <c r="AH832" t="s">
        <v>12548</v>
      </c>
      <c r="AI832" t="s">
        <v>449</v>
      </c>
      <c r="AJ832" t="s">
        <v>3358</v>
      </c>
      <c r="AK832" t="s">
        <v>12549</v>
      </c>
      <c r="AL832">
        <v>0.74</v>
      </c>
      <c r="AM832">
        <v>0.71</v>
      </c>
      <c r="AN832">
        <v>0.8</v>
      </c>
      <c r="AO832" t="s">
        <v>6249</v>
      </c>
      <c r="AP832" t="s">
        <v>3921</v>
      </c>
      <c r="AQ832" t="s">
        <v>723</v>
      </c>
      <c r="AR832" t="s">
        <v>3208</v>
      </c>
      <c r="AS832" t="s">
        <v>2609</v>
      </c>
      <c r="AT832" t="s">
        <v>2293</v>
      </c>
      <c r="AU832" t="s">
        <v>3170</v>
      </c>
      <c r="AV832" t="s">
        <v>2572</v>
      </c>
      <c r="AW832" t="s">
        <v>4367</v>
      </c>
      <c r="AX832" t="s">
        <v>3581</v>
      </c>
      <c r="AY832" t="s">
        <v>8993</v>
      </c>
      <c r="AZ832" t="s">
        <v>4532</v>
      </c>
      <c r="BA832">
        <v>1</v>
      </c>
      <c r="BB832">
        <v>1745.27</v>
      </c>
      <c r="BC832">
        <v>0.55000000000000004</v>
      </c>
      <c r="BD832">
        <v>17.059999999999999</v>
      </c>
      <c r="BE832">
        <v>17.489999999999998</v>
      </c>
      <c r="BF832">
        <v>17.12</v>
      </c>
      <c r="BG832" t="s">
        <v>12550</v>
      </c>
      <c r="BH832" t="s">
        <v>8993</v>
      </c>
      <c r="BI832" t="s">
        <v>12551</v>
      </c>
      <c r="BJ832" t="s">
        <v>101</v>
      </c>
      <c r="BK832" t="s">
        <v>2472</v>
      </c>
      <c r="BL832" t="s">
        <v>1934</v>
      </c>
      <c r="BM832" t="s">
        <v>9864</v>
      </c>
      <c r="BN832" t="s">
        <v>4063</v>
      </c>
    </row>
    <row r="833" spans="1:66" x14ac:dyDescent="0.25">
      <c r="A833" t="str">
        <f>HYPERLINK("https://elite.finviz.com/quote.ashx?t=BILL&amp;ty=c&amp;p=d&amp;b=1", "BILL")</f>
        <v>BILL</v>
      </c>
      <c r="B833">
        <v>7</v>
      </c>
      <c r="C833">
        <v>138.38</v>
      </c>
      <c r="D833">
        <v>65.12</v>
      </c>
      <c r="E833" t="s">
        <v>12552</v>
      </c>
      <c r="F833" t="s">
        <v>107</v>
      </c>
      <c r="G833" t="s">
        <v>108</v>
      </c>
      <c r="H833" t="s">
        <v>136</v>
      </c>
      <c r="I833" t="s">
        <v>70</v>
      </c>
      <c r="J833" t="s">
        <v>71</v>
      </c>
      <c r="K833">
        <v>5450.85</v>
      </c>
      <c r="L833">
        <v>53.63</v>
      </c>
      <c r="M833" t="s">
        <v>7124</v>
      </c>
      <c r="N833">
        <v>463635</v>
      </c>
      <c r="P833">
        <v>21.58</v>
      </c>
      <c r="R833">
        <v>3.73</v>
      </c>
      <c r="S833">
        <v>1.41</v>
      </c>
      <c r="Z833" t="s">
        <v>164</v>
      </c>
      <c r="AA833">
        <v>-0.16</v>
      </c>
      <c r="AD833" t="s">
        <v>12553</v>
      </c>
      <c r="AE833" t="s">
        <v>1055</v>
      </c>
      <c r="AF833" t="s">
        <v>7626</v>
      </c>
      <c r="AG833" t="s">
        <v>12554</v>
      </c>
      <c r="AH833" t="s">
        <v>12555</v>
      </c>
      <c r="AI833" t="s">
        <v>12556</v>
      </c>
      <c r="AJ833" t="s">
        <v>2638</v>
      </c>
      <c r="AK833" t="s">
        <v>10415</v>
      </c>
      <c r="AL833">
        <v>1.58</v>
      </c>
      <c r="AM833">
        <v>1.58</v>
      </c>
      <c r="AN833">
        <v>0.46</v>
      </c>
      <c r="AO833" t="s">
        <v>9308</v>
      </c>
      <c r="AP833" t="s">
        <v>7532</v>
      </c>
      <c r="AQ833" t="s">
        <v>7423</v>
      </c>
      <c r="AR833" t="s">
        <v>1302</v>
      </c>
      <c r="AS833" t="s">
        <v>2842</v>
      </c>
      <c r="AT833" t="s">
        <v>322</v>
      </c>
      <c r="AU833" t="s">
        <v>11856</v>
      </c>
      <c r="AV833" t="s">
        <v>7742</v>
      </c>
      <c r="AW833" t="s">
        <v>6162</v>
      </c>
      <c r="AX833" t="s">
        <v>3392</v>
      </c>
      <c r="AY833" t="s">
        <v>12387</v>
      </c>
      <c r="AZ833" t="s">
        <v>12557</v>
      </c>
      <c r="BA833">
        <v>1.85</v>
      </c>
      <c r="BB833">
        <v>3357.77</v>
      </c>
      <c r="BC833">
        <v>0.49</v>
      </c>
      <c r="BD833">
        <v>53.19</v>
      </c>
      <c r="BE833">
        <v>53.81</v>
      </c>
      <c r="BF833">
        <v>53</v>
      </c>
      <c r="BG833" t="s">
        <v>12558</v>
      </c>
      <c r="BH833" t="s">
        <v>1263</v>
      </c>
      <c r="BI833" t="s">
        <v>12559</v>
      </c>
      <c r="BJ833" t="s">
        <v>101</v>
      </c>
      <c r="BK833" t="s">
        <v>3451</v>
      </c>
      <c r="BL833" t="s">
        <v>3901</v>
      </c>
      <c r="BM833" t="s">
        <v>2554</v>
      </c>
      <c r="BN833" t="s">
        <v>4063</v>
      </c>
    </row>
    <row r="834" spans="1:66" x14ac:dyDescent="0.25">
      <c r="A834" t="str">
        <f>HYPERLINK("https://elite.finviz.com/quote.ashx?t=TE&amp;ty=c&amp;p=d&amp;b=1", "TE")</f>
        <v>TE</v>
      </c>
      <c r="B834">
        <v>7</v>
      </c>
      <c r="C834">
        <v>138.38</v>
      </c>
      <c r="D834">
        <v>65.2</v>
      </c>
      <c r="E834" t="s">
        <v>12560</v>
      </c>
      <c r="F834" t="s">
        <v>67</v>
      </c>
      <c r="G834" t="s">
        <v>260</v>
      </c>
      <c r="H834" t="s">
        <v>1128</v>
      </c>
      <c r="I834" t="s">
        <v>70</v>
      </c>
      <c r="J834" t="s">
        <v>71</v>
      </c>
      <c r="K834">
        <v>370.11</v>
      </c>
      <c r="L834">
        <v>2.19</v>
      </c>
      <c r="M834" t="s">
        <v>5574</v>
      </c>
      <c r="N834">
        <v>610971</v>
      </c>
      <c r="P834">
        <v>43.9</v>
      </c>
      <c r="R834">
        <v>1.96</v>
      </c>
      <c r="S834">
        <v>1.86</v>
      </c>
      <c r="AA834">
        <v>-3.1</v>
      </c>
      <c r="AB834" t="s">
        <v>438</v>
      </c>
      <c r="AI834" t="s">
        <v>7447</v>
      </c>
      <c r="AJ834" t="s">
        <v>10581</v>
      </c>
      <c r="AK834" t="s">
        <v>12561</v>
      </c>
      <c r="AL834">
        <v>1.26</v>
      </c>
      <c r="AM834">
        <v>0.34</v>
      </c>
      <c r="AN834">
        <v>3.17</v>
      </c>
      <c r="AO834" t="s">
        <v>1508</v>
      </c>
      <c r="AP834" t="s">
        <v>2706</v>
      </c>
      <c r="AQ834" t="s">
        <v>12562</v>
      </c>
      <c r="AR834" t="s">
        <v>333</v>
      </c>
      <c r="AS834" t="s">
        <v>605</v>
      </c>
      <c r="AT834" t="s">
        <v>2867</v>
      </c>
      <c r="AU834" t="s">
        <v>8152</v>
      </c>
      <c r="AV834" t="s">
        <v>1418</v>
      </c>
      <c r="AW834" t="s">
        <v>8156</v>
      </c>
      <c r="AX834" t="s">
        <v>12563</v>
      </c>
      <c r="AY834" t="s">
        <v>12564</v>
      </c>
      <c r="AZ834" t="s">
        <v>12565</v>
      </c>
      <c r="BA834">
        <v>1</v>
      </c>
      <c r="BB834">
        <v>1808.56</v>
      </c>
      <c r="BC834">
        <v>1.19</v>
      </c>
      <c r="BD834">
        <v>2.27</v>
      </c>
      <c r="BE834">
        <v>2.25</v>
      </c>
      <c r="BF834">
        <v>2.15</v>
      </c>
      <c r="BG834" t="s">
        <v>12566</v>
      </c>
      <c r="BH834" t="s">
        <v>12567</v>
      </c>
      <c r="BI834" t="s">
        <v>12568</v>
      </c>
      <c r="BJ834" t="s">
        <v>101</v>
      </c>
      <c r="BK834" t="s">
        <v>11678</v>
      </c>
      <c r="BL834" t="s">
        <v>4249</v>
      </c>
      <c r="BM834" t="s">
        <v>12569</v>
      </c>
      <c r="BN834" t="s">
        <v>4063</v>
      </c>
    </row>
    <row r="835" spans="1:66" x14ac:dyDescent="0.25">
      <c r="A835" t="str">
        <f>HYPERLINK("https://elite.finviz.com/quote.ashx?t=FSLR&amp;ty=c&amp;p=d&amp;b=1", "FSLR")</f>
        <v>FSLR</v>
      </c>
      <c r="B835">
        <v>7</v>
      </c>
      <c r="C835">
        <v>138.38</v>
      </c>
      <c r="D835">
        <v>65.209999999999994</v>
      </c>
      <c r="E835" t="s">
        <v>12570</v>
      </c>
      <c r="F835" t="s">
        <v>195</v>
      </c>
      <c r="G835" t="s">
        <v>108</v>
      </c>
      <c r="H835" t="s">
        <v>2924</v>
      </c>
      <c r="I835" t="s">
        <v>70</v>
      </c>
      <c r="J835" t="s">
        <v>321</v>
      </c>
      <c r="K835">
        <v>23657.759999999998</v>
      </c>
      <c r="L835">
        <v>220.59</v>
      </c>
      <c r="M835" t="s">
        <v>2768</v>
      </c>
      <c r="N835">
        <v>514850</v>
      </c>
      <c r="O835">
        <v>18.86</v>
      </c>
      <c r="P835">
        <v>9.49</v>
      </c>
      <c r="Q835">
        <v>0.56999999999999995</v>
      </c>
      <c r="R835">
        <v>5.45</v>
      </c>
      <c r="S835">
        <v>2.77</v>
      </c>
      <c r="Z835" t="s">
        <v>164</v>
      </c>
      <c r="AA835">
        <v>11.69</v>
      </c>
      <c r="AB835" t="s">
        <v>12571</v>
      </c>
      <c r="AD835" t="s">
        <v>8653</v>
      </c>
      <c r="AE835" t="s">
        <v>5057</v>
      </c>
      <c r="AF835" t="s">
        <v>1369</v>
      </c>
      <c r="AG835" t="s">
        <v>3723</v>
      </c>
      <c r="AH835" t="s">
        <v>6607</v>
      </c>
      <c r="AI835" t="s">
        <v>5950</v>
      </c>
      <c r="AJ835" t="s">
        <v>1722</v>
      </c>
      <c r="AK835" t="s">
        <v>12572</v>
      </c>
      <c r="AL835">
        <v>1.9</v>
      </c>
      <c r="AM835">
        <v>1.41</v>
      </c>
      <c r="AN835">
        <v>0.12</v>
      </c>
      <c r="AO835" t="s">
        <v>12573</v>
      </c>
      <c r="AP835" t="s">
        <v>12106</v>
      </c>
      <c r="AQ835" t="s">
        <v>12574</v>
      </c>
      <c r="AR835" t="s">
        <v>4659</v>
      </c>
      <c r="AS835" t="s">
        <v>3469</v>
      </c>
      <c r="AT835" t="s">
        <v>2174</v>
      </c>
      <c r="AU835" t="s">
        <v>3243</v>
      </c>
      <c r="AV835" t="s">
        <v>9147</v>
      </c>
      <c r="AW835" t="s">
        <v>12575</v>
      </c>
      <c r="AX835" t="s">
        <v>12576</v>
      </c>
      <c r="AY835" t="s">
        <v>9199</v>
      </c>
      <c r="AZ835" t="s">
        <v>12577</v>
      </c>
      <c r="BA835">
        <v>1.46</v>
      </c>
      <c r="BB835">
        <v>3150.03</v>
      </c>
      <c r="BC835">
        <v>0.57999999999999996</v>
      </c>
      <c r="BD835">
        <v>223.05</v>
      </c>
      <c r="BE835">
        <v>223.26</v>
      </c>
      <c r="BF835">
        <v>218.91</v>
      </c>
      <c r="BG835" t="s">
        <v>12578</v>
      </c>
      <c r="BH835" t="s">
        <v>5125</v>
      </c>
      <c r="BI835" t="s">
        <v>12579</v>
      </c>
      <c r="BJ835" t="s">
        <v>101</v>
      </c>
      <c r="BK835" t="s">
        <v>12580</v>
      </c>
      <c r="BL835" t="s">
        <v>12581</v>
      </c>
      <c r="BM835" t="s">
        <v>8115</v>
      </c>
      <c r="BN835" t="s">
        <v>4063</v>
      </c>
    </row>
    <row r="836" spans="1:66" x14ac:dyDescent="0.25">
      <c r="A836" t="str">
        <f>HYPERLINK("https://elite.finviz.com/quote.ashx?t=WDAY&amp;ty=c&amp;p=d&amp;b=1", "WDAY")</f>
        <v>WDAY</v>
      </c>
      <c r="B836">
        <v>7</v>
      </c>
      <c r="C836">
        <v>138.38</v>
      </c>
      <c r="D836">
        <v>65.25</v>
      </c>
      <c r="E836" t="s">
        <v>12582</v>
      </c>
      <c r="F836" t="s">
        <v>319</v>
      </c>
      <c r="G836" t="s">
        <v>108</v>
      </c>
      <c r="H836" t="s">
        <v>136</v>
      </c>
      <c r="I836" t="s">
        <v>70</v>
      </c>
      <c r="J836" t="s">
        <v>321</v>
      </c>
      <c r="K836">
        <v>65563.179999999993</v>
      </c>
      <c r="L836">
        <v>245.55</v>
      </c>
      <c r="M836" t="s">
        <v>5166</v>
      </c>
      <c r="N836">
        <v>682610</v>
      </c>
      <c r="O836">
        <v>113.56</v>
      </c>
      <c r="P836">
        <v>23.26</v>
      </c>
      <c r="Q836">
        <v>5.46</v>
      </c>
      <c r="R836">
        <v>7.34</v>
      </c>
      <c r="S836">
        <v>7.15</v>
      </c>
      <c r="Z836" t="s">
        <v>164</v>
      </c>
      <c r="AA836">
        <v>2.16</v>
      </c>
      <c r="AB836" t="s">
        <v>12583</v>
      </c>
      <c r="AD836" t="s">
        <v>12584</v>
      </c>
      <c r="AE836" t="s">
        <v>1476</v>
      </c>
      <c r="AF836" t="s">
        <v>3794</v>
      </c>
      <c r="AG836" t="s">
        <v>4533</v>
      </c>
      <c r="AH836" t="s">
        <v>2712</v>
      </c>
      <c r="AI836" t="s">
        <v>8229</v>
      </c>
      <c r="AJ836" t="s">
        <v>7039</v>
      </c>
      <c r="AK836" t="s">
        <v>12585</v>
      </c>
      <c r="AL836">
        <v>2.0499999999999998</v>
      </c>
      <c r="AM836">
        <v>2.0499999999999998</v>
      </c>
      <c r="AN836">
        <v>0.41</v>
      </c>
      <c r="AO836" t="s">
        <v>12586</v>
      </c>
      <c r="AP836" t="s">
        <v>3455</v>
      </c>
      <c r="AQ836" t="s">
        <v>6008</v>
      </c>
      <c r="AR836" t="s">
        <v>2383</v>
      </c>
      <c r="AS836" t="s">
        <v>451</v>
      </c>
      <c r="AT836" t="s">
        <v>3496</v>
      </c>
      <c r="AU836" t="s">
        <v>8843</v>
      </c>
      <c r="AV836" t="s">
        <v>2275</v>
      </c>
      <c r="AW836" t="s">
        <v>3736</v>
      </c>
      <c r="AX836" t="s">
        <v>12209</v>
      </c>
      <c r="AY836" t="s">
        <v>12587</v>
      </c>
      <c r="AZ836" t="s">
        <v>2713</v>
      </c>
      <c r="BA836">
        <v>1.63</v>
      </c>
      <c r="BB836">
        <v>3246.43</v>
      </c>
      <c r="BC836">
        <v>0.74</v>
      </c>
      <c r="BD836">
        <v>242.75</v>
      </c>
      <c r="BE836">
        <v>248.2</v>
      </c>
      <c r="BF836">
        <v>242.93</v>
      </c>
      <c r="BG836" t="s">
        <v>12588</v>
      </c>
      <c r="BH836" t="s">
        <v>12589</v>
      </c>
      <c r="BI836" t="s">
        <v>12590</v>
      </c>
      <c r="BJ836" t="s">
        <v>101</v>
      </c>
      <c r="BK836" t="s">
        <v>6150</v>
      </c>
      <c r="BL836" t="s">
        <v>1765</v>
      </c>
      <c r="BM836" t="s">
        <v>2103</v>
      </c>
      <c r="BN836" t="s">
        <v>4063</v>
      </c>
    </row>
    <row r="837" spans="1:66" x14ac:dyDescent="0.25">
      <c r="A837" t="str">
        <f>HYPERLINK("https://elite.finviz.com/quote.ashx?t=LXRX&amp;ty=c&amp;p=d&amp;b=1", "LXRX")</f>
        <v>LXRX</v>
      </c>
      <c r="B837">
        <v>7</v>
      </c>
      <c r="C837">
        <v>138.38</v>
      </c>
      <c r="D837">
        <v>65.3</v>
      </c>
      <c r="E837" t="s">
        <v>12591</v>
      </c>
      <c r="F837" t="s">
        <v>107</v>
      </c>
      <c r="G837" t="s">
        <v>428</v>
      </c>
      <c r="H837" t="s">
        <v>429</v>
      </c>
      <c r="I837" t="s">
        <v>70</v>
      </c>
      <c r="J837" t="s">
        <v>321</v>
      </c>
      <c r="K837">
        <v>483.32</v>
      </c>
      <c r="L837">
        <v>1.33</v>
      </c>
      <c r="M837" t="s">
        <v>240</v>
      </c>
      <c r="N837">
        <v>1067466</v>
      </c>
      <c r="R837">
        <v>8.27</v>
      </c>
      <c r="S837">
        <v>3.73</v>
      </c>
      <c r="AA837">
        <v>-0.33</v>
      </c>
      <c r="AB837" t="s">
        <v>1783</v>
      </c>
      <c r="AD837" t="s">
        <v>12592</v>
      </c>
      <c r="AE837" t="s">
        <v>12593</v>
      </c>
      <c r="AF837" t="s">
        <v>12594</v>
      </c>
      <c r="AG837" t="s">
        <v>12595</v>
      </c>
      <c r="AH837" t="s">
        <v>12596</v>
      </c>
      <c r="AI837" t="s">
        <v>12597</v>
      </c>
      <c r="AJ837" t="s">
        <v>164</v>
      </c>
      <c r="AK837" t="s">
        <v>12598</v>
      </c>
      <c r="AL837">
        <v>4.16</v>
      </c>
      <c r="AM837">
        <v>4.16</v>
      </c>
      <c r="AN837">
        <v>0.47</v>
      </c>
      <c r="AO837" t="s">
        <v>12599</v>
      </c>
      <c r="AP837" t="s">
        <v>12600</v>
      </c>
      <c r="AQ837" t="s">
        <v>12601</v>
      </c>
      <c r="AR837" t="s">
        <v>2816</v>
      </c>
      <c r="AS837" t="s">
        <v>6593</v>
      </c>
      <c r="AT837" t="s">
        <v>6721</v>
      </c>
      <c r="AU837" t="s">
        <v>2963</v>
      </c>
      <c r="AV837" t="s">
        <v>12602</v>
      </c>
      <c r="AW837" t="s">
        <v>269</v>
      </c>
      <c r="AX837" t="s">
        <v>12603</v>
      </c>
      <c r="AY837" t="s">
        <v>6785</v>
      </c>
      <c r="AZ837" t="s">
        <v>12604</v>
      </c>
      <c r="BA837">
        <v>1.8</v>
      </c>
      <c r="BB837">
        <v>3093.55</v>
      </c>
      <c r="BC837">
        <v>1.22</v>
      </c>
      <c r="BD837">
        <v>1.34</v>
      </c>
      <c r="BE837">
        <v>1.35</v>
      </c>
      <c r="BF837">
        <v>1.29</v>
      </c>
      <c r="BG837" t="s">
        <v>12605</v>
      </c>
      <c r="BH837" t="s">
        <v>9014</v>
      </c>
      <c r="BI837" t="s">
        <v>12604</v>
      </c>
      <c r="BJ837" t="s">
        <v>101</v>
      </c>
      <c r="BK837" t="s">
        <v>10789</v>
      </c>
      <c r="BL837" t="s">
        <v>12606</v>
      </c>
      <c r="BM837" t="s">
        <v>12607</v>
      </c>
      <c r="BN837" t="s">
        <v>4063</v>
      </c>
    </row>
    <row r="838" spans="1:66" x14ac:dyDescent="0.25">
      <c r="A838" t="str">
        <f>HYPERLINK("https://elite.finviz.com/quote.ashx?t=CLF&amp;ty=c&amp;p=d&amp;b=1", "CLF")</f>
        <v>CLF</v>
      </c>
      <c r="B838">
        <v>7</v>
      </c>
      <c r="C838">
        <v>138.38</v>
      </c>
      <c r="D838">
        <v>65.33</v>
      </c>
      <c r="E838" t="s">
        <v>12608</v>
      </c>
      <c r="F838" t="s">
        <v>107</v>
      </c>
      <c r="G838" t="s">
        <v>355</v>
      </c>
      <c r="H838" t="s">
        <v>10220</v>
      </c>
      <c r="I838" t="s">
        <v>70</v>
      </c>
      <c r="J838" t="s">
        <v>71</v>
      </c>
      <c r="K838">
        <v>6040.23</v>
      </c>
      <c r="L838">
        <v>12.21</v>
      </c>
      <c r="M838" t="s">
        <v>5166</v>
      </c>
      <c r="N838">
        <v>5904735</v>
      </c>
      <c r="P838">
        <v>41.44</v>
      </c>
      <c r="R838">
        <v>0.33</v>
      </c>
      <c r="S838">
        <v>1.04</v>
      </c>
      <c r="V838" t="s">
        <v>12609</v>
      </c>
      <c r="AA838">
        <v>-3.41</v>
      </c>
      <c r="AE838" t="s">
        <v>2272</v>
      </c>
      <c r="AF838" t="s">
        <v>708</v>
      </c>
      <c r="AG838" t="s">
        <v>452</v>
      </c>
      <c r="AH838" t="s">
        <v>7884</v>
      </c>
      <c r="AI838" t="s">
        <v>6934</v>
      </c>
      <c r="AJ838" t="s">
        <v>1783</v>
      </c>
      <c r="AK838" t="s">
        <v>8426</v>
      </c>
      <c r="AL838">
        <v>2.04</v>
      </c>
      <c r="AM838">
        <v>0.61</v>
      </c>
      <c r="AN838">
        <v>1.33</v>
      </c>
      <c r="AO838" t="s">
        <v>4653</v>
      </c>
      <c r="AP838" t="s">
        <v>12610</v>
      </c>
      <c r="AQ838" t="s">
        <v>2227</v>
      </c>
      <c r="AR838" t="s">
        <v>5045</v>
      </c>
      <c r="AS838" t="s">
        <v>4052</v>
      </c>
      <c r="AT838" t="s">
        <v>11494</v>
      </c>
      <c r="AU838" t="s">
        <v>5756</v>
      </c>
      <c r="AV838" t="s">
        <v>5538</v>
      </c>
      <c r="AW838" t="s">
        <v>124</v>
      </c>
      <c r="AX838" t="s">
        <v>2297</v>
      </c>
      <c r="AY838" t="s">
        <v>3725</v>
      </c>
      <c r="AZ838" t="s">
        <v>12611</v>
      </c>
      <c r="BA838">
        <v>2.6</v>
      </c>
      <c r="BB838">
        <v>23496.04</v>
      </c>
      <c r="BC838">
        <v>0.89</v>
      </c>
      <c r="BD838">
        <v>12.07</v>
      </c>
      <c r="BE838">
        <v>12.37</v>
      </c>
      <c r="BF838">
        <v>12.06</v>
      </c>
      <c r="BG838" t="s">
        <v>12612</v>
      </c>
      <c r="BH838" t="s">
        <v>12613</v>
      </c>
      <c r="BI838" t="s">
        <v>12614</v>
      </c>
      <c r="BJ838" t="s">
        <v>101</v>
      </c>
      <c r="BK838" t="s">
        <v>12615</v>
      </c>
      <c r="BL838" t="s">
        <v>12616</v>
      </c>
      <c r="BM838" t="s">
        <v>789</v>
      </c>
      <c r="BN838" t="s">
        <v>4063</v>
      </c>
    </row>
    <row r="839" spans="1:66" x14ac:dyDescent="0.25">
      <c r="A839" t="str">
        <f>HYPERLINK("https://elite.finviz.com/quote.ashx?t=LAWR&amp;ty=c&amp;p=d&amp;b=1", "LAWR")</f>
        <v>LAWR</v>
      </c>
      <c r="B839">
        <v>7</v>
      </c>
      <c r="C839">
        <v>138.38</v>
      </c>
      <c r="D839">
        <v>65.33</v>
      </c>
      <c r="E839" t="s">
        <v>12617</v>
      </c>
      <c r="F839" t="s">
        <v>107</v>
      </c>
      <c r="G839" t="s">
        <v>260</v>
      </c>
      <c r="H839" t="s">
        <v>2879</v>
      </c>
      <c r="I839" t="s">
        <v>70</v>
      </c>
      <c r="J839" t="s">
        <v>321</v>
      </c>
      <c r="L839">
        <v>3.33</v>
      </c>
      <c r="M839" t="s">
        <v>149</v>
      </c>
      <c r="N839">
        <v>279943</v>
      </c>
      <c r="AR839" t="s">
        <v>7010</v>
      </c>
      <c r="AS839" t="s">
        <v>4944</v>
      </c>
      <c r="AT839" t="s">
        <v>12618</v>
      </c>
      <c r="AU839" t="s">
        <v>3477</v>
      </c>
      <c r="AV839" t="s">
        <v>12619</v>
      </c>
      <c r="AW839" t="s">
        <v>1189</v>
      </c>
      <c r="AX839" t="s">
        <v>12620</v>
      </c>
      <c r="AY839" t="s">
        <v>1189</v>
      </c>
      <c r="AZ839" t="s">
        <v>12620</v>
      </c>
      <c r="BB839">
        <v>2650.67</v>
      </c>
      <c r="BC839">
        <v>0.37</v>
      </c>
      <c r="BD839">
        <v>3.31</v>
      </c>
      <c r="BE839">
        <v>3.35</v>
      </c>
      <c r="BF839">
        <v>3.2</v>
      </c>
      <c r="BG839" t="s">
        <v>12621</v>
      </c>
      <c r="BH839" t="s">
        <v>1189</v>
      </c>
      <c r="BI839" t="s">
        <v>12620</v>
      </c>
      <c r="BJ839" t="s">
        <v>101</v>
      </c>
      <c r="BN839" t="s">
        <v>4063</v>
      </c>
    </row>
    <row r="840" spans="1:66" x14ac:dyDescent="0.25">
      <c r="A840" t="str">
        <f>HYPERLINK("https://elite.finviz.com/quote.ashx?t=GD&amp;ty=c&amp;p=d&amp;b=1", "GD")</f>
        <v>GD</v>
      </c>
      <c r="B840">
        <v>7</v>
      </c>
      <c r="C840">
        <v>138.38</v>
      </c>
      <c r="D840">
        <v>65.34</v>
      </c>
      <c r="E840" t="s">
        <v>12622</v>
      </c>
      <c r="F840" t="s">
        <v>195</v>
      </c>
      <c r="G840" t="s">
        <v>260</v>
      </c>
      <c r="H840" t="s">
        <v>4779</v>
      </c>
      <c r="I840" t="s">
        <v>70</v>
      </c>
      <c r="J840" t="s">
        <v>71</v>
      </c>
      <c r="K840">
        <v>88342.8</v>
      </c>
      <c r="L840">
        <v>328.42</v>
      </c>
      <c r="M840" t="s">
        <v>343</v>
      </c>
      <c r="N840">
        <v>180615</v>
      </c>
      <c r="O840">
        <v>22.05</v>
      </c>
      <c r="P840">
        <v>19.309999999999999</v>
      </c>
      <c r="Q840">
        <v>2.0499999999999998</v>
      </c>
      <c r="R840">
        <v>1.76</v>
      </c>
      <c r="S840">
        <v>3.75</v>
      </c>
      <c r="T840" t="s">
        <v>7338</v>
      </c>
      <c r="U840">
        <v>5.84</v>
      </c>
      <c r="V840" t="s">
        <v>5056</v>
      </c>
      <c r="W840" t="s">
        <v>4498</v>
      </c>
      <c r="X840" t="s">
        <v>7541</v>
      </c>
      <c r="Y840" t="s">
        <v>5025</v>
      </c>
      <c r="Z840" t="s">
        <v>7923</v>
      </c>
      <c r="AA840">
        <v>14.89</v>
      </c>
      <c r="AB840" t="s">
        <v>5659</v>
      </c>
      <c r="AC840" t="s">
        <v>451</v>
      </c>
      <c r="AD840" t="s">
        <v>177</v>
      </c>
      <c r="AE840" t="s">
        <v>2819</v>
      </c>
      <c r="AF840" t="s">
        <v>3746</v>
      </c>
      <c r="AG840" t="s">
        <v>3334</v>
      </c>
      <c r="AH840" t="s">
        <v>660</v>
      </c>
      <c r="AI840" t="s">
        <v>2123</v>
      </c>
      <c r="AJ840" t="s">
        <v>12623</v>
      </c>
      <c r="AK840" t="s">
        <v>11143</v>
      </c>
      <c r="AL840">
        <v>1.36</v>
      </c>
      <c r="AM840">
        <v>0.83</v>
      </c>
      <c r="AN840">
        <v>0.45</v>
      </c>
      <c r="AO840" t="s">
        <v>5439</v>
      </c>
      <c r="AP840" t="s">
        <v>2579</v>
      </c>
      <c r="AQ840" t="s">
        <v>6791</v>
      </c>
      <c r="AR840" t="s">
        <v>4856</v>
      </c>
      <c r="AS840" t="s">
        <v>5166</v>
      </c>
      <c r="AT840" t="s">
        <v>6155</v>
      </c>
      <c r="AU840" t="s">
        <v>170</v>
      </c>
      <c r="AV840" t="s">
        <v>1464</v>
      </c>
      <c r="AW840" t="s">
        <v>6194</v>
      </c>
      <c r="AX840" t="s">
        <v>1206</v>
      </c>
      <c r="AY840" t="s">
        <v>6194</v>
      </c>
      <c r="AZ840" t="s">
        <v>12624</v>
      </c>
      <c r="BA840">
        <v>2.33</v>
      </c>
      <c r="BB840">
        <v>1121.57</v>
      </c>
      <c r="BC840">
        <v>0.56999999999999995</v>
      </c>
      <c r="BD840">
        <v>324.43</v>
      </c>
      <c r="BE840">
        <v>330.39</v>
      </c>
      <c r="BF840">
        <v>326.86</v>
      </c>
      <c r="BG840" t="s">
        <v>12625</v>
      </c>
      <c r="BH840" t="s">
        <v>6194</v>
      </c>
      <c r="BI840" t="s">
        <v>12626</v>
      </c>
      <c r="BJ840" t="s">
        <v>101</v>
      </c>
      <c r="BK840" t="s">
        <v>1794</v>
      </c>
      <c r="BL840" t="s">
        <v>12627</v>
      </c>
      <c r="BM840" t="s">
        <v>8535</v>
      </c>
      <c r="BN840" t="s">
        <v>4063</v>
      </c>
    </row>
    <row r="841" spans="1:66" x14ac:dyDescent="0.25">
      <c r="A841" t="str">
        <f>HYPERLINK("https://elite.finviz.com/quote.ashx?t=BK&amp;ty=c&amp;p=d&amp;b=1", "BK")</f>
        <v>BK</v>
      </c>
      <c r="B841">
        <v>7</v>
      </c>
      <c r="C841">
        <v>138.38</v>
      </c>
      <c r="D841">
        <v>65.38</v>
      </c>
      <c r="E841" t="s">
        <v>12628</v>
      </c>
      <c r="F841" t="s">
        <v>195</v>
      </c>
      <c r="G841" t="s">
        <v>550</v>
      </c>
      <c r="H841" t="s">
        <v>12292</v>
      </c>
      <c r="I841" t="s">
        <v>70</v>
      </c>
      <c r="J841" t="s">
        <v>71</v>
      </c>
      <c r="K841">
        <v>76892.41</v>
      </c>
      <c r="L841">
        <v>109.03</v>
      </c>
      <c r="M841" t="s">
        <v>3752</v>
      </c>
      <c r="N841">
        <v>343107</v>
      </c>
      <c r="O841">
        <v>16.649999999999999</v>
      </c>
      <c r="P841">
        <v>13.86</v>
      </c>
      <c r="Q841">
        <v>1.1200000000000001</v>
      </c>
      <c r="R841">
        <v>1.91</v>
      </c>
      <c r="S841">
        <v>1.99</v>
      </c>
      <c r="T841" t="s">
        <v>1303</v>
      </c>
      <c r="U841">
        <v>1.94</v>
      </c>
      <c r="V841" t="s">
        <v>12255</v>
      </c>
      <c r="W841" t="s">
        <v>2712</v>
      </c>
      <c r="X841" t="s">
        <v>1652</v>
      </c>
      <c r="Y841" t="s">
        <v>4815</v>
      </c>
      <c r="Z841" t="s">
        <v>8281</v>
      </c>
      <c r="AA841">
        <v>6.55</v>
      </c>
      <c r="AB841" t="s">
        <v>662</v>
      </c>
      <c r="AC841" t="s">
        <v>2316</v>
      </c>
      <c r="AD841" t="s">
        <v>4295</v>
      </c>
      <c r="AE841" t="s">
        <v>2816</v>
      </c>
      <c r="AF841" t="s">
        <v>9049</v>
      </c>
      <c r="AG841" t="s">
        <v>6779</v>
      </c>
      <c r="AH841" t="s">
        <v>5885</v>
      </c>
      <c r="AI841" t="s">
        <v>4783</v>
      </c>
      <c r="AJ841" t="s">
        <v>7008</v>
      </c>
      <c r="AK841" t="s">
        <v>6210</v>
      </c>
      <c r="AL841">
        <v>1.97</v>
      </c>
      <c r="AN841">
        <v>1.66</v>
      </c>
      <c r="AP841" t="s">
        <v>6201</v>
      </c>
      <c r="AQ841" t="s">
        <v>845</v>
      </c>
      <c r="AR841" t="s">
        <v>3925</v>
      </c>
      <c r="AS841" t="s">
        <v>2195</v>
      </c>
      <c r="AT841" t="s">
        <v>4710</v>
      </c>
      <c r="AU841" t="s">
        <v>5395</v>
      </c>
      <c r="AV841" t="s">
        <v>5050</v>
      </c>
      <c r="AW841" t="s">
        <v>7039</v>
      </c>
      <c r="AX841" t="s">
        <v>11845</v>
      </c>
      <c r="AY841" t="s">
        <v>7039</v>
      </c>
      <c r="AZ841" t="s">
        <v>7885</v>
      </c>
      <c r="BA841">
        <v>2.16</v>
      </c>
      <c r="BB841">
        <v>3693.64</v>
      </c>
      <c r="BC841">
        <v>0.33</v>
      </c>
      <c r="BD841">
        <v>109.08</v>
      </c>
      <c r="BE841">
        <v>110.28</v>
      </c>
      <c r="BF841">
        <v>108.88</v>
      </c>
      <c r="BG841" t="s">
        <v>12629</v>
      </c>
      <c r="BH841" t="s">
        <v>7039</v>
      </c>
      <c r="BI841" t="s">
        <v>12630</v>
      </c>
      <c r="BJ841" t="s">
        <v>101</v>
      </c>
      <c r="BK841" t="s">
        <v>12631</v>
      </c>
      <c r="BL841" t="s">
        <v>12632</v>
      </c>
      <c r="BM841" t="s">
        <v>3563</v>
      </c>
      <c r="BN841" t="s">
        <v>4063</v>
      </c>
    </row>
    <row r="842" spans="1:66" x14ac:dyDescent="0.25">
      <c r="A842" t="str">
        <f>HYPERLINK("https://elite.finviz.com/quote.ashx?t=THC&amp;ty=c&amp;p=d&amp;b=1", "THC")</f>
        <v>THC</v>
      </c>
      <c r="B842">
        <v>7</v>
      </c>
      <c r="C842">
        <v>138.38</v>
      </c>
      <c r="D842">
        <v>65.38</v>
      </c>
      <c r="E842" t="s">
        <v>12633</v>
      </c>
      <c r="F842" t="s">
        <v>107</v>
      </c>
      <c r="G842" t="s">
        <v>428</v>
      </c>
      <c r="H842" t="s">
        <v>3160</v>
      </c>
      <c r="I842" t="s">
        <v>70</v>
      </c>
      <c r="J842" t="s">
        <v>71</v>
      </c>
      <c r="K842">
        <v>17465.23</v>
      </c>
      <c r="L842">
        <v>197.68</v>
      </c>
      <c r="M842" t="s">
        <v>1657</v>
      </c>
      <c r="N842">
        <v>236847</v>
      </c>
      <c r="O842">
        <v>12.65</v>
      </c>
      <c r="P842">
        <v>12.32</v>
      </c>
      <c r="Q842">
        <v>0.88</v>
      </c>
      <c r="R842">
        <v>0.84</v>
      </c>
      <c r="S842">
        <v>4.66</v>
      </c>
      <c r="Z842" t="s">
        <v>164</v>
      </c>
      <c r="AA842">
        <v>15.62</v>
      </c>
      <c r="AB842" t="s">
        <v>9369</v>
      </c>
      <c r="AD842" t="s">
        <v>3965</v>
      </c>
      <c r="AE842" t="s">
        <v>4436</v>
      </c>
      <c r="AF842" t="s">
        <v>5258</v>
      </c>
      <c r="AG842" t="s">
        <v>1599</v>
      </c>
      <c r="AH842" t="s">
        <v>5593</v>
      </c>
      <c r="AI842" t="s">
        <v>507</v>
      </c>
      <c r="AJ842" t="s">
        <v>6349</v>
      </c>
      <c r="AK842" t="s">
        <v>12634</v>
      </c>
      <c r="AL842">
        <v>1.71</v>
      </c>
      <c r="AM842">
        <v>1.63</v>
      </c>
      <c r="AN842">
        <v>3.51</v>
      </c>
      <c r="AO842" t="s">
        <v>6343</v>
      </c>
      <c r="AP842" t="s">
        <v>6343</v>
      </c>
      <c r="AQ842" t="s">
        <v>3688</v>
      </c>
      <c r="AR842" t="s">
        <v>648</v>
      </c>
      <c r="AS842" t="s">
        <v>4687</v>
      </c>
      <c r="AT842" t="s">
        <v>6121</v>
      </c>
      <c r="AU842" t="s">
        <v>7976</v>
      </c>
      <c r="AV842" t="s">
        <v>12635</v>
      </c>
      <c r="AW842" t="s">
        <v>8402</v>
      </c>
      <c r="AX842" t="s">
        <v>12636</v>
      </c>
      <c r="AY842" t="s">
        <v>8402</v>
      </c>
      <c r="AZ842" t="s">
        <v>9989</v>
      </c>
      <c r="BA842">
        <v>1.69</v>
      </c>
      <c r="BB842">
        <v>1320.64</v>
      </c>
      <c r="BC842">
        <v>0.63</v>
      </c>
      <c r="BD842">
        <v>196.72</v>
      </c>
      <c r="BE842">
        <v>200.19</v>
      </c>
      <c r="BF842">
        <v>197.55</v>
      </c>
      <c r="BG842" t="s">
        <v>12637</v>
      </c>
      <c r="BH842" t="s">
        <v>8654</v>
      </c>
      <c r="BI842" t="s">
        <v>12638</v>
      </c>
      <c r="BJ842" t="s">
        <v>101</v>
      </c>
      <c r="BK842" t="s">
        <v>340</v>
      </c>
      <c r="BL842" t="s">
        <v>10277</v>
      </c>
      <c r="BM842" t="s">
        <v>8057</v>
      </c>
      <c r="BN842" t="s">
        <v>4063</v>
      </c>
    </row>
    <row r="843" spans="1:66" x14ac:dyDescent="0.25">
      <c r="A843" t="str">
        <f>HYPERLINK("https://elite.finviz.com/quote.ashx?t=CENX&amp;ty=c&amp;p=d&amp;b=1", "CENX")</f>
        <v>CENX</v>
      </c>
      <c r="B843">
        <v>7</v>
      </c>
      <c r="C843">
        <v>138.38</v>
      </c>
      <c r="D843">
        <v>65.59</v>
      </c>
      <c r="E843" t="s">
        <v>12639</v>
      </c>
      <c r="F843" t="s">
        <v>67</v>
      </c>
      <c r="G843" t="s">
        <v>355</v>
      </c>
      <c r="H843" t="s">
        <v>8148</v>
      </c>
      <c r="I843" t="s">
        <v>70</v>
      </c>
      <c r="J843" t="s">
        <v>321</v>
      </c>
      <c r="K843">
        <v>2480.48</v>
      </c>
      <c r="L843">
        <v>26.58</v>
      </c>
      <c r="M843" t="s">
        <v>4600</v>
      </c>
      <c r="N843">
        <v>223368</v>
      </c>
      <c r="O843">
        <v>23.9</v>
      </c>
      <c r="P843">
        <v>7.77</v>
      </c>
      <c r="Q843">
        <v>0.46</v>
      </c>
      <c r="R843">
        <v>1.02</v>
      </c>
      <c r="S843">
        <v>3.42</v>
      </c>
      <c r="Z843" t="s">
        <v>164</v>
      </c>
      <c r="AA843">
        <v>1.1100000000000001</v>
      </c>
      <c r="AD843" t="s">
        <v>7360</v>
      </c>
      <c r="AE843" t="s">
        <v>5057</v>
      </c>
      <c r="AF843" t="s">
        <v>2275</v>
      </c>
      <c r="AG843" t="s">
        <v>3170</v>
      </c>
      <c r="AH843" t="s">
        <v>1514</v>
      </c>
      <c r="AI843" t="s">
        <v>4887</v>
      </c>
      <c r="AJ843" t="s">
        <v>171</v>
      </c>
      <c r="AK843" t="s">
        <v>12640</v>
      </c>
      <c r="AL843">
        <v>1.75</v>
      </c>
      <c r="AM843">
        <v>0.61</v>
      </c>
      <c r="AN843">
        <v>0.67</v>
      </c>
      <c r="AO843" t="s">
        <v>9300</v>
      </c>
      <c r="AP843" t="s">
        <v>7236</v>
      </c>
      <c r="AQ843" t="s">
        <v>5907</v>
      </c>
      <c r="AR843" t="s">
        <v>5102</v>
      </c>
      <c r="AS843" t="s">
        <v>5045</v>
      </c>
      <c r="AT843" t="s">
        <v>7854</v>
      </c>
      <c r="AU843" t="s">
        <v>1511</v>
      </c>
      <c r="AV843" t="s">
        <v>4608</v>
      </c>
      <c r="AW843" t="s">
        <v>4174</v>
      </c>
      <c r="AX843" t="s">
        <v>6988</v>
      </c>
      <c r="AY843" t="s">
        <v>4174</v>
      </c>
      <c r="AZ843" t="s">
        <v>12641</v>
      </c>
      <c r="BA843">
        <v>1</v>
      </c>
      <c r="BB843">
        <v>1591.7</v>
      </c>
      <c r="BC843">
        <v>0.49</v>
      </c>
      <c r="BD843">
        <v>25.96</v>
      </c>
      <c r="BE843">
        <v>26.6</v>
      </c>
      <c r="BF843">
        <v>25.94</v>
      </c>
      <c r="BG843" t="s">
        <v>12642</v>
      </c>
      <c r="BH843" t="s">
        <v>12643</v>
      </c>
      <c r="BI843" t="s">
        <v>12644</v>
      </c>
      <c r="BJ843" t="s">
        <v>101</v>
      </c>
      <c r="BK843" t="s">
        <v>12645</v>
      </c>
      <c r="BL843" t="s">
        <v>266</v>
      </c>
      <c r="BM843" t="s">
        <v>10098</v>
      </c>
      <c r="BN843" t="s">
        <v>4063</v>
      </c>
    </row>
    <row r="844" spans="1:66" x14ac:dyDescent="0.25">
      <c r="A844" t="str">
        <f>HYPERLINK("https://elite.finviz.com/quote.ashx?t=GTLS&amp;ty=c&amp;p=d&amp;b=1", "GTLS")</f>
        <v>GTLS</v>
      </c>
      <c r="B844">
        <v>7</v>
      </c>
      <c r="C844">
        <v>138.38</v>
      </c>
      <c r="D844">
        <v>65.599999999999994</v>
      </c>
      <c r="E844" t="s">
        <v>12646</v>
      </c>
      <c r="F844" t="s">
        <v>67</v>
      </c>
      <c r="G844" t="s">
        <v>260</v>
      </c>
      <c r="H844" t="s">
        <v>261</v>
      </c>
      <c r="I844" t="s">
        <v>70</v>
      </c>
      <c r="J844" t="s">
        <v>71</v>
      </c>
      <c r="K844">
        <v>8991.52</v>
      </c>
      <c r="L844">
        <v>200.06</v>
      </c>
      <c r="M844" t="s">
        <v>1249</v>
      </c>
      <c r="N844">
        <v>325150</v>
      </c>
      <c r="O844">
        <v>37.090000000000003</v>
      </c>
      <c r="P844">
        <v>13.95</v>
      </c>
      <c r="Q844">
        <v>1.65</v>
      </c>
      <c r="R844">
        <v>2.11</v>
      </c>
      <c r="S844">
        <v>2.68</v>
      </c>
      <c r="Z844" t="s">
        <v>164</v>
      </c>
      <c r="AA844">
        <v>5.39</v>
      </c>
      <c r="AB844" t="s">
        <v>12647</v>
      </c>
      <c r="AC844" t="s">
        <v>5580</v>
      </c>
      <c r="AD844" t="s">
        <v>12648</v>
      </c>
      <c r="AE844" t="s">
        <v>6272</v>
      </c>
      <c r="AF844" t="s">
        <v>6209</v>
      </c>
      <c r="AG844" t="s">
        <v>1299</v>
      </c>
      <c r="AH844" t="s">
        <v>4795</v>
      </c>
      <c r="AI844" t="s">
        <v>316</v>
      </c>
      <c r="AJ844" t="s">
        <v>164</v>
      </c>
      <c r="AK844" t="s">
        <v>12649</v>
      </c>
      <c r="AL844">
        <v>1.55</v>
      </c>
      <c r="AM844">
        <v>1.27</v>
      </c>
      <c r="AN844">
        <v>1.1299999999999999</v>
      </c>
      <c r="AO844" t="s">
        <v>6129</v>
      </c>
      <c r="AP844" t="s">
        <v>10485</v>
      </c>
      <c r="AQ844" t="s">
        <v>7210</v>
      </c>
      <c r="AR844" t="s">
        <v>914</v>
      </c>
      <c r="AS844" t="s">
        <v>3226</v>
      </c>
      <c r="AT844" t="s">
        <v>182</v>
      </c>
      <c r="AU844" t="s">
        <v>2742</v>
      </c>
      <c r="AV844" t="s">
        <v>7108</v>
      </c>
      <c r="AW844" t="s">
        <v>2402</v>
      </c>
      <c r="AX844" t="s">
        <v>6892</v>
      </c>
      <c r="AY844" t="s">
        <v>2271</v>
      </c>
      <c r="AZ844" t="s">
        <v>12650</v>
      </c>
      <c r="BA844">
        <v>2.88</v>
      </c>
      <c r="BB844">
        <v>2384.1</v>
      </c>
      <c r="BC844">
        <v>0.48</v>
      </c>
      <c r="BD844">
        <v>200.08</v>
      </c>
      <c r="BE844">
        <v>200.49</v>
      </c>
      <c r="BF844">
        <v>199.87</v>
      </c>
      <c r="BG844" t="s">
        <v>12651</v>
      </c>
      <c r="BH844" t="s">
        <v>11181</v>
      </c>
      <c r="BI844" t="s">
        <v>12652</v>
      </c>
      <c r="BJ844" t="s">
        <v>101</v>
      </c>
      <c r="BK844" t="s">
        <v>2067</v>
      </c>
      <c r="BL844" t="s">
        <v>5260</v>
      </c>
      <c r="BM844" t="s">
        <v>12653</v>
      </c>
      <c r="BN844" t="s">
        <v>4063</v>
      </c>
    </row>
    <row r="845" spans="1:66" x14ac:dyDescent="0.25">
      <c r="A845" t="str">
        <f>HYPERLINK("https://elite.finviz.com/quote.ashx?t=TNYA&amp;ty=c&amp;p=d&amp;b=1", "TNYA")</f>
        <v>TNYA</v>
      </c>
      <c r="B845">
        <v>7</v>
      </c>
      <c r="C845">
        <v>138.38</v>
      </c>
      <c r="D845">
        <v>65.599999999999994</v>
      </c>
      <c r="E845" t="s">
        <v>12654</v>
      </c>
      <c r="F845" t="s">
        <v>107</v>
      </c>
      <c r="G845" t="s">
        <v>428</v>
      </c>
      <c r="H845" t="s">
        <v>429</v>
      </c>
      <c r="I845" t="s">
        <v>70</v>
      </c>
      <c r="J845" t="s">
        <v>321</v>
      </c>
      <c r="K845">
        <v>247.15</v>
      </c>
      <c r="L845">
        <v>1.52</v>
      </c>
      <c r="M845" t="s">
        <v>1952</v>
      </c>
      <c r="N845">
        <v>992522</v>
      </c>
      <c r="S845">
        <v>2.48</v>
      </c>
      <c r="AA845">
        <v>-0.96</v>
      </c>
      <c r="AB845" t="s">
        <v>2210</v>
      </c>
      <c r="AC845" t="s">
        <v>5980</v>
      </c>
      <c r="AI845" t="s">
        <v>116</v>
      </c>
      <c r="AJ845" t="s">
        <v>2717</v>
      </c>
      <c r="AK845" t="s">
        <v>1643</v>
      </c>
      <c r="AL845">
        <v>6</v>
      </c>
      <c r="AM845">
        <v>6</v>
      </c>
      <c r="AN845">
        <v>0.12</v>
      </c>
      <c r="AR845" t="s">
        <v>3672</v>
      </c>
      <c r="AS845" t="s">
        <v>6859</v>
      </c>
      <c r="AT845" t="s">
        <v>6752</v>
      </c>
      <c r="AU845" t="s">
        <v>12655</v>
      </c>
      <c r="AV845" t="s">
        <v>4212</v>
      </c>
      <c r="AW845" t="s">
        <v>9854</v>
      </c>
      <c r="AX845" t="s">
        <v>12656</v>
      </c>
      <c r="AY845" t="s">
        <v>12657</v>
      </c>
      <c r="AZ845" t="s">
        <v>12658</v>
      </c>
      <c r="BA845">
        <v>1</v>
      </c>
      <c r="BB845">
        <v>3214.13</v>
      </c>
      <c r="BC845">
        <v>1.0900000000000001</v>
      </c>
      <c r="BD845">
        <v>1.49</v>
      </c>
      <c r="BE845">
        <v>1.52</v>
      </c>
      <c r="BF845">
        <v>1.48</v>
      </c>
      <c r="BG845" t="s">
        <v>12659</v>
      </c>
      <c r="BH845" t="s">
        <v>12660</v>
      </c>
      <c r="BI845" t="s">
        <v>12658</v>
      </c>
      <c r="BJ845" t="s">
        <v>101</v>
      </c>
      <c r="BK845" t="s">
        <v>12661</v>
      </c>
      <c r="BL845" t="s">
        <v>12662</v>
      </c>
      <c r="BM845" t="s">
        <v>12663</v>
      </c>
      <c r="BN845" t="s">
        <v>4063</v>
      </c>
    </row>
    <row r="846" spans="1:66" x14ac:dyDescent="0.25">
      <c r="A846" t="str">
        <f>HYPERLINK("https://elite.finviz.com/quote.ashx?t=TNGX&amp;ty=c&amp;p=d&amp;b=1", "TNGX")</f>
        <v>TNGX</v>
      </c>
      <c r="B846">
        <v>7</v>
      </c>
      <c r="C846">
        <v>138.38</v>
      </c>
      <c r="D846">
        <v>65.709999999999994</v>
      </c>
      <c r="E846" t="s">
        <v>12664</v>
      </c>
      <c r="F846" t="s">
        <v>67</v>
      </c>
      <c r="G846" t="s">
        <v>428</v>
      </c>
      <c r="H846" t="s">
        <v>429</v>
      </c>
      <c r="I846" t="s">
        <v>70</v>
      </c>
      <c r="J846" t="s">
        <v>321</v>
      </c>
      <c r="K846">
        <v>905.1</v>
      </c>
      <c r="L846">
        <v>8.14</v>
      </c>
      <c r="M846" t="s">
        <v>4276</v>
      </c>
      <c r="N846">
        <v>531939</v>
      </c>
      <c r="R846">
        <v>37.25</v>
      </c>
      <c r="S846">
        <v>6.68</v>
      </c>
      <c r="AA846">
        <v>-1.33</v>
      </c>
      <c r="AB846" t="s">
        <v>10375</v>
      </c>
      <c r="AC846" t="s">
        <v>8808</v>
      </c>
      <c r="AD846" t="s">
        <v>6139</v>
      </c>
      <c r="AE846" t="s">
        <v>12665</v>
      </c>
      <c r="AF846" t="s">
        <v>5497</v>
      </c>
      <c r="AG846" t="s">
        <v>4457</v>
      </c>
      <c r="AH846" t="s">
        <v>8583</v>
      </c>
      <c r="AI846" t="s">
        <v>5257</v>
      </c>
      <c r="AJ846" t="s">
        <v>786</v>
      </c>
      <c r="AK846" t="s">
        <v>12666</v>
      </c>
      <c r="AL846">
        <v>4.75</v>
      </c>
      <c r="AM846">
        <v>4.75</v>
      </c>
      <c r="AN846">
        <v>0.26</v>
      </c>
      <c r="AO846" t="s">
        <v>270</v>
      </c>
      <c r="AP846" t="s">
        <v>12667</v>
      </c>
      <c r="AQ846" t="s">
        <v>12668</v>
      </c>
      <c r="AR846" t="s">
        <v>707</v>
      </c>
      <c r="AS846" t="s">
        <v>2869</v>
      </c>
      <c r="AT846" t="s">
        <v>6084</v>
      </c>
      <c r="AU846" t="s">
        <v>1643</v>
      </c>
      <c r="AV846" t="s">
        <v>12669</v>
      </c>
      <c r="AW846" t="s">
        <v>3495</v>
      </c>
      <c r="AX846" t="s">
        <v>4497</v>
      </c>
      <c r="AY846" t="s">
        <v>3495</v>
      </c>
      <c r="AZ846" t="s">
        <v>12670</v>
      </c>
      <c r="BA846">
        <v>1.1100000000000001</v>
      </c>
      <c r="BB846">
        <v>2075.1799999999998</v>
      </c>
      <c r="BC846">
        <v>0.9</v>
      </c>
      <c r="BD846">
        <v>7.97</v>
      </c>
      <c r="BE846">
        <v>8.16</v>
      </c>
      <c r="BF846">
        <v>7.89</v>
      </c>
      <c r="BG846" t="s">
        <v>12671</v>
      </c>
      <c r="BH846" t="s">
        <v>12672</v>
      </c>
      <c r="BI846" t="s">
        <v>12670</v>
      </c>
      <c r="BJ846" t="s">
        <v>101</v>
      </c>
      <c r="BK846" t="s">
        <v>12673</v>
      </c>
      <c r="BL846" t="s">
        <v>12674</v>
      </c>
      <c r="BM846" t="s">
        <v>1006</v>
      </c>
      <c r="BN846" t="s">
        <v>4063</v>
      </c>
    </row>
    <row r="847" spans="1:66" x14ac:dyDescent="0.25">
      <c r="A847" t="str">
        <f>HYPERLINK("https://elite.finviz.com/quote.ashx?t=WES&amp;ty=c&amp;p=d&amp;b=1", "WES")</f>
        <v>WES</v>
      </c>
      <c r="B847">
        <v>7</v>
      </c>
      <c r="C847">
        <v>138.38</v>
      </c>
      <c r="D847">
        <v>65.72</v>
      </c>
      <c r="E847" t="s">
        <v>12675</v>
      </c>
      <c r="F847" t="s">
        <v>107</v>
      </c>
      <c r="G847" t="s">
        <v>1048</v>
      </c>
      <c r="H847" t="s">
        <v>3915</v>
      </c>
      <c r="I847" t="s">
        <v>70</v>
      </c>
      <c r="J847" t="s">
        <v>71</v>
      </c>
      <c r="K847">
        <v>15173.15</v>
      </c>
      <c r="L847">
        <v>39.79</v>
      </c>
      <c r="M847" t="s">
        <v>581</v>
      </c>
      <c r="N847">
        <v>478890</v>
      </c>
      <c r="O847">
        <v>12.24</v>
      </c>
      <c r="P847">
        <v>10.75</v>
      </c>
      <c r="Q847">
        <v>244.9</v>
      </c>
      <c r="R847">
        <v>4.13</v>
      </c>
      <c r="S847">
        <v>4.76</v>
      </c>
      <c r="T847" t="s">
        <v>5557</v>
      </c>
      <c r="U847">
        <v>3.57</v>
      </c>
      <c r="V847" t="s">
        <v>4066</v>
      </c>
      <c r="W847" t="s">
        <v>8133</v>
      </c>
      <c r="X847" t="s">
        <v>6778</v>
      </c>
      <c r="Y847" t="s">
        <v>6532</v>
      </c>
      <c r="Z847" t="s">
        <v>12384</v>
      </c>
      <c r="AA847">
        <v>3.25</v>
      </c>
      <c r="AB847" t="s">
        <v>7122</v>
      </c>
      <c r="AC847" t="s">
        <v>948</v>
      </c>
      <c r="AD847" t="s">
        <v>4237</v>
      </c>
      <c r="AE847" t="s">
        <v>274</v>
      </c>
      <c r="AF847" t="s">
        <v>10793</v>
      </c>
      <c r="AG847" t="s">
        <v>3496</v>
      </c>
      <c r="AH847" t="s">
        <v>3469</v>
      </c>
      <c r="AI847" t="s">
        <v>2385</v>
      </c>
      <c r="AJ847" t="s">
        <v>164</v>
      </c>
      <c r="AK847" t="s">
        <v>9408</v>
      </c>
      <c r="AL847">
        <v>1.3</v>
      </c>
      <c r="AM847">
        <v>1.29</v>
      </c>
      <c r="AN847">
        <v>2.19</v>
      </c>
      <c r="AO847" t="s">
        <v>10850</v>
      </c>
      <c r="AP847" t="s">
        <v>12170</v>
      </c>
      <c r="AQ847" t="s">
        <v>12676</v>
      </c>
      <c r="AR847" t="s">
        <v>4552</v>
      </c>
      <c r="AS847" t="s">
        <v>6829</v>
      </c>
      <c r="AT847" t="s">
        <v>4499</v>
      </c>
      <c r="AU847" t="s">
        <v>3544</v>
      </c>
      <c r="AV847" t="s">
        <v>7780</v>
      </c>
      <c r="AW847" t="s">
        <v>11253</v>
      </c>
      <c r="AX847" t="s">
        <v>5455</v>
      </c>
      <c r="AY847" t="s">
        <v>4868</v>
      </c>
      <c r="AZ847" t="s">
        <v>10068</v>
      </c>
      <c r="BA847">
        <v>2.93</v>
      </c>
      <c r="BB847">
        <v>1137.67</v>
      </c>
      <c r="BC847">
        <v>1.48</v>
      </c>
      <c r="BD847">
        <v>39.36</v>
      </c>
      <c r="BE847">
        <v>39.950000000000003</v>
      </c>
      <c r="BF847">
        <v>39.380000000000003</v>
      </c>
      <c r="BG847" t="s">
        <v>12677</v>
      </c>
      <c r="BH847" t="s">
        <v>12678</v>
      </c>
      <c r="BI847" t="s">
        <v>12679</v>
      </c>
      <c r="BJ847" t="s">
        <v>101</v>
      </c>
      <c r="BK847" t="s">
        <v>1391</v>
      </c>
      <c r="BL847" t="s">
        <v>7429</v>
      </c>
      <c r="BM847" t="s">
        <v>4256</v>
      </c>
      <c r="BN847" t="s">
        <v>4063</v>
      </c>
    </row>
    <row r="848" spans="1:66" x14ac:dyDescent="0.25">
      <c r="A848" t="str">
        <f>HYPERLINK("https://elite.finviz.com/quote.ashx?t=CRC&amp;ty=c&amp;p=d&amp;b=1", "CRC")</f>
        <v>CRC</v>
      </c>
      <c r="B848">
        <v>7</v>
      </c>
      <c r="C848">
        <v>138.38</v>
      </c>
      <c r="D848">
        <v>65.75</v>
      </c>
      <c r="E848" t="s">
        <v>12680</v>
      </c>
      <c r="F848" t="s">
        <v>67</v>
      </c>
      <c r="G848" t="s">
        <v>1048</v>
      </c>
      <c r="H848" t="s">
        <v>1049</v>
      </c>
      <c r="I848" t="s">
        <v>70</v>
      </c>
      <c r="J848" t="s">
        <v>71</v>
      </c>
      <c r="K848">
        <v>4758.21</v>
      </c>
      <c r="L848">
        <v>56.85</v>
      </c>
      <c r="M848" t="s">
        <v>5692</v>
      </c>
      <c r="N848">
        <v>94011</v>
      </c>
      <c r="O848">
        <v>7.76</v>
      </c>
      <c r="P848">
        <v>15.28</v>
      </c>
      <c r="Q848">
        <v>1.42</v>
      </c>
      <c r="R848">
        <v>1.3</v>
      </c>
      <c r="S848">
        <v>1.4</v>
      </c>
      <c r="T848" t="s">
        <v>4945</v>
      </c>
      <c r="U848">
        <v>1.55</v>
      </c>
      <c r="V848" t="s">
        <v>7842</v>
      </c>
      <c r="W848" t="s">
        <v>5192</v>
      </c>
      <c r="X848" t="s">
        <v>12681</v>
      </c>
      <c r="Z848" t="s">
        <v>12682</v>
      </c>
      <c r="AA848">
        <v>7.33</v>
      </c>
      <c r="AB848" t="s">
        <v>12683</v>
      </c>
      <c r="AD848" t="s">
        <v>5090</v>
      </c>
      <c r="AE848" t="s">
        <v>1891</v>
      </c>
      <c r="AF848" t="s">
        <v>4872</v>
      </c>
      <c r="AG848" t="s">
        <v>2609</v>
      </c>
      <c r="AH848" t="s">
        <v>12684</v>
      </c>
      <c r="AI848" t="s">
        <v>9151</v>
      </c>
      <c r="AJ848" t="s">
        <v>164</v>
      </c>
      <c r="AK848" t="s">
        <v>12685</v>
      </c>
      <c r="AL848">
        <v>0.78</v>
      </c>
      <c r="AM848">
        <v>0.68</v>
      </c>
      <c r="AN848">
        <v>0.32</v>
      </c>
      <c r="AO848" t="s">
        <v>12686</v>
      </c>
      <c r="AP848" t="s">
        <v>5794</v>
      </c>
      <c r="AQ848" t="s">
        <v>12687</v>
      </c>
      <c r="AR848" t="s">
        <v>2892</v>
      </c>
      <c r="AS848" t="s">
        <v>5593</v>
      </c>
      <c r="AT848" t="s">
        <v>6593</v>
      </c>
      <c r="AU848" t="s">
        <v>435</v>
      </c>
      <c r="AV848" t="s">
        <v>1130</v>
      </c>
      <c r="AW848" t="s">
        <v>4516</v>
      </c>
      <c r="AX848" t="s">
        <v>12137</v>
      </c>
      <c r="AY848" t="s">
        <v>11702</v>
      </c>
      <c r="AZ848" t="s">
        <v>12688</v>
      </c>
      <c r="BA848">
        <v>1.4</v>
      </c>
      <c r="BB848">
        <v>1006.84</v>
      </c>
      <c r="BC848">
        <v>0.33</v>
      </c>
      <c r="BD848">
        <v>56.11</v>
      </c>
      <c r="BE848">
        <v>57.11</v>
      </c>
      <c r="BF848">
        <v>55.9</v>
      </c>
      <c r="BG848" t="s">
        <v>12689</v>
      </c>
      <c r="BH848" t="s">
        <v>11702</v>
      </c>
      <c r="BI848" t="s">
        <v>12690</v>
      </c>
      <c r="BJ848" t="s">
        <v>101</v>
      </c>
      <c r="BK848" t="s">
        <v>3138</v>
      </c>
      <c r="BL848" t="s">
        <v>4524</v>
      </c>
      <c r="BM848" t="s">
        <v>2542</v>
      </c>
      <c r="BN848" t="s">
        <v>4063</v>
      </c>
    </row>
    <row r="849" spans="1:66" x14ac:dyDescent="0.25">
      <c r="A849" t="str">
        <f>HYPERLINK("https://elite.finviz.com/quote.ashx?t=EQT&amp;ty=c&amp;p=d&amp;b=1", "EQT")</f>
        <v>EQT</v>
      </c>
      <c r="B849">
        <v>7</v>
      </c>
      <c r="C849">
        <v>138.38</v>
      </c>
      <c r="D849">
        <v>65.92</v>
      </c>
      <c r="E849" t="s">
        <v>12691</v>
      </c>
      <c r="F849" t="s">
        <v>195</v>
      </c>
      <c r="G849" t="s">
        <v>1048</v>
      </c>
      <c r="H849" t="s">
        <v>1049</v>
      </c>
      <c r="I849" t="s">
        <v>70</v>
      </c>
      <c r="J849" t="s">
        <v>71</v>
      </c>
      <c r="K849">
        <v>34023.919999999998</v>
      </c>
      <c r="L849">
        <v>54.52</v>
      </c>
      <c r="M849" t="s">
        <v>581</v>
      </c>
      <c r="N849">
        <v>3303332</v>
      </c>
      <c r="O849">
        <v>29.33</v>
      </c>
      <c r="P849">
        <v>11.01</v>
      </c>
      <c r="Q849">
        <v>0.66</v>
      </c>
      <c r="R849">
        <v>4.67</v>
      </c>
      <c r="S849">
        <v>1.52</v>
      </c>
      <c r="T849" t="s">
        <v>5166</v>
      </c>
      <c r="U849">
        <v>0.63</v>
      </c>
      <c r="V849" t="s">
        <v>2859</v>
      </c>
      <c r="W849" t="s">
        <v>7284</v>
      </c>
      <c r="Y849" t="s">
        <v>7306</v>
      </c>
      <c r="Z849" t="s">
        <v>12692</v>
      </c>
      <c r="AA849">
        <v>1.86</v>
      </c>
      <c r="AD849" t="s">
        <v>4205</v>
      </c>
      <c r="AE849" t="s">
        <v>12693</v>
      </c>
      <c r="AF849" t="s">
        <v>5205</v>
      </c>
      <c r="AG849" t="s">
        <v>8960</v>
      </c>
      <c r="AH849" t="s">
        <v>12694</v>
      </c>
      <c r="AI849" t="s">
        <v>3745</v>
      </c>
      <c r="AJ849" t="s">
        <v>2486</v>
      </c>
      <c r="AK849" t="s">
        <v>12695</v>
      </c>
      <c r="AL849">
        <v>0.71</v>
      </c>
      <c r="AM849">
        <v>0.71</v>
      </c>
      <c r="AN849">
        <v>0.39</v>
      </c>
      <c r="AO849" t="s">
        <v>207</v>
      </c>
      <c r="AP849" t="s">
        <v>11251</v>
      </c>
      <c r="AQ849" t="s">
        <v>1497</v>
      </c>
      <c r="AR849" t="s">
        <v>4093</v>
      </c>
      <c r="AS849" t="s">
        <v>3638</v>
      </c>
      <c r="AT849" t="s">
        <v>3389</v>
      </c>
      <c r="AU849" t="s">
        <v>5620</v>
      </c>
      <c r="AV849" t="s">
        <v>5163</v>
      </c>
      <c r="AW849" t="s">
        <v>8970</v>
      </c>
      <c r="AX849" t="s">
        <v>4462</v>
      </c>
      <c r="AY849" t="s">
        <v>3941</v>
      </c>
      <c r="AZ849" t="s">
        <v>9367</v>
      </c>
      <c r="BA849">
        <v>1.61</v>
      </c>
      <c r="BB849">
        <v>8465.5499999999993</v>
      </c>
      <c r="BC849">
        <v>1.37</v>
      </c>
      <c r="BD849">
        <v>53.93</v>
      </c>
      <c r="BE849">
        <v>54.94</v>
      </c>
      <c r="BF849">
        <v>53.73</v>
      </c>
      <c r="BG849" t="s">
        <v>12696</v>
      </c>
      <c r="BH849" t="s">
        <v>3941</v>
      </c>
      <c r="BI849" t="s">
        <v>12697</v>
      </c>
      <c r="BJ849" t="s">
        <v>101</v>
      </c>
      <c r="BK849" t="s">
        <v>2594</v>
      </c>
      <c r="BL849" t="s">
        <v>5331</v>
      </c>
      <c r="BM849" t="s">
        <v>12698</v>
      </c>
      <c r="BN849" t="s">
        <v>4063</v>
      </c>
    </row>
    <row r="850" spans="1:66" x14ac:dyDescent="0.25">
      <c r="A850" t="str">
        <f>HYPERLINK("https://elite.finviz.com/quote.ashx?t=ALL&amp;ty=c&amp;p=d&amp;b=1", "ALL")</f>
        <v>ALL</v>
      </c>
      <c r="B850">
        <v>7</v>
      </c>
      <c r="C850">
        <v>138.38</v>
      </c>
      <c r="D850">
        <v>65.94</v>
      </c>
      <c r="E850" t="s">
        <v>12699</v>
      </c>
      <c r="F850" t="s">
        <v>195</v>
      </c>
      <c r="G850" t="s">
        <v>550</v>
      </c>
      <c r="H850" t="s">
        <v>4407</v>
      </c>
      <c r="I850" t="s">
        <v>70</v>
      </c>
      <c r="J850" t="s">
        <v>71</v>
      </c>
      <c r="K850">
        <v>56075.09</v>
      </c>
      <c r="L850">
        <v>212.8</v>
      </c>
      <c r="M850" t="s">
        <v>3019</v>
      </c>
      <c r="N850">
        <v>196303</v>
      </c>
      <c r="O850">
        <v>10.01</v>
      </c>
      <c r="P850">
        <v>9.26</v>
      </c>
      <c r="Q850">
        <v>1.19</v>
      </c>
      <c r="R850">
        <v>0.85</v>
      </c>
      <c r="S850">
        <v>2.5499999999999998</v>
      </c>
      <c r="T850" t="s">
        <v>5071</v>
      </c>
      <c r="U850">
        <v>3.92</v>
      </c>
      <c r="V850" t="s">
        <v>4882</v>
      </c>
      <c r="W850" t="s">
        <v>3454</v>
      </c>
      <c r="X850" t="s">
        <v>8625</v>
      </c>
      <c r="Y850" t="s">
        <v>1925</v>
      </c>
      <c r="Z850" t="s">
        <v>233</v>
      </c>
      <c r="AA850">
        <v>21.27</v>
      </c>
      <c r="AB850" t="s">
        <v>79</v>
      </c>
      <c r="AC850" t="s">
        <v>316</v>
      </c>
      <c r="AD850" t="s">
        <v>418</v>
      </c>
      <c r="AE850" t="s">
        <v>9342</v>
      </c>
      <c r="AF850" t="s">
        <v>6348</v>
      </c>
      <c r="AG850" t="s">
        <v>2193</v>
      </c>
      <c r="AH850" t="s">
        <v>4133</v>
      </c>
      <c r="AI850" t="s">
        <v>1320</v>
      </c>
      <c r="AJ850" t="s">
        <v>12700</v>
      </c>
      <c r="AK850" t="s">
        <v>12701</v>
      </c>
      <c r="AL850">
        <v>0.52</v>
      </c>
      <c r="AN850">
        <v>0.34</v>
      </c>
      <c r="AP850" t="s">
        <v>6981</v>
      </c>
      <c r="AQ850" t="s">
        <v>863</v>
      </c>
      <c r="AR850" t="s">
        <v>3976</v>
      </c>
      <c r="AS850" t="s">
        <v>6990</v>
      </c>
      <c r="AT850" t="s">
        <v>8229</v>
      </c>
      <c r="AU850" t="s">
        <v>5969</v>
      </c>
      <c r="AV850" t="s">
        <v>11494</v>
      </c>
      <c r="AW850" t="s">
        <v>2374</v>
      </c>
      <c r="AX850" t="s">
        <v>4906</v>
      </c>
      <c r="AY850" t="s">
        <v>2374</v>
      </c>
      <c r="AZ850" t="s">
        <v>5894</v>
      </c>
      <c r="BA850">
        <v>1.85</v>
      </c>
      <c r="BB850">
        <v>1519.8</v>
      </c>
      <c r="BC850">
        <v>0.46</v>
      </c>
      <c r="BD850">
        <v>209.82</v>
      </c>
      <c r="BE850">
        <v>214.25</v>
      </c>
      <c r="BF850">
        <v>211.84</v>
      </c>
      <c r="BG850" t="s">
        <v>12702</v>
      </c>
      <c r="BH850" t="s">
        <v>2374</v>
      </c>
      <c r="BI850" t="s">
        <v>12703</v>
      </c>
      <c r="BJ850" t="s">
        <v>101</v>
      </c>
      <c r="BK850" t="s">
        <v>4867</v>
      </c>
      <c r="BL850" t="s">
        <v>2217</v>
      </c>
      <c r="BM850" t="s">
        <v>2514</v>
      </c>
      <c r="BN850" t="s">
        <v>4063</v>
      </c>
    </row>
    <row r="851" spans="1:66" x14ac:dyDescent="0.25">
      <c r="A851" t="str">
        <f>HYPERLINK("https://elite.finviz.com/quote.ashx?t=LCID&amp;ty=c&amp;p=d&amp;b=1", "LCID")</f>
        <v>LCID</v>
      </c>
      <c r="B851">
        <v>7</v>
      </c>
      <c r="C851">
        <v>138.38</v>
      </c>
      <c r="D851">
        <v>65.959999999999994</v>
      </c>
      <c r="E851" t="s">
        <v>12704</v>
      </c>
      <c r="F851" t="s">
        <v>107</v>
      </c>
      <c r="G851" t="s">
        <v>813</v>
      </c>
      <c r="H851" t="s">
        <v>890</v>
      </c>
      <c r="I851" t="s">
        <v>70</v>
      </c>
      <c r="J851" t="s">
        <v>321</v>
      </c>
      <c r="K851">
        <v>7298.96</v>
      </c>
      <c r="L851">
        <v>23.75</v>
      </c>
      <c r="M851" t="s">
        <v>1932</v>
      </c>
      <c r="N851">
        <v>6095494</v>
      </c>
      <c r="R851">
        <v>7.86</v>
      </c>
      <c r="S851">
        <v>3.03</v>
      </c>
      <c r="AA851">
        <v>-11.53</v>
      </c>
      <c r="AB851" t="s">
        <v>12705</v>
      </c>
      <c r="AC851" t="s">
        <v>7331</v>
      </c>
      <c r="AD851" t="s">
        <v>9106</v>
      </c>
      <c r="AE851" t="s">
        <v>12706</v>
      </c>
      <c r="AF851" t="s">
        <v>12707</v>
      </c>
      <c r="AG851" t="s">
        <v>12708</v>
      </c>
      <c r="AH851" t="s">
        <v>2966</v>
      </c>
      <c r="AI851" t="s">
        <v>11625</v>
      </c>
      <c r="AJ851" t="s">
        <v>164</v>
      </c>
      <c r="AK851" t="s">
        <v>6569</v>
      </c>
      <c r="AL851">
        <v>2.58</v>
      </c>
      <c r="AM851">
        <v>2.11</v>
      </c>
      <c r="AN851">
        <v>0.64</v>
      </c>
      <c r="AO851" t="s">
        <v>12709</v>
      </c>
      <c r="AP851" t="s">
        <v>12710</v>
      </c>
      <c r="AQ851" t="s">
        <v>12711</v>
      </c>
      <c r="AR851" t="s">
        <v>6674</v>
      </c>
      <c r="AS851" t="s">
        <v>11629</v>
      </c>
      <c r="AT851" t="s">
        <v>6917</v>
      </c>
      <c r="AU851" t="s">
        <v>12712</v>
      </c>
      <c r="AV851" t="s">
        <v>5913</v>
      </c>
      <c r="AW851" t="s">
        <v>12713</v>
      </c>
      <c r="AX851" t="s">
        <v>9367</v>
      </c>
      <c r="AY851" t="s">
        <v>12714</v>
      </c>
      <c r="AZ851" t="s">
        <v>9367</v>
      </c>
      <c r="BA851">
        <v>3.2</v>
      </c>
      <c r="BB851">
        <v>13230.89</v>
      </c>
      <c r="BC851">
        <v>1.62</v>
      </c>
      <c r="BD851">
        <v>23.04</v>
      </c>
      <c r="BE851">
        <v>24.53</v>
      </c>
      <c r="BF851">
        <v>23</v>
      </c>
      <c r="BG851" t="s">
        <v>12715</v>
      </c>
      <c r="BH851" t="s">
        <v>12716</v>
      </c>
      <c r="BI851" t="s">
        <v>9367</v>
      </c>
      <c r="BJ851" t="s">
        <v>101</v>
      </c>
      <c r="BK851" t="s">
        <v>953</v>
      </c>
      <c r="BL851" t="s">
        <v>9618</v>
      </c>
      <c r="BM851" t="s">
        <v>5407</v>
      </c>
      <c r="BN851" t="s">
        <v>4063</v>
      </c>
    </row>
    <row r="852" spans="1:66" x14ac:dyDescent="0.25">
      <c r="A852" t="str">
        <f>HYPERLINK("https://elite.finviz.com/quote.ashx?t=BKD&amp;ty=c&amp;p=d&amp;b=1", "BKD")</f>
        <v>BKD</v>
      </c>
      <c r="B852">
        <v>7</v>
      </c>
      <c r="C852">
        <v>138.38</v>
      </c>
      <c r="D852">
        <v>65.98</v>
      </c>
      <c r="E852" t="s">
        <v>12717</v>
      </c>
      <c r="F852" t="s">
        <v>67</v>
      </c>
      <c r="G852" t="s">
        <v>428</v>
      </c>
      <c r="H852" t="s">
        <v>3160</v>
      </c>
      <c r="I852" t="s">
        <v>70</v>
      </c>
      <c r="J852" t="s">
        <v>71</v>
      </c>
      <c r="K852">
        <v>1988.98</v>
      </c>
      <c r="L852">
        <v>8.3800000000000008</v>
      </c>
      <c r="M852" t="s">
        <v>4794</v>
      </c>
      <c r="N852">
        <v>279415</v>
      </c>
      <c r="R852">
        <v>0.62</v>
      </c>
      <c r="S852">
        <v>18.87</v>
      </c>
      <c r="V852" t="s">
        <v>12718</v>
      </c>
      <c r="AA852">
        <v>-1.05</v>
      </c>
      <c r="AB852" t="s">
        <v>1362</v>
      </c>
      <c r="AC852" t="s">
        <v>268</v>
      </c>
      <c r="AE852" t="s">
        <v>4142</v>
      </c>
      <c r="AF852" t="s">
        <v>353</v>
      </c>
      <c r="AG852" t="s">
        <v>7165</v>
      </c>
      <c r="AH852" t="s">
        <v>4104</v>
      </c>
      <c r="AI852" t="s">
        <v>12719</v>
      </c>
      <c r="AJ852" t="s">
        <v>3227</v>
      </c>
      <c r="AK852" t="s">
        <v>12720</v>
      </c>
      <c r="AL852">
        <v>0.83</v>
      </c>
      <c r="AM852">
        <v>0.83</v>
      </c>
      <c r="AN852">
        <v>52.68</v>
      </c>
      <c r="AO852" t="s">
        <v>3818</v>
      </c>
      <c r="AP852" t="s">
        <v>4800</v>
      </c>
      <c r="AQ852" t="s">
        <v>5428</v>
      </c>
      <c r="AR852" t="s">
        <v>3636</v>
      </c>
      <c r="AS852" t="s">
        <v>8013</v>
      </c>
      <c r="AT852" t="s">
        <v>4913</v>
      </c>
      <c r="AU852" t="s">
        <v>7945</v>
      </c>
      <c r="AV852" t="s">
        <v>12721</v>
      </c>
      <c r="AW852" t="s">
        <v>1180</v>
      </c>
      <c r="AX852" t="s">
        <v>3667</v>
      </c>
      <c r="AY852" t="s">
        <v>1180</v>
      </c>
      <c r="AZ852" t="s">
        <v>12722</v>
      </c>
      <c r="BA852">
        <v>2.8</v>
      </c>
      <c r="BB852">
        <v>2963.29</v>
      </c>
      <c r="BC852">
        <v>0.33</v>
      </c>
      <c r="BD852">
        <v>8.36</v>
      </c>
      <c r="BE852">
        <v>8.4600000000000009</v>
      </c>
      <c r="BF852">
        <v>8.31</v>
      </c>
      <c r="BG852" t="s">
        <v>12723</v>
      </c>
      <c r="BH852" t="s">
        <v>12724</v>
      </c>
      <c r="BI852" t="s">
        <v>12725</v>
      </c>
      <c r="BJ852" t="s">
        <v>101</v>
      </c>
      <c r="BK852" t="s">
        <v>5230</v>
      </c>
      <c r="BL852" t="s">
        <v>11233</v>
      </c>
      <c r="BM852" t="s">
        <v>12726</v>
      </c>
      <c r="BN852" t="s">
        <v>4063</v>
      </c>
    </row>
    <row r="853" spans="1:66" x14ac:dyDescent="0.25">
      <c r="A853" t="str">
        <f>HYPERLINK("https://elite.finviz.com/quote.ashx?t=AMPX&amp;ty=c&amp;p=d&amp;b=1", "AMPX")</f>
        <v>AMPX</v>
      </c>
      <c r="B853">
        <v>7</v>
      </c>
      <c r="C853">
        <v>138.38</v>
      </c>
      <c r="D853">
        <v>65.989999999999995</v>
      </c>
      <c r="E853" t="s">
        <v>12727</v>
      </c>
      <c r="F853" t="s">
        <v>67</v>
      </c>
      <c r="G853" t="s">
        <v>260</v>
      </c>
      <c r="H853" t="s">
        <v>1128</v>
      </c>
      <c r="I853" t="s">
        <v>70</v>
      </c>
      <c r="J853" t="s">
        <v>71</v>
      </c>
      <c r="K853">
        <v>1358.32</v>
      </c>
      <c r="L853">
        <v>10.86</v>
      </c>
      <c r="M853" t="s">
        <v>5365</v>
      </c>
      <c r="N853">
        <v>2562913</v>
      </c>
      <c r="R853">
        <v>41.01</v>
      </c>
      <c r="S853">
        <v>18.600000000000001</v>
      </c>
      <c r="AA853">
        <v>-0.41</v>
      </c>
      <c r="AB853" t="s">
        <v>12728</v>
      </c>
      <c r="AC853" t="s">
        <v>12729</v>
      </c>
      <c r="AE853" t="s">
        <v>12730</v>
      </c>
      <c r="AF853" t="s">
        <v>12731</v>
      </c>
      <c r="AG853" t="s">
        <v>10284</v>
      </c>
      <c r="AH853" t="s">
        <v>12732</v>
      </c>
      <c r="AI853" t="s">
        <v>6670</v>
      </c>
      <c r="AJ853" t="s">
        <v>1820</v>
      </c>
      <c r="AK853" t="s">
        <v>12733</v>
      </c>
      <c r="AL853">
        <v>4.74</v>
      </c>
      <c r="AM853">
        <v>4.45</v>
      </c>
      <c r="AN853">
        <v>0.54</v>
      </c>
      <c r="AO853" t="s">
        <v>9755</v>
      </c>
      <c r="AP853" t="s">
        <v>12734</v>
      </c>
      <c r="AQ853" t="s">
        <v>12735</v>
      </c>
      <c r="AR853" t="s">
        <v>9159</v>
      </c>
      <c r="AS853" t="s">
        <v>2886</v>
      </c>
      <c r="AT853" t="s">
        <v>12736</v>
      </c>
      <c r="AU853" t="s">
        <v>3839</v>
      </c>
      <c r="AV853" t="s">
        <v>12737</v>
      </c>
      <c r="AW853" t="s">
        <v>12738</v>
      </c>
      <c r="AX853" t="s">
        <v>8661</v>
      </c>
      <c r="AY853" t="s">
        <v>12738</v>
      </c>
      <c r="AZ853" t="s">
        <v>12739</v>
      </c>
      <c r="BA853">
        <v>1</v>
      </c>
      <c r="BB853">
        <v>9228.1299999999992</v>
      </c>
      <c r="BC853">
        <v>0.98</v>
      </c>
      <c r="BD853">
        <v>11.07</v>
      </c>
      <c r="BE853">
        <v>11.68</v>
      </c>
      <c r="BF853">
        <v>10.8</v>
      </c>
      <c r="BG853" t="s">
        <v>12740</v>
      </c>
      <c r="BH853" t="s">
        <v>12741</v>
      </c>
      <c r="BI853" t="s">
        <v>12742</v>
      </c>
      <c r="BJ853" t="s">
        <v>101</v>
      </c>
      <c r="BK853" t="s">
        <v>12743</v>
      </c>
      <c r="BL853" t="s">
        <v>12744</v>
      </c>
      <c r="BM853" t="s">
        <v>12745</v>
      </c>
      <c r="BN853" t="s">
        <v>4063</v>
      </c>
    </row>
    <row r="854" spans="1:66" x14ac:dyDescent="0.25">
      <c r="A854" t="str">
        <f>HYPERLINK("https://elite.finviz.com/quote.ashx?t=ONMD&amp;ty=c&amp;p=d&amp;b=1", "ONMD")</f>
        <v>ONMD</v>
      </c>
      <c r="B854">
        <v>7</v>
      </c>
      <c r="C854">
        <v>138.38</v>
      </c>
      <c r="D854">
        <v>65.989999999999995</v>
      </c>
      <c r="E854" t="s">
        <v>12746</v>
      </c>
      <c r="F854" t="s">
        <v>107</v>
      </c>
      <c r="G854" t="s">
        <v>428</v>
      </c>
      <c r="H854" t="s">
        <v>2075</v>
      </c>
      <c r="I854" t="s">
        <v>70</v>
      </c>
      <c r="J854" t="s">
        <v>321</v>
      </c>
      <c r="K854">
        <v>47.94</v>
      </c>
      <c r="L854">
        <v>1.04</v>
      </c>
      <c r="M854" t="s">
        <v>4646</v>
      </c>
      <c r="N854">
        <v>145460</v>
      </c>
      <c r="R854">
        <v>104.21</v>
      </c>
      <c r="AA854">
        <v>-0.14000000000000001</v>
      </c>
      <c r="AH854" t="s">
        <v>12747</v>
      </c>
      <c r="AJ854" t="s">
        <v>164</v>
      </c>
      <c r="AK854" t="s">
        <v>2663</v>
      </c>
      <c r="AL854">
        <v>0.37</v>
      </c>
      <c r="AM854">
        <v>0.37</v>
      </c>
      <c r="AO854" t="s">
        <v>12748</v>
      </c>
      <c r="AP854" t="s">
        <v>12749</v>
      </c>
      <c r="AQ854" t="s">
        <v>12750</v>
      </c>
      <c r="AR854" t="s">
        <v>8050</v>
      </c>
      <c r="AS854" t="s">
        <v>1423</v>
      </c>
      <c r="AT854" t="s">
        <v>7735</v>
      </c>
      <c r="AU854" t="s">
        <v>5222</v>
      </c>
      <c r="AV854" t="s">
        <v>12751</v>
      </c>
      <c r="AW854" t="s">
        <v>12001</v>
      </c>
      <c r="AX854" t="s">
        <v>12752</v>
      </c>
      <c r="AY854" t="s">
        <v>8887</v>
      </c>
      <c r="AZ854" t="s">
        <v>12753</v>
      </c>
      <c r="BB854">
        <v>6199.59</v>
      </c>
      <c r="BC854">
        <v>0.08</v>
      </c>
      <c r="BD854">
        <v>1.07</v>
      </c>
      <c r="BE854">
        <v>1.08</v>
      </c>
      <c r="BF854">
        <v>0.97</v>
      </c>
      <c r="BG854" t="s">
        <v>12754</v>
      </c>
      <c r="BH854" t="s">
        <v>11861</v>
      </c>
      <c r="BI854" t="s">
        <v>12753</v>
      </c>
      <c r="BJ854" t="s">
        <v>101</v>
      </c>
      <c r="BK854" t="s">
        <v>12681</v>
      </c>
      <c r="BL854" t="s">
        <v>12755</v>
      </c>
      <c r="BM854" t="s">
        <v>12756</v>
      </c>
      <c r="BN854" t="s">
        <v>4063</v>
      </c>
    </row>
    <row r="855" spans="1:66" x14ac:dyDescent="0.25">
      <c r="A855" t="str">
        <f>HYPERLINK("https://elite.finviz.com/quote.ashx?t=NEE&amp;ty=c&amp;p=d&amp;b=1", "NEE")</f>
        <v>NEE</v>
      </c>
      <c r="B855">
        <v>7</v>
      </c>
      <c r="C855">
        <v>138.38</v>
      </c>
      <c r="D855">
        <v>66.010000000000005</v>
      </c>
      <c r="E855" t="s">
        <v>12757</v>
      </c>
      <c r="F855" t="s">
        <v>195</v>
      </c>
      <c r="G855" t="s">
        <v>287</v>
      </c>
      <c r="H855" t="s">
        <v>676</v>
      </c>
      <c r="I855" t="s">
        <v>70</v>
      </c>
      <c r="J855" t="s">
        <v>71</v>
      </c>
      <c r="K855">
        <v>155425.12</v>
      </c>
      <c r="L855">
        <v>75.47</v>
      </c>
      <c r="M855" t="s">
        <v>3018</v>
      </c>
      <c r="N855">
        <v>2178620</v>
      </c>
      <c r="O855">
        <v>26.3</v>
      </c>
      <c r="P855">
        <v>19.09</v>
      </c>
      <c r="Q855">
        <v>3.28</v>
      </c>
      <c r="R855">
        <v>6.19</v>
      </c>
      <c r="S855">
        <v>3.06</v>
      </c>
      <c r="T855" t="s">
        <v>295</v>
      </c>
      <c r="U855">
        <v>2.21</v>
      </c>
      <c r="V855" t="s">
        <v>6765</v>
      </c>
      <c r="W855" t="s">
        <v>3064</v>
      </c>
      <c r="X855" t="s">
        <v>1575</v>
      </c>
      <c r="Y855" t="s">
        <v>1228</v>
      </c>
      <c r="Z855" t="s">
        <v>12758</v>
      </c>
      <c r="AA855">
        <v>2.87</v>
      </c>
      <c r="AB855" t="s">
        <v>1953</v>
      </c>
      <c r="AC855" t="s">
        <v>1297</v>
      </c>
      <c r="AD855" t="s">
        <v>7938</v>
      </c>
      <c r="AE855" t="s">
        <v>5465</v>
      </c>
      <c r="AF855" t="s">
        <v>5370</v>
      </c>
      <c r="AG855" t="s">
        <v>6674</v>
      </c>
      <c r="AH855" t="s">
        <v>8286</v>
      </c>
      <c r="AI855" t="s">
        <v>353</v>
      </c>
      <c r="AJ855" t="s">
        <v>6002</v>
      </c>
      <c r="AK855" t="s">
        <v>8465</v>
      </c>
      <c r="AL855">
        <v>0.54</v>
      </c>
      <c r="AM855">
        <v>0.45</v>
      </c>
      <c r="AN855">
        <v>1.83</v>
      </c>
      <c r="AO855" t="s">
        <v>12759</v>
      </c>
      <c r="AP855" t="s">
        <v>4490</v>
      </c>
      <c r="AQ855" t="s">
        <v>1456</v>
      </c>
      <c r="AR855" t="s">
        <v>3757</v>
      </c>
      <c r="AS855" t="s">
        <v>3832</v>
      </c>
      <c r="AT855" t="s">
        <v>3981</v>
      </c>
      <c r="AU855" t="s">
        <v>323</v>
      </c>
      <c r="AV855" t="s">
        <v>5455</v>
      </c>
      <c r="AW855" t="s">
        <v>3005</v>
      </c>
      <c r="AX855" t="s">
        <v>2887</v>
      </c>
      <c r="AY855" t="s">
        <v>12760</v>
      </c>
      <c r="AZ855" t="s">
        <v>12761</v>
      </c>
      <c r="BA855">
        <v>2</v>
      </c>
      <c r="BB855">
        <v>10176.1</v>
      </c>
      <c r="BC855">
        <v>0.75</v>
      </c>
      <c r="BD855">
        <v>74.650000000000006</v>
      </c>
      <c r="BE855">
        <v>75.7</v>
      </c>
      <c r="BF855">
        <v>74.63</v>
      </c>
      <c r="BG855" t="s">
        <v>12762</v>
      </c>
      <c r="BH855" t="s">
        <v>7793</v>
      </c>
      <c r="BI855" t="s">
        <v>12763</v>
      </c>
      <c r="BJ855" t="s">
        <v>101</v>
      </c>
      <c r="BK855" t="s">
        <v>2066</v>
      </c>
      <c r="BL855" t="s">
        <v>5122</v>
      </c>
      <c r="BM855" t="s">
        <v>5059</v>
      </c>
      <c r="BN855" t="s">
        <v>4063</v>
      </c>
    </row>
    <row r="856" spans="1:66" x14ac:dyDescent="0.25">
      <c r="A856" t="str">
        <f>HYPERLINK("https://elite.finviz.com/quote.ashx?t=HP&amp;ty=c&amp;p=d&amp;b=1", "HP")</f>
        <v>HP</v>
      </c>
      <c r="B856">
        <v>7</v>
      </c>
      <c r="C856">
        <v>138.38</v>
      </c>
      <c r="D856">
        <v>66.05</v>
      </c>
      <c r="E856" t="s">
        <v>12764</v>
      </c>
      <c r="F856" t="s">
        <v>67</v>
      </c>
      <c r="G856" t="s">
        <v>1048</v>
      </c>
      <c r="H856" t="s">
        <v>7989</v>
      </c>
      <c r="I856" t="s">
        <v>70</v>
      </c>
      <c r="J856" t="s">
        <v>71</v>
      </c>
      <c r="K856">
        <v>2240.6799999999998</v>
      </c>
      <c r="L856">
        <v>22.53</v>
      </c>
      <c r="M856" t="s">
        <v>2080</v>
      </c>
      <c r="N856">
        <v>396001</v>
      </c>
      <c r="P856">
        <v>33.51</v>
      </c>
      <c r="R856">
        <v>0.65</v>
      </c>
      <c r="S856">
        <v>0.81</v>
      </c>
      <c r="T856" t="s">
        <v>5554</v>
      </c>
      <c r="U856">
        <v>1</v>
      </c>
      <c r="V856" t="s">
        <v>12765</v>
      </c>
      <c r="W856" t="s">
        <v>12766</v>
      </c>
      <c r="X856" t="s">
        <v>6184</v>
      </c>
      <c r="Y856" t="s">
        <v>7525</v>
      </c>
      <c r="Z856" t="s">
        <v>12767</v>
      </c>
      <c r="AA856">
        <v>-0.33</v>
      </c>
      <c r="AD856" t="s">
        <v>4543</v>
      </c>
      <c r="AE856" t="s">
        <v>3582</v>
      </c>
      <c r="AF856" t="s">
        <v>12768</v>
      </c>
      <c r="AG856" t="s">
        <v>3890</v>
      </c>
      <c r="AH856" t="s">
        <v>12769</v>
      </c>
      <c r="AI856" t="s">
        <v>6747</v>
      </c>
      <c r="AJ856" t="s">
        <v>1554</v>
      </c>
      <c r="AK856" t="s">
        <v>12770</v>
      </c>
      <c r="AL856">
        <v>1.84</v>
      </c>
      <c r="AM856">
        <v>1.43</v>
      </c>
      <c r="AN856">
        <v>0.79</v>
      </c>
      <c r="AO856" t="s">
        <v>11164</v>
      </c>
      <c r="AP856" t="s">
        <v>2200</v>
      </c>
      <c r="AQ856" t="s">
        <v>11369</v>
      </c>
      <c r="AR856" t="s">
        <v>2484</v>
      </c>
      <c r="AS856" t="s">
        <v>165</v>
      </c>
      <c r="AT856" t="s">
        <v>4913</v>
      </c>
      <c r="AU856" t="s">
        <v>12771</v>
      </c>
      <c r="AV856" t="s">
        <v>5777</v>
      </c>
      <c r="AW856" t="s">
        <v>2978</v>
      </c>
      <c r="AX856" t="s">
        <v>9339</v>
      </c>
      <c r="AY856" t="s">
        <v>12772</v>
      </c>
      <c r="AZ856" t="s">
        <v>12773</v>
      </c>
      <c r="BA856">
        <v>2.84</v>
      </c>
      <c r="BB856">
        <v>2061.79</v>
      </c>
      <c r="BC856">
        <v>0.68</v>
      </c>
      <c r="BD856">
        <v>21.91</v>
      </c>
      <c r="BE856">
        <v>22.71</v>
      </c>
      <c r="BF856">
        <v>21.95</v>
      </c>
      <c r="BG856" t="s">
        <v>12774</v>
      </c>
      <c r="BH856" t="s">
        <v>12775</v>
      </c>
      <c r="BI856" t="s">
        <v>12776</v>
      </c>
      <c r="BJ856" t="s">
        <v>101</v>
      </c>
      <c r="BK856" t="s">
        <v>12777</v>
      </c>
      <c r="BL856" t="s">
        <v>2705</v>
      </c>
      <c r="BM856" t="s">
        <v>12778</v>
      </c>
      <c r="BN856" t="s">
        <v>4063</v>
      </c>
    </row>
    <row r="857" spans="1:66" x14ac:dyDescent="0.25">
      <c r="A857" t="str">
        <f>HYPERLINK("https://elite.finviz.com/quote.ashx?t=TJX&amp;ty=c&amp;p=d&amp;b=1", "TJX")</f>
        <v>TJX</v>
      </c>
      <c r="B857">
        <v>7</v>
      </c>
      <c r="C857">
        <v>138.38</v>
      </c>
      <c r="D857">
        <v>66.06</v>
      </c>
      <c r="E857" t="s">
        <v>12779</v>
      </c>
      <c r="F857" t="s">
        <v>195</v>
      </c>
      <c r="G857" t="s">
        <v>813</v>
      </c>
      <c r="H857" t="s">
        <v>4488</v>
      </c>
      <c r="I857" t="s">
        <v>70</v>
      </c>
      <c r="J857" t="s">
        <v>71</v>
      </c>
      <c r="K857">
        <v>158136.57999999999</v>
      </c>
      <c r="L857">
        <v>142.09</v>
      </c>
      <c r="M857" t="s">
        <v>3112</v>
      </c>
      <c r="N857">
        <v>667443</v>
      </c>
      <c r="O857">
        <v>32.42</v>
      </c>
      <c r="P857">
        <v>28.05</v>
      </c>
      <c r="Q857">
        <v>3.44</v>
      </c>
      <c r="R857">
        <v>2.73</v>
      </c>
      <c r="S857">
        <v>17.829999999999998</v>
      </c>
      <c r="T857" t="s">
        <v>102</v>
      </c>
      <c r="U857">
        <v>1.6</v>
      </c>
      <c r="V857" t="s">
        <v>12780</v>
      </c>
      <c r="W857" t="s">
        <v>915</v>
      </c>
      <c r="X857" t="s">
        <v>9987</v>
      </c>
      <c r="Y857" t="s">
        <v>4409</v>
      </c>
      <c r="Z857" t="s">
        <v>4871</v>
      </c>
      <c r="AA857">
        <v>4.38</v>
      </c>
      <c r="AB857" t="s">
        <v>2589</v>
      </c>
      <c r="AC857" t="s">
        <v>9342</v>
      </c>
      <c r="AD857" t="s">
        <v>10114</v>
      </c>
      <c r="AE857" t="s">
        <v>2484</v>
      </c>
      <c r="AF857" t="s">
        <v>1104</v>
      </c>
      <c r="AG857" t="s">
        <v>2777</v>
      </c>
      <c r="AH857" t="s">
        <v>1215</v>
      </c>
      <c r="AI857" t="s">
        <v>6456</v>
      </c>
      <c r="AJ857" t="s">
        <v>5777</v>
      </c>
      <c r="AK857" t="s">
        <v>3039</v>
      </c>
      <c r="AL857">
        <v>1.17</v>
      </c>
      <c r="AM857">
        <v>0.52</v>
      </c>
      <c r="AN857">
        <v>1.48</v>
      </c>
      <c r="AO857" t="s">
        <v>8867</v>
      </c>
      <c r="AP857" t="s">
        <v>3920</v>
      </c>
      <c r="AQ857" t="s">
        <v>7616</v>
      </c>
      <c r="AR857" t="s">
        <v>5577</v>
      </c>
      <c r="AS857" t="s">
        <v>6155</v>
      </c>
      <c r="AT857" t="s">
        <v>2145</v>
      </c>
      <c r="AU857" t="s">
        <v>204</v>
      </c>
      <c r="AV857" t="s">
        <v>5282</v>
      </c>
      <c r="AW857" t="s">
        <v>12781</v>
      </c>
      <c r="AX857" t="s">
        <v>3390</v>
      </c>
      <c r="AY857" t="s">
        <v>12781</v>
      </c>
      <c r="AZ857" t="s">
        <v>5931</v>
      </c>
      <c r="BA857">
        <v>1.77</v>
      </c>
      <c r="BB857">
        <v>5094.05</v>
      </c>
      <c r="BC857">
        <v>0.46</v>
      </c>
      <c r="BD857">
        <v>141.46</v>
      </c>
      <c r="BE857">
        <v>142.27000000000001</v>
      </c>
      <c r="BF857">
        <v>141.91999999999999</v>
      </c>
      <c r="BG857" t="s">
        <v>12782</v>
      </c>
      <c r="BH857" t="s">
        <v>12781</v>
      </c>
      <c r="BI857" t="s">
        <v>12783</v>
      </c>
      <c r="BJ857" t="s">
        <v>101</v>
      </c>
      <c r="BK857" t="s">
        <v>8456</v>
      </c>
      <c r="BL857" t="s">
        <v>7086</v>
      </c>
      <c r="BM857" t="s">
        <v>12784</v>
      </c>
      <c r="BN857" t="s">
        <v>4063</v>
      </c>
    </row>
    <row r="858" spans="1:66" x14ac:dyDescent="0.25">
      <c r="A858" t="str">
        <f>HYPERLINK("https://elite.finviz.com/quote.ashx?t=MYGN&amp;ty=c&amp;p=d&amp;b=1", "MYGN")</f>
        <v>MYGN</v>
      </c>
      <c r="B858">
        <v>7</v>
      </c>
      <c r="C858">
        <v>138.38</v>
      </c>
      <c r="D858">
        <v>66.069999999999993</v>
      </c>
      <c r="E858" t="s">
        <v>12785</v>
      </c>
      <c r="F858" t="s">
        <v>67</v>
      </c>
      <c r="G858" t="s">
        <v>428</v>
      </c>
      <c r="H858" t="s">
        <v>4202</v>
      </c>
      <c r="I858" t="s">
        <v>70</v>
      </c>
      <c r="J858" t="s">
        <v>321</v>
      </c>
      <c r="K858">
        <v>715.98</v>
      </c>
      <c r="L858">
        <v>7.7</v>
      </c>
      <c r="M858" t="s">
        <v>5424</v>
      </c>
      <c r="N858">
        <v>182949</v>
      </c>
      <c r="P858">
        <v>81.400000000000006</v>
      </c>
      <c r="R858">
        <v>0.86</v>
      </c>
      <c r="S858">
        <v>1.85</v>
      </c>
      <c r="AA858">
        <v>-4.28</v>
      </c>
      <c r="AB858" t="s">
        <v>12786</v>
      </c>
      <c r="AD858" t="s">
        <v>6598</v>
      </c>
      <c r="AE858" t="s">
        <v>323</v>
      </c>
      <c r="AF858" t="s">
        <v>521</v>
      </c>
      <c r="AG858" t="s">
        <v>386</v>
      </c>
      <c r="AH858" t="s">
        <v>6245</v>
      </c>
      <c r="AI858" t="s">
        <v>12787</v>
      </c>
      <c r="AJ858" t="s">
        <v>164</v>
      </c>
      <c r="AK858" t="s">
        <v>12788</v>
      </c>
      <c r="AL858">
        <v>1.42</v>
      </c>
      <c r="AM858">
        <v>1.28</v>
      </c>
      <c r="AN858">
        <v>0.4</v>
      </c>
      <c r="AO858" t="s">
        <v>12789</v>
      </c>
      <c r="AP858" t="s">
        <v>4478</v>
      </c>
      <c r="AQ858" t="s">
        <v>12790</v>
      </c>
      <c r="AR858" t="s">
        <v>1091</v>
      </c>
      <c r="AS858" t="s">
        <v>5527</v>
      </c>
      <c r="AT858" t="s">
        <v>3088</v>
      </c>
      <c r="AU858" t="s">
        <v>12791</v>
      </c>
      <c r="AV858" t="s">
        <v>5176</v>
      </c>
      <c r="AW858" t="s">
        <v>2012</v>
      </c>
      <c r="AX858" t="s">
        <v>12792</v>
      </c>
      <c r="AY858" t="s">
        <v>12793</v>
      </c>
      <c r="AZ858" t="s">
        <v>12792</v>
      </c>
      <c r="BA858">
        <v>3.15</v>
      </c>
      <c r="BB858">
        <v>1739.38</v>
      </c>
      <c r="BC858">
        <v>0.37</v>
      </c>
      <c r="BD858">
        <v>7.76</v>
      </c>
      <c r="BE858">
        <v>7.83</v>
      </c>
      <c r="BF858">
        <v>7.61</v>
      </c>
      <c r="BG858" t="s">
        <v>12794</v>
      </c>
      <c r="BH858" t="s">
        <v>12795</v>
      </c>
      <c r="BI858" t="s">
        <v>12796</v>
      </c>
      <c r="BJ858" t="s">
        <v>101</v>
      </c>
      <c r="BK858" t="s">
        <v>12797</v>
      </c>
      <c r="BL858" t="s">
        <v>12798</v>
      </c>
      <c r="BM858" t="s">
        <v>12799</v>
      </c>
      <c r="BN858" t="s">
        <v>4063</v>
      </c>
    </row>
    <row r="859" spans="1:66" x14ac:dyDescent="0.25">
      <c r="A859" t="str">
        <f>HYPERLINK("https://elite.finviz.com/quote.ashx?t=ONDS&amp;ty=c&amp;p=d&amp;b=1", "ONDS")</f>
        <v>ONDS</v>
      </c>
      <c r="B859">
        <v>7</v>
      </c>
      <c r="C859">
        <v>138.38</v>
      </c>
      <c r="D859">
        <v>66.069999999999993</v>
      </c>
      <c r="E859" t="s">
        <v>12800</v>
      </c>
      <c r="F859" t="s">
        <v>107</v>
      </c>
      <c r="G859" t="s">
        <v>108</v>
      </c>
      <c r="H859" t="s">
        <v>1921</v>
      </c>
      <c r="I859" t="s">
        <v>70</v>
      </c>
      <c r="J859" t="s">
        <v>321</v>
      </c>
      <c r="K859">
        <v>2390.04</v>
      </c>
      <c r="L859">
        <v>7.45</v>
      </c>
      <c r="M859" t="s">
        <v>6739</v>
      </c>
      <c r="N859">
        <v>13222402</v>
      </c>
      <c r="R859">
        <v>148.16999999999999</v>
      </c>
      <c r="S859">
        <v>16.95</v>
      </c>
      <c r="AA859">
        <v>-0.52</v>
      </c>
      <c r="AB859" t="s">
        <v>10687</v>
      </c>
      <c r="AC859" t="s">
        <v>12058</v>
      </c>
      <c r="AD859" t="s">
        <v>12801</v>
      </c>
      <c r="AE859" t="s">
        <v>10271</v>
      </c>
      <c r="AF859" t="s">
        <v>10655</v>
      </c>
      <c r="AG859" t="s">
        <v>12802</v>
      </c>
      <c r="AH859" t="s">
        <v>12803</v>
      </c>
      <c r="AI859" t="s">
        <v>164</v>
      </c>
      <c r="AJ859" t="s">
        <v>3227</v>
      </c>
      <c r="AK859" t="s">
        <v>2409</v>
      </c>
      <c r="AL859">
        <v>2.9</v>
      </c>
      <c r="AM859">
        <v>2.5</v>
      </c>
      <c r="AN859">
        <v>0.26</v>
      </c>
      <c r="AO859" t="s">
        <v>5388</v>
      </c>
      <c r="AP859" t="s">
        <v>12804</v>
      </c>
      <c r="AQ859" t="s">
        <v>12805</v>
      </c>
      <c r="AR859" t="s">
        <v>1492</v>
      </c>
      <c r="AS859" t="s">
        <v>12806</v>
      </c>
      <c r="AT859" t="s">
        <v>1005</v>
      </c>
      <c r="AU859" t="s">
        <v>12807</v>
      </c>
      <c r="AV859" t="s">
        <v>12808</v>
      </c>
      <c r="AW859" t="s">
        <v>1571</v>
      </c>
      <c r="AX859" t="s">
        <v>12809</v>
      </c>
      <c r="AY859" t="s">
        <v>1571</v>
      </c>
      <c r="AZ859" t="s">
        <v>12810</v>
      </c>
      <c r="BA859">
        <v>1.71</v>
      </c>
      <c r="BB859">
        <v>37500.9</v>
      </c>
      <c r="BC859">
        <v>1.24</v>
      </c>
      <c r="BD859">
        <v>7.75</v>
      </c>
      <c r="BE859">
        <v>7.89</v>
      </c>
      <c r="BF859">
        <v>7.39</v>
      </c>
      <c r="BG859" t="s">
        <v>12811</v>
      </c>
      <c r="BH859" t="s">
        <v>12812</v>
      </c>
      <c r="BI859" t="s">
        <v>12813</v>
      </c>
      <c r="BJ859" t="s">
        <v>101</v>
      </c>
      <c r="BK859" t="s">
        <v>12814</v>
      </c>
      <c r="BL859" t="s">
        <v>12815</v>
      </c>
      <c r="BM859" t="s">
        <v>12816</v>
      </c>
      <c r="BN859" t="s">
        <v>4063</v>
      </c>
    </row>
    <row r="860" spans="1:66" x14ac:dyDescent="0.25">
      <c r="A860" t="str">
        <f>HYPERLINK("https://elite.finviz.com/quote.ashx?t=GNW&amp;ty=c&amp;p=d&amp;b=1", "GNW")</f>
        <v>GNW</v>
      </c>
      <c r="B860">
        <v>7</v>
      </c>
      <c r="C860">
        <v>138.38</v>
      </c>
      <c r="D860">
        <v>66.069999999999993</v>
      </c>
      <c r="E860" t="s">
        <v>12817</v>
      </c>
      <c r="F860" t="s">
        <v>67</v>
      </c>
      <c r="G860" t="s">
        <v>550</v>
      </c>
      <c r="H860" t="s">
        <v>5652</v>
      </c>
      <c r="I860" t="s">
        <v>70</v>
      </c>
      <c r="J860" t="s">
        <v>71</v>
      </c>
      <c r="K860">
        <v>3703.02</v>
      </c>
      <c r="L860">
        <v>9.02</v>
      </c>
      <c r="M860" t="s">
        <v>149</v>
      </c>
      <c r="N860">
        <v>727450</v>
      </c>
      <c r="O860">
        <v>20.39</v>
      </c>
      <c r="P860">
        <v>17.02</v>
      </c>
      <c r="Q860">
        <v>19.239999999999998</v>
      </c>
      <c r="R860">
        <v>0.53</v>
      </c>
      <c r="S860">
        <v>0.42</v>
      </c>
      <c r="V860" t="s">
        <v>12718</v>
      </c>
      <c r="Z860" t="s">
        <v>164</v>
      </c>
      <c r="AA860">
        <v>0.44</v>
      </c>
      <c r="AB860" t="s">
        <v>11399</v>
      </c>
      <c r="AC860" t="s">
        <v>2586</v>
      </c>
      <c r="AD860" t="s">
        <v>3552</v>
      </c>
      <c r="AE860" t="s">
        <v>451</v>
      </c>
      <c r="AF860" t="s">
        <v>4408</v>
      </c>
      <c r="AG860" t="s">
        <v>7272</v>
      </c>
      <c r="AH860" t="s">
        <v>8228</v>
      </c>
      <c r="AI860" t="s">
        <v>4586</v>
      </c>
      <c r="AJ860" t="s">
        <v>7137</v>
      </c>
      <c r="AK860" t="s">
        <v>12818</v>
      </c>
      <c r="AN860">
        <v>0.17</v>
      </c>
      <c r="AP860" t="s">
        <v>9636</v>
      </c>
      <c r="AQ860" t="s">
        <v>1768</v>
      </c>
      <c r="AR860" t="s">
        <v>2217</v>
      </c>
      <c r="AS860" t="s">
        <v>3832</v>
      </c>
      <c r="AT860" t="s">
        <v>6770</v>
      </c>
      <c r="AU860" t="s">
        <v>2406</v>
      </c>
      <c r="AV860" t="s">
        <v>7693</v>
      </c>
      <c r="AW860" t="s">
        <v>4963</v>
      </c>
      <c r="AX860" t="s">
        <v>4745</v>
      </c>
      <c r="AY860" t="s">
        <v>4963</v>
      </c>
      <c r="AZ860" t="s">
        <v>12441</v>
      </c>
      <c r="BA860">
        <v>2</v>
      </c>
      <c r="BB860">
        <v>5497.34</v>
      </c>
      <c r="BC860">
        <v>0.47</v>
      </c>
      <c r="BD860">
        <v>8.98</v>
      </c>
      <c r="BE860">
        <v>9.15</v>
      </c>
      <c r="BF860">
        <v>9.01</v>
      </c>
      <c r="BG860" t="s">
        <v>12819</v>
      </c>
      <c r="BH860" t="s">
        <v>12820</v>
      </c>
      <c r="BI860" t="s">
        <v>12821</v>
      </c>
      <c r="BJ860" t="s">
        <v>101</v>
      </c>
      <c r="BK860" t="s">
        <v>4074</v>
      </c>
      <c r="BL860" t="s">
        <v>5011</v>
      </c>
      <c r="BM860" t="s">
        <v>12676</v>
      </c>
      <c r="BN860" t="s">
        <v>4063</v>
      </c>
    </row>
    <row r="861" spans="1:66" x14ac:dyDescent="0.25">
      <c r="A861" t="str">
        <f>HYPERLINK("https://elite.finviz.com/quote.ashx?t=KGS&amp;ty=c&amp;p=d&amp;b=1", "KGS")</f>
        <v>KGS</v>
      </c>
      <c r="B861">
        <v>7</v>
      </c>
      <c r="C861">
        <v>138.38</v>
      </c>
      <c r="D861">
        <v>66.09</v>
      </c>
      <c r="E861" t="s">
        <v>12822</v>
      </c>
      <c r="F861" t="s">
        <v>67</v>
      </c>
      <c r="G861" t="s">
        <v>1048</v>
      </c>
      <c r="H861" t="s">
        <v>8341</v>
      </c>
      <c r="I861" t="s">
        <v>70</v>
      </c>
      <c r="J861" t="s">
        <v>71</v>
      </c>
      <c r="K861">
        <v>3227.67</v>
      </c>
      <c r="L861">
        <v>37.24</v>
      </c>
      <c r="M861" t="s">
        <v>193</v>
      </c>
      <c r="N861">
        <v>218336</v>
      </c>
      <c r="O861">
        <v>41.86</v>
      </c>
      <c r="P861">
        <v>16.260000000000002</v>
      </c>
      <c r="Q861">
        <v>0.57999999999999996</v>
      </c>
      <c r="R861">
        <v>2.5099999999999998</v>
      </c>
      <c r="S861">
        <v>2.44</v>
      </c>
      <c r="T861" t="s">
        <v>161</v>
      </c>
      <c r="U861">
        <v>1.72</v>
      </c>
      <c r="V861" t="s">
        <v>4827</v>
      </c>
      <c r="W861" t="s">
        <v>12823</v>
      </c>
      <c r="Z861" t="s">
        <v>12824</v>
      </c>
      <c r="AA861">
        <v>0.89</v>
      </c>
      <c r="AB861" t="s">
        <v>12825</v>
      </c>
      <c r="AD861" t="s">
        <v>6423</v>
      </c>
      <c r="AE861" t="s">
        <v>717</v>
      </c>
      <c r="AF861" t="s">
        <v>5039</v>
      </c>
      <c r="AG861" t="s">
        <v>10865</v>
      </c>
      <c r="AH861" t="s">
        <v>165</v>
      </c>
      <c r="AI861" t="s">
        <v>9738</v>
      </c>
      <c r="AJ861" t="s">
        <v>12826</v>
      </c>
      <c r="AK861" t="s">
        <v>12827</v>
      </c>
      <c r="AL861">
        <v>1.1000000000000001</v>
      </c>
      <c r="AM861">
        <v>0.78</v>
      </c>
      <c r="AN861">
        <v>1.95</v>
      </c>
      <c r="AO861" t="s">
        <v>12828</v>
      </c>
      <c r="AP861" t="s">
        <v>294</v>
      </c>
      <c r="AQ861" t="s">
        <v>3506</v>
      </c>
      <c r="AR861" t="s">
        <v>6770</v>
      </c>
      <c r="AS861" t="s">
        <v>3456</v>
      </c>
      <c r="AT861" t="s">
        <v>7622</v>
      </c>
      <c r="AU861" t="s">
        <v>4783</v>
      </c>
      <c r="AV861" t="s">
        <v>4539</v>
      </c>
      <c r="AW861" t="s">
        <v>1324</v>
      </c>
      <c r="AX861" t="s">
        <v>2567</v>
      </c>
      <c r="AY861" t="s">
        <v>12829</v>
      </c>
      <c r="AZ861" t="s">
        <v>8883</v>
      </c>
      <c r="BA861">
        <v>1.25</v>
      </c>
      <c r="BB861">
        <v>1824.5</v>
      </c>
      <c r="BC861">
        <v>0.42</v>
      </c>
      <c r="BD861">
        <v>37.130000000000003</v>
      </c>
      <c r="BE861">
        <v>37.99</v>
      </c>
      <c r="BF861">
        <v>37.17</v>
      </c>
      <c r="BG861" t="s">
        <v>12830</v>
      </c>
      <c r="BH861" t="s">
        <v>12829</v>
      </c>
      <c r="BI861" t="s">
        <v>12831</v>
      </c>
      <c r="BJ861" t="s">
        <v>101</v>
      </c>
      <c r="BK861" t="s">
        <v>12048</v>
      </c>
      <c r="BL861" t="s">
        <v>4203</v>
      </c>
      <c r="BM861" t="s">
        <v>8196</v>
      </c>
      <c r="BN861" t="s">
        <v>4063</v>
      </c>
    </row>
    <row r="862" spans="1:66" x14ac:dyDescent="0.25">
      <c r="A862" t="str">
        <f>HYPERLINK("https://elite.finviz.com/quote.ashx?t=TGTX&amp;ty=c&amp;p=d&amp;b=1", "TGTX")</f>
        <v>TGTX</v>
      </c>
      <c r="B862">
        <v>7</v>
      </c>
      <c r="C862">
        <v>138.38</v>
      </c>
      <c r="D862">
        <v>66.09</v>
      </c>
      <c r="E862" t="s">
        <v>12832</v>
      </c>
      <c r="F862" t="s">
        <v>67</v>
      </c>
      <c r="G862" t="s">
        <v>428</v>
      </c>
      <c r="H862" t="s">
        <v>429</v>
      </c>
      <c r="I862" t="s">
        <v>70</v>
      </c>
      <c r="J862" t="s">
        <v>321</v>
      </c>
      <c r="K862">
        <v>5550.13</v>
      </c>
      <c r="L862">
        <v>34.979999999999997</v>
      </c>
      <c r="M862" t="s">
        <v>5055</v>
      </c>
      <c r="N862">
        <v>278371</v>
      </c>
      <c r="O862">
        <v>93.48</v>
      </c>
      <c r="P862">
        <v>19.66</v>
      </c>
      <c r="Q862">
        <v>0.64</v>
      </c>
      <c r="R862">
        <v>12.22</v>
      </c>
      <c r="S862">
        <v>20</v>
      </c>
      <c r="Z862" t="s">
        <v>164</v>
      </c>
      <c r="AA862">
        <v>0.37</v>
      </c>
      <c r="AD862" t="s">
        <v>12833</v>
      </c>
      <c r="AE862" t="s">
        <v>3971</v>
      </c>
      <c r="AF862" t="s">
        <v>12834</v>
      </c>
      <c r="AG862" t="s">
        <v>12835</v>
      </c>
      <c r="AH862" t="s">
        <v>12836</v>
      </c>
      <c r="AI862" t="s">
        <v>1107</v>
      </c>
      <c r="AJ862" t="s">
        <v>2213</v>
      </c>
      <c r="AK862" t="s">
        <v>12837</v>
      </c>
      <c r="AL862">
        <v>3.86</v>
      </c>
      <c r="AM862">
        <v>2.96</v>
      </c>
      <c r="AN862">
        <v>0.92</v>
      </c>
      <c r="AO862" t="s">
        <v>6210</v>
      </c>
      <c r="AP862" t="s">
        <v>620</v>
      </c>
      <c r="AQ862" t="s">
        <v>3231</v>
      </c>
      <c r="AR862" t="s">
        <v>1148</v>
      </c>
      <c r="AS862" t="s">
        <v>5592</v>
      </c>
      <c r="AT862" t="s">
        <v>3181</v>
      </c>
      <c r="AU862" t="s">
        <v>7669</v>
      </c>
      <c r="AV862" t="s">
        <v>5084</v>
      </c>
      <c r="AW862" t="s">
        <v>7200</v>
      </c>
      <c r="AX862" t="s">
        <v>12838</v>
      </c>
      <c r="AY862" t="s">
        <v>12839</v>
      </c>
      <c r="AZ862" t="s">
        <v>12840</v>
      </c>
      <c r="BA862">
        <v>1.71</v>
      </c>
      <c r="BB862">
        <v>2188.09</v>
      </c>
      <c r="BC862">
        <v>0.45</v>
      </c>
      <c r="BD862">
        <v>34.64</v>
      </c>
      <c r="BE862">
        <v>35.090000000000003</v>
      </c>
      <c r="BF862">
        <v>34.520000000000003</v>
      </c>
      <c r="BG862" t="s">
        <v>12841</v>
      </c>
      <c r="BH862" t="s">
        <v>3265</v>
      </c>
      <c r="BI862" t="s">
        <v>12842</v>
      </c>
      <c r="BJ862" t="s">
        <v>101</v>
      </c>
      <c r="BK862" t="s">
        <v>5264</v>
      </c>
      <c r="BL862" t="s">
        <v>12843</v>
      </c>
      <c r="BM862" t="s">
        <v>11078</v>
      </c>
      <c r="BN862" t="s">
        <v>4063</v>
      </c>
    </row>
    <row r="863" spans="1:66" x14ac:dyDescent="0.25">
      <c r="A863" t="str">
        <f>HYPERLINK("https://elite.finviz.com/quote.ashx?t=WELL&amp;ty=c&amp;p=d&amp;b=1", "WELL")</f>
        <v>WELL</v>
      </c>
      <c r="B863">
        <v>7</v>
      </c>
      <c r="C863">
        <v>138.38</v>
      </c>
      <c r="D863">
        <v>66.16</v>
      </c>
      <c r="E863" t="s">
        <v>12844</v>
      </c>
      <c r="F863" t="s">
        <v>195</v>
      </c>
      <c r="G863" t="s">
        <v>68</v>
      </c>
      <c r="H863" t="s">
        <v>6072</v>
      </c>
      <c r="I863" t="s">
        <v>70</v>
      </c>
      <c r="J863" t="s">
        <v>71</v>
      </c>
      <c r="K863">
        <v>116275.67</v>
      </c>
      <c r="L863">
        <v>174.08</v>
      </c>
      <c r="M863" t="s">
        <v>5058</v>
      </c>
      <c r="N863">
        <v>543574</v>
      </c>
      <c r="O863">
        <v>143.80000000000001</v>
      </c>
      <c r="P863">
        <v>69.59</v>
      </c>
      <c r="Q863">
        <v>6.17</v>
      </c>
      <c r="R863">
        <v>12.54</v>
      </c>
      <c r="S863">
        <v>3.23</v>
      </c>
      <c r="T863" t="s">
        <v>2186</v>
      </c>
      <c r="U863">
        <v>2.75</v>
      </c>
      <c r="V863" t="s">
        <v>7906</v>
      </c>
      <c r="W863" t="s">
        <v>5102</v>
      </c>
      <c r="X863" t="s">
        <v>6990</v>
      </c>
      <c r="Y863" t="s">
        <v>8506</v>
      </c>
      <c r="Z863" t="s">
        <v>12845</v>
      </c>
      <c r="AA863">
        <v>1.21</v>
      </c>
      <c r="AB863" t="s">
        <v>12846</v>
      </c>
      <c r="AC863" t="s">
        <v>3300</v>
      </c>
      <c r="AD863" t="s">
        <v>1134</v>
      </c>
      <c r="AE863" t="s">
        <v>10435</v>
      </c>
      <c r="AF863" t="s">
        <v>6393</v>
      </c>
      <c r="AG863" t="s">
        <v>6945</v>
      </c>
      <c r="AH863" t="s">
        <v>11813</v>
      </c>
      <c r="AI863" t="s">
        <v>5789</v>
      </c>
      <c r="AJ863" t="s">
        <v>463</v>
      </c>
      <c r="AK863" t="s">
        <v>9901</v>
      </c>
      <c r="AL863">
        <v>74.37</v>
      </c>
      <c r="AM863">
        <v>74.37</v>
      </c>
      <c r="AN863">
        <v>0.48</v>
      </c>
      <c r="AO863" t="s">
        <v>12847</v>
      </c>
      <c r="AP863" t="s">
        <v>8735</v>
      </c>
      <c r="AQ863" t="s">
        <v>3664</v>
      </c>
      <c r="AR863" t="s">
        <v>2219</v>
      </c>
      <c r="AS863" t="s">
        <v>2572</v>
      </c>
      <c r="AT863" t="s">
        <v>2317</v>
      </c>
      <c r="AU863" t="s">
        <v>5370</v>
      </c>
      <c r="AV863" t="s">
        <v>10359</v>
      </c>
      <c r="AW863" t="s">
        <v>3336</v>
      </c>
      <c r="AX863" t="s">
        <v>2933</v>
      </c>
      <c r="AY863" t="s">
        <v>3336</v>
      </c>
      <c r="AZ863" t="s">
        <v>12647</v>
      </c>
      <c r="BA863">
        <v>1.33</v>
      </c>
      <c r="BB863">
        <v>2794.66</v>
      </c>
      <c r="BC863">
        <v>0.69</v>
      </c>
      <c r="BD863">
        <v>171.7</v>
      </c>
      <c r="BE863">
        <v>174.43</v>
      </c>
      <c r="BF863">
        <v>172.46</v>
      </c>
      <c r="BG863" t="s">
        <v>12848</v>
      </c>
      <c r="BH863" t="s">
        <v>3336</v>
      </c>
      <c r="BI863" t="s">
        <v>12849</v>
      </c>
      <c r="BJ863" t="s">
        <v>101</v>
      </c>
      <c r="BK863" t="s">
        <v>10254</v>
      </c>
      <c r="BL863" t="s">
        <v>8579</v>
      </c>
      <c r="BM863" t="s">
        <v>11023</v>
      </c>
      <c r="BN863" t="s">
        <v>4063</v>
      </c>
    </row>
    <row r="864" spans="1:66" x14ac:dyDescent="0.25">
      <c r="A864" t="str">
        <f>HYPERLINK("https://elite.finviz.com/quote.ashx?t=LYFT&amp;ty=c&amp;p=d&amp;b=1", "LYFT")</f>
        <v>LYFT</v>
      </c>
      <c r="B864">
        <v>7</v>
      </c>
      <c r="C864">
        <v>138.38</v>
      </c>
      <c r="D864">
        <v>66.180000000000007</v>
      </c>
      <c r="E864" t="s">
        <v>12850</v>
      </c>
      <c r="F864" t="s">
        <v>107</v>
      </c>
      <c r="G864" t="s">
        <v>108</v>
      </c>
      <c r="H864" t="s">
        <v>136</v>
      </c>
      <c r="I864" t="s">
        <v>70</v>
      </c>
      <c r="J864" t="s">
        <v>321</v>
      </c>
      <c r="K864">
        <v>8754.75</v>
      </c>
      <c r="L864">
        <v>21.54</v>
      </c>
      <c r="M864" t="s">
        <v>770</v>
      </c>
      <c r="N864">
        <v>4147274</v>
      </c>
      <c r="O864">
        <v>98.4</v>
      </c>
      <c r="P864">
        <v>16.93</v>
      </c>
      <c r="Q864">
        <v>7.55</v>
      </c>
      <c r="R864">
        <v>1.43</v>
      </c>
      <c r="S864">
        <v>12.09</v>
      </c>
      <c r="Z864" t="s">
        <v>164</v>
      </c>
      <c r="AA864">
        <v>0.22</v>
      </c>
      <c r="AD864" t="s">
        <v>1470</v>
      </c>
      <c r="AE864" t="s">
        <v>10912</v>
      </c>
      <c r="AF864" t="s">
        <v>2485</v>
      </c>
      <c r="AG864" t="s">
        <v>1066</v>
      </c>
      <c r="AH864" t="s">
        <v>5227</v>
      </c>
      <c r="AI864" t="s">
        <v>12851</v>
      </c>
      <c r="AJ864" t="s">
        <v>2294</v>
      </c>
      <c r="AK864" t="s">
        <v>12852</v>
      </c>
      <c r="AL864">
        <v>0.7</v>
      </c>
      <c r="AM864">
        <v>0.7</v>
      </c>
      <c r="AN864">
        <v>1.1000000000000001</v>
      </c>
      <c r="AO864" t="s">
        <v>10576</v>
      </c>
      <c r="AP864" t="s">
        <v>698</v>
      </c>
      <c r="AQ864" t="s">
        <v>2145</v>
      </c>
      <c r="AR864" t="s">
        <v>3334</v>
      </c>
      <c r="AS864" t="s">
        <v>197</v>
      </c>
      <c r="AT864" t="s">
        <v>5618</v>
      </c>
      <c r="AU864" t="s">
        <v>1838</v>
      </c>
      <c r="AV864" t="s">
        <v>7222</v>
      </c>
      <c r="AW864" t="s">
        <v>5371</v>
      </c>
      <c r="AX864" t="s">
        <v>3572</v>
      </c>
      <c r="AY864" t="s">
        <v>5371</v>
      </c>
      <c r="AZ864" t="s">
        <v>12853</v>
      </c>
      <c r="BA864">
        <v>2.56</v>
      </c>
      <c r="BB864">
        <v>20292.36</v>
      </c>
      <c r="BC864">
        <v>0.72</v>
      </c>
      <c r="BD864">
        <v>21.57</v>
      </c>
      <c r="BE864">
        <v>21.7</v>
      </c>
      <c r="BF864">
        <v>21.23</v>
      </c>
      <c r="BG864" t="s">
        <v>12854</v>
      </c>
      <c r="BH864" t="s">
        <v>12855</v>
      </c>
      <c r="BI864" t="s">
        <v>12856</v>
      </c>
      <c r="BJ864" t="s">
        <v>101</v>
      </c>
      <c r="BK864" t="s">
        <v>12857</v>
      </c>
      <c r="BL864" t="s">
        <v>12858</v>
      </c>
      <c r="BM864" t="s">
        <v>11940</v>
      </c>
      <c r="BN864" t="s">
        <v>4063</v>
      </c>
    </row>
    <row r="865" spans="1:66" x14ac:dyDescent="0.25">
      <c r="A865" t="str">
        <f>HYPERLINK("https://elite.finviz.com/quote.ashx?t=DK&amp;ty=c&amp;p=d&amp;b=1", "DK")</f>
        <v>DK</v>
      </c>
      <c r="B865">
        <v>7</v>
      </c>
      <c r="C865">
        <v>138.38</v>
      </c>
      <c r="D865">
        <v>66.19</v>
      </c>
      <c r="E865" t="s">
        <v>12859</v>
      </c>
      <c r="F865" t="s">
        <v>67</v>
      </c>
      <c r="G865" t="s">
        <v>1048</v>
      </c>
      <c r="H865" t="s">
        <v>3886</v>
      </c>
      <c r="I865" t="s">
        <v>70</v>
      </c>
      <c r="J865" t="s">
        <v>71</v>
      </c>
      <c r="K865">
        <v>2015.08</v>
      </c>
      <c r="L865">
        <v>33.5</v>
      </c>
      <c r="M865" t="s">
        <v>8425</v>
      </c>
      <c r="N865">
        <v>231254</v>
      </c>
      <c r="R865">
        <v>0.19</v>
      </c>
      <c r="S865">
        <v>77.86</v>
      </c>
      <c r="T865" t="s">
        <v>2543</v>
      </c>
      <c r="U865">
        <v>1.02</v>
      </c>
      <c r="V865" t="s">
        <v>893</v>
      </c>
      <c r="W865" t="s">
        <v>6392</v>
      </c>
      <c r="Y865" t="s">
        <v>3031</v>
      </c>
      <c r="AA865">
        <v>-13.83</v>
      </c>
      <c r="AB865" t="s">
        <v>2179</v>
      </c>
      <c r="AD865" t="s">
        <v>3302</v>
      </c>
      <c r="AE865" t="s">
        <v>12860</v>
      </c>
      <c r="AF865" t="s">
        <v>5111</v>
      </c>
      <c r="AG865" t="s">
        <v>197</v>
      </c>
      <c r="AH865" t="s">
        <v>12861</v>
      </c>
      <c r="AI865" t="s">
        <v>7687</v>
      </c>
      <c r="AJ865" t="s">
        <v>337</v>
      </c>
      <c r="AK865" t="s">
        <v>12862</v>
      </c>
      <c r="AL865">
        <v>0.8</v>
      </c>
      <c r="AM865">
        <v>0.5</v>
      </c>
      <c r="AN865">
        <v>122.58</v>
      </c>
      <c r="AO865" t="s">
        <v>10581</v>
      </c>
      <c r="AP865" t="s">
        <v>6074</v>
      </c>
      <c r="AQ865" t="s">
        <v>12863</v>
      </c>
      <c r="AR865" t="s">
        <v>585</v>
      </c>
      <c r="AS865" t="s">
        <v>3496</v>
      </c>
      <c r="AT865" t="s">
        <v>4512</v>
      </c>
      <c r="AU865" t="s">
        <v>9081</v>
      </c>
      <c r="AV865" t="s">
        <v>12864</v>
      </c>
      <c r="AW865" t="s">
        <v>7865</v>
      </c>
      <c r="AX865" t="s">
        <v>12865</v>
      </c>
      <c r="AY865" t="s">
        <v>7865</v>
      </c>
      <c r="AZ865" t="s">
        <v>12866</v>
      </c>
      <c r="BA865">
        <v>2.85</v>
      </c>
      <c r="BB865">
        <v>2077.89</v>
      </c>
      <c r="BC865">
        <v>0.39</v>
      </c>
      <c r="BD865">
        <v>33.590000000000003</v>
      </c>
      <c r="BE865">
        <v>33.950000000000003</v>
      </c>
      <c r="BF865">
        <v>33.25</v>
      </c>
      <c r="BG865" t="s">
        <v>12867</v>
      </c>
      <c r="BH865" t="s">
        <v>12868</v>
      </c>
      <c r="BI865" t="s">
        <v>12869</v>
      </c>
      <c r="BJ865" t="s">
        <v>101</v>
      </c>
      <c r="BK865" t="s">
        <v>12870</v>
      </c>
      <c r="BL865" t="s">
        <v>12871</v>
      </c>
      <c r="BM865" t="s">
        <v>11133</v>
      </c>
      <c r="BN865" t="s">
        <v>4063</v>
      </c>
    </row>
    <row r="866" spans="1:66" x14ac:dyDescent="0.25">
      <c r="A866" t="str">
        <f>HYPERLINK("https://elite.finviz.com/quote.ashx?t=SBH&amp;ty=c&amp;p=d&amp;b=1", "SBH")</f>
        <v>SBH</v>
      </c>
      <c r="B866">
        <v>7</v>
      </c>
      <c r="C866">
        <v>138.38</v>
      </c>
      <c r="D866">
        <v>66.31</v>
      </c>
      <c r="E866" t="s">
        <v>12872</v>
      </c>
      <c r="F866" t="s">
        <v>67</v>
      </c>
      <c r="G866" t="s">
        <v>813</v>
      </c>
      <c r="H866" t="s">
        <v>2262</v>
      </c>
      <c r="I866" t="s">
        <v>70</v>
      </c>
      <c r="J866" t="s">
        <v>71</v>
      </c>
      <c r="K866">
        <v>1572.2</v>
      </c>
      <c r="L866">
        <v>15.89</v>
      </c>
      <c r="M866" t="s">
        <v>5121</v>
      </c>
      <c r="N866">
        <v>399691</v>
      </c>
      <c r="O866">
        <v>8.56</v>
      </c>
      <c r="P866">
        <v>7.91</v>
      </c>
      <c r="Q866">
        <v>0.99</v>
      </c>
      <c r="R866">
        <v>0.43</v>
      </c>
      <c r="S866">
        <v>2.0699999999999998</v>
      </c>
      <c r="Z866" t="s">
        <v>164</v>
      </c>
      <c r="AA866">
        <v>1.86</v>
      </c>
      <c r="AB866" t="s">
        <v>7469</v>
      </c>
      <c r="AC866" t="s">
        <v>5409</v>
      </c>
      <c r="AD866" t="s">
        <v>346</v>
      </c>
      <c r="AE866" t="s">
        <v>1564</v>
      </c>
      <c r="AF866" t="s">
        <v>1510</v>
      </c>
      <c r="AG866" t="s">
        <v>5424</v>
      </c>
      <c r="AH866" t="s">
        <v>3634</v>
      </c>
      <c r="AI866" t="s">
        <v>8592</v>
      </c>
      <c r="AJ866" t="s">
        <v>9136</v>
      </c>
      <c r="AK866" t="s">
        <v>12873</v>
      </c>
      <c r="AL866">
        <v>2.41</v>
      </c>
      <c r="AM866">
        <v>0.49</v>
      </c>
      <c r="AN866">
        <v>1.98</v>
      </c>
      <c r="AO866" t="s">
        <v>8045</v>
      </c>
      <c r="AP866" t="s">
        <v>2093</v>
      </c>
      <c r="AQ866" t="s">
        <v>3981</v>
      </c>
      <c r="AR866" t="s">
        <v>4204</v>
      </c>
      <c r="AS866" t="s">
        <v>316</v>
      </c>
      <c r="AT866" t="s">
        <v>3204</v>
      </c>
      <c r="AU866" t="s">
        <v>2485</v>
      </c>
      <c r="AV866" t="s">
        <v>11673</v>
      </c>
      <c r="AW866" t="s">
        <v>1648</v>
      </c>
      <c r="AX866" t="s">
        <v>338</v>
      </c>
      <c r="AY866" t="s">
        <v>1648</v>
      </c>
      <c r="AZ866" t="s">
        <v>12874</v>
      </c>
      <c r="BA866">
        <v>2.6</v>
      </c>
      <c r="BB866">
        <v>2089.73</v>
      </c>
      <c r="BC866">
        <v>0.67</v>
      </c>
      <c r="BD866">
        <v>15.51</v>
      </c>
      <c r="BE866">
        <v>15.93</v>
      </c>
      <c r="BF866">
        <v>15.41</v>
      </c>
      <c r="BG866" t="s">
        <v>12875</v>
      </c>
      <c r="BH866" t="s">
        <v>12876</v>
      </c>
      <c r="BI866" t="s">
        <v>12877</v>
      </c>
      <c r="BJ866" t="s">
        <v>101</v>
      </c>
      <c r="BK866" t="s">
        <v>12878</v>
      </c>
      <c r="BL866" t="s">
        <v>6889</v>
      </c>
      <c r="BM866" t="s">
        <v>10750</v>
      </c>
      <c r="BN866" t="s">
        <v>4063</v>
      </c>
    </row>
    <row r="867" spans="1:66" x14ac:dyDescent="0.25">
      <c r="A867" t="str">
        <f>HYPERLINK("https://elite.finviz.com/quote.ashx?t=LSCC&amp;ty=c&amp;p=d&amp;b=1", "LSCC")</f>
        <v>LSCC</v>
      </c>
      <c r="B867">
        <v>7</v>
      </c>
      <c r="C867">
        <v>138.38</v>
      </c>
      <c r="D867">
        <v>66.37</v>
      </c>
      <c r="E867" t="s">
        <v>12879</v>
      </c>
      <c r="F867" t="s">
        <v>107</v>
      </c>
      <c r="G867" t="s">
        <v>108</v>
      </c>
      <c r="H867" t="s">
        <v>1808</v>
      </c>
      <c r="I867" t="s">
        <v>70</v>
      </c>
      <c r="J867" t="s">
        <v>321</v>
      </c>
      <c r="K867">
        <v>9834.58</v>
      </c>
      <c r="L867">
        <v>71.84</v>
      </c>
      <c r="M867" t="s">
        <v>6871</v>
      </c>
      <c r="N867">
        <v>215638</v>
      </c>
      <c r="O867">
        <v>313.70999999999998</v>
      </c>
      <c r="P867">
        <v>48.47</v>
      </c>
      <c r="Q867">
        <v>11.43</v>
      </c>
      <c r="R867">
        <v>20.13</v>
      </c>
      <c r="S867">
        <v>14.29</v>
      </c>
      <c r="Z867" t="s">
        <v>164</v>
      </c>
      <c r="AA867">
        <v>0.23</v>
      </c>
      <c r="AB867" t="s">
        <v>3096</v>
      </c>
      <c r="AC867" t="s">
        <v>1691</v>
      </c>
      <c r="AD867" t="s">
        <v>1398</v>
      </c>
      <c r="AE867" t="s">
        <v>11188</v>
      </c>
      <c r="AF867" t="s">
        <v>1564</v>
      </c>
      <c r="AG867" t="s">
        <v>215</v>
      </c>
      <c r="AH867" t="s">
        <v>1547</v>
      </c>
      <c r="AI867" t="s">
        <v>4539</v>
      </c>
      <c r="AJ867" t="s">
        <v>1783</v>
      </c>
      <c r="AK867" t="s">
        <v>12420</v>
      </c>
      <c r="AL867">
        <v>3.71</v>
      </c>
      <c r="AM867">
        <v>2.63</v>
      </c>
      <c r="AN867">
        <v>0.03</v>
      </c>
      <c r="AO867" t="s">
        <v>12880</v>
      </c>
      <c r="AP867" t="s">
        <v>3229</v>
      </c>
      <c r="AQ867" t="s">
        <v>2398</v>
      </c>
      <c r="AR867" t="s">
        <v>4125</v>
      </c>
      <c r="AS867" t="s">
        <v>2736</v>
      </c>
      <c r="AT867" t="s">
        <v>2429</v>
      </c>
      <c r="AU867" t="s">
        <v>6721</v>
      </c>
      <c r="AV867" t="s">
        <v>12791</v>
      </c>
      <c r="AW867" t="s">
        <v>4517</v>
      </c>
      <c r="AX867" t="s">
        <v>12881</v>
      </c>
      <c r="AY867" t="s">
        <v>4517</v>
      </c>
      <c r="AZ867" t="s">
        <v>12882</v>
      </c>
      <c r="BA867">
        <v>1.56</v>
      </c>
      <c r="BB867">
        <v>2624.18</v>
      </c>
      <c r="BC867">
        <v>0.28999999999999998</v>
      </c>
      <c r="BD867">
        <v>72.06</v>
      </c>
      <c r="BE867">
        <v>72.5</v>
      </c>
      <c r="BF867">
        <v>71.78</v>
      </c>
      <c r="BG867" t="s">
        <v>12883</v>
      </c>
      <c r="BH867" t="s">
        <v>12884</v>
      </c>
      <c r="BI867" t="s">
        <v>12885</v>
      </c>
      <c r="BJ867" t="s">
        <v>101</v>
      </c>
      <c r="BK867" t="s">
        <v>7585</v>
      </c>
      <c r="BL867" t="s">
        <v>12886</v>
      </c>
      <c r="BM867" t="s">
        <v>12887</v>
      </c>
      <c r="BN867" t="s">
        <v>4063</v>
      </c>
    </row>
    <row r="868" spans="1:66" x14ac:dyDescent="0.25">
      <c r="A868" t="str">
        <f>HYPERLINK("https://elite.finviz.com/quote.ashx?t=IAUX&amp;ty=c&amp;p=d&amp;b=1", "IAUX")</f>
        <v>IAUX</v>
      </c>
      <c r="B868">
        <v>7</v>
      </c>
      <c r="C868">
        <v>138.38</v>
      </c>
      <c r="D868">
        <v>66.39</v>
      </c>
      <c r="E868" t="s">
        <v>12888</v>
      </c>
      <c r="F868" t="s">
        <v>107</v>
      </c>
      <c r="G868" t="s">
        <v>355</v>
      </c>
      <c r="H868" t="s">
        <v>1103</v>
      </c>
      <c r="I868" t="s">
        <v>70</v>
      </c>
      <c r="J868" t="s">
        <v>383</v>
      </c>
      <c r="K868">
        <v>778.26</v>
      </c>
      <c r="L868">
        <v>0.95</v>
      </c>
      <c r="M868" t="s">
        <v>306</v>
      </c>
      <c r="N868">
        <v>1612125</v>
      </c>
      <c r="R868">
        <v>10.16</v>
      </c>
      <c r="S868">
        <v>1.68</v>
      </c>
      <c r="AA868">
        <v>-0.3</v>
      </c>
      <c r="AC868" t="s">
        <v>12889</v>
      </c>
      <c r="AE868" t="s">
        <v>12890</v>
      </c>
      <c r="AH868" t="s">
        <v>12891</v>
      </c>
      <c r="AJ868" t="s">
        <v>406</v>
      </c>
      <c r="AK868" t="s">
        <v>12892</v>
      </c>
      <c r="AL868">
        <v>1.38</v>
      </c>
      <c r="AM868">
        <v>1.2</v>
      </c>
      <c r="AN868">
        <v>0.38</v>
      </c>
      <c r="AO868" t="s">
        <v>12893</v>
      </c>
      <c r="AP868" t="s">
        <v>12894</v>
      </c>
      <c r="AQ868" t="s">
        <v>12895</v>
      </c>
      <c r="AR868" t="s">
        <v>521</v>
      </c>
      <c r="AS868" t="s">
        <v>2064</v>
      </c>
      <c r="AT868" t="s">
        <v>6075</v>
      </c>
      <c r="AU868" t="s">
        <v>1873</v>
      </c>
      <c r="AV868" t="s">
        <v>9948</v>
      </c>
      <c r="AW868" t="s">
        <v>3729</v>
      </c>
      <c r="AX868" t="s">
        <v>1365</v>
      </c>
      <c r="AY868" t="s">
        <v>150</v>
      </c>
      <c r="AZ868" t="s">
        <v>12896</v>
      </c>
      <c r="BB868">
        <v>5889.76</v>
      </c>
      <c r="BC868">
        <v>0.96</v>
      </c>
      <c r="BD868">
        <v>0.95</v>
      </c>
      <c r="BE868">
        <v>0.98</v>
      </c>
      <c r="BF868">
        <v>0.93</v>
      </c>
      <c r="BG868" t="s">
        <v>12897</v>
      </c>
      <c r="BH868" t="s">
        <v>12898</v>
      </c>
      <c r="BI868" t="s">
        <v>12896</v>
      </c>
      <c r="BJ868" t="s">
        <v>101</v>
      </c>
      <c r="BK868" t="s">
        <v>12899</v>
      </c>
      <c r="BL868" t="s">
        <v>12900</v>
      </c>
      <c r="BM868" t="s">
        <v>12901</v>
      </c>
      <c r="BN868" t="s">
        <v>4063</v>
      </c>
    </row>
    <row r="869" spans="1:66" x14ac:dyDescent="0.25">
      <c r="A869" t="str">
        <f>HYPERLINK("https://elite.finviz.com/quote.ashx?t=AXP&amp;ty=c&amp;p=d&amp;b=1", "AXP")</f>
        <v>AXP</v>
      </c>
      <c r="B869">
        <v>7</v>
      </c>
      <c r="C869">
        <v>138.38</v>
      </c>
      <c r="D869">
        <v>66.48</v>
      </c>
      <c r="E869" t="s">
        <v>12902</v>
      </c>
      <c r="F869" t="s">
        <v>1759</v>
      </c>
      <c r="G869" t="s">
        <v>550</v>
      </c>
      <c r="H869" t="s">
        <v>3744</v>
      </c>
      <c r="I869" t="s">
        <v>70</v>
      </c>
      <c r="J869" t="s">
        <v>71</v>
      </c>
      <c r="K869">
        <v>236526.28</v>
      </c>
      <c r="L869">
        <v>339.89</v>
      </c>
      <c r="M869" t="s">
        <v>1547</v>
      </c>
      <c r="N869">
        <v>246981</v>
      </c>
      <c r="O869">
        <v>23.86</v>
      </c>
      <c r="P869">
        <v>19.649999999999999</v>
      </c>
      <c r="Q869">
        <v>2.06</v>
      </c>
      <c r="R869">
        <v>3.08</v>
      </c>
      <c r="S869">
        <v>7.32</v>
      </c>
      <c r="T869" t="s">
        <v>4759</v>
      </c>
      <c r="U869">
        <v>3.04</v>
      </c>
      <c r="V869" t="s">
        <v>5056</v>
      </c>
      <c r="W869" t="s">
        <v>1001</v>
      </c>
      <c r="X869" t="s">
        <v>2733</v>
      </c>
      <c r="Y869" t="s">
        <v>2517</v>
      </c>
      <c r="Z869" t="s">
        <v>10803</v>
      </c>
      <c r="AA869">
        <v>14.24</v>
      </c>
      <c r="AB869" t="s">
        <v>845</v>
      </c>
      <c r="AC869" t="s">
        <v>3003</v>
      </c>
      <c r="AD869" t="s">
        <v>5446</v>
      </c>
      <c r="AE869" t="s">
        <v>8727</v>
      </c>
      <c r="AF869" t="s">
        <v>7913</v>
      </c>
      <c r="AG869" t="s">
        <v>4248</v>
      </c>
      <c r="AH869" t="s">
        <v>4128</v>
      </c>
      <c r="AI869" t="s">
        <v>3450</v>
      </c>
      <c r="AJ869" t="s">
        <v>1442</v>
      </c>
      <c r="AK869" t="s">
        <v>12903</v>
      </c>
      <c r="AL869">
        <v>7.52</v>
      </c>
      <c r="AM869">
        <v>7.52</v>
      </c>
      <c r="AN869">
        <v>1.85</v>
      </c>
      <c r="AO869" t="s">
        <v>12904</v>
      </c>
      <c r="AP869" t="s">
        <v>9140</v>
      </c>
      <c r="AQ869" t="s">
        <v>6278</v>
      </c>
      <c r="AR869" t="s">
        <v>6692</v>
      </c>
      <c r="AS869" t="s">
        <v>4256</v>
      </c>
      <c r="AT869" t="s">
        <v>6003</v>
      </c>
      <c r="AU869" t="s">
        <v>4819</v>
      </c>
      <c r="AV869" t="s">
        <v>73</v>
      </c>
      <c r="AW869" t="s">
        <v>4516</v>
      </c>
      <c r="AX869" t="s">
        <v>6722</v>
      </c>
      <c r="AY869" t="s">
        <v>4516</v>
      </c>
      <c r="AZ869" t="s">
        <v>6213</v>
      </c>
      <c r="BA869">
        <v>2.5299999999999998</v>
      </c>
      <c r="BB869">
        <v>2671.91</v>
      </c>
      <c r="BC869">
        <v>0.33</v>
      </c>
      <c r="BD869">
        <v>340.18</v>
      </c>
      <c r="BE869">
        <v>343.33</v>
      </c>
      <c r="BF869">
        <v>339.02</v>
      </c>
      <c r="BG869" t="s">
        <v>12905</v>
      </c>
      <c r="BH869" t="s">
        <v>4516</v>
      </c>
      <c r="BI869" t="s">
        <v>12906</v>
      </c>
      <c r="BJ869" t="s">
        <v>101</v>
      </c>
      <c r="BK869" t="s">
        <v>6420</v>
      </c>
      <c r="BL869" t="s">
        <v>4451</v>
      </c>
      <c r="BM869" t="s">
        <v>6704</v>
      </c>
      <c r="BN869" t="s">
        <v>4063</v>
      </c>
    </row>
    <row r="870" spans="1:66" x14ac:dyDescent="0.25">
      <c r="A870" t="str">
        <f>HYPERLINK("https://elite.finviz.com/quote.ashx?t=RTX&amp;ty=c&amp;p=d&amp;b=1", "RTX")</f>
        <v>RTX</v>
      </c>
      <c r="B870">
        <v>7</v>
      </c>
      <c r="C870">
        <v>138.38</v>
      </c>
      <c r="D870">
        <v>66.569999999999993</v>
      </c>
      <c r="E870" t="s">
        <v>12907</v>
      </c>
      <c r="F870" t="s">
        <v>195</v>
      </c>
      <c r="G870" t="s">
        <v>260</v>
      </c>
      <c r="H870" t="s">
        <v>4779</v>
      </c>
      <c r="I870" t="s">
        <v>70</v>
      </c>
      <c r="J870" t="s">
        <v>71</v>
      </c>
      <c r="K870">
        <v>219065.77</v>
      </c>
      <c r="L870">
        <v>163.66</v>
      </c>
      <c r="M870" t="s">
        <v>1129</v>
      </c>
      <c r="N870">
        <v>1069521</v>
      </c>
      <c r="O870">
        <v>35.96</v>
      </c>
      <c r="P870">
        <v>24.64</v>
      </c>
      <c r="Q870">
        <v>3.92</v>
      </c>
      <c r="R870">
        <v>2.62</v>
      </c>
      <c r="S870">
        <v>3.51</v>
      </c>
      <c r="T870" t="s">
        <v>6990</v>
      </c>
      <c r="U870">
        <v>2.62</v>
      </c>
      <c r="V870" t="s">
        <v>3046</v>
      </c>
      <c r="W870" t="s">
        <v>6674</v>
      </c>
      <c r="X870" t="s">
        <v>5847</v>
      </c>
      <c r="Y870" t="s">
        <v>5356</v>
      </c>
      <c r="Z870" t="s">
        <v>7833</v>
      </c>
      <c r="AA870">
        <v>4.55</v>
      </c>
      <c r="AB870" t="s">
        <v>330</v>
      </c>
      <c r="AC870" t="s">
        <v>12908</v>
      </c>
      <c r="AD870" t="s">
        <v>12383</v>
      </c>
      <c r="AE870" t="s">
        <v>9110</v>
      </c>
      <c r="AF870" t="s">
        <v>4416</v>
      </c>
      <c r="AG870" t="s">
        <v>563</v>
      </c>
      <c r="AH870" t="s">
        <v>10114</v>
      </c>
      <c r="AI870" t="s">
        <v>1282</v>
      </c>
      <c r="AJ870" t="s">
        <v>2252</v>
      </c>
      <c r="AK870" t="s">
        <v>5764</v>
      </c>
      <c r="AL870">
        <v>1.01</v>
      </c>
      <c r="AM870">
        <v>0.75</v>
      </c>
      <c r="AN870">
        <v>0.7</v>
      </c>
      <c r="AO870" t="s">
        <v>5719</v>
      </c>
      <c r="AP870" t="s">
        <v>10114</v>
      </c>
      <c r="AQ870" t="s">
        <v>3745</v>
      </c>
      <c r="AR870" t="s">
        <v>907</v>
      </c>
      <c r="AS870" t="s">
        <v>9136</v>
      </c>
      <c r="AT870" t="s">
        <v>2700</v>
      </c>
      <c r="AU870" t="s">
        <v>3020</v>
      </c>
      <c r="AV870" t="s">
        <v>3667</v>
      </c>
      <c r="AW870" t="s">
        <v>6719</v>
      </c>
      <c r="AX870" t="s">
        <v>1360</v>
      </c>
      <c r="AY870" t="s">
        <v>6719</v>
      </c>
      <c r="AZ870" t="s">
        <v>2444</v>
      </c>
      <c r="BA870">
        <v>1.88</v>
      </c>
      <c r="BB870">
        <v>4408.9399999999996</v>
      </c>
      <c r="BC870">
        <v>0.85</v>
      </c>
      <c r="BD870">
        <v>160.51</v>
      </c>
      <c r="BE870">
        <v>165.35</v>
      </c>
      <c r="BF870">
        <v>161.69</v>
      </c>
      <c r="BG870" t="s">
        <v>12909</v>
      </c>
      <c r="BH870" t="s">
        <v>6719</v>
      </c>
      <c r="BI870" t="s">
        <v>12910</v>
      </c>
      <c r="BJ870" t="s">
        <v>101</v>
      </c>
      <c r="BK870" t="s">
        <v>6598</v>
      </c>
      <c r="BL870" t="s">
        <v>361</v>
      </c>
      <c r="BM870" t="s">
        <v>10948</v>
      </c>
      <c r="BN870" t="s">
        <v>4063</v>
      </c>
    </row>
    <row r="871" spans="1:66" x14ac:dyDescent="0.25">
      <c r="A871" t="str">
        <f>HYPERLINK("https://elite.finviz.com/quote.ashx?t=GS&amp;ty=c&amp;p=d&amp;b=1", "GS")</f>
        <v>GS</v>
      </c>
      <c r="B871">
        <v>7</v>
      </c>
      <c r="C871">
        <v>138.38</v>
      </c>
      <c r="D871">
        <v>66.61</v>
      </c>
      <c r="E871" t="s">
        <v>12911</v>
      </c>
      <c r="F871" t="s">
        <v>1759</v>
      </c>
      <c r="G871" t="s">
        <v>550</v>
      </c>
      <c r="H871" t="s">
        <v>551</v>
      </c>
      <c r="I871" t="s">
        <v>70</v>
      </c>
      <c r="J871" t="s">
        <v>71</v>
      </c>
      <c r="K871">
        <v>242531.05</v>
      </c>
      <c r="L871">
        <v>801.17</v>
      </c>
      <c r="M871" t="s">
        <v>747</v>
      </c>
      <c r="N871">
        <v>428078</v>
      </c>
      <c r="O871">
        <v>17.649999999999999</v>
      </c>
      <c r="P871">
        <v>15.03</v>
      </c>
      <c r="Q871">
        <v>1.27</v>
      </c>
      <c r="R871">
        <v>1.93</v>
      </c>
      <c r="S871">
        <v>2.23</v>
      </c>
      <c r="T871" t="s">
        <v>5084</v>
      </c>
      <c r="U871">
        <v>13</v>
      </c>
      <c r="V871" t="s">
        <v>4882</v>
      </c>
      <c r="W871" t="s">
        <v>9570</v>
      </c>
      <c r="X871" t="s">
        <v>9039</v>
      </c>
      <c r="Y871" t="s">
        <v>9461</v>
      </c>
      <c r="Z871" t="s">
        <v>2818</v>
      </c>
      <c r="AA871">
        <v>45.38</v>
      </c>
      <c r="AB871" t="s">
        <v>12912</v>
      </c>
      <c r="AC871" t="s">
        <v>6413</v>
      </c>
      <c r="AD871" t="s">
        <v>6779</v>
      </c>
      <c r="AE871" t="s">
        <v>2822</v>
      </c>
      <c r="AF871" t="s">
        <v>2334</v>
      </c>
      <c r="AG871" t="s">
        <v>12156</v>
      </c>
      <c r="AH871" t="s">
        <v>4699</v>
      </c>
      <c r="AI871" t="s">
        <v>2516</v>
      </c>
      <c r="AJ871" t="s">
        <v>7272</v>
      </c>
      <c r="AK871" t="s">
        <v>12913</v>
      </c>
      <c r="AL871">
        <v>1.21</v>
      </c>
      <c r="AN871">
        <v>5.33</v>
      </c>
      <c r="AP871" t="s">
        <v>2883</v>
      </c>
      <c r="AQ871" t="s">
        <v>11337</v>
      </c>
      <c r="AR871" t="s">
        <v>617</v>
      </c>
      <c r="AS871" t="s">
        <v>2202</v>
      </c>
      <c r="AT871" t="s">
        <v>6770</v>
      </c>
      <c r="AU871" t="s">
        <v>5150</v>
      </c>
      <c r="AV871" t="s">
        <v>12914</v>
      </c>
      <c r="AW871" t="s">
        <v>7742</v>
      </c>
      <c r="AX871" t="s">
        <v>9497</v>
      </c>
      <c r="AY871" t="s">
        <v>7742</v>
      </c>
      <c r="AZ871" t="s">
        <v>12915</v>
      </c>
      <c r="BA871">
        <v>2.37</v>
      </c>
      <c r="BB871">
        <v>1962.66</v>
      </c>
      <c r="BC871">
        <v>0.77</v>
      </c>
      <c r="BD871">
        <v>794.76</v>
      </c>
      <c r="BE871">
        <v>809.5</v>
      </c>
      <c r="BF871">
        <v>795.6</v>
      </c>
      <c r="BG871" t="s">
        <v>12916</v>
      </c>
      <c r="BH871" t="s">
        <v>7742</v>
      </c>
      <c r="BI871" t="s">
        <v>12917</v>
      </c>
      <c r="BJ871" t="s">
        <v>101</v>
      </c>
      <c r="BK871" t="s">
        <v>3797</v>
      </c>
      <c r="BL871" t="s">
        <v>11489</v>
      </c>
      <c r="BM871" t="s">
        <v>12918</v>
      </c>
      <c r="BN871" t="s">
        <v>4063</v>
      </c>
    </row>
    <row r="872" spans="1:66" x14ac:dyDescent="0.25">
      <c r="A872" t="str">
        <f>HYPERLINK("https://elite.finviz.com/quote.ashx?t=XOM&amp;ty=c&amp;p=d&amp;b=1", "XOM")</f>
        <v>XOM</v>
      </c>
      <c r="B872">
        <v>7</v>
      </c>
      <c r="C872">
        <v>138.38</v>
      </c>
      <c r="D872">
        <v>66.67</v>
      </c>
      <c r="E872" t="s">
        <v>12919</v>
      </c>
      <c r="F872" t="s">
        <v>195</v>
      </c>
      <c r="G872" t="s">
        <v>1048</v>
      </c>
      <c r="H872" t="s">
        <v>10235</v>
      </c>
      <c r="I872" t="s">
        <v>70</v>
      </c>
      <c r="J872" t="s">
        <v>71</v>
      </c>
      <c r="K872">
        <v>501209.07</v>
      </c>
      <c r="L872">
        <v>117.57</v>
      </c>
      <c r="M872" t="s">
        <v>6493</v>
      </c>
      <c r="N872">
        <v>5349354</v>
      </c>
      <c r="O872">
        <v>16.670000000000002</v>
      </c>
      <c r="P872">
        <v>15.72</v>
      </c>
      <c r="Q872">
        <v>2.92</v>
      </c>
      <c r="R872">
        <v>1.53</v>
      </c>
      <c r="S872">
        <v>1.91</v>
      </c>
      <c r="T872" t="s">
        <v>4495</v>
      </c>
      <c r="U872">
        <v>3.96</v>
      </c>
      <c r="V872" t="s">
        <v>3046</v>
      </c>
      <c r="W872" t="s">
        <v>3520</v>
      </c>
      <c r="X872" t="s">
        <v>203</v>
      </c>
      <c r="Y872" t="s">
        <v>1438</v>
      </c>
      <c r="Z872" t="s">
        <v>7837</v>
      </c>
      <c r="AA872">
        <v>7.05</v>
      </c>
      <c r="AB872" t="s">
        <v>973</v>
      </c>
      <c r="AC872" t="s">
        <v>4904</v>
      </c>
      <c r="AD872" t="s">
        <v>1772</v>
      </c>
      <c r="AE872" t="s">
        <v>8380</v>
      </c>
      <c r="AF872" t="s">
        <v>11336</v>
      </c>
      <c r="AG872" t="s">
        <v>2581</v>
      </c>
      <c r="AH872" t="s">
        <v>3838</v>
      </c>
      <c r="AI872" t="s">
        <v>4269</v>
      </c>
      <c r="AJ872" t="s">
        <v>3752</v>
      </c>
      <c r="AK872" t="s">
        <v>12920</v>
      </c>
      <c r="AL872">
        <v>1.25</v>
      </c>
      <c r="AM872">
        <v>0.88</v>
      </c>
      <c r="AN872">
        <v>0.15</v>
      </c>
      <c r="AO872" t="s">
        <v>5050</v>
      </c>
      <c r="AP872" t="s">
        <v>6293</v>
      </c>
      <c r="AQ872" t="s">
        <v>2748</v>
      </c>
      <c r="AR872" t="s">
        <v>3976</v>
      </c>
      <c r="AS872" t="s">
        <v>4275</v>
      </c>
      <c r="AT872" t="s">
        <v>4395</v>
      </c>
      <c r="AU872" t="s">
        <v>464</v>
      </c>
      <c r="AV872" t="s">
        <v>3746</v>
      </c>
      <c r="AW872" t="s">
        <v>3551</v>
      </c>
      <c r="AX872" t="s">
        <v>3647</v>
      </c>
      <c r="AY872" t="s">
        <v>12921</v>
      </c>
      <c r="AZ872" t="s">
        <v>12922</v>
      </c>
      <c r="BA872">
        <v>2.17</v>
      </c>
      <c r="BB872">
        <v>15643.16</v>
      </c>
      <c r="BC872">
        <v>1.2</v>
      </c>
      <c r="BD872">
        <v>115.59</v>
      </c>
      <c r="BE872">
        <v>118.36</v>
      </c>
      <c r="BF872">
        <v>115.92</v>
      </c>
      <c r="BG872" t="s">
        <v>12923</v>
      </c>
      <c r="BH872" t="s">
        <v>12921</v>
      </c>
      <c r="BI872" t="s">
        <v>12924</v>
      </c>
      <c r="BJ872" t="s">
        <v>101</v>
      </c>
      <c r="BK872" t="s">
        <v>1283</v>
      </c>
      <c r="BL872" t="s">
        <v>4703</v>
      </c>
      <c r="BM872" t="s">
        <v>3112</v>
      </c>
      <c r="BN872" t="s">
        <v>4063</v>
      </c>
    </row>
    <row r="873" spans="1:66" x14ac:dyDescent="0.25">
      <c r="A873" t="str">
        <f>HYPERLINK("https://elite.finviz.com/quote.ashx?t=CNC&amp;ty=c&amp;p=d&amp;b=1", "CNC")</f>
        <v>CNC</v>
      </c>
      <c r="B873">
        <v>7</v>
      </c>
      <c r="C873">
        <v>138.38</v>
      </c>
      <c r="D873">
        <v>66.67</v>
      </c>
      <c r="E873" t="s">
        <v>12925</v>
      </c>
      <c r="F873" t="s">
        <v>195</v>
      </c>
      <c r="G873" t="s">
        <v>428</v>
      </c>
      <c r="H873" t="s">
        <v>7264</v>
      </c>
      <c r="I873" t="s">
        <v>70</v>
      </c>
      <c r="J873" t="s">
        <v>71</v>
      </c>
      <c r="K873">
        <v>17096.34</v>
      </c>
      <c r="L873">
        <v>34.81</v>
      </c>
      <c r="M873" t="s">
        <v>4552</v>
      </c>
      <c r="N873">
        <v>2937399</v>
      </c>
      <c r="O873">
        <v>8.61</v>
      </c>
      <c r="P873">
        <v>11.07</v>
      </c>
      <c r="R873">
        <v>0.1</v>
      </c>
      <c r="S873">
        <v>0.62</v>
      </c>
      <c r="Z873" t="s">
        <v>164</v>
      </c>
      <c r="AA873">
        <v>4.04</v>
      </c>
      <c r="AB873" t="s">
        <v>12926</v>
      </c>
      <c r="AC873" t="s">
        <v>1625</v>
      </c>
      <c r="AD873" t="s">
        <v>3838</v>
      </c>
      <c r="AE873" t="s">
        <v>1794</v>
      </c>
      <c r="AF873" t="s">
        <v>7567</v>
      </c>
      <c r="AG873" t="s">
        <v>5473</v>
      </c>
      <c r="AH873" t="s">
        <v>12927</v>
      </c>
      <c r="AI873" t="s">
        <v>12928</v>
      </c>
      <c r="AJ873" t="s">
        <v>3112</v>
      </c>
      <c r="AK873" t="s">
        <v>12929</v>
      </c>
      <c r="AL873">
        <v>1.1000000000000001</v>
      </c>
      <c r="AN873">
        <v>0.64</v>
      </c>
      <c r="AP873" t="s">
        <v>4902</v>
      </c>
      <c r="AQ873" t="s">
        <v>1488</v>
      </c>
      <c r="AR873" t="s">
        <v>2494</v>
      </c>
      <c r="AS873" t="s">
        <v>2108</v>
      </c>
      <c r="AT873" t="s">
        <v>2499</v>
      </c>
      <c r="AU873" t="s">
        <v>12631</v>
      </c>
      <c r="AV873" t="s">
        <v>12930</v>
      </c>
      <c r="AW873" t="s">
        <v>9600</v>
      </c>
      <c r="AX873" t="s">
        <v>12931</v>
      </c>
      <c r="AY873" t="s">
        <v>12932</v>
      </c>
      <c r="AZ873" t="s">
        <v>12931</v>
      </c>
      <c r="BA873">
        <v>2.5499999999999998</v>
      </c>
      <c r="BB873">
        <v>17968.05</v>
      </c>
      <c r="BC873">
        <v>0.57999999999999996</v>
      </c>
      <c r="BD873">
        <v>34.39</v>
      </c>
      <c r="BE873">
        <v>35.119999999999997</v>
      </c>
      <c r="BF873">
        <v>34.47</v>
      </c>
      <c r="BG873" t="s">
        <v>12933</v>
      </c>
      <c r="BH873" t="s">
        <v>12934</v>
      </c>
      <c r="BI873" t="s">
        <v>12935</v>
      </c>
      <c r="BJ873" t="s">
        <v>101</v>
      </c>
      <c r="BK873" t="s">
        <v>10439</v>
      </c>
      <c r="BL873" t="s">
        <v>9988</v>
      </c>
      <c r="BM873" t="s">
        <v>12936</v>
      </c>
      <c r="BN873" t="s">
        <v>4063</v>
      </c>
    </row>
    <row r="874" spans="1:66" x14ac:dyDescent="0.25">
      <c r="A874" t="str">
        <f>HYPERLINK("https://elite.finviz.com/quote.ashx?t=TSLA&amp;ty=c&amp;p=d&amp;b=1", "TSLA")</f>
        <v>TSLA</v>
      </c>
      <c r="B874">
        <v>7</v>
      </c>
      <c r="C874">
        <v>138.38</v>
      </c>
      <c r="D874">
        <v>66.739999999999995</v>
      </c>
      <c r="E874" t="s">
        <v>12937</v>
      </c>
      <c r="F874" t="s">
        <v>319</v>
      </c>
      <c r="G874" t="s">
        <v>813</v>
      </c>
      <c r="H874" t="s">
        <v>890</v>
      </c>
      <c r="I874" t="s">
        <v>70</v>
      </c>
      <c r="J874" t="s">
        <v>321</v>
      </c>
      <c r="K874">
        <v>1423064.83</v>
      </c>
      <c r="L874">
        <v>427.97</v>
      </c>
      <c r="M874" t="s">
        <v>344</v>
      </c>
      <c r="N874">
        <v>38485935</v>
      </c>
      <c r="O874">
        <v>247.84</v>
      </c>
      <c r="P874">
        <v>171.48</v>
      </c>
      <c r="Q874">
        <v>17.95</v>
      </c>
      <c r="R874">
        <v>15.35</v>
      </c>
      <c r="S874">
        <v>17.850000000000001</v>
      </c>
      <c r="Z874" t="s">
        <v>164</v>
      </c>
      <c r="AA874">
        <v>1.73</v>
      </c>
      <c r="AB874" t="s">
        <v>4512</v>
      </c>
      <c r="AD874" t="s">
        <v>6689</v>
      </c>
      <c r="AE874" t="s">
        <v>81</v>
      </c>
      <c r="AF874" t="s">
        <v>6903</v>
      </c>
      <c r="AG874" t="s">
        <v>3778</v>
      </c>
      <c r="AH874" t="s">
        <v>9594</v>
      </c>
      <c r="AI874" t="s">
        <v>3047</v>
      </c>
      <c r="AJ874" t="s">
        <v>2646</v>
      </c>
      <c r="AK874" t="s">
        <v>12938</v>
      </c>
      <c r="AL874">
        <v>2.04</v>
      </c>
      <c r="AM874">
        <v>1.55</v>
      </c>
      <c r="AN874">
        <v>0.17</v>
      </c>
      <c r="AO874" t="s">
        <v>5003</v>
      </c>
      <c r="AP874" t="s">
        <v>216</v>
      </c>
      <c r="AQ874" t="s">
        <v>9186</v>
      </c>
      <c r="AR874" t="s">
        <v>6121</v>
      </c>
      <c r="AS874" t="s">
        <v>2108</v>
      </c>
      <c r="AT874" t="s">
        <v>3505</v>
      </c>
      <c r="AU874" t="s">
        <v>1300</v>
      </c>
      <c r="AV874" t="s">
        <v>9144</v>
      </c>
      <c r="AW874" t="s">
        <v>759</v>
      </c>
      <c r="AX874" t="s">
        <v>3452</v>
      </c>
      <c r="AY874" t="s">
        <v>12939</v>
      </c>
      <c r="AZ874" t="s">
        <v>12940</v>
      </c>
      <c r="BA874">
        <v>2.5499999999999998</v>
      </c>
      <c r="BB874">
        <v>89454.68</v>
      </c>
      <c r="BC874">
        <v>1.52</v>
      </c>
      <c r="BD874">
        <v>423.39</v>
      </c>
      <c r="BE874">
        <v>434.6</v>
      </c>
      <c r="BF874">
        <v>421.1</v>
      </c>
      <c r="BG874" t="s">
        <v>12941</v>
      </c>
      <c r="BH874" t="s">
        <v>12939</v>
      </c>
      <c r="BI874" t="s">
        <v>12942</v>
      </c>
      <c r="BJ874" t="s">
        <v>101</v>
      </c>
      <c r="BK874" t="s">
        <v>4208</v>
      </c>
      <c r="BL874" t="s">
        <v>12943</v>
      </c>
      <c r="BM874" t="s">
        <v>9739</v>
      </c>
      <c r="BN874" t="s">
        <v>4063</v>
      </c>
    </row>
    <row r="875" spans="1:66" x14ac:dyDescent="0.25">
      <c r="A875" t="str">
        <f>HYPERLINK("https://elite.finviz.com/quote.ashx?t=URG&amp;ty=c&amp;p=d&amp;b=1", "URG")</f>
        <v>URG</v>
      </c>
      <c r="B875">
        <v>7</v>
      </c>
      <c r="C875">
        <v>138.38</v>
      </c>
      <c r="D875">
        <v>66.75</v>
      </c>
      <c r="E875" t="s">
        <v>12944</v>
      </c>
      <c r="F875" t="s">
        <v>107</v>
      </c>
      <c r="G875" t="s">
        <v>1048</v>
      </c>
      <c r="H875" t="s">
        <v>1355</v>
      </c>
      <c r="I875" t="s">
        <v>70</v>
      </c>
      <c r="J875" t="s">
        <v>383</v>
      </c>
      <c r="K875">
        <v>630.1</v>
      </c>
      <c r="L875">
        <v>1.73</v>
      </c>
      <c r="M875" t="s">
        <v>2176</v>
      </c>
      <c r="N875">
        <v>2183716</v>
      </c>
      <c r="P875">
        <v>172.71</v>
      </c>
      <c r="R875">
        <v>15.96</v>
      </c>
      <c r="S875">
        <v>6.17</v>
      </c>
      <c r="AA875">
        <v>-0.17</v>
      </c>
      <c r="AB875" t="s">
        <v>12945</v>
      </c>
      <c r="AC875" t="s">
        <v>12946</v>
      </c>
      <c r="AE875" t="s">
        <v>12947</v>
      </c>
      <c r="AF875" t="s">
        <v>12948</v>
      </c>
      <c r="AG875" t="s">
        <v>458</v>
      </c>
      <c r="AH875" t="s">
        <v>12949</v>
      </c>
      <c r="AI875" t="s">
        <v>12950</v>
      </c>
      <c r="AJ875" t="s">
        <v>7455</v>
      </c>
      <c r="AK875" t="s">
        <v>12585</v>
      </c>
      <c r="AL875">
        <v>3.36</v>
      </c>
      <c r="AM875">
        <v>2.4900000000000002</v>
      </c>
      <c r="AN875">
        <v>0.02</v>
      </c>
      <c r="AO875" t="s">
        <v>12951</v>
      </c>
      <c r="AP875" t="s">
        <v>12952</v>
      </c>
      <c r="AQ875" t="s">
        <v>12953</v>
      </c>
      <c r="AR875" t="s">
        <v>5912</v>
      </c>
      <c r="AS875" t="s">
        <v>6183</v>
      </c>
      <c r="AT875" t="s">
        <v>7898</v>
      </c>
      <c r="AU875" t="s">
        <v>3297</v>
      </c>
      <c r="AV875" t="s">
        <v>2229</v>
      </c>
      <c r="AW875" t="s">
        <v>4408</v>
      </c>
      <c r="AX875" t="s">
        <v>11866</v>
      </c>
      <c r="AY875" t="s">
        <v>4408</v>
      </c>
      <c r="AZ875" t="s">
        <v>12954</v>
      </c>
      <c r="BA875">
        <v>1</v>
      </c>
      <c r="BB875">
        <v>7119.02</v>
      </c>
      <c r="BC875">
        <v>1.08</v>
      </c>
      <c r="BD875">
        <v>1.75</v>
      </c>
      <c r="BE875">
        <v>1.77</v>
      </c>
      <c r="BF875">
        <v>1.7</v>
      </c>
      <c r="BG875" t="s">
        <v>12955</v>
      </c>
      <c r="BH875" t="s">
        <v>12956</v>
      </c>
      <c r="BI875" t="s">
        <v>12957</v>
      </c>
      <c r="BJ875" t="s">
        <v>101</v>
      </c>
      <c r="BK875" t="s">
        <v>12958</v>
      </c>
      <c r="BL875" t="s">
        <v>12959</v>
      </c>
      <c r="BM875" t="s">
        <v>12960</v>
      </c>
      <c r="BN875" t="s">
        <v>4063</v>
      </c>
    </row>
    <row r="876" spans="1:66" x14ac:dyDescent="0.25">
      <c r="A876" t="str">
        <f>HYPERLINK("https://elite.finviz.com/quote.ashx?t=COGT&amp;ty=c&amp;p=d&amp;b=1", "COGT")</f>
        <v>COGT</v>
      </c>
      <c r="B876">
        <v>7</v>
      </c>
      <c r="C876">
        <v>138.38</v>
      </c>
      <c r="D876">
        <v>66.77</v>
      </c>
      <c r="E876" t="s">
        <v>12961</v>
      </c>
      <c r="F876" t="s">
        <v>67</v>
      </c>
      <c r="G876" t="s">
        <v>428</v>
      </c>
      <c r="H876" t="s">
        <v>429</v>
      </c>
      <c r="I876" t="s">
        <v>70</v>
      </c>
      <c r="J876" t="s">
        <v>321</v>
      </c>
      <c r="K876">
        <v>1934.85</v>
      </c>
      <c r="L876">
        <v>13.85</v>
      </c>
      <c r="M876" t="s">
        <v>3521</v>
      </c>
      <c r="N876">
        <v>309112</v>
      </c>
      <c r="S876">
        <v>33.49</v>
      </c>
      <c r="AA876">
        <v>-2.42</v>
      </c>
      <c r="AB876" t="s">
        <v>10421</v>
      </c>
      <c r="AC876" t="s">
        <v>2019</v>
      </c>
      <c r="AD876" t="s">
        <v>4418</v>
      </c>
      <c r="AI876" t="s">
        <v>171</v>
      </c>
      <c r="AJ876" t="s">
        <v>7605</v>
      </c>
      <c r="AK876" t="s">
        <v>7868</v>
      </c>
      <c r="AL876">
        <v>4.1900000000000004</v>
      </c>
      <c r="AM876">
        <v>4.1900000000000004</v>
      </c>
      <c r="AN876">
        <v>0.39</v>
      </c>
      <c r="AR876" t="s">
        <v>3496</v>
      </c>
      <c r="AS876" t="s">
        <v>5885</v>
      </c>
      <c r="AT876" t="s">
        <v>607</v>
      </c>
      <c r="AU876" t="s">
        <v>5096</v>
      </c>
      <c r="AV876" t="s">
        <v>1649</v>
      </c>
      <c r="AW876" t="s">
        <v>2808</v>
      </c>
      <c r="AX876" t="s">
        <v>7580</v>
      </c>
      <c r="AY876" t="s">
        <v>2808</v>
      </c>
      <c r="AZ876" t="s">
        <v>12962</v>
      </c>
      <c r="BA876">
        <v>1.5</v>
      </c>
      <c r="BB876">
        <v>2700.62</v>
      </c>
      <c r="BC876">
        <v>0.4</v>
      </c>
      <c r="BD876">
        <v>13.29</v>
      </c>
      <c r="BE876">
        <v>14.02</v>
      </c>
      <c r="BF876">
        <v>13.3</v>
      </c>
      <c r="BG876" t="s">
        <v>12963</v>
      </c>
      <c r="BH876" t="s">
        <v>12964</v>
      </c>
      <c r="BI876" t="s">
        <v>12965</v>
      </c>
      <c r="BJ876" t="s">
        <v>101</v>
      </c>
      <c r="BK876" t="s">
        <v>12966</v>
      </c>
      <c r="BL876" t="s">
        <v>12967</v>
      </c>
      <c r="BM876" t="s">
        <v>12470</v>
      </c>
      <c r="BN876" t="s">
        <v>4063</v>
      </c>
    </row>
    <row r="877" spans="1:66" x14ac:dyDescent="0.25">
      <c r="A877" t="str">
        <f>HYPERLINK("https://elite.finviz.com/quote.ashx?t=ES&amp;ty=c&amp;p=d&amp;b=1", "ES")</f>
        <v>ES</v>
      </c>
      <c r="B877">
        <v>7</v>
      </c>
      <c r="C877">
        <v>138.38</v>
      </c>
      <c r="D877">
        <v>66.819999999999993</v>
      </c>
      <c r="E877" t="s">
        <v>12968</v>
      </c>
      <c r="F877" t="s">
        <v>195</v>
      </c>
      <c r="G877" t="s">
        <v>287</v>
      </c>
      <c r="H877" t="s">
        <v>676</v>
      </c>
      <c r="I877" t="s">
        <v>70</v>
      </c>
      <c r="J877" t="s">
        <v>71</v>
      </c>
      <c r="K877">
        <v>25851.88</v>
      </c>
      <c r="L877">
        <v>69.66</v>
      </c>
      <c r="M877" t="s">
        <v>2274</v>
      </c>
      <c r="N877">
        <v>324468</v>
      </c>
      <c r="O877">
        <v>29.98</v>
      </c>
      <c r="P877">
        <v>13.94</v>
      </c>
      <c r="Q877">
        <v>6.25</v>
      </c>
      <c r="R877">
        <v>1.99</v>
      </c>
      <c r="S877">
        <v>1.65</v>
      </c>
      <c r="T877" t="s">
        <v>1449</v>
      </c>
      <c r="U877">
        <v>2.97</v>
      </c>
      <c r="V877" t="s">
        <v>4676</v>
      </c>
      <c r="W877" t="s">
        <v>2196</v>
      </c>
      <c r="X877" t="s">
        <v>2408</v>
      </c>
      <c r="Y877" t="s">
        <v>8164</v>
      </c>
      <c r="Z877" t="s">
        <v>12969</v>
      </c>
      <c r="AA877">
        <v>2.3199999999999998</v>
      </c>
      <c r="AB877" t="s">
        <v>6991</v>
      </c>
      <c r="AC877" t="s">
        <v>6123</v>
      </c>
      <c r="AD877" t="s">
        <v>1950</v>
      </c>
      <c r="AE877" t="s">
        <v>7847</v>
      </c>
      <c r="AF877" t="s">
        <v>3389</v>
      </c>
      <c r="AG877" t="s">
        <v>6674</v>
      </c>
      <c r="AH877" t="s">
        <v>1603</v>
      </c>
      <c r="AI877" t="s">
        <v>1083</v>
      </c>
      <c r="AJ877" t="s">
        <v>4538</v>
      </c>
      <c r="AK877" t="s">
        <v>12970</v>
      </c>
      <c r="AL877">
        <v>0.71</v>
      </c>
      <c r="AM877">
        <v>0.63</v>
      </c>
      <c r="AN877">
        <v>1.9</v>
      </c>
      <c r="AO877" t="s">
        <v>5845</v>
      </c>
      <c r="AP877" t="s">
        <v>5471</v>
      </c>
      <c r="AQ877" t="s">
        <v>1254</v>
      </c>
      <c r="AR877" t="s">
        <v>4125</v>
      </c>
      <c r="AS877" t="s">
        <v>6003</v>
      </c>
      <c r="AT877" t="s">
        <v>1254</v>
      </c>
      <c r="AU877" t="s">
        <v>2065</v>
      </c>
      <c r="AV877" t="s">
        <v>6206</v>
      </c>
      <c r="AW877" t="s">
        <v>5549</v>
      </c>
      <c r="AX877" t="s">
        <v>2948</v>
      </c>
      <c r="AY877" t="s">
        <v>5549</v>
      </c>
      <c r="AZ877" t="s">
        <v>12398</v>
      </c>
      <c r="BA877">
        <v>2.5</v>
      </c>
      <c r="BB877">
        <v>2591.92</v>
      </c>
      <c r="BC877">
        <v>0.44</v>
      </c>
      <c r="BD877">
        <v>68.5</v>
      </c>
      <c r="BE877">
        <v>69.680000000000007</v>
      </c>
      <c r="BF877">
        <v>68.59</v>
      </c>
      <c r="BG877" t="s">
        <v>12971</v>
      </c>
      <c r="BH877" t="s">
        <v>12972</v>
      </c>
      <c r="BI877" t="s">
        <v>12973</v>
      </c>
      <c r="BJ877" t="s">
        <v>101</v>
      </c>
      <c r="BK877" t="s">
        <v>12974</v>
      </c>
      <c r="BL877" t="s">
        <v>12975</v>
      </c>
      <c r="BM877" t="s">
        <v>372</v>
      </c>
      <c r="BN877" t="s">
        <v>4063</v>
      </c>
    </row>
    <row r="878" spans="1:66" x14ac:dyDescent="0.25">
      <c r="A878" t="str">
        <f>HYPERLINK("https://elite.finviz.com/quote.ashx?t=SRE&amp;ty=c&amp;p=d&amp;b=1", "SRE")</f>
        <v>SRE</v>
      </c>
      <c r="B878">
        <v>7</v>
      </c>
      <c r="C878">
        <v>138.38</v>
      </c>
      <c r="D878">
        <v>66.819999999999993</v>
      </c>
      <c r="E878" t="s">
        <v>12976</v>
      </c>
      <c r="F878" t="s">
        <v>195</v>
      </c>
      <c r="G878" t="s">
        <v>287</v>
      </c>
      <c r="H878" t="s">
        <v>3479</v>
      </c>
      <c r="I878" t="s">
        <v>70</v>
      </c>
      <c r="J878" t="s">
        <v>71</v>
      </c>
      <c r="K878">
        <v>57084.81</v>
      </c>
      <c r="L878">
        <v>87.49</v>
      </c>
      <c r="M878" t="s">
        <v>5166</v>
      </c>
      <c r="N878">
        <v>482893</v>
      </c>
      <c r="O878">
        <v>21.19</v>
      </c>
      <c r="P878">
        <v>17.5</v>
      </c>
      <c r="Q878">
        <v>3.74</v>
      </c>
      <c r="R878">
        <v>4.33</v>
      </c>
      <c r="S878">
        <v>1.85</v>
      </c>
      <c r="T878" t="s">
        <v>2624</v>
      </c>
      <c r="U878">
        <v>2.5299999999999998</v>
      </c>
      <c r="V878" t="s">
        <v>700</v>
      </c>
      <c r="W878" t="s">
        <v>5331</v>
      </c>
      <c r="X878" t="s">
        <v>5164</v>
      </c>
      <c r="Y878" t="s">
        <v>5620</v>
      </c>
      <c r="Z878" t="s">
        <v>2920</v>
      </c>
      <c r="AA878">
        <v>4.13</v>
      </c>
      <c r="AB878" t="s">
        <v>12977</v>
      </c>
      <c r="AC878" t="s">
        <v>4395</v>
      </c>
      <c r="AD878" t="s">
        <v>7118</v>
      </c>
      <c r="AE878" t="s">
        <v>8228</v>
      </c>
      <c r="AF878" t="s">
        <v>8425</v>
      </c>
      <c r="AG878" t="s">
        <v>1453</v>
      </c>
      <c r="AH878" t="s">
        <v>171</v>
      </c>
      <c r="AI878" t="s">
        <v>6226</v>
      </c>
      <c r="AJ878" t="s">
        <v>7300</v>
      </c>
      <c r="AK878" t="s">
        <v>4883</v>
      </c>
      <c r="AL878">
        <v>0.48</v>
      </c>
      <c r="AM878">
        <v>0.41</v>
      </c>
      <c r="AN878">
        <v>1.22</v>
      </c>
      <c r="AO878" t="s">
        <v>12978</v>
      </c>
      <c r="AP878" t="s">
        <v>8005</v>
      </c>
      <c r="AQ878" t="s">
        <v>4832</v>
      </c>
      <c r="AR878" t="s">
        <v>2202</v>
      </c>
      <c r="AS878" t="s">
        <v>1129</v>
      </c>
      <c r="AT878" t="s">
        <v>6527</v>
      </c>
      <c r="AU878" t="s">
        <v>11336</v>
      </c>
      <c r="AV878" t="s">
        <v>1675</v>
      </c>
      <c r="AW878" t="s">
        <v>2906</v>
      </c>
      <c r="AX878" t="s">
        <v>6830</v>
      </c>
      <c r="AY878" t="s">
        <v>9998</v>
      </c>
      <c r="AZ878" t="s">
        <v>1724</v>
      </c>
      <c r="BA878">
        <v>2.46</v>
      </c>
      <c r="BB878">
        <v>3875.69</v>
      </c>
      <c r="BC878">
        <v>0.44</v>
      </c>
      <c r="BD878">
        <v>86.49</v>
      </c>
      <c r="BE878">
        <v>87.57</v>
      </c>
      <c r="BF878">
        <v>86.51</v>
      </c>
      <c r="BG878" t="s">
        <v>12979</v>
      </c>
      <c r="BH878" t="s">
        <v>9998</v>
      </c>
      <c r="BI878" t="s">
        <v>12980</v>
      </c>
      <c r="BJ878" t="s">
        <v>101</v>
      </c>
      <c r="BK878" t="s">
        <v>11384</v>
      </c>
      <c r="BL878" t="s">
        <v>3034</v>
      </c>
      <c r="BM878" t="s">
        <v>2580</v>
      </c>
      <c r="BN878" t="s">
        <v>4063</v>
      </c>
    </row>
    <row r="879" spans="1:66" x14ac:dyDescent="0.25">
      <c r="A879" t="str">
        <f>HYPERLINK("https://elite.finviz.com/quote.ashx?t=MRVL&amp;ty=c&amp;p=d&amp;b=1", "MRVL")</f>
        <v>MRVL</v>
      </c>
      <c r="B879">
        <v>7</v>
      </c>
      <c r="C879">
        <v>138.38</v>
      </c>
      <c r="D879">
        <v>66.97</v>
      </c>
      <c r="E879" t="s">
        <v>12981</v>
      </c>
      <c r="F879" t="s">
        <v>2731</v>
      </c>
      <c r="G879" t="s">
        <v>108</v>
      </c>
      <c r="H879" t="s">
        <v>1808</v>
      </c>
      <c r="I879" t="s">
        <v>70</v>
      </c>
      <c r="J879" t="s">
        <v>321</v>
      </c>
      <c r="K879">
        <v>70657.72</v>
      </c>
      <c r="L879">
        <v>81.96</v>
      </c>
      <c r="M879" t="s">
        <v>1356</v>
      </c>
      <c r="N879">
        <v>9816659</v>
      </c>
      <c r="P879">
        <v>24.37</v>
      </c>
      <c r="R879">
        <v>9.77</v>
      </c>
      <c r="S879">
        <v>5.26</v>
      </c>
      <c r="T879" t="s">
        <v>2641</v>
      </c>
      <c r="U879">
        <v>0.24</v>
      </c>
      <c r="V879" t="s">
        <v>5056</v>
      </c>
      <c r="W879" t="s">
        <v>164</v>
      </c>
      <c r="X879" t="s">
        <v>164</v>
      </c>
      <c r="Y879" t="s">
        <v>164</v>
      </c>
      <c r="AA879">
        <v>-0.13</v>
      </c>
      <c r="AB879" t="s">
        <v>12982</v>
      </c>
      <c r="AD879" t="s">
        <v>12983</v>
      </c>
      <c r="AE879" t="s">
        <v>6285</v>
      </c>
      <c r="AF879" t="s">
        <v>4193</v>
      </c>
      <c r="AG879" t="s">
        <v>2589</v>
      </c>
      <c r="AH879" t="s">
        <v>12984</v>
      </c>
      <c r="AI879" t="s">
        <v>148</v>
      </c>
      <c r="AJ879" t="s">
        <v>2638</v>
      </c>
      <c r="AK879" t="s">
        <v>12985</v>
      </c>
      <c r="AL879">
        <v>1.88</v>
      </c>
      <c r="AM879">
        <v>1.44</v>
      </c>
      <c r="AN879">
        <v>0.38</v>
      </c>
      <c r="AO879" t="s">
        <v>11705</v>
      </c>
      <c r="AP879" t="s">
        <v>1826</v>
      </c>
      <c r="AQ879" t="s">
        <v>3937</v>
      </c>
      <c r="AR879" t="s">
        <v>3036</v>
      </c>
      <c r="AS879" t="s">
        <v>5467</v>
      </c>
      <c r="AT879" t="s">
        <v>2122</v>
      </c>
      <c r="AU879" t="s">
        <v>1206</v>
      </c>
      <c r="AV879" t="s">
        <v>3842</v>
      </c>
      <c r="AW879" t="s">
        <v>4645</v>
      </c>
      <c r="AX879" t="s">
        <v>12986</v>
      </c>
      <c r="AY879" t="s">
        <v>12987</v>
      </c>
      <c r="AZ879" t="s">
        <v>12988</v>
      </c>
      <c r="BA879">
        <v>1.44</v>
      </c>
      <c r="BB879">
        <v>20972.67</v>
      </c>
      <c r="BC879">
        <v>1.65</v>
      </c>
      <c r="BD879">
        <v>83.81</v>
      </c>
      <c r="BE879">
        <v>83.87</v>
      </c>
      <c r="BF879">
        <v>81.540000000000006</v>
      </c>
      <c r="BG879" t="s">
        <v>12989</v>
      </c>
      <c r="BH879" t="s">
        <v>12987</v>
      </c>
      <c r="BI879" t="s">
        <v>12990</v>
      </c>
      <c r="BJ879" t="s">
        <v>101</v>
      </c>
      <c r="BK879" t="s">
        <v>7767</v>
      </c>
      <c r="BL879" t="s">
        <v>12475</v>
      </c>
      <c r="BM879" t="s">
        <v>3042</v>
      </c>
      <c r="BN879" t="s">
        <v>4063</v>
      </c>
    </row>
    <row r="880" spans="1:66" x14ac:dyDescent="0.25">
      <c r="A880" t="str">
        <f>HYPERLINK("https://elite.finviz.com/quote.ashx?t=CLNE&amp;ty=c&amp;p=d&amp;b=1", "CLNE")</f>
        <v>CLNE</v>
      </c>
      <c r="B880">
        <v>7</v>
      </c>
      <c r="C880">
        <v>138.38</v>
      </c>
      <c r="D880">
        <v>66.98</v>
      </c>
      <c r="E880" t="s">
        <v>12991</v>
      </c>
      <c r="F880" t="s">
        <v>67</v>
      </c>
      <c r="G880" t="s">
        <v>1048</v>
      </c>
      <c r="H880" t="s">
        <v>3886</v>
      </c>
      <c r="I880" t="s">
        <v>70</v>
      </c>
      <c r="J880" t="s">
        <v>321</v>
      </c>
      <c r="K880">
        <v>615.11</v>
      </c>
      <c r="L880">
        <v>2.81</v>
      </c>
      <c r="M880" t="s">
        <v>4133</v>
      </c>
      <c r="N880">
        <v>480272</v>
      </c>
      <c r="R880">
        <v>1.45</v>
      </c>
      <c r="S880">
        <v>1.04</v>
      </c>
      <c r="AA880">
        <v>-0.91</v>
      </c>
      <c r="AB880" t="s">
        <v>2293</v>
      </c>
      <c r="AD880" t="s">
        <v>7269</v>
      </c>
      <c r="AE880" t="s">
        <v>5102</v>
      </c>
      <c r="AF880" t="s">
        <v>2866</v>
      </c>
      <c r="AG880" t="s">
        <v>903</v>
      </c>
      <c r="AH880" t="s">
        <v>2580</v>
      </c>
      <c r="AI880" t="s">
        <v>1647</v>
      </c>
      <c r="AJ880" t="s">
        <v>7270</v>
      </c>
      <c r="AK880" t="s">
        <v>9894</v>
      </c>
      <c r="AL880">
        <v>2.83</v>
      </c>
      <c r="AM880">
        <v>2.5099999999999998</v>
      </c>
      <c r="AN880">
        <v>0.63</v>
      </c>
      <c r="AO880" t="s">
        <v>1159</v>
      </c>
      <c r="AP880" t="s">
        <v>557</v>
      </c>
      <c r="AQ880" t="s">
        <v>12992</v>
      </c>
      <c r="AR880" t="s">
        <v>2235</v>
      </c>
      <c r="AS880" t="s">
        <v>10226</v>
      </c>
      <c r="AT880" t="s">
        <v>5864</v>
      </c>
      <c r="AU880" t="s">
        <v>1325</v>
      </c>
      <c r="AV880" t="s">
        <v>12993</v>
      </c>
      <c r="AW880" t="s">
        <v>2694</v>
      </c>
      <c r="AX880" t="s">
        <v>3014</v>
      </c>
      <c r="AY880" t="s">
        <v>12994</v>
      </c>
      <c r="AZ880" t="s">
        <v>379</v>
      </c>
      <c r="BA880">
        <v>1.25</v>
      </c>
      <c r="BB880">
        <v>1837.01</v>
      </c>
      <c r="BC880">
        <v>0.92</v>
      </c>
      <c r="BD880">
        <v>2.65</v>
      </c>
      <c r="BE880">
        <v>2.81</v>
      </c>
      <c r="BF880">
        <v>2.65</v>
      </c>
      <c r="BG880" t="s">
        <v>12995</v>
      </c>
      <c r="BH880" t="s">
        <v>12996</v>
      </c>
      <c r="BI880" t="s">
        <v>12997</v>
      </c>
      <c r="BJ880" t="s">
        <v>101</v>
      </c>
      <c r="BK880" t="s">
        <v>12998</v>
      </c>
      <c r="BL880" t="s">
        <v>12999</v>
      </c>
      <c r="BM880" t="s">
        <v>225</v>
      </c>
      <c r="BN880" t="s">
        <v>4063</v>
      </c>
    </row>
    <row r="881" spans="1:66" x14ac:dyDescent="0.25">
      <c r="A881" t="str">
        <f>HYPERLINK("https://elite.finviz.com/quote.ashx?t=LBRT&amp;ty=c&amp;p=d&amp;b=1", "LBRT")</f>
        <v>LBRT</v>
      </c>
      <c r="B881">
        <v>7</v>
      </c>
      <c r="C881">
        <v>138.38</v>
      </c>
      <c r="D881">
        <v>67.010000000000005</v>
      </c>
      <c r="E881" t="s">
        <v>13000</v>
      </c>
      <c r="F881" t="s">
        <v>67</v>
      </c>
      <c r="G881" t="s">
        <v>1048</v>
      </c>
      <c r="H881" t="s">
        <v>8341</v>
      </c>
      <c r="I881" t="s">
        <v>70</v>
      </c>
      <c r="J881" t="s">
        <v>71</v>
      </c>
      <c r="K881">
        <v>2086.12</v>
      </c>
      <c r="L881">
        <v>12.88</v>
      </c>
      <c r="M881" t="s">
        <v>4299</v>
      </c>
      <c r="N881">
        <v>828317</v>
      </c>
      <c r="O881">
        <v>9.89</v>
      </c>
      <c r="R881">
        <v>0.51</v>
      </c>
      <c r="S881">
        <v>1.03</v>
      </c>
      <c r="T881" t="s">
        <v>2333</v>
      </c>
      <c r="U881">
        <v>0.32</v>
      </c>
      <c r="V881" t="s">
        <v>6223</v>
      </c>
      <c r="W881" t="s">
        <v>9305</v>
      </c>
      <c r="Y881" t="s">
        <v>8155</v>
      </c>
      <c r="Z881" t="s">
        <v>1847</v>
      </c>
      <c r="AA881">
        <v>1.3</v>
      </c>
      <c r="AC881" t="s">
        <v>8719</v>
      </c>
      <c r="AE881" t="s">
        <v>967</v>
      </c>
      <c r="AF881" t="s">
        <v>2851</v>
      </c>
      <c r="AG881" t="s">
        <v>9031</v>
      </c>
      <c r="AH881" t="s">
        <v>13001</v>
      </c>
      <c r="AI881" t="s">
        <v>704</v>
      </c>
      <c r="AJ881" t="s">
        <v>1547</v>
      </c>
      <c r="AK881" t="s">
        <v>13002</v>
      </c>
      <c r="AL881">
        <v>1.1599999999999999</v>
      </c>
      <c r="AM881">
        <v>0.91</v>
      </c>
      <c r="AN881">
        <v>0.25</v>
      </c>
      <c r="AO881" t="s">
        <v>4996</v>
      </c>
      <c r="AP881" t="s">
        <v>2235</v>
      </c>
      <c r="AQ881" t="s">
        <v>1452</v>
      </c>
      <c r="AR881" t="s">
        <v>464</v>
      </c>
      <c r="AS881" t="s">
        <v>10926</v>
      </c>
      <c r="AT881" t="s">
        <v>6387</v>
      </c>
      <c r="AU881" t="s">
        <v>4450</v>
      </c>
      <c r="AV881" t="s">
        <v>13003</v>
      </c>
      <c r="AW881" t="s">
        <v>5211</v>
      </c>
      <c r="AX881" t="s">
        <v>3260</v>
      </c>
      <c r="AY881" t="s">
        <v>13004</v>
      </c>
      <c r="AZ881" t="s">
        <v>11307</v>
      </c>
      <c r="BA881">
        <v>2.31</v>
      </c>
      <c r="BB881">
        <v>3938.16</v>
      </c>
      <c r="BC881">
        <v>0.74</v>
      </c>
      <c r="BD881">
        <v>12.37</v>
      </c>
      <c r="BE881">
        <v>13.05</v>
      </c>
      <c r="BF881">
        <v>12.47</v>
      </c>
      <c r="BG881" t="s">
        <v>13005</v>
      </c>
      <c r="BH881" t="s">
        <v>443</v>
      </c>
      <c r="BI881" t="s">
        <v>13006</v>
      </c>
      <c r="BJ881" t="s">
        <v>101</v>
      </c>
      <c r="BK881" t="s">
        <v>6587</v>
      </c>
      <c r="BL881" t="s">
        <v>13007</v>
      </c>
      <c r="BM881" t="s">
        <v>4058</v>
      </c>
      <c r="BN881" t="s">
        <v>4063</v>
      </c>
    </row>
    <row r="882" spans="1:66" x14ac:dyDescent="0.25">
      <c r="A882" t="str">
        <f>HYPERLINK("https://elite.finviz.com/quote.ashx?t=KMI&amp;ty=c&amp;p=d&amp;b=1", "KMI")</f>
        <v>KMI</v>
      </c>
      <c r="B882">
        <v>7</v>
      </c>
      <c r="C882">
        <v>138.38</v>
      </c>
      <c r="D882">
        <v>67.11</v>
      </c>
      <c r="E882" t="s">
        <v>13008</v>
      </c>
      <c r="F882" t="s">
        <v>195</v>
      </c>
      <c r="G882" t="s">
        <v>1048</v>
      </c>
      <c r="H882" t="s">
        <v>3915</v>
      </c>
      <c r="I882" t="s">
        <v>70</v>
      </c>
      <c r="J882" t="s">
        <v>71</v>
      </c>
      <c r="K882">
        <v>63073.67</v>
      </c>
      <c r="L882">
        <v>28.39</v>
      </c>
      <c r="M882" t="s">
        <v>7423</v>
      </c>
      <c r="N882">
        <v>3544173</v>
      </c>
      <c r="O882">
        <v>23.29</v>
      </c>
      <c r="P882">
        <v>20.88</v>
      </c>
      <c r="Q882">
        <v>2.68</v>
      </c>
      <c r="R882">
        <v>3.96</v>
      </c>
      <c r="S882">
        <v>2.0499999999999998</v>
      </c>
      <c r="T882" t="s">
        <v>2170</v>
      </c>
      <c r="U882">
        <v>1.1599999999999999</v>
      </c>
      <c r="V882" t="s">
        <v>5604</v>
      </c>
      <c r="W882" t="s">
        <v>4976</v>
      </c>
      <c r="X882" t="s">
        <v>2582</v>
      </c>
      <c r="Y882" t="s">
        <v>2838</v>
      </c>
      <c r="Z882" t="s">
        <v>13009</v>
      </c>
      <c r="AA882">
        <v>1.22</v>
      </c>
      <c r="AB882" t="s">
        <v>10254</v>
      </c>
      <c r="AC882" t="s">
        <v>3433</v>
      </c>
      <c r="AD882" t="s">
        <v>346</v>
      </c>
      <c r="AE882" t="s">
        <v>1087</v>
      </c>
      <c r="AF882" t="s">
        <v>8139</v>
      </c>
      <c r="AG882" t="s">
        <v>2743</v>
      </c>
      <c r="AH882" t="s">
        <v>1206</v>
      </c>
      <c r="AI882" t="s">
        <v>211</v>
      </c>
      <c r="AJ882" t="s">
        <v>171</v>
      </c>
      <c r="AK882" t="s">
        <v>10860</v>
      </c>
      <c r="AL882">
        <v>0.68</v>
      </c>
      <c r="AM882">
        <v>0.53</v>
      </c>
      <c r="AN882">
        <v>1.06</v>
      </c>
      <c r="AO882" t="s">
        <v>13010</v>
      </c>
      <c r="AP882" t="s">
        <v>10345</v>
      </c>
      <c r="AQ882" t="s">
        <v>8383</v>
      </c>
      <c r="AR882" t="s">
        <v>2449</v>
      </c>
      <c r="AS882" t="s">
        <v>2186</v>
      </c>
      <c r="AT882" t="s">
        <v>9651</v>
      </c>
      <c r="AU882" t="s">
        <v>5045</v>
      </c>
      <c r="AV882" t="s">
        <v>2736</v>
      </c>
      <c r="AW882" t="s">
        <v>2402</v>
      </c>
      <c r="AX882" t="s">
        <v>1775</v>
      </c>
      <c r="AY882" t="s">
        <v>2850</v>
      </c>
      <c r="AZ882" t="s">
        <v>7261</v>
      </c>
      <c r="BA882">
        <v>1.9</v>
      </c>
      <c r="BB882">
        <v>14399.05</v>
      </c>
      <c r="BC882">
        <v>0.87</v>
      </c>
      <c r="BD882">
        <v>27.93</v>
      </c>
      <c r="BE882">
        <v>28.51</v>
      </c>
      <c r="BF882">
        <v>28.03</v>
      </c>
      <c r="BG882" t="s">
        <v>13011</v>
      </c>
      <c r="BH882" t="s">
        <v>5493</v>
      </c>
      <c r="BI882" t="s">
        <v>13012</v>
      </c>
      <c r="BJ882" t="s">
        <v>101</v>
      </c>
      <c r="BK882" t="s">
        <v>1180</v>
      </c>
      <c r="BL882" t="s">
        <v>2418</v>
      </c>
      <c r="BM882" t="s">
        <v>13013</v>
      </c>
      <c r="BN882" t="s">
        <v>4063</v>
      </c>
    </row>
    <row r="883" spans="1:66" x14ac:dyDescent="0.25">
      <c r="A883" t="str">
        <f>HYPERLINK("https://elite.finviz.com/quote.ashx?t=UPWK&amp;ty=c&amp;p=d&amp;b=1", "UPWK")</f>
        <v>UPWK</v>
      </c>
      <c r="B883">
        <v>7</v>
      </c>
      <c r="C883">
        <v>138.38</v>
      </c>
      <c r="D883">
        <v>67.13</v>
      </c>
      <c r="E883" t="s">
        <v>13014</v>
      </c>
      <c r="F883" t="s">
        <v>67</v>
      </c>
      <c r="G883" t="s">
        <v>598</v>
      </c>
      <c r="H883" t="s">
        <v>599</v>
      </c>
      <c r="I883" t="s">
        <v>70</v>
      </c>
      <c r="J883" t="s">
        <v>321</v>
      </c>
      <c r="K883">
        <v>2532.13</v>
      </c>
      <c r="L883">
        <v>19.09</v>
      </c>
      <c r="M883" t="s">
        <v>7646</v>
      </c>
      <c r="N883">
        <v>250004</v>
      </c>
      <c r="O883">
        <v>10.97</v>
      </c>
      <c r="P883">
        <v>14.6</v>
      </c>
      <c r="Q883">
        <v>0.95</v>
      </c>
      <c r="R883">
        <v>3.28</v>
      </c>
      <c r="S883">
        <v>4.16</v>
      </c>
      <c r="Z883" t="s">
        <v>164</v>
      </c>
      <c r="AA883">
        <v>1.74</v>
      </c>
      <c r="AD883" t="s">
        <v>7216</v>
      </c>
      <c r="AE883" t="s">
        <v>4395</v>
      </c>
      <c r="AF883" t="s">
        <v>13015</v>
      </c>
      <c r="AG883" t="s">
        <v>13016</v>
      </c>
      <c r="AH883" t="s">
        <v>2759</v>
      </c>
      <c r="AI883" t="s">
        <v>9381</v>
      </c>
      <c r="AJ883" t="s">
        <v>501</v>
      </c>
      <c r="AK883" t="s">
        <v>13017</v>
      </c>
      <c r="AL883">
        <v>3.36</v>
      </c>
      <c r="AM883">
        <v>3.36</v>
      </c>
      <c r="AN883">
        <v>0.61</v>
      </c>
      <c r="AO883" t="s">
        <v>13018</v>
      </c>
      <c r="AP883" t="s">
        <v>5096</v>
      </c>
      <c r="AQ883" t="s">
        <v>8455</v>
      </c>
      <c r="AR883" t="s">
        <v>3958</v>
      </c>
      <c r="AS883" t="s">
        <v>5672</v>
      </c>
      <c r="AT883" t="s">
        <v>2584</v>
      </c>
      <c r="AU883" t="s">
        <v>7897</v>
      </c>
      <c r="AV883" t="s">
        <v>1534</v>
      </c>
      <c r="AW883" t="s">
        <v>972</v>
      </c>
      <c r="AX883" t="s">
        <v>4931</v>
      </c>
      <c r="AY883" t="s">
        <v>972</v>
      </c>
      <c r="AZ883" t="s">
        <v>13019</v>
      </c>
      <c r="BA883">
        <v>1.91</v>
      </c>
      <c r="BB883">
        <v>3194.21</v>
      </c>
      <c r="BC883">
        <v>0.28000000000000003</v>
      </c>
      <c r="BD883">
        <v>19.3</v>
      </c>
      <c r="BE883">
        <v>19.53</v>
      </c>
      <c r="BF883">
        <v>19.079999999999998</v>
      </c>
      <c r="BG883" t="s">
        <v>13020</v>
      </c>
      <c r="BH883" t="s">
        <v>1731</v>
      </c>
      <c r="BI883" t="s">
        <v>13021</v>
      </c>
      <c r="BJ883" t="s">
        <v>101</v>
      </c>
      <c r="BK883" t="s">
        <v>2282</v>
      </c>
      <c r="BL883" t="s">
        <v>7919</v>
      </c>
      <c r="BM883" t="s">
        <v>13022</v>
      </c>
      <c r="BN883" t="s">
        <v>4063</v>
      </c>
    </row>
    <row r="884" spans="1:66" x14ac:dyDescent="0.25">
      <c r="A884" t="str">
        <f>HYPERLINK("https://elite.finviz.com/quote.ashx?t=DRRX&amp;ty=c&amp;p=d&amp;b=1", "DRRX")</f>
        <v>DRRX</v>
      </c>
      <c r="B884">
        <v>7</v>
      </c>
      <c r="C884">
        <v>138.38</v>
      </c>
      <c r="D884">
        <v>67.28</v>
      </c>
      <c r="E884" t="s">
        <v>13023</v>
      </c>
      <c r="F884" t="s">
        <v>107</v>
      </c>
      <c r="G884" t="s">
        <v>428</v>
      </c>
      <c r="H884" t="s">
        <v>1296</v>
      </c>
      <c r="I884" t="s">
        <v>70</v>
      </c>
      <c r="J884" t="s">
        <v>321</v>
      </c>
      <c r="K884">
        <v>59.31</v>
      </c>
      <c r="L884">
        <v>1.91</v>
      </c>
      <c r="M884" t="s">
        <v>164</v>
      </c>
      <c r="N884">
        <v>0</v>
      </c>
      <c r="R884">
        <v>18.829999999999998</v>
      </c>
      <c r="S884">
        <v>17.02</v>
      </c>
      <c r="AA884">
        <v>-0.47</v>
      </c>
      <c r="AB884" t="s">
        <v>11857</v>
      </c>
      <c r="AC884" t="s">
        <v>1395</v>
      </c>
      <c r="AE884" t="s">
        <v>13024</v>
      </c>
      <c r="AF884" t="s">
        <v>13025</v>
      </c>
      <c r="AG884" t="s">
        <v>10951</v>
      </c>
      <c r="AH884" t="s">
        <v>13026</v>
      </c>
      <c r="AI884" t="s">
        <v>10066</v>
      </c>
      <c r="AJ884" t="s">
        <v>2809</v>
      </c>
      <c r="AK884" t="s">
        <v>3052</v>
      </c>
      <c r="AL884">
        <v>0.98</v>
      </c>
      <c r="AM884">
        <v>0.95</v>
      </c>
      <c r="AN884">
        <v>0.5</v>
      </c>
      <c r="AO884" t="s">
        <v>13027</v>
      </c>
      <c r="AP884" t="s">
        <v>13028</v>
      </c>
      <c r="AQ884" t="s">
        <v>13029</v>
      </c>
      <c r="AR884" t="s">
        <v>6151</v>
      </c>
      <c r="AS884" t="s">
        <v>7338</v>
      </c>
      <c r="AT884" t="s">
        <v>3486</v>
      </c>
      <c r="AU884" t="s">
        <v>13030</v>
      </c>
      <c r="AV884" t="s">
        <v>13031</v>
      </c>
      <c r="AW884" t="s">
        <v>13032</v>
      </c>
      <c r="AX884" t="s">
        <v>13033</v>
      </c>
      <c r="AY884" t="s">
        <v>13032</v>
      </c>
      <c r="AZ884" t="s">
        <v>13034</v>
      </c>
      <c r="BA884">
        <v>3</v>
      </c>
      <c r="BB884">
        <v>1175.1600000000001</v>
      </c>
      <c r="BC884">
        <v>0</v>
      </c>
      <c r="BD884">
        <v>1.91</v>
      </c>
      <c r="BE884">
        <v>1.91</v>
      </c>
      <c r="BF884">
        <v>1.91</v>
      </c>
      <c r="BG884" t="s">
        <v>13035</v>
      </c>
      <c r="BH884" t="s">
        <v>11021</v>
      </c>
      <c r="BI884" t="s">
        <v>13036</v>
      </c>
      <c r="BJ884" t="s">
        <v>101</v>
      </c>
      <c r="BK884" t="s">
        <v>13037</v>
      </c>
      <c r="BL884" t="s">
        <v>13038</v>
      </c>
      <c r="BM884" t="s">
        <v>233</v>
      </c>
      <c r="BN884" t="s">
        <v>4063</v>
      </c>
    </row>
    <row r="885" spans="1:66" x14ac:dyDescent="0.25">
      <c r="A885" t="str">
        <f>HYPERLINK("https://elite.finviz.com/quote.ashx?t=BAC&amp;ty=c&amp;p=d&amp;b=1", "BAC")</f>
        <v>BAC</v>
      </c>
      <c r="B885">
        <v>7</v>
      </c>
      <c r="C885">
        <v>138.38</v>
      </c>
      <c r="D885">
        <v>67.31</v>
      </c>
      <c r="E885" t="s">
        <v>13039</v>
      </c>
      <c r="F885" t="s">
        <v>195</v>
      </c>
      <c r="G885" t="s">
        <v>550</v>
      </c>
      <c r="H885" t="s">
        <v>12292</v>
      </c>
      <c r="I885" t="s">
        <v>70</v>
      </c>
      <c r="J885" t="s">
        <v>71</v>
      </c>
      <c r="K885">
        <v>385494.55</v>
      </c>
      <c r="L885">
        <v>52.04</v>
      </c>
      <c r="M885" t="s">
        <v>3226</v>
      </c>
      <c r="N885">
        <v>6902136</v>
      </c>
      <c r="O885">
        <v>15.24</v>
      </c>
      <c r="P885">
        <v>12.18</v>
      </c>
      <c r="Q885">
        <v>1.02</v>
      </c>
      <c r="R885">
        <v>1.94</v>
      </c>
      <c r="S885">
        <v>1.4</v>
      </c>
      <c r="T885" t="s">
        <v>4276</v>
      </c>
      <c r="U885">
        <v>1.06</v>
      </c>
      <c r="V885" t="s">
        <v>4548</v>
      </c>
      <c r="W885" t="s">
        <v>9159</v>
      </c>
      <c r="X885" t="s">
        <v>5864</v>
      </c>
      <c r="Y885" t="s">
        <v>2428</v>
      </c>
      <c r="Z885" t="s">
        <v>2131</v>
      </c>
      <c r="AA885">
        <v>3.41</v>
      </c>
      <c r="AB885" t="s">
        <v>1779</v>
      </c>
      <c r="AC885" t="s">
        <v>911</v>
      </c>
      <c r="AD885" t="s">
        <v>3180</v>
      </c>
      <c r="AE885" t="s">
        <v>7978</v>
      </c>
      <c r="AF885" t="s">
        <v>13040</v>
      </c>
      <c r="AG885" t="s">
        <v>292</v>
      </c>
      <c r="AH885" t="s">
        <v>3736</v>
      </c>
      <c r="AI885" t="s">
        <v>6150</v>
      </c>
      <c r="AJ885" t="s">
        <v>7568</v>
      </c>
      <c r="AK885" t="s">
        <v>5461</v>
      </c>
      <c r="AL885">
        <v>0.98</v>
      </c>
      <c r="AN885">
        <v>2.57</v>
      </c>
      <c r="AP885" t="s">
        <v>4455</v>
      </c>
      <c r="AQ885" t="s">
        <v>7298</v>
      </c>
      <c r="AR885" t="s">
        <v>5084</v>
      </c>
      <c r="AS885" t="s">
        <v>2186</v>
      </c>
      <c r="AT885" t="s">
        <v>4891</v>
      </c>
      <c r="AU885" t="s">
        <v>216</v>
      </c>
      <c r="AV885" t="s">
        <v>9523</v>
      </c>
      <c r="AW885" t="s">
        <v>6265</v>
      </c>
      <c r="AX885" t="s">
        <v>5060</v>
      </c>
      <c r="AY885" t="s">
        <v>6265</v>
      </c>
      <c r="AZ885" t="s">
        <v>13041</v>
      </c>
      <c r="BA885">
        <v>1.68</v>
      </c>
      <c r="BB885">
        <v>38439.040000000001</v>
      </c>
      <c r="BC885">
        <v>0.63</v>
      </c>
      <c r="BD885">
        <v>51.85</v>
      </c>
      <c r="BE885">
        <v>52.62</v>
      </c>
      <c r="BF885">
        <v>51.98</v>
      </c>
      <c r="BG885" t="s">
        <v>13042</v>
      </c>
      <c r="BH885" t="s">
        <v>7532</v>
      </c>
      <c r="BI885" t="s">
        <v>13043</v>
      </c>
      <c r="BJ885" t="s">
        <v>101</v>
      </c>
      <c r="BK885" t="s">
        <v>1110</v>
      </c>
      <c r="BL885" t="s">
        <v>12761</v>
      </c>
      <c r="BM885" t="s">
        <v>474</v>
      </c>
      <c r="BN885" t="s">
        <v>4063</v>
      </c>
    </row>
    <row r="886" spans="1:66" x14ac:dyDescent="0.25">
      <c r="A886" t="str">
        <f>HYPERLINK("https://elite.finviz.com/quote.ashx?t=WRB&amp;ty=c&amp;p=d&amp;b=1", "WRB")</f>
        <v>WRB</v>
      </c>
      <c r="B886">
        <v>7</v>
      </c>
      <c r="C886">
        <v>138.38</v>
      </c>
      <c r="D886">
        <v>67.400000000000006</v>
      </c>
      <c r="E886" t="s">
        <v>13044</v>
      </c>
      <c r="F886" t="s">
        <v>195</v>
      </c>
      <c r="G886" t="s">
        <v>550</v>
      </c>
      <c r="H886" t="s">
        <v>4407</v>
      </c>
      <c r="I886" t="s">
        <v>70</v>
      </c>
      <c r="J886" t="s">
        <v>71</v>
      </c>
      <c r="K886">
        <v>28687.81</v>
      </c>
      <c r="L886">
        <v>75.64</v>
      </c>
      <c r="M886" t="s">
        <v>3551</v>
      </c>
      <c r="N886">
        <v>290208</v>
      </c>
      <c r="O886">
        <v>17.21</v>
      </c>
      <c r="P886">
        <v>16.02</v>
      </c>
      <c r="Q886">
        <v>2.23</v>
      </c>
      <c r="R886">
        <v>2.0099999999999998</v>
      </c>
      <c r="S886">
        <v>3.09</v>
      </c>
      <c r="T886" t="s">
        <v>2572</v>
      </c>
      <c r="U886">
        <v>0.34</v>
      </c>
      <c r="V886" t="s">
        <v>4676</v>
      </c>
      <c r="W886" t="s">
        <v>6674</v>
      </c>
      <c r="X886" t="s">
        <v>6122</v>
      </c>
      <c r="Y886" t="s">
        <v>2627</v>
      </c>
      <c r="Z886" t="s">
        <v>3432</v>
      </c>
      <c r="AA886">
        <v>4.3899999999999997</v>
      </c>
      <c r="AB886" t="s">
        <v>1415</v>
      </c>
      <c r="AC886" t="s">
        <v>13045</v>
      </c>
      <c r="AD886" t="s">
        <v>8155</v>
      </c>
      <c r="AE886" t="s">
        <v>3647</v>
      </c>
      <c r="AF886" t="s">
        <v>2463</v>
      </c>
      <c r="AG886" t="s">
        <v>777</v>
      </c>
      <c r="AH886" t="s">
        <v>6810</v>
      </c>
      <c r="AI886" t="s">
        <v>6003</v>
      </c>
      <c r="AJ886" t="s">
        <v>164</v>
      </c>
      <c r="AK886" t="s">
        <v>4391</v>
      </c>
      <c r="AL886">
        <v>0.42</v>
      </c>
      <c r="AN886">
        <v>0.33</v>
      </c>
      <c r="AP886" t="s">
        <v>4914</v>
      </c>
      <c r="AQ886" t="s">
        <v>2913</v>
      </c>
      <c r="AR886" t="s">
        <v>3551</v>
      </c>
      <c r="AS886" t="s">
        <v>2449</v>
      </c>
      <c r="AT886" t="s">
        <v>4093</v>
      </c>
      <c r="AU886" t="s">
        <v>4077</v>
      </c>
      <c r="AV886" t="s">
        <v>1959</v>
      </c>
      <c r="AW886" t="s">
        <v>6719</v>
      </c>
      <c r="AX886" t="s">
        <v>1455</v>
      </c>
      <c r="AY886" t="s">
        <v>3890</v>
      </c>
      <c r="AZ886" t="s">
        <v>13046</v>
      </c>
      <c r="BA886">
        <v>2.62</v>
      </c>
      <c r="BB886">
        <v>2001.63</v>
      </c>
      <c r="BC886">
        <v>0.51</v>
      </c>
      <c r="BD886">
        <v>74.56</v>
      </c>
      <c r="BE886">
        <v>76.12</v>
      </c>
      <c r="BF886">
        <v>74.930000000000007</v>
      </c>
      <c r="BG886" t="s">
        <v>13047</v>
      </c>
      <c r="BH886" t="s">
        <v>3890</v>
      </c>
      <c r="BI886" t="s">
        <v>13048</v>
      </c>
      <c r="BJ886" t="s">
        <v>101</v>
      </c>
      <c r="BK886" t="s">
        <v>3119</v>
      </c>
      <c r="BL886" t="s">
        <v>2699</v>
      </c>
      <c r="BM886" t="s">
        <v>13049</v>
      </c>
      <c r="BN886" t="s">
        <v>4063</v>
      </c>
    </row>
    <row r="887" spans="1:66" x14ac:dyDescent="0.25">
      <c r="A887" t="str">
        <f>HYPERLINK("https://elite.finviz.com/quote.ashx?t=UEC&amp;ty=c&amp;p=d&amp;b=1", "UEC")</f>
        <v>UEC</v>
      </c>
      <c r="B887">
        <v>7</v>
      </c>
      <c r="C887">
        <v>138.38</v>
      </c>
      <c r="D887">
        <v>67.430000000000007</v>
      </c>
      <c r="E887" t="s">
        <v>13050</v>
      </c>
      <c r="F887" t="s">
        <v>67</v>
      </c>
      <c r="G887" t="s">
        <v>1048</v>
      </c>
      <c r="H887" t="s">
        <v>1355</v>
      </c>
      <c r="I887" t="s">
        <v>70</v>
      </c>
      <c r="J887" t="s">
        <v>383</v>
      </c>
      <c r="K887">
        <v>6345.53</v>
      </c>
      <c r="L887">
        <v>13.65</v>
      </c>
      <c r="M887" t="s">
        <v>1760</v>
      </c>
      <c r="N887">
        <v>5610036</v>
      </c>
      <c r="P887">
        <v>121.24</v>
      </c>
      <c r="R887">
        <v>94.94</v>
      </c>
      <c r="S887">
        <v>6.3</v>
      </c>
      <c r="AA887">
        <v>-0.2</v>
      </c>
      <c r="AC887" t="s">
        <v>2475</v>
      </c>
      <c r="AE887" t="s">
        <v>13051</v>
      </c>
      <c r="AF887" t="s">
        <v>8422</v>
      </c>
      <c r="AI887" t="s">
        <v>13052</v>
      </c>
      <c r="AJ887" t="s">
        <v>2203</v>
      </c>
      <c r="AK887" t="s">
        <v>13053</v>
      </c>
      <c r="AL887">
        <v>8.85</v>
      </c>
      <c r="AM887">
        <v>5.85</v>
      </c>
      <c r="AN887">
        <v>0</v>
      </c>
      <c r="AO887" t="s">
        <v>12738</v>
      </c>
      <c r="AP887" t="s">
        <v>13054</v>
      </c>
      <c r="AQ887" t="s">
        <v>13055</v>
      </c>
      <c r="AR887" t="s">
        <v>5914</v>
      </c>
      <c r="AS887" t="s">
        <v>2515</v>
      </c>
      <c r="AT887" t="s">
        <v>7361</v>
      </c>
      <c r="AU887" t="s">
        <v>6877</v>
      </c>
      <c r="AV887" t="s">
        <v>13056</v>
      </c>
      <c r="AW887" t="s">
        <v>2753</v>
      </c>
      <c r="AX887" t="s">
        <v>13057</v>
      </c>
      <c r="AY887" t="s">
        <v>2753</v>
      </c>
      <c r="AZ887" t="s">
        <v>13058</v>
      </c>
      <c r="BA887">
        <v>1.25</v>
      </c>
      <c r="BB887">
        <v>14756.43</v>
      </c>
      <c r="BC887">
        <v>1.34</v>
      </c>
      <c r="BD887">
        <v>13.44</v>
      </c>
      <c r="BE887">
        <v>14.33</v>
      </c>
      <c r="BF887">
        <v>13.31</v>
      </c>
      <c r="BG887" t="s">
        <v>13059</v>
      </c>
      <c r="BH887" t="s">
        <v>2753</v>
      </c>
      <c r="BI887" t="s">
        <v>13060</v>
      </c>
      <c r="BJ887" t="s">
        <v>101</v>
      </c>
      <c r="BK887" t="s">
        <v>13061</v>
      </c>
      <c r="BL887" t="s">
        <v>13062</v>
      </c>
      <c r="BM887" t="s">
        <v>13063</v>
      </c>
      <c r="BN887" t="s">
        <v>4063</v>
      </c>
    </row>
    <row r="888" spans="1:66" x14ac:dyDescent="0.25">
      <c r="A888" t="str">
        <f>HYPERLINK("https://elite.finviz.com/quote.ashx?t=STX&amp;ty=c&amp;p=d&amp;b=1", "STX")</f>
        <v>STX</v>
      </c>
      <c r="B888">
        <v>7</v>
      </c>
      <c r="C888">
        <v>138.38</v>
      </c>
      <c r="D888">
        <v>67.56</v>
      </c>
      <c r="E888" t="s">
        <v>13064</v>
      </c>
      <c r="F888" t="s">
        <v>195</v>
      </c>
      <c r="G888" t="s">
        <v>108</v>
      </c>
      <c r="H888" t="s">
        <v>496</v>
      </c>
      <c r="I888" t="s">
        <v>70</v>
      </c>
      <c r="J888" t="s">
        <v>321</v>
      </c>
      <c r="K888">
        <v>45707.05</v>
      </c>
      <c r="L888">
        <v>214.62</v>
      </c>
      <c r="M888" t="s">
        <v>10819</v>
      </c>
      <c r="N888">
        <v>848189</v>
      </c>
      <c r="O888">
        <v>31.69</v>
      </c>
      <c r="P888">
        <v>16.73</v>
      </c>
      <c r="Q888">
        <v>1.46</v>
      </c>
      <c r="R888">
        <v>5.0199999999999996</v>
      </c>
      <c r="T888" t="s">
        <v>4280</v>
      </c>
      <c r="U888">
        <v>2.86</v>
      </c>
      <c r="V888" t="s">
        <v>198</v>
      </c>
      <c r="W888" t="s">
        <v>4891</v>
      </c>
      <c r="X888" t="s">
        <v>2644</v>
      </c>
      <c r="Y888" t="s">
        <v>2421</v>
      </c>
      <c r="Z888" t="s">
        <v>9572</v>
      </c>
      <c r="AA888">
        <v>6.77</v>
      </c>
      <c r="AB888" t="s">
        <v>7356</v>
      </c>
      <c r="AC888" t="s">
        <v>7655</v>
      </c>
      <c r="AD888" t="s">
        <v>2956</v>
      </c>
      <c r="AE888" t="s">
        <v>13065</v>
      </c>
      <c r="AF888" t="s">
        <v>8073</v>
      </c>
      <c r="AG888" t="s">
        <v>4257</v>
      </c>
      <c r="AH888" t="s">
        <v>5712</v>
      </c>
      <c r="AI888" t="s">
        <v>1026</v>
      </c>
      <c r="AJ888" t="s">
        <v>7785</v>
      </c>
      <c r="AK888" t="s">
        <v>13066</v>
      </c>
      <c r="AL888">
        <v>1.38</v>
      </c>
      <c r="AM888">
        <v>0.84</v>
      </c>
      <c r="AO888" t="s">
        <v>13067</v>
      </c>
      <c r="AP888" t="s">
        <v>7294</v>
      </c>
      <c r="AQ888" t="s">
        <v>2912</v>
      </c>
      <c r="AR888" t="s">
        <v>5736</v>
      </c>
      <c r="AS888" t="s">
        <v>5369</v>
      </c>
      <c r="AT888" t="s">
        <v>464</v>
      </c>
      <c r="AU888" t="s">
        <v>13068</v>
      </c>
      <c r="AV888" t="s">
        <v>5456</v>
      </c>
      <c r="AW888" t="s">
        <v>11775</v>
      </c>
      <c r="AX888" t="s">
        <v>10005</v>
      </c>
      <c r="AY888" t="s">
        <v>11775</v>
      </c>
      <c r="AZ888" t="s">
        <v>13069</v>
      </c>
      <c r="BA888">
        <v>1.88</v>
      </c>
      <c r="BB888">
        <v>3787.79</v>
      </c>
      <c r="BC888">
        <v>0.79</v>
      </c>
      <c r="BD888">
        <v>219.85</v>
      </c>
      <c r="BE888">
        <v>220.71</v>
      </c>
      <c r="BF888">
        <v>213.06</v>
      </c>
      <c r="BG888" t="s">
        <v>13070</v>
      </c>
      <c r="BH888" t="s">
        <v>11775</v>
      </c>
      <c r="BI888" t="s">
        <v>13071</v>
      </c>
      <c r="BJ888" t="s">
        <v>101</v>
      </c>
      <c r="BK888" t="s">
        <v>13072</v>
      </c>
      <c r="BL888" t="s">
        <v>13073</v>
      </c>
      <c r="BM888" t="s">
        <v>13074</v>
      </c>
      <c r="BN888" t="s">
        <v>4063</v>
      </c>
    </row>
    <row r="889" spans="1:66" x14ac:dyDescent="0.25">
      <c r="A889" t="str">
        <f>HYPERLINK("https://elite.finviz.com/quote.ashx?t=EYE&amp;ty=c&amp;p=d&amp;b=1", "EYE")</f>
        <v>EYE</v>
      </c>
      <c r="B889">
        <v>7</v>
      </c>
      <c r="C889">
        <v>138.38</v>
      </c>
      <c r="D889">
        <v>67.599999999999994</v>
      </c>
      <c r="E889" t="s">
        <v>13075</v>
      </c>
      <c r="F889" t="s">
        <v>67</v>
      </c>
      <c r="G889" t="s">
        <v>813</v>
      </c>
      <c r="H889" t="s">
        <v>2262</v>
      </c>
      <c r="I889" t="s">
        <v>70</v>
      </c>
      <c r="J889" t="s">
        <v>321</v>
      </c>
      <c r="K889">
        <v>2212.75</v>
      </c>
      <c r="L889">
        <v>27.94</v>
      </c>
      <c r="M889" t="s">
        <v>4256</v>
      </c>
      <c r="N889">
        <v>281334</v>
      </c>
      <c r="P889">
        <v>33.72</v>
      </c>
      <c r="R889">
        <v>1.17</v>
      </c>
      <c r="S889">
        <v>2.6</v>
      </c>
      <c r="AA889">
        <v>-0.18</v>
      </c>
      <c r="AD889" t="s">
        <v>5464</v>
      </c>
      <c r="AE889" t="s">
        <v>2616</v>
      </c>
      <c r="AF889" t="s">
        <v>10842</v>
      </c>
      <c r="AG889" t="s">
        <v>4902</v>
      </c>
      <c r="AH889" t="s">
        <v>7403</v>
      </c>
      <c r="AI889" t="s">
        <v>1565</v>
      </c>
      <c r="AJ889" t="s">
        <v>3705</v>
      </c>
      <c r="AK889" t="s">
        <v>13076</v>
      </c>
      <c r="AL889">
        <v>0.52</v>
      </c>
      <c r="AM889">
        <v>0.31</v>
      </c>
      <c r="AN889">
        <v>0.85</v>
      </c>
      <c r="AO889" t="s">
        <v>13077</v>
      </c>
      <c r="AP889" t="s">
        <v>7322</v>
      </c>
      <c r="AQ889" t="s">
        <v>240</v>
      </c>
      <c r="AR889" t="s">
        <v>3343</v>
      </c>
      <c r="AS889" t="s">
        <v>2419</v>
      </c>
      <c r="AT889" t="s">
        <v>6740</v>
      </c>
      <c r="AU889" t="s">
        <v>5082</v>
      </c>
      <c r="AV889" t="s">
        <v>11940</v>
      </c>
      <c r="AW889" t="s">
        <v>7742</v>
      </c>
      <c r="AX889" t="s">
        <v>5538</v>
      </c>
      <c r="AY889" t="s">
        <v>7742</v>
      </c>
      <c r="AZ889" t="s">
        <v>13078</v>
      </c>
      <c r="BA889">
        <v>1.64</v>
      </c>
      <c r="BB889">
        <v>2224.44</v>
      </c>
      <c r="BC889">
        <v>0.45</v>
      </c>
      <c r="BD889">
        <v>27.4</v>
      </c>
      <c r="BE889">
        <v>27.96</v>
      </c>
      <c r="BF889">
        <v>27.43</v>
      </c>
      <c r="BG889" t="s">
        <v>13079</v>
      </c>
      <c r="BH889" t="s">
        <v>6857</v>
      </c>
      <c r="BI889" t="s">
        <v>13078</v>
      </c>
      <c r="BJ889" t="s">
        <v>101</v>
      </c>
      <c r="BK889" t="s">
        <v>1531</v>
      </c>
      <c r="BL889" t="s">
        <v>13080</v>
      </c>
      <c r="BM889" t="s">
        <v>13081</v>
      </c>
      <c r="BN889" t="s">
        <v>4063</v>
      </c>
    </row>
    <row r="890" spans="1:66" x14ac:dyDescent="0.25">
      <c r="A890" t="str">
        <f>HYPERLINK("https://elite.finviz.com/quote.ashx?t=RRC&amp;ty=c&amp;p=d&amp;b=1", "RRC")</f>
        <v>RRC</v>
      </c>
      <c r="B890">
        <v>7</v>
      </c>
      <c r="C890">
        <v>138.38</v>
      </c>
      <c r="D890">
        <v>67.62</v>
      </c>
      <c r="E890" t="s">
        <v>13082</v>
      </c>
      <c r="F890" t="s">
        <v>107</v>
      </c>
      <c r="G890" t="s">
        <v>1048</v>
      </c>
      <c r="H890" t="s">
        <v>1049</v>
      </c>
      <c r="I890" t="s">
        <v>70</v>
      </c>
      <c r="J890" t="s">
        <v>71</v>
      </c>
      <c r="K890">
        <v>8944.07</v>
      </c>
      <c r="L890">
        <v>37.549999999999997</v>
      </c>
      <c r="M890" t="s">
        <v>4308</v>
      </c>
      <c r="N890">
        <v>282746</v>
      </c>
      <c r="O890">
        <v>18.899999999999999</v>
      </c>
      <c r="P890">
        <v>9.06</v>
      </c>
      <c r="Q890">
        <v>0.74</v>
      </c>
      <c r="R890">
        <v>3.2</v>
      </c>
      <c r="S890">
        <v>2.17</v>
      </c>
      <c r="T890" t="s">
        <v>3761</v>
      </c>
      <c r="U890">
        <v>0.35</v>
      </c>
      <c r="V890" t="s">
        <v>2620</v>
      </c>
      <c r="W890" t="s">
        <v>164</v>
      </c>
      <c r="Y890" t="s">
        <v>7463</v>
      </c>
      <c r="Z890" t="s">
        <v>8442</v>
      </c>
      <c r="AA890">
        <v>1.99</v>
      </c>
      <c r="AB890" t="s">
        <v>13083</v>
      </c>
      <c r="AD890" t="s">
        <v>12534</v>
      </c>
      <c r="AE890" t="s">
        <v>1551</v>
      </c>
      <c r="AF890" t="s">
        <v>8242</v>
      </c>
      <c r="AG890" t="s">
        <v>6152</v>
      </c>
      <c r="AH890" t="s">
        <v>13084</v>
      </c>
      <c r="AI890" t="s">
        <v>2473</v>
      </c>
      <c r="AJ890" t="s">
        <v>7193</v>
      </c>
      <c r="AK890" t="s">
        <v>820</v>
      </c>
      <c r="AL890">
        <v>0.55000000000000004</v>
      </c>
      <c r="AM890">
        <v>0.55000000000000004</v>
      </c>
      <c r="AN890">
        <v>0.34</v>
      </c>
      <c r="AO890" t="s">
        <v>3643</v>
      </c>
      <c r="AP890" t="s">
        <v>12187</v>
      </c>
      <c r="AQ890" t="s">
        <v>728</v>
      </c>
      <c r="AR890" t="s">
        <v>3638</v>
      </c>
      <c r="AS890" t="s">
        <v>901</v>
      </c>
      <c r="AT890" t="s">
        <v>2398</v>
      </c>
      <c r="AU890" t="s">
        <v>7970</v>
      </c>
      <c r="AV890" t="s">
        <v>3976</v>
      </c>
      <c r="AW890" t="s">
        <v>10469</v>
      </c>
      <c r="AX890" t="s">
        <v>2018</v>
      </c>
      <c r="AY890" t="s">
        <v>9332</v>
      </c>
      <c r="AZ890" t="s">
        <v>13085</v>
      </c>
      <c r="BA890">
        <v>2.37</v>
      </c>
      <c r="BB890">
        <v>2843.46</v>
      </c>
      <c r="BC890">
        <v>0.35</v>
      </c>
      <c r="BD890">
        <v>37.32</v>
      </c>
      <c r="BE890">
        <v>37.770000000000003</v>
      </c>
      <c r="BF890">
        <v>37.07</v>
      </c>
      <c r="BG890" t="s">
        <v>13086</v>
      </c>
      <c r="BH890" t="s">
        <v>1157</v>
      </c>
      <c r="BI890" t="s">
        <v>13087</v>
      </c>
      <c r="BJ890" t="s">
        <v>101</v>
      </c>
      <c r="BK890" t="s">
        <v>13088</v>
      </c>
      <c r="BL890" t="s">
        <v>1081</v>
      </c>
      <c r="BM890" t="s">
        <v>3065</v>
      </c>
      <c r="BN890" t="s">
        <v>4063</v>
      </c>
    </row>
    <row r="891" spans="1:66" x14ac:dyDescent="0.25">
      <c r="A891" t="str">
        <f>HYPERLINK("https://elite.finviz.com/quote.ashx?t=FDMT&amp;ty=c&amp;p=d&amp;b=1", "FDMT")</f>
        <v>FDMT</v>
      </c>
      <c r="B891">
        <v>7</v>
      </c>
      <c r="C891">
        <v>138.38</v>
      </c>
      <c r="D891">
        <v>67.64</v>
      </c>
      <c r="E891" t="s">
        <v>13089</v>
      </c>
      <c r="F891" t="s">
        <v>67</v>
      </c>
      <c r="G891" t="s">
        <v>428</v>
      </c>
      <c r="H891" t="s">
        <v>429</v>
      </c>
      <c r="I891" t="s">
        <v>70</v>
      </c>
      <c r="J891" t="s">
        <v>321</v>
      </c>
      <c r="K891">
        <v>387.16</v>
      </c>
      <c r="L891">
        <v>8.2899999999999991</v>
      </c>
      <c r="M891" t="s">
        <v>3967</v>
      </c>
      <c r="N891">
        <v>197931</v>
      </c>
      <c r="R891">
        <v>12905.29</v>
      </c>
      <c r="S891">
        <v>0.92</v>
      </c>
      <c r="AA891">
        <v>-3.71</v>
      </c>
      <c r="AB891" t="s">
        <v>8830</v>
      </c>
      <c r="AC891" t="s">
        <v>503</v>
      </c>
      <c r="AD891" t="s">
        <v>13090</v>
      </c>
      <c r="AF891" t="s">
        <v>13091</v>
      </c>
      <c r="AG891" t="s">
        <v>13092</v>
      </c>
      <c r="AH891" t="s">
        <v>13093</v>
      </c>
      <c r="AI891" t="s">
        <v>423</v>
      </c>
      <c r="AJ891" t="s">
        <v>164</v>
      </c>
      <c r="AK891" t="s">
        <v>13094</v>
      </c>
      <c r="AL891">
        <v>8.75</v>
      </c>
      <c r="AM891">
        <v>8.75</v>
      </c>
      <c r="AN891">
        <v>0.05</v>
      </c>
      <c r="AO891" t="s">
        <v>13095</v>
      </c>
      <c r="AP891" t="s">
        <v>13096</v>
      </c>
      <c r="AQ891" t="s">
        <v>13097</v>
      </c>
      <c r="AR891" t="s">
        <v>4089</v>
      </c>
      <c r="AS891" t="s">
        <v>7970</v>
      </c>
      <c r="AT891" t="s">
        <v>12220</v>
      </c>
      <c r="AU891" t="s">
        <v>5139</v>
      </c>
      <c r="AV891" t="s">
        <v>13098</v>
      </c>
      <c r="AW891" t="s">
        <v>5294</v>
      </c>
      <c r="AX891" t="s">
        <v>1647</v>
      </c>
      <c r="AY891" t="s">
        <v>2749</v>
      </c>
      <c r="AZ891" t="s">
        <v>13099</v>
      </c>
      <c r="BA891">
        <v>1.7</v>
      </c>
      <c r="BB891">
        <v>1161.8499999999999</v>
      </c>
      <c r="BC891">
        <v>0.6</v>
      </c>
      <c r="BD891">
        <v>8.42</v>
      </c>
      <c r="BE891">
        <v>8.9499999999999993</v>
      </c>
      <c r="BF891">
        <v>8.0500000000000007</v>
      </c>
      <c r="BG891" t="s">
        <v>13100</v>
      </c>
      <c r="BH891" t="s">
        <v>13101</v>
      </c>
      <c r="BI891" t="s">
        <v>13099</v>
      </c>
      <c r="BJ891" t="s">
        <v>101</v>
      </c>
      <c r="BK891" t="s">
        <v>13102</v>
      </c>
      <c r="BL891" t="s">
        <v>13103</v>
      </c>
      <c r="BM891" t="s">
        <v>13104</v>
      </c>
      <c r="BN891" t="s">
        <v>4063</v>
      </c>
    </row>
    <row r="892" spans="1:66" x14ac:dyDescent="0.25">
      <c r="A892" t="str">
        <f>HYPERLINK("https://elite.finviz.com/quote.ashx?t=C&amp;ty=c&amp;p=d&amp;b=1", "C")</f>
        <v>C</v>
      </c>
      <c r="B892">
        <v>7</v>
      </c>
      <c r="C892">
        <v>138.38</v>
      </c>
      <c r="D892">
        <v>67.650000000000006</v>
      </c>
      <c r="E892" t="s">
        <v>13105</v>
      </c>
      <c r="F892" t="s">
        <v>195</v>
      </c>
      <c r="G892" t="s">
        <v>550</v>
      </c>
      <c r="H892" t="s">
        <v>12292</v>
      </c>
      <c r="I892" t="s">
        <v>70</v>
      </c>
      <c r="J892" t="s">
        <v>71</v>
      </c>
      <c r="K892">
        <v>189290.32</v>
      </c>
      <c r="L892">
        <v>102.82</v>
      </c>
      <c r="M892" t="s">
        <v>3047</v>
      </c>
      <c r="N892">
        <v>3434658</v>
      </c>
      <c r="O892">
        <v>15.2</v>
      </c>
      <c r="P892">
        <v>10.43</v>
      </c>
      <c r="Q892">
        <v>0.59</v>
      </c>
      <c r="R892">
        <v>1.1200000000000001</v>
      </c>
      <c r="S892">
        <v>0.96</v>
      </c>
      <c r="T892" t="s">
        <v>1599</v>
      </c>
      <c r="U892">
        <v>2.2799999999999998</v>
      </c>
      <c r="V892" t="s">
        <v>4827</v>
      </c>
      <c r="W892" t="s">
        <v>121</v>
      </c>
      <c r="X892" t="s">
        <v>3842</v>
      </c>
      <c r="Y892" t="s">
        <v>248</v>
      </c>
      <c r="Z892" t="s">
        <v>11888</v>
      </c>
      <c r="AA892">
        <v>6.76</v>
      </c>
      <c r="AB892" t="s">
        <v>7835</v>
      </c>
      <c r="AC892" t="s">
        <v>2593</v>
      </c>
      <c r="AD892" t="s">
        <v>78</v>
      </c>
      <c r="AE892" t="s">
        <v>4271</v>
      </c>
      <c r="AF892" t="s">
        <v>1875</v>
      </c>
      <c r="AG892" t="s">
        <v>3071</v>
      </c>
      <c r="AH892" t="s">
        <v>3976</v>
      </c>
      <c r="AI892" t="s">
        <v>7273</v>
      </c>
      <c r="AJ892" t="s">
        <v>770</v>
      </c>
      <c r="AK892" t="s">
        <v>13106</v>
      </c>
      <c r="AL892">
        <v>1.52</v>
      </c>
      <c r="AN892">
        <v>3.4</v>
      </c>
      <c r="AP892" t="s">
        <v>3647</v>
      </c>
      <c r="AQ892" t="s">
        <v>417</v>
      </c>
      <c r="AR892" t="s">
        <v>633</v>
      </c>
      <c r="AS892" t="s">
        <v>3832</v>
      </c>
      <c r="AT892" t="s">
        <v>6150</v>
      </c>
      <c r="AU892" t="s">
        <v>8276</v>
      </c>
      <c r="AV892" t="s">
        <v>1813</v>
      </c>
      <c r="AW892" t="s">
        <v>5120</v>
      </c>
      <c r="AX892" t="s">
        <v>6830</v>
      </c>
      <c r="AY892" t="s">
        <v>5120</v>
      </c>
      <c r="AZ892" t="s">
        <v>13107</v>
      </c>
      <c r="BA892">
        <v>1.8</v>
      </c>
      <c r="BB892">
        <v>14847.15</v>
      </c>
      <c r="BC892">
        <v>0.81</v>
      </c>
      <c r="BD892">
        <v>102.11</v>
      </c>
      <c r="BE892">
        <v>104.32</v>
      </c>
      <c r="BF892">
        <v>102.65</v>
      </c>
      <c r="BG892" t="s">
        <v>13108</v>
      </c>
      <c r="BH892" t="s">
        <v>13109</v>
      </c>
      <c r="BI892" t="s">
        <v>13110</v>
      </c>
      <c r="BJ892" t="s">
        <v>101</v>
      </c>
      <c r="BK892" t="s">
        <v>442</v>
      </c>
      <c r="BL892" t="s">
        <v>13111</v>
      </c>
      <c r="BM892" t="s">
        <v>13112</v>
      </c>
      <c r="BN892" t="s">
        <v>4063</v>
      </c>
    </row>
    <row r="893" spans="1:66" x14ac:dyDescent="0.25">
      <c r="A893" t="str">
        <f>HYPERLINK("https://elite.finviz.com/quote.ashx?t=CNX&amp;ty=c&amp;p=d&amp;b=1", "CNX")</f>
        <v>CNX</v>
      </c>
      <c r="B893">
        <v>7</v>
      </c>
      <c r="C893">
        <v>138.38</v>
      </c>
      <c r="D893">
        <v>67.66</v>
      </c>
      <c r="E893" t="s">
        <v>13113</v>
      </c>
      <c r="F893" t="s">
        <v>67</v>
      </c>
      <c r="G893" t="s">
        <v>1048</v>
      </c>
      <c r="H893" t="s">
        <v>1049</v>
      </c>
      <c r="I893" t="s">
        <v>70</v>
      </c>
      <c r="J893" t="s">
        <v>71</v>
      </c>
      <c r="K893">
        <v>4559.33</v>
      </c>
      <c r="L893">
        <v>32.24</v>
      </c>
      <c r="M893" t="s">
        <v>430</v>
      </c>
      <c r="N893">
        <v>269104</v>
      </c>
      <c r="O893">
        <v>54.53</v>
      </c>
      <c r="P893">
        <v>11.67</v>
      </c>
      <c r="Q893">
        <v>1.71</v>
      </c>
      <c r="R893">
        <v>2.39</v>
      </c>
      <c r="S893">
        <v>1.1200000000000001</v>
      </c>
      <c r="V893" t="s">
        <v>13114</v>
      </c>
      <c r="AA893">
        <v>0.59</v>
      </c>
      <c r="AB893" t="s">
        <v>13115</v>
      </c>
      <c r="AC893" t="s">
        <v>4226</v>
      </c>
      <c r="AD893" t="s">
        <v>5139</v>
      </c>
      <c r="AE893" t="s">
        <v>13116</v>
      </c>
      <c r="AF893" t="s">
        <v>11617</v>
      </c>
      <c r="AG893" t="s">
        <v>13117</v>
      </c>
      <c r="AH893" t="s">
        <v>6797</v>
      </c>
      <c r="AI893" t="s">
        <v>7003</v>
      </c>
      <c r="AJ893" t="s">
        <v>6156</v>
      </c>
      <c r="AK893" t="s">
        <v>6039</v>
      </c>
      <c r="AL893">
        <v>0.33</v>
      </c>
      <c r="AM893">
        <v>0.3</v>
      </c>
      <c r="AN893">
        <v>0.67</v>
      </c>
      <c r="AO893" t="s">
        <v>13118</v>
      </c>
      <c r="AP893" t="s">
        <v>13119</v>
      </c>
      <c r="AQ893" t="s">
        <v>7511</v>
      </c>
      <c r="AR893" t="s">
        <v>6770</v>
      </c>
      <c r="AS893" t="s">
        <v>451</v>
      </c>
      <c r="AT893" t="s">
        <v>3566</v>
      </c>
      <c r="AU893" t="s">
        <v>929</v>
      </c>
      <c r="AV893" t="s">
        <v>203</v>
      </c>
      <c r="AW893" t="s">
        <v>3085</v>
      </c>
      <c r="AX893" t="s">
        <v>2737</v>
      </c>
      <c r="AY893" t="s">
        <v>5799</v>
      </c>
      <c r="AZ893" t="s">
        <v>850</v>
      </c>
      <c r="BA893">
        <v>3.41</v>
      </c>
      <c r="BB893">
        <v>2044.32</v>
      </c>
      <c r="BC893">
        <v>0.46</v>
      </c>
      <c r="BD893">
        <v>32.17</v>
      </c>
      <c r="BE893">
        <v>32.54</v>
      </c>
      <c r="BF893">
        <v>31.78</v>
      </c>
      <c r="BG893" t="s">
        <v>13120</v>
      </c>
      <c r="BH893" t="s">
        <v>11317</v>
      </c>
      <c r="BI893" t="s">
        <v>13121</v>
      </c>
      <c r="BJ893" t="s">
        <v>101</v>
      </c>
      <c r="BK893" t="s">
        <v>9070</v>
      </c>
      <c r="BL893" t="s">
        <v>92</v>
      </c>
      <c r="BM893" t="s">
        <v>2356</v>
      </c>
      <c r="BN893" t="s">
        <v>4063</v>
      </c>
    </row>
    <row r="894" spans="1:66" x14ac:dyDescent="0.25">
      <c r="A894" t="str">
        <f>HYPERLINK("https://elite.finviz.com/quote.ashx?t=AROC&amp;ty=c&amp;p=d&amp;b=1", "AROC")</f>
        <v>AROC</v>
      </c>
      <c r="B894">
        <v>7</v>
      </c>
      <c r="C894">
        <v>138.38</v>
      </c>
      <c r="D894">
        <v>67.69</v>
      </c>
      <c r="E894" t="s">
        <v>13122</v>
      </c>
      <c r="F894" t="s">
        <v>67</v>
      </c>
      <c r="G894" t="s">
        <v>1048</v>
      </c>
      <c r="H894" t="s">
        <v>8341</v>
      </c>
      <c r="I894" t="s">
        <v>70</v>
      </c>
      <c r="J894" t="s">
        <v>71</v>
      </c>
      <c r="K894">
        <v>4677.82</v>
      </c>
      <c r="L894">
        <v>26.61</v>
      </c>
      <c r="M894" t="s">
        <v>2642</v>
      </c>
      <c r="N894">
        <v>476812</v>
      </c>
      <c r="O894">
        <v>20.14</v>
      </c>
      <c r="P894">
        <v>14.25</v>
      </c>
      <c r="Q894">
        <v>0.74</v>
      </c>
      <c r="R894">
        <v>3.47</v>
      </c>
      <c r="S894">
        <v>3.34</v>
      </c>
      <c r="T894" t="s">
        <v>3638</v>
      </c>
      <c r="U894">
        <v>0.77</v>
      </c>
      <c r="V894" t="s">
        <v>6057</v>
      </c>
      <c r="W894" t="s">
        <v>3793</v>
      </c>
      <c r="X894" t="s">
        <v>2385</v>
      </c>
      <c r="Y894" t="s">
        <v>926</v>
      </c>
      <c r="Z894" t="s">
        <v>13123</v>
      </c>
      <c r="AA894">
        <v>1.32</v>
      </c>
      <c r="AB894" t="s">
        <v>13124</v>
      </c>
      <c r="AC894" t="s">
        <v>6028</v>
      </c>
      <c r="AD894" t="s">
        <v>6350</v>
      </c>
      <c r="AE894" t="s">
        <v>13125</v>
      </c>
      <c r="AF894" t="s">
        <v>6748</v>
      </c>
      <c r="AG894" t="s">
        <v>4765</v>
      </c>
      <c r="AH894" t="s">
        <v>6669</v>
      </c>
      <c r="AI894" t="s">
        <v>4559</v>
      </c>
      <c r="AJ894" t="s">
        <v>2103</v>
      </c>
      <c r="AK894" t="s">
        <v>13126</v>
      </c>
      <c r="AL894">
        <v>1.81</v>
      </c>
      <c r="AM894">
        <v>1.3</v>
      </c>
      <c r="AN894">
        <v>1.86</v>
      </c>
      <c r="AO894" t="s">
        <v>13127</v>
      </c>
      <c r="AP894" t="s">
        <v>9898</v>
      </c>
      <c r="AQ894" t="s">
        <v>12437</v>
      </c>
      <c r="AR894" t="s">
        <v>1926</v>
      </c>
      <c r="AS894" t="s">
        <v>451</v>
      </c>
      <c r="AT894" t="s">
        <v>234</v>
      </c>
      <c r="AU894" t="s">
        <v>702</v>
      </c>
      <c r="AV894" t="s">
        <v>636</v>
      </c>
      <c r="AW894" t="s">
        <v>3446</v>
      </c>
      <c r="AX894" t="s">
        <v>13128</v>
      </c>
      <c r="AY894" t="s">
        <v>11786</v>
      </c>
      <c r="AZ894" t="s">
        <v>9131</v>
      </c>
      <c r="BA894">
        <v>1.1100000000000001</v>
      </c>
      <c r="BB894">
        <v>1596.93</v>
      </c>
      <c r="BC894">
        <v>1.05</v>
      </c>
      <c r="BD894">
        <v>26.51</v>
      </c>
      <c r="BE894">
        <v>27.12</v>
      </c>
      <c r="BF894">
        <v>26.61</v>
      </c>
      <c r="BG894" t="s">
        <v>13129</v>
      </c>
      <c r="BH894" t="s">
        <v>13130</v>
      </c>
      <c r="BI894" t="s">
        <v>13131</v>
      </c>
      <c r="BJ894" t="s">
        <v>101</v>
      </c>
      <c r="BK894" t="s">
        <v>4742</v>
      </c>
      <c r="BL894" t="s">
        <v>4494</v>
      </c>
      <c r="BM894" t="s">
        <v>10099</v>
      </c>
      <c r="BN894" t="s">
        <v>4063</v>
      </c>
    </row>
    <row r="895" spans="1:66" x14ac:dyDescent="0.25">
      <c r="A895" t="str">
        <f>HYPERLINK("https://elite.finviz.com/quote.ashx?t=ARIS&amp;ty=c&amp;p=d&amp;b=1", "ARIS")</f>
        <v>ARIS</v>
      </c>
      <c r="B895">
        <v>7</v>
      </c>
      <c r="C895">
        <v>138.38</v>
      </c>
      <c r="D895">
        <v>67.75</v>
      </c>
      <c r="E895" t="s">
        <v>13132</v>
      </c>
      <c r="F895" t="s">
        <v>67</v>
      </c>
      <c r="G895" t="s">
        <v>287</v>
      </c>
      <c r="H895" t="s">
        <v>13133</v>
      </c>
      <c r="I895" t="s">
        <v>70</v>
      </c>
      <c r="J895" t="s">
        <v>71</v>
      </c>
      <c r="K895">
        <v>1470.12</v>
      </c>
      <c r="L895">
        <v>24.82</v>
      </c>
      <c r="M895" t="s">
        <v>8179</v>
      </c>
      <c r="N895">
        <v>156740</v>
      </c>
      <c r="O895">
        <v>29.84</v>
      </c>
      <c r="P895">
        <v>16.77</v>
      </c>
      <c r="Q895">
        <v>2.33</v>
      </c>
      <c r="R895">
        <v>3.09</v>
      </c>
      <c r="S895">
        <v>1.96</v>
      </c>
      <c r="T895" t="s">
        <v>1599</v>
      </c>
      <c r="U895">
        <v>0.53</v>
      </c>
      <c r="V895" t="s">
        <v>6223</v>
      </c>
      <c r="W895" t="s">
        <v>7079</v>
      </c>
      <c r="X895" t="s">
        <v>13134</v>
      </c>
      <c r="Z895" t="s">
        <v>13135</v>
      </c>
      <c r="AA895">
        <v>0.83</v>
      </c>
      <c r="AB895" t="s">
        <v>13136</v>
      </c>
      <c r="AC895" t="s">
        <v>1872</v>
      </c>
      <c r="AD895" t="s">
        <v>293</v>
      </c>
      <c r="AE895" t="s">
        <v>1150</v>
      </c>
      <c r="AF895" t="s">
        <v>13137</v>
      </c>
      <c r="AG895" t="s">
        <v>7032</v>
      </c>
      <c r="AH895" t="s">
        <v>10109</v>
      </c>
      <c r="AI895" t="s">
        <v>3071</v>
      </c>
      <c r="AJ895" t="s">
        <v>164</v>
      </c>
      <c r="AK895" t="s">
        <v>13138</v>
      </c>
      <c r="AL895">
        <v>1.73</v>
      </c>
      <c r="AM895">
        <v>1.73</v>
      </c>
      <c r="AN895">
        <v>1.24</v>
      </c>
      <c r="AO895" t="s">
        <v>10507</v>
      </c>
      <c r="AP895" t="s">
        <v>10128</v>
      </c>
      <c r="AQ895" t="s">
        <v>334</v>
      </c>
      <c r="AR895" t="s">
        <v>3447</v>
      </c>
      <c r="AS895" t="s">
        <v>3350</v>
      </c>
      <c r="AT895" t="s">
        <v>5425</v>
      </c>
      <c r="AU895" t="s">
        <v>4377</v>
      </c>
      <c r="AV895" t="s">
        <v>4431</v>
      </c>
      <c r="AW895" t="s">
        <v>6156</v>
      </c>
      <c r="AX895" t="s">
        <v>3846</v>
      </c>
      <c r="AY895" t="s">
        <v>3206</v>
      </c>
      <c r="AZ895" t="s">
        <v>6423</v>
      </c>
      <c r="BA895">
        <v>3</v>
      </c>
      <c r="BB895">
        <v>1084.77</v>
      </c>
      <c r="BC895">
        <v>0.51</v>
      </c>
      <c r="BD895">
        <v>24.65</v>
      </c>
      <c r="BE895">
        <v>24.89</v>
      </c>
      <c r="BF895">
        <v>24.69</v>
      </c>
      <c r="BG895" t="s">
        <v>13139</v>
      </c>
      <c r="BH895" t="s">
        <v>3206</v>
      </c>
      <c r="BI895" t="s">
        <v>13140</v>
      </c>
      <c r="BJ895" t="s">
        <v>101</v>
      </c>
      <c r="BK895" t="s">
        <v>2196</v>
      </c>
      <c r="BL895" t="s">
        <v>13141</v>
      </c>
      <c r="BM895" t="s">
        <v>3850</v>
      </c>
      <c r="BN895" t="s">
        <v>4063</v>
      </c>
    </row>
    <row r="896" spans="1:66" x14ac:dyDescent="0.25">
      <c r="A896" t="str">
        <f>HYPERLINK("https://elite.finviz.com/quote.ashx?t=AMKR&amp;ty=c&amp;p=d&amp;b=1", "AMKR")</f>
        <v>AMKR</v>
      </c>
      <c r="B896">
        <v>7</v>
      </c>
      <c r="C896">
        <v>138.38</v>
      </c>
      <c r="D896">
        <v>67.92</v>
      </c>
      <c r="E896" t="s">
        <v>13142</v>
      </c>
      <c r="F896" t="s">
        <v>107</v>
      </c>
      <c r="G896" t="s">
        <v>108</v>
      </c>
      <c r="H896" t="s">
        <v>2097</v>
      </c>
      <c r="I896" t="s">
        <v>70</v>
      </c>
      <c r="J896" t="s">
        <v>321</v>
      </c>
      <c r="K896">
        <v>7125.13</v>
      </c>
      <c r="L896">
        <v>28.83</v>
      </c>
      <c r="M896" t="s">
        <v>4828</v>
      </c>
      <c r="N896">
        <v>329419</v>
      </c>
      <c r="O896">
        <v>23.53</v>
      </c>
      <c r="P896">
        <v>18.88</v>
      </c>
      <c r="Q896">
        <v>1.95</v>
      </c>
      <c r="R896">
        <v>1.1299999999999999</v>
      </c>
      <c r="S896">
        <v>1.7</v>
      </c>
      <c r="T896" t="s">
        <v>3019</v>
      </c>
      <c r="U896">
        <v>0.33</v>
      </c>
      <c r="V896" t="s">
        <v>7315</v>
      </c>
      <c r="W896" t="s">
        <v>4760</v>
      </c>
      <c r="X896" t="s">
        <v>2117</v>
      </c>
      <c r="Z896" t="s">
        <v>6868</v>
      </c>
      <c r="AA896">
        <v>1.23</v>
      </c>
      <c r="AB896" t="s">
        <v>13143</v>
      </c>
      <c r="AC896" t="s">
        <v>1267</v>
      </c>
      <c r="AD896" t="s">
        <v>4110</v>
      </c>
      <c r="AE896" t="s">
        <v>609</v>
      </c>
      <c r="AF896" t="s">
        <v>4759</v>
      </c>
      <c r="AG896" t="s">
        <v>7387</v>
      </c>
      <c r="AH896" t="s">
        <v>5369</v>
      </c>
      <c r="AI896" t="s">
        <v>2540</v>
      </c>
      <c r="AJ896" t="s">
        <v>7124</v>
      </c>
      <c r="AK896" t="s">
        <v>3283</v>
      </c>
      <c r="AL896">
        <v>1.89</v>
      </c>
      <c r="AM896">
        <v>1.7</v>
      </c>
      <c r="AN896">
        <v>0.41</v>
      </c>
      <c r="AO896" t="s">
        <v>1253</v>
      </c>
      <c r="AP896" t="s">
        <v>1474</v>
      </c>
      <c r="AQ896" t="s">
        <v>1950</v>
      </c>
      <c r="AR896" t="s">
        <v>1100</v>
      </c>
      <c r="AS896" t="s">
        <v>8013</v>
      </c>
      <c r="AT896" t="s">
        <v>3245</v>
      </c>
      <c r="AU896" t="s">
        <v>2663</v>
      </c>
      <c r="AV896" t="s">
        <v>13144</v>
      </c>
      <c r="AW896" t="s">
        <v>4215</v>
      </c>
      <c r="AX896" t="s">
        <v>13145</v>
      </c>
      <c r="AY896" t="s">
        <v>5640</v>
      </c>
      <c r="AZ896" t="s">
        <v>13138</v>
      </c>
      <c r="BA896">
        <v>2.42</v>
      </c>
      <c r="BB896">
        <v>2210.19</v>
      </c>
      <c r="BC896">
        <v>0.53</v>
      </c>
      <c r="BD896">
        <v>29.16</v>
      </c>
      <c r="BE896">
        <v>29.47</v>
      </c>
      <c r="BF896">
        <v>28.76</v>
      </c>
      <c r="BG896" t="s">
        <v>13146</v>
      </c>
      <c r="BH896" t="s">
        <v>13147</v>
      </c>
      <c r="BI896" t="s">
        <v>13148</v>
      </c>
      <c r="BJ896" t="s">
        <v>101</v>
      </c>
      <c r="BK896" t="s">
        <v>13149</v>
      </c>
      <c r="BL896" t="s">
        <v>6856</v>
      </c>
      <c r="BM896" t="s">
        <v>1904</v>
      </c>
      <c r="BN896" t="s">
        <v>4063</v>
      </c>
    </row>
    <row r="897" spans="1:66" x14ac:dyDescent="0.25">
      <c r="A897" t="str">
        <f>HYPERLINK("https://elite.finviz.com/quote.ashx?t=REKR&amp;ty=c&amp;p=d&amp;b=1", "REKR")</f>
        <v>REKR</v>
      </c>
      <c r="B897">
        <v>7</v>
      </c>
      <c r="C897">
        <v>138.38</v>
      </c>
      <c r="D897">
        <v>67.95</v>
      </c>
      <c r="E897" t="s">
        <v>13150</v>
      </c>
      <c r="F897" t="s">
        <v>107</v>
      </c>
      <c r="G897" t="s">
        <v>108</v>
      </c>
      <c r="H897" t="s">
        <v>109</v>
      </c>
      <c r="I897" t="s">
        <v>70</v>
      </c>
      <c r="J897" t="s">
        <v>321</v>
      </c>
      <c r="K897">
        <v>216.44</v>
      </c>
      <c r="L897">
        <v>1.71</v>
      </c>
      <c r="M897" t="s">
        <v>708</v>
      </c>
      <c r="N897">
        <v>1079964</v>
      </c>
      <c r="R897">
        <v>4.7699999999999996</v>
      </c>
      <c r="S897">
        <v>5.92</v>
      </c>
      <c r="AA897">
        <v>-0.54</v>
      </c>
      <c r="AB897" t="s">
        <v>5245</v>
      </c>
      <c r="AC897" t="s">
        <v>2494</v>
      </c>
      <c r="AD897" t="s">
        <v>6311</v>
      </c>
      <c r="AE897" t="s">
        <v>8852</v>
      </c>
      <c r="AF897" t="s">
        <v>13151</v>
      </c>
      <c r="AG897" t="s">
        <v>13152</v>
      </c>
      <c r="AH897" t="s">
        <v>1714</v>
      </c>
      <c r="AI897" t="s">
        <v>8084</v>
      </c>
      <c r="AJ897" t="s">
        <v>164</v>
      </c>
      <c r="AK897" t="s">
        <v>793</v>
      </c>
      <c r="AL897">
        <v>1.4</v>
      </c>
      <c r="AM897">
        <v>1.1000000000000001</v>
      </c>
      <c r="AN897">
        <v>0.85</v>
      </c>
      <c r="AO897" t="s">
        <v>1565</v>
      </c>
      <c r="AP897" t="s">
        <v>13153</v>
      </c>
      <c r="AQ897" t="s">
        <v>13154</v>
      </c>
      <c r="AR897" t="s">
        <v>4965</v>
      </c>
      <c r="AS897" t="s">
        <v>2655</v>
      </c>
      <c r="AT897" t="s">
        <v>9960</v>
      </c>
      <c r="AU897" t="s">
        <v>13115</v>
      </c>
      <c r="AV897" t="s">
        <v>10655</v>
      </c>
      <c r="AW897" t="s">
        <v>1500</v>
      </c>
      <c r="AX897" t="s">
        <v>13155</v>
      </c>
      <c r="AY897" t="s">
        <v>13156</v>
      </c>
      <c r="AZ897" t="s">
        <v>13157</v>
      </c>
      <c r="BA897">
        <v>1</v>
      </c>
      <c r="BB897">
        <v>2931.83</v>
      </c>
      <c r="BC897">
        <v>1.3</v>
      </c>
      <c r="BD897">
        <v>1.75</v>
      </c>
      <c r="BE897">
        <v>1.79</v>
      </c>
      <c r="BF897">
        <v>1.69</v>
      </c>
      <c r="BG897" t="s">
        <v>13158</v>
      </c>
      <c r="BH897" t="s">
        <v>989</v>
      </c>
      <c r="BI897" t="s">
        <v>13159</v>
      </c>
      <c r="BJ897" t="s">
        <v>101</v>
      </c>
      <c r="BK897" t="s">
        <v>13160</v>
      </c>
      <c r="BL897" t="s">
        <v>13155</v>
      </c>
      <c r="BM897" t="s">
        <v>13161</v>
      </c>
      <c r="BN897" t="s">
        <v>4063</v>
      </c>
    </row>
    <row r="898" spans="1:66" x14ac:dyDescent="0.25">
      <c r="A898" t="str">
        <f>HYPERLINK("https://elite.finviz.com/quote.ashx?t=VERA&amp;ty=c&amp;p=d&amp;b=1", "VERA")</f>
        <v>VERA</v>
      </c>
      <c r="B898">
        <v>7</v>
      </c>
      <c r="C898">
        <v>138.38</v>
      </c>
      <c r="D898">
        <v>67.97</v>
      </c>
      <c r="E898" t="s">
        <v>13162</v>
      </c>
      <c r="F898" t="s">
        <v>67</v>
      </c>
      <c r="G898" t="s">
        <v>428</v>
      </c>
      <c r="H898" t="s">
        <v>429</v>
      </c>
      <c r="I898" t="s">
        <v>70</v>
      </c>
      <c r="J898" t="s">
        <v>321</v>
      </c>
      <c r="K898">
        <v>1741.11</v>
      </c>
      <c r="L898">
        <v>27.28</v>
      </c>
      <c r="M898" t="s">
        <v>5380</v>
      </c>
      <c r="N898">
        <v>205416</v>
      </c>
      <c r="S898">
        <v>3.72</v>
      </c>
      <c r="AA898">
        <v>-3.58</v>
      </c>
      <c r="AB898" t="s">
        <v>4470</v>
      </c>
      <c r="AC898" t="s">
        <v>6378</v>
      </c>
      <c r="AD898" t="s">
        <v>914</v>
      </c>
      <c r="AI898" t="s">
        <v>13163</v>
      </c>
      <c r="AJ898" t="s">
        <v>3494</v>
      </c>
      <c r="AK898" t="s">
        <v>13164</v>
      </c>
      <c r="AL898">
        <v>16.920000000000002</v>
      </c>
      <c r="AM898">
        <v>16.920000000000002</v>
      </c>
      <c r="AN898">
        <v>0.17</v>
      </c>
      <c r="AR898" t="s">
        <v>3958</v>
      </c>
      <c r="AS898" t="s">
        <v>4172</v>
      </c>
      <c r="AT898" t="s">
        <v>1228</v>
      </c>
      <c r="AU898" t="s">
        <v>9349</v>
      </c>
      <c r="AV898" t="s">
        <v>2641</v>
      </c>
      <c r="AW898" t="s">
        <v>4646</v>
      </c>
      <c r="AX898" t="s">
        <v>13165</v>
      </c>
      <c r="AY898" t="s">
        <v>13166</v>
      </c>
      <c r="AZ898" t="s">
        <v>13167</v>
      </c>
      <c r="BA898">
        <v>1.31</v>
      </c>
      <c r="BB898">
        <v>1494.44</v>
      </c>
      <c r="BC898">
        <v>0.48</v>
      </c>
      <c r="BD898">
        <v>26.96</v>
      </c>
      <c r="BE898">
        <v>27.71</v>
      </c>
      <c r="BF898">
        <v>26.59</v>
      </c>
      <c r="BG898" t="s">
        <v>13168</v>
      </c>
      <c r="BH898" t="s">
        <v>13166</v>
      </c>
      <c r="BI898" t="s">
        <v>13169</v>
      </c>
      <c r="BJ898" t="s">
        <v>101</v>
      </c>
      <c r="BK898" t="s">
        <v>6166</v>
      </c>
      <c r="BL898" t="s">
        <v>862</v>
      </c>
      <c r="BM898" t="s">
        <v>13170</v>
      </c>
      <c r="BN898" t="s">
        <v>4063</v>
      </c>
    </row>
    <row r="899" spans="1:66" x14ac:dyDescent="0.25">
      <c r="A899" t="str">
        <f>HYPERLINK("https://elite.finviz.com/quote.ashx?t=APA&amp;ty=c&amp;p=d&amp;b=1", "APA")</f>
        <v>APA</v>
      </c>
      <c r="B899">
        <v>7</v>
      </c>
      <c r="C899">
        <v>138.38</v>
      </c>
      <c r="D899">
        <v>68.010000000000005</v>
      </c>
      <c r="E899" t="s">
        <v>13171</v>
      </c>
      <c r="F899" t="s">
        <v>195</v>
      </c>
      <c r="G899" t="s">
        <v>1048</v>
      </c>
      <c r="H899" t="s">
        <v>1049</v>
      </c>
      <c r="I899" t="s">
        <v>70</v>
      </c>
      <c r="J899" t="s">
        <v>321</v>
      </c>
      <c r="K899">
        <v>9057.36</v>
      </c>
      <c r="L899">
        <v>25.32</v>
      </c>
      <c r="M899" t="s">
        <v>2821</v>
      </c>
      <c r="N899">
        <v>1988960</v>
      </c>
      <c r="O899">
        <v>8.49</v>
      </c>
      <c r="P899">
        <v>7.94</v>
      </c>
      <c r="Q899">
        <v>6.85</v>
      </c>
      <c r="R899">
        <v>0.9</v>
      </c>
      <c r="S899">
        <v>1.54</v>
      </c>
      <c r="T899" t="s">
        <v>6475</v>
      </c>
      <c r="U899">
        <v>1</v>
      </c>
      <c r="V899" t="s">
        <v>4268</v>
      </c>
      <c r="W899" t="s">
        <v>164</v>
      </c>
      <c r="X899" t="s">
        <v>5586</v>
      </c>
      <c r="Y899" t="s">
        <v>164</v>
      </c>
      <c r="Z899" t="s">
        <v>13172</v>
      </c>
      <c r="AA899">
        <v>2.98</v>
      </c>
      <c r="AB899" t="s">
        <v>2814</v>
      </c>
      <c r="AD899" t="s">
        <v>2650</v>
      </c>
      <c r="AE899" t="s">
        <v>8356</v>
      </c>
      <c r="AF899" t="s">
        <v>5025</v>
      </c>
      <c r="AG899" t="s">
        <v>712</v>
      </c>
      <c r="AH899" t="s">
        <v>4301</v>
      </c>
      <c r="AI899" t="s">
        <v>13173</v>
      </c>
      <c r="AJ899" t="s">
        <v>5158</v>
      </c>
      <c r="AK899" t="s">
        <v>13174</v>
      </c>
      <c r="AL899">
        <v>0.8</v>
      </c>
      <c r="AM899">
        <v>0.67</v>
      </c>
      <c r="AN899">
        <v>0.79</v>
      </c>
      <c r="AO899" t="s">
        <v>10365</v>
      </c>
      <c r="AP899" t="s">
        <v>12768</v>
      </c>
      <c r="AQ899" t="s">
        <v>177</v>
      </c>
      <c r="AR899" t="s">
        <v>3500</v>
      </c>
      <c r="AS899" t="s">
        <v>316</v>
      </c>
      <c r="AT899" t="s">
        <v>4437</v>
      </c>
      <c r="AU899" t="s">
        <v>555</v>
      </c>
      <c r="AV899" t="s">
        <v>12371</v>
      </c>
      <c r="AW899" t="s">
        <v>80</v>
      </c>
      <c r="AX899" t="s">
        <v>1285</v>
      </c>
      <c r="AY899" t="s">
        <v>4841</v>
      </c>
      <c r="AZ899" t="s">
        <v>4486</v>
      </c>
      <c r="BA899">
        <v>2.97</v>
      </c>
      <c r="BB899">
        <v>6968.92</v>
      </c>
      <c r="BC899">
        <v>1.01</v>
      </c>
      <c r="BD899">
        <v>24.34</v>
      </c>
      <c r="BE899">
        <v>25.53</v>
      </c>
      <c r="BF899">
        <v>24.33</v>
      </c>
      <c r="BG899" t="s">
        <v>13175</v>
      </c>
      <c r="BH899" t="s">
        <v>13176</v>
      </c>
      <c r="BI899" t="s">
        <v>13177</v>
      </c>
      <c r="BJ899" t="s">
        <v>101</v>
      </c>
      <c r="BK899" t="s">
        <v>5103</v>
      </c>
      <c r="BL899" t="s">
        <v>850</v>
      </c>
      <c r="BM899" t="s">
        <v>2638</v>
      </c>
      <c r="BN899" t="s">
        <v>4063</v>
      </c>
    </row>
    <row r="900" spans="1:66" x14ac:dyDescent="0.25">
      <c r="A900" t="str">
        <f>HYPERLINK("https://elite.finviz.com/quote.ashx?t=LCTX&amp;ty=c&amp;p=d&amp;b=1", "LCTX")</f>
        <v>LCTX</v>
      </c>
      <c r="B900">
        <v>7</v>
      </c>
      <c r="C900">
        <v>138.38</v>
      </c>
      <c r="D900">
        <v>68.02</v>
      </c>
      <c r="E900" t="s">
        <v>13178</v>
      </c>
      <c r="F900" t="s">
        <v>107</v>
      </c>
      <c r="G900" t="s">
        <v>428</v>
      </c>
      <c r="H900" t="s">
        <v>429</v>
      </c>
      <c r="I900" t="s">
        <v>70</v>
      </c>
      <c r="J900" t="s">
        <v>383</v>
      </c>
      <c r="K900">
        <v>353.95</v>
      </c>
      <c r="L900">
        <v>1.55</v>
      </c>
      <c r="M900" t="s">
        <v>164</v>
      </c>
      <c r="N900">
        <v>242671</v>
      </c>
      <c r="R900">
        <v>32.44</v>
      </c>
      <c r="S900">
        <v>7.32</v>
      </c>
      <c r="AA900">
        <v>-0.18</v>
      </c>
      <c r="AB900" t="s">
        <v>13179</v>
      </c>
      <c r="AC900" t="s">
        <v>3640</v>
      </c>
      <c r="AD900" t="s">
        <v>3350</v>
      </c>
      <c r="AE900" t="s">
        <v>13180</v>
      </c>
      <c r="AF900" t="s">
        <v>3689</v>
      </c>
      <c r="AG900" t="s">
        <v>8213</v>
      </c>
      <c r="AH900" t="s">
        <v>13181</v>
      </c>
      <c r="AI900" t="s">
        <v>13182</v>
      </c>
      <c r="AJ900" t="s">
        <v>164</v>
      </c>
      <c r="AK900" t="s">
        <v>13183</v>
      </c>
      <c r="AL900">
        <v>4.08</v>
      </c>
      <c r="AM900">
        <v>4.08</v>
      </c>
      <c r="AN900">
        <v>0.04</v>
      </c>
      <c r="AO900" t="s">
        <v>13184</v>
      </c>
      <c r="AP900" t="s">
        <v>13185</v>
      </c>
      <c r="AQ900" t="s">
        <v>13186</v>
      </c>
      <c r="AR900" t="s">
        <v>1771</v>
      </c>
      <c r="AS900" t="s">
        <v>11629</v>
      </c>
      <c r="AT900" t="s">
        <v>2724</v>
      </c>
      <c r="AU900" t="s">
        <v>6809</v>
      </c>
      <c r="AV900" t="s">
        <v>13187</v>
      </c>
      <c r="AW900" t="s">
        <v>6354</v>
      </c>
      <c r="AX900" t="s">
        <v>13188</v>
      </c>
      <c r="AY900" t="s">
        <v>6354</v>
      </c>
      <c r="AZ900" t="s">
        <v>13189</v>
      </c>
      <c r="BA900">
        <v>1.43</v>
      </c>
      <c r="BB900">
        <v>2040.11</v>
      </c>
      <c r="BC900">
        <v>0.42</v>
      </c>
      <c r="BD900">
        <v>1.55</v>
      </c>
      <c r="BE900">
        <v>1.57</v>
      </c>
      <c r="BF900">
        <v>1.51</v>
      </c>
      <c r="BG900" t="s">
        <v>13190</v>
      </c>
      <c r="BH900" t="s">
        <v>13191</v>
      </c>
      <c r="BI900" t="s">
        <v>13192</v>
      </c>
      <c r="BJ900" t="s">
        <v>101</v>
      </c>
      <c r="BK900" t="s">
        <v>13193</v>
      </c>
      <c r="BL900" t="s">
        <v>13194</v>
      </c>
      <c r="BM900" t="s">
        <v>12827</v>
      </c>
      <c r="BN900" t="s">
        <v>4063</v>
      </c>
    </row>
    <row r="901" spans="1:66" x14ac:dyDescent="0.25">
      <c r="A901" t="str">
        <f>HYPERLINK("https://elite.finviz.com/quote.ashx?t=RIVN&amp;ty=c&amp;p=d&amp;b=1", "RIVN")</f>
        <v>RIVN</v>
      </c>
      <c r="B901">
        <v>7</v>
      </c>
      <c r="C901">
        <v>138.38</v>
      </c>
      <c r="D901">
        <v>68.06</v>
      </c>
      <c r="E901" t="s">
        <v>13195</v>
      </c>
      <c r="F901" t="s">
        <v>107</v>
      </c>
      <c r="G901" t="s">
        <v>813</v>
      </c>
      <c r="H901" t="s">
        <v>890</v>
      </c>
      <c r="I901" t="s">
        <v>70</v>
      </c>
      <c r="J901" t="s">
        <v>321</v>
      </c>
      <c r="K901">
        <v>19000.07</v>
      </c>
      <c r="L901">
        <v>15.66</v>
      </c>
      <c r="M901" t="s">
        <v>148</v>
      </c>
      <c r="N901">
        <v>10525764</v>
      </c>
      <c r="R901">
        <v>3.69</v>
      </c>
      <c r="S901">
        <v>3.13</v>
      </c>
      <c r="AA901">
        <v>-3.23</v>
      </c>
      <c r="AB901" t="s">
        <v>5736</v>
      </c>
      <c r="AC901" t="s">
        <v>13196</v>
      </c>
      <c r="AD901" t="s">
        <v>8057</v>
      </c>
      <c r="AE901" t="s">
        <v>2361</v>
      </c>
      <c r="AF901" t="s">
        <v>13197</v>
      </c>
      <c r="AH901" t="s">
        <v>13198</v>
      </c>
      <c r="AI901" t="s">
        <v>6516</v>
      </c>
      <c r="AJ901" t="s">
        <v>6192</v>
      </c>
      <c r="AK901" t="s">
        <v>13199</v>
      </c>
      <c r="AL901">
        <v>3.44</v>
      </c>
      <c r="AM901">
        <v>2.72</v>
      </c>
      <c r="AN901">
        <v>0.81</v>
      </c>
      <c r="AO901" t="s">
        <v>13200</v>
      </c>
      <c r="AP901" t="s">
        <v>13201</v>
      </c>
      <c r="AQ901" t="s">
        <v>13202</v>
      </c>
      <c r="AR901" t="s">
        <v>6593</v>
      </c>
      <c r="AS901" t="s">
        <v>636</v>
      </c>
      <c r="AT901" t="s">
        <v>9159</v>
      </c>
      <c r="AU901" t="s">
        <v>4594</v>
      </c>
      <c r="AV901" t="s">
        <v>10775</v>
      </c>
      <c r="AW901" t="s">
        <v>7272</v>
      </c>
      <c r="AX901" t="s">
        <v>5654</v>
      </c>
      <c r="AY901" t="s">
        <v>5677</v>
      </c>
      <c r="AZ901" t="s">
        <v>13203</v>
      </c>
      <c r="BA901">
        <v>2.59</v>
      </c>
      <c r="BB901">
        <v>43075.77</v>
      </c>
      <c r="BC901">
        <v>0.86</v>
      </c>
      <c r="BD901">
        <v>15.74</v>
      </c>
      <c r="BE901">
        <v>16.170000000000002</v>
      </c>
      <c r="BF901">
        <v>15.64</v>
      </c>
      <c r="BG901" t="s">
        <v>13204</v>
      </c>
      <c r="BH901" t="s">
        <v>13205</v>
      </c>
      <c r="BI901" t="s">
        <v>5823</v>
      </c>
      <c r="BJ901" t="s">
        <v>101</v>
      </c>
      <c r="BK901" t="s">
        <v>9681</v>
      </c>
      <c r="BL901" t="s">
        <v>13206</v>
      </c>
      <c r="BM901" t="s">
        <v>6583</v>
      </c>
      <c r="BN901" t="s">
        <v>4063</v>
      </c>
    </row>
    <row r="902" spans="1:66" x14ac:dyDescent="0.25">
      <c r="A902" t="str">
        <f>HYPERLINK("https://elite.finviz.com/quote.ashx?t=EBC&amp;ty=c&amp;p=d&amp;b=1", "EBC")</f>
        <v>EBC</v>
      </c>
      <c r="B902">
        <v>7</v>
      </c>
      <c r="C902">
        <v>138.38</v>
      </c>
      <c r="D902">
        <v>68.150000000000006</v>
      </c>
      <c r="E902" t="s">
        <v>13207</v>
      </c>
      <c r="F902" t="s">
        <v>67</v>
      </c>
      <c r="G902" t="s">
        <v>550</v>
      </c>
      <c r="H902" t="s">
        <v>697</v>
      </c>
      <c r="I902" t="s">
        <v>70</v>
      </c>
      <c r="J902" t="s">
        <v>321</v>
      </c>
      <c r="K902">
        <v>3837.26</v>
      </c>
      <c r="L902">
        <v>18.149999999999999</v>
      </c>
      <c r="M902" t="s">
        <v>3890</v>
      </c>
      <c r="N902">
        <v>158185</v>
      </c>
      <c r="P902">
        <v>9.14</v>
      </c>
      <c r="R902">
        <v>4.01</v>
      </c>
      <c r="S902">
        <v>1.04</v>
      </c>
      <c r="T902" t="s">
        <v>5425</v>
      </c>
      <c r="U902">
        <v>0.5</v>
      </c>
      <c r="V902" t="s">
        <v>7315</v>
      </c>
      <c r="W902" t="s">
        <v>3776</v>
      </c>
      <c r="X902" t="s">
        <v>5699</v>
      </c>
      <c r="Z902" t="s">
        <v>6318</v>
      </c>
      <c r="AA902">
        <v>-0.32</v>
      </c>
      <c r="AB902" t="s">
        <v>13208</v>
      </c>
      <c r="AC902" t="s">
        <v>1765</v>
      </c>
      <c r="AD902" t="s">
        <v>5782</v>
      </c>
      <c r="AE902" t="s">
        <v>1950</v>
      </c>
      <c r="AF902" t="s">
        <v>2636</v>
      </c>
      <c r="AG902" t="s">
        <v>3532</v>
      </c>
      <c r="AH902" t="s">
        <v>6902</v>
      </c>
      <c r="AI902" t="s">
        <v>2678</v>
      </c>
      <c r="AJ902" t="s">
        <v>2418</v>
      </c>
      <c r="AK902" t="s">
        <v>13209</v>
      </c>
      <c r="AL902">
        <v>0.05</v>
      </c>
      <c r="AN902">
        <v>0.04</v>
      </c>
      <c r="AP902" t="s">
        <v>5895</v>
      </c>
      <c r="AQ902" t="s">
        <v>137</v>
      </c>
      <c r="AR902" t="s">
        <v>4600</v>
      </c>
      <c r="AS902" t="s">
        <v>4600</v>
      </c>
      <c r="AT902" t="s">
        <v>4569</v>
      </c>
      <c r="AU902" t="s">
        <v>4248</v>
      </c>
      <c r="AV902" t="s">
        <v>6810</v>
      </c>
      <c r="AW902" t="s">
        <v>5895</v>
      </c>
      <c r="AX902" t="s">
        <v>1130</v>
      </c>
      <c r="AY902" t="s">
        <v>7383</v>
      </c>
      <c r="AZ902" t="s">
        <v>13210</v>
      </c>
      <c r="BA902">
        <v>1.4</v>
      </c>
      <c r="BB902">
        <v>1624.37</v>
      </c>
      <c r="BC902">
        <v>0.34</v>
      </c>
      <c r="BD902">
        <v>18.2</v>
      </c>
      <c r="BE902">
        <v>18.34</v>
      </c>
      <c r="BF902">
        <v>18.04</v>
      </c>
      <c r="BG902" t="s">
        <v>13211</v>
      </c>
      <c r="BH902" t="s">
        <v>9377</v>
      </c>
      <c r="BI902" t="s">
        <v>8429</v>
      </c>
      <c r="BJ902" t="s">
        <v>101</v>
      </c>
      <c r="BK902" t="s">
        <v>758</v>
      </c>
      <c r="BL902" t="s">
        <v>5658</v>
      </c>
      <c r="BM902" t="s">
        <v>1206</v>
      </c>
      <c r="BN902" t="s">
        <v>4063</v>
      </c>
    </row>
    <row r="903" spans="1:66" x14ac:dyDescent="0.25">
      <c r="A903" t="str">
        <f>HYPERLINK("https://elite.finviz.com/quote.ashx?t=JPM&amp;ty=c&amp;p=d&amp;b=1", "JPM")</f>
        <v>JPM</v>
      </c>
      <c r="B903">
        <v>7</v>
      </c>
      <c r="C903">
        <v>138.38</v>
      </c>
      <c r="D903">
        <v>68.319999999999993</v>
      </c>
      <c r="E903" t="s">
        <v>13212</v>
      </c>
      <c r="F903" t="s">
        <v>1759</v>
      </c>
      <c r="G903" t="s">
        <v>550</v>
      </c>
      <c r="H903" t="s">
        <v>12292</v>
      </c>
      <c r="I903" t="s">
        <v>70</v>
      </c>
      <c r="J903" t="s">
        <v>71</v>
      </c>
      <c r="K903">
        <v>864385.08</v>
      </c>
      <c r="L903">
        <v>314.35000000000002</v>
      </c>
      <c r="M903" t="s">
        <v>2646</v>
      </c>
      <c r="N903">
        <v>2508200</v>
      </c>
      <c r="O903">
        <v>16.13</v>
      </c>
      <c r="P903">
        <v>15.21</v>
      </c>
      <c r="Q903">
        <v>2.36</v>
      </c>
      <c r="R903">
        <v>3.1</v>
      </c>
      <c r="S903">
        <v>2.57</v>
      </c>
      <c r="T903" t="s">
        <v>2339</v>
      </c>
      <c r="U903">
        <v>5.3</v>
      </c>
      <c r="V903" t="s">
        <v>11435</v>
      </c>
      <c r="W903" t="s">
        <v>10763</v>
      </c>
      <c r="X903" t="s">
        <v>2655</v>
      </c>
      <c r="Y903" t="s">
        <v>5114</v>
      </c>
      <c r="Z903" t="s">
        <v>5553</v>
      </c>
      <c r="AA903">
        <v>19.489999999999998</v>
      </c>
      <c r="AB903" t="s">
        <v>7858</v>
      </c>
      <c r="AC903" t="s">
        <v>2463</v>
      </c>
      <c r="AD903" t="s">
        <v>3126</v>
      </c>
      <c r="AE903" t="s">
        <v>3433</v>
      </c>
      <c r="AF903" t="s">
        <v>10693</v>
      </c>
      <c r="AG903" t="s">
        <v>4941</v>
      </c>
      <c r="AH903" t="s">
        <v>8251</v>
      </c>
      <c r="AI903" t="s">
        <v>13213</v>
      </c>
      <c r="AJ903" t="s">
        <v>4131</v>
      </c>
      <c r="AK903" t="s">
        <v>13214</v>
      </c>
      <c r="AL903">
        <v>1.1599999999999999</v>
      </c>
      <c r="AN903">
        <v>3.13</v>
      </c>
      <c r="AP903" t="s">
        <v>6350</v>
      </c>
      <c r="AQ903" t="s">
        <v>11602</v>
      </c>
      <c r="AR903" t="s">
        <v>7423</v>
      </c>
      <c r="AS903" t="s">
        <v>7423</v>
      </c>
      <c r="AT903" t="s">
        <v>451</v>
      </c>
      <c r="AU903" t="s">
        <v>2542</v>
      </c>
      <c r="AV903" t="s">
        <v>7663</v>
      </c>
      <c r="AW903" t="s">
        <v>2197</v>
      </c>
      <c r="AX903" t="s">
        <v>6085</v>
      </c>
      <c r="AY903" t="s">
        <v>2197</v>
      </c>
      <c r="AZ903" t="s">
        <v>13215</v>
      </c>
      <c r="BA903">
        <v>2.2400000000000002</v>
      </c>
      <c r="BB903">
        <v>8499.14</v>
      </c>
      <c r="BC903">
        <v>1.04</v>
      </c>
      <c r="BD903">
        <v>313.45</v>
      </c>
      <c r="BE903">
        <v>317.20999999999998</v>
      </c>
      <c r="BF903">
        <v>313.7</v>
      </c>
      <c r="BG903" t="s">
        <v>13216</v>
      </c>
      <c r="BH903" t="s">
        <v>2197</v>
      </c>
      <c r="BI903" t="s">
        <v>13217</v>
      </c>
      <c r="BJ903" t="s">
        <v>101</v>
      </c>
      <c r="BK903" t="s">
        <v>7945</v>
      </c>
      <c r="BL903" t="s">
        <v>5207</v>
      </c>
      <c r="BM903" t="s">
        <v>9948</v>
      </c>
      <c r="BN903" t="s">
        <v>4063</v>
      </c>
    </row>
    <row r="904" spans="1:66" x14ac:dyDescent="0.25">
      <c r="A904" t="str">
        <f>HYPERLINK("https://elite.finviz.com/quote.ashx?t=WOW&amp;ty=c&amp;p=d&amp;b=1", "WOW")</f>
        <v>WOW</v>
      </c>
      <c r="B904">
        <v>7</v>
      </c>
      <c r="C904">
        <v>138.38</v>
      </c>
      <c r="D904">
        <v>68.34</v>
      </c>
      <c r="E904" t="s">
        <v>13218</v>
      </c>
      <c r="F904" t="s">
        <v>67</v>
      </c>
      <c r="G904" t="s">
        <v>598</v>
      </c>
      <c r="H904" t="s">
        <v>6147</v>
      </c>
      <c r="I904" t="s">
        <v>70</v>
      </c>
      <c r="J904" t="s">
        <v>71</v>
      </c>
      <c r="K904">
        <v>444.49</v>
      </c>
      <c r="L904">
        <v>5.19</v>
      </c>
      <c r="M904" t="s">
        <v>3336</v>
      </c>
      <c r="N904">
        <v>396945</v>
      </c>
      <c r="R904">
        <v>0.73</v>
      </c>
      <c r="S904">
        <v>2.46</v>
      </c>
      <c r="AA904">
        <v>-0.79</v>
      </c>
      <c r="AD904" t="s">
        <v>176</v>
      </c>
      <c r="AE904" t="s">
        <v>5409</v>
      </c>
      <c r="AF904" t="s">
        <v>4274</v>
      </c>
      <c r="AG904" t="s">
        <v>13219</v>
      </c>
      <c r="AH904" t="s">
        <v>10972</v>
      </c>
      <c r="AI904" t="s">
        <v>13220</v>
      </c>
      <c r="AJ904" t="s">
        <v>2745</v>
      </c>
      <c r="AK904" t="s">
        <v>13221</v>
      </c>
      <c r="AL904">
        <v>0.54</v>
      </c>
      <c r="AM904">
        <v>0.54</v>
      </c>
      <c r="AN904">
        <v>5.94</v>
      </c>
      <c r="AO904" t="s">
        <v>8712</v>
      </c>
      <c r="AP904" t="s">
        <v>3118</v>
      </c>
      <c r="AQ904" t="s">
        <v>1323</v>
      </c>
      <c r="AR904" t="s">
        <v>6117</v>
      </c>
      <c r="AS904" t="s">
        <v>3047</v>
      </c>
      <c r="AT904" t="s">
        <v>747</v>
      </c>
      <c r="AU904" t="s">
        <v>4558</v>
      </c>
      <c r="AV904" t="s">
        <v>13222</v>
      </c>
      <c r="AW904" t="s">
        <v>4328</v>
      </c>
      <c r="AX904" t="s">
        <v>13223</v>
      </c>
      <c r="AY904" t="s">
        <v>9330</v>
      </c>
      <c r="AZ904" t="s">
        <v>13223</v>
      </c>
      <c r="BA904">
        <v>3</v>
      </c>
      <c r="BB904">
        <v>1496.12</v>
      </c>
      <c r="BC904">
        <v>0.94</v>
      </c>
      <c r="BD904">
        <v>5.16</v>
      </c>
      <c r="BE904">
        <v>5.2</v>
      </c>
      <c r="BF904">
        <v>5.16</v>
      </c>
      <c r="BG904" t="s">
        <v>13224</v>
      </c>
      <c r="BH904" t="s">
        <v>13225</v>
      </c>
      <c r="BI904" t="s">
        <v>13226</v>
      </c>
      <c r="BJ904" t="s">
        <v>101</v>
      </c>
      <c r="BK904" t="s">
        <v>1663</v>
      </c>
      <c r="BL904" t="s">
        <v>6770</v>
      </c>
      <c r="BM904" t="s">
        <v>6127</v>
      </c>
      <c r="BN904" t="s">
        <v>4063</v>
      </c>
    </row>
    <row r="905" spans="1:66" x14ac:dyDescent="0.25">
      <c r="A905" t="str">
        <f>HYPERLINK("https://elite.finviz.com/quote.ashx?t=SPRU&amp;ty=c&amp;p=d&amp;b=1", "SPRU")</f>
        <v>SPRU</v>
      </c>
      <c r="B905">
        <v>7</v>
      </c>
      <c r="C905">
        <v>138.38</v>
      </c>
      <c r="D905">
        <v>68.34</v>
      </c>
      <c r="E905" t="s">
        <v>13227</v>
      </c>
      <c r="F905" t="s">
        <v>107</v>
      </c>
      <c r="G905" t="s">
        <v>108</v>
      </c>
      <c r="H905" t="s">
        <v>2924</v>
      </c>
      <c r="I905" t="s">
        <v>70</v>
      </c>
      <c r="J905" t="s">
        <v>71</v>
      </c>
      <c r="K905">
        <v>35.67</v>
      </c>
      <c r="L905">
        <v>2</v>
      </c>
      <c r="M905" t="s">
        <v>4996</v>
      </c>
      <c r="N905">
        <v>142731</v>
      </c>
      <c r="R905">
        <v>0.36</v>
      </c>
      <c r="S905">
        <v>0.28999999999999998</v>
      </c>
      <c r="AA905">
        <v>-4.21</v>
      </c>
      <c r="AE905" t="s">
        <v>13228</v>
      </c>
      <c r="AH905" t="s">
        <v>13229</v>
      </c>
      <c r="AJ905" t="s">
        <v>2486</v>
      </c>
      <c r="AK905" t="s">
        <v>2612</v>
      </c>
      <c r="AL905">
        <v>0.5</v>
      </c>
      <c r="AM905">
        <v>0.5</v>
      </c>
      <c r="AN905">
        <v>5.61</v>
      </c>
      <c r="AO905" t="s">
        <v>5486</v>
      </c>
      <c r="AP905" t="s">
        <v>6449</v>
      </c>
      <c r="AQ905" t="s">
        <v>13230</v>
      </c>
      <c r="AR905" t="s">
        <v>12465</v>
      </c>
      <c r="AS905" t="s">
        <v>4686</v>
      </c>
      <c r="AT905" t="s">
        <v>12079</v>
      </c>
      <c r="AU905" t="s">
        <v>13231</v>
      </c>
      <c r="AV905" t="s">
        <v>13232</v>
      </c>
      <c r="AW905" t="s">
        <v>6392</v>
      </c>
      <c r="AX905" t="s">
        <v>13233</v>
      </c>
      <c r="AY905" t="s">
        <v>140</v>
      </c>
      <c r="AZ905" t="s">
        <v>13233</v>
      </c>
      <c r="BB905">
        <v>1324.27</v>
      </c>
      <c r="BC905">
        <v>0.38</v>
      </c>
      <c r="BD905">
        <v>1.81</v>
      </c>
      <c r="BE905">
        <v>2.0299999999999998</v>
      </c>
      <c r="BF905">
        <v>1.81</v>
      </c>
      <c r="BG905" t="s">
        <v>13234</v>
      </c>
      <c r="BH905" t="s">
        <v>13235</v>
      </c>
      <c r="BI905" t="s">
        <v>13233</v>
      </c>
      <c r="BJ905" t="s">
        <v>101</v>
      </c>
      <c r="BK905" t="s">
        <v>3286</v>
      </c>
      <c r="BL905" t="s">
        <v>9827</v>
      </c>
      <c r="BM905" t="s">
        <v>6986</v>
      </c>
      <c r="BN905" t="s">
        <v>4063</v>
      </c>
    </row>
    <row r="906" spans="1:66" x14ac:dyDescent="0.25">
      <c r="A906" t="str">
        <f>HYPERLINK("https://elite.finviz.com/quote.ashx?t=METC&amp;ty=c&amp;p=d&amp;b=1", "METC")</f>
        <v>METC</v>
      </c>
      <c r="B906">
        <v>7</v>
      </c>
      <c r="C906">
        <v>138.38</v>
      </c>
      <c r="D906">
        <v>68.36</v>
      </c>
      <c r="E906" t="s">
        <v>13236</v>
      </c>
      <c r="F906" t="s">
        <v>67</v>
      </c>
      <c r="G906" t="s">
        <v>355</v>
      </c>
      <c r="H906" t="s">
        <v>10954</v>
      </c>
      <c r="I906" t="s">
        <v>70</v>
      </c>
      <c r="J906" t="s">
        <v>321</v>
      </c>
      <c r="K906">
        <v>1978.43</v>
      </c>
      <c r="L906">
        <v>32.67</v>
      </c>
      <c r="M906" t="s">
        <v>5721</v>
      </c>
      <c r="N906">
        <v>611702</v>
      </c>
      <c r="P906">
        <v>37.770000000000003</v>
      </c>
      <c r="R906">
        <v>3.16</v>
      </c>
      <c r="S906">
        <v>5.18</v>
      </c>
      <c r="T906" t="s">
        <v>2217</v>
      </c>
      <c r="V906" t="s">
        <v>13237</v>
      </c>
      <c r="Z906" t="s">
        <v>13238</v>
      </c>
      <c r="AA906">
        <v>-0.37</v>
      </c>
      <c r="AB906" t="s">
        <v>513</v>
      </c>
      <c r="AC906" t="s">
        <v>6284</v>
      </c>
      <c r="AD906" t="s">
        <v>13239</v>
      </c>
      <c r="AE906" t="s">
        <v>13240</v>
      </c>
      <c r="AF906" t="s">
        <v>8653</v>
      </c>
      <c r="AG906" t="s">
        <v>9496</v>
      </c>
      <c r="AH906" t="s">
        <v>5879</v>
      </c>
      <c r="AI906" t="s">
        <v>8953</v>
      </c>
      <c r="AJ906" t="s">
        <v>1345</v>
      </c>
      <c r="AK906" t="s">
        <v>13241</v>
      </c>
      <c r="AL906">
        <v>1.36</v>
      </c>
      <c r="AM906">
        <v>0.84</v>
      </c>
      <c r="AN906">
        <v>0.39</v>
      </c>
      <c r="AO906" t="s">
        <v>1576</v>
      </c>
      <c r="AP906" t="s">
        <v>7391</v>
      </c>
      <c r="AQ906" t="s">
        <v>3322</v>
      </c>
      <c r="AR906" t="s">
        <v>2967</v>
      </c>
      <c r="AS906" t="s">
        <v>5552</v>
      </c>
      <c r="AT906" t="s">
        <v>2544</v>
      </c>
      <c r="AU906" t="s">
        <v>13242</v>
      </c>
      <c r="AV906" t="s">
        <v>13243</v>
      </c>
      <c r="AW906" t="s">
        <v>5852</v>
      </c>
      <c r="AX906" t="s">
        <v>13244</v>
      </c>
      <c r="AY906" t="s">
        <v>5852</v>
      </c>
      <c r="AZ906" t="s">
        <v>13245</v>
      </c>
      <c r="BA906">
        <v>1</v>
      </c>
      <c r="BB906">
        <v>3529.91</v>
      </c>
      <c r="BC906">
        <v>0.61</v>
      </c>
      <c r="BD906">
        <v>32.979999999999997</v>
      </c>
      <c r="BE906">
        <v>33.33</v>
      </c>
      <c r="BF906">
        <v>32.32</v>
      </c>
      <c r="BG906" t="s">
        <v>13246</v>
      </c>
      <c r="BH906" t="s">
        <v>5852</v>
      </c>
      <c r="BI906" t="s">
        <v>13247</v>
      </c>
      <c r="BJ906" t="s">
        <v>101</v>
      </c>
      <c r="BK906" t="s">
        <v>13248</v>
      </c>
      <c r="BL906" t="s">
        <v>13249</v>
      </c>
      <c r="BM906" t="s">
        <v>13250</v>
      </c>
      <c r="BN906" t="s">
        <v>4063</v>
      </c>
    </row>
    <row r="907" spans="1:66" x14ac:dyDescent="0.25">
      <c r="A907" t="str">
        <f>HYPERLINK("https://elite.finviz.com/quote.ashx?t=ENTO&amp;ty=c&amp;p=d&amp;b=1", "ENTO")</f>
        <v>ENTO</v>
      </c>
      <c r="B907">
        <v>7</v>
      </c>
      <c r="C907">
        <v>138.38</v>
      </c>
      <c r="D907">
        <v>68.37</v>
      </c>
      <c r="E907" t="s">
        <v>13251</v>
      </c>
      <c r="F907" t="s">
        <v>107</v>
      </c>
      <c r="G907" t="s">
        <v>428</v>
      </c>
      <c r="H907" t="s">
        <v>429</v>
      </c>
      <c r="I907" t="s">
        <v>70</v>
      </c>
      <c r="J907" t="s">
        <v>321</v>
      </c>
      <c r="K907">
        <v>7.37</v>
      </c>
      <c r="L907">
        <v>4.6399999999999997</v>
      </c>
      <c r="M907" t="s">
        <v>2856</v>
      </c>
      <c r="N907">
        <v>9370</v>
      </c>
      <c r="AA907">
        <v>-11.06</v>
      </c>
      <c r="AB907" t="s">
        <v>13252</v>
      </c>
      <c r="AC907" t="s">
        <v>13253</v>
      </c>
      <c r="AI907" t="s">
        <v>13254</v>
      </c>
      <c r="AJ907" t="s">
        <v>164</v>
      </c>
      <c r="AK907" t="s">
        <v>6430</v>
      </c>
      <c r="AL907">
        <v>2.81</v>
      </c>
      <c r="AM907">
        <v>2.81</v>
      </c>
      <c r="AN907">
        <v>0.02</v>
      </c>
      <c r="AR907" t="s">
        <v>4288</v>
      </c>
      <c r="AS907" t="s">
        <v>7167</v>
      </c>
      <c r="AT907" t="s">
        <v>10513</v>
      </c>
      <c r="AU907" t="s">
        <v>10423</v>
      </c>
      <c r="AV907" t="s">
        <v>13255</v>
      </c>
      <c r="AW907" t="s">
        <v>7362</v>
      </c>
      <c r="AX907" t="s">
        <v>13256</v>
      </c>
      <c r="AY907" t="s">
        <v>7362</v>
      </c>
      <c r="AZ907" t="s">
        <v>13257</v>
      </c>
      <c r="BA907">
        <v>1</v>
      </c>
      <c r="BB907">
        <v>1849.46</v>
      </c>
      <c r="BC907">
        <v>0.02</v>
      </c>
      <c r="BD907">
        <v>4.71</v>
      </c>
      <c r="BE907">
        <v>4.78</v>
      </c>
      <c r="BF907">
        <v>4.54</v>
      </c>
      <c r="BG907" t="s">
        <v>13258</v>
      </c>
      <c r="BH907" t="s">
        <v>579</v>
      </c>
      <c r="BI907" t="s">
        <v>13259</v>
      </c>
      <c r="BJ907" t="s">
        <v>101</v>
      </c>
      <c r="BK907" t="s">
        <v>13260</v>
      </c>
      <c r="BL907" t="s">
        <v>13261</v>
      </c>
      <c r="BM907" t="s">
        <v>13262</v>
      </c>
      <c r="BN907" t="s">
        <v>4063</v>
      </c>
    </row>
    <row r="908" spans="1:66" x14ac:dyDescent="0.25">
      <c r="A908" t="str">
        <f>HYPERLINK("https://elite.finviz.com/quote.ashx?t=SEI&amp;ty=c&amp;p=d&amp;b=1", "SEI")</f>
        <v>SEI</v>
      </c>
      <c r="B908">
        <v>7</v>
      </c>
      <c r="C908">
        <v>138.38</v>
      </c>
      <c r="D908">
        <v>68.48</v>
      </c>
      <c r="E908" t="s">
        <v>13263</v>
      </c>
      <c r="F908" t="s">
        <v>67</v>
      </c>
      <c r="G908" t="s">
        <v>1048</v>
      </c>
      <c r="H908" t="s">
        <v>8341</v>
      </c>
      <c r="I908" t="s">
        <v>70</v>
      </c>
      <c r="J908" t="s">
        <v>71</v>
      </c>
      <c r="K908">
        <v>2626.27</v>
      </c>
      <c r="L908">
        <v>38.86</v>
      </c>
      <c r="M908" t="s">
        <v>6336</v>
      </c>
      <c r="N908">
        <v>395416</v>
      </c>
      <c r="O908">
        <v>65.739999999999995</v>
      </c>
      <c r="P908">
        <v>29.76</v>
      </c>
      <c r="Q908">
        <v>0.87</v>
      </c>
      <c r="R908">
        <v>5.88</v>
      </c>
      <c r="S908">
        <v>3.95</v>
      </c>
      <c r="T908" t="s">
        <v>2650</v>
      </c>
      <c r="U908">
        <v>0.48</v>
      </c>
      <c r="V908" t="s">
        <v>5925</v>
      </c>
      <c r="W908" t="s">
        <v>4760</v>
      </c>
      <c r="X908" t="s">
        <v>4104</v>
      </c>
      <c r="Y908" t="s">
        <v>170</v>
      </c>
      <c r="Z908" t="s">
        <v>13264</v>
      </c>
      <c r="AA908">
        <v>0.59</v>
      </c>
      <c r="AC908" t="s">
        <v>13265</v>
      </c>
      <c r="AD908" t="s">
        <v>852</v>
      </c>
      <c r="AE908" t="s">
        <v>13266</v>
      </c>
      <c r="AF908" t="s">
        <v>5068</v>
      </c>
      <c r="AG908" t="s">
        <v>5611</v>
      </c>
      <c r="AH908" t="s">
        <v>13267</v>
      </c>
      <c r="AI908" t="s">
        <v>11160</v>
      </c>
      <c r="AJ908" t="s">
        <v>13268</v>
      </c>
      <c r="AK908" t="s">
        <v>4344</v>
      </c>
      <c r="AL908">
        <v>3.11</v>
      </c>
      <c r="AM908">
        <v>2.98</v>
      </c>
      <c r="AN908">
        <v>1.37</v>
      </c>
      <c r="AO908" t="s">
        <v>13269</v>
      </c>
      <c r="AP908" t="s">
        <v>301</v>
      </c>
      <c r="AQ908" t="s">
        <v>372</v>
      </c>
      <c r="AR908" t="s">
        <v>607</v>
      </c>
      <c r="AS908" t="s">
        <v>4437</v>
      </c>
      <c r="AT908" t="s">
        <v>6001</v>
      </c>
      <c r="AU908" t="s">
        <v>12534</v>
      </c>
      <c r="AV908" t="s">
        <v>13270</v>
      </c>
      <c r="AW908" t="s">
        <v>8794</v>
      </c>
      <c r="AX908" t="s">
        <v>13271</v>
      </c>
      <c r="AY908" t="s">
        <v>8794</v>
      </c>
      <c r="AZ908" t="s">
        <v>13272</v>
      </c>
      <c r="BA908">
        <v>1.18</v>
      </c>
      <c r="BB908">
        <v>2174.0300000000002</v>
      </c>
      <c r="BC908">
        <v>0.64</v>
      </c>
      <c r="BD908">
        <v>38.200000000000003</v>
      </c>
      <c r="BE908">
        <v>39.369999999999997</v>
      </c>
      <c r="BF908">
        <v>38.31</v>
      </c>
      <c r="BG908" t="s">
        <v>13273</v>
      </c>
      <c r="BH908" t="s">
        <v>8794</v>
      </c>
      <c r="BI908" t="s">
        <v>13274</v>
      </c>
      <c r="BJ908" t="s">
        <v>101</v>
      </c>
      <c r="BK908" t="s">
        <v>7280</v>
      </c>
      <c r="BL908" t="s">
        <v>10960</v>
      </c>
      <c r="BM908" t="s">
        <v>13275</v>
      </c>
      <c r="BN908" t="s">
        <v>4063</v>
      </c>
    </row>
    <row r="909" spans="1:66" x14ac:dyDescent="0.25">
      <c r="A909" t="str">
        <f>HYPERLINK("https://elite.finviz.com/quote.ashx?t=MS&amp;ty=c&amp;p=d&amp;b=1", "MS")</f>
        <v>MS</v>
      </c>
      <c r="B909">
        <v>7</v>
      </c>
      <c r="C909">
        <v>138.38</v>
      </c>
      <c r="D909">
        <v>68.5</v>
      </c>
      <c r="E909" t="s">
        <v>13276</v>
      </c>
      <c r="F909" t="s">
        <v>195</v>
      </c>
      <c r="G909" t="s">
        <v>550</v>
      </c>
      <c r="H909" t="s">
        <v>551</v>
      </c>
      <c r="I909" t="s">
        <v>70</v>
      </c>
      <c r="J909" t="s">
        <v>71</v>
      </c>
      <c r="K909">
        <v>255522.59</v>
      </c>
      <c r="L909">
        <v>160.07</v>
      </c>
      <c r="M909" t="s">
        <v>3047</v>
      </c>
      <c r="N909">
        <v>947798</v>
      </c>
      <c r="O909">
        <v>18.14</v>
      </c>
      <c r="P909">
        <v>16.55</v>
      </c>
      <c r="Q909">
        <v>1.83</v>
      </c>
      <c r="R909">
        <v>2.34</v>
      </c>
      <c r="S909">
        <v>2.6</v>
      </c>
      <c r="T909" t="s">
        <v>3208</v>
      </c>
      <c r="U909">
        <v>3.78</v>
      </c>
      <c r="V909" t="s">
        <v>5604</v>
      </c>
      <c r="W909" t="s">
        <v>2237</v>
      </c>
      <c r="X909" t="s">
        <v>13277</v>
      </c>
      <c r="Y909" t="s">
        <v>13278</v>
      </c>
      <c r="Z909" t="s">
        <v>2716</v>
      </c>
      <c r="AA909">
        <v>8.83</v>
      </c>
      <c r="AB909" t="s">
        <v>2263</v>
      </c>
      <c r="AC909" t="s">
        <v>660</v>
      </c>
      <c r="AD909" t="s">
        <v>7698</v>
      </c>
      <c r="AE909" t="s">
        <v>3777</v>
      </c>
      <c r="AF909" t="s">
        <v>9884</v>
      </c>
      <c r="AG909" t="s">
        <v>5706</v>
      </c>
      <c r="AH909" t="s">
        <v>8691</v>
      </c>
      <c r="AI909" t="s">
        <v>8808</v>
      </c>
      <c r="AJ909" t="s">
        <v>2745</v>
      </c>
      <c r="AK909" t="s">
        <v>11784</v>
      </c>
      <c r="AL909">
        <v>1.49</v>
      </c>
      <c r="AN909">
        <v>4.08</v>
      </c>
      <c r="AP909" t="s">
        <v>775</v>
      </c>
      <c r="AQ909" t="s">
        <v>12293</v>
      </c>
      <c r="AR909" t="s">
        <v>5420</v>
      </c>
      <c r="AS909" t="s">
        <v>2219</v>
      </c>
      <c r="AT909" t="s">
        <v>8013</v>
      </c>
      <c r="AU909" t="s">
        <v>8535</v>
      </c>
      <c r="AV909" t="s">
        <v>13279</v>
      </c>
      <c r="AW909" t="s">
        <v>10819</v>
      </c>
      <c r="AX909" t="s">
        <v>3668</v>
      </c>
      <c r="AY909" t="s">
        <v>10819</v>
      </c>
      <c r="AZ909" t="s">
        <v>13280</v>
      </c>
      <c r="BA909">
        <v>2.48</v>
      </c>
      <c r="BB909">
        <v>5335.58</v>
      </c>
      <c r="BC909">
        <v>0.63</v>
      </c>
      <c r="BD909">
        <v>158.94999999999999</v>
      </c>
      <c r="BE909">
        <v>161.44999999999999</v>
      </c>
      <c r="BF909">
        <v>159.34</v>
      </c>
      <c r="BG909" t="s">
        <v>13281</v>
      </c>
      <c r="BH909" t="s">
        <v>10819</v>
      </c>
      <c r="BI909" t="s">
        <v>13282</v>
      </c>
      <c r="BJ909" t="s">
        <v>101</v>
      </c>
      <c r="BK909" t="s">
        <v>7033</v>
      </c>
      <c r="BL909" t="s">
        <v>3069</v>
      </c>
      <c r="BM909" t="s">
        <v>13283</v>
      </c>
      <c r="BN909" t="s">
        <v>4063</v>
      </c>
    </row>
    <row r="910" spans="1:66" x14ac:dyDescent="0.25">
      <c r="A910" t="str">
        <f>HYPERLINK("https://elite.finviz.com/quote.ashx?t=GOOGL&amp;ty=c&amp;p=d&amp;b=1", "GOOGL")</f>
        <v>GOOGL</v>
      </c>
      <c r="B910">
        <v>7</v>
      </c>
      <c r="C910">
        <v>138.38</v>
      </c>
      <c r="D910">
        <v>68.569999999999993</v>
      </c>
      <c r="E910" t="s">
        <v>13284</v>
      </c>
      <c r="F910" t="s">
        <v>319</v>
      </c>
      <c r="G910" t="s">
        <v>598</v>
      </c>
      <c r="H910" t="s">
        <v>599</v>
      </c>
      <c r="I910" t="s">
        <v>70</v>
      </c>
      <c r="J910" t="s">
        <v>321</v>
      </c>
      <c r="K910">
        <v>2989354.83</v>
      </c>
      <c r="L910">
        <v>246.82</v>
      </c>
      <c r="M910" t="s">
        <v>1409</v>
      </c>
      <c r="N910">
        <v>6287222</v>
      </c>
      <c r="O910">
        <v>26.29</v>
      </c>
      <c r="P910">
        <v>23.1</v>
      </c>
      <c r="Q910">
        <v>1.77</v>
      </c>
      <c r="R910">
        <v>8.0500000000000007</v>
      </c>
      <c r="S910">
        <v>8.23</v>
      </c>
      <c r="T910" t="s">
        <v>430</v>
      </c>
      <c r="U910">
        <v>0.82</v>
      </c>
      <c r="V910" t="s">
        <v>9611</v>
      </c>
      <c r="Z910" t="s">
        <v>7236</v>
      </c>
      <c r="AA910">
        <v>9.39</v>
      </c>
      <c r="AB910" t="s">
        <v>2905</v>
      </c>
      <c r="AC910" t="s">
        <v>10765</v>
      </c>
      <c r="AD910" t="s">
        <v>4295</v>
      </c>
      <c r="AE910" t="s">
        <v>7553</v>
      </c>
      <c r="AF910" t="s">
        <v>177</v>
      </c>
      <c r="AG910" t="s">
        <v>1205</v>
      </c>
      <c r="AH910" t="s">
        <v>2626</v>
      </c>
      <c r="AI910" t="s">
        <v>2581</v>
      </c>
      <c r="AJ910" t="s">
        <v>2215</v>
      </c>
      <c r="AK910" t="s">
        <v>8367</v>
      </c>
      <c r="AL910">
        <v>1.9</v>
      </c>
      <c r="AM910">
        <v>1.9</v>
      </c>
      <c r="AN910">
        <v>0.11</v>
      </c>
      <c r="AO910" t="s">
        <v>11214</v>
      </c>
      <c r="AP910" t="s">
        <v>13285</v>
      </c>
      <c r="AQ910" t="s">
        <v>4721</v>
      </c>
      <c r="AR910" t="s">
        <v>5968</v>
      </c>
      <c r="AS910" t="s">
        <v>3544</v>
      </c>
      <c r="AT910" t="s">
        <v>2582</v>
      </c>
      <c r="AU910" t="s">
        <v>5775</v>
      </c>
      <c r="AV910" t="s">
        <v>947</v>
      </c>
      <c r="AW910" t="s">
        <v>4927</v>
      </c>
      <c r="AX910" t="s">
        <v>13286</v>
      </c>
      <c r="AY910" t="s">
        <v>4927</v>
      </c>
      <c r="AZ910" t="s">
        <v>852</v>
      </c>
      <c r="BA910">
        <v>1.49</v>
      </c>
      <c r="BB910">
        <v>37886.879999999997</v>
      </c>
      <c r="BC910">
        <v>0.57999999999999996</v>
      </c>
      <c r="BD910">
        <v>245.79</v>
      </c>
      <c r="BE910">
        <v>249.42</v>
      </c>
      <c r="BF910">
        <v>246.08</v>
      </c>
      <c r="BG910" t="s">
        <v>13287</v>
      </c>
      <c r="BH910" t="s">
        <v>4927</v>
      </c>
      <c r="BI910" t="s">
        <v>13288</v>
      </c>
      <c r="BJ910" t="s">
        <v>101</v>
      </c>
      <c r="BK910" t="s">
        <v>13289</v>
      </c>
      <c r="BL910" t="s">
        <v>6665</v>
      </c>
      <c r="BM910" t="s">
        <v>13290</v>
      </c>
      <c r="BN910" t="s">
        <v>4063</v>
      </c>
    </row>
    <row r="911" spans="1:66" x14ac:dyDescent="0.25">
      <c r="A911" t="str">
        <f>HYPERLINK("https://elite.finviz.com/quote.ashx?t=SATS&amp;ty=c&amp;p=d&amp;b=1", "SATS")</f>
        <v>SATS</v>
      </c>
      <c r="B911">
        <v>7</v>
      </c>
      <c r="C911">
        <v>138.38</v>
      </c>
      <c r="D911">
        <v>68.569999999999993</v>
      </c>
      <c r="E911" t="s">
        <v>13291</v>
      </c>
      <c r="F911" t="s">
        <v>67</v>
      </c>
      <c r="G911" t="s">
        <v>598</v>
      </c>
      <c r="H911" t="s">
        <v>6147</v>
      </c>
      <c r="I911" t="s">
        <v>70</v>
      </c>
      <c r="J911" t="s">
        <v>321</v>
      </c>
      <c r="K911">
        <v>21181.68</v>
      </c>
      <c r="L911">
        <v>73.62</v>
      </c>
      <c r="M911" t="s">
        <v>1022</v>
      </c>
      <c r="N911">
        <v>1304760</v>
      </c>
      <c r="R911">
        <v>1.37</v>
      </c>
      <c r="S911">
        <v>1.07</v>
      </c>
      <c r="AA911">
        <v>-1.1200000000000001</v>
      </c>
      <c r="AC911" t="s">
        <v>7403</v>
      </c>
      <c r="AE911" t="s">
        <v>13292</v>
      </c>
      <c r="AF911" t="s">
        <v>13293</v>
      </c>
      <c r="AG911" t="s">
        <v>13294</v>
      </c>
      <c r="AH911" t="s">
        <v>7402</v>
      </c>
      <c r="AI911" t="s">
        <v>4277</v>
      </c>
      <c r="AJ911" t="s">
        <v>2486</v>
      </c>
      <c r="AK911" t="s">
        <v>724</v>
      </c>
      <c r="AL911">
        <v>1.22</v>
      </c>
      <c r="AM911">
        <v>1.1499999999999999</v>
      </c>
      <c r="AN911">
        <v>1.5</v>
      </c>
      <c r="AO911" t="s">
        <v>293</v>
      </c>
      <c r="AP911" t="s">
        <v>4529</v>
      </c>
      <c r="AQ911" t="s">
        <v>4150</v>
      </c>
      <c r="AR911" t="s">
        <v>7088</v>
      </c>
      <c r="AS911" t="s">
        <v>1826</v>
      </c>
      <c r="AT911" t="s">
        <v>910</v>
      </c>
      <c r="AU911" t="s">
        <v>13295</v>
      </c>
      <c r="AV911" t="s">
        <v>13296</v>
      </c>
      <c r="AW911" t="s">
        <v>11746</v>
      </c>
      <c r="AX911" t="s">
        <v>13297</v>
      </c>
      <c r="AY911" t="s">
        <v>11746</v>
      </c>
      <c r="AZ911" t="s">
        <v>13298</v>
      </c>
      <c r="BA911">
        <v>2.56</v>
      </c>
      <c r="BB911">
        <v>5151.3500000000004</v>
      </c>
      <c r="BC911">
        <v>0.89</v>
      </c>
      <c r="BD911">
        <v>73.14</v>
      </c>
      <c r="BE911">
        <v>74.78</v>
      </c>
      <c r="BF911">
        <v>73.14</v>
      </c>
      <c r="BG911" t="s">
        <v>13299</v>
      </c>
      <c r="BH911" t="s">
        <v>11746</v>
      </c>
      <c r="BI911" t="s">
        <v>13300</v>
      </c>
      <c r="BJ911" t="s">
        <v>101</v>
      </c>
      <c r="BK911" t="s">
        <v>13301</v>
      </c>
      <c r="BL911" t="s">
        <v>13302</v>
      </c>
      <c r="BM911" t="s">
        <v>13303</v>
      </c>
      <c r="BN911" t="s">
        <v>4063</v>
      </c>
    </row>
    <row r="912" spans="1:66" x14ac:dyDescent="0.25">
      <c r="A912" t="str">
        <f>HYPERLINK("https://elite.finviz.com/quote.ashx?t=EU&amp;ty=c&amp;p=d&amp;b=1", "EU")</f>
        <v>EU</v>
      </c>
      <c r="B912">
        <v>7</v>
      </c>
      <c r="C912">
        <v>138.38</v>
      </c>
      <c r="D912">
        <v>68.61</v>
      </c>
      <c r="E912" t="s">
        <v>13304</v>
      </c>
      <c r="F912" t="s">
        <v>67</v>
      </c>
      <c r="G912" t="s">
        <v>1048</v>
      </c>
      <c r="H912" t="s">
        <v>1355</v>
      </c>
      <c r="I912" t="s">
        <v>70</v>
      </c>
      <c r="J912" t="s">
        <v>321</v>
      </c>
      <c r="K912">
        <v>579.04</v>
      </c>
      <c r="L912">
        <v>3.1</v>
      </c>
      <c r="M912" t="s">
        <v>997</v>
      </c>
      <c r="N912">
        <v>1588386</v>
      </c>
      <c r="R912">
        <v>13.01</v>
      </c>
      <c r="S912">
        <v>2.19</v>
      </c>
      <c r="V912" t="s">
        <v>13305</v>
      </c>
      <c r="AA912">
        <v>-0.34</v>
      </c>
      <c r="AB912" t="s">
        <v>13306</v>
      </c>
      <c r="AC912" t="s">
        <v>2591</v>
      </c>
      <c r="AE912" t="s">
        <v>1516</v>
      </c>
      <c r="AH912" t="s">
        <v>13307</v>
      </c>
      <c r="AI912" t="s">
        <v>13308</v>
      </c>
      <c r="AJ912" t="s">
        <v>5577</v>
      </c>
      <c r="AK912" t="s">
        <v>13309</v>
      </c>
      <c r="AL912">
        <v>2.5299999999999998</v>
      </c>
      <c r="AM912">
        <v>2.04</v>
      </c>
      <c r="AN912">
        <v>0.04</v>
      </c>
      <c r="AO912" t="s">
        <v>9261</v>
      </c>
      <c r="AP912" t="s">
        <v>13310</v>
      </c>
      <c r="AQ912" t="s">
        <v>13311</v>
      </c>
      <c r="AR912" t="s">
        <v>3064</v>
      </c>
      <c r="AS912" t="s">
        <v>8276</v>
      </c>
      <c r="AT912" t="s">
        <v>5950</v>
      </c>
      <c r="AU912" t="s">
        <v>4601</v>
      </c>
      <c r="AV912" t="s">
        <v>13312</v>
      </c>
      <c r="AW912" t="s">
        <v>9635</v>
      </c>
      <c r="AX912" t="s">
        <v>8369</v>
      </c>
      <c r="AY912" t="s">
        <v>13313</v>
      </c>
      <c r="AZ912" t="s">
        <v>13314</v>
      </c>
      <c r="BA912">
        <v>1</v>
      </c>
      <c r="BB912">
        <v>3724.27</v>
      </c>
      <c r="BC912">
        <v>1.5</v>
      </c>
      <c r="BD912">
        <v>3.19</v>
      </c>
      <c r="BE912">
        <v>3.27</v>
      </c>
      <c r="BF912">
        <v>3.06</v>
      </c>
      <c r="BG912" t="s">
        <v>13315</v>
      </c>
      <c r="BH912" t="s">
        <v>13316</v>
      </c>
      <c r="BI912" t="s">
        <v>13317</v>
      </c>
      <c r="BJ912" t="s">
        <v>101</v>
      </c>
      <c r="BK912" t="s">
        <v>639</v>
      </c>
      <c r="BL912" t="s">
        <v>13318</v>
      </c>
      <c r="BM912" t="s">
        <v>13319</v>
      </c>
      <c r="BN912" t="s">
        <v>4063</v>
      </c>
    </row>
    <row r="913" spans="1:66" x14ac:dyDescent="0.25">
      <c r="A913" t="str">
        <f>HYPERLINK("https://elite.finviz.com/quote.ashx?t=ORI&amp;ty=c&amp;p=d&amp;b=1", "ORI")</f>
        <v>ORI</v>
      </c>
      <c r="B913">
        <v>7</v>
      </c>
      <c r="C913">
        <v>138.38</v>
      </c>
      <c r="D913">
        <v>68.680000000000007</v>
      </c>
      <c r="E913" t="s">
        <v>13320</v>
      </c>
      <c r="F913" t="s">
        <v>107</v>
      </c>
      <c r="G913" t="s">
        <v>550</v>
      </c>
      <c r="H913" t="s">
        <v>4407</v>
      </c>
      <c r="I913" t="s">
        <v>70</v>
      </c>
      <c r="J913" t="s">
        <v>71</v>
      </c>
      <c r="K913">
        <v>10390.76</v>
      </c>
      <c r="L913">
        <v>41.82</v>
      </c>
      <c r="M913" t="s">
        <v>5116</v>
      </c>
      <c r="N913">
        <v>113147</v>
      </c>
      <c r="O913">
        <v>11.84</v>
      </c>
      <c r="P913">
        <v>11.99</v>
      </c>
      <c r="Q913">
        <v>2.2799999999999998</v>
      </c>
      <c r="R913">
        <v>1.2</v>
      </c>
      <c r="S913">
        <v>1.68</v>
      </c>
      <c r="T913" t="s">
        <v>5256</v>
      </c>
      <c r="U913">
        <v>1.1200000000000001</v>
      </c>
      <c r="V913" t="s">
        <v>4548</v>
      </c>
      <c r="W913" t="s">
        <v>1282</v>
      </c>
      <c r="X913" t="s">
        <v>7542</v>
      </c>
      <c r="Y913" t="s">
        <v>2932</v>
      </c>
      <c r="Z913" t="s">
        <v>11338</v>
      </c>
      <c r="AA913">
        <v>3.53</v>
      </c>
      <c r="AB913" t="s">
        <v>1865</v>
      </c>
      <c r="AC913" t="s">
        <v>5895</v>
      </c>
      <c r="AD913" t="s">
        <v>5395</v>
      </c>
      <c r="AE913" t="s">
        <v>10200</v>
      </c>
      <c r="AF913" t="s">
        <v>2304</v>
      </c>
      <c r="AG913" t="s">
        <v>3856</v>
      </c>
      <c r="AH913" t="s">
        <v>2544</v>
      </c>
      <c r="AI913" t="s">
        <v>305</v>
      </c>
      <c r="AJ913" t="s">
        <v>1998</v>
      </c>
      <c r="AK913" t="s">
        <v>13321</v>
      </c>
      <c r="AL913">
        <v>0.57999999999999996</v>
      </c>
      <c r="AN913">
        <v>0.26</v>
      </c>
      <c r="AP913" t="s">
        <v>4549</v>
      </c>
      <c r="AQ913" t="s">
        <v>5914</v>
      </c>
      <c r="AR913" t="s">
        <v>6056</v>
      </c>
      <c r="AS913" t="s">
        <v>9136</v>
      </c>
      <c r="AT913" t="s">
        <v>3205</v>
      </c>
      <c r="AU913" t="s">
        <v>635</v>
      </c>
      <c r="AV913" t="s">
        <v>13322</v>
      </c>
      <c r="AW913" t="s">
        <v>914</v>
      </c>
      <c r="AX913" t="s">
        <v>7866</v>
      </c>
      <c r="AY913" t="s">
        <v>914</v>
      </c>
      <c r="AZ913" t="s">
        <v>7796</v>
      </c>
      <c r="BA913">
        <v>2.4</v>
      </c>
      <c r="BB913">
        <v>1408.78</v>
      </c>
      <c r="BC913">
        <v>0.28000000000000003</v>
      </c>
      <c r="BD913">
        <v>41.21</v>
      </c>
      <c r="BE913">
        <v>42.03</v>
      </c>
      <c r="BF913">
        <v>41.48</v>
      </c>
      <c r="BG913" t="s">
        <v>13323</v>
      </c>
      <c r="BH913" t="s">
        <v>914</v>
      </c>
      <c r="BI913" t="s">
        <v>13324</v>
      </c>
      <c r="BJ913" t="s">
        <v>101</v>
      </c>
      <c r="BK913" t="s">
        <v>2635</v>
      </c>
      <c r="BL913" t="s">
        <v>906</v>
      </c>
      <c r="BM913" t="s">
        <v>13325</v>
      </c>
      <c r="BN913" t="s">
        <v>4063</v>
      </c>
    </row>
    <row r="914" spans="1:66" x14ac:dyDescent="0.25">
      <c r="A914" t="str">
        <f>HYPERLINK("https://elite.finviz.com/quote.ashx?t=JAMF&amp;ty=c&amp;p=d&amp;b=1", "JAMF")</f>
        <v>JAMF</v>
      </c>
      <c r="B914">
        <v>7</v>
      </c>
      <c r="C914">
        <v>138.38</v>
      </c>
      <c r="D914">
        <v>68.7</v>
      </c>
      <c r="E914" t="s">
        <v>13326</v>
      </c>
      <c r="F914" t="s">
        <v>67</v>
      </c>
      <c r="G914" t="s">
        <v>108</v>
      </c>
      <c r="H914" t="s">
        <v>136</v>
      </c>
      <c r="I914" t="s">
        <v>70</v>
      </c>
      <c r="J914" t="s">
        <v>321</v>
      </c>
      <c r="K914">
        <v>1487.11</v>
      </c>
      <c r="L914">
        <v>11.19</v>
      </c>
      <c r="M914" t="s">
        <v>1842</v>
      </c>
      <c r="N914">
        <v>359932</v>
      </c>
      <c r="P914">
        <v>11.17</v>
      </c>
      <c r="R914">
        <v>2.23</v>
      </c>
      <c r="S914">
        <v>1.92</v>
      </c>
      <c r="AA914">
        <v>-0.38</v>
      </c>
      <c r="AB914" t="s">
        <v>334</v>
      </c>
      <c r="AC914" t="s">
        <v>10520</v>
      </c>
      <c r="AD914" t="s">
        <v>1134</v>
      </c>
      <c r="AE914" t="s">
        <v>4903</v>
      </c>
      <c r="AF914" t="s">
        <v>4876</v>
      </c>
      <c r="AG914" t="s">
        <v>2129</v>
      </c>
      <c r="AH914" t="s">
        <v>7400</v>
      </c>
      <c r="AI914" t="s">
        <v>3334</v>
      </c>
      <c r="AJ914" t="s">
        <v>2213</v>
      </c>
      <c r="AK914" t="s">
        <v>3960</v>
      </c>
      <c r="AL914">
        <v>1.39</v>
      </c>
      <c r="AM914">
        <v>1.39</v>
      </c>
      <c r="AN914">
        <v>1.02</v>
      </c>
      <c r="AO914" t="s">
        <v>13327</v>
      </c>
      <c r="AP914" t="s">
        <v>1052</v>
      </c>
      <c r="AQ914" t="s">
        <v>10591</v>
      </c>
      <c r="AR914" t="s">
        <v>1981</v>
      </c>
      <c r="AS914" t="s">
        <v>5370</v>
      </c>
      <c r="AT914" t="s">
        <v>6859</v>
      </c>
      <c r="AU914" t="s">
        <v>3844</v>
      </c>
      <c r="AV914" t="s">
        <v>2204</v>
      </c>
      <c r="AW914" t="s">
        <v>9780</v>
      </c>
      <c r="AX914" t="s">
        <v>11155</v>
      </c>
      <c r="AY914" t="s">
        <v>13328</v>
      </c>
      <c r="AZ914" t="s">
        <v>11155</v>
      </c>
      <c r="BA914">
        <v>1.5</v>
      </c>
      <c r="BB914">
        <v>1815.76</v>
      </c>
      <c r="BC914">
        <v>0.7</v>
      </c>
      <c r="BD914">
        <v>11.21</v>
      </c>
      <c r="BE914">
        <v>11.32</v>
      </c>
      <c r="BF914">
        <v>11.01</v>
      </c>
      <c r="BG914" t="s">
        <v>13329</v>
      </c>
      <c r="BH914" t="s">
        <v>13330</v>
      </c>
      <c r="BI914" t="s">
        <v>11155</v>
      </c>
      <c r="BJ914" t="s">
        <v>101</v>
      </c>
      <c r="BK914" t="s">
        <v>3667</v>
      </c>
      <c r="BL914" t="s">
        <v>13331</v>
      </c>
      <c r="BM914" t="s">
        <v>10326</v>
      </c>
      <c r="BN914" t="s">
        <v>4063</v>
      </c>
    </row>
    <row r="915" spans="1:66" x14ac:dyDescent="0.25">
      <c r="A915" t="str">
        <f>HYPERLINK("https://elite.finviz.com/quote.ashx?t=SVV&amp;ty=c&amp;p=d&amp;b=1", "SVV")</f>
        <v>SVV</v>
      </c>
      <c r="B915">
        <v>7</v>
      </c>
      <c r="C915">
        <v>138.38</v>
      </c>
      <c r="D915">
        <v>68.709999999999994</v>
      </c>
      <c r="E915" t="s">
        <v>13332</v>
      </c>
      <c r="F915" t="s">
        <v>67</v>
      </c>
      <c r="G915" t="s">
        <v>813</v>
      </c>
      <c r="H915" t="s">
        <v>2262</v>
      </c>
      <c r="I915" t="s">
        <v>70</v>
      </c>
      <c r="J915" t="s">
        <v>71</v>
      </c>
      <c r="K915">
        <v>2126.4499999999998</v>
      </c>
      <c r="L915">
        <v>13.67</v>
      </c>
      <c r="M915" t="s">
        <v>295</v>
      </c>
      <c r="N915">
        <v>379533</v>
      </c>
      <c r="O915">
        <v>66.459999999999994</v>
      </c>
      <c r="P915">
        <v>25.05</v>
      </c>
      <c r="Q915">
        <v>20.77</v>
      </c>
      <c r="R915">
        <v>1.34</v>
      </c>
      <c r="S915">
        <v>5.0199999999999996</v>
      </c>
      <c r="Z915" t="s">
        <v>164</v>
      </c>
      <c r="AA915">
        <v>0.21</v>
      </c>
      <c r="AB915" t="s">
        <v>4713</v>
      </c>
      <c r="AC915" t="s">
        <v>13333</v>
      </c>
      <c r="AD915" t="s">
        <v>170</v>
      </c>
      <c r="AE915" t="s">
        <v>5045</v>
      </c>
      <c r="AF915" t="s">
        <v>6028</v>
      </c>
      <c r="AG915" t="s">
        <v>275</v>
      </c>
      <c r="AH915" t="s">
        <v>3982</v>
      </c>
      <c r="AI915" t="s">
        <v>8086</v>
      </c>
      <c r="AJ915" t="s">
        <v>4805</v>
      </c>
      <c r="AK915" t="s">
        <v>13334</v>
      </c>
      <c r="AL915">
        <v>0.69</v>
      </c>
      <c r="AM915">
        <v>0.51</v>
      </c>
      <c r="AN915">
        <v>3.13</v>
      </c>
      <c r="AO915" t="s">
        <v>1135</v>
      </c>
      <c r="AP915" t="s">
        <v>2655</v>
      </c>
      <c r="AQ915" t="s">
        <v>4891</v>
      </c>
      <c r="AR915" t="s">
        <v>6378</v>
      </c>
      <c r="AS915" t="s">
        <v>353</v>
      </c>
      <c r="AT915" t="s">
        <v>2967</v>
      </c>
      <c r="AU915" t="s">
        <v>12437</v>
      </c>
      <c r="AV915" t="s">
        <v>13335</v>
      </c>
      <c r="AW915" t="s">
        <v>4710</v>
      </c>
      <c r="AX915" t="s">
        <v>7702</v>
      </c>
      <c r="AY915" t="s">
        <v>4710</v>
      </c>
      <c r="AZ915" t="s">
        <v>13336</v>
      </c>
      <c r="BA915">
        <v>1.78</v>
      </c>
      <c r="BB915">
        <v>1221.05</v>
      </c>
      <c r="BC915">
        <v>1.1000000000000001</v>
      </c>
      <c r="BD915">
        <v>13.27</v>
      </c>
      <c r="BE915">
        <v>13.71</v>
      </c>
      <c r="BF915">
        <v>13.3</v>
      </c>
      <c r="BG915" t="s">
        <v>13337</v>
      </c>
      <c r="BH915" t="s">
        <v>6949</v>
      </c>
      <c r="BI915" t="s">
        <v>13336</v>
      </c>
      <c r="BJ915" t="s">
        <v>101</v>
      </c>
      <c r="BK915" t="s">
        <v>9252</v>
      </c>
      <c r="BL915" t="s">
        <v>13338</v>
      </c>
      <c r="BM915" t="s">
        <v>10712</v>
      </c>
      <c r="BN915" t="s">
        <v>4063</v>
      </c>
    </row>
    <row r="916" spans="1:66" x14ac:dyDescent="0.25">
      <c r="A916" t="str">
        <f>HYPERLINK("https://elite.finviz.com/quote.ashx?t=AVDX&amp;ty=c&amp;p=d&amp;b=1", "AVDX")</f>
        <v>AVDX</v>
      </c>
      <c r="B916">
        <v>7</v>
      </c>
      <c r="C916">
        <v>138.38</v>
      </c>
      <c r="D916">
        <v>68.849999999999994</v>
      </c>
      <c r="E916" t="s">
        <v>13339</v>
      </c>
      <c r="F916" t="s">
        <v>67</v>
      </c>
      <c r="G916" t="s">
        <v>108</v>
      </c>
      <c r="H916" t="s">
        <v>109</v>
      </c>
      <c r="I916" t="s">
        <v>70</v>
      </c>
      <c r="J916" t="s">
        <v>321</v>
      </c>
      <c r="K916">
        <v>2070.7600000000002</v>
      </c>
      <c r="L916">
        <v>9.9700000000000006</v>
      </c>
      <c r="M916" t="s">
        <v>2757</v>
      </c>
      <c r="N916">
        <v>103602</v>
      </c>
      <c r="P916">
        <v>29.24</v>
      </c>
      <c r="R916">
        <v>4.6399999999999997</v>
      </c>
      <c r="S916">
        <v>3.01</v>
      </c>
      <c r="Z916" t="s">
        <v>164</v>
      </c>
      <c r="AA916">
        <v>-0.04</v>
      </c>
      <c r="AD916" t="s">
        <v>3127</v>
      </c>
      <c r="AE916" t="s">
        <v>707</v>
      </c>
      <c r="AF916" t="s">
        <v>7295</v>
      </c>
      <c r="AG916" t="s">
        <v>11250</v>
      </c>
      <c r="AH916" t="s">
        <v>4393</v>
      </c>
      <c r="AI916" t="s">
        <v>9188</v>
      </c>
      <c r="AJ916" t="s">
        <v>4086</v>
      </c>
      <c r="AK916" t="s">
        <v>13340</v>
      </c>
      <c r="AL916">
        <v>1.33</v>
      </c>
      <c r="AM916">
        <v>1.33</v>
      </c>
      <c r="AN916">
        <v>0.11</v>
      </c>
      <c r="AO916" t="s">
        <v>13341</v>
      </c>
      <c r="AP916" t="s">
        <v>1082</v>
      </c>
      <c r="AQ916" t="s">
        <v>5257</v>
      </c>
      <c r="AR916" t="s">
        <v>3358</v>
      </c>
      <c r="AS916" t="s">
        <v>3358</v>
      </c>
      <c r="AT916" t="s">
        <v>2646</v>
      </c>
      <c r="AU916" t="s">
        <v>4840</v>
      </c>
      <c r="AV916" t="s">
        <v>275</v>
      </c>
      <c r="AW916" t="s">
        <v>2757</v>
      </c>
      <c r="AX916" t="s">
        <v>4881</v>
      </c>
      <c r="AY916" t="s">
        <v>13342</v>
      </c>
      <c r="AZ916" t="s">
        <v>13343</v>
      </c>
      <c r="BA916">
        <v>3</v>
      </c>
      <c r="BB916">
        <v>1745.72</v>
      </c>
      <c r="BC916">
        <v>0.21</v>
      </c>
      <c r="BD916">
        <v>9.9600000000000009</v>
      </c>
      <c r="BE916">
        <v>9.9700000000000006</v>
      </c>
      <c r="BF916">
        <v>9.9600000000000009</v>
      </c>
      <c r="BG916" t="s">
        <v>13344</v>
      </c>
      <c r="BH916" t="s">
        <v>13345</v>
      </c>
      <c r="BI916" t="s">
        <v>13346</v>
      </c>
      <c r="BJ916" t="s">
        <v>101</v>
      </c>
      <c r="BK916" t="s">
        <v>2339</v>
      </c>
      <c r="BL916" t="s">
        <v>3374</v>
      </c>
      <c r="BM916" t="s">
        <v>3858</v>
      </c>
      <c r="BN916" t="s">
        <v>4063</v>
      </c>
    </row>
    <row r="917" spans="1:66" x14ac:dyDescent="0.25">
      <c r="A917" t="str">
        <f>HYPERLINK("https://elite.finviz.com/quote.ashx?t=CAT&amp;ty=c&amp;p=d&amp;b=1", "CAT")</f>
        <v>CAT</v>
      </c>
      <c r="B917">
        <v>7</v>
      </c>
      <c r="C917">
        <v>138.38</v>
      </c>
      <c r="D917">
        <v>68.89</v>
      </c>
      <c r="E917" t="s">
        <v>13347</v>
      </c>
      <c r="F917" t="s">
        <v>1759</v>
      </c>
      <c r="G917" t="s">
        <v>260</v>
      </c>
      <c r="H917" t="s">
        <v>320</v>
      </c>
      <c r="I917" t="s">
        <v>70</v>
      </c>
      <c r="J917" t="s">
        <v>71</v>
      </c>
      <c r="K917">
        <v>218192.1</v>
      </c>
      <c r="L917">
        <v>465.75</v>
      </c>
      <c r="M917" t="s">
        <v>3112</v>
      </c>
      <c r="N917">
        <v>511725</v>
      </c>
      <c r="O917">
        <v>23.68</v>
      </c>
      <c r="P917">
        <v>21.93</v>
      </c>
      <c r="Q917">
        <v>5.24</v>
      </c>
      <c r="R917">
        <v>3.46</v>
      </c>
      <c r="S917">
        <v>11.69</v>
      </c>
      <c r="T917" t="s">
        <v>3350</v>
      </c>
      <c r="U917">
        <v>5.74</v>
      </c>
      <c r="V917" t="s">
        <v>6164</v>
      </c>
      <c r="W917" t="s">
        <v>418</v>
      </c>
      <c r="X917" t="s">
        <v>723</v>
      </c>
      <c r="Y917" t="s">
        <v>9936</v>
      </c>
      <c r="Z917" t="s">
        <v>7539</v>
      </c>
      <c r="AA917">
        <v>19.670000000000002</v>
      </c>
      <c r="AB917" t="s">
        <v>4799</v>
      </c>
      <c r="AC917" t="s">
        <v>6497</v>
      </c>
      <c r="AD917" t="s">
        <v>6459</v>
      </c>
      <c r="AE917" t="s">
        <v>11801</v>
      </c>
      <c r="AF917" t="s">
        <v>5658</v>
      </c>
      <c r="AG917" t="s">
        <v>756</v>
      </c>
      <c r="AH917" t="s">
        <v>4086</v>
      </c>
      <c r="AI917" t="s">
        <v>11513</v>
      </c>
      <c r="AJ917" t="s">
        <v>9279</v>
      </c>
      <c r="AK917" t="s">
        <v>11174</v>
      </c>
      <c r="AL917">
        <v>1.34</v>
      </c>
      <c r="AM917">
        <v>0.81</v>
      </c>
      <c r="AN917">
        <v>2.1800000000000002</v>
      </c>
      <c r="AO917" t="s">
        <v>11986</v>
      </c>
      <c r="AP917" t="s">
        <v>7903</v>
      </c>
      <c r="AQ917" t="s">
        <v>3774</v>
      </c>
      <c r="AR917" t="s">
        <v>4800</v>
      </c>
      <c r="AS917" t="s">
        <v>6151</v>
      </c>
      <c r="AT917" t="s">
        <v>4697</v>
      </c>
      <c r="AU917" t="s">
        <v>2655</v>
      </c>
      <c r="AV917" t="s">
        <v>9106</v>
      </c>
      <c r="AW917" t="s">
        <v>5273</v>
      </c>
      <c r="AX917" t="s">
        <v>1561</v>
      </c>
      <c r="AY917" t="s">
        <v>5273</v>
      </c>
      <c r="AZ917" t="s">
        <v>12581</v>
      </c>
      <c r="BA917">
        <v>2.15</v>
      </c>
      <c r="BB917">
        <v>2899.04</v>
      </c>
      <c r="BC917">
        <v>0.62</v>
      </c>
      <c r="BD917">
        <v>463.72</v>
      </c>
      <c r="BE917">
        <v>468.29</v>
      </c>
      <c r="BF917">
        <v>462.68</v>
      </c>
      <c r="BG917" t="s">
        <v>13348</v>
      </c>
      <c r="BH917" t="s">
        <v>5273</v>
      </c>
      <c r="BI917" t="s">
        <v>13349</v>
      </c>
      <c r="BJ917" t="s">
        <v>101</v>
      </c>
      <c r="BK917" t="s">
        <v>729</v>
      </c>
      <c r="BL917" t="s">
        <v>12108</v>
      </c>
      <c r="BM917" t="s">
        <v>13016</v>
      </c>
      <c r="BN917" t="s">
        <v>4063</v>
      </c>
    </row>
    <row r="918" spans="1:66" x14ac:dyDescent="0.25">
      <c r="A918" t="str">
        <f>HYPERLINK("https://elite.finviz.com/quote.ashx?t=GOOG&amp;ty=c&amp;p=d&amp;b=1", "GOOG")</f>
        <v>GOOG</v>
      </c>
      <c r="B918">
        <v>7</v>
      </c>
      <c r="C918">
        <v>138.38</v>
      </c>
      <c r="D918">
        <v>69.13</v>
      </c>
      <c r="E918" t="s">
        <v>13284</v>
      </c>
      <c r="F918" t="s">
        <v>319</v>
      </c>
      <c r="G918" t="s">
        <v>598</v>
      </c>
      <c r="H918" t="s">
        <v>599</v>
      </c>
      <c r="I918" t="s">
        <v>70</v>
      </c>
      <c r="J918" t="s">
        <v>321</v>
      </c>
      <c r="K918">
        <v>2988530.22</v>
      </c>
      <c r="L918">
        <v>247.54</v>
      </c>
      <c r="M918" t="s">
        <v>6719</v>
      </c>
      <c r="N918">
        <v>5269975</v>
      </c>
      <c r="O918">
        <v>26.37</v>
      </c>
      <c r="P918">
        <v>23.17</v>
      </c>
      <c r="Q918">
        <v>1.78</v>
      </c>
      <c r="R918">
        <v>8.0500000000000007</v>
      </c>
      <c r="S918">
        <v>8.26</v>
      </c>
      <c r="T918" t="s">
        <v>822</v>
      </c>
      <c r="U918">
        <v>0.82</v>
      </c>
      <c r="V918" t="s">
        <v>9611</v>
      </c>
      <c r="Z918" t="s">
        <v>7236</v>
      </c>
      <c r="AA918">
        <v>9.39</v>
      </c>
      <c r="AB918" t="s">
        <v>2905</v>
      </c>
      <c r="AC918" t="s">
        <v>10765</v>
      </c>
      <c r="AD918" t="s">
        <v>536</v>
      </c>
      <c r="AE918" t="s">
        <v>7553</v>
      </c>
      <c r="AF918" t="s">
        <v>177</v>
      </c>
      <c r="AG918" t="s">
        <v>1205</v>
      </c>
      <c r="AH918" t="s">
        <v>2626</v>
      </c>
      <c r="AI918" t="s">
        <v>12712</v>
      </c>
      <c r="AJ918" t="s">
        <v>406</v>
      </c>
      <c r="AK918" t="s">
        <v>277</v>
      </c>
      <c r="AL918">
        <v>1.9</v>
      </c>
      <c r="AM918">
        <v>1.9</v>
      </c>
      <c r="AN918">
        <v>0.11</v>
      </c>
      <c r="AO918" t="s">
        <v>11214</v>
      </c>
      <c r="AP918" t="s">
        <v>13285</v>
      </c>
      <c r="AQ918" t="s">
        <v>4721</v>
      </c>
      <c r="AR918" t="s">
        <v>617</v>
      </c>
      <c r="AS918" t="s">
        <v>3916</v>
      </c>
      <c r="AT918" t="s">
        <v>387</v>
      </c>
      <c r="AU918" t="s">
        <v>3525</v>
      </c>
      <c r="AV918" t="s">
        <v>5997</v>
      </c>
      <c r="AW918" t="s">
        <v>11513</v>
      </c>
      <c r="AX918" t="s">
        <v>6670</v>
      </c>
      <c r="AY918" t="s">
        <v>11513</v>
      </c>
      <c r="AZ918" t="s">
        <v>13350</v>
      </c>
      <c r="BA918">
        <v>1.49</v>
      </c>
      <c r="BB918">
        <v>24570.45</v>
      </c>
      <c r="BC918">
        <v>0.76</v>
      </c>
      <c r="BD918">
        <v>246.57</v>
      </c>
      <c r="BE918">
        <v>250.12</v>
      </c>
      <c r="BF918">
        <v>246.76</v>
      </c>
      <c r="BG918" t="s">
        <v>13351</v>
      </c>
      <c r="BH918" t="s">
        <v>11513</v>
      </c>
      <c r="BI918" t="s">
        <v>13352</v>
      </c>
      <c r="BJ918" t="s">
        <v>101</v>
      </c>
      <c r="BK918" t="s">
        <v>13065</v>
      </c>
      <c r="BL918" t="s">
        <v>13353</v>
      </c>
      <c r="BM918" t="s">
        <v>13354</v>
      </c>
      <c r="BN918" t="s">
        <v>4063</v>
      </c>
    </row>
    <row r="919" spans="1:66" x14ac:dyDescent="0.25">
      <c r="A919" t="str">
        <f>HYPERLINK("https://elite.finviz.com/quote.ashx?t=AAPL&amp;ty=c&amp;p=d&amp;b=1", "AAPL")</f>
        <v>AAPL</v>
      </c>
      <c r="B919">
        <v>7</v>
      </c>
      <c r="C919">
        <v>138.38</v>
      </c>
      <c r="D919">
        <v>69.27</v>
      </c>
      <c r="E919" t="s">
        <v>13355</v>
      </c>
      <c r="F919" t="s">
        <v>13356</v>
      </c>
      <c r="G919" t="s">
        <v>108</v>
      </c>
      <c r="H919" t="s">
        <v>994</v>
      </c>
      <c r="I919" t="s">
        <v>70</v>
      </c>
      <c r="J919" t="s">
        <v>321</v>
      </c>
      <c r="K919">
        <v>3787415.95</v>
      </c>
      <c r="L919">
        <v>255.21</v>
      </c>
      <c r="M919" t="s">
        <v>2059</v>
      </c>
      <c r="N919">
        <v>16911659</v>
      </c>
      <c r="O919">
        <v>38.799999999999997</v>
      </c>
      <c r="P919">
        <v>31.87</v>
      </c>
      <c r="Q919">
        <v>4.2699999999999996</v>
      </c>
      <c r="R919">
        <v>9.27</v>
      </c>
      <c r="S919">
        <v>57.6</v>
      </c>
      <c r="T919" t="s">
        <v>2423</v>
      </c>
      <c r="U919">
        <v>1.02</v>
      </c>
      <c r="V919" t="s">
        <v>893</v>
      </c>
      <c r="W919" t="s">
        <v>165</v>
      </c>
      <c r="X919" t="s">
        <v>2035</v>
      </c>
      <c r="Y919" t="s">
        <v>2370</v>
      </c>
      <c r="Z919" t="s">
        <v>5458</v>
      </c>
      <c r="AA919">
        <v>6.58</v>
      </c>
      <c r="AB919" t="s">
        <v>2496</v>
      </c>
      <c r="AC919" t="s">
        <v>4455</v>
      </c>
      <c r="AD919" t="s">
        <v>8662</v>
      </c>
      <c r="AE919" t="s">
        <v>8164</v>
      </c>
      <c r="AF919" t="s">
        <v>8016</v>
      </c>
      <c r="AG919" t="s">
        <v>1736</v>
      </c>
      <c r="AH919" t="s">
        <v>3230</v>
      </c>
      <c r="AI919" t="s">
        <v>12383</v>
      </c>
      <c r="AJ919" t="s">
        <v>6838</v>
      </c>
      <c r="AK919" t="s">
        <v>8899</v>
      </c>
      <c r="AL919">
        <v>0.87</v>
      </c>
      <c r="AM919">
        <v>0.83</v>
      </c>
      <c r="AN919">
        <v>1.54</v>
      </c>
      <c r="AO919" t="s">
        <v>13357</v>
      </c>
      <c r="AP919" t="s">
        <v>2358</v>
      </c>
      <c r="AQ919" t="s">
        <v>5553</v>
      </c>
      <c r="AR919" t="s">
        <v>7322</v>
      </c>
      <c r="AS919" t="s">
        <v>2339</v>
      </c>
      <c r="AT919" t="s">
        <v>370</v>
      </c>
      <c r="AU919" t="s">
        <v>13358</v>
      </c>
      <c r="AV919" t="s">
        <v>3734</v>
      </c>
      <c r="AW919" t="s">
        <v>8357</v>
      </c>
      <c r="AX919" t="s">
        <v>13359</v>
      </c>
      <c r="AY919" t="s">
        <v>9498</v>
      </c>
      <c r="AZ919" t="s">
        <v>13360</v>
      </c>
      <c r="BA919">
        <v>2.04</v>
      </c>
      <c r="BB919">
        <v>57118.59</v>
      </c>
      <c r="BC919">
        <v>1.04</v>
      </c>
      <c r="BD919">
        <v>256.87</v>
      </c>
      <c r="BE919">
        <v>256.60000000000002</v>
      </c>
      <c r="BF919">
        <v>253.79</v>
      </c>
      <c r="BG919" t="s">
        <v>13361</v>
      </c>
      <c r="BH919" t="s">
        <v>9498</v>
      </c>
      <c r="BI919" t="s">
        <v>13362</v>
      </c>
      <c r="BJ919" t="s">
        <v>101</v>
      </c>
      <c r="BK919" t="s">
        <v>13363</v>
      </c>
      <c r="BL919" t="s">
        <v>3531</v>
      </c>
      <c r="BM919" t="s">
        <v>435</v>
      </c>
      <c r="BN919" t="s">
        <v>4063</v>
      </c>
    </row>
    <row r="920" spans="1:66" x14ac:dyDescent="0.25">
      <c r="A920" t="str">
        <f>HYPERLINK("https://elite.finviz.com/quote.ashx?t=VNCE&amp;ty=c&amp;p=d&amp;b=1", "VNCE")</f>
        <v>VNCE</v>
      </c>
      <c r="B920">
        <v>7</v>
      </c>
      <c r="C920">
        <v>138.38</v>
      </c>
      <c r="D920">
        <v>69.33</v>
      </c>
      <c r="E920" t="s">
        <v>13364</v>
      </c>
      <c r="F920" t="s">
        <v>107</v>
      </c>
      <c r="G920" t="s">
        <v>813</v>
      </c>
      <c r="H920" t="s">
        <v>7446</v>
      </c>
      <c r="I920" t="s">
        <v>70</v>
      </c>
      <c r="J920" t="s">
        <v>71</v>
      </c>
      <c r="K920">
        <v>44.94</v>
      </c>
      <c r="L920">
        <v>3.46</v>
      </c>
      <c r="M920" t="s">
        <v>5070</v>
      </c>
      <c r="N920">
        <v>140986</v>
      </c>
      <c r="P920">
        <v>43.31</v>
      </c>
      <c r="R920">
        <v>0.15</v>
      </c>
      <c r="S920">
        <v>0.91</v>
      </c>
      <c r="AA920">
        <v>-1.34</v>
      </c>
      <c r="AB920" t="s">
        <v>7480</v>
      </c>
      <c r="AE920" t="s">
        <v>4273</v>
      </c>
      <c r="AF920" t="s">
        <v>13365</v>
      </c>
      <c r="AG920" t="s">
        <v>4665</v>
      </c>
      <c r="AH920" t="s">
        <v>13366</v>
      </c>
      <c r="AI920" t="s">
        <v>13367</v>
      </c>
      <c r="AJ920" t="s">
        <v>7346</v>
      </c>
      <c r="AK920" t="s">
        <v>1691</v>
      </c>
      <c r="AL920">
        <v>1.61</v>
      </c>
      <c r="AM920">
        <v>0.51</v>
      </c>
      <c r="AN920">
        <v>2.72</v>
      </c>
      <c r="AO920" t="s">
        <v>13368</v>
      </c>
      <c r="AP920" t="s">
        <v>5102</v>
      </c>
      <c r="AQ920" t="s">
        <v>8670</v>
      </c>
      <c r="AR920" t="s">
        <v>11384</v>
      </c>
      <c r="AS920" t="s">
        <v>9196</v>
      </c>
      <c r="AT920" t="s">
        <v>13369</v>
      </c>
      <c r="AU920" t="s">
        <v>13370</v>
      </c>
      <c r="AV920" t="s">
        <v>13371</v>
      </c>
      <c r="AW920" t="s">
        <v>9443</v>
      </c>
      <c r="AX920" t="s">
        <v>13372</v>
      </c>
      <c r="AY920" t="s">
        <v>13373</v>
      </c>
      <c r="AZ920" t="s">
        <v>13374</v>
      </c>
      <c r="BA920">
        <v>1</v>
      </c>
      <c r="BB920">
        <v>1767.19</v>
      </c>
      <c r="BC920">
        <v>0.28000000000000003</v>
      </c>
      <c r="BD920">
        <v>3.52</v>
      </c>
      <c r="BE920">
        <v>3.6</v>
      </c>
      <c r="BF920">
        <v>3.41</v>
      </c>
      <c r="BG920" t="s">
        <v>13375</v>
      </c>
      <c r="BH920" t="s">
        <v>13376</v>
      </c>
      <c r="BI920" t="s">
        <v>13377</v>
      </c>
      <c r="BJ920" t="s">
        <v>101</v>
      </c>
      <c r="BK920" t="s">
        <v>13378</v>
      </c>
      <c r="BL920" t="s">
        <v>13379</v>
      </c>
      <c r="BM920" t="s">
        <v>13380</v>
      </c>
      <c r="BN920" t="s">
        <v>4063</v>
      </c>
    </row>
    <row r="921" spans="1:66" x14ac:dyDescent="0.25">
      <c r="A921" t="str">
        <f>HYPERLINK("https://elite.finviz.com/quote.ashx?t=SHOO&amp;ty=c&amp;p=d&amp;b=1", "SHOO")</f>
        <v>SHOO</v>
      </c>
      <c r="B921">
        <v>7</v>
      </c>
      <c r="C921">
        <v>138.38</v>
      </c>
      <c r="D921">
        <v>69.349999999999994</v>
      </c>
      <c r="E921" t="s">
        <v>13381</v>
      </c>
      <c r="F921" t="s">
        <v>67</v>
      </c>
      <c r="G921" t="s">
        <v>813</v>
      </c>
      <c r="H921" t="s">
        <v>4043</v>
      </c>
      <c r="I921" t="s">
        <v>70</v>
      </c>
      <c r="J921" t="s">
        <v>321</v>
      </c>
      <c r="K921">
        <v>2409.15</v>
      </c>
      <c r="L921">
        <v>33.159999999999997</v>
      </c>
      <c r="M921" t="s">
        <v>2554</v>
      </c>
      <c r="N921">
        <v>211557</v>
      </c>
      <c r="O921">
        <v>26.09</v>
      </c>
      <c r="P921">
        <v>16.43</v>
      </c>
      <c r="R921">
        <v>1.04</v>
      </c>
      <c r="S921">
        <v>2.89</v>
      </c>
      <c r="T921" t="s">
        <v>2217</v>
      </c>
      <c r="U921">
        <v>0.84</v>
      </c>
      <c r="V921" t="s">
        <v>2620</v>
      </c>
      <c r="W921" t="s">
        <v>164</v>
      </c>
      <c r="X921" t="s">
        <v>4079</v>
      </c>
      <c r="Y921" t="s">
        <v>9478</v>
      </c>
      <c r="Z921" t="s">
        <v>8561</v>
      </c>
      <c r="AA921">
        <v>1.27</v>
      </c>
      <c r="AB921" t="s">
        <v>4266</v>
      </c>
      <c r="AC921" t="s">
        <v>6584</v>
      </c>
      <c r="AD921" t="s">
        <v>5000</v>
      </c>
      <c r="AE921" t="s">
        <v>8535</v>
      </c>
      <c r="AF921" t="s">
        <v>2585</v>
      </c>
      <c r="AG921" t="s">
        <v>754</v>
      </c>
      <c r="AH921" t="s">
        <v>954</v>
      </c>
      <c r="AI921" t="s">
        <v>3286</v>
      </c>
      <c r="AJ921" t="s">
        <v>6156</v>
      </c>
      <c r="AK921" t="s">
        <v>13382</v>
      </c>
      <c r="AL921">
        <v>2.0099999999999998</v>
      </c>
      <c r="AM921">
        <v>1.1299999999999999</v>
      </c>
      <c r="AN921">
        <v>0.65</v>
      </c>
      <c r="AO921" t="s">
        <v>7364</v>
      </c>
      <c r="AP921" t="s">
        <v>2064</v>
      </c>
      <c r="AQ921" t="s">
        <v>3334</v>
      </c>
      <c r="AR921" t="s">
        <v>1769</v>
      </c>
      <c r="AS921" t="s">
        <v>2233</v>
      </c>
      <c r="AT921" t="s">
        <v>1026</v>
      </c>
      <c r="AU921" t="s">
        <v>6694</v>
      </c>
      <c r="AV921" t="s">
        <v>6234</v>
      </c>
      <c r="AW921" t="s">
        <v>6464</v>
      </c>
      <c r="AX921" t="s">
        <v>9890</v>
      </c>
      <c r="AY921" t="s">
        <v>11315</v>
      </c>
      <c r="AZ921" t="s">
        <v>12988</v>
      </c>
      <c r="BA921">
        <v>2</v>
      </c>
      <c r="BB921">
        <v>1652.14</v>
      </c>
      <c r="BC921">
        <v>0.45</v>
      </c>
      <c r="BD921">
        <v>32.700000000000003</v>
      </c>
      <c r="BE921">
        <v>33.369999999999997</v>
      </c>
      <c r="BF921">
        <v>32.72</v>
      </c>
      <c r="BG921" t="s">
        <v>13383</v>
      </c>
      <c r="BH921" t="s">
        <v>13384</v>
      </c>
      <c r="BI921" t="s">
        <v>13385</v>
      </c>
      <c r="BJ921" t="s">
        <v>101</v>
      </c>
      <c r="BK921" t="s">
        <v>13386</v>
      </c>
      <c r="BL921" t="s">
        <v>12927</v>
      </c>
      <c r="BM921" t="s">
        <v>5854</v>
      </c>
      <c r="BN921" t="s">
        <v>4063</v>
      </c>
    </row>
    <row r="922" spans="1:66" x14ac:dyDescent="0.25">
      <c r="A922" t="str">
        <f>HYPERLINK("https://elite.finviz.com/quote.ashx?t=ARWR&amp;ty=c&amp;p=d&amp;b=1", "ARWR")</f>
        <v>ARWR</v>
      </c>
      <c r="B922">
        <v>7</v>
      </c>
      <c r="C922">
        <v>138.38</v>
      </c>
      <c r="D922">
        <v>69.430000000000007</v>
      </c>
      <c r="E922" t="s">
        <v>13387</v>
      </c>
      <c r="F922" t="s">
        <v>67</v>
      </c>
      <c r="G922" t="s">
        <v>428</v>
      </c>
      <c r="H922" t="s">
        <v>429</v>
      </c>
      <c r="I922" t="s">
        <v>70</v>
      </c>
      <c r="J922" t="s">
        <v>321</v>
      </c>
      <c r="K922">
        <v>4427</v>
      </c>
      <c r="L922">
        <v>32.020000000000003</v>
      </c>
      <c r="M922" t="s">
        <v>1279</v>
      </c>
      <c r="N922">
        <v>443895</v>
      </c>
      <c r="R922">
        <v>7.73</v>
      </c>
      <c r="S922">
        <v>8.4700000000000006</v>
      </c>
      <c r="AA922">
        <v>-1.26</v>
      </c>
      <c r="AB922" t="s">
        <v>3234</v>
      </c>
      <c r="AD922" t="s">
        <v>485</v>
      </c>
      <c r="AE922" t="s">
        <v>13388</v>
      </c>
      <c r="AF922" t="s">
        <v>13389</v>
      </c>
      <c r="AG922" t="s">
        <v>12932</v>
      </c>
      <c r="AI922" t="s">
        <v>13390</v>
      </c>
      <c r="AJ922" t="s">
        <v>4149</v>
      </c>
      <c r="AK922" t="s">
        <v>13391</v>
      </c>
      <c r="AL922">
        <v>4.87</v>
      </c>
      <c r="AM922">
        <v>4.87</v>
      </c>
      <c r="AN922">
        <v>1.37</v>
      </c>
      <c r="AO922" t="s">
        <v>13392</v>
      </c>
      <c r="AP922" t="s">
        <v>10632</v>
      </c>
      <c r="AQ922" t="s">
        <v>5284</v>
      </c>
      <c r="AR922" t="s">
        <v>3119</v>
      </c>
      <c r="AS922" t="s">
        <v>3496</v>
      </c>
      <c r="AT922" t="s">
        <v>2237</v>
      </c>
      <c r="AU922" t="s">
        <v>9995</v>
      </c>
      <c r="AV922" t="s">
        <v>9730</v>
      </c>
      <c r="AW922" t="s">
        <v>2845</v>
      </c>
      <c r="AX922" t="s">
        <v>11167</v>
      </c>
      <c r="AY922" t="s">
        <v>2845</v>
      </c>
      <c r="AZ922" t="s">
        <v>13393</v>
      </c>
      <c r="BA922">
        <v>1.57</v>
      </c>
      <c r="BB922">
        <v>2436.21</v>
      </c>
      <c r="BC922">
        <v>0.64</v>
      </c>
      <c r="BD922">
        <v>31.66</v>
      </c>
      <c r="BE922">
        <v>32.24</v>
      </c>
      <c r="BF922">
        <v>31.49</v>
      </c>
      <c r="BG922" t="s">
        <v>13394</v>
      </c>
      <c r="BH922" t="s">
        <v>13395</v>
      </c>
      <c r="BI922" t="s">
        <v>13396</v>
      </c>
      <c r="BJ922" t="s">
        <v>101</v>
      </c>
      <c r="BK922" t="s">
        <v>13397</v>
      </c>
      <c r="BL922" t="s">
        <v>13398</v>
      </c>
      <c r="BM922" t="s">
        <v>13399</v>
      </c>
      <c r="BN922" t="s">
        <v>4063</v>
      </c>
    </row>
    <row r="923" spans="1:66" x14ac:dyDescent="0.25">
      <c r="A923" t="str">
        <f>HYPERLINK("https://elite.finviz.com/quote.ashx?t=BLNK&amp;ty=c&amp;p=d&amp;b=1", "BLNK")</f>
        <v>BLNK</v>
      </c>
      <c r="B923">
        <v>7</v>
      </c>
      <c r="C923">
        <v>138.38</v>
      </c>
      <c r="D923">
        <v>69.52</v>
      </c>
      <c r="E923" t="s">
        <v>13400</v>
      </c>
      <c r="F923" t="s">
        <v>107</v>
      </c>
      <c r="G923" t="s">
        <v>260</v>
      </c>
      <c r="H923" t="s">
        <v>2944</v>
      </c>
      <c r="I923" t="s">
        <v>70</v>
      </c>
      <c r="J923" t="s">
        <v>321</v>
      </c>
      <c r="K923">
        <v>159.58000000000001</v>
      </c>
      <c r="L923">
        <v>1.52</v>
      </c>
      <c r="M923" t="s">
        <v>3388</v>
      </c>
      <c r="N923">
        <v>1362628</v>
      </c>
      <c r="R923">
        <v>1.52</v>
      </c>
      <c r="S923">
        <v>2.2200000000000002</v>
      </c>
      <c r="AA923">
        <v>-2.1</v>
      </c>
      <c r="AB923" t="s">
        <v>13401</v>
      </c>
      <c r="AC923" t="s">
        <v>12479</v>
      </c>
      <c r="AD923" t="s">
        <v>8940</v>
      </c>
      <c r="AE923" t="s">
        <v>13402</v>
      </c>
      <c r="AF923" t="s">
        <v>736</v>
      </c>
      <c r="AG923" t="s">
        <v>13403</v>
      </c>
      <c r="AH923" t="s">
        <v>7634</v>
      </c>
      <c r="AI923" t="s">
        <v>13404</v>
      </c>
      <c r="AJ923" t="s">
        <v>4266</v>
      </c>
      <c r="AK923" t="s">
        <v>7381</v>
      </c>
      <c r="AL923">
        <v>1.7</v>
      </c>
      <c r="AM923">
        <v>1.1299999999999999</v>
      </c>
      <c r="AN923">
        <v>0.14000000000000001</v>
      </c>
      <c r="AO923" t="s">
        <v>13405</v>
      </c>
      <c r="AP923" t="s">
        <v>13406</v>
      </c>
      <c r="AQ923" t="s">
        <v>13407</v>
      </c>
      <c r="AR923" t="s">
        <v>9789</v>
      </c>
      <c r="AS923" t="s">
        <v>5557</v>
      </c>
      <c r="AT923" t="s">
        <v>3840</v>
      </c>
      <c r="AU923" t="s">
        <v>2410</v>
      </c>
      <c r="AV923" t="s">
        <v>12767</v>
      </c>
      <c r="AW923" t="s">
        <v>1108</v>
      </c>
      <c r="AX923" t="s">
        <v>13408</v>
      </c>
      <c r="AY923" t="s">
        <v>4923</v>
      </c>
      <c r="AZ923" t="s">
        <v>13409</v>
      </c>
      <c r="BA923">
        <v>2</v>
      </c>
      <c r="BB923">
        <v>3525.94</v>
      </c>
      <c r="BC923">
        <v>1.36</v>
      </c>
      <c r="BD923">
        <v>1.53</v>
      </c>
      <c r="BE923">
        <v>1.59</v>
      </c>
      <c r="BF923">
        <v>1.51</v>
      </c>
      <c r="BG923" t="s">
        <v>13410</v>
      </c>
      <c r="BH923" t="s">
        <v>1194</v>
      </c>
      <c r="BI923" t="s">
        <v>13409</v>
      </c>
      <c r="BJ923" t="s">
        <v>101</v>
      </c>
      <c r="BK923" t="s">
        <v>8865</v>
      </c>
      <c r="BL923" t="s">
        <v>13411</v>
      </c>
      <c r="BM923" t="s">
        <v>1905</v>
      </c>
      <c r="BN923" t="s">
        <v>4063</v>
      </c>
    </row>
    <row r="924" spans="1:66" x14ac:dyDescent="0.25">
      <c r="A924" t="str">
        <f>HYPERLINK("https://elite.finviz.com/quote.ashx?t=ALHC&amp;ty=c&amp;p=d&amp;b=1", "ALHC")</f>
        <v>ALHC</v>
      </c>
      <c r="B924">
        <v>7</v>
      </c>
      <c r="C924">
        <v>138.38</v>
      </c>
      <c r="D924">
        <v>69.62</v>
      </c>
      <c r="E924" t="s">
        <v>13412</v>
      </c>
      <c r="F924" t="s">
        <v>67</v>
      </c>
      <c r="G924" t="s">
        <v>428</v>
      </c>
      <c r="H924" t="s">
        <v>7264</v>
      </c>
      <c r="I924" t="s">
        <v>70</v>
      </c>
      <c r="J924" t="s">
        <v>321</v>
      </c>
      <c r="K924">
        <v>3452.67</v>
      </c>
      <c r="L924">
        <v>17.43</v>
      </c>
      <c r="M924" t="s">
        <v>3871</v>
      </c>
      <c r="N924">
        <v>468640</v>
      </c>
      <c r="P924">
        <v>1076.9000000000001</v>
      </c>
      <c r="R924">
        <v>1.04</v>
      </c>
      <c r="S924">
        <v>24.48</v>
      </c>
      <c r="AA924">
        <v>-0.27</v>
      </c>
      <c r="AB924" t="s">
        <v>1361</v>
      </c>
      <c r="AC924" t="s">
        <v>13413</v>
      </c>
      <c r="AE924" t="s">
        <v>13414</v>
      </c>
      <c r="AF924" t="s">
        <v>7819</v>
      </c>
      <c r="AG924" t="s">
        <v>5708</v>
      </c>
      <c r="AH924" t="s">
        <v>1143</v>
      </c>
      <c r="AI924" t="s">
        <v>13415</v>
      </c>
      <c r="AJ924" t="s">
        <v>13416</v>
      </c>
      <c r="AK924" t="s">
        <v>13417</v>
      </c>
      <c r="AL924">
        <v>1.66</v>
      </c>
      <c r="AN924">
        <v>2.34</v>
      </c>
      <c r="AP924" t="s">
        <v>1574</v>
      </c>
      <c r="AQ924" t="s">
        <v>7243</v>
      </c>
      <c r="AR924" t="s">
        <v>2736</v>
      </c>
      <c r="AS924" t="s">
        <v>4395</v>
      </c>
      <c r="AT924" t="s">
        <v>3855</v>
      </c>
      <c r="AU924" t="s">
        <v>874</v>
      </c>
      <c r="AV924" t="s">
        <v>13213</v>
      </c>
      <c r="AW924" t="s">
        <v>1864</v>
      </c>
      <c r="AX924" t="s">
        <v>13418</v>
      </c>
      <c r="AY924" t="s">
        <v>10408</v>
      </c>
      <c r="AZ924" t="s">
        <v>11709</v>
      </c>
      <c r="BA924">
        <v>1.58</v>
      </c>
      <c r="BB924">
        <v>3815.26</v>
      </c>
      <c r="BC924">
        <v>0.43</v>
      </c>
      <c r="BD924">
        <v>17.309999999999999</v>
      </c>
      <c r="BE924">
        <v>17.57</v>
      </c>
      <c r="BF924">
        <v>17.32</v>
      </c>
      <c r="BG924" t="s">
        <v>13419</v>
      </c>
      <c r="BH924" t="s">
        <v>13420</v>
      </c>
      <c r="BI924" t="s">
        <v>13421</v>
      </c>
      <c r="BJ924" t="s">
        <v>101</v>
      </c>
      <c r="BK924" t="s">
        <v>3750</v>
      </c>
      <c r="BL924" t="s">
        <v>2870</v>
      </c>
      <c r="BM924" t="s">
        <v>13422</v>
      </c>
      <c r="BN924" t="s">
        <v>4063</v>
      </c>
    </row>
    <row r="925" spans="1:66" x14ac:dyDescent="0.25">
      <c r="A925" t="str">
        <f>HYPERLINK("https://elite.finviz.com/quote.ashx?t=PALI&amp;ty=c&amp;p=d&amp;b=1", "PALI")</f>
        <v>PALI</v>
      </c>
      <c r="B925">
        <v>7</v>
      </c>
      <c r="C925">
        <v>138.38</v>
      </c>
      <c r="D925">
        <v>69.73</v>
      </c>
      <c r="E925" t="s">
        <v>13423</v>
      </c>
      <c r="F925" t="s">
        <v>107</v>
      </c>
      <c r="G925" t="s">
        <v>428</v>
      </c>
      <c r="H925" t="s">
        <v>429</v>
      </c>
      <c r="I925" t="s">
        <v>70</v>
      </c>
      <c r="J925" t="s">
        <v>321</v>
      </c>
      <c r="K925">
        <v>7.79</v>
      </c>
      <c r="L925">
        <v>0.85</v>
      </c>
      <c r="M925" t="s">
        <v>7106</v>
      </c>
      <c r="N925">
        <v>590107</v>
      </c>
      <c r="S925">
        <v>1.57</v>
      </c>
      <c r="AA925">
        <v>-6.16</v>
      </c>
      <c r="AB925" t="s">
        <v>13424</v>
      </c>
      <c r="AC925" t="s">
        <v>13425</v>
      </c>
      <c r="AD925" t="s">
        <v>13426</v>
      </c>
      <c r="AE925" t="s">
        <v>579</v>
      </c>
      <c r="AI925" t="s">
        <v>633</v>
      </c>
      <c r="AJ925" t="s">
        <v>164</v>
      </c>
      <c r="AK925" t="s">
        <v>3761</v>
      </c>
      <c r="AL925">
        <v>1.55</v>
      </c>
      <c r="AM925">
        <v>1.55</v>
      </c>
      <c r="AN925">
        <v>0.13</v>
      </c>
      <c r="AR925" t="s">
        <v>2625</v>
      </c>
      <c r="AS925" t="s">
        <v>6225</v>
      </c>
      <c r="AT925" t="s">
        <v>13427</v>
      </c>
      <c r="AU925" t="s">
        <v>1822</v>
      </c>
      <c r="AV925" t="s">
        <v>6205</v>
      </c>
      <c r="AW925" t="s">
        <v>13428</v>
      </c>
      <c r="AX925" t="s">
        <v>13429</v>
      </c>
      <c r="AY925" t="s">
        <v>13430</v>
      </c>
      <c r="AZ925" t="s">
        <v>13429</v>
      </c>
      <c r="BA925">
        <v>1</v>
      </c>
      <c r="BB925">
        <v>2373.19</v>
      </c>
      <c r="BC925">
        <v>0.88</v>
      </c>
      <c r="BD925">
        <v>0.77</v>
      </c>
      <c r="BE925">
        <v>0.86</v>
      </c>
      <c r="BF925">
        <v>0.8</v>
      </c>
      <c r="BG925" t="s">
        <v>13431</v>
      </c>
      <c r="BH925" t="s">
        <v>579</v>
      </c>
      <c r="BI925" t="s">
        <v>13429</v>
      </c>
      <c r="BJ925" t="s">
        <v>101</v>
      </c>
      <c r="BK925" t="s">
        <v>4398</v>
      </c>
      <c r="BL925" t="s">
        <v>13432</v>
      </c>
      <c r="BM925" t="s">
        <v>13433</v>
      </c>
      <c r="BN925" t="s">
        <v>4063</v>
      </c>
    </row>
    <row r="926" spans="1:66" x14ac:dyDescent="0.25">
      <c r="A926" t="str">
        <f>HYPERLINK("https://elite.finviz.com/quote.ashx?t=CVI&amp;ty=c&amp;p=d&amp;b=1", "CVI")</f>
        <v>CVI</v>
      </c>
      <c r="B926">
        <v>7</v>
      </c>
      <c r="C926">
        <v>138.38</v>
      </c>
      <c r="D926">
        <v>69.75</v>
      </c>
      <c r="E926" t="s">
        <v>13434</v>
      </c>
      <c r="F926" t="s">
        <v>67</v>
      </c>
      <c r="G926" t="s">
        <v>1048</v>
      </c>
      <c r="H926" t="s">
        <v>3886</v>
      </c>
      <c r="I926" t="s">
        <v>70</v>
      </c>
      <c r="J926" t="s">
        <v>71</v>
      </c>
      <c r="K926">
        <v>3611.63</v>
      </c>
      <c r="L926">
        <v>35.93</v>
      </c>
      <c r="M926" t="s">
        <v>2468</v>
      </c>
      <c r="N926">
        <v>286671</v>
      </c>
      <c r="P926">
        <v>32.270000000000003</v>
      </c>
      <c r="R926">
        <v>0.5</v>
      </c>
      <c r="S926">
        <v>7.75</v>
      </c>
      <c r="T926" t="s">
        <v>211</v>
      </c>
      <c r="V926" t="s">
        <v>13435</v>
      </c>
      <c r="Z926" t="s">
        <v>13436</v>
      </c>
      <c r="AA926">
        <v>-3.31</v>
      </c>
      <c r="AB926" t="s">
        <v>11741</v>
      </c>
      <c r="AC926" t="s">
        <v>13437</v>
      </c>
      <c r="AE926" t="s">
        <v>11088</v>
      </c>
      <c r="AF926" t="s">
        <v>2082</v>
      </c>
      <c r="AG926" t="s">
        <v>5111</v>
      </c>
      <c r="AH926" t="s">
        <v>13438</v>
      </c>
      <c r="AI926" t="s">
        <v>13439</v>
      </c>
      <c r="AJ926" t="s">
        <v>2743</v>
      </c>
      <c r="AK926" t="s">
        <v>2670</v>
      </c>
      <c r="AL926">
        <v>1.17</v>
      </c>
      <c r="AM926">
        <v>0.75</v>
      </c>
      <c r="AN926">
        <v>4.08</v>
      </c>
      <c r="AO926" t="s">
        <v>5195</v>
      </c>
      <c r="AP926" t="s">
        <v>5189</v>
      </c>
      <c r="AQ926" t="s">
        <v>4430</v>
      </c>
      <c r="AR926" t="s">
        <v>122</v>
      </c>
      <c r="AS926" t="s">
        <v>6459</v>
      </c>
      <c r="AT926" t="s">
        <v>684</v>
      </c>
      <c r="AU926" t="s">
        <v>11870</v>
      </c>
      <c r="AV926" t="s">
        <v>5332</v>
      </c>
      <c r="AW926" t="s">
        <v>2950</v>
      </c>
      <c r="AX926" t="s">
        <v>13440</v>
      </c>
      <c r="AY926" t="s">
        <v>2950</v>
      </c>
      <c r="AZ926" t="s">
        <v>13441</v>
      </c>
      <c r="BA926">
        <v>4.1399999999999997</v>
      </c>
      <c r="BB926">
        <v>1786.52</v>
      </c>
      <c r="BC926">
        <v>0.56999999999999995</v>
      </c>
      <c r="BD926">
        <v>36</v>
      </c>
      <c r="BE926">
        <v>36.28</v>
      </c>
      <c r="BF926">
        <v>35.68</v>
      </c>
      <c r="BG926" t="s">
        <v>13442</v>
      </c>
      <c r="BH926" t="s">
        <v>1951</v>
      </c>
      <c r="BI926" t="s">
        <v>13443</v>
      </c>
      <c r="BJ926" t="s">
        <v>101</v>
      </c>
      <c r="BK926" t="s">
        <v>13444</v>
      </c>
      <c r="BL926" t="s">
        <v>13445</v>
      </c>
      <c r="BM926" t="s">
        <v>13446</v>
      </c>
      <c r="BN926" t="s">
        <v>4063</v>
      </c>
    </row>
    <row r="927" spans="1:66" x14ac:dyDescent="0.25">
      <c r="A927" t="str">
        <f>HYPERLINK("https://elite.finviz.com/quote.ashx?t=HASI&amp;ty=c&amp;p=d&amp;b=1", "HASI")</f>
        <v>HASI</v>
      </c>
      <c r="B927">
        <v>7</v>
      </c>
      <c r="C927">
        <v>138.38</v>
      </c>
      <c r="D927">
        <v>69.930000000000007</v>
      </c>
      <c r="E927" t="s">
        <v>13447</v>
      </c>
      <c r="F927" t="s">
        <v>67</v>
      </c>
      <c r="G927" t="s">
        <v>550</v>
      </c>
      <c r="H927" t="s">
        <v>2597</v>
      </c>
      <c r="I927" t="s">
        <v>70</v>
      </c>
      <c r="J927" t="s">
        <v>71</v>
      </c>
      <c r="K927">
        <v>3712.23</v>
      </c>
      <c r="L927">
        <v>29.96</v>
      </c>
      <c r="M927" t="s">
        <v>458</v>
      </c>
      <c r="N927">
        <v>137724</v>
      </c>
      <c r="O927">
        <v>19.809999999999999</v>
      </c>
      <c r="P927">
        <v>10.25</v>
      </c>
      <c r="Q927">
        <v>2.13</v>
      </c>
      <c r="R927">
        <v>10.15</v>
      </c>
      <c r="S927">
        <v>1.47</v>
      </c>
      <c r="T927" t="s">
        <v>5659</v>
      </c>
      <c r="U927">
        <v>1.67</v>
      </c>
      <c r="V927" t="s">
        <v>4105</v>
      </c>
      <c r="W927" t="s">
        <v>2744</v>
      </c>
      <c r="X927" t="s">
        <v>3733</v>
      </c>
      <c r="Y927" t="s">
        <v>3020</v>
      </c>
      <c r="Z927" t="s">
        <v>13448</v>
      </c>
      <c r="AA927">
        <v>1.51</v>
      </c>
      <c r="AB927" t="s">
        <v>3208</v>
      </c>
      <c r="AC927" t="s">
        <v>2370</v>
      </c>
      <c r="AD927" t="s">
        <v>2363</v>
      </c>
      <c r="AE927" t="s">
        <v>7948</v>
      </c>
      <c r="AF927" t="s">
        <v>4564</v>
      </c>
      <c r="AG927" t="s">
        <v>3514</v>
      </c>
      <c r="AH927" t="s">
        <v>7049</v>
      </c>
      <c r="AI927" t="s">
        <v>6123</v>
      </c>
      <c r="AJ927" t="s">
        <v>164</v>
      </c>
      <c r="AK927" t="s">
        <v>13449</v>
      </c>
      <c r="AL927">
        <v>10.5</v>
      </c>
      <c r="AM927">
        <v>10.5</v>
      </c>
      <c r="AN927">
        <v>1.86</v>
      </c>
      <c r="AO927" t="s">
        <v>1647</v>
      </c>
      <c r="AP927" t="s">
        <v>13450</v>
      </c>
      <c r="AQ927" t="s">
        <v>10314</v>
      </c>
      <c r="AR927" t="s">
        <v>908</v>
      </c>
      <c r="AS927" t="s">
        <v>910</v>
      </c>
      <c r="AT927" t="s">
        <v>3981</v>
      </c>
      <c r="AU927" t="s">
        <v>2053</v>
      </c>
      <c r="AV927" t="s">
        <v>2403</v>
      </c>
      <c r="AW927" t="s">
        <v>2103</v>
      </c>
      <c r="AX927" t="s">
        <v>9151</v>
      </c>
      <c r="AY927" t="s">
        <v>13451</v>
      </c>
      <c r="AZ927" t="s">
        <v>4940</v>
      </c>
      <c r="BA927">
        <v>1.31</v>
      </c>
      <c r="BB927">
        <v>1171.76</v>
      </c>
      <c r="BC927">
        <v>0.41</v>
      </c>
      <c r="BD927">
        <v>29.7</v>
      </c>
      <c r="BE927">
        <v>30.02</v>
      </c>
      <c r="BF927">
        <v>29.68</v>
      </c>
      <c r="BG927" t="s">
        <v>13452</v>
      </c>
      <c r="BH927" t="s">
        <v>13453</v>
      </c>
      <c r="BI927" t="s">
        <v>13454</v>
      </c>
      <c r="BJ927" t="s">
        <v>101</v>
      </c>
      <c r="BK927" t="s">
        <v>10132</v>
      </c>
      <c r="BL927" t="s">
        <v>2421</v>
      </c>
      <c r="BM927" t="s">
        <v>13455</v>
      </c>
      <c r="BN927" t="s">
        <v>4063</v>
      </c>
    </row>
    <row r="928" spans="1:66" x14ac:dyDescent="0.25">
      <c r="A928" t="str">
        <f>HYPERLINK("https://elite.finviz.com/quote.ashx?t=AVAH&amp;ty=c&amp;p=d&amp;b=1", "AVAH")</f>
        <v>AVAH</v>
      </c>
      <c r="B928">
        <v>7</v>
      </c>
      <c r="C928">
        <v>138.38</v>
      </c>
      <c r="D928">
        <v>69.94</v>
      </c>
      <c r="E928" t="s">
        <v>13456</v>
      </c>
      <c r="F928" t="s">
        <v>67</v>
      </c>
      <c r="G928" t="s">
        <v>428</v>
      </c>
      <c r="H928" t="s">
        <v>3160</v>
      </c>
      <c r="I928" t="s">
        <v>70</v>
      </c>
      <c r="J928" t="s">
        <v>321</v>
      </c>
      <c r="K928">
        <v>1825.96</v>
      </c>
      <c r="L928">
        <v>8.74</v>
      </c>
      <c r="M928" t="s">
        <v>4677</v>
      </c>
      <c r="N928">
        <v>258908</v>
      </c>
      <c r="O928">
        <v>116.24</v>
      </c>
      <c r="P928">
        <v>17.559999999999999</v>
      </c>
      <c r="Q928">
        <v>1.07</v>
      </c>
      <c r="R928">
        <v>0.84</v>
      </c>
      <c r="AA928">
        <v>0.08</v>
      </c>
      <c r="AB928" t="s">
        <v>13457</v>
      </c>
      <c r="AC928" t="s">
        <v>13458</v>
      </c>
      <c r="AD928" t="s">
        <v>8421</v>
      </c>
      <c r="AE928" t="s">
        <v>777</v>
      </c>
      <c r="AF928" t="s">
        <v>1474</v>
      </c>
      <c r="AG928" t="s">
        <v>3982</v>
      </c>
      <c r="AH928" t="s">
        <v>13459</v>
      </c>
      <c r="AI928" t="s">
        <v>13460</v>
      </c>
      <c r="AJ928" t="s">
        <v>6499</v>
      </c>
      <c r="AK928" t="s">
        <v>5501</v>
      </c>
      <c r="AL928">
        <v>1.0900000000000001</v>
      </c>
      <c r="AM928">
        <v>1.0900000000000001</v>
      </c>
      <c r="AO928" t="s">
        <v>5500</v>
      </c>
      <c r="AP928" t="s">
        <v>3491</v>
      </c>
      <c r="AQ928" t="s">
        <v>3013</v>
      </c>
      <c r="AR928" t="s">
        <v>4299</v>
      </c>
      <c r="AS928" t="s">
        <v>4323</v>
      </c>
      <c r="AT928" t="s">
        <v>3758</v>
      </c>
      <c r="AU928" t="s">
        <v>3618</v>
      </c>
      <c r="AV928" t="s">
        <v>11469</v>
      </c>
      <c r="AW928" t="s">
        <v>4865</v>
      </c>
      <c r="AX928" t="s">
        <v>13461</v>
      </c>
      <c r="AY928" t="s">
        <v>4865</v>
      </c>
      <c r="AZ928" t="s">
        <v>13462</v>
      </c>
      <c r="BA928">
        <v>2.33</v>
      </c>
      <c r="BB928">
        <v>1194.3800000000001</v>
      </c>
      <c r="BC928">
        <v>0.76</v>
      </c>
      <c r="BD928">
        <v>8.4600000000000009</v>
      </c>
      <c r="BE928">
        <v>8.7799999999999994</v>
      </c>
      <c r="BF928">
        <v>8.44</v>
      </c>
      <c r="BG928" t="s">
        <v>13463</v>
      </c>
      <c r="BH928" t="s">
        <v>13464</v>
      </c>
      <c r="BI928" t="s">
        <v>13465</v>
      </c>
      <c r="BJ928" t="s">
        <v>101</v>
      </c>
      <c r="BK928" t="s">
        <v>11438</v>
      </c>
      <c r="BL928" t="s">
        <v>1891</v>
      </c>
      <c r="BM928" t="s">
        <v>13466</v>
      </c>
      <c r="BN928" t="s">
        <v>4063</v>
      </c>
    </row>
    <row r="929" spans="1:66" x14ac:dyDescent="0.25">
      <c r="A929" t="str">
        <f>HYPERLINK("https://elite.finviz.com/quote.ashx?t=UNM&amp;ty=c&amp;p=d&amp;b=1", "UNM")</f>
        <v>UNM</v>
      </c>
      <c r="B929">
        <v>7</v>
      </c>
      <c r="C929">
        <v>138.38</v>
      </c>
      <c r="D929">
        <v>69.95</v>
      </c>
      <c r="E929" t="s">
        <v>13467</v>
      </c>
      <c r="F929" t="s">
        <v>107</v>
      </c>
      <c r="G929" t="s">
        <v>550</v>
      </c>
      <c r="H929" t="s">
        <v>5652</v>
      </c>
      <c r="I929" t="s">
        <v>70</v>
      </c>
      <c r="J929" t="s">
        <v>71</v>
      </c>
      <c r="K929">
        <v>13238.58</v>
      </c>
      <c r="L929">
        <v>77.73</v>
      </c>
      <c r="M929" t="s">
        <v>2185</v>
      </c>
      <c r="N929">
        <v>79197</v>
      </c>
      <c r="O929">
        <v>9.3000000000000007</v>
      </c>
      <c r="P929">
        <v>8.3000000000000007</v>
      </c>
      <c r="Q929">
        <v>1.25</v>
      </c>
      <c r="R929">
        <v>1.03</v>
      </c>
      <c r="S929">
        <v>1.18</v>
      </c>
      <c r="T929" t="s">
        <v>3842</v>
      </c>
      <c r="U929">
        <v>1.72</v>
      </c>
      <c r="V929" t="s">
        <v>12255</v>
      </c>
      <c r="W929" t="s">
        <v>13468</v>
      </c>
      <c r="X929" t="s">
        <v>2579</v>
      </c>
      <c r="Y929" t="s">
        <v>2521</v>
      </c>
      <c r="Z929" t="s">
        <v>6799</v>
      </c>
      <c r="AA929">
        <v>8.36</v>
      </c>
      <c r="AB929" t="s">
        <v>8653</v>
      </c>
      <c r="AC929" t="s">
        <v>3918</v>
      </c>
      <c r="AD929" t="s">
        <v>7236</v>
      </c>
      <c r="AE929" t="s">
        <v>2274</v>
      </c>
      <c r="AF929" t="s">
        <v>4710</v>
      </c>
      <c r="AG929" t="s">
        <v>3024</v>
      </c>
      <c r="AH929" t="s">
        <v>4394</v>
      </c>
      <c r="AI929" t="s">
        <v>7219</v>
      </c>
      <c r="AJ929" t="s">
        <v>7270</v>
      </c>
      <c r="AK929" t="s">
        <v>13469</v>
      </c>
      <c r="AN929">
        <v>0.33</v>
      </c>
      <c r="AP929" t="s">
        <v>13470</v>
      </c>
      <c r="AQ929" t="s">
        <v>3327</v>
      </c>
      <c r="AR929" t="s">
        <v>6336</v>
      </c>
      <c r="AS929" t="s">
        <v>4493</v>
      </c>
      <c r="AT929" t="s">
        <v>353</v>
      </c>
      <c r="AU929" t="s">
        <v>4551</v>
      </c>
      <c r="AV929" t="s">
        <v>3019</v>
      </c>
      <c r="AW929" t="s">
        <v>681</v>
      </c>
      <c r="AX929" t="s">
        <v>340</v>
      </c>
      <c r="AY929" t="s">
        <v>5211</v>
      </c>
      <c r="AZ929" t="s">
        <v>13386</v>
      </c>
      <c r="BA929">
        <v>1.59</v>
      </c>
      <c r="BB929">
        <v>1518.03</v>
      </c>
      <c r="BC929">
        <v>0.18</v>
      </c>
      <c r="BD929">
        <v>76.7</v>
      </c>
      <c r="BE929">
        <v>78.349999999999994</v>
      </c>
      <c r="BF929">
        <v>77.599999999999994</v>
      </c>
      <c r="BG929" t="s">
        <v>13471</v>
      </c>
      <c r="BH929" t="s">
        <v>5211</v>
      </c>
      <c r="BI929" t="s">
        <v>13472</v>
      </c>
      <c r="BJ929" t="s">
        <v>101</v>
      </c>
      <c r="BK929" t="s">
        <v>12575</v>
      </c>
      <c r="BL929" t="s">
        <v>7165</v>
      </c>
      <c r="BM929" t="s">
        <v>13473</v>
      </c>
      <c r="BN929" t="s">
        <v>4063</v>
      </c>
    </row>
    <row r="930" spans="1:66" x14ac:dyDescent="0.25">
      <c r="A930" t="str">
        <f>HYPERLINK("https://elite.finviz.com/quote.ashx?t=PTNM&amp;ty=c&amp;p=d&amp;b=1", "PTNM")</f>
        <v>PTNM</v>
      </c>
      <c r="B930">
        <v>7</v>
      </c>
      <c r="C930">
        <v>138.38</v>
      </c>
      <c r="D930">
        <v>69.97</v>
      </c>
      <c r="E930" t="s">
        <v>13474</v>
      </c>
      <c r="F930" t="s">
        <v>107</v>
      </c>
      <c r="G930" t="s">
        <v>2244</v>
      </c>
      <c r="H930" t="s">
        <v>5311</v>
      </c>
      <c r="I930" t="s">
        <v>70</v>
      </c>
      <c r="J930" t="s">
        <v>321</v>
      </c>
      <c r="L930">
        <v>9.82</v>
      </c>
      <c r="M930" t="s">
        <v>5423</v>
      </c>
      <c r="N930">
        <v>830240</v>
      </c>
      <c r="AR930" t="s">
        <v>2737</v>
      </c>
      <c r="AS930" t="s">
        <v>1663</v>
      </c>
      <c r="AT930" t="s">
        <v>13475</v>
      </c>
      <c r="AU930" t="s">
        <v>13476</v>
      </c>
      <c r="AV930" t="s">
        <v>13477</v>
      </c>
      <c r="AW930" t="s">
        <v>13478</v>
      </c>
      <c r="AX930" t="s">
        <v>13479</v>
      </c>
      <c r="AY930" t="s">
        <v>13480</v>
      </c>
      <c r="AZ930" t="s">
        <v>13479</v>
      </c>
      <c r="BB930">
        <v>2413.7399999999998</v>
      </c>
      <c r="BC930">
        <v>1.21</v>
      </c>
      <c r="BD930">
        <v>11.38</v>
      </c>
      <c r="BE930">
        <v>11.84</v>
      </c>
      <c r="BF930">
        <v>8.65</v>
      </c>
      <c r="BG930" t="s">
        <v>13481</v>
      </c>
      <c r="BH930" t="s">
        <v>13480</v>
      </c>
      <c r="BI930" t="s">
        <v>13479</v>
      </c>
      <c r="BJ930" t="s">
        <v>101</v>
      </c>
      <c r="BK930" t="s">
        <v>7282</v>
      </c>
      <c r="BN930" t="s">
        <v>4063</v>
      </c>
    </row>
    <row r="931" spans="1:66" x14ac:dyDescent="0.25">
      <c r="A931" t="str">
        <f>HYPERLINK("https://elite.finviz.com/quote.ashx?t=LRCX&amp;ty=c&amp;p=d&amp;b=1", "LRCX")</f>
        <v>LRCX</v>
      </c>
      <c r="B931">
        <v>7</v>
      </c>
      <c r="C931">
        <v>138.38</v>
      </c>
      <c r="D931">
        <v>70.03</v>
      </c>
      <c r="E931" t="s">
        <v>13482</v>
      </c>
      <c r="F931" t="s">
        <v>319</v>
      </c>
      <c r="G931" t="s">
        <v>108</v>
      </c>
      <c r="H931" t="s">
        <v>2097</v>
      </c>
      <c r="I931" t="s">
        <v>70</v>
      </c>
      <c r="J931" t="s">
        <v>321</v>
      </c>
      <c r="K931">
        <v>159634.07</v>
      </c>
      <c r="L931">
        <v>126.59</v>
      </c>
      <c r="M931" t="s">
        <v>609</v>
      </c>
      <c r="N931">
        <v>2483415</v>
      </c>
      <c r="O931">
        <v>30.44</v>
      </c>
      <c r="P931">
        <v>24.74</v>
      </c>
      <c r="Q931">
        <v>2.4300000000000002</v>
      </c>
      <c r="R931">
        <v>8.66</v>
      </c>
      <c r="S931">
        <v>16.29</v>
      </c>
      <c r="T931" t="s">
        <v>3169</v>
      </c>
      <c r="U931">
        <v>0.95</v>
      </c>
      <c r="V931" t="s">
        <v>13483</v>
      </c>
      <c r="W931" t="s">
        <v>3270</v>
      </c>
      <c r="X931" t="s">
        <v>6387</v>
      </c>
      <c r="Y931" t="s">
        <v>1561</v>
      </c>
      <c r="Z931" t="s">
        <v>6022</v>
      </c>
      <c r="AA931">
        <v>4.16</v>
      </c>
      <c r="AB931" t="s">
        <v>3100</v>
      </c>
      <c r="AC931" t="s">
        <v>13484</v>
      </c>
      <c r="AD931" t="s">
        <v>11867</v>
      </c>
      <c r="AE931" t="s">
        <v>9496</v>
      </c>
      <c r="AF931" t="s">
        <v>4839</v>
      </c>
      <c r="AG931" t="s">
        <v>12316</v>
      </c>
      <c r="AH931" t="s">
        <v>8683</v>
      </c>
      <c r="AI931" t="s">
        <v>4288</v>
      </c>
      <c r="AJ931" t="s">
        <v>164</v>
      </c>
      <c r="AK931" t="s">
        <v>13485</v>
      </c>
      <c r="AL931">
        <v>2.21</v>
      </c>
      <c r="AM931">
        <v>1.55</v>
      </c>
      <c r="AN931">
        <v>0.48</v>
      </c>
      <c r="AO931" t="s">
        <v>4491</v>
      </c>
      <c r="AP931" t="s">
        <v>9654</v>
      </c>
      <c r="AQ931" t="s">
        <v>12632</v>
      </c>
      <c r="AR931" t="s">
        <v>3456</v>
      </c>
      <c r="AS931" t="s">
        <v>2496</v>
      </c>
      <c r="AT931" t="s">
        <v>1533</v>
      </c>
      <c r="AU931" t="s">
        <v>13277</v>
      </c>
      <c r="AV931" t="s">
        <v>6052</v>
      </c>
      <c r="AW931" t="s">
        <v>3321</v>
      </c>
      <c r="AX931" t="s">
        <v>7140</v>
      </c>
      <c r="AY931" t="s">
        <v>3321</v>
      </c>
      <c r="AZ931" t="s">
        <v>13486</v>
      </c>
      <c r="BA931">
        <v>1.75</v>
      </c>
      <c r="BB931">
        <v>11142.23</v>
      </c>
      <c r="BC931">
        <v>0.79</v>
      </c>
      <c r="BD931">
        <v>128.13</v>
      </c>
      <c r="BE931">
        <v>128.29</v>
      </c>
      <c r="BF931">
        <v>126.37</v>
      </c>
      <c r="BG931" t="s">
        <v>13487</v>
      </c>
      <c r="BH931" t="s">
        <v>3321</v>
      </c>
      <c r="BI931" t="s">
        <v>13488</v>
      </c>
      <c r="BJ931" t="s">
        <v>101</v>
      </c>
      <c r="BK931" t="s">
        <v>13489</v>
      </c>
      <c r="BL931" t="s">
        <v>12205</v>
      </c>
      <c r="BM931" t="s">
        <v>10565</v>
      </c>
      <c r="BN931" t="s">
        <v>4063</v>
      </c>
    </row>
    <row r="932" spans="1:66" x14ac:dyDescent="0.25">
      <c r="A932" t="str">
        <f>HYPERLINK("https://elite.finviz.com/quote.ashx?t=AVAV&amp;ty=c&amp;p=d&amp;b=1", "AVAV")</f>
        <v>AVAV</v>
      </c>
      <c r="B932">
        <v>7</v>
      </c>
      <c r="C932">
        <v>138.38</v>
      </c>
      <c r="D932">
        <v>70.06</v>
      </c>
      <c r="E932" t="s">
        <v>13490</v>
      </c>
      <c r="F932" t="s">
        <v>67</v>
      </c>
      <c r="G932" t="s">
        <v>260</v>
      </c>
      <c r="H932" t="s">
        <v>4779</v>
      </c>
      <c r="I932" t="s">
        <v>70</v>
      </c>
      <c r="J932" t="s">
        <v>321</v>
      </c>
      <c r="K932">
        <v>14850.78</v>
      </c>
      <c r="L932">
        <v>297.42</v>
      </c>
      <c r="M932" t="s">
        <v>298</v>
      </c>
      <c r="N932">
        <v>265691</v>
      </c>
      <c r="P932">
        <v>64.66</v>
      </c>
      <c r="R932">
        <v>13.68</v>
      </c>
      <c r="S932">
        <v>3.35</v>
      </c>
      <c r="Z932" t="s">
        <v>164</v>
      </c>
      <c r="AA932">
        <v>-0.64</v>
      </c>
      <c r="AC932" t="s">
        <v>4150</v>
      </c>
      <c r="AD932" t="s">
        <v>791</v>
      </c>
      <c r="AE932" t="s">
        <v>8817</v>
      </c>
      <c r="AF932" t="s">
        <v>13491</v>
      </c>
      <c r="AG932" t="s">
        <v>512</v>
      </c>
      <c r="AH932" t="s">
        <v>13492</v>
      </c>
      <c r="AI932" t="s">
        <v>6918</v>
      </c>
      <c r="AJ932" t="s">
        <v>1364</v>
      </c>
      <c r="AK932" t="s">
        <v>13493</v>
      </c>
      <c r="AL932">
        <v>5.96</v>
      </c>
      <c r="AM932">
        <v>5.12</v>
      </c>
      <c r="AN932">
        <v>0.19</v>
      </c>
      <c r="AO932" t="s">
        <v>6446</v>
      </c>
      <c r="AP932" t="s">
        <v>2899</v>
      </c>
      <c r="AQ932" t="s">
        <v>6074</v>
      </c>
      <c r="AR932" t="s">
        <v>585</v>
      </c>
      <c r="AS932" t="s">
        <v>995</v>
      </c>
      <c r="AT932" t="s">
        <v>8814</v>
      </c>
      <c r="AU932" t="s">
        <v>7400</v>
      </c>
      <c r="AV932" t="s">
        <v>13494</v>
      </c>
      <c r="AW932" t="s">
        <v>6058</v>
      </c>
      <c r="AX932" t="s">
        <v>7003</v>
      </c>
      <c r="AY932" t="s">
        <v>6058</v>
      </c>
      <c r="AZ932" t="s">
        <v>13495</v>
      </c>
      <c r="BA932">
        <v>1.07</v>
      </c>
      <c r="BB932">
        <v>1475.12</v>
      </c>
      <c r="BC932">
        <v>0.63</v>
      </c>
      <c r="BD932">
        <v>301.79000000000002</v>
      </c>
      <c r="BE932">
        <v>305.01</v>
      </c>
      <c r="BF932">
        <v>294.01</v>
      </c>
      <c r="BG932" t="s">
        <v>13496</v>
      </c>
      <c r="BH932" t="s">
        <v>6058</v>
      </c>
      <c r="BI932" t="s">
        <v>13497</v>
      </c>
      <c r="BJ932" t="s">
        <v>101</v>
      </c>
      <c r="BK932" t="s">
        <v>9936</v>
      </c>
      <c r="BL932" t="s">
        <v>13498</v>
      </c>
      <c r="BM932" t="s">
        <v>13499</v>
      </c>
      <c r="BN932" t="s">
        <v>4063</v>
      </c>
    </row>
    <row r="933" spans="1:66" x14ac:dyDescent="0.25">
      <c r="A933" t="str">
        <f>HYPERLINK("https://elite.finviz.com/quote.ashx?t=AL&amp;ty=c&amp;p=d&amp;b=1", "AL")</f>
        <v>AL</v>
      </c>
      <c r="B933">
        <v>7</v>
      </c>
      <c r="C933">
        <v>138.38</v>
      </c>
      <c r="D933">
        <v>70.2</v>
      </c>
      <c r="E933" t="s">
        <v>13500</v>
      </c>
      <c r="F933" t="s">
        <v>107</v>
      </c>
      <c r="G933" t="s">
        <v>260</v>
      </c>
      <c r="H933" t="s">
        <v>7905</v>
      </c>
      <c r="I933" t="s">
        <v>70</v>
      </c>
      <c r="J933" t="s">
        <v>71</v>
      </c>
      <c r="K933">
        <v>7110.49</v>
      </c>
      <c r="L933">
        <v>63.62</v>
      </c>
      <c r="M933" t="s">
        <v>2215</v>
      </c>
      <c r="N933">
        <v>644390</v>
      </c>
      <c r="O933">
        <v>7.72</v>
      </c>
      <c r="P933">
        <v>12.4</v>
      </c>
      <c r="Q933">
        <v>0.32</v>
      </c>
      <c r="R933">
        <v>2.61</v>
      </c>
      <c r="S933">
        <v>0.86</v>
      </c>
      <c r="T933" t="s">
        <v>1837</v>
      </c>
      <c r="U933">
        <v>0.88</v>
      </c>
      <c r="V933" t="s">
        <v>7315</v>
      </c>
      <c r="W933" t="s">
        <v>912</v>
      </c>
      <c r="X933" t="s">
        <v>1889</v>
      </c>
      <c r="Y933" t="s">
        <v>3141</v>
      </c>
      <c r="Z933" t="s">
        <v>1956</v>
      </c>
      <c r="AA933">
        <v>8.24</v>
      </c>
      <c r="AB933" t="s">
        <v>3466</v>
      </c>
      <c r="AC933" t="s">
        <v>5176</v>
      </c>
      <c r="AD933" t="s">
        <v>4285</v>
      </c>
      <c r="AE933" t="s">
        <v>9636</v>
      </c>
      <c r="AF933" t="s">
        <v>1767</v>
      </c>
      <c r="AG933" t="s">
        <v>4678</v>
      </c>
      <c r="AH933" t="s">
        <v>11036</v>
      </c>
      <c r="AI933" t="s">
        <v>13501</v>
      </c>
      <c r="AJ933" t="s">
        <v>4703</v>
      </c>
      <c r="AK933" t="s">
        <v>13502</v>
      </c>
      <c r="AL933">
        <v>0.12</v>
      </c>
      <c r="AM933">
        <v>0.12</v>
      </c>
      <c r="AN933">
        <v>2.4700000000000002</v>
      </c>
      <c r="AO933" t="s">
        <v>13503</v>
      </c>
      <c r="AP933" t="s">
        <v>2020</v>
      </c>
      <c r="AQ933" t="s">
        <v>13504</v>
      </c>
      <c r="AR933" t="s">
        <v>2560</v>
      </c>
      <c r="AS933" t="s">
        <v>8228</v>
      </c>
      <c r="AT933" t="s">
        <v>4266</v>
      </c>
      <c r="AU933" t="s">
        <v>3148</v>
      </c>
      <c r="AV933" t="s">
        <v>7834</v>
      </c>
      <c r="AW933" t="s">
        <v>7646</v>
      </c>
      <c r="AX933" t="s">
        <v>9722</v>
      </c>
      <c r="AY933" t="s">
        <v>7646</v>
      </c>
      <c r="AZ933" t="s">
        <v>9050</v>
      </c>
      <c r="BA933">
        <v>2.67</v>
      </c>
      <c r="BB933">
        <v>1582</v>
      </c>
      <c r="BC933">
        <v>1.44</v>
      </c>
      <c r="BD933">
        <v>63.61</v>
      </c>
      <c r="BE933">
        <v>63.94</v>
      </c>
      <c r="BF933">
        <v>63.6</v>
      </c>
      <c r="BG933" t="s">
        <v>13505</v>
      </c>
      <c r="BH933" t="s">
        <v>7646</v>
      </c>
      <c r="BI933" t="s">
        <v>13506</v>
      </c>
      <c r="BJ933" t="s">
        <v>101</v>
      </c>
      <c r="BK933" t="s">
        <v>4518</v>
      </c>
      <c r="BL933" t="s">
        <v>7006</v>
      </c>
      <c r="BM933" t="s">
        <v>4992</v>
      </c>
      <c r="BN933" t="s">
        <v>4063</v>
      </c>
    </row>
    <row r="934" spans="1:66" x14ac:dyDescent="0.25">
      <c r="A934" t="str">
        <f>HYPERLINK("https://elite.finviz.com/quote.ashx?t=GLW&amp;ty=c&amp;p=d&amp;b=1", "GLW")</f>
        <v>GLW</v>
      </c>
      <c r="B934">
        <v>7</v>
      </c>
      <c r="C934">
        <v>138.38</v>
      </c>
      <c r="D934">
        <v>70.2</v>
      </c>
      <c r="E934" t="s">
        <v>13507</v>
      </c>
      <c r="F934" t="s">
        <v>195</v>
      </c>
      <c r="G934" t="s">
        <v>108</v>
      </c>
      <c r="H934" t="s">
        <v>3346</v>
      </c>
      <c r="I934" t="s">
        <v>70</v>
      </c>
      <c r="J934" t="s">
        <v>71</v>
      </c>
      <c r="K934">
        <v>67715.72</v>
      </c>
      <c r="L934">
        <v>79.05</v>
      </c>
      <c r="M934" t="s">
        <v>2638</v>
      </c>
      <c r="N934">
        <v>1459443</v>
      </c>
      <c r="O934">
        <v>83.7</v>
      </c>
      <c r="P934">
        <v>27.16</v>
      </c>
      <c r="Q934">
        <v>4.2300000000000004</v>
      </c>
      <c r="R934">
        <v>4.7699999999999996</v>
      </c>
      <c r="S934">
        <v>5.75</v>
      </c>
      <c r="T934" t="s">
        <v>907</v>
      </c>
      <c r="U934">
        <v>1.1200000000000001</v>
      </c>
      <c r="V934" t="s">
        <v>4882</v>
      </c>
      <c r="W934" t="s">
        <v>164</v>
      </c>
      <c r="X934" t="s">
        <v>8966</v>
      </c>
      <c r="Y934" t="s">
        <v>9936</v>
      </c>
      <c r="Z934" t="s">
        <v>13508</v>
      </c>
      <c r="AA934">
        <v>0.94</v>
      </c>
      <c r="AB934" t="s">
        <v>13509</v>
      </c>
      <c r="AC934" t="s">
        <v>2536</v>
      </c>
      <c r="AD934" t="s">
        <v>11602</v>
      </c>
      <c r="AE934" t="s">
        <v>4523</v>
      </c>
      <c r="AF934" t="s">
        <v>8293</v>
      </c>
      <c r="AG934" t="s">
        <v>1768</v>
      </c>
      <c r="AH934" t="s">
        <v>7287</v>
      </c>
      <c r="AI934" t="s">
        <v>6404</v>
      </c>
      <c r="AJ934" t="s">
        <v>4809</v>
      </c>
      <c r="AK934" t="s">
        <v>13510</v>
      </c>
      <c r="AL934">
        <v>1.5</v>
      </c>
      <c r="AM934">
        <v>0.93</v>
      </c>
      <c r="AN934">
        <v>0.76</v>
      </c>
      <c r="AO934" t="s">
        <v>12411</v>
      </c>
      <c r="AP934" t="s">
        <v>13511</v>
      </c>
      <c r="AQ934" t="s">
        <v>1576</v>
      </c>
      <c r="AR934" t="s">
        <v>2619</v>
      </c>
      <c r="AS934" t="s">
        <v>2643</v>
      </c>
      <c r="AT934" t="s">
        <v>1749</v>
      </c>
      <c r="AU934" t="s">
        <v>8697</v>
      </c>
      <c r="AV934" t="s">
        <v>12938</v>
      </c>
      <c r="AW934" t="s">
        <v>9022</v>
      </c>
      <c r="AX934" t="s">
        <v>11943</v>
      </c>
      <c r="AY934" t="s">
        <v>9022</v>
      </c>
      <c r="AZ934" t="s">
        <v>13512</v>
      </c>
      <c r="BA934">
        <v>1.82</v>
      </c>
      <c r="BB934">
        <v>6703.74</v>
      </c>
      <c r="BC934">
        <v>0.77</v>
      </c>
      <c r="BD934">
        <v>79.13</v>
      </c>
      <c r="BE934">
        <v>79.48</v>
      </c>
      <c r="BF934">
        <v>78.739999999999995</v>
      </c>
      <c r="BG934" t="s">
        <v>13513</v>
      </c>
      <c r="BH934" t="s">
        <v>13514</v>
      </c>
      <c r="BI934" t="s">
        <v>13515</v>
      </c>
      <c r="BJ934" t="s">
        <v>101</v>
      </c>
      <c r="BK934" t="s">
        <v>13516</v>
      </c>
      <c r="BL934" t="s">
        <v>13517</v>
      </c>
      <c r="BM934" t="s">
        <v>13518</v>
      </c>
      <c r="BN934" t="s">
        <v>4063</v>
      </c>
    </row>
    <row r="935" spans="1:66" x14ac:dyDescent="0.25">
      <c r="A935" t="str">
        <f>HYPERLINK("https://elite.finviz.com/quote.ashx?t=FE&amp;ty=c&amp;p=d&amp;b=1", "FE")</f>
        <v>FE</v>
      </c>
      <c r="B935">
        <v>7</v>
      </c>
      <c r="C935">
        <v>138.38</v>
      </c>
      <c r="D935">
        <v>70.239999999999995</v>
      </c>
      <c r="E935" t="s">
        <v>13519</v>
      </c>
      <c r="F935" t="s">
        <v>195</v>
      </c>
      <c r="G935" t="s">
        <v>287</v>
      </c>
      <c r="H935" t="s">
        <v>676</v>
      </c>
      <c r="I935" t="s">
        <v>70</v>
      </c>
      <c r="J935" t="s">
        <v>71</v>
      </c>
      <c r="K935">
        <v>25925.439999999999</v>
      </c>
      <c r="L935">
        <v>44.9</v>
      </c>
      <c r="M935" t="s">
        <v>3550</v>
      </c>
      <c r="N935">
        <v>960252</v>
      </c>
      <c r="O935">
        <v>19.82</v>
      </c>
      <c r="P935">
        <v>16.559999999999999</v>
      </c>
      <c r="Q935">
        <v>5.8</v>
      </c>
      <c r="R935">
        <v>1.85</v>
      </c>
      <c r="S935">
        <v>2.02</v>
      </c>
      <c r="T935" t="s">
        <v>4125</v>
      </c>
      <c r="U935">
        <v>1.74</v>
      </c>
      <c r="V935" t="s">
        <v>13520</v>
      </c>
      <c r="W935" t="s">
        <v>9936</v>
      </c>
      <c r="X935" t="s">
        <v>648</v>
      </c>
      <c r="Y935" t="s">
        <v>4891</v>
      </c>
      <c r="Z935" t="s">
        <v>13521</v>
      </c>
      <c r="AA935">
        <v>2.27</v>
      </c>
      <c r="AB935" t="s">
        <v>10972</v>
      </c>
      <c r="AC935" t="s">
        <v>2449</v>
      </c>
      <c r="AD935" t="s">
        <v>5369</v>
      </c>
      <c r="AE935" t="s">
        <v>1474</v>
      </c>
      <c r="AF935" t="s">
        <v>8960</v>
      </c>
      <c r="AG935" t="s">
        <v>5164</v>
      </c>
      <c r="AH935" t="s">
        <v>1769</v>
      </c>
      <c r="AI935" t="s">
        <v>3952</v>
      </c>
      <c r="AJ935" t="s">
        <v>13522</v>
      </c>
      <c r="AK935" t="s">
        <v>13523</v>
      </c>
      <c r="AL935">
        <v>0.61</v>
      </c>
      <c r="AM935">
        <v>0.51</v>
      </c>
      <c r="AN935">
        <v>2.0099999999999998</v>
      </c>
      <c r="AO935" t="s">
        <v>13524</v>
      </c>
      <c r="AP935" t="s">
        <v>9044</v>
      </c>
      <c r="AQ935" t="s">
        <v>11505</v>
      </c>
      <c r="AR935" t="s">
        <v>6155</v>
      </c>
      <c r="AS935" t="s">
        <v>1279</v>
      </c>
      <c r="AT935" t="s">
        <v>305</v>
      </c>
      <c r="AU935" t="s">
        <v>4795</v>
      </c>
      <c r="AV935" t="s">
        <v>1423</v>
      </c>
      <c r="AW935" t="s">
        <v>3871</v>
      </c>
      <c r="AX935" t="s">
        <v>3079</v>
      </c>
      <c r="AY935" t="s">
        <v>3871</v>
      </c>
      <c r="AZ935" t="s">
        <v>7225</v>
      </c>
      <c r="BA935">
        <v>2.31</v>
      </c>
      <c r="BB935">
        <v>3790.85</v>
      </c>
      <c r="BC935">
        <v>0.89</v>
      </c>
      <c r="BD935">
        <v>44.24</v>
      </c>
      <c r="BE935">
        <v>45.08</v>
      </c>
      <c r="BF935">
        <v>44.41</v>
      </c>
      <c r="BG935" t="s">
        <v>13525</v>
      </c>
      <c r="BH935" t="s">
        <v>2936</v>
      </c>
      <c r="BI935" t="s">
        <v>13526</v>
      </c>
      <c r="BJ935" t="s">
        <v>101</v>
      </c>
      <c r="BK935" t="s">
        <v>3918</v>
      </c>
      <c r="BL935" t="s">
        <v>6689</v>
      </c>
      <c r="BM935" t="s">
        <v>2146</v>
      </c>
      <c r="BN935" t="s">
        <v>4063</v>
      </c>
    </row>
    <row r="936" spans="1:66" x14ac:dyDescent="0.25">
      <c r="A936" t="str">
        <f>HYPERLINK("https://elite.finviz.com/quote.ashx?t=QLGN&amp;ty=c&amp;p=d&amp;b=1", "QLGN")</f>
        <v>QLGN</v>
      </c>
      <c r="B936">
        <v>7</v>
      </c>
      <c r="C936">
        <v>138.38</v>
      </c>
      <c r="D936">
        <v>70.37</v>
      </c>
      <c r="E936" t="s">
        <v>13527</v>
      </c>
      <c r="F936" t="s">
        <v>107</v>
      </c>
      <c r="G936" t="s">
        <v>428</v>
      </c>
      <c r="H936" t="s">
        <v>429</v>
      </c>
      <c r="I936" t="s">
        <v>70</v>
      </c>
      <c r="J936" t="s">
        <v>321</v>
      </c>
      <c r="K936">
        <v>8.77</v>
      </c>
      <c r="L936">
        <v>5.17</v>
      </c>
      <c r="M936" t="s">
        <v>5857</v>
      </c>
      <c r="N936">
        <v>366941</v>
      </c>
      <c r="AA936">
        <v>-8.68</v>
      </c>
      <c r="AB936" t="s">
        <v>13528</v>
      </c>
      <c r="AC936" t="s">
        <v>7163</v>
      </c>
      <c r="AE936" t="s">
        <v>579</v>
      </c>
      <c r="AI936" t="s">
        <v>3375</v>
      </c>
      <c r="AJ936" t="s">
        <v>164</v>
      </c>
      <c r="AK936" t="s">
        <v>3871</v>
      </c>
      <c r="AL936">
        <v>0.71</v>
      </c>
      <c r="AM936">
        <v>0.71</v>
      </c>
      <c r="AR936" t="s">
        <v>7140</v>
      </c>
      <c r="AS936" t="s">
        <v>1626</v>
      </c>
      <c r="AT936" t="s">
        <v>8071</v>
      </c>
      <c r="AU936" t="s">
        <v>13529</v>
      </c>
      <c r="AV936" t="s">
        <v>13530</v>
      </c>
      <c r="AW936" t="s">
        <v>13531</v>
      </c>
      <c r="AX936" t="s">
        <v>13532</v>
      </c>
      <c r="AY936" t="s">
        <v>13533</v>
      </c>
      <c r="AZ936" t="s">
        <v>13532</v>
      </c>
      <c r="BA936">
        <v>1</v>
      </c>
      <c r="BB936">
        <v>2195.69</v>
      </c>
      <c r="BC936">
        <v>0.59</v>
      </c>
      <c r="BD936">
        <v>5.52</v>
      </c>
      <c r="BE936">
        <v>5.49</v>
      </c>
      <c r="BF936">
        <v>4.8</v>
      </c>
      <c r="BG936" t="s">
        <v>13534</v>
      </c>
      <c r="BH936" t="s">
        <v>579</v>
      </c>
      <c r="BI936" t="s">
        <v>13532</v>
      </c>
      <c r="BJ936" t="s">
        <v>101</v>
      </c>
      <c r="BK936" t="s">
        <v>13535</v>
      </c>
      <c r="BL936" t="s">
        <v>11777</v>
      </c>
      <c r="BM936" t="s">
        <v>13536</v>
      </c>
      <c r="BN936" t="s">
        <v>4063</v>
      </c>
    </row>
    <row r="937" spans="1:66" x14ac:dyDescent="0.25">
      <c r="A937" t="str">
        <f>HYPERLINK("https://elite.finviz.com/quote.ashx?t=WDC&amp;ty=c&amp;p=d&amp;b=1", "WDC")</f>
        <v>WDC</v>
      </c>
      <c r="B937">
        <v>7</v>
      </c>
      <c r="C937">
        <v>138.38</v>
      </c>
      <c r="D937">
        <v>70.540000000000006</v>
      </c>
      <c r="E937" t="s">
        <v>13537</v>
      </c>
      <c r="F937" t="s">
        <v>195</v>
      </c>
      <c r="G937" t="s">
        <v>108</v>
      </c>
      <c r="H937" t="s">
        <v>496</v>
      </c>
      <c r="I937" t="s">
        <v>70</v>
      </c>
      <c r="J937" t="s">
        <v>321</v>
      </c>
      <c r="K937">
        <v>36867.410000000003</v>
      </c>
      <c r="L937">
        <v>106.27</v>
      </c>
      <c r="M937" t="s">
        <v>2694</v>
      </c>
      <c r="N937">
        <v>1669285</v>
      </c>
      <c r="O937">
        <v>20.69</v>
      </c>
      <c r="P937">
        <v>14.65</v>
      </c>
      <c r="Q937">
        <v>1.35</v>
      </c>
      <c r="R937">
        <v>2.78</v>
      </c>
      <c r="S937">
        <v>6.94</v>
      </c>
      <c r="T937" t="s">
        <v>7464</v>
      </c>
      <c r="U937">
        <v>0.2</v>
      </c>
      <c r="V937" t="s">
        <v>6223</v>
      </c>
      <c r="Y937" t="s">
        <v>13538</v>
      </c>
      <c r="Z937" t="s">
        <v>4276</v>
      </c>
      <c r="AA937">
        <v>5.14</v>
      </c>
      <c r="AB937" t="s">
        <v>4901</v>
      </c>
      <c r="AD937" t="s">
        <v>6230</v>
      </c>
      <c r="AE937" t="s">
        <v>5420</v>
      </c>
      <c r="AF937" t="s">
        <v>13539</v>
      </c>
      <c r="AG937" t="s">
        <v>4438</v>
      </c>
      <c r="AH937" t="s">
        <v>9000</v>
      </c>
      <c r="AI937" t="s">
        <v>6388</v>
      </c>
      <c r="AJ937" t="s">
        <v>11830</v>
      </c>
      <c r="AK937" t="s">
        <v>13540</v>
      </c>
      <c r="AL937">
        <v>1.08</v>
      </c>
      <c r="AM937">
        <v>0.84</v>
      </c>
      <c r="AN937">
        <v>0.96</v>
      </c>
      <c r="AO937" t="s">
        <v>12080</v>
      </c>
      <c r="AP937" t="s">
        <v>6451</v>
      </c>
      <c r="AQ937" t="s">
        <v>340</v>
      </c>
      <c r="AR937" t="s">
        <v>3454</v>
      </c>
      <c r="AS937" t="s">
        <v>2356</v>
      </c>
      <c r="AT937" t="s">
        <v>2515</v>
      </c>
      <c r="AU937" t="s">
        <v>1569</v>
      </c>
      <c r="AV937" t="s">
        <v>6878</v>
      </c>
      <c r="AW937" t="s">
        <v>6450</v>
      </c>
      <c r="AX937" t="s">
        <v>13541</v>
      </c>
      <c r="AY937" t="s">
        <v>6450</v>
      </c>
      <c r="AZ937" t="s">
        <v>13542</v>
      </c>
      <c r="BA937">
        <v>1.71</v>
      </c>
      <c r="BB937">
        <v>7506.38</v>
      </c>
      <c r="BC937">
        <v>0.78</v>
      </c>
      <c r="BD937">
        <v>107.21</v>
      </c>
      <c r="BE937">
        <v>108.05</v>
      </c>
      <c r="BF937">
        <v>105.43</v>
      </c>
      <c r="BG937" t="s">
        <v>13543</v>
      </c>
      <c r="BH937" t="s">
        <v>6450</v>
      </c>
      <c r="BI937" t="s">
        <v>13544</v>
      </c>
      <c r="BJ937" t="s">
        <v>101</v>
      </c>
      <c r="BK937" t="s">
        <v>5313</v>
      </c>
      <c r="BL937" t="s">
        <v>13545</v>
      </c>
      <c r="BM937" t="s">
        <v>13546</v>
      </c>
      <c r="BN937" t="s">
        <v>4063</v>
      </c>
    </row>
    <row r="938" spans="1:66" x14ac:dyDescent="0.25">
      <c r="A938" t="str">
        <f>HYPERLINK("https://elite.finviz.com/quote.ashx?t=UNP&amp;ty=c&amp;p=d&amp;b=1", "UNP")</f>
        <v>UNP</v>
      </c>
      <c r="B938">
        <v>7</v>
      </c>
      <c r="C938">
        <v>138.38</v>
      </c>
      <c r="D938">
        <v>70.55</v>
      </c>
      <c r="E938" t="s">
        <v>13547</v>
      </c>
      <c r="F938" t="s">
        <v>195</v>
      </c>
      <c r="G938" t="s">
        <v>260</v>
      </c>
      <c r="H938" t="s">
        <v>10167</v>
      </c>
      <c r="I938" t="s">
        <v>70</v>
      </c>
      <c r="J938" t="s">
        <v>71</v>
      </c>
      <c r="K938">
        <v>138214.98000000001</v>
      </c>
      <c r="L938">
        <v>233.06</v>
      </c>
      <c r="M938" t="s">
        <v>8228</v>
      </c>
      <c r="N938">
        <v>789549</v>
      </c>
      <c r="O938">
        <v>20.239999999999998</v>
      </c>
      <c r="P938">
        <v>18.059999999999999</v>
      </c>
      <c r="Q938">
        <v>2.64</v>
      </c>
      <c r="R938">
        <v>5.67</v>
      </c>
      <c r="S938">
        <v>8.5</v>
      </c>
      <c r="T938" t="s">
        <v>2640</v>
      </c>
      <c r="U938">
        <v>5.4</v>
      </c>
      <c r="V938" t="s">
        <v>4882</v>
      </c>
      <c r="W938" t="s">
        <v>2572</v>
      </c>
      <c r="X938" t="s">
        <v>3688</v>
      </c>
      <c r="Y938" t="s">
        <v>5383</v>
      </c>
      <c r="Z938" t="s">
        <v>13548</v>
      </c>
      <c r="AA938">
        <v>11.51</v>
      </c>
      <c r="AB938" t="s">
        <v>2494</v>
      </c>
      <c r="AC938" t="s">
        <v>1026</v>
      </c>
      <c r="AD938" t="s">
        <v>7403</v>
      </c>
      <c r="AE938" t="s">
        <v>3552</v>
      </c>
      <c r="AF938" t="s">
        <v>1088</v>
      </c>
      <c r="AG938" t="s">
        <v>3842</v>
      </c>
      <c r="AH938" t="s">
        <v>5121</v>
      </c>
      <c r="AI938" t="s">
        <v>2821</v>
      </c>
      <c r="AJ938" t="s">
        <v>164</v>
      </c>
      <c r="AK938" t="s">
        <v>13549</v>
      </c>
      <c r="AL938">
        <v>0.65</v>
      </c>
      <c r="AM938">
        <v>0.53</v>
      </c>
      <c r="AN938">
        <v>2.09</v>
      </c>
      <c r="AO938" t="s">
        <v>12165</v>
      </c>
      <c r="AP938" t="s">
        <v>13550</v>
      </c>
      <c r="AQ938" t="s">
        <v>9386</v>
      </c>
      <c r="AR938" t="s">
        <v>3118</v>
      </c>
      <c r="AS938" t="s">
        <v>2175</v>
      </c>
      <c r="AT938" t="s">
        <v>3758</v>
      </c>
      <c r="AU938" t="s">
        <v>3119</v>
      </c>
      <c r="AV938" t="s">
        <v>2274</v>
      </c>
      <c r="AW938" t="s">
        <v>6182</v>
      </c>
      <c r="AX938" t="s">
        <v>2376</v>
      </c>
      <c r="AY938" t="s">
        <v>7439</v>
      </c>
      <c r="AZ938" t="s">
        <v>9253</v>
      </c>
      <c r="BA938">
        <v>1.86</v>
      </c>
      <c r="BB938">
        <v>4650.49</v>
      </c>
      <c r="BC938">
        <v>0.6</v>
      </c>
      <c r="BD938">
        <v>232</v>
      </c>
      <c r="BE938">
        <v>234.1</v>
      </c>
      <c r="BF938">
        <v>231.79</v>
      </c>
      <c r="BG938" t="s">
        <v>13551</v>
      </c>
      <c r="BH938" t="s">
        <v>11238</v>
      </c>
      <c r="BI938" t="s">
        <v>13552</v>
      </c>
      <c r="BJ938" t="s">
        <v>101</v>
      </c>
      <c r="BK938" t="s">
        <v>4865</v>
      </c>
      <c r="BL938" t="s">
        <v>2007</v>
      </c>
      <c r="BM938" t="s">
        <v>677</v>
      </c>
      <c r="BN938" t="s">
        <v>4063</v>
      </c>
    </row>
    <row r="939" spans="1:66" x14ac:dyDescent="0.25">
      <c r="A939" t="str">
        <f>HYPERLINK("https://elite.finviz.com/quote.ashx?t=NKTR&amp;ty=c&amp;p=d&amp;b=1", "NKTR")</f>
        <v>NKTR</v>
      </c>
      <c r="B939">
        <v>7</v>
      </c>
      <c r="C939">
        <v>138.38</v>
      </c>
      <c r="D939">
        <v>70.680000000000007</v>
      </c>
      <c r="E939" t="s">
        <v>13553</v>
      </c>
      <c r="F939" t="s">
        <v>107</v>
      </c>
      <c r="G939" t="s">
        <v>428</v>
      </c>
      <c r="H939" t="s">
        <v>429</v>
      </c>
      <c r="I939" t="s">
        <v>70</v>
      </c>
      <c r="J939" t="s">
        <v>321</v>
      </c>
      <c r="K939">
        <v>1080.6300000000001</v>
      </c>
      <c r="L939">
        <v>56.82</v>
      </c>
      <c r="M939" t="s">
        <v>714</v>
      </c>
      <c r="N939">
        <v>290636</v>
      </c>
      <c r="R939">
        <v>14.42</v>
      </c>
      <c r="AA939">
        <v>-8.7200000000000006</v>
      </c>
      <c r="AB939" t="s">
        <v>9724</v>
      </c>
      <c r="AC939" t="s">
        <v>10798</v>
      </c>
      <c r="AD939" t="s">
        <v>13554</v>
      </c>
      <c r="AE939" t="s">
        <v>13555</v>
      </c>
      <c r="AF939" t="s">
        <v>4312</v>
      </c>
      <c r="AG939" t="s">
        <v>6130</v>
      </c>
      <c r="AH939" t="s">
        <v>13556</v>
      </c>
      <c r="AI939" t="s">
        <v>1933</v>
      </c>
      <c r="AJ939" t="s">
        <v>10666</v>
      </c>
      <c r="AK939" t="s">
        <v>2251</v>
      </c>
      <c r="AL939">
        <v>2.61</v>
      </c>
      <c r="AM939">
        <v>2.61</v>
      </c>
      <c r="AO939" t="s">
        <v>13557</v>
      </c>
      <c r="AP939" t="s">
        <v>13558</v>
      </c>
      <c r="AQ939" t="s">
        <v>13559</v>
      </c>
      <c r="AR939" t="s">
        <v>2772</v>
      </c>
      <c r="AS939" t="s">
        <v>2783</v>
      </c>
      <c r="AT939" t="s">
        <v>4468</v>
      </c>
      <c r="AU939" t="s">
        <v>10299</v>
      </c>
      <c r="AV939" t="s">
        <v>13560</v>
      </c>
      <c r="AW939" t="s">
        <v>5766</v>
      </c>
      <c r="AX939" t="s">
        <v>13561</v>
      </c>
      <c r="AY939" t="s">
        <v>5766</v>
      </c>
      <c r="AZ939" t="s">
        <v>13562</v>
      </c>
      <c r="BA939">
        <v>1.75</v>
      </c>
      <c r="BB939">
        <v>1267.9100000000001</v>
      </c>
      <c r="BC939">
        <v>0.81</v>
      </c>
      <c r="BD939">
        <v>55.62</v>
      </c>
      <c r="BE939">
        <v>57.01</v>
      </c>
      <c r="BF939">
        <v>55.64</v>
      </c>
      <c r="BG939" t="s">
        <v>13563</v>
      </c>
      <c r="BH939" t="s">
        <v>13564</v>
      </c>
      <c r="BI939" t="s">
        <v>13562</v>
      </c>
      <c r="BJ939" t="s">
        <v>101</v>
      </c>
      <c r="BK939" t="s">
        <v>13565</v>
      </c>
      <c r="BL939" t="s">
        <v>13566</v>
      </c>
      <c r="BM939" t="s">
        <v>13567</v>
      </c>
      <c r="BN939" t="s">
        <v>4063</v>
      </c>
    </row>
    <row r="940" spans="1:66" x14ac:dyDescent="0.25">
      <c r="A940" t="str">
        <f>HYPERLINK("https://elite.finviz.com/quote.ashx?t=CORT&amp;ty=c&amp;p=d&amp;b=1", "CORT")</f>
        <v>CORT</v>
      </c>
      <c r="B940">
        <v>7</v>
      </c>
      <c r="C940">
        <v>138.38</v>
      </c>
      <c r="D940">
        <v>70.69</v>
      </c>
      <c r="E940" t="s">
        <v>13568</v>
      </c>
      <c r="F940" t="s">
        <v>107</v>
      </c>
      <c r="G940" t="s">
        <v>428</v>
      </c>
      <c r="H940" t="s">
        <v>429</v>
      </c>
      <c r="I940" t="s">
        <v>70</v>
      </c>
      <c r="J940" t="s">
        <v>321</v>
      </c>
      <c r="K940">
        <v>8805.39</v>
      </c>
      <c r="L940">
        <v>83.57</v>
      </c>
      <c r="M940" t="s">
        <v>4689</v>
      </c>
      <c r="N940">
        <v>81946</v>
      </c>
      <c r="O940">
        <v>74.37</v>
      </c>
      <c r="P940">
        <v>37.64</v>
      </c>
      <c r="Q940">
        <v>1.1599999999999999</v>
      </c>
      <c r="R940">
        <v>12.3</v>
      </c>
      <c r="S940">
        <v>13.84</v>
      </c>
      <c r="Z940" t="s">
        <v>164</v>
      </c>
      <c r="AA940">
        <v>1.1200000000000001</v>
      </c>
      <c r="AB940" t="s">
        <v>2517</v>
      </c>
      <c r="AC940" t="s">
        <v>4728</v>
      </c>
      <c r="AD940" t="s">
        <v>13569</v>
      </c>
      <c r="AE940" t="s">
        <v>5580</v>
      </c>
      <c r="AF940" t="s">
        <v>5160</v>
      </c>
      <c r="AG940" t="s">
        <v>6965</v>
      </c>
      <c r="AH940" t="s">
        <v>13570</v>
      </c>
      <c r="AI940" t="s">
        <v>13571</v>
      </c>
      <c r="AJ940" t="s">
        <v>5857</v>
      </c>
      <c r="AK940" t="s">
        <v>13572</v>
      </c>
      <c r="AL940">
        <v>3.06</v>
      </c>
      <c r="AM940">
        <v>2.98</v>
      </c>
      <c r="AN940">
        <v>0.01</v>
      </c>
      <c r="AO940" t="s">
        <v>13573</v>
      </c>
      <c r="AP940" t="s">
        <v>8437</v>
      </c>
      <c r="AQ940" t="s">
        <v>7273</v>
      </c>
      <c r="AR940" t="s">
        <v>1453</v>
      </c>
      <c r="AS940" t="s">
        <v>323</v>
      </c>
      <c r="AT940" t="s">
        <v>2740</v>
      </c>
      <c r="AU940" t="s">
        <v>4153</v>
      </c>
      <c r="AV940" t="s">
        <v>2714</v>
      </c>
      <c r="AW940" t="s">
        <v>2826</v>
      </c>
      <c r="AX940" t="s">
        <v>3771</v>
      </c>
      <c r="AY940" t="s">
        <v>9857</v>
      </c>
      <c r="AZ940" t="s">
        <v>13574</v>
      </c>
      <c r="BA940">
        <v>1</v>
      </c>
      <c r="BB940">
        <v>1049.23</v>
      </c>
      <c r="BC940">
        <v>0.28000000000000003</v>
      </c>
      <c r="BD940">
        <v>82.73</v>
      </c>
      <c r="BE940">
        <v>84.88</v>
      </c>
      <c r="BF940">
        <v>83.33</v>
      </c>
      <c r="BG940" t="s">
        <v>13575</v>
      </c>
      <c r="BH940" t="s">
        <v>9857</v>
      </c>
      <c r="BI940" t="s">
        <v>13576</v>
      </c>
      <c r="BJ940" t="s">
        <v>101</v>
      </c>
      <c r="BK940" t="s">
        <v>7297</v>
      </c>
      <c r="BL940" t="s">
        <v>1888</v>
      </c>
      <c r="BM940" t="s">
        <v>13577</v>
      </c>
      <c r="BN940" t="s">
        <v>4063</v>
      </c>
    </row>
    <row r="941" spans="1:66" x14ac:dyDescent="0.25">
      <c r="A941" t="str">
        <f>HYPERLINK("https://elite.finviz.com/quote.ashx?t=EXE&amp;ty=c&amp;p=d&amp;b=1", "EXE")</f>
        <v>EXE</v>
      </c>
      <c r="B941">
        <v>7</v>
      </c>
      <c r="C941">
        <v>138.38</v>
      </c>
      <c r="D941">
        <v>70.94</v>
      </c>
      <c r="E941" t="s">
        <v>13578</v>
      </c>
      <c r="F941" t="s">
        <v>195</v>
      </c>
      <c r="G941" t="s">
        <v>1048</v>
      </c>
      <c r="H941" t="s">
        <v>1049</v>
      </c>
      <c r="I941" t="s">
        <v>70</v>
      </c>
      <c r="J941" t="s">
        <v>321</v>
      </c>
      <c r="K941">
        <v>25125.55</v>
      </c>
      <c r="L941">
        <v>105.5</v>
      </c>
      <c r="M941" t="s">
        <v>344</v>
      </c>
      <c r="N941">
        <v>733449</v>
      </c>
      <c r="O941">
        <v>272.98</v>
      </c>
      <c r="P941">
        <v>9.68</v>
      </c>
      <c r="Q941">
        <v>2.88</v>
      </c>
      <c r="R941">
        <v>2.84</v>
      </c>
      <c r="S941">
        <v>1.4</v>
      </c>
      <c r="T941" t="s">
        <v>3544</v>
      </c>
      <c r="U941">
        <v>2.2799999999999998</v>
      </c>
      <c r="V941" t="s">
        <v>2708</v>
      </c>
      <c r="W941" t="s">
        <v>5660</v>
      </c>
      <c r="X941" t="s">
        <v>3407</v>
      </c>
      <c r="AA941">
        <v>0.39</v>
      </c>
      <c r="AC941" t="s">
        <v>13579</v>
      </c>
      <c r="AD941" t="s">
        <v>13580</v>
      </c>
      <c r="AE941" t="s">
        <v>13486</v>
      </c>
      <c r="AF941" t="s">
        <v>8330</v>
      </c>
      <c r="AG941" t="s">
        <v>5863</v>
      </c>
      <c r="AH941" t="s">
        <v>13581</v>
      </c>
      <c r="AI941" t="s">
        <v>4281</v>
      </c>
      <c r="AJ941" t="s">
        <v>3112</v>
      </c>
      <c r="AK941" t="s">
        <v>13582</v>
      </c>
      <c r="AL941">
        <v>0.78</v>
      </c>
      <c r="AM941">
        <v>0.78</v>
      </c>
      <c r="AN941">
        <v>0.28999999999999998</v>
      </c>
      <c r="AO941" t="s">
        <v>11802</v>
      </c>
      <c r="AP941" t="s">
        <v>5864</v>
      </c>
      <c r="AQ941" t="s">
        <v>180</v>
      </c>
      <c r="AR941" t="s">
        <v>1933</v>
      </c>
      <c r="AS941" t="s">
        <v>1933</v>
      </c>
      <c r="AT941" t="s">
        <v>5847</v>
      </c>
      <c r="AU941" t="s">
        <v>3507</v>
      </c>
      <c r="AV941" t="s">
        <v>2175</v>
      </c>
      <c r="AW941" t="s">
        <v>4698</v>
      </c>
      <c r="AX941" t="s">
        <v>146</v>
      </c>
      <c r="AY941" t="s">
        <v>5423</v>
      </c>
      <c r="AZ941" t="s">
        <v>6458</v>
      </c>
      <c r="BA941">
        <v>1.34</v>
      </c>
      <c r="BB941">
        <v>3489.74</v>
      </c>
      <c r="BC941">
        <v>0.74</v>
      </c>
      <c r="BD941">
        <v>104.38</v>
      </c>
      <c r="BE941">
        <v>105.84</v>
      </c>
      <c r="BF941">
        <v>104.56</v>
      </c>
      <c r="BG941" t="s">
        <v>13583</v>
      </c>
      <c r="BH941" t="s">
        <v>5423</v>
      </c>
      <c r="BI941" t="s">
        <v>13584</v>
      </c>
      <c r="BJ941" t="s">
        <v>101</v>
      </c>
      <c r="BK941" t="s">
        <v>10199</v>
      </c>
      <c r="BL941" t="s">
        <v>3485</v>
      </c>
      <c r="BM941" t="s">
        <v>13585</v>
      </c>
      <c r="BN941" t="s">
        <v>4063</v>
      </c>
    </row>
    <row r="942" spans="1:66" x14ac:dyDescent="0.25">
      <c r="A942" t="str">
        <f>HYPERLINK("https://elite.finviz.com/quote.ashx?t=BRY&amp;ty=c&amp;p=d&amp;b=1", "BRY")</f>
        <v>BRY</v>
      </c>
      <c r="B942">
        <v>7</v>
      </c>
      <c r="C942">
        <v>138.38</v>
      </c>
      <c r="D942">
        <v>71.099999999999994</v>
      </c>
      <c r="E942" t="s">
        <v>13586</v>
      </c>
      <c r="F942" t="s">
        <v>67</v>
      </c>
      <c r="G942" t="s">
        <v>1048</v>
      </c>
      <c r="H942" t="s">
        <v>1049</v>
      </c>
      <c r="I942" t="s">
        <v>70</v>
      </c>
      <c r="J942" t="s">
        <v>321</v>
      </c>
      <c r="K942">
        <v>314.29000000000002</v>
      </c>
      <c r="L942">
        <v>4.05</v>
      </c>
      <c r="M942" t="s">
        <v>4780</v>
      </c>
      <c r="N942">
        <v>445112</v>
      </c>
      <c r="O942">
        <v>62.89</v>
      </c>
      <c r="P942">
        <v>71.959999999999994</v>
      </c>
      <c r="R942">
        <v>0.44</v>
      </c>
      <c r="S942">
        <v>0.47</v>
      </c>
      <c r="T942" t="s">
        <v>7154</v>
      </c>
      <c r="U942">
        <v>0.12</v>
      </c>
      <c r="V942" t="s">
        <v>1440</v>
      </c>
      <c r="W942" t="s">
        <v>13587</v>
      </c>
      <c r="X942" t="s">
        <v>6756</v>
      </c>
      <c r="Y942" t="s">
        <v>7117</v>
      </c>
      <c r="Z942" t="s">
        <v>13588</v>
      </c>
      <c r="AA942">
        <v>0.06</v>
      </c>
      <c r="AC942" t="s">
        <v>3109</v>
      </c>
      <c r="AE942" t="s">
        <v>6136</v>
      </c>
      <c r="AF942" t="s">
        <v>3212</v>
      </c>
      <c r="AG942" t="s">
        <v>5911</v>
      </c>
      <c r="AH942" t="s">
        <v>13589</v>
      </c>
      <c r="AI942" t="s">
        <v>579</v>
      </c>
      <c r="AJ942" t="s">
        <v>164</v>
      </c>
      <c r="AK942" t="s">
        <v>13590</v>
      </c>
      <c r="AL942">
        <v>0.83</v>
      </c>
      <c r="AM942">
        <v>0.74</v>
      </c>
      <c r="AN942">
        <v>0.62</v>
      </c>
      <c r="AO942" t="s">
        <v>6044</v>
      </c>
      <c r="AP942" t="s">
        <v>4941</v>
      </c>
      <c r="AQ942" t="s">
        <v>4865</v>
      </c>
      <c r="AR942" t="s">
        <v>6726</v>
      </c>
      <c r="AS942" t="s">
        <v>5026</v>
      </c>
      <c r="AT942" t="s">
        <v>662</v>
      </c>
      <c r="AU942" t="s">
        <v>8565</v>
      </c>
      <c r="AV942" t="s">
        <v>5759</v>
      </c>
      <c r="AW942" t="s">
        <v>6137</v>
      </c>
      <c r="AX942" t="s">
        <v>6677</v>
      </c>
      <c r="AY942" t="s">
        <v>13591</v>
      </c>
      <c r="AZ942" t="s">
        <v>13592</v>
      </c>
      <c r="BA942">
        <v>2.5</v>
      </c>
      <c r="BB942">
        <v>1419.78</v>
      </c>
      <c r="BC942">
        <v>1.1000000000000001</v>
      </c>
      <c r="BD942">
        <v>3.99</v>
      </c>
      <c r="BE942">
        <v>4.07</v>
      </c>
      <c r="BF942">
        <v>3.97</v>
      </c>
      <c r="BG942" t="s">
        <v>13593</v>
      </c>
      <c r="BH942" t="s">
        <v>13594</v>
      </c>
      <c r="BI942" t="s">
        <v>13595</v>
      </c>
      <c r="BJ942" t="s">
        <v>101</v>
      </c>
      <c r="BK942" t="s">
        <v>13596</v>
      </c>
      <c r="BL942" t="s">
        <v>8893</v>
      </c>
      <c r="BM942" t="s">
        <v>13597</v>
      </c>
      <c r="BN942" t="s">
        <v>4063</v>
      </c>
    </row>
    <row r="943" spans="1:66" x14ac:dyDescent="0.25">
      <c r="A943" t="str">
        <f>HYPERLINK("https://elite.finviz.com/quote.ashx?t=GM&amp;ty=c&amp;p=d&amp;b=1", "GM")</f>
        <v>GM</v>
      </c>
      <c r="B943">
        <v>7</v>
      </c>
      <c r="C943">
        <v>138.38</v>
      </c>
      <c r="D943">
        <v>71.44</v>
      </c>
      <c r="E943" t="s">
        <v>13598</v>
      </c>
      <c r="F943" t="s">
        <v>195</v>
      </c>
      <c r="G943" t="s">
        <v>813</v>
      </c>
      <c r="H943" t="s">
        <v>890</v>
      </c>
      <c r="I943" t="s">
        <v>70</v>
      </c>
      <c r="J943" t="s">
        <v>71</v>
      </c>
      <c r="K943">
        <v>58167.199999999997</v>
      </c>
      <c r="L943">
        <v>61.1</v>
      </c>
      <c r="M943" t="s">
        <v>2734</v>
      </c>
      <c r="N943">
        <v>1453469</v>
      </c>
      <c r="O943">
        <v>9.69</v>
      </c>
      <c r="P943">
        <v>6.1</v>
      </c>
      <c r="Q943">
        <v>3.25</v>
      </c>
      <c r="R943">
        <v>0.31</v>
      </c>
      <c r="S943">
        <v>0.88</v>
      </c>
      <c r="T943" t="s">
        <v>3761</v>
      </c>
      <c r="U943">
        <v>0.54</v>
      </c>
      <c r="V943" t="s">
        <v>4548</v>
      </c>
      <c r="W943" t="s">
        <v>10378</v>
      </c>
      <c r="Y943" t="s">
        <v>13007</v>
      </c>
      <c r="Z943" t="s">
        <v>1495</v>
      </c>
      <c r="AA943">
        <v>6.31</v>
      </c>
      <c r="AB943" t="s">
        <v>123</v>
      </c>
      <c r="AC943" t="s">
        <v>5025</v>
      </c>
      <c r="AD943" t="s">
        <v>304</v>
      </c>
      <c r="AE943" t="s">
        <v>4428</v>
      </c>
      <c r="AF943" t="s">
        <v>340</v>
      </c>
      <c r="AG943" t="s">
        <v>8286</v>
      </c>
      <c r="AH943" t="s">
        <v>789</v>
      </c>
      <c r="AI943" t="s">
        <v>3100</v>
      </c>
      <c r="AJ943" t="s">
        <v>13599</v>
      </c>
      <c r="AK943" t="s">
        <v>1392</v>
      </c>
      <c r="AL943">
        <v>1.22</v>
      </c>
      <c r="AM943">
        <v>1.05</v>
      </c>
      <c r="AN943">
        <v>2.0499999999999998</v>
      </c>
      <c r="AO943" t="s">
        <v>821</v>
      </c>
      <c r="AP943" t="s">
        <v>5659</v>
      </c>
      <c r="AQ943" t="s">
        <v>903</v>
      </c>
      <c r="AR943" t="s">
        <v>4493</v>
      </c>
      <c r="AS943" t="s">
        <v>2219</v>
      </c>
      <c r="AT943" t="s">
        <v>1087</v>
      </c>
      <c r="AU943" t="s">
        <v>6607</v>
      </c>
      <c r="AV943" t="s">
        <v>13600</v>
      </c>
      <c r="AW943" t="s">
        <v>84</v>
      </c>
      <c r="AX943" t="s">
        <v>11787</v>
      </c>
      <c r="AY943" t="s">
        <v>2760</v>
      </c>
      <c r="AZ943" t="s">
        <v>13601</v>
      </c>
      <c r="BA943">
        <v>2.0299999999999998</v>
      </c>
      <c r="BB943">
        <v>8313.08</v>
      </c>
      <c r="BC943">
        <v>0.62</v>
      </c>
      <c r="BD943">
        <v>60.59</v>
      </c>
      <c r="BE943">
        <v>61.1</v>
      </c>
      <c r="BF943">
        <v>60.46</v>
      </c>
      <c r="BG943" t="s">
        <v>13602</v>
      </c>
      <c r="BH943" t="s">
        <v>9889</v>
      </c>
      <c r="BI943" t="s">
        <v>13603</v>
      </c>
      <c r="BJ943" t="s">
        <v>101</v>
      </c>
      <c r="BK943" t="s">
        <v>2692</v>
      </c>
      <c r="BL943" t="s">
        <v>10959</v>
      </c>
      <c r="BM943" t="s">
        <v>13604</v>
      </c>
      <c r="BN943" t="s">
        <v>4063</v>
      </c>
    </row>
    <row r="944" spans="1:66" x14ac:dyDescent="0.25">
      <c r="A944" t="str">
        <f>HYPERLINK("https://elite.finviz.com/quote.ashx?t=SCCO&amp;ty=c&amp;p=d&amp;b=1", "SCCO")</f>
        <v>SCCO</v>
      </c>
      <c r="B944">
        <v>7</v>
      </c>
      <c r="C944">
        <v>138.38</v>
      </c>
      <c r="D944">
        <v>71.489999999999995</v>
      </c>
      <c r="E944" t="s">
        <v>13605</v>
      </c>
      <c r="F944" t="s">
        <v>107</v>
      </c>
      <c r="G944" t="s">
        <v>355</v>
      </c>
      <c r="H944" t="s">
        <v>13606</v>
      </c>
      <c r="I944" t="s">
        <v>70</v>
      </c>
      <c r="J944" t="s">
        <v>71</v>
      </c>
      <c r="K944">
        <v>95594.65</v>
      </c>
      <c r="L944">
        <v>117.7</v>
      </c>
      <c r="M944" t="s">
        <v>4191</v>
      </c>
      <c r="N944">
        <v>253493</v>
      </c>
      <c r="O944">
        <v>26.44</v>
      </c>
      <c r="P944">
        <v>25.86</v>
      </c>
      <c r="Q944">
        <v>4.75</v>
      </c>
      <c r="R944">
        <v>8.0399999999999991</v>
      </c>
      <c r="S944">
        <v>9.57</v>
      </c>
      <c r="T944" t="s">
        <v>2742</v>
      </c>
      <c r="U944">
        <v>2.81</v>
      </c>
      <c r="V944" t="s">
        <v>3046</v>
      </c>
      <c r="W944" t="s">
        <v>9604</v>
      </c>
      <c r="X944" t="s">
        <v>8021</v>
      </c>
      <c r="Y944" t="s">
        <v>4133</v>
      </c>
      <c r="Z944" t="s">
        <v>9481</v>
      </c>
      <c r="AA944">
        <v>4.45</v>
      </c>
      <c r="AB944" t="s">
        <v>430</v>
      </c>
      <c r="AC944" t="s">
        <v>6736</v>
      </c>
      <c r="AD944" t="s">
        <v>4697</v>
      </c>
      <c r="AE944" t="s">
        <v>3560</v>
      </c>
      <c r="AF944" t="s">
        <v>4780</v>
      </c>
      <c r="AG944" t="s">
        <v>10114</v>
      </c>
      <c r="AH944" t="s">
        <v>3753</v>
      </c>
      <c r="AI944" t="s">
        <v>5726</v>
      </c>
      <c r="AJ944" t="s">
        <v>5242</v>
      </c>
      <c r="AK944" t="s">
        <v>147</v>
      </c>
      <c r="AL944">
        <v>5.27</v>
      </c>
      <c r="AM944">
        <v>4.51</v>
      </c>
      <c r="AN944">
        <v>0.75</v>
      </c>
      <c r="AO944" t="s">
        <v>13607</v>
      </c>
      <c r="AP944" t="s">
        <v>13414</v>
      </c>
      <c r="AQ944" t="s">
        <v>1910</v>
      </c>
      <c r="AR944" t="s">
        <v>3500</v>
      </c>
      <c r="AS944" t="s">
        <v>6937</v>
      </c>
      <c r="AT944" t="s">
        <v>5914</v>
      </c>
      <c r="AU944" t="s">
        <v>7082</v>
      </c>
      <c r="AV944" t="s">
        <v>3271</v>
      </c>
      <c r="AW944" t="s">
        <v>13365</v>
      </c>
      <c r="AX944" t="s">
        <v>13608</v>
      </c>
      <c r="AY944" t="s">
        <v>13365</v>
      </c>
      <c r="AZ944" t="s">
        <v>3947</v>
      </c>
      <c r="BA944">
        <v>3.42</v>
      </c>
      <c r="BB944">
        <v>1588.57</v>
      </c>
      <c r="BC944">
        <v>0.56000000000000005</v>
      </c>
      <c r="BD944">
        <v>117.96</v>
      </c>
      <c r="BE944">
        <v>118.16</v>
      </c>
      <c r="BF944">
        <v>116.94</v>
      </c>
      <c r="BG944" t="s">
        <v>13609</v>
      </c>
      <c r="BH944" t="s">
        <v>3140</v>
      </c>
      <c r="BI944" t="s">
        <v>13610</v>
      </c>
      <c r="BJ944" t="s">
        <v>101</v>
      </c>
      <c r="BK944" t="s">
        <v>3797</v>
      </c>
      <c r="BL944" t="s">
        <v>13611</v>
      </c>
      <c r="BM944" t="s">
        <v>7942</v>
      </c>
      <c r="BN944" t="s">
        <v>4063</v>
      </c>
    </row>
    <row r="945" spans="1:66" x14ac:dyDescent="0.25">
      <c r="A945" t="str">
        <f>HYPERLINK("https://elite.finviz.com/quote.ashx?t=TIC&amp;ty=c&amp;p=d&amp;b=1", "TIC")</f>
        <v>TIC</v>
      </c>
      <c r="B945">
        <v>7</v>
      </c>
      <c r="C945">
        <v>138.38</v>
      </c>
      <c r="D945">
        <v>71.739999999999995</v>
      </c>
      <c r="E945" t="s">
        <v>13612</v>
      </c>
      <c r="F945" t="s">
        <v>67</v>
      </c>
      <c r="G945" t="s">
        <v>260</v>
      </c>
      <c r="H945" t="s">
        <v>1077</v>
      </c>
      <c r="I945" t="s">
        <v>70</v>
      </c>
      <c r="J945" t="s">
        <v>71</v>
      </c>
      <c r="K945">
        <v>2882.47</v>
      </c>
      <c r="L945">
        <v>14.37</v>
      </c>
      <c r="M945" t="s">
        <v>1657</v>
      </c>
      <c r="N945">
        <v>769835</v>
      </c>
      <c r="P945">
        <v>45.24</v>
      </c>
      <c r="S945">
        <v>1.08</v>
      </c>
      <c r="AI945" t="s">
        <v>579</v>
      </c>
      <c r="AJ945" t="s">
        <v>164</v>
      </c>
      <c r="AK945" t="s">
        <v>6389</v>
      </c>
      <c r="AL945">
        <v>3.35</v>
      </c>
      <c r="AM945">
        <v>3.35</v>
      </c>
      <c r="AN945">
        <v>0.69</v>
      </c>
      <c r="AR945" t="s">
        <v>1474</v>
      </c>
      <c r="AS945" t="s">
        <v>4393</v>
      </c>
      <c r="AT945" t="s">
        <v>4130</v>
      </c>
      <c r="AU945" t="s">
        <v>3580</v>
      </c>
      <c r="AV945" t="s">
        <v>11889</v>
      </c>
      <c r="AW945" t="s">
        <v>10819</v>
      </c>
      <c r="AX945" t="s">
        <v>7729</v>
      </c>
      <c r="AY945" t="s">
        <v>10819</v>
      </c>
      <c r="AZ945" t="s">
        <v>13613</v>
      </c>
      <c r="BA945">
        <v>1.67</v>
      </c>
      <c r="BB945">
        <v>2808.68</v>
      </c>
      <c r="BC945">
        <v>0.97</v>
      </c>
      <c r="BD945">
        <v>14.3</v>
      </c>
      <c r="BE945">
        <v>14.71</v>
      </c>
      <c r="BF945">
        <v>14.19</v>
      </c>
      <c r="BG945" t="s">
        <v>13614</v>
      </c>
      <c r="BH945" t="s">
        <v>10819</v>
      </c>
      <c r="BI945" t="s">
        <v>13613</v>
      </c>
      <c r="BJ945" t="s">
        <v>101</v>
      </c>
      <c r="BK945" t="s">
        <v>3377</v>
      </c>
      <c r="BL945" t="s">
        <v>4300</v>
      </c>
      <c r="BN945" t="s">
        <v>4063</v>
      </c>
    </row>
    <row r="946" spans="1:66" x14ac:dyDescent="0.25">
      <c r="A946" t="str">
        <f>HYPERLINK("https://elite.finviz.com/quote.ashx?t=EOSE&amp;ty=c&amp;p=d&amp;b=1", "EOSE")</f>
        <v>EOSE</v>
      </c>
      <c r="B946">
        <v>7</v>
      </c>
      <c r="C946">
        <v>138.38</v>
      </c>
      <c r="D946">
        <v>71.739999999999995</v>
      </c>
      <c r="E946" t="s">
        <v>13615</v>
      </c>
      <c r="F946" t="s">
        <v>67</v>
      </c>
      <c r="G946" t="s">
        <v>260</v>
      </c>
      <c r="H946" t="s">
        <v>1128</v>
      </c>
      <c r="I946" t="s">
        <v>70</v>
      </c>
      <c r="J946" t="s">
        <v>321</v>
      </c>
      <c r="K946">
        <v>2808.44</v>
      </c>
      <c r="L946">
        <v>10.06</v>
      </c>
      <c r="M946" t="s">
        <v>5650</v>
      </c>
      <c r="N946">
        <v>5200084</v>
      </c>
      <c r="R946">
        <v>83.09</v>
      </c>
      <c r="AA946">
        <v>-5.22</v>
      </c>
      <c r="AB946" t="s">
        <v>13616</v>
      </c>
      <c r="AC946" t="s">
        <v>8608</v>
      </c>
      <c r="AE946" t="s">
        <v>13617</v>
      </c>
      <c r="AF946" t="s">
        <v>13618</v>
      </c>
      <c r="AG946" t="s">
        <v>13619</v>
      </c>
      <c r="AH946" t="s">
        <v>13620</v>
      </c>
      <c r="AI946" t="s">
        <v>13621</v>
      </c>
      <c r="AJ946" t="s">
        <v>8023</v>
      </c>
      <c r="AK946" t="s">
        <v>8563</v>
      </c>
      <c r="AL946">
        <v>2.23</v>
      </c>
      <c r="AM946">
        <v>1.73</v>
      </c>
      <c r="AO946" t="s">
        <v>13622</v>
      </c>
      <c r="AP946" t="s">
        <v>13623</v>
      </c>
      <c r="AQ946" t="s">
        <v>13624</v>
      </c>
      <c r="AR946" t="s">
        <v>6272</v>
      </c>
      <c r="AS946" t="s">
        <v>5607</v>
      </c>
      <c r="AT946" t="s">
        <v>4876</v>
      </c>
      <c r="AU946" t="s">
        <v>1479</v>
      </c>
      <c r="AV946" t="s">
        <v>13625</v>
      </c>
      <c r="AW946" t="s">
        <v>2536</v>
      </c>
      <c r="AX946" t="s">
        <v>13626</v>
      </c>
      <c r="AY946" t="s">
        <v>2536</v>
      </c>
      <c r="AZ946" t="s">
        <v>13627</v>
      </c>
      <c r="BA946">
        <v>2.2200000000000002</v>
      </c>
      <c r="BB946">
        <v>15405.83</v>
      </c>
      <c r="BC946">
        <v>1.19</v>
      </c>
      <c r="BD946">
        <v>10.49</v>
      </c>
      <c r="BE946">
        <v>10.61</v>
      </c>
      <c r="BF946">
        <v>9.9600000000000009</v>
      </c>
      <c r="BG946" t="s">
        <v>13628</v>
      </c>
      <c r="BH946" t="s">
        <v>13629</v>
      </c>
      <c r="BI946" t="s">
        <v>13630</v>
      </c>
      <c r="BJ946" t="s">
        <v>101</v>
      </c>
      <c r="BK946" t="s">
        <v>13631</v>
      </c>
      <c r="BL946" t="s">
        <v>13632</v>
      </c>
      <c r="BM946" t="s">
        <v>13633</v>
      </c>
      <c r="BN946" t="s">
        <v>4063</v>
      </c>
    </row>
    <row r="947" spans="1:66" x14ac:dyDescent="0.25">
      <c r="A947" t="str">
        <f>HYPERLINK("https://elite.finviz.com/quote.ashx?t=LHX&amp;ty=c&amp;p=d&amp;b=1", "LHX")</f>
        <v>LHX</v>
      </c>
      <c r="B947">
        <v>7</v>
      </c>
      <c r="C947">
        <v>138.38</v>
      </c>
      <c r="D947">
        <v>71.77</v>
      </c>
      <c r="E947" t="s">
        <v>13634</v>
      </c>
      <c r="F947" t="s">
        <v>195</v>
      </c>
      <c r="G947" t="s">
        <v>260</v>
      </c>
      <c r="H947" t="s">
        <v>4779</v>
      </c>
      <c r="I947" t="s">
        <v>70</v>
      </c>
      <c r="J947" t="s">
        <v>71</v>
      </c>
      <c r="K947">
        <v>54524.1</v>
      </c>
      <c r="L947">
        <v>291.42</v>
      </c>
      <c r="M947" t="s">
        <v>6245</v>
      </c>
      <c r="N947">
        <v>238341</v>
      </c>
      <c r="O947">
        <v>32.54</v>
      </c>
      <c r="P947">
        <v>23.6</v>
      </c>
      <c r="Q947">
        <v>13.02</v>
      </c>
      <c r="R947">
        <v>2.5499999999999998</v>
      </c>
      <c r="S947">
        <v>2.83</v>
      </c>
      <c r="T947" t="s">
        <v>908</v>
      </c>
      <c r="U947">
        <v>4.76</v>
      </c>
      <c r="V947" t="s">
        <v>4548</v>
      </c>
      <c r="W947" t="s">
        <v>3757</v>
      </c>
      <c r="X947" t="s">
        <v>5114</v>
      </c>
      <c r="Y947" t="s">
        <v>5551</v>
      </c>
      <c r="Z947" t="s">
        <v>13635</v>
      </c>
      <c r="AA947">
        <v>8.9600000000000009</v>
      </c>
      <c r="AB947" t="s">
        <v>103</v>
      </c>
      <c r="AC947" t="s">
        <v>1464</v>
      </c>
      <c r="AD947" t="s">
        <v>6430</v>
      </c>
      <c r="AE947" t="s">
        <v>307</v>
      </c>
      <c r="AF947" t="s">
        <v>2839</v>
      </c>
      <c r="AG947" t="s">
        <v>205</v>
      </c>
      <c r="AH947" t="s">
        <v>4710</v>
      </c>
      <c r="AI947" t="s">
        <v>3003</v>
      </c>
      <c r="AJ947" t="s">
        <v>7482</v>
      </c>
      <c r="AK947" t="s">
        <v>12117</v>
      </c>
      <c r="AL947">
        <v>1.04</v>
      </c>
      <c r="AM947">
        <v>0.87</v>
      </c>
      <c r="AN947">
        <v>0.63</v>
      </c>
      <c r="AO947" t="s">
        <v>7693</v>
      </c>
      <c r="AP947" t="s">
        <v>3549</v>
      </c>
      <c r="AQ947" t="s">
        <v>223</v>
      </c>
      <c r="AR947" t="s">
        <v>4856</v>
      </c>
      <c r="AS947" t="s">
        <v>3024</v>
      </c>
      <c r="AT947" t="s">
        <v>2419</v>
      </c>
      <c r="AU947" t="s">
        <v>7685</v>
      </c>
      <c r="AV947" t="s">
        <v>3844</v>
      </c>
      <c r="AW947" t="s">
        <v>4794</v>
      </c>
      <c r="AX947" t="s">
        <v>2911</v>
      </c>
      <c r="AY947" t="s">
        <v>4794</v>
      </c>
      <c r="AZ947" t="s">
        <v>13636</v>
      </c>
      <c r="BA947">
        <v>1.74</v>
      </c>
      <c r="BB947">
        <v>1182.55</v>
      </c>
      <c r="BC947">
        <v>0.71</v>
      </c>
      <c r="BD947">
        <v>289.24</v>
      </c>
      <c r="BE947">
        <v>292.77999999999997</v>
      </c>
      <c r="BF947">
        <v>290.32</v>
      </c>
      <c r="BG947" t="s">
        <v>13637</v>
      </c>
      <c r="BH947" t="s">
        <v>4794</v>
      </c>
      <c r="BI947" t="s">
        <v>13638</v>
      </c>
      <c r="BJ947" t="s">
        <v>101</v>
      </c>
      <c r="BK947" t="s">
        <v>2544</v>
      </c>
      <c r="BL947" t="s">
        <v>13639</v>
      </c>
      <c r="BM947" t="s">
        <v>4292</v>
      </c>
      <c r="BN947" t="s">
        <v>4063</v>
      </c>
    </row>
    <row r="948" spans="1:66" x14ac:dyDescent="0.25">
      <c r="A948" t="str">
        <f>HYPERLINK("https://elite.finviz.com/quote.ashx?t=KRMN&amp;ty=c&amp;p=d&amp;b=1", "KRMN")</f>
        <v>KRMN</v>
      </c>
      <c r="B948">
        <v>7</v>
      </c>
      <c r="C948">
        <v>138.38</v>
      </c>
      <c r="D948">
        <v>71.790000000000006</v>
      </c>
      <c r="E948" t="s">
        <v>13640</v>
      </c>
      <c r="F948" t="s">
        <v>107</v>
      </c>
      <c r="G948" t="s">
        <v>260</v>
      </c>
      <c r="H948" t="s">
        <v>4779</v>
      </c>
      <c r="I948" t="s">
        <v>70</v>
      </c>
      <c r="J948" t="s">
        <v>71</v>
      </c>
      <c r="K948">
        <v>8974.1299999999992</v>
      </c>
      <c r="L948">
        <v>67.819999999999993</v>
      </c>
      <c r="M948" t="s">
        <v>4308</v>
      </c>
      <c r="N948">
        <v>154047</v>
      </c>
      <c r="P948">
        <v>122.2</v>
      </c>
      <c r="S948">
        <v>24.83</v>
      </c>
      <c r="AD948" t="s">
        <v>13641</v>
      </c>
      <c r="AF948" t="s">
        <v>13642</v>
      </c>
      <c r="AH948" t="s">
        <v>13643</v>
      </c>
      <c r="AI948" t="s">
        <v>1933</v>
      </c>
      <c r="AJ948" t="s">
        <v>13644</v>
      </c>
      <c r="AK948" t="s">
        <v>9434</v>
      </c>
      <c r="AL948">
        <v>2.75</v>
      </c>
      <c r="AM948">
        <v>2.58</v>
      </c>
      <c r="AN948">
        <v>1.34</v>
      </c>
      <c r="AR948" t="s">
        <v>247</v>
      </c>
      <c r="AS948" t="s">
        <v>4690</v>
      </c>
      <c r="AT948" t="s">
        <v>1282</v>
      </c>
      <c r="AU948" t="s">
        <v>6451</v>
      </c>
      <c r="AV948" t="s">
        <v>13645</v>
      </c>
      <c r="AW948" t="s">
        <v>3586</v>
      </c>
      <c r="AX948" t="s">
        <v>3960</v>
      </c>
      <c r="AY948" t="s">
        <v>3586</v>
      </c>
      <c r="AZ948" t="s">
        <v>13646</v>
      </c>
      <c r="BA948">
        <v>1.2</v>
      </c>
      <c r="BB948">
        <v>1748.06</v>
      </c>
      <c r="BC948">
        <v>0.31</v>
      </c>
      <c r="BD948">
        <v>67.400000000000006</v>
      </c>
      <c r="BE948">
        <v>68.83</v>
      </c>
      <c r="BF948">
        <v>67.319999999999993</v>
      </c>
      <c r="BG948" t="s">
        <v>13647</v>
      </c>
      <c r="BH948" t="s">
        <v>3586</v>
      </c>
      <c r="BI948" t="s">
        <v>13646</v>
      </c>
      <c r="BJ948" t="s">
        <v>101</v>
      </c>
      <c r="BK948" t="s">
        <v>9155</v>
      </c>
      <c r="BL948" t="s">
        <v>11812</v>
      </c>
      <c r="BN948" t="s">
        <v>4063</v>
      </c>
    </row>
    <row r="949" spans="1:66" x14ac:dyDescent="0.25">
      <c r="A949" t="str">
        <f>HYPERLINK("https://elite.finviz.com/quote.ashx?t=PSX&amp;ty=c&amp;p=d&amp;b=1", "PSX")</f>
        <v>PSX</v>
      </c>
      <c r="B949">
        <v>7</v>
      </c>
      <c r="C949">
        <v>138.38</v>
      </c>
      <c r="D949">
        <v>71.900000000000006</v>
      </c>
      <c r="E949" t="s">
        <v>13648</v>
      </c>
      <c r="F949" t="s">
        <v>195</v>
      </c>
      <c r="G949" t="s">
        <v>1048</v>
      </c>
      <c r="H949" t="s">
        <v>3886</v>
      </c>
      <c r="I949" t="s">
        <v>70</v>
      </c>
      <c r="J949" t="s">
        <v>71</v>
      </c>
      <c r="K949">
        <v>56970.04</v>
      </c>
      <c r="L949">
        <v>140.97</v>
      </c>
      <c r="M949" t="s">
        <v>4280</v>
      </c>
      <c r="N949">
        <v>823243</v>
      </c>
      <c r="O949">
        <v>33.93</v>
      </c>
      <c r="P949">
        <v>12.73</v>
      </c>
      <c r="Q949">
        <v>1.37</v>
      </c>
      <c r="R949">
        <v>0.43</v>
      </c>
      <c r="S949">
        <v>2.0699999999999998</v>
      </c>
      <c r="T949" t="s">
        <v>3454</v>
      </c>
      <c r="U949">
        <v>4.7</v>
      </c>
      <c r="V949" t="s">
        <v>10236</v>
      </c>
      <c r="W949" t="s">
        <v>5114</v>
      </c>
      <c r="X949" t="s">
        <v>2378</v>
      </c>
      <c r="Y949" t="s">
        <v>6527</v>
      </c>
      <c r="Z949" t="s">
        <v>13649</v>
      </c>
      <c r="AA949">
        <v>4.16</v>
      </c>
      <c r="AB949" t="s">
        <v>8982</v>
      </c>
      <c r="AC949" t="s">
        <v>625</v>
      </c>
      <c r="AD949" t="s">
        <v>1737</v>
      </c>
      <c r="AE949" t="s">
        <v>6700</v>
      </c>
      <c r="AF949" t="s">
        <v>1700</v>
      </c>
      <c r="AG949" t="s">
        <v>4254</v>
      </c>
      <c r="AH949" t="s">
        <v>9202</v>
      </c>
      <c r="AI949" t="s">
        <v>13650</v>
      </c>
      <c r="AJ949" t="s">
        <v>5895</v>
      </c>
      <c r="AK949" t="s">
        <v>13651</v>
      </c>
      <c r="AL949">
        <v>1.07</v>
      </c>
      <c r="AM949">
        <v>0.79</v>
      </c>
      <c r="AN949">
        <v>0.76</v>
      </c>
      <c r="AO949" t="s">
        <v>4873</v>
      </c>
      <c r="AP949" t="s">
        <v>6719</v>
      </c>
      <c r="AQ949" t="s">
        <v>6478</v>
      </c>
      <c r="AR949" t="s">
        <v>305</v>
      </c>
      <c r="AS949" t="s">
        <v>2582</v>
      </c>
      <c r="AT949" t="s">
        <v>2839</v>
      </c>
      <c r="AU949" t="s">
        <v>2627</v>
      </c>
      <c r="AV949" t="s">
        <v>4601</v>
      </c>
      <c r="AW949" t="s">
        <v>1457</v>
      </c>
      <c r="AX949" t="s">
        <v>13652</v>
      </c>
      <c r="AY949" t="s">
        <v>439</v>
      </c>
      <c r="AZ949" t="s">
        <v>13653</v>
      </c>
      <c r="BA949">
        <v>2.23</v>
      </c>
      <c r="BB949">
        <v>2663.42</v>
      </c>
      <c r="BC949">
        <v>1.0900000000000001</v>
      </c>
      <c r="BD949">
        <v>139.08000000000001</v>
      </c>
      <c r="BE949">
        <v>142.35</v>
      </c>
      <c r="BF949">
        <v>139.77000000000001</v>
      </c>
      <c r="BG949" t="s">
        <v>13654</v>
      </c>
      <c r="BH949" t="s">
        <v>13655</v>
      </c>
      <c r="BI949" t="s">
        <v>13656</v>
      </c>
      <c r="BJ949" t="s">
        <v>101</v>
      </c>
      <c r="BK949" t="s">
        <v>12687</v>
      </c>
      <c r="BL949" t="s">
        <v>6278</v>
      </c>
      <c r="BM949" t="s">
        <v>5697</v>
      </c>
      <c r="BN949" t="s">
        <v>4063</v>
      </c>
    </row>
    <row r="950" spans="1:66" x14ac:dyDescent="0.25">
      <c r="A950" t="str">
        <f>HYPERLINK("https://elite.finviz.com/quote.ashx?t=INOD&amp;ty=c&amp;p=d&amp;b=1", "INOD")</f>
        <v>INOD</v>
      </c>
      <c r="B950">
        <v>7</v>
      </c>
      <c r="C950">
        <v>138.38</v>
      </c>
      <c r="D950">
        <v>72.08</v>
      </c>
      <c r="E950" t="s">
        <v>13657</v>
      </c>
      <c r="F950" t="s">
        <v>67</v>
      </c>
      <c r="G950" t="s">
        <v>108</v>
      </c>
      <c r="H950" t="s">
        <v>1322</v>
      </c>
      <c r="I950" t="s">
        <v>70</v>
      </c>
      <c r="J950" t="s">
        <v>321</v>
      </c>
      <c r="K950">
        <v>2214.23</v>
      </c>
      <c r="L950">
        <v>69.53</v>
      </c>
      <c r="M950" t="s">
        <v>5692</v>
      </c>
      <c r="N950">
        <v>422081</v>
      </c>
      <c r="O950">
        <v>55.86</v>
      </c>
      <c r="P950">
        <v>67.67</v>
      </c>
      <c r="R950">
        <v>9.7100000000000009</v>
      </c>
      <c r="S950">
        <v>25.53</v>
      </c>
      <c r="Z950" t="s">
        <v>164</v>
      </c>
      <c r="AA950">
        <v>1.24</v>
      </c>
      <c r="AE950" t="s">
        <v>13658</v>
      </c>
      <c r="AF950" t="s">
        <v>2297</v>
      </c>
      <c r="AG950" t="s">
        <v>2621</v>
      </c>
      <c r="AH950" t="s">
        <v>7592</v>
      </c>
      <c r="AI950" t="s">
        <v>13659</v>
      </c>
      <c r="AJ950" t="s">
        <v>164</v>
      </c>
      <c r="AK950" t="s">
        <v>13152</v>
      </c>
      <c r="AL950">
        <v>2.87</v>
      </c>
      <c r="AM950">
        <v>2.87</v>
      </c>
      <c r="AN950">
        <v>0.05</v>
      </c>
      <c r="AO950" t="s">
        <v>11483</v>
      </c>
      <c r="AP950" t="s">
        <v>13660</v>
      </c>
      <c r="AQ950" t="s">
        <v>3168</v>
      </c>
      <c r="AR950" t="s">
        <v>5864</v>
      </c>
      <c r="AS950" t="s">
        <v>5552</v>
      </c>
      <c r="AT950" t="s">
        <v>13661</v>
      </c>
      <c r="AU950" t="s">
        <v>13662</v>
      </c>
      <c r="AV950" t="s">
        <v>4527</v>
      </c>
      <c r="AW950" t="s">
        <v>9757</v>
      </c>
      <c r="AX950" t="s">
        <v>13663</v>
      </c>
      <c r="AY950" t="s">
        <v>9757</v>
      </c>
      <c r="AZ950" t="s">
        <v>13664</v>
      </c>
      <c r="BA950">
        <v>1.2</v>
      </c>
      <c r="BB950">
        <v>2552.3200000000002</v>
      </c>
      <c r="BC950">
        <v>0.57999999999999996</v>
      </c>
      <c r="BD950">
        <v>68.62</v>
      </c>
      <c r="BE950">
        <v>70.28</v>
      </c>
      <c r="BF950">
        <v>68.06</v>
      </c>
      <c r="BG950" t="s">
        <v>13665</v>
      </c>
      <c r="BH950" t="s">
        <v>9757</v>
      </c>
      <c r="BI950" t="s">
        <v>13666</v>
      </c>
      <c r="BJ950" t="s">
        <v>101</v>
      </c>
      <c r="BK950" t="s">
        <v>13667</v>
      </c>
      <c r="BL950" t="s">
        <v>4141</v>
      </c>
      <c r="BM950" t="s">
        <v>13668</v>
      </c>
      <c r="BN950" t="s">
        <v>4063</v>
      </c>
    </row>
    <row r="951" spans="1:66" x14ac:dyDescent="0.25">
      <c r="A951" t="str">
        <f>HYPERLINK("https://elite.finviz.com/quote.ashx?t=IONS&amp;ty=c&amp;p=d&amp;b=1", "IONS")</f>
        <v>IONS</v>
      </c>
      <c r="B951">
        <v>7</v>
      </c>
      <c r="C951">
        <v>138.38</v>
      </c>
      <c r="D951">
        <v>72.13</v>
      </c>
      <c r="E951" t="s">
        <v>13669</v>
      </c>
      <c r="F951" t="s">
        <v>107</v>
      </c>
      <c r="G951" t="s">
        <v>428</v>
      </c>
      <c r="H951" t="s">
        <v>429</v>
      </c>
      <c r="I951" t="s">
        <v>70</v>
      </c>
      <c r="J951" t="s">
        <v>321</v>
      </c>
      <c r="K951">
        <v>10193.549999999999</v>
      </c>
      <c r="L951">
        <v>63.95</v>
      </c>
      <c r="M951" t="s">
        <v>192</v>
      </c>
      <c r="N951">
        <v>298772</v>
      </c>
      <c r="R951">
        <v>10.79</v>
      </c>
      <c r="S951">
        <v>16.12</v>
      </c>
      <c r="AA951">
        <v>-1.85</v>
      </c>
      <c r="AB951" t="s">
        <v>13670</v>
      </c>
      <c r="AD951" t="s">
        <v>6996</v>
      </c>
      <c r="AE951" t="s">
        <v>325</v>
      </c>
      <c r="AF951" t="s">
        <v>4653</v>
      </c>
      <c r="AG951" t="s">
        <v>13088</v>
      </c>
      <c r="AH951" t="s">
        <v>13671</v>
      </c>
      <c r="AI951" t="s">
        <v>13672</v>
      </c>
      <c r="AJ951" t="s">
        <v>13673</v>
      </c>
      <c r="AK951" t="s">
        <v>13674</v>
      </c>
      <c r="AL951">
        <v>2.87</v>
      </c>
      <c r="AM951">
        <v>2.86</v>
      </c>
      <c r="AN951">
        <v>3.13</v>
      </c>
      <c r="AO951" t="s">
        <v>13675</v>
      </c>
      <c r="AP951" t="s">
        <v>1878</v>
      </c>
      <c r="AQ951" t="s">
        <v>11025</v>
      </c>
      <c r="AR951" t="s">
        <v>6937</v>
      </c>
      <c r="AS951" t="s">
        <v>1934</v>
      </c>
      <c r="AT951" t="s">
        <v>2385</v>
      </c>
      <c r="AU951" t="s">
        <v>13676</v>
      </c>
      <c r="AV951" t="s">
        <v>13677</v>
      </c>
      <c r="AW951" t="s">
        <v>6407</v>
      </c>
      <c r="AX951" t="s">
        <v>1747</v>
      </c>
      <c r="AY951" t="s">
        <v>6407</v>
      </c>
      <c r="AZ951" t="s">
        <v>13678</v>
      </c>
      <c r="BA951">
        <v>1.59</v>
      </c>
      <c r="BB951">
        <v>2457.7600000000002</v>
      </c>
      <c r="BC951">
        <v>0.43</v>
      </c>
      <c r="BD951">
        <v>62.97</v>
      </c>
      <c r="BE951">
        <v>64.489999999999995</v>
      </c>
      <c r="BF951">
        <v>63.1</v>
      </c>
      <c r="BG951" t="s">
        <v>13679</v>
      </c>
      <c r="BH951" t="s">
        <v>13680</v>
      </c>
      <c r="BI951" t="s">
        <v>13681</v>
      </c>
      <c r="BJ951" t="s">
        <v>101</v>
      </c>
      <c r="BK951" t="s">
        <v>6262</v>
      </c>
      <c r="BL951" t="s">
        <v>13682</v>
      </c>
      <c r="BM951" t="s">
        <v>5145</v>
      </c>
      <c r="BN951" t="s">
        <v>4063</v>
      </c>
    </row>
    <row r="952" spans="1:66" x14ac:dyDescent="0.25">
      <c r="A952" t="str">
        <f>HYPERLINK("https://elite.finviz.com/quote.ashx?t=RZLT&amp;ty=c&amp;p=d&amp;b=1", "RZLT")</f>
        <v>RZLT</v>
      </c>
      <c r="B952">
        <v>7</v>
      </c>
      <c r="C952">
        <v>138.38</v>
      </c>
      <c r="D952">
        <v>72.150000000000006</v>
      </c>
      <c r="E952" t="s">
        <v>13683</v>
      </c>
      <c r="F952" t="s">
        <v>67</v>
      </c>
      <c r="G952" t="s">
        <v>428</v>
      </c>
      <c r="H952" t="s">
        <v>429</v>
      </c>
      <c r="I952" t="s">
        <v>70</v>
      </c>
      <c r="J952" t="s">
        <v>321</v>
      </c>
      <c r="K952">
        <v>809.14</v>
      </c>
      <c r="L952">
        <v>8.91</v>
      </c>
      <c r="M952" t="s">
        <v>1760</v>
      </c>
      <c r="N952">
        <v>351205</v>
      </c>
      <c r="S952">
        <v>4.78</v>
      </c>
      <c r="AA952">
        <v>-0.97</v>
      </c>
      <c r="AB952" t="s">
        <v>4451</v>
      </c>
      <c r="AC952" t="s">
        <v>3863</v>
      </c>
      <c r="AD952" t="s">
        <v>12441</v>
      </c>
      <c r="AI952" t="s">
        <v>13684</v>
      </c>
      <c r="AJ952" t="s">
        <v>8051</v>
      </c>
      <c r="AK952" t="s">
        <v>13685</v>
      </c>
      <c r="AL952">
        <v>14.37</v>
      </c>
      <c r="AM952">
        <v>14.37</v>
      </c>
      <c r="AN952">
        <v>0.01</v>
      </c>
      <c r="AR952" t="s">
        <v>8662</v>
      </c>
      <c r="AS952" t="s">
        <v>6593</v>
      </c>
      <c r="AT952" t="s">
        <v>2913</v>
      </c>
      <c r="AU952" t="s">
        <v>6260</v>
      </c>
      <c r="AV952" t="s">
        <v>13686</v>
      </c>
      <c r="AW952" t="s">
        <v>8402</v>
      </c>
      <c r="AX952" t="s">
        <v>13687</v>
      </c>
      <c r="AY952" t="s">
        <v>8402</v>
      </c>
      <c r="AZ952" t="s">
        <v>13688</v>
      </c>
      <c r="BA952">
        <v>1</v>
      </c>
      <c r="BB952">
        <v>1184.6199999999999</v>
      </c>
      <c r="BC952">
        <v>1.04</v>
      </c>
      <c r="BD952">
        <v>8.77</v>
      </c>
      <c r="BE952">
        <v>9.07</v>
      </c>
      <c r="BF952">
        <v>8.77</v>
      </c>
      <c r="BG952" t="s">
        <v>13689</v>
      </c>
      <c r="BH952" t="s">
        <v>11907</v>
      </c>
      <c r="BI952" t="s">
        <v>13690</v>
      </c>
      <c r="BJ952" t="s">
        <v>101</v>
      </c>
      <c r="BK952" t="s">
        <v>10898</v>
      </c>
      <c r="BL952" t="s">
        <v>13691</v>
      </c>
      <c r="BM952" t="s">
        <v>1732</v>
      </c>
      <c r="BN952" t="s">
        <v>4063</v>
      </c>
    </row>
    <row r="953" spans="1:66" x14ac:dyDescent="0.25">
      <c r="A953" t="str">
        <f>HYPERLINK("https://elite.finviz.com/quote.ashx?t=TER&amp;ty=c&amp;p=d&amp;b=1", "TER")</f>
        <v>TER</v>
      </c>
      <c r="B953">
        <v>7</v>
      </c>
      <c r="C953">
        <v>138.38</v>
      </c>
      <c r="D953">
        <v>72.16</v>
      </c>
      <c r="E953" t="s">
        <v>13692</v>
      </c>
      <c r="F953" t="s">
        <v>195</v>
      </c>
      <c r="G953" t="s">
        <v>108</v>
      </c>
      <c r="H953" t="s">
        <v>2097</v>
      </c>
      <c r="I953" t="s">
        <v>70</v>
      </c>
      <c r="J953" t="s">
        <v>321</v>
      </c>
      <c r="K953">
        <v>21223.59</v>
      </c>
      <c r="L953">
        <v>133.41999999999999</v>
      </c>
      <c r="M953" t="s">
        <v>1765</v>
      </c>
      <c r="N953">
        <v>538978</v>
      </c>
      <c r="O953">
        <v>46.28</v>
      </c>
      <c r="P953">
        <v>29.56</v>
      </c>
      <c r="Q953">
        <v>2.25</v>
      </c>
      <c r="R953">
        <v>7.51</v>
      </c>
      <c r="S953">
        <v>7.49</v>
      </c>
      <c r="T953" t="s">
        <v>3000</v>
      </c>
      <c r="U953">
        <v>0.48</v>
      </c>
      <c r="V953" t="s">
        <v>4548</v>
      </c>
      <c r="W953" t="s">
        <v>290</v>
      </c>
      <c r="X953" t="s">
        <v>6593</v>
      </c>
      <c r="Y953" t="s">
        <v>351</v>
      </c>
      <c r="Z953" t="s">
        <v>11732</v>
      </c>
      <c r="AA953">
        <v>2.88</v>
      </c>
      <c r="AB953" t="s">
        <v>6247</v>
      </c>
      <c r="AC953" t="s">
        <v>4824</v>
      </c>
      <c r="AD953" t="s">
        <v>10006</v>
      </c>
      <c r="AE953" t="s">
        <v>3545</v>
      </c>
      <c r="AF953" t="s">
        <v>3705</v>
      </c>
      <c r="AG953" t="s">
        <v>2841</v>
      </c>
      <c r="AH953" t="s">
        <v>4284</v>
      </c>
      <c r="AI953" t="s">
        <v>4393</v>
      </c>
      <c r="AJ953" t="s">
        <v>5789</v>
      </c>
      <c r="AK953" t="s">
        <v>13693</v>
      </c>
      <c r="AL953">
        <v>2.35</v>
      </c>
      <c r="AM953">
        <v>1.28</v>
      </c>
      <c r="AN953">
        <v>0.03</v>
      </c>
      <c r="AO953" t="s">
        <v>13694</v>
      </c>
      <c r="AP953" t="s">
        <v>4331</v>
      </c>
      <c r="AQ953" t="s">
        <v>6799</v>
      </c>
      <c r="AR953" t="s">
        <v>3469</v>
      </c>
      <c r="AS953" t="s">
        <v>3205</v>
      </c>
      <c r="AT953" t="s">
        <v>7698</v>
      </c>
      <c r="AU953" t="s">
        <v>8464</v>
      </c>
      <c r="AV953" t="s">
        <v>13695</v>
      </c>
      <c r="AW953" t="s">
        <v>608</v>
      </c>
      <c r="AX953" t="s">
        <v>13696</v>
      </c>
      <c r="AY953" t="s">
        <v>11163</v>
      </c>
      <c r="AZ953" t="s">
        <v>13697</v>
      </c>
      <c r="BA953">
        <v>2.2200000000000002</v>
      </c>
      <c r="BB953">
        <v>4131.88</v>
      </c>
      <c r="BC953">
        <v>0.46</v>
      </c>
      <c r="BD953">
        <v>132.87</v>
      </c>
      <c r="BE953">
        <v>134.24</v>
      </c>
      <c r="BF953">
        <v>132</v>
      </c>
      <c r="BG953" t="s">
        <v>13698</v>
      </c>
      <c r="BH953" t="s">
        <v>13699</v>
      </c>
      <c r="BI953" t="s">
        <v>13700</v>
      </c>
      <c r="BJ953" t="s">
        <v>101</v>
      </c>
      <c r="BK953" t="s">
        <v>6618</v>
      </c>
      <c r="BL953" t="s">
        <v>13701</v>
      </c>
      <c r="BM953" t="s">
        <v>2424</v>
      </c>
      <c r="BN953" t="s">
        <v>4063</v>
      </c>
    </row>
    <row r="954" spans="1:66" x14ac:dyDescent="0.25">
      <c r="A954" t="str">
        <f>HYPERLINK("https://elite.finviz.com/quote.ashx?t=DINO&amp;ty=c&amp;p=d&amp;b=1", "DINO")</f>
        <v>DINO</v>
      </c>
      <c r="B954">
        <v>7</v>
      </c>
      <c r="C954">
        <v>138.38</v>
      </c>
      <c r="D954">
        <v>72.2</v>
      </c>
      <c r="E954" t="s">
        <v>13702</v>
      </c>
      <c r="F954" t="s">
        <v>107</v>
      </c>
      <c r="G954" t="s">
        <v>1048</v>
      </c>
      <c r="H954" t="s">
        <v>3886</v>
      </c>
      <c r="I954" t="s">
        <v>70</v>
      </c>
      <c r="J954" t="s">
        <v>71</v>
      </c>
      <c r="K954">
        <v>10170.629999999999</v>
      </c>
      <c r="L954">
        <v>54.37</v>
      </c>
      <c r="M954" t="s">
        <v>1022</v>
      </c>
      <c r="N954">
        <v>435736</v>
      </c>
      <c r="P954">
        <v>13.61</v>
      </c>
      <c r="R954">
        <v>0.38</v>
      </c>
      <c r="S954">
        <v>1.1000000000000001</v>
      </c>
      <c r="T954" t="s">
        <v>1453</v>
      </c>
      <c r="U954">
        <v>2</v>
      </c>
      <c r="V954" t="s">
        <v>5037</v>
      </c>
      <c r="W954" t="s">
        <v>821</v>
      </c>
      <c r="X954" t="s">
        <v>13703</v>
      </c>
      <c r="Y954" t="s">
        <v>3050</v>
      </c>
      <c r="Z954" t="s">
        <v>13704</v>
      </c>
      <c r="AA954">
        <v>-0.47</v>
      </c>
      <c r="AB954" t="s">
        <v>6180</v>
      </c>
      <c r="AC954" t="s">
        <v>2749</v>
      </c>
      <c r="AD954" t="s">
        <v>12069</v>
      </c>
      <c r="AE954" t="s">
        <v>3917</v>
      </c>
      <c r="AF954" t="s">
        <v>9497</v>
      </c>
      <c r="AG954" t="s">
        <v>1396</v>
      </c>
      <c r="AH954" t="s">
        <v>13705</v>
      </c>
      <c r="AI954" t="s">
        <v>13706</v>
      </c>
      <c r="AJ954" t="s">
        <v>171</v>
      </c>
      <c r="AK954" t="s">
        <v>13707</v>
      </c>
      <c r="AL954">
        <v>1.82</v>
      </c>
      <c r="AM954">
        <v>0.83</v>
      </c>
      <c r="AN954">
        <v>0.34</v>
      </c>
      <c r="AO954" t="s">
        <v>4946</v>
      </c>
      <c r="AP954" t="s">
        <v>4507</v>
      </c>
      <c r="AQ954" t="s">
        <v>124</v>
      </c>
      <c r="AR954" t="s">
        <v>617</v>
      </c>
      <c r="AS954" t="s">
        <v>1933</v>
      </c>
      <c r="AT954" t="s">
        <v>2484</v>
      </c>
      <c r="AU954" t="s">
        <v>8181</v>
      </c>
      <c r="AV954" t="s">
        <v>4895</v>
      </c>
      <c r="AW954" t="s">
        <v>3446</v>
      </c>
      <c r="AX954" t="s">
        <v>12574</v>
      </c>
      <c r="AY954" t="s">
        <v>3446</v>
      </c>
      <c r="AZ954" t="s">
        <v>13708</v>
      </c>
      <c r="BA954">
        <v>2.06</v>
      </c>
      <c r="BB954">
        <v>2373.83</v>
      </c>
      <c r="BC954">
        <v>0.65</v>
      </c>
      <c r="BD954">
        <v>54.01</v>
      </c>
      <c r="BE954">
        <v>54.71</v>
      </c>
      <c r="BF954">
        <v>54.01</v>
      </c>
      <c r="BG954" t="s">
        <v>13709</v>
      </c>
      <c r="BH954" t="s">
        <v>11589</v>
      </c>
      <c r="BI954" t="s">
        <v>13710</v>
      </c>
      <c r="BJ954" t="s">
        <v>101</v>
      </c>
      <c r="BK954" t="s">
        <v>5927</v>
      </c>
      <c r="BL954" t="s">
        <v>10604</v>
      </c>
      <c r="BM954" t="s">
        <v>8911</v>
      </c>
      <c r="BN954" t="s">
        <v>4063</v>
      </c>
    </row>
    <row r="955" spans="1:66" x14ac:dyDescent="0.25">
      <c r="A955" t="str">
        <f>HYPERLINK("https://elite.finviz.com/quote.ashx?t=DOCS&amp;ty=c&amp;p=d&amp;b=1", "DOCS")</f>
        <v>DOCS</v>
      </c>
      <c r="B955">
        <v>7</v>
      </c>
      <c r="C955">
        <v>138.38</v>
      </c>
      <c r="D955">
        <v>72.34</v>
      </c>
      <c r="E955" t="s">
        <v>13711</v>
      </c>
      <c r="F955" t="s">
        <v>107</v>
      </c>
      <c r="G955" t="s">
        <v>428</v>
      </c>
      <c r="H955" t="s">
        <v>2075</v>
      </c>
      <c r="I955" t="s">
        <v>70</v>
      </c>
      <c r="J955" t="s">
        <v>71</v>
      </c>
      <c r="K955">
        <v>14009.65</v>
      </c>
      <c r="L955">
        <v>74.790000000000006</v>
      </c>
      <c r="M955" t="s">
        <v>2418</v>
      </c>
      <c r="N955">
        <v>237585</v>
      </c>
      <c r="O955">
        <v>64.2</v>
      </c>
      <c r="P955">
        <v>44.92</v>
      </c>
      <c r="Q955">
        <v>6.45</v>
      </c>
      <c r="R955">
        <v>23.76</v>
      </c>
      <c r="S955">
        <v>13.67</v>
      </c>
      <c r="Z955" t="s">
        <v>164</v>
      </c>
      <c r="AA955">
        <v>1.1599999999999999</v>
      </c>
      <c r="AB955" t="s">
        <v>4130</v>
      </c>
      <c r="AC955" t="s">
        <v>12549</v>
      </c>
      <c r="AD955" t="s">
        <v>10273</v>
      </c>
      <c r="AE955" t="s">
        <v>218</v>
      </c>
      <c r="AF955" t="s">
        <v>6917</v>
      </c>
      <c r="AG955" t="s">
        <v>4157</v>
      </c>
      <c r="AH955" t="s">
        <v>1601</v>
      </c>
      <c r="AI955" t="s">
        <v>13712</v>
      </c>
      <c r="AJ955" t="s">
        <v>337</v>
      </c>
      <c r="AK955" t="s">
        <v>9411</v>
      </c>
      <c r="AL955">
        <v>6.44</v>
      </c>
      <c r="AM955">
        <v>6.44</v>
      </c>
      <c r="AN955">
        <v>0.01</v>
      </c>
      <c r="AO955" t="s">
        <v>13713</v>
      </c>
      <c r="AP955" t="s">
        <v>11386</v>
      </c>
      <c r="AQ955" t="s">
        <v>13714</v>
      </c>
      <c r="AR955" t="s">
        <v>5256</v>
      </c>
      <c r="AS955" t="s">
        <v>5121</v>
      </c>
      <c r="AT955" t="s">
        <v>1063</v>
      </c>
      <c r="AU955" t="s">
        <v>8916</v>
      </c>
      <c r="AV955" t="s">
        <v>10300</v>
      </c>
      <c r="AW955" t="s">
        <v>110</v>
      </c>
      <c r="AX955" t="s">
        <v>13715</v>
      </c>
      <c r="AY955" t="s">
        <v>8487</v>
      </c>
      <c r="AZ955" t="s">
        <v>13716</v>
      </c>
      <c r="BA955">
        <v>2.14</v>
      </c>
      <c r="BB955">
        <v>1626.27</v>
      </c>
      <c r="BC955">
        <v>0.51</v>
      </c>
      <c r="BD955">
        <v>74.38</v>
      </c>
      <c r="BE955">
        <v>75.75</v>
      </c>
      <c r="BF955">
        <v>74.069999999999993</v>
      </c>
      <c r="BG955" t="s">
        <v>13717</v>
      </c>
      <c r="BH955" t="s">
        <v>6281</v>
      </c>
      <c r="BI955" t="s">
        <v>13718</v>
      </c>
      <c r="BJ955" t="s">
        <v>101</v>
      </c>
      <c r="BK955" t="s">
        <v>3537</v>
      </c>
      <c r="BL955" t="s">
        <v>13719</v>
      </c>
      <c r="BM955" t="s">
        <v>13720</v>
      </c>
      <c r="BN955" t="s">
        <v>4063</v>
      </c>
    </row>
    <row r="956" spans="1:66" x14ac:dyDescent="0.25">
      <c r="A956" t="str">
        <f>HYPERLINK("https://elite.finviz.com/quote.ashx?t=SHFS&amp;ty=c&amp;p=d&amp;b=1", "SHFS")</f>
        <v>SHFS</v>
      </c>
      <c r="B956">
        <v>7</v>
      </c>
      <c r="C956">
        <v>138.38</v>
      </c>
      <c r="D956">
        <v>72.459999999999994</v>
      </c>
      <c r="E956" t="s">
        <v>13721</v>
      </c>
      <c r="F956" t="s">
        <v>107</v>
      </c>
      <c r="G956" t="s">
        <v>550</v>
      </c>
      <c r="H956" t="s">
        <v>697</v>
      </c>
      <c r="I956" t="s">
        <v>70</v>
      </c>
      <c r="J956" t="s">
        <v>321</v>
      </c>
      <c r="K956">
        <v>19.510000000000002</v>
      </c>
      <c r="L956">
        <v>6.69</v>
      </c>
      <c r="M956" t="s">
        <v>11661</v>
      </c>
      <c r="N956">
        <v>87863</v>
      </c>
      <c r="R956">
        <v>1.79</v>
      </c>
      <c r="AA956">
        <v>-19.059999999999999</v>
      </c>
      <c r="AE956" t="s">
        <v>8969</v>
      </c>
      <c r="AF956" t="s">
        <v>13722</v>
      </c>
      <c r="AH956" t="s">
        <v>13723</v>
      </c>
      <c r="AJ956" t="s">
        <v>164</v>
      </c>
      <c r="AK956" t="s">
        <v>2722</v>
      </c>
      <c r="AL956">
        <v>0.4</v>
      </c>
      <c r="AM956">
        <v>0.4</v>
      </c>
      <c r="AO956" t="s">
        <v>13724</v>
      </c>
      <c r="AP956" t="s">
        <v>3109</v>
      </c>
      <c r="AQ956" t="s">
        <v>13725</v>
      </c>
      <c r="AR956" t="s">
        <v>7969</v>
      </c>
      <c r="AS956" t="s">
        <v>5893</v>
      </c>
      <c r="AT956" t="s">
        <v>12640</v>
      </c>
      <c r="AU956" t="s">
        <v>4471</v>
      </c>
      <c r="AV956" t="s">
        <v>13726</v>
      </c>
      <c r="AW956" t="s">
        <v>2152</v>
      </c>
      <c r="AX956" t="s">
        <v>13727</v>
      </c>
      <c r="AY956" t="s">
        <v>10024</v>
      </c>
      <c r="AZ956" t="s">
        <v>13728</v>
      </c>
      <c r="BA956">
        <v>1</v>
      </c>
      <c r="BB956">
        <v>1479.91</v>
      </c>
      <c r="BC956">
        <v>0.21</v>
      </c>
      <c r="BD956">
        <v>6.95</v>
      </c>
      <c r="BE956">
        <v>7.11</v>
      </c>
      <c r="BF956">
        <v>6.16</v>
      </c>
      <c r="BG956" t="s">
        <v>13729</v>
      </c>
      <c r="BH956" t="s">
        <v>13730</v>
      </c>
      <c r="BI956" t="s">
        <v>13728</v>
      </c>
      <c r="BJ956" t="s">
        <v>101</v>
      </c>
      <c r="BK956" t="s">
        <v>13093</v>
      </c>
      <c r="BL956" t="s">
        <v>13731</v>
      </c>
      <c r="BM956" t="s">
        <v>4998</v>
      </c>
      <c r="BN956" t="s">
        <v>4063</v>
      </c>
    </row>
    <row r="957" spans="1:66" x14ac:dyDescent="0.25">
      <c r="A957" t="str">
        <f>HYPERLINK("https://elite.finviz.com/quote.ashx?t=REZI&amp;ty=c&amp;p=d&amp;b=1", "REZI")</f>
        <v>REZI</v>
      </c>
      <c r="B957">
        <v>7</v>
      </c>
      <c r="C957">
        <v>138.38</v>
      </c>
      <c r="D957">
        <v>72.67</v>
      </c>
      <c r="E957" t="s">
        <v>13732</v>
      </c>
      <c r="F957" t="s">
        <v>67</v>
      </c>
      <c r="G957" t="s">
        <v>260</v>
      </c>
      <c r="H957" t="s">
        <v>8107</v>
      </c>
      <c r="I957" t="s">
        <v>70</v>
      </c>
      <c r="J957" t="s">
        <v>71</v>
      </c>
      <c r="K957">
        <v>6100.79</v>
      </c>
      <c r="L957">
        <v>41.01</v>
      </c>
      <c r="M957" t="s">
        <v>6842</v>
      </c>
      <c r="N957">
        <v>142650</v>
      </c>
      <c r="P957">
        <v>14.42</v>
      </c>
      <c r="R957">
        <v>0.82</v>
      </c>
      <c r="S957">
        <v>2.86</v>
      </c>
      <c r="Z957" t="s">
        <v>164</v>
      </c>
      <c r="AA957">
        <v>-5.4</v>
      </c>
      <c r="AB957" t="s">
        <v>8300</v>
      </c>
      <c r="AC957" t="s">
        <v>6633</v>
      </c>
      <c r="AD957" t="s">
        <v>2849</v>
      </c>
      <c r="AE957" t="s">
        <v>1746</v>
      </c>
      <c r="AF957" t="s">
        <v>197</v>
      </c>
      <c r="AG957" t="s">
        <v>6593</v>
      </c>
      <c r="AH957" t="s">
        <v>1414</v>
      </c>
      <c r="AI957" t="s">
        <v>3860</v>
      </c>
      <c r="AJ957" t="s">
        <v>13733</v>
      </c>
      <c r="AK957" t="s">
        <v>7738</v>
      </c>
      <c r="AL957">
        <v>1</v>
      </c>
      <c r="AM957">
        <v>0.63</v>
      </c>
      <c r="AN957">
        <v>0.87</v>
      </c>
      <c r="AO957" t="s">
        <v>2815</v>
      </c>
      <c r="AP957" t="s">
        <v>10714</v>
      </c>
      <c r="AQ957" t="s">
        <v>8292</v>
      </c>
      <c r="AR957" t="s">
        <v>6150</v>
      </c>
      <c r="AS957" t="s">
        <v>6104</v>
      </c>
      <c r="AT957" t="s">
        <v>1283</v>
      </c>
      <c r="AU957" t="s">
        <v>10895</v>
      </c>
      <c r="AV957" t="s">
        <v>7910</v>
      </c>
      <c r="AW957" t="s">
        <v>13734</v>
      </c>
      <c r="AX957" t="s">
        <v>4682</v>
      </c>
      <c r="AY957" t="s">
        <v>13734</v>
      </c>
      <c r="AZ957" t="s">
        <v>13735</v>
      </c>
      <c r="BA957">
        <v>1.67</v>
      </c>
      <c r="BB957">
        <v>1819.83</v>
      </c>
      <c r="BC957">
        <v>0.28000000000000003</v>
      </c>
      <c r="BD957">
        <v>40.78</v>
      </c>
      <c r="BE957">
        <v>41.16</v>
      </c>
      <c r="BF957">
        <v>40.56</v>
      </c>
      <c r="BG957" t="s">
        <v>13736</v>
      </c>
      <c r="BH957" t="s">
        <v>13734</v>
      </c>
      <c r="BI957" t="s">
        <v>13737</v>
      </c>
      <c r="BJ957" t="s">
        <v>101</v>
      </c>
      <c r="BK957" t="s">
        <v>13738</v>
      </c>
      <c r="BL957" t="s">
        <v>13739</v>
      </c>
      <c r="BM957" t="s">
        <v>13740</v>
      </c>
      <c r="BN957" t="s">
        <v>4063</v>
      </c>
    </row>
    <row r="958" spans="1:66" x14ac:dyDescent="0.25">
      <c r="A958" t="str">
        <f>HYPERLINK("https://elite.finviz.com/quote.ashx?t=ACMR&amp;ty=c&amp;p=d&amp;b=1", "ACMR")</f>
        <v>ACMR</v>
      </c>
      <c r="B958">
        <v>7</v>
      </c>
      <c r="C958">
        <v>138.38</v>
      </c>
      <c r="D958">
        <v>72.819999999999993</v>
      </c>
      <c r="E958" t="s">
        <v>13741</v>
      </c>
      <c r="F958" t="s">
        <v>67</v>
      </c>
      <c r="G958" t="s">
        <v>108</v>
      </c>
      <c r="H958" t="s">
        <v>2097</v>
      </c>
      <c r="I958" t="s">
        <v>70</v>
      </c>
      <c r="J958" t="s">
        <v>321</v>
      </c>
      <c r="K958">
        <v>2424.7600000000002</v>
      </c>
      <c r="L958">
        <v>37.78</v>
      </c>
      <c r="M958" t="s">
        <v>2426</v>
      </c>
      <c r="N958">
        <v>495858</v>
      </c>
      <c r="O958">
        <v>22.92</v>
      </c>
      <c r="P958">
        <v>15.97</v>
      </c>
      <c r="Q958">
        <v>2.68</v>
      </c>
      <c r="R958">
        <v>2.97</v>
      </c>
      <c r="S958">
        <v>2.46</v>
      </c>
      <c r="T958" t="s">
        <v>4901</v>
      </c>
      <c r="Z958" t="s">
        <v>164</v>
      </c>
      <c r="AA958">
        <v>1.65</v>
      </c>
      <c r="AB958" t="s">
        <v>13742</v>
      </c>
      <c r="AC958" t="s">
        <v>11574</v>
      </c>
      <c r="AD958" t="s">
        <v>5607</v>
      </c>
      <c r="AE958" t="s">
        <v>2601</v>
      </c>
      <c r="AF958" t="s">
        <v>13743</v>
      </c>
      <c r="AG958" t="s">
        <v>13744</v>
      </c>
      <c r="AH958" t="s">
        <v>463</v>
      </c>
      <c r="AI958" t="s">
        <v>1009</v>
      </c>
      <c r="AJ958" t="s">
        <v>13745</v>
      </c>
      <c r="AK958" t="s">
        <v>13746</v>
      </c>
      <c r="AL958">
        <v>2.4500000000000002</v>
      </c>
      <c r="AM958">
        <v>1.49</v>
      </c>
      <c r="AN958">
        <v>0.28999999999999998</v>
      </c>
      <c r="AO958" t="s">
        <v>10140</v>
      </c>
      <c r="AP958" t="s">
        <v>10638</v>
      </c>
      <c r="AQ958" t="s">
        <v>2095</v>
      </c>
      <c r="AR958" t="s">
        <v>4395</v>
      </c>
      <c r="AS958" t="s">
        <v>3119</v>
      </c>
      <c r="AT958" t="s">
        <v>3168</v>
      </c>
      <c r="AU958" t="s">
        <v>13013</v>
      </c>
      <c r="AV958" t="s">
        <v>5486</v>
      </c>
      <c r="AW958" t="s">
        <v>2934</v>
      </c>
      <c r="AX958" t="s">
        <v>5515</v>
      </c>
      <c r="AY958" t="s">
        <v>2934</v>
      </c>
      <c r="AZ958" t="s">
        <v>13747</v>
      </c>
      <c r="BA958">
        <v>1.25</v>
      </c>
      <c r="BB958">
        <v>1588.13</v>
      </c>
      <c r="BC958">
        <v>1.1000000000000001</v>
      </c>
      <c r="BD958">
        <v>37.96</v>
      </c>
      <c r="BE958">
        <v>38.04</v>
      </c>
      <c r="BF958">
        <v>37.090000000000003</v>
      </c>
      <c r="BG958" t="s">
        <v>13748</v>
      </c>
      <c r="BH958" t="s">
        <v>13749</v>
      </c>
      <c r="BI958" t="s">
        <v>13750</v>
      </c>
      <c r="BJ958" t="s">
        <v>101</v>
      </c>
      <c r="BK958" t="s">
        <v>13751</v>
      </c>
      <c r="BL958" t="s">
        <v>13662</v>
      </c>
      <c r="BM958" t="s">
        <v>13752</v>
      </c>
      <c r="BN958" t="s">
        <v>4063</v>
      </c>
    </row>
    <row r="959" spans="1:66" x14ac:dyDescent="0.25">
      <c r="A959" t="str">
        <f>HYPERLINK("https://elite.finviz.com/quote.ashx?t=MUR&amp;ty=c&amp;p=d&amp;b=1", "MUR")</f>
        <v>MUR</v>
      </c>
      <c r="B959">
        <v>7</v>
      </c>
      <c r="C959">
        <v>138.38</v>
      </c>
      <c r="D959">
        <v>72.98</v>
      </c>
      <c r="E959" t="s">
        <v>13753</v>
      </c>
      <c r="F959" t="s">
        <v>67</v>
      </c>
      <c r="G959" t="s">
        <v>1048</v>
      </c>
      <c r="H959" t="s">
        <v>1049</v>
      </c>
      <c r="I959" t="s">
        <v>70</v>
      </c>
      <c r="J959" t="s">
        <v>71</v>
      </c>
      <c r="K959">
        <v>4284.8100000000004</v>
      </c>
      <c r="L959">
        <v>30.02</v>
      </c>
      <c r="M959" t="s">
        <v>304</v>
      </c>
      <c r="N959">
        <v>377105</v>
      </c>
      <c r="O959">
        <v>15.58</v>
      </c>
      <c r="P959">
        <v>15.76</v>
      </c>
      <c r="Q959">
        <v>2.04</v>
      </c>
      <c r="R959">
        <v>1.54</v>
      </c>
      <c r="S959">
        <v>0.82</v>
      </c>
      <c r="T959" t="s">
        <v>165</v>
      </c>
      <c r="U959">
        <v>1.28</v>
      </c>
      <c r="V959" t="s">
        <v>1440</v>
      </c>
      <c r="W959" t="s">
        <v>290</v>
      </c>
      <c r="X959" t="s">
        <v>10090</v>
      </c>
      <c r="Y959" t="s">
        <v>3482</v>
      </c>
      <c r="Z959" t="s">
        <v>13754</v>
      </c>
      <c r="AA959">
        <v>1.93</v>
      </c>
      <c r="AC959" t="s">
        <v>3162</v>
      </c>
      <c r="AD959" t="s">
        <v>417</v>
      </c>
      <c r="AE959" t="s">
        <v>13755</v>
      </c>
      <c r="AF959" t="s">
        <v>715</v>
      </c>
      <c r="AG959" t="s">
        <v>5058</v>
      </c>
      <c r="AH959" t="s">
        <v>11358</v>
      </c>
      <c r="AI959" t="s">
        <v>4055</v>
      </c>
      <c r="AJ959" t="s">
        <v>164</v>
      </c>
      <c r="AK959" t="s">
        <v>13756</v>
      </c>
      <c r="AL959">
        <v>0.84</v>
      </c>
      <c r="AM959">
        <v>0.77</v>
      </c>
      <c r="AN959">
        <v>0.42</v>
      </c>
      <c r="AO959" t="s">
        <v>11646</v>
      </c>
      <c r="AP959" t="s">
        <v>705</v>
      </c>
      <c r="AQ959" t="s">
        <v>8401</v>
      </c>
      <c r="AR959" t="s">
        <v>5497</v>
      </c>
      <c r="AS959" t="s">
        <v>4395</v>
      </c>
      <c r="AT959" t="s">
        <v>3798</v>
      </c>
      <c r="AU959" t="s">
        <v>5540</v>
      </c>
      <c r="AV959" t="s">
        <v>535</v>
      </c>
      <c r="AW959" t="s">
        <v>5084</v>
      </c>
      <c r="AX959" t="s">
        <v>13757</v>
      </c>
      <c r="AY959" t="s">
        <v>3080</v>
      </c>
      <c r="AZ959" t="s">
        <v>11956</v>
      </c>
      <c r="BA959">
        <v>2.95</v>
      </c>
      <c r="BB959">
        <v>2322.06</v>
      </c>
      <c r="BC959">
        <v>0.56999999999999995</v>
      </c>
      <c r="BD959">
        <v>29.15</v>
      </c>
      <c r="BE959">
        <v>30.23</v>
      </c>
      <c r="BF959">
        <v>28.94</v>
      </c>
      <c r="BG959" t="s">
        <v>13758</v>
      </c>
      <c r="BH959" t="s">
        <v>13759</v>
      </c>
      <c r="BI959" t="s">
        <v>13760</v>
      </c>
      <c r="BJ959" t="s">
        <v>101</v>
      </c>
      <c r="BK959" t="s">
        <v>13761</v>
      </c>
      <c r="BL959" t="s">
        <v>3066</v>
      </c>
      <c r="BM959" t="s">
        <v>13762</v>
      </c>
      <c r="BN959" t="s">
        <v>4063</v>
      </c>
    </row>
    <row r="960" spans="1:66" x14ac:dyDescent="0.25">
      <c r="A960" t="str">
        <f>HYPERLINK("https://elite.finviz.com/quote.ashx?t=LMT&amp;ty=c&amp;p=d&amp;b=1", "LMT")</f>
        <v>LMT</v>
      </c>
      <c r="B960">
        <v>7</v>
      </c>
      <c r="C960">
        <v>138.38</v>
      </c>
      <c r="D960">
        <v>73.03</v>
      </c>
      <c r="E960" t="s">
        <v>13763</v>
      </c>
      <c r="F960" t="s">
        <v>195</v>
      </c>
      <c r="G960" t="s">
        <v>260</v>
      </c>
      <c r="H960" t="s">
        <v>4779</v>
      </c>
      <c r="I960" t="s">
        <v>70</v>
      </c>
      <c r="J960" t="s">
        <v>71</v>
      </c>
      <c r="K960">
        <v>113517.65</v>
      </c>
      <c r="L960">
        <v>486.23</v>
      </c>
      <c r="M960" t="s">
        <v>6719</v>
      </c>
      <c r="N960">
        <v>248446</v>
      </c>
      <c r="O960">
        <v>27.38</v>
      </c>
      <c r="P960">
        <v>16.61</v>
      </c>
      <c r="Q960">
        <v>2.27</v>
      </c>
      <c r="R960">
        <v>1.58</v>
      </c>
      <c r="S960">
        <v>21.15</v>
      </c>
      <c r="T960" t="s">
        <v>2743</v>
      </c>
      <c r="U960">
        <v>13.2</v>
      </c>
      <c r="V960" t="s">
        <v>2187</v>
      </c>
      <c r="W960" t="s">
        <v>912</v>
      </c>
      <c r="X960" t="s">
        <v>713</v>
      </c>
      <c r="Y960" t="s">
        <v>1159</v>
      </c>
      <c r="Z960" t="s">
        <v>13764</v>
      </c>
      <c r="AA960">
        <v>17.760000000000002</v>
      </c>
      <c r="AB960" t="s">
        <v>3495</v>
      </c>
      <c r="AC960" t="s">
        <v>3446</v>
      </c>
      <c r="AD960" t="s">
        <v>13765</v>
      </c>
      <c r="AE960" t="s">
        <v>581</v>
      </c>
      <c r="AF960" t="s">
        <v>2087</v>
      </c>
      <c r="AG960" t="s">
        <v>2700</v>
      </c>
      <c r="AH960" t="s">
        <v>4794</v>
      </c>
      <c r="AI960" t="s">
        <v>13766</v>
      </c>
      <c r="AJ960" t="s">
        <v>164</v>
      </c>
      <c r="AK960" t="s">
        <v>13767</v>
      </c>
      <c r="AL960">
        <v>0.98</v>
      </c>
      <c r="AM960">
        <v>0.83</v>
      </c>
      <c r="AN960">
        <v>4.0599999999999996</v>
      </c>
      <c r="AO960" t="s">
        <v>1282</v>
      </c>
      <c r="AP960" t="s">
        <v>1282</v>
      </c>
      <c r="AQ960" t="s">
        <v>4133</v>
      </c>
      <c r="AR960" t="s">
        <v>6990</v>
      </c>
      <c r="AS960" t="s">
        <v>4780</v>
      </c>
      <c r="AT960" t="s">
        <v>2234</v>
      </c>
      <c r="AU960" t="s">
        <v>5658</v>
      </c>
      <c r="AV960" t="s">
        <v>2744</v>
      </c>
      <c r="AW960" t="s">
        <v>8053</v>
      </c>
      <c r="AX960" t="s">
        <v>731</v>
      </c>
      <c r="AY960" t="s">
        <v>13768</v>
      </c>
      <c r="AZ960" t="s">
        <v>731</v>
      </c>
      <c r="BA960">
        <v>2.42</v>
      </c>
      <c r="BB960">
        <v>1655.12</v>
      </c>
      <c r="BC960">
        <v>0.53</v>
      </c>
      <c r="BD960">
        <v>484.34</v>
      </c>
      <c r="BE960">
        <v>490.45</v>
      </c>
      <c r="BF960">
        <v>485.67</v>
      </c>
      <c r="BG960" t="s">
        <v>13769</v>
      </c>
      <c r="BH960" t="s">
        <v>13768</v>
      </c>
      <c r="BI960" t="s">
        <v>13770</v>
      </c>
      <c r="BJ960" t="s">
        <v>101</v>
      </c>
      <c r="BK960" t="s">
        <v>1886</v>
      </c>
      <c r="BL960" t="s">
        <v>12974</v>
      </c>
      <c r="BM960" t="s">
        <v>13771</v>
      </c>
      <c r="BN960" t="s">
        <v>4063</v>
      </c>
    </row>
    <row r="961" spans="1:66" x14ac:dyDescent="0.25">
      <c r="A961" t="str">
        <f>HYPERLINK("https://elite.finviz.com/quote.ashx?t=PBF&amp;ty=c&amp;p=d&amp;b=1", "PBF")</f>
        <v>PBF</v>
      </c>
      <c r="B961">
        <v>7</v>
      </c>
      <c r="C961">
        <v>138.38</v>
      </c>
      <c r="D961">
        <v>73.19</v>
      </c>
      <c r="E961" t="s">
        <v>13772</v>
      </c>
      <c r="F961" t="s">
        <v>67</v>
      </c>
      <c r="G961" t="s">
        <v>1048</v>
      </c>
      <c r="H961" t="s">
        <v>3886</v>
      </c>
      <c r="I961" t="s">
        <v>70</v>
      </c>
      <c r="J961" t="s">
        <v>71</v>
      </c>
      <c r="K961">
        <v>3905.1</v>
      </c>
      <c r="L961">
        <v>33.75</v>
      </c>
      <c r="M961" t="s">
        <v>2216</v>
      </c>
      <c r="N961">
        <v>691946</v>
      </c>
      <c r="P961">
        <v>24.32</v>
      </c>
      <c r="R961">
        <v>0.13</v>
      </c>
      <c r="S961">
        <v>0.77</v>
      </c>
      <c r="T961" t="s">
        <v>4499</v>
      </c>
      <c r="U961">
        <v>1.1000000000000001</v>
      </c>
      <c r="V961" t="s">
        <v>2708</v>
      </c>
      <c r="W961" t="s">
        <v>1746</v>
      </c>
      <c r="Y961" t="s">
        <v>1081</v>
      </c>
      <c r="AA961">
        <v>-8.6</v>
      </c>
      <c r="AE961" t="s">
        <v>9283</v>
      </c>
      <c r="AF961" t="s">
        <v>3372</v>
      </c>
      <c r="AG961" t="s">
        <v>2777</v>
      </c>
      <c r="AH961" t="s">
        <v>12683</v>
      </c>
      <c r="AI961" t="s">
        <v>9194</v>
      </c>
      <c r="AJ961" t="s">
        <v>3551</v>
      </c>
      <c r="AK961" t="s">
        <v>1913</v>
      </c>
      <c r="AL961">
        <v>1.31</v>
      </c>
      <c r="AM961">
        <v>0.55000000000000004</v>
      </c>
      <c r="AN961">
        <v>0.63</v>
      </c>
      <c r="AO961" t="s">
        <v>405</v>
      </c>
      <c r="AP961" t="s">
        <v>9070</v>
      </c>
      <c r="AQ961" t="s">
        <v>2218</v>
      </c>
      <c r="AR961" t="s">
        <v>197</v>
      </c>
      <c r="AS961" t="s">
        <v>636</v>
      </c>
      <c r="AT961" t="s">
        <v>4620</v>
      </c>
      <c r="AU961" t="s">
        <v>7450</v>
      </c>
      <c r="AV961" t="s">
        <v>12655</v>
      </c>
      <c r="AW961" t="s">
        <v>6614</v>
      </c>
      <c r="AX961" t="s">
        <v>2608</v>
      </c>
      <c r="AY961" t="s">
        <v>6614</v>
      </c>
      <c r="AZ961" t="s">
        <v>13773</v>
      </c>
      <c r="BA961">
        <v>3.5</v>
      </c>
      <c r="BB961">
        <v>3593.69</v>
      </c>
      <c r="BC961">
        <v>0.68</v>
      </c>
      <c r="BD961">
        <v>33.56</v>
      </c>
      <c r="BE961">
        <v>34.200000000000003</v>
      </c>
      <c r="BF961">
        <v>33.26</v>
      </c>
      <c r="BG961" t="s">
        <v>13774</v>
      </c>
      <c r="BH961" t="s">
        <v>13775</v>
      </c>
      <c r="BI961" t="s">
        <v>13776</v>
      </c>
      <c r="BJ961" t="s">
        <v>101</v>
      </c>
      <c r="BK961" t="s">
        <v>13777</v>
      </c>
      <c r="BL961" t="s">
        <v>13778</v>
      </c>
      <c r="BM961" t="s">
        <v>2848</v>
      </c>
      <c r="BN961" t="s">
        <v>4063</v>
      </c>
    </row>
    <row r="962" spans="1:66" x14ac:dyDescent="0.25">
      <c r="A962" t="str">
        <f>HYPERLINK("https://elite.finviz.com/quote.ashx?t=DDD&amp;ty=c&amp;p=d&amp;b=1", "DDD")</f>
        <v>DDD</v>
      </c>
      <c r="B962">
        <v>7</v>
      </c>
      <c r="C962">
        <v>138.38</v>
      </c>
      <c r="D962">
        <v>73.55</v>
      </c>
      <c r="E962" t="s">
        <v>13779</v>
      </c>
      <c r="F962" t="s">
        <v>67</v>
      </c>
      <c r="G962" t="s">
        <v>108</v>
      </c>
      <c r="H962" t="s">
        <v>496</v>
      </c>
      <c r="I962" t="s">
        <v>70</v>
      </c>
      <c r="J962" t="s">
        <v>71</v>
      </c>
      <c r="K962">
        <v>373.85</v>
      </c>
      <c r="L962">
        <v>2.91</v>
      </c>
      <c r="M962" t="s">
        <v>2560</v>
      </c>
      <c r="N962">
        <v>1129319</v>
      </c>
      <c r="R962">
        <v>0.9</v>
      </c>
      <c r="S962">
        <v>1.55</v>
      </c>
      <c r="AA962">
        <v>-1.31</v>
      </c>
      <c r="AC962" t="s">
        <v>9740</v>
      </c>
      <c r="AE962" t="s">
        <v>13780</v>
      </c>
      <c r="AF962" t="s">
        <v>8794</v>
      </c>
      <c r="AG962" t="s">
        <v>3164</v>
      </c>
      <c r="AH962" t="s">
        <v>3988</v>
      </c>
      <c r="AI962" t="s">
        <v>7457</v>
      </c>
      <c r="AJ962" t="s">
        <v>164</v>
      </c>
      <c r="AK962" t="s">
        <v>13781</v>
      </c>
      <c r="AL962">
        <v>2.76</v>
      </c>
      <c r="AM962">
        <v>1.82</v>
      </c>
      <c r="AN962">
        <v>0.81</v>
      </c>
      <c r="AO962" t="s">
        <v>13782</v>
      </c>
      <c r="AP962" t="s">
        <v>13783</v>
      </c>
      <c r="AQ962" t="s">
        <v>8392</v>
      </c>
      <c r="AR962" t="s">
        <v>2200</v>
      </c>
      <c r="AS962" t="s">
        <v>3672</v>
      </c>
      <c r="AT962" t="s">
        <v>2623</v>
      </c>
      <c r="AU962" t="s">
        <v>13145</v>
      </c>
      <c r="AV962" t="s">
        <v>3199</v>
      </c>
      <c r="AW962" t="s">
        <v>4317</v>
      </c>
      <c r="AX962" t="s">
        <v>13784</v>
      </c>
      <c r="AY962" t="s">
        <v>13785</v>
      </c>
      <c r="AZ962" t="s">
        <v>13786</v>
      </c>
      <c r="BA962">
        <v>2.5</v>
      </c>
      <c r="BB962">
        <v>3891.87</v>
      </c>
      <c r="BC962">
        <v>1.02</v>
      </c>
      <c r="BD962">
        <v>2.91</v>
      </c>
      <c r="BE962">
        <v>3.04</v>
      </c>
      <c r="BF962">
        <v>2.89</v>
      </c>
      <c r="BG962" t="s">
        <v>13787</v>
      </c>
      <c r="BH962" t="s">
        <v>13788</v>
      </c>
      <c r="BI962" t="s">
        <v>13789</v>
      </c>
      <c r="BJ962" t="s">
        <v>101</v>
      </c>
      <c r="BK962" t="s">
        <v>13790</v>
      </c>
      <c r="BL962" t="s">
        <v>13791</v>
      </c>
      <c r="BM962" t="s">
        <v>13792</v>
      </c>
      <c r="BN962" t="s">
        <v>4063</v>
      </c>
    </row>
    <row r="963" spans="1:66" x14ac:dyDescent="0.25">
      <c r="A963" t="str">
        <f>HYPERLINK("https://elite.finviz.com/quote.ashx?t=XEL&amp;ty=c&amp;p=d&amp;b=1", "XEL")</f>
        <v>XEL</v>
      </c>
      <c r="B963">
        <v>7</v>
      </c>
      <c r="C963">
        <v>138.38</v>
      </c>
      <c r="D963">
        <v>74.03</v>
      </c>
      <c r="E963" t="s">
        <v>13793</v>
      </c>
      <c r="F963" t="s">
        <v>319</v>
      </c>
      <c r="G963" t="s">
        <v>287</v>
      </c>
      <c r="H963" t="s">
        <v>676</v>
      </c>
      <c r="I963" t="s">
        <v>70</v>
      </c>
      <c r="J963" t="s">
        <v>321</v>
      </c>
      <c r="K963">
        <v>46228.83</v>
      </c>
      <c r="L963">
        <v>78.17</v>
      </c>
      <c r="M963" t="s">
        <v>102</v>
      </c>
      <c r="N963">
        <v>1402161</v>
      </c>
      <c r="O963">
        <v>21.68</v>
      </c>
      <c r="P963">
        <v>18.93</v>
      </c>
      <c r="Q963">
        <v>2.5299999999999998</v>
      </c>
      <c r="R963">
        <v>3.31</v>
      </c>
      <c r="S963">
        <v>2.2000000000000002</v>
      </c>
      <c r="T963" t="s">
        <v>307</v>
      </c>
      <c r="U963">
        <v>2.2599999999999998</v>
      </c>
      <c r="V963" t="s">
        <v>3833</v>
      </c>
      <c r="W963" t="s">
        <v>1452</v>
      </c>
      <c r="X963" t="s">
        <v>2776</v>
      </c>
      <c r="Y963" t="s">
        <v>8925</v>
      </c>
      <c r="Z963" t="s">
        <v>6758</v>
      </c>
      <c r="AA963">
        <v>3.6</v>
      </c>
      <c r="AB963" t="s">
        <v>6527</v>
      </c>
      <c r="AC963" t="s">
        <v>2123</v>
      </c>
      <c r="AD963" t="s">
        <v>4815</v>
      </c>
      <c r="AE963" t="s">
        <v>1417</v>
      </c>
      <c r="AF963" t="s">
        <v>4266</v>
      </c>
      <c r="AG963" t="s">
        <v>5779</v>
      </c>
      <c r="AH963" t="s">
        <v>1090</v>
      </c>
      <c r="AI963" t="s">
        <v>3939</v>
      </c>
      <c r="AJ963" t="s">
        <v>164</v>
      </c>
      <c r="AK963" t="s">
        <v>3262</v>
      </c>
      <c r="AL963">
        <v>0.96</v>
      </c>
      <c r="AM963">
        <v>0.85</v>
      </c>
      <c r="AN963">
        <v>1.59</v>
      </c>
      <c r="AO963" t="s">
        <v>6515</v>
      </c>
      <c r="AP963" t="s">
        <v>12687</v>
      </c>
      <c r="AQ963" t="s">
        <v>2269</v>
      </c>
      <c r="AR963" t="s">
        <v>2146</v>
      </c>
      <c r="AS963" t="s">
        <v>3757</v>
      </c>
      <c r="AT963" t="s">
        <v>437</v>
      </c>
      <c r="AU963" t="s">
        <v>6420</v>
      </c>
      <c r="AV963" t="s">
        <v>5282</v>
      </c>
      <c r="AW963" t="s">
        <v>5312</v>
      </c>
      <c r="AX963" t="s">
        <v>3186</v>
      </c>
      <c r="AY963" t="s">
        <v>5312</v>
      </c>
      <c r="AZ963" t="s">
        <v>4311</v>
      </c>
      <c r="BA963">
        <v>1.75</v>
      </c>
      <c r="BB963">
        <v>4050.02</v>
      </c>
      <c r="BC963">
        <v>1.22</v>
      </c>
      <c r="BD963">
        <v>77.25</v>
      </c>
      <c r="BE963">
        <v>78.849999999999994</v>
      </c>
      <c r="BF963">
        <v>76.989999999999995</v>
      </c>
      <c r="BG963" t="s">
        <v>13794</v>
      </c>
      <c r="BH963" t="s">
        <v>5312</v>
      </c>
      <c r="BI963" t="s">
        <v>13795</v>
      </c>
      <c r="BJ963" t="s">
        <v>101</v>
      </c>
      <c r="BK963" t="s">
        <v>11062</v>
      </c>
      <c r="BL963" t="s">
        <v>2905</v>
      </c>
      <c r="BM963" t="s">
        <v>8641</v>
      </c>
      <c r="BN963" t="s">
        <v>4063</v>
      </c>
    </row>
    <row r="964" spans="1:66" x14ac:dyDescent="0.25">
      <c r="A964" t="str">
        <f>HYPERLINK("https://elite.finviz.com/quote.ashx?t=MTSR&amp;ty=c&amp;p=d&amp;b=1", "MTSR")</f>
        <v>MTSR</v>
      </c>
      <c r="B964">
        <v>7</v>
      </c>
      <c r="C964">
        <v>138.38</v>
      </c>
      <c r="D964">
        <v>74.48</v>
      </c>
      <c r="E964" t="s">
        <v>13796</v>
      </c>
      <c r="F964" t="s">
        <v>67</v>
      </c>
      <c r="G964" t="s">
        <v>428</v>
      </c>
      <c r="H964" t="s">
        <v>429</v>
      </c>
      <c r="I964" t="s">
        <v>70</v>
      </c>
      <c r="J964" t="s">
        <v>321</v>
      </c>
      <c r="K964">
        <v>5512.27</v>
      </c>
      <c r="L964">
        <v>52.47</v>
      </c>
      <c r="M964" t="s">
        <v>1547</v>
      </c>
      <c r="N964">
        <v>165804</v>
      </c>
      <c r="S964">
        <v>12.25</v>
      </c>
      <c r="AB964" t="s">
        <v>13797</v>
      </c>
      <c r="AD964" t="s">
        <v>4890</v>
      </c>
      <c r="AI964" t="s">
        <v>2003</v>
      </c>
      <c r="AJ964" t="s">
        <v>5242</v>
      </c>
      <c r="AK964" t="s">
        <v>12428</v>
      </c>
      <c r="AL964">
        <v>5.26</v>
      </c>
      <c r="AM964">
        <v>5.26</v>
      </c>
      <c r="AN964">
        <v>0</v>
      </c>
      <c r="AR964" t="s">
        <v>5592</v>
      </c>
      <c r="AS964" t="s">
        <v>1204</v>
      </c>
      <c r="AT964" t="s">
        <v>8083</v>
      </c>
      <c r="AU964" t="s">
        <v>13798</v>
      </c>
      <c r="AV964" t="s">
        <v>4141</v>
      </c>
      <c r="AW964" t="s">
        <v>9600</v>
      </c>
      <c r="AX964" t="s">
        <v>13799</v>
      </c>
      <c r="AY964" t="s">
        <v>9600</v>
      </c>
      <c r="AZ964" t="s">
        <v>13800</v>
      </c>
      <c r="BA964">
        <v>1.67</v>
      </c>
      <c r="BB964">
        <v>1873.54</v>
      </c>
      <c r="BC964">
        <v>0.31</v>
      </c>
      <c r="BD964">
        <v>52.51</v>
      </c>
      <c r="BE964">
        <v>52.84</v>
      </c>
      <c r="BF964">
        <v>52.31</v>
      </c>
      <c r="BG964" t="s">
        <v>13801</v>
      </c>
      <c r="BH964" t="s">
        <v>9600</v>
      </c>
      <c r="BI964" t="s">
        <v>13800</v>
      </c>
      <c r="BJ964" t="s">
        <v>101</v>
      </c>
      <c r="BK964" t="s">
        <v>13802</v>
      </c>
      <c r="BL964" t="s">
        <v>13803</v>
      </c>
      <c r="BN964" t="s">
        <v>4063</v>
      </c>
    </row>
    <row r="965" spans="1:66" x14ac:dyDescent="0.25">
      <c r="A965" t="str">
        <f>HYPERLINK("https://elite.finviz.com/quote.ashx?t=CRK&amp;ty=c&amp;p=d&amp;b=1", "CRK")</f>
        <v>CRK</v>
      </c>
      <c r="B965">
        <v>7</v>
      </c>
      <c r="C965">
        <v>138.38</v>
      </c>
      <c r="D965">
        <v>74.489999999999995</v>
      </c>
      <c r="E965" t="s">
        <v>13804</v>
      </c>
      <c r="F965" t="s">
        <v>67</v>
      </c>
      <c r="G965" t="s">
        <v>1048</v>
      </c>
      <c r="H965" t="s">
        <v>1049</v>
      </c>
      <c r="I965" t="s">
        <v>70</v>
      </c>
      <c r="J965" t="s">
        <v>71</v>
      </c>
      <c r="K965">
        <v>5805.65</v>
      </c>
      <c r="L965">
        <v>19.809999999999999</v>
      </c>
      <c r="M965" t="s">
        <v>6003</v>
      </c>
      <c r="N965">
        <v>599566</v>
      </c>
      <c r="P965">
        <v>17.7</v>
      </c>
      <c r="R965">
        <v>3.61</v>
      </c>
      <c r="S965">
        <v>2.59</v>
      </c>
      <c r="V965" t="s">
        <v>13805</v>
      </c>
      <c r="AA965">
        <v>-0.26</v>
      </c>
      <c r="AB965" t="s">
        <v>1603</v>
      </c>
      <c r="AE965" t="s">
        <v>3117</v>
      </c>
      <c r="AF965" t="s">
        <v>13806</v>
      </c>
      <c r="AG965" t="s">
        <v>2627</v>
      </c>
      <c r="AH965" t="s">
        <v>13807</v>
      </c>
      <c r="AI965" t="s">
        <v>12132</v>
      </c>
      <c r="AJ965" t="s">
        <v>164</v>
      </c>
      <c r="AK965" t="s">
        <v>5690</v>
      </c>
      <c r="AL965">
        <v>0.36</v>
      </c>
      <c r="AM965">
        <v>0.36</v>
      </c>
      <c r="AN965">
        <v>1.38</v>
      </c>
      <c r="AO965" t="s">
        <v>1423</v>
      </c>
      <c r="AP965" t="s">
        <v>2232</v>
      </c>
      <c r="AQ965" t="s">
        <v>5639</v>
      </c>
      <c r="AR965" t="s">
        <v>1749</v>
      </c>
      <c r="AS965" t="s">
        <v>5672</v>
      </c>
      <c r="AT965" t="s">
        <v>3272</v>
      </c>
      <c r="AU965" t="s">
        <v>536</v>
      </c>
      <c r="AV965" t="s">
        <v>1648</v>
      </c>
      <c r="AW965" t="s">
        <v>7844</v>
      </c>
      <c r="AX965" t="s">
        <v>4871</v>
      </c>
      <c r="AY965" t="s">
        <v>5848</v>
      </c>
      <c r="AZ965" t="s">
        <v>13808</v>
      </c>
      <c r="BA965">
        <v>3.11</v>
      </c>
      <c r="BB965">
        <v>2650.87</v>
      </c>
      <c r="BC965">
        <v>0.8</v>
      </c>
      <c r="BD965">
        <v>19.37</v>
      </c>
      <c r="BE965">
        <v>19.920000000000002</v>
      </c>
      <c r="BF965">
        <v>19.16</v>
      </c>
      <c r="BG965" t="s">
        <v>13809</v>
      </c>
      <c r="BH965" t="s">
        <v>1377</v>
      </c>
      <c r="BI965" t="s">
        <v>13810</v>
      </c>
      <c r="BJ965" t="s">
        <v>101</v>
      </c>
      <c r="BK965" t="s">
        <v>4897</v>
      </c>
      <c r="BL965" t="s">
        <v>2638</v>
      </c>
      <c r="BM965" t="s">
        <v>13811</v>
      </c>
      <c r="BN965" t="s">
        <v>4063</v>
      </c>
    </row>
    <row r="966" spans="1:66" x14ac:dyDescent="0.25">
      <c r="A966" t="str">
        <f>HYPERLINK("https://elite.finviz.com/quote.ashx?t=HAL&amp;ty=c&amp;p=d&amp;b=1", "HAL")</f>
        <v>HAL</v>
      </c>
      <c r="B966">
        <v>7</v>
      </c>
      <c r="C966">
        <v>138.38</v>
      </c>
      <c r="D966">
        <v>74.5</v>
      </c>
      <c r="E966" t="s">
        <v>13812</v>
      </c>
      <c r="F966" t="s">
        <v>195</v>
      </c>
      <c r="G966" t="s">
        <v>1048</v>
      </c>
      <c r="H966" t="s">
        <v>8341</v>
      </c>
      <c r="I966" t="s">
        <v>70</v>
      </c>
      <c r="J966" t="s">
        <v>71</v>
      </c>
      <c r="K966">
        <v>21655.07</v>
      </c>
      <c r="L966">
        <v>25.4</v>
      </c>
      <c r="M966" t="s">
        <v>305</v>
      </c>
      <c r="N966">
        <v>5818276</v>
      </c>
      <c r="O966">
        <v>11.88</v>
      </c>
      <c r="P966">
        <v>12.14</v>
      </c>
      <c r="R966">
        <v>0.97</v>
      </c>
      <c r="S966">
        <v>2.06</v>
      </c>
      <c r="T966" t="s">
        <v>648</v>
      </c>
      <c r="U966">
        <v>0.68</v>
      </c>
      <c r="V966" t="s">
        <v>7315</v>
      </c>
      <c r="W966" t="s">
        <v>229</v>
      </c>
      <c r="X966" t="s">
        <v>13813</v>
      </c>
      <c r="Y966" t="s">
        <v>5789</v>
      </c>
      <c r="Z966" t="s">
        <v>2714</v>
      </c>
      <c r="AA966">
        <v>2.14</v>
      </c>
      <c r="AB966" t="s">
        <v>1814</v>
      </c>
      <c r="AD966" t="s">
        <v>6345</v>
      </c>
      <c r="AE966" t="s">
        <v>4078</v>
      </c>
      <c r="AF966" t="s">
        <v>5699</v>
      </c>
      <c r="AG966" t="s">
        <v>149</v>
      </c>
      <c r="AH966" t="s">
        <v>7380</v>
      </c>
      <c r="AI966" t="s">
        <v>1564</v>
      </c>
      <c r="AJ966" t="s">
        <v>430</v>
      </c>
      <c r="AK966" t="s">
        <v>13814</v>
      </c>
      <c r="AL966">
        <v>2</v>
      </c>
      <c r="AM966">
        <v>1.47</v>
      </c>
      <c r="AN966">
        <v>0.81</v>
      </c>
      <c r="AO966" t="s">
        <v>9149</v>
      </c>
      <c r="AP966" t="s">
        <v>9110</v>
      </c>
      <c r="AQ966" t="s">
        <v>5700</v>
      </c>
      <c r="AR966" t="s">
        <v>2838</v>
      </c>
      <c r="AS966" t="s">
        <v>3542</v>
      </c>
      <c r="AT966" t="s">
        <v>11151</v>
      </c>
      <c r="AU966" t="s">
        <v>4295</v>
      </c>
      <c r="AV966" t="s">
        <v>3455</v>
      </c>
      <c r="AW966" t="s">
        <v>6829</v>
      </c>
      <c r="AX966" t="s">
        <v>3582</v>
      </c>
      <c r="AY966" t="s">
        <v>13815</v>
      </c>
      <c r="AZ966" t="s">
        <v>649</v>
      </c>
      <c r="BA966">
        <v>1.8</v>
      </c>
      <c r="BB966">
        <v>13382.28</v>
      </c>
      <c r="BC966">
        <v>1.53</v>
      </c>
      <c r="BD966">
        <v>24.66</v>
      </c>
      <c r="BE966">
        <v>25.68</v>
      </c>
      <c r="BF966">
        <v>24.82</v>
      </c>
      <c r="BG966" t="s">
        <v>13816</v>
      </c>
      <c r="BH966" t="s">
        <v>8805</v>
      </c>
      <c r="BI966" t="s">
        <v>13817</v>
      </c>
      <c r="BJ966" t="s">
        <v>101</v>
      </c>
      <c r="BK966" t="s">
        <v>2117</v>
      </c>
      <c r="BL966" t="s">
        <v>822</v>
      </c>
      <c r="BM966" t="s">
        <v>9638</v>
      </c>
      <c r="BN966" t="s">
        <v>4063</v>
      </c>
    </row>
    <row r="967" spans="1:66" x14ac:dyDescent="0.25">
      <c r="A967" t="str">
        <f>HYPERLINK("https://elite.finviz.com/quote.ashx?t=AMAT&amp;ty=c&amp;p=d&amp;b=1", "AMAT")</f>
        <v>AMAT</v>
      </c>
      <c r="B967">
        <v>7</v>
      </c>
      <c r="C967">
        <v>138.38</v>
      </c>
      <c r="D967">
        <v>74.819999999999993</v>
      </c>
      <c r="E967" t="s">
        <v>13818</v>
      </c>
      <c r="F967" t="s">
        <v>319</v>
      </c>
      <c r="G967" t="s">
        <v>108</v>
      </c>
      <c r="H967" t="s">
        <v>2097</v>
      </c>
      <c r="I967" t="s">
        <v>70</v>
      </c>
      <c r="J967" t="s">
        <v>321</v>
      </c>
      <c r="K967">
        <v>160093.26999999999</v>
      </c>
      <c r="L967">
        <v>200.96</v>
      </c>
      <c r="M967" t="s">
        <v>5253</v>
      </c>
      <c r="N967">
        <v>1696988</v>
      </c>
      <c r="O967">
        <v>23.96</v>
      </c>
      <c r="P967">
        <v>21.08</v>
      </c>
      <c r="Q967">
        <v>3.29</v>
      </c>
      <c r="R967">
        <v>5.6</v>
      </c>
      <c r="S967">
        <v>8.2100000000000009</v>
      </c>
      <c r="T967" t="s">
        <v>3013</v>
      </c>
      <c r="U967">
        <v>1.72</v>
      </c>
      <c r="V967" t="s">
        <v>13819</v>
      </c>
      <c r="W967" t="s">
        <v>13820</v>
      </c>
      <c r="X967" t="s">
        <v>4272</v>
      </c>
      <c r="Y967" t="s">
        <v>9097</v>
      </c>
      <c r="Z967" t="s">
        <v>1791</v>
      </c>
      <c r="AA967">
        <v>8.39</v>
      </c>
      <c r="AB967" t="s">
        <v>1396</v>
      </c>
      <c r="AC967" t="s">
        <v>8565</v>
      </c>
      <c r="AD967" t="s">
        <v>5319</v>
      </c>
      <c r="AE967" t="s">
        <v>616</v>
      </c>
      <c r="AF967" t="s">
        <v>3983</v>
      </c>
      <c r="AG967" t="s">
        <v>2863</v>
      </c>
      <c r="AH967" t="s">
        <v>10610</v>
      </c>
      <c r="AI967" t="s">
        <v>322</v>
      </c>
      <c r="AJ967" t="s">
        <v>3208</v>
      </c>
      <c r="AK967" t="s">
        <v>12755</v>
      </c>
      <c r="AL967">
        <v>2.5</v>
      </c>
      <c r="AM967">
        <v>1.76</v>
      </c>
      <c r="AN967">
        <v>0.35</v>
      </c>
      <c r="AO967" t="s">
        <v>13821</v>
      </c>
      <c r="AP967" t="s">
        <v>1135</v>
      </c>
      <c r="AQ967" t="s">
        <v>6696</v>
      </c>
      <c r="AR967" t="s">
        <v>5425</v>
      </c>
      <c r="AS967" t="s">
        <v>4600</v>
      </c>
      <c r="AT967" t="s">
        <v>7301</v>
      </c>
      <c r="AU967" t="s">
        <v>2709</v>
      </c>
      <c r="AV967" t="s">
        <v>12736</v>
      </c>
      <c r="AW967" t="s">
        <v>3967</v>
      </c>
      <c r="AX967" t="s">
        <v>4803</v>
      </c>
      <c r="AY967" t="s">
        <v>13822</v>
      </c>
      <c r="AZ967" t="s">
        <v>2679</v>
      </c>
      <c r="BA967">
        <v>1.86</v>
      </c>
      <c r="BB967">
        <v>7650.04</v>
      </c>
      <c r="BC967">
        <v>0.78</v>
      </c>
      <c r="BD967">
        <v>199.6</v>
      </c>
      <c r="BE967">
        <v>201.79</v>
      </c>
      <c r="BF967">
        <v>198</v>
      </c>
      <c r="BG967" t="s">
        <v>13823</v>
      </c>
      <c r="BH967" t="s">
        <v>13824</v>
      </c>
      <c r="BI967" t="s">
        <v>13825</v>
      </c>
      <c r="BJ967" t="s">
        <v>101</v>
      </c>
      <c r="BK967" t="s">
        <v>2403</v>
      </c>
      <c r="BL967" t="s">
        <v>9226</v>
      </c>
      <c r="BM967" t="s">
        <v>5420</v>
      </c>
      <c r="BN967" t="s">
        <v>4063</v>
      </c>
    </row>
    <row r="968" spans="1:66" x14ac:dyDescent="0.25">
      <c r="A968" t="str">
        <f>HYPERLINK("https://elite.finviz.com/quote.ashx?t=NSC&amp;ty=c&amp;p=d&amp;b=1", "NSC")</f>
        <v>NSC</v>
      </c>
      <c r="B968">
        <v>7</v>
      </c>
      <c r="C968">
        <v>138.38</v>
      </c>
      <c r="D968">
        <v>74.819999999999993</v>
      </c>
      <c r="E968" t="s">
        <v>13826</v>
      </c>
      <c r="F968" t="s">
        <v>195</v>
      </c>
      <c r="G968" t="s">
        <v>260</v>
      </c>
      <c r="H968" t="s">
        <v>10167</v>
      </c>
      <c r="I968" t="s">
        <v>70</v>
      </c>
      <c r="J968" t="s">
        <v>71</v>
      </c>
      <c r="K968">
        <v>66473.94</v>
      </c>
      <c r="L968">
        <v>296.29000000000002</v>
      </c>
      <c r="M968" t="s">
        <v>2571</v>
      </c>
      <c r="N968">
        <v>130812</v>
      </c>
      <c r="O968">
        <v>20.02</v>
      </c>
      <c r="P968">
        <v>21.15</v>
      </c>
      <c r="Q968">
        <v>2.25</v>
      </c>
      <c r="R968">
        <v>5.46</v>
      </c>
      <c r="S968">
        <v>4.5</v>
      </c>
      <c r="T968" t="s">
        <v>2424</v>
      </c>
      <c r="U968">
        <v>5.4</v>
      </c>
      <c r="V968" t="s">
        <v>4066</v>
      </c>
      <c r="W968" t="s">
        <v>164</v>
      </c>
      <c r="X968" t="s">
        <v>290</v>
      </c>
      <c r="Y968" t="s">
        <v>712</v>
      </c>
      <c r="Z968" t="s">
        <v>13827</v>
      </c>
      <c r="AA968">
        <v>14.8</v>
      </c>
      <c r="AB968" t="s">
        <v>6257</v>
      </c>
      <c r="AC968" t="s">
        <v>4547</v>
      </c>
      <c r="AD968" t="s">
        <v>4718</v>
      </c>
      <c r="AE968" t="s">
        <v>4865</v>
      </c>
      <c r="AF968" t="s">
        <v>205</v>
      </c>
      <c r="AG968" t="s">
        <v>3019</v>
      </c>
      <c r="AH968" t="s">
        <v>3916</v>
      </c>
      <c r="AI968" t="s">
        <v>2203</v>
      </c>
      <c r="AJ968" t="s">
        <v>164</v>
      </c>
      <c r="AK968" t="s">
        <v>13828</v>
      </c>
      <c r="AL968">
        <v>0.79</v>
      </c>
      <c r="AM968">
        <v>0.71</v>
      </c>
      <c r="AN968">
        <v>1.17</v>
      </c>
      <c r="AO968" t="s">
        <v>13829</v>
      </c>
      <c r="AP968" t="s">
        <v>13829</v>
      </c>
      <c r="AQ968" t="s">
        <v>3846</v>
      </c>
      <c r="AR968" t="s">
        <v>3494</v>
      </c>
      <c r="AS968" t="s">
        <v>2554</v>
      </c>
      <c r="AT968" t="s">
        <v>2293</v>
      </c>
      <c r="AU968" t="s">
        <v>334</v>
      </c>
      <c r="AV968" t="s">
        <v>7055</v>
      </c>
      <c r="AW968" t="s">
        <v>3598</v>
      </c>
      <c r="AX968" t="s">
        <v>13830</v>
      </c>
      <c r="AY968" t="s">
        <v>3598</v>
      </c>
      <c r="AZ968" t="s">
        <v>6034</v>
      </c>
      <c r="BA968">
        <v>2.48</v>
      </c>
      <c r="BB968">
        <v>2260.0700000000002</v>
      </c>
      <c r="BC968">
        <v>0.2</v>
      </c>
      <c r="BD968">
        <v>294.57</v>
      </c>
      <c r="BE968">
        <v>297.82</v>
      </c>
      <c r="BF968">
        <v>293.33</v>
      </c>
      <c r="BG968" t="s">
        <v>13831</v>
      </c>
      <c r="BH968" t="s">
        <v>11369</v>
      </c>
      <c r="BI968" t="s">
        <v>13832</v>
      </c>
      <c r="BJ968" t="s">
        <v>101</v>
      </c>
      <c r="BK968" t="s">
        <v>8400</v>
      </c>
      <c r="BL968" t="s">
        <v>4962</v>
      </c>
      <c r="BM968" t="s">
        <v>8239</v>
      </c>
      <c r="BN968" t="s">
        <v>4063</v>
      </c>
    </row>
    <row r="969" spans="1:66" x14ac:dyDescent="0.25">
      <c r="A969" t="str">
        <f>HYPERLINK("https://elite.finviz.com/quote.ashx?t=MIAX&amp;ty=c&amp;p=d&amp;b=1", "MIAX")</f>
        <v>MIAX</v>
      </c>
      <c r="B969">
        <v>7</v>
      </c>
      <c r="C969">
        <v>138.38</v>
      </c>
      <c r="D969">
        <v>74.849999999999994</v>
      </c>
      <c r="E969" t="s">
        <v>13833</v>
      </c>
      <c r="F969" t="s">
        <v>107</v>
      </c>
      <c r="G969" t="s">
        <v>550</v>
      </c>
      <c r="H969" t="s">
        <v>551</v>
      </c>
      <c r="I969" t="s">
        <v>70</v>
      </c>
      <c r="J969" t="s">
        <v>71</v>
      </c>
      <c r="K969">
        <v>3394.39</v>
      </c>
      <c r="L969">
        <v>41.55</v>
      </c>
      <c r="M969" t="s">
        <v>5388</v>
      </c>
      <c r="N969">
        <v>195159</v>
      </c>
      <c r="O969">
        <v>2846.03</v>
      </c>
      <c r="R969">
        <v>2.7</v>
      </c>
      <c r="S969">
        <v>7.89</v>
      </c>
      <c r="AA969">
        <v>0.01</v>
      </c>
      <c r="AE969" t="s">
        <v>5950</v>
      </c>
      <c r="AF969" t="s">
        <v>10380</v>
      </c>
      <c r="AG969" t="s">
        <v>3397</v>
      </c>
      <c r="AH969" t="s">
        <v>12213</v>
      </c>
      <c r="AJ969" t="s">
        <v>1409</v>
      </c>
      <c r="AK969" t="s">
        <v>797</v>
      </c>
      <c r="AL969">
        <v>1.65</v>
      </c>
      <c r="AM969">
        <v>1.65</v>
      </c>
      <c r="AN969">
        <v>0.24</v>
      </c>
      <c r="AO969" t="s">
        <v>13128</v>
      </c>
      <c r="AP969" t="s">
        <v>2881</v>
      </c>
      <c r="AQ969" t="s">
        <v>3358</v>
      </c>
      <c r="AR969" t="s">
        <v>3496</v>
      </c>
      <c r="AS969" t="s">
        <v>636</v>
      </c>
      <c r="AT969" t="s">
        <v>605</v>
      </c>
      <c r="AU969" t="s">
        <v>3965</v>
      </c>
      <c r="AV969" t="s">
        <v>3965</v>
      </c>
      <c r="AW969" t="s">
        <v>9075</v>
      </c>
      <c r="AX969" t="s">
        <v>13834</v>
      </c>
      <c r="AY969" t="s">
        <v>9075</v>
      </c>
      <c r="AZ969" t="s">
        <v>13834</v>
      </c>
      <c r="BA969">
        <v>1.86</v>
      </c>
      <c r="BB969">
        <v>1558.26</v>
      </c>
      <c r="BC969">
        <v>0.44</v>
      </c>
      <c r="BD969">
        <v>41.95</v>
      </c>
      <c r="BE969">
        <v>42.89</v>
      </c>
      <c r="BF969">
        <v>41.36</v>
      </c>
      <c r="BG969" t="s">
        <v>13835</v>
      </c>
      <c r="BH969" t="s">
        <v>9075</v>
      </c>
      <c r="BI969" t="s">
        <v>13834</v>
      </c>
      <c r="BJ969" t="s">
        <v>101</v>
      </c>
      <c r="BN969" t="s">
        <v>4063</v>
      </c>
    </row>
    <row r="970" spans="1:66" x14ac:dyDescent="0.25">
      <c r="A970" t="str">
        <f>HYPERLINK("https://elite.finviz.com/quote.ashx?t=BTU&amp;ty=c&amp;p=d&amp;b=1", "BTU")</f>
        <v>BTU</v>
      </c>
      <c r="B970">
        <v>7</v>
      </c>
      <c r="C970">
        <v>138.38</v>
      </c>
      <c r="D970">
        <v>74.95</v>
      </c>
      <c r="E970" t="s">
        <v>13836</v>
      </c>
      <c r="F970" t="s">
        <v>67</v>
      </c>
      <c r="G970" t="s">
        <v>1048</v>
      </c>
      <c r="H970" t="s">
        <v>2807</v>
      </c>
      <c r="I970" t="s">
        <v>70</v>
      </c>
      <c r="J970" t="s">
        <v>71</v>
      </c>
      <c r="K970">
        <v>2982.25</v>
      </c>
      <c r="L970">
        <v>24.53</v>
      </c>
      <c r="M970" t="s">
        <v>2745</v>
      </c>
      <c r="N970">
        <v>810216</v>
      </c>
      <c r="O970">
        <v>23.96</v>
      </c>
      <c r="P970">
        <v>11.48</v>
      </c>
      <c r="R970">
        <v>0.74</v>
      </c>
      <c r="S970">
        <v>0.82</v>
      </c>
      <c r="T970" t="s">
        <v>4552</v>
      </c>
      <c r="U970">
        <v>0.3</v>
      </c>
      <c r="V970" t="s">
        <v>2708</v>
      </c>
      <c r="W970" t="s">
        <v>4724</v>
      </c>
      <c r="Y970" t="s">
        <v>13837</v>
      </c>
      <c r="Z970" t="s">
        <v>821</v>
      </c>
      <c r="AA970">
        <v>1.02</v>
      </c>
      <c r="AB970" t="s">
        <v>8889</v>
      </c>
      <c r="AD970" t="s">
        <v>1842</v>
      </c>
      <c r="AE970" t="s">
        <v>4691</v>
      </c>
      <c r="AF970" t="s">
        <v>8276</v>
      </c>
      <c r="AG970" t="s">
        <v>9075</v>
      </c>
      <c r="AH970" t="s">
        <v>3010</v>
      </c>
      <c r="AI970" t="s">
        <v>13838</v>
      </c>
      <c r="AJ970" t="s">
        <v>164</v>
      </c>
      <c r="AK970" t="s">
        <v>13839</v>
      </c>
      <c r="AL970">
        <v>2.21</v>
      </c>
      <c r="AM970">
        <v>1.64</v>
      </c>
      <c r="AN970">
        <v>0.11</v>
      </c>
      <c r="AO970" t="s">
        <v>4742</v>
      </c>
      <c r="AP970" t="s">
        <v>9651</v>
      </c>
      <c r="AQ970" t="s">
        <v>2736</v>
      </c>
      <c r="AR970" t="s">
        <v>8276</v>
      </c>
      <c r="AS970" t="s">
        <v>2429</v>
      </c>
      <c r="AT970" t="s">
        <v>718</v>
      </c>
      <c r="AU970" t="s">
        <v>13840</v>
      </c>
      <c r="AV970" t="s">
        <v>13841</v>
      </c>
      <c r="AW970" t="s">
        <v>10431</v>
      </c>
      <c r="AX970" t="s">
        <v>4015</v>
      </c>
      <c r="AY970" t="s">
        <v>6571</v>
      </c>
      <c r="AZ970" t="s">
        <v>10868</v>
      </c>
      <c r="BA970">
        <v>1.57</v>
      </c>
      <c r="BB970">
        <v>5163.6000000000004</v>
      </c>
      <c r="BC970">
        <v>0.55000000000000004</v>
      </c>
      <c r="BD970">
        <v>24.54</v>
      </c>
      <c r="BE970">
        <v>24.74</v>
      </c>
      <c r="BF970">
        <v>24.22</v>
      </c>
      <c r="BG970" t="s">
        <v>13842</v>
      </c>
      <c r="BH970" t="s">
        <v>13843</v>
      </c>
      <c r="BI970" t="s">
        <v>13844</v>
      </c>
      <c r="BJ970" t="s">
        <v>101</v>
      </c>
      <c r="BK970" t="s">
        <v>13845</v>
      </c>
      <c r="BL970" t="s">
        <v>13846</v>
      </c>
      <c r="BM970" t="s">
        <v>4191</v>
      </c>
      <c r="BN970" t="s">
        <v>4063</v>
      </c>
    </row>
    <row r="971" spans="1:66" x14ac:dyDescent="0.25">
      <c r="A971" t="str">
        <f>HYPERLINK("https://elite.finviz.com/quote.ashx?t=HL&amp;ty=c&amp;p=d&amp;b=1", "HL")</f>
        <v>HL</v>
      </c>
      <c r="B971">
        <v>7</v>
      </c>
      <c r="C971">
        <v>138.38</v>
      </c>
      <c r="D971">
        <v>75</v>
      </c>
      <c r="E971" t="s">
        <v>13847</v>
      </c>
      <c r="F971" t="s">
        <v>67</v>
      </c>
      <c r="G971" t="s">
        <v>355</v>
      </c>
      <c r="H971" t="s">
        <v>1467</v>
      </c>
      <c r="I971" t="s">
        <v>70</v>
      </c>
      <c r="J971" t="s">
        <v>71</v>
      </c>
      <c r="K971">
        <v>7949.35</v>
      </c>
      <c r="L971">
        <v>11.86</v>
      </c>
      <c r="M971" t="s">
        <v>4892</v>
      </c>
      <c r="N971">
        <v>8581931</v>
      </c>
      <c r="O971">
        <v>75.81</v>
      </c>
      <c r="P971">
        <v>24.47</v>
      </c>
      <c r="Q971">
        <v>1.37</v>
      </c>
      <c r="R971">
        <v>7.5</v>
      </c>
      <c r="S971">
        <v>3.41</v>
      </c>
      <c r="T971" t="s">
        <v>2560</v>
      </c>
      <c r="U971">
        <v>0.03</v>
      </c>
      <c r="V971" t="s">
        <v>4186</v>
      </c>
      <c r="W971" t="s">
        <v>10378</v>
      </c>
      <c r="X971" t="s">
        <v>1115</v>
      </c>
      <c r="Y971" t="s">
        <v>7463</v>
      </c>
      <c r="Z971" t="s">
        <v>13848</v>
      </c>
      <c r="AA971">
        <v>0.16</v>
      </c>
      <c r="AB971" t="s">
        <v>6123</v>
      </c>
      <c r="AD971" t="s">
        <v>13849</v>
      </c>
      <c r="AE971" t="s">
        <v>4940</v>
      </c>
      <c r="AF971" t="s">
        <v>1950</v>
      </c>
      <c r="AG971" t="s">
        <v>7935</v>
      </c>
      <c r="AH971" t="s">
        <v>2739</v>
      </c>
      <c r="AI971" t="s">
        <v>5051</v>
      </c>
      <c r="AJ971" t="s">
        <v>164</v>
      </c>
      <c r="AK971" t="s">
        <v>13850</v>
      </c>
      <c r="AL971">
        <v>2.67</v>
      </c>
      <c r="AM971">
        <v>1.99</v>
      </c>
      <c r="AN971">
        <v>0.25</v>
      </c>
      <c r="AO971" t="s">
        <v>9373</v>
      </c>
      <c r="AP971" t="s">
        <v>8258</v>
      </c>
      <c r="AQ971" t="s">
        <v>3147</v>
      </c>
      <c r="AR971" t="s">
        <v>3343</v>
      </c>
      <c r="AS971" t="s">
        <v>4678</v>
      </c>
      <c r="AT971" t="s">
        <v>1359</v>
      </c>
      <c r="AU971" t="s">
        <v>3302</v>
      </c>
      <c r="AV971" t="s">
        <v>8014</v>
      </c>
      <c r="AW971" t="s">
        <v>2003</v>
      </c>
      <c r="AX971" t="s">
        <v>13851</v>
      </c>
      <c r="AY971" t="s">
        <v>2003</v>
      </c>
      <c r="AZ971" t="s">
        <v>13852</v>
      </c>
      <c r="BA971">
        <v>2.11</v>
      </c>
      <c r="BB971">
        <v>25457.48</v>
      </c>
      <c r="BC971">
        <v>1.19</v>
      </c>
      <c r="BD971">
        <v>11.53</v>
      </c>
      <c r="BE971">
        <v>11.96</v>
      </c>
      <c r="BF971">
        <v>11.52</v>
      </c>
      <c r="BG971" t="s">
        <v>13853</v>
      </c>
      <c r="BH971" t="s">
        <v>13854</v>
      </c>
      <c r="BI971" t="s">
        <v>13855</v>
      </c>
      <c r="BJ971" t="s">
        <v>101</v>
      </c>
      <c r="BK971" t="s">
        <v>13856</v>
      </c>
      <c r="BL971" t="s">
        <v>13857</v>
      </c>
      <c r="BM971" t="s">
        <v>13858</v>
      </c>
      <c r="BN971" t="s">
        <v>4063</v>
      </c>
    </row>
    <row r="972" spans="1:66" x14ac:dyDescent="0.25">
      <c r="A972" t="str">
        <f>HYPERLINK("https://elite.finviz.com/quote.ashx?t=MLYS&amp;ty=c&amp;p=d&amp;b=1", "MLYS")</f>
        <v>MLYS</v>
      </c>
      <c r="B972">
        <v>7</v>
      </c>
      <c r="C972">
        <v>138.38</v>
      </c>
      <c r="D972">
        <v>75.87</v>
      </c>
      <c r="E972" t="s">
        <v>13859</v>
      </c>
      <c r="F972" t="s">
        <v>67</v>
      </c>
      <c r="G972" t="s">
        <v>428</v>
      </c>
      <c r="H972" t="s">
        <v>429</v>
      </c>
      <c r="I972" t="s">
        <v>70</v>
      </c>
      <c r="J972" t="s">
        <v>321</v>
      </c>
      <c r="K972">
        <v>3047.54</v>
      </c>
      <c r="L972">
        <v>39.29</v>
      </c>
      <c r="M972" t="s">
        <v>6692</v>
      </c>
      <c r="N972">
        <v>583292</v>
      </c>
      <c r="S972">
        <v>8.24</v>
      </c>
      <c r="AA972">
        <v>-3.57</v>
      </c>
      <c r="AB972" t="s">
        <v>13860</v>
      </c>
      <c r="AC972" t="s">
        <v>13861</v>
      </c>
      <c r="AD972" t="s">
        <v>4697</v>
      </c>
      <c r="AI972" t="s">
        <v>6573</v>
      </c>
      <c r="AJ972" t="s">
        <v>4913</v>
      </c>
      <c r="AK972" t="s">
        <v>11469</v>
      </c>
      <c r="AL972">
        <v>15.12</v>
      </c>
      <c r="AM972">
        <v>15.12</v>
      </c>
      <c r="AN972">
        <v>0</v>
      </c>
      <c r="AR972" t="s">
        <v>2811</v>
      </c>
      <c r="AS972" t="s">
        <v>1889</v>
      </c>
      <c r="AT972" t="s">
        <v>1585</v>
      </c>
      <c r="AU972" t="s">
        <v>13862</v>
      </c>
      <c r="AV972" t="s">
        <v>13863</v>
      </c>
      <c r="AW972" t="s">
        <v>7193</v>
      </c>
      <c r="AX972" t="s">
        <v>13864</v>
      </c>
      <c r="AY972" t="s">
        <v>7193</v>
      </c>
      <c r="AZ972" t="s">
        <v>13865</v>
      </c>
      <c r="BA972">
        <v>1.25</v>
      </c>
      <c r="BB972">
        <v>1460.6</v>
      </c>
      <c r="BC972">
        <v>1.41</v>
      </c>
      <c r="BD972">
        <v>38.51</v>
      </c>
      <c r="BE972">
        <v>39.99</v>
      </c>
      <c r="BF972">
        <v>38.93</v>
      </c>
      <c r="BG972" t="s">
        <v>13866</v>
      </c>
      <c r="BH972" t="s">
        <v>7193</v>
      </c>
      <c r="BI972" t="s">
        <v>13867</v>
      </c>
      <c r="BJ972" t="s">
        <v>101</v>
      </c>
      <c r="BK972" t="s">
        <v>4756</v>
      </c>
      <c r="BL972" t="s">
        <v>13868</v>
      </c>
      <c r="BM972" t="s">
        <v>13869</v>
      </c>
      <c r="BN972" t="s">
        <v>4063</v>
      </c>
    </row>
    <row r="973" spans="1:66" x14ac:dyDescent="0.25">
      <c r="A973" t="str">
        <f>HYPERLINK("https://elite.finviz.com/quote.ashx?t=WMB&amp;ty=c&amp;p=d&amp;b=1", "WMB")</f>
        <v>WMB</v>
      </c>
      <c r="B973">
        <v>7</v>
      </c>
      <c r="C973">
        <v>138.38</v>
      </c>
      <c r="D973">
        <v>75.930000000000007</v>
      </c>
      <c r="E973" t="s">
        <v>13870</v>
      </c>
      <c r="F973" t="s">
        <v>195</v>
      </c>
      <c r="G973" t="s">
        <v>1048</v>
      </c>
      <c r="H973" t="s">
        <v>3915</v>
      </c>
      <c r="I973" t="s">
        <v>70</v>
      </c>
      <c r="J973" t="s">
        <v>71</v>
      </c>
      <c r="K973">
        <v>77959.960000000006</v>
      </c>
      <c r="L973">
        <v>63.84</v>
      </c>
      <c r="M973" t="s">
        <v>7124</v>
      </c>
      <c r="N973">
        <v>1446886</v>
      </c>
      <c r="O973">
        <v>32.21</v>
      </c>
      <c r="P973">
        <v>26.33</v>
      </c>
      <c r="Q973">
        <v>2.6</v>
      </c>
      <c r="R973">
        <v>6.88</v>
      </c>
      <c r="S973">
        <v>6.28</v>
      </c>
      <c r="T973" t="s">
        <v>911</v>
      </c>
      <c r="U973">
        <v>1.98</v>
      </c>
      <c r="V973" t="s">
        <v>2620</v>
      </c>
      <c r="W973" t="s">
        <v>4686</v>
      </c>
      <c r="X973" t="s">
        <v>5620</v>
      </c>
      <c r="Y973" t="s">
        <v>371</v>
      </c>
      <c r="Z973" t="s">
        <v>3201</v>
      </c>
      <c r="AA973">
        <v>1.98</v>
      </c>
      <c r="AB973" t="s">
        <v>4620</v>
      </c>
      <c r="AC973" t="s">
        <v>6968</v>
      </c>
      <c r="AD973" t="s">
        <v>3857</v>
      </c>
      <c r="AE973" t="s">
        <v>326</v>
      </c>
      <c r="AF973" t="s">
        <v>2216</v>
      </c>
      <c r="AG973" t="s">
        <v>4697</v>
      </c>
      <c r="AH973" t="s">
        <v>3857</v>
      </c>
      <c r="AI973" t="s">
        <v>2814</v>
      </c>
      <c r="AJ973" t="s">
        <v>2003</v>
      </c>
      <c r="AK973" t="s">
        <v>13871</v>
      </c>
      <c r="AL973">
        <v>0.54</v>
      </c>
      <c r="AM973">
        <v>0.48</v>
      </c>
      <c r="AN973">
        <v>2.2999999999999998</v>
      </c>
      <c r="AO973" t="s">
        <v>6840</v>
      </c>
      <c r="AP973" t="s">
        <v>3508</v>
      </c>
      <c r="AQ973" t="s">
        <v>13872</v>
      </c>
      <c r="AR973" t="s">
        <v>3842</v>
      </c>
      <c r="AS973" t="s">
        <v>1439</v>
      </c>
      <c r="AT973" t="s">
        <v>438</v>
      </c>
      <c r="AU973" t="s">
        <v>3648</v>
      </c>
      <c r="AV973" t="s">
        <v>1575</v>
      </c>
      <c r="AW973" t="s">
        <v>227</v>
      </c>
      <c r="AX973" t="s">
        <v>6474</v>
      </c>
      <c r="AY973" t="s">
        <v>306</v>
      </c>
      <c r="AZ973" t="s">
        <v>13873</v>
      </c>
      <c r="BA973">
        <v>1.92</v>
      </c>
      <c r="BB973">
        <v>7252</v>
      </c>
      <c r="BC973">
        <v>0.7</v>
      </c>
      <c r="BD973">
        <v>63.31</v>
      </c>
      <c r="BE973">
        <v>64.31</v>
      </c>
      <c r="BF973">
        <v>63.31</v>
      </c>
      <c r="BG973" t="s">
        <v>13874</v>
      </c>
      <c r="BH973" t="s">
        <v>306</v>
      </c>
      <c r="BI973" t="s">
        <v>13875</v>
      </c>
      <c r="BJ973" t="s">
        <v>101</v>
      </c>
      <c r="BK973" t="s">
        <v>5071</v>
      </c>
      <c r="BL973" t="s">
        <v>699</v>
      </c>
      <c r="BM973" t="s">
        <v>10156</v>
      </c>
      <c r="BN973" t="s">
        <v>4063</v>
      </c>
    </row>
    <row r="974" spans="1:66" x14ac:dyDescent="0.25">
      <c r="A974" t="str">
        <f>HYPERLINK("https://elite.finviz.com/quote.ashx?t=SSRM&amp;ty=c&amp;p=d&amp;b=1", "SSRM")</f>
        <v>SSRM</v>
      </c>
      <c r="B974">
        <v>7</v>
      </c>
      <c r="C974">
        <v>138.38</v>
      </c>
      <c r="D974">
        <v>76.180000000000007</v>
      </c>
      <c r="E974" t="s">
        <v>13876</v>
      </c>
      <c r="F974" t="s">
        <v>67</v>
      </c>
      <c r="G974" t="s">
        <v>355</v>
      </c>
      <c r="H974" t="s">
        <v>1103</v>
      </c>
      <c r="I974" t="s">
        <v>70</v>
      </c>
      <c r="J974" t="s">
        <v>321</v>
      </c>
      <c r="K974">
        <v>4838.3500000000004</v>
      </c>
      <c r="L974">
        <v>23.86</v>
      </c>
      <c r="M974" t="s">
        <v>4849</v>
      </c>
      <c r="N974">
        <v>1002635</v>
      </c>
      <c r="O974">
        <v>31.14</v>
      </c>
      <c r="P974">
        <v>9.3699999999999992</v>
      </c>
      <c r="Q974">
        <v>0.28000000000000003</v>
      </c>
      <c r="R974">
        <v>3.71</v>
      </c>
      <c r="S974">
        <v>1.48</v>
      </c>
      <c r="V974" t="s">
        <v>13877</v>
      </c>
      <c r="AA974">
        <v>0.77</v>
      </c>
      <c r="AD974" t="s">
        <v>13878</v>
      </c>
      <c r="AE974" t="s">
        <v>7767</v>
      </c>
      <c r="AF974" t="s">
        <v>13879</v>
      </c>
      <c r="AG974" t="s">
        <v>12553</v>
      </c>
      <c r="AH974" t="s">
        <v>13880</v>
      </c>
      <c r="AI974" t="s">
        <v>13881</v>
      </c>
      <c r="AJ974" t="s">
        <v>164</v>
      </c>
      <c r="AK974" t="s">
        <v>13882</v>
      </c>
      <c r="AL974">
        <v>2.39</v>
      </c>
      <c r="AM974">
        <v>1.2</v>
      </c>
      <c r="AN974">
        <v>0.11</v>
      </c>
      <c r="AO974" t="s">
        <v>8957</v>
      </c>
      <c r="AP974" t="s">
        <v>9225</v>
      </c>
      <c r="AQ974" t="s">
        <v>2712</v>
      </c>
      <c r="AR974" t="s">
        <v>3521</v>
      </c>
      <c r="AS974" t="s">
        <v>5467</v>
      </c>
      <c r="AT974" t="s">
        <v>5460</v>
      </c>
      <c r="AU974" t="s">
        <v>2410</v>
      </c>
      <c r="AV974" t="s">
        <v>13883</v>
      </c>
      <c r="AW974" t="s">
        <v>1409</v>
      </c>
      <c r="AX974" t="s">
        <v>13884</v>
      </c>
      <c r="AY974" t="s">
        <v>1409</v>
      </c>
      <c r="AZ974" t="s">
        <v>13885</v>
      </c>
      <c r="BA974">
        <v>2.7</v>
      </c>
      <c r="BB974">
        <v>3240.39</v>
      </c>
      <c r="BC974">
        <v>1.0900000000000001</v>
      </c>
      <c r="BD974">
        <v>23.74</v>
      </c>
      <c r="BE974">
        <v>24.23</v>
      </c>
      <c r="BF974">
        <v>23.78</v>
      </c>
      <c r="BG974" t="s">
        <v>13886</v>
      </c>
      <c r="BH974" t="s">
        <v>13887</v>
      </c>
      <c r="BI974" t="s">
        <v>13888</v>
      </c>
      <c r="BJ974" t="s">
        <v>101</v>
      </c>
      <c r="BK974" t="s">
        <v>138</v>
      </c>
      <c r="BL974" t="s">
        <v>13889</v>
      </c>
      <c r="BM974" t="s">
        <v>13890</v>
      </c>
      <c r="BN974" t="s">
        <v>4063</v>
      </c>
    </row>
    <row r="975" spans="1:66" x14ac:dyDescent="0.25">
      <c r="A975" t="str">
        <f>HYPERLINK("https://elite.finviz.com/quote.ashx?t=KTOS&amp;ty=c&amp;p=d&amp;b=1", "KTOS")</f>
        <v>KTOS</v>
      </c>
      <c r="B975">
        <v>7</v>
      </c>
      <c r="C975">
        <v>138.38</v>
      </c>
      <c r="D975">
        <v>76.489999999999995</v>
      </c>
      <c r="E975" t="s">
        <v>13891</v>
      </c>
      <c r="F975" t="s">
        <v>67</v>
      </c>
      <c r="G975" t="s">
        <v>260</v>
      </c>
      <c r="H975" t="s">
        <v>4779</v>
      </c>
      <c r="I975" t="s">
        <v>70</v>
      </c>
      <c r="J975" t="s">
        <v>321</v>
      </c>
      <c r="K975">
        <v>14302.81</v>
      </c>
      <c r="L975">
        <v>84.74</v>
      </c>
      <c r="M975" t="s">
        <v>3463</v>
      </c>
      <c r="N975">
        <v>1322284</v>
      </c>
      <c r="O975">
        <v>909.17</v>
      </c>
      <c r="P975">
        <v>111.22</v>
      </c>
      <c r="Q975">
        <v>33.08</v>
      </c>
      <c r="R975">
        <v>11.79</v>
      </c>
      <c r="S975">
        <v>7.29</v>
      </c>
      <c r="Z975" t="s">
        <v>164</v>
      </c>
      <c r="AA975">
        <v>0.09</v>
      </c>
      <c r="AC975" t="s">
        <v>8402</v>
      </c>
      <c r="AD975" t="s">
        <v>3846</v>
      </c>
      <c r="AE975" t="s">
        <v>4114</v>
      </c>
      <c r="AF975" t="s">
        <v>904</v>
      </c>
      <c r="AG975" t="s">
        <v>3230</v>
      </c>
      <c r="AH975" t="s">
        <v>7399</v>
      </c>
      <c r="AI975" t="s">
        <v>3238</v>
      </c>
      <c r="AJ975" t="s">
        <v>703</v>
      </c>
      <c r="AK975" t="s">
        <v>13892</v>
      </c>
      <c r="AL975">
        <v>4.43</v>
      </c>
      <c r="AM975">
        <v>3.88</v>
      </c>
      <c r="AN975">
        <v>0.14000000000000001</v>
      </c>
      <c r="AO975" t="s">
        <v>235</v>
      </c>
      <c r="AP975" t="s">
        <v>2087</v>
      </c>
      <c r="AQ975" t="s">
        <v>1417</v>
      </c>
      <c r="AR975" t="s">
        <v>3855</v>
      </c>
      <c r="AS975" t="s">
        <v>2732</v>
      </c>
      <c r="AT975" t="s">
        <v>1464</v>
      </c>
      <c r="AU975" t="s">
        <v>12489</v>
      </c>
      <c r="AV975" t="s">
        <v>13893</v>
      </c>
      <c r="AW975" t="s">
        <v>2899</v>
      </c>
      <c r="AX975" t="s">
        <v>8092</v>
      </c>
      <c r="AY975" t="s">
        <v>2899</v>
      </c>
      <c r="AZ975" t="s">
        <v>13894</v>
      </c>
      <c r="BA975">
        <v>1.35</v>
      </c>
      <c r="BB975">
        <v>5015.08</v>
      </c>
      <c r="BC975">
        <v>0.93</v>
      </c>
      <c r="BD975">
        <v>84.2</v>
      </c>
      <c r="BE975">
        <v>86.74</v>
      </c>
      <c r="BF975">
        <v>84.46</v>
      </c>
      <c r="BG975" t="s">
        <v>13895</v>
      </c>
      <c r="BH975" t="s">
        <v>13896</v>
      </c>
      <c r="BI975" t="s">
        <v>13897</v>
      </c>
      <c r="BJ975" t="s">
        <v>101</v>
      </c>
      <c r="BK975" t="s">
        <v>13898</v>
      </c>
      <c r="BL975" t="s">
        <v>13899</v>
      </c>
      <c r="BM975" t="s">
        <v>13900</v>
      </c>
      <c r="BN975" t="s">
        <v>4063</v>
      </c>
    </row>
    <row r="976" spans="1:66" x14ac:dyDescent="0.25">
      <c r="A976" t="str">
        <f>HYPERLINK("https://elite.finviz.com/quote.ashx?t=AM&amp;ty=c&amp;p=d&amp;b=1", "AM")</f>
        <v>AM</v>
      </c>
      <c r="B976">
        <v>7</v>
      </c>
      <c r="C976">
        <v>138.38</v>
      </c>
      <c r="D976">
        <v>76.540000000000006</v>
      </c>
      <c r="E976" t="s">
        <v>13901</v>
      </c>
      <c r="F976" t="s">
        <v>107</v>
      </c>
      <c r="G976" t="s">
        <v>1048</v>
      </c>
      <c r="H976" t="s">
        <v>3915</v>
      </c>
      <c r="I976" t="s">
        <v>70</v>
      </c>
      <c r="J976" t="s">
        <v>71</v>
      </c>
      <c r="K976">
        <v>9434.17</v>
      </c>
      <c r="L976">
        <v>19.72</v>
      </c>
      <c r="M976" t="s">
        <v>3493</v>
      </c>
      <c r="N976">
        <v>287980</v>
      </c>
      <c r="O976">
        <v>20.97</v>
      </c>
      <c r="P976">
        <v>17.5</v>
      </c>
      <c r="Q976">
        <v>1.52</v>
      </c>
      <c r="R976">
        <v>7.7</v>
      </c>
      <c r="S976">
        <v>4.5199999999999996</v>
      </c>
      <c r="T976" t="s">
        <v>4052</v>
      </c>
      <c r="U976">
        <v>0.9</v>
      </c>
      <c r="V976" t="s">
        <v>13902</v>
      </c>
      <c r="W976" t="s">
        <v>164</v>
      </c>
      <c r="X976" t="s">
        <v>4646</v>
      </c>
      <c r="Y976" t="s">
        <v>4927</v>
      </c>
      <c r="Z976" t="s">
        <v>13903</v>
      </c>
      <c r="AA976">
        <v>0.94</v>
      </c>
      <c r="AB976" t="s">
        <v>283</v>
      </c>
      <c r="AD976" t="s">
        <v>5743</v>
      </c>
      <c r="AE976" t="s">
        <v>906</v>
      </c>
      <c r="AF976" t="s">
        <v>616</v>
      </c>
      <c r="AG976" t="s">
        <v>2945</v>
      </c>
      <c r="AH976" t="s">
        <v>4593</v>
      </c>
      <c r="AI976" t="s">
        <v>3957</v>
      </c>
      <c r="AJ976" t="s">
        <v>3598</v>
      </c>
      <c r="AK976" t="s">
        <v>13904</v>
      </c>
      <c r="AL976">
        <v>1.03</v>
      </c>
      <c r="AM976">
        <v>1.03</v>
      </c>
      <c r="AN976">
        <v>1.45</v>
      </c>
      <c r="AO976" t="s">
        <v>1036</v>
      </c>
      <c r="AP976" t="s">
        <v>13905</v>
      </c>
      <c r="AQ976" t="s">
        <v>9402</v>
      </c>
      <c r="AR976" t="s">
        <v>3118</v>
      </c>
      <c r="AS976" t="s">
        <v>908</v>
      </c>
      <c r="AT976" t="s">
        <v>8286</v>
      </c>
      <c r="AU976" t="s">
        <v>2887</v>
      </c>
      <c r="AV976" t="s">
        <v>3531</v>
      </c>
      <c r="AW976" t="s">
        <v>1657</v>
      </c>
      <c r="AX976" t="s">
        <v>5038</v>
      </c>
      <c r="AY976" t="s">
        <v>1657</v>
      </c>
      <c r="AZ976" t="s">
        <v>1425</v>
      </c>
      <c r="BA976">
        <v>3.56</v>
      </c>
      <c r="BB976">
        <v>2748.46</v>
      </c>
      <c r="BC976">
        <v>0.37</v>
      </c>
      <c r="BD976">
        <v>19.54</v>
      </c>
      <c r="BE976">
        <v>19.82</v>
      </c>
      <c r="BF976">
        <v>19.59</v>
      </c>
      <c r="BG976" t="s">
        <v>13906</v>
      </c>
      <c r="BH976" t="s">
        <v>13907</v>
      </c>
      <c r="BI976" t="s">
        <v>13908</v>
      </c>
      <c r="BJ976" t="s">
        <v>101</v>
      </c>
      <c r="BK976" t="s">
        <v>6936</v>
      </c>
      <c r="BL976" t="s">
        <v>3491</v>
      </c>
      <c r="BM976" t="s">
        <v>1469</v>
      </c>
      <c r="BN976" t="s">
        <v>4063</v>
      </c>
    </row>
    <row r="977" spans="1:66" x14ac:dyDescent="0.25">
      <c r="A977" t="str">
        <f>HYPERLINK("https://elite.finviz.com/quote.ashx?t=WBD&amp;ty=c&amp;p=d&amp;b=1", "WBD")</f>
        <v>WBD</v>
      </c>
      <c r="B977">
        <v>7</v>
      </c>
      <c r="C977">
        <v>138.38</v>
      </c>
      <c r="D977">
        <v>76.78</v>
      </c>
      <c r="E977" t="s">
        <v>13909</v>
      </c>
      <c r="F977" t="s">
        <v>319</v>
      </c>
      <c r="G977" t="s">
        <v>598</v>
      </c>
      <c r="H977" t="s">
        <v>4247</v>
      </c>
      <c r="I977" t="s">
        <v>70</v>
      </c>
      <c r="J977" t="s">
        <v>321</v>
      </c>
      <c r="K977">
        <v>48611.79</v>
      </c>
      <c r="L977">
        <v>19.64</v>
      </c>
      <c r="M977" t="s">
        <v>9084</v>
      </c>
      <c r="N977">
        <v>10047622</v>
      </c>
      <c r="O977">
        <v>65.02</v>
      </c>
      <c r="Q977">
        <v>1.01</v>
      </c>
      <c r="R977">
        <v>1.27</v>
      </c>
      <c r="S977">
        <v>1.35</v>
      </c>
      <c r="V977" t="s">
        <v>13910</v>
      </c>
      <c r="AA977">
        <v>0.3</v>
      </c>
      <c r="AD977" t="s">
        <v>5516</v>
      </c>
      <c r="AE977" t="s">
        <v>8380</v>
      </c>
      <c r="AF977" t="s">
        <v>9145</v>
      </c>
      <c r="AG977" t="s">
        <v>12004</v>
      </c>
      <c r="AH977" t="s">
        <v>344</v>
      </c>
      <c r="AI977" t="s">
        <v>13911</v>
      </c>
      <c r="AJ977" t="s">
        <v>2203</v>
      </c>
      <c r="AK977" t="s">
        <v>13912</v>
      </c>
      <c r="AL977">
        <v>1.04</v>
      </c>
      <c r="AM977">
        <v>1.04</v>
      </c>
      <c r="AN977">
        <v>0.96</v>
      </c>
      <c r="AO977" t="s">
        <v>4934</v>
      </c>
      <c r="AP977" t="s">
        <v>2624</v>
      </c>
      <c r="AQ977" t="s">
        <v>1439</v>
      </c>
      <c r="AR977" t="s">
        <v>161</v>
      </c>
      <c r="AS977" t="s">
        <v>2232</v>
      </c>
      <c r="AT977" t="s">
        <v>8592</v>
      </c>
      <c r="AU977" t="s">
        <v>9398</v>
      </c>
      <c r="AV977" t="s">
        <v>13425</v>
      </c>
      <c r="AW977" t="s">
        <v>900</v>
      </c>
      <c r="AX977" t="s">
        <v>13913</v>
      </c>
      <c r="AY977" t="s">
        <v>900</v>
      </c>
      <c r="AZ977" t="s">
        <v>13914</v>
      </c>
      <c r="BA977">
        <v>2.19</v>
      </c>
      <c r="BB977">
        <v>70821.86</v>
      </c>
      <c r="BC977">
        <v>0.5</v>
      </c>
      <c r="BD977">
        <v>19.78</v>
      </c>
      <c r="BE977">
        <v>19.940000000000001</v>
      </c>
      <c r="BF977">
        <v>19.34</v>
      </c>
      <c r="BG977" t="s">
        <v>13915</v>
      </c>
      <c r="BH977" t="s">
        <v>13916</v>
      </c>
      <c r="BI977" t="s">
        <v>13917</v>
      </c>
      <c r="BJ977" t="s">
        <v>101</v>
      </c>
      <c r="BK977" t="s">
        <v>13918</v>
      </c>
      <c r="BL977" t="s">
        <v>4574</v>
      </c>
      <c r="BM977" t="s">
        <v>13919</v>
      </c>
      <c r="BN977" t="s">
        <v>4063</v>
      </c>
    </row>
    <row r="978" spans="1:66" x14ac:dyDescent="0.25">
      <c r="A978" t="str">
        <f>HYPERLINK("https://elite.finviz.com/quote.ashx?t=ALXO&amp;ty=c&amp;p=d&amp;b=1", "ALXO")</f>
        <v>ALXO</v>
      </c>
      <c r="B978">
        <v>7</v>
      </c>
      <c r="C978">
        <v>138.38</v>
      </c>
      <c r="D978">
        <v>76.83</v>
      </c>
      <c r="E978" t="s">
        <v>13920</v>
      </c>
      <c r="F978" t="s">
        <v>107</v>
      </c>
      <c r="G978" t="s">
        <v>428</v>
      </c>
      <c r="H978" t="s">
        <v>429</v>
      </c>
      <c r="I978" t="s">
        <v>70</v>
      </c>
      <c r="J978" t="s">
        <v>321</v>
      </c>
      <c r="K978">
        <v>94.25</v>
      </c>
      <c r="L978">
        <v>1.76</v>
      </c>
      <c r="M978" t="s">
        <v>2741</v>
      </c>
      <c r="N978">
        <v>281926</v>
      </c>
      <c r="S978">
        <v>1.46</v>
      </c>
      <c r="AA978">
        <v>-2.2000000000000002</v>
      </c>
      <c r="AB978" t="s">
        <v>6436</v>
      </c>
      <c r="AC978" t="s">
        <v>12024</v>
      </c>
      <c r="AD978" t="s">
        <v>2270</v>
      </c>
      <c r="AI978" t="s">
        <v>13921</v>
      </c>
      <c r="AJ978" t="s">
        <v>1457</v>
      </c>
      <c r="AK978" t="s">
        <v>1948</v>
      </c>
      <c r="AL978">
        <v>4.5199999999999996</v>
      </c>
      <c r="AM978">
        <v>4.5199999999999996</v>
      </c>
      <c r="AN978">
        <v>0.25</v>
      </c>
      <c r="AR978" t="s">
        <v>8697</v>
      </c>
      <c r="AS978" t="s">
        <v>2820</v>
      </c>
      <c r="AT978" t="s">
        <v>13922</v>
      </c>
      <c r="AU978" t="s">
        <v>653</v>
      </c>
      <c r="AV978" t="s">
        <v>3963</v>
      </c>
      <c r="AW978" t="s">
        <v>4210</v>
      </c>
      <c r="AX978" t="s">
        <v>11353</v>
      </c>
      <c r="AY978" t="s">
        <v>10550</v>
      </c>
      <c r="AZ978" t="s">
        <v>13923</v>
      </c>
      <c r="BA978">
        <v>1.5</v>
      </c>
      <c r="BB978">
        <v>1014.46</v>
      </c>
      <c r="BC978">
        <v>0.99</v>
      </c>
      <c r="BD978">
        <v>1.79</v>
      </c>
      <c r="BE978">
        <v>1.83</v>
      </c>
      <c r="BF978">
        <v>1.66</v>
      </c>
      <c r="BG978" t="s">
        <v>13924</v>
      </c>
      <c r="BH978" t="s">
        <v>13925</v>
      </c>
      <c r="BI978" t="s">
        <v>13923</v>
      </c>
      <c r="BJ978" t="s">
        <v>101</v>
      </c>
      <c r="BK978" t="s">
        <v>13926</v>
      </c>
      <c r="BL978" t="s">
        <v>13927</v>
      </c>
      <c r="BM978" t="s">
        <v>3338</v>
      </c>
      <c r="BN978" t="s">
        <v>4063</v>
      </c>
    </row>
    <row r="979" spans="1:66" x14ac:dyDescent="0.25">
      <c r="A979" t="str">
        <f>HYPERLINK("https://elite.finviz.com/quote.ashx?t=BKR&amp;ty=c&amp;p=d&amp;b=1", "BKR")</f>
        <v>BKR</v>
      </c>
      <c r="B979">
        <v>7</v>
      </c>
      <c r="C979">
        <v>138.38</v>
      </c>
      <c r="D979">
        <v>77.33</v>
      </c>
      <c r="E979" t="s">
        <v>13928</v>
      </c>
      <c r="F979" t="s">
        <v>319</v>
      </c>
      <c r="G979" t="s">
        <v>1048</v>
      </c>
      <c r="H979" t="s">
        <v>8341</v>
      </c>
      <c r="I979" t="s">
        <v>70</v>
      </c>
      <c r="J979" t="s">
        <v>321</v>
      </c>
      <c r="K979">
        <v>49927.28</v>
      </c>
      <c r="L979">
        <v>50.64</v>
      </c>
      <c r="M979" t="s">
        <v>344</v>
      </c>
      <c r="N979">
        <v>1246699</v>
      </c>
      <c r="O979">
        <v>16.57</v>
      </c>
      <c r="P979">
        <v>19.16</v>
      </c>
      <c r="Q979">
        <v>1.91</v>
      </c>
      <c r="R979">
        <v>1.81</v>
      </c>
      <c r="S979">
        <v>2.82</v>
      </c>
      <c r="T979" t="s">
        <v>1303</v>
      </c>
      <c r="U979">
        <v>0.9</v>
      </c>
      <c r="V979" t="s">
        <v>6057</v>
      </c>
      <c r="W979" t="s">
        <v>2698</v>
      </c>
      <c r="X979" t="s">
        <v>8966</v>
      </c>
      <c r="Y979" t="s">
        <v>7088</v>
      </c>
      <c r="Z979" t="s">
        <v>13929</v>
      </c>
      <c r="AA979">
        <v>3.06</v>
      </c>
      <c r="AC979" t="s">
        <v>6333</v>
      </c>
      <c r="AD979" t="s">
        <v>2428</v>
      </c>
      <c r="AE979" t="s">
        <v>212</v>
      </c>
      <c r="AF979" t="s">
        <v>5841</v>
      </c>
      <c r="AG979" t="s">
        <v>911</v>
      </c>
      <c r="AH979" t="s">
        <v>11896</v>
      </c>
      <c r="AI979" t="s">
        <v>1455</v>
      </c>
      <c r="AJ979" t="s">
        <v>13930</v>
      </c>
      <c r="AK979" t="s">
        <v>13931</v>
      </c>
      <c r="AL979">
        <v>1.41</v>
      </c>
      <c r="AM979">
        <v>1</v>
      </c>
      <c r="AN979">
        <v>0.34</v>
      </c>
      <c r="AO979" t="s">
        <v>13932</v>
      </c>
      <c r="AP979" t="s">
        <v>2724</v>
      </c>
      <c r="AQ979" t="s">
        <v>1652</v>
      </c>
      <c r="AR979" t="s">
        <v>4976</v>
      </c>
      <c r="AS979" t="s">
        <v>4600</v>
      </c>
      <c r="AT979" t="s">
        <v>2406</v>
      </c>
      <c r="AU979" t="s">
        <v>6206</v>
      </c>
      <c r="AV979" t="s">
        <v>1531</v>
      </c>
      <c r="AW979" t="s">
        <v>2785</v>
      </c>
      <c r="AX979" t="s">
        <v>13933</v>
      </c>
      <c r="AY979" t="s">
        <v>2785</v>
      </c>
      <c r="AZ979" t="s">
        <v>4091</v>
      </c>
      <c r="BA979">
        <v>1.73</v>
      </c>
      <c r="BB979">
        <v>6844.6</v>
      </c>
      <c r="BC979">
        <v>0.64</v>
      </c>
      <c r="BD979">
        <v>50.1</v>
      </c>
      <c r="BE979">
        <v>50.74</v>
      </c>
      <c r="BF979">
        <v>49.83</v>
      </c>
      <c r="BG979" t="s">
        <v>13934</v>
      </c>
      <c r="BH979" t="s">
        <v>2574</v>
      </c>
      <c r="BI979" t="s">
        <v>13935</v>
      </c>
      <c r="BJ979" t="s">
        <v>101</v>
      </c>
      <c r="BK979" t="s">
        <v>13936</v>
      </c>
      <c r="BL979" t="s">
        <v>6814</v>
      </c>
      <c r="BM979" t="s">
        <v>13937</v>
      </c>
      <c r="BN979" t="s">
        <v>4063</v>
      </c>
    </row>
    <row r="980" spans="1:66" x14ac:dyDescent="0.25">
      <c r="A980" t="str">
        <f>HYPERLINK("https://elite.finviz.com/quote.ashx?t=NEM&amp;ty=c&amp;p=d&amp;b=1", "NEM")</f>
        <v>NEM</v>
      </c>
      <c r="B980">
        <v>7</v>
      </c>
      <c r="C980">
        <v>138.38</v>
      </c>
      <c r="D980">
        <v>77.88</v>
      </c>
      <c r="E980" t="s">
        <v>13938</v>
      </c>
      <c r="F980" t="s">
        <v>195</v>
      </c>
      <c r="G980" t="s">
        <v>355</v>
      </c>
      <c r="H980" t="s">
        <v>1103</v>
      </c>
      <c r="I980" t="s">
        <v>70</v>
      </c>
      <c r="J980" t="s">
        <v>71</v>
      </c>
      <c r="K980">
        <v>92879.41</v>
      </c>
      <c r="L980">
        <v>84.56</v>
      </c>
      <c r="M980" t="s">
        <v>3552</v>
      </c>
      <c r="N980">
        <v>2377617</v>
      </c>
      <c r="O980">
        <v>15.18</v>
      </c>
      <c r="P980">
        <v>14.63</v>
      </c>
      <c r="Q980">
        <v>0.79</v>
      </c>
      <c r="R980">
        <v>4.54</v>
      </c>
      <c r="S980">
        <v>2.92</v>
      </c>
      <c r="T980" t="s">
        <v>344</v>
      </c>
      <c r="U980">
        <v>1</v>
      </c>
      <c r="V980" t="s">
        <v>6223</v>
      </c>
      <c r="W980" t="s">
        <v>11041</v>
      </c>
      <c r="X980" t="s">
        <v>5799</v>
      </c>
      <c r="Y980" t="s">
        <v>10393</v>
      </c>
      <c r="Z980" t="s">
        <v>13939</v>
      </c>
      <c r="AA980">
        <v>5.57</v>
      </c>
      <c r="AB980" t="s">
        <v>5754</v>
      </c>
      <c r="AC980" t="s">
        <v>8190</v>
      </c>
      <c r="AD980" t="s">
        <v>6558</v>
      </c>
      <c r="AE980" t="s">
        <v>13940</v>
      </c>
      <c r="AF980" t="s">
        <v>3841</v>
      </c>
      <c r="AG980" t="s">
        <v>5743</v>
      </c>
      <c r="AH980" t="s">
        <v>12927</v>
      </c>
      <c r="AI980" t="s">
        <v>7479</v>
      </c>
      <c r="AJ980" t="s">
        <v>4711</v>
      </c>
      <c r="AK980" t="s">
        <v>9034</v>
      </c>
      <c r="AL980">
        <v>2.23</v>
      </c>
      <c r="AM980">
        <v>1.74</v>
      </c>
      <c r="AN980">
        <v>0.24</v>
      </c>
      <c r="AO980" t="s">
        <v>13941</v>
      </c>
      <c r="AP980" t="s">
        <v>13289</v>
      </c>
      <c r="AQ980" t="s">
        <v>12733</v>
      </c>
      <c r="AR980" t="s">
        <v>6937</v>
      </c>
      <c r="AS980" t="s">
        <v>744</v>
      </c>
      <c r="AT980" t="s">
        <v>7150</v>
      </c>
      <c r="AU980" t="s">
        <v>9194</v>
      </c>
      <c r="AV980" t="s">
        <v>13942</v>
      </c>
      <c r="AW980" t="s">
        <v>10819</v>
      </c>
      <c r="AX980" t="s">
        <v>13943</v>
      </c>
      <c r="AY980" t="s">
        <v>10819</v>
      </c>
      <c r="AZ980" t="s">
        <v>13944</v>
      </c>
      <c r="BA980">
        <v>1.93</v>
      </c>
      <c r="BB980">
        <v>11195.94</v>
      </c>
      <c r="BC980">
        <v>0.75</v>
      </c>
      <c r="BD980">
        <v>83.67</v>
      </c>
      <c r="BE980">
        <v>85</v>
      </c>
      <c r="BF980">
        <v>83.6</v>
      </c>
      <c r="BG980" t="s">
        <v>13945</v>
      </c>
      <c r="BH980" t="s">
        <v>10819</v>
      </c>
      <c r="BI980" t="s">
        <v>13946</v>
      </c>
      <c r="BJ980" t="s">
        <v>101</v>
      </c>
      <c r="BK980" t="s">
        <v>13947</v>
      </c>
      <c r="BL980" t="s">
        <v>13948</v>
      </c>
      <c r="BM980" t="s">
        <v>4843</v>
      </c>
      <c r="BN980" t="s">
        <v>4063</v>
      </c>
    </row>
    <row r="981" spans="1:66" x14ac:dyDescent="0.25">
      <c r="A981" t="str">
        <f>HYPERLINK("https://elite.finviz.com/quote.ashx?t=CDE&amp;ty=c&amp;p=d&amp;b=1", "CDE")</f>
        <v>CDE</v>
      </c>
      <c r="B981">
        <v>7</v>
      </c>
      <c r="C981">
        <v>138.38</v>
      </c>
      <c r="D981">
        <v>78.41</v>
      </c>
      <c r="E981" t="s">
        <v>13949</v>
      </c>
      <c r="F981" t="s">
        <v>67</v>
      </c>
      <c r="G981" t="s">
        <v>355</v>
      </c>
      <c r="H981" t="s">
        <v>1103</v>
      </c>
      <c r="I981" t="s">
        <v>70</v>
      </c>
      <c r="J981" t="s">
        <v>71</v>
      </c>
      <c r="K981">
        <v>11960.94</v>
      </c>
      <c r="L981">
        <v>18.61</v>
      </c>
      <c r="M981" t="s">
        <v>8016</v>
      </c>
      <c r="N981">
        <v>4115702</v>
      </c>
      <c r="O981">
        <v>47.72</v>
      </c>
      <c r="P981">
        <v>20.59</v>
      </c>
      <c r="Q981">
        <v>0.56000000000000005</v>
      </c>
      <c r="R981">
        <v>8.1999999999999993</v>
      </c>
      <c r="S981">
        <v>4.2300000000000004</v>
      </c>
      <c r="Z981" t="s">
        <v>164</v>
      </c>
      <c r="AA981">
        <v>0.39</v>
      </c>
      <c r="AD981" t="s">
        <v>13950</v>
      </c>
      <c r="AE981" t="s">
        <v>13951</v>
      </c>
      <c r="AF981" t="s">
        <v>2250</v>
      </c>
      <c r="AG981" t="s">
        <v>5607</v>
      </c>
      <c r="AH981" t="s">
        <v>13952</v>
      </c>
      <c r="AI981" t="s">
        <v>10577</v>
      </c>
      <c r="AJ981" t="s">
        <v>11445</v>
      </c>
      <c r="AK981" t="s">
        <v>13953</v>
      </c>
      <c r="AL981">
        <v>1.61</v>
      </c>
      <c r="AM981">
        <v>0.6</v>
      </c>
      <c r="AN981">
        <v>0.14000000000000001</v>
      </c>
      <c r="AO981" t="s">
        <v>9301</v>
      </c>
      <c r="AP981" t="s">
        <v>11747</v>
      </c>
      <c r="AQ981" t="s">
        <v>4109</v>
      </c>
      <c r="AR981" t="s">
        <v>1576</v>
      </c>
      <c r="AS981" t="s">
        <v>3887</v>
      </c>
      <c r="AT981" t="s">
        <v>1099</v>
      </c>
      <c r="AU981" t="s">
        <v>659</v>
      </c>
      <c r="AV981" t="s">
        <v>13954</v>
      </c>
      <c r="AW981" t="s">
        <v>8228</v>
      </c>
      <c r="AX981" t="s">
        <v>13955</v>
      </c>
      <c r="AY981" t="s">
        <v>8228</v>
      </c>
      <c r="AZ981" t="s">
        <v>13956</v>
      </c>
      <c r="BA981">
        <v>1.1100000000000001</v>
      </c>
      <c r="BB981">
        <v>13770.47</v>
      </c>
      <c r="BC981">
        <v>1.05</v>
      </c>
      <c r="BD981">
        <v>18.2</v>
      </c>
      <c r="BE981">
        <v>18.77</v>
      </c>
      <c r="BF981">
        <v>18.149999999999999</v>
      </c>
      <c r="BG981" t="s">
        <v>13957</v>
      </c>
      <c r="BH981" t="s">
        <v>13958</v>
      </c>
      <c r="BI981" t="s">
        <v>13959</v>
      </c>
      <c r="BJ981" t="s">
        <v>101</v>
      </c>
      <c r="BK981" t="s">
        <v>13960</v>
      </c>
      <c r="BL981" t="s">
        <v>13961</v>
      </c>
      <c r="BM981" t="s">
        <v>13962</v>
      </c>
      <c r="BN981" t="s">
        <v>4063</v>
      </c>
    </row>
    <row r="982" spans="1:66" x14ac:dyDescent="0.25">
      <c r="A982" t="str">
        <f>HYPERLINK("https://elite.finviz.com/quote.ashx?t=AQB&amp;ty=c&amp;p=d&amp;b=1", "AQB")</f>
        <v>AQB</v>
      </c>
      <c r="B982">
        <v>7</v>
      </c>
      <c r="C982">
        <v>138.38</v>
      </c>
      <c r="D982">
        <v>78.59</v>
      </c>
      <c r="E982" t="s">
        <v>13963</v>
      </c>
      <c r="F982" t="s">
        <v>107</v>
      </c>
      <c r="G982" t="s">
        <v>2244</v>
      </c>
      <c r="H982" t="s">
        <v>5735</v>
      </c>
      <c r="I982" t="s">
        <v>70</v>
      </c>
      <c r="J982" t="s">
        <v>321</v>
      </c>
      <c r="K982">
        <v>7.29</v>
      </c>
      <c r="L982">
        <v>1.88</v>
      </c>
      <c r="M982" t="s">
        <v>1436</v>
      </c>
      <c r="N982">
        <v>201771</v>
      </c>
      <c r="R982">
        <v>5.79</v>
      </c>
      <c r="S982">
        <v>0.54</v>
      </c>
      <c r="AA982">
        <v>-19.05</v>
      </c>
      <c r="AB982" t="s">
        <v>13964</v>
      </c>
      <c r="AC982" t="s">
        <v>8804</v>
      </c>
      <c r="AE982" t="s">
        <v>13965</v>
      </c>
      <c r="AH982" t="s">
        <v>579</v>
      </c>
      <c r="AJ982" t="s">
        <v>164</v>
      </c>
      <c r="AK982" t="s">
        <v>1653</v>
      </c>
      <c r="AL982">
        <v>0.3</v>
      </c>
      <c r="AM982">
        <v>0.3</v>
      </c>
      <c r="AN982">
        <v>0.63</v>
      </c>
      <c r="AO982" t="s">
        <v>13966</v>
      </c>
      <c r="AP982" t="s">
        <v>13967</v>
      </c>
      <c r="AQ982" t="s">
        <v>13968</v>
      </c>
      <c r="AR982" t="s">
        <v>10809</v>
      </c>
      <c r="AS982" t="s">
        <v>8400</v>
      </c>
      <c r="AT982" t="s">
        <v>13969</v>
      </c>
      <c r="AU982" t="s">
        <v>13970</v>
      </c>
      <c r="AV982" t="s">
        <v>13971</v>
      </c>
      <c r="AW982" t="s">
        <v>1768</v>
      </c>
      <c r="AX982" t="s">
        <v>13972</v>
      </c>
      <c r="AY982" t="s">
        <v>1768</v>
      </c>
      <c r="AZ982" t="s">
        <v>13973</v>
      </c>
      <c r="BA982">
        <v>3</v>
      </c>
      <c r="BB982">
        <v>2670.9</v>
      </c>
      <c r="BC982">
        <v>0.27</v>
      </c>
      <c r="BD982">
        <v>1.65</v>
      </c>
      <c r="BE982">
        <v>1.93</v>
      </c>
      <c r="BF982">
        <v>1.65</v>
      </c>
      <c r="BG982" t="s">
        <v>13974</v>
      </c>
      <c r="BH982" t="s">
        <v>13975</v>
      </c>
      <c r="BI982" t="s">
        <v>13976</v>
      </c>
      <c r="BJ982" t="s">
        <v>101</v>
      </c>
      <c r="BK982" t="s">
        <v>13977</v>
      </c>
      <c r="BL982" t="s">
        <v>13978</v>
      </c>
      <c r="BM982" t="s">
        <v>13979</v>
      </c>
      <c r="BN982" t="s">
        <v>4063</v>
      </c>
    </row>
    <row r="983" spans="1:66" x14ac:dyDescent="0.25">
      <c r="A983" t="str">
        <f>HYPERLINK("https://elite.finviz.com/quote.ashx?t=NG&amp;ty=c&amp;p=d&amp;b=1", "NG")</f>
        <v>NG</v>
      </c>
      <c r="B983">
        <v>7</v>
      </c>
      <c r="C983">
        <v>138.38</v>
      </c>
      <c r="D983">
        <v>78.900000000000006</v>
      </c>
      <c r="E983" t="s">
        <v>13980</v>
      </c>
      <c r="F983" t="s">
        <v>67</v>
      </c>
      <c r="G983" t="s">
        <v>355</v>
      </c>
      <c r="H983" t="s">
        <v>1103</v>
      </c>
      <c r="I983" t="s">
        <v>70</v>
      </c>
      <c r="J983" t="s">
        <v>383</v>
      </c>
      <c r="K983">
        <v>3291.82</v>
      </c>
      <c r="L983">
        <v>8.09</v>
      </c>
      <c r="M983" t="s">
        <v>2609</v>
      </c>
      <c r="N983">
        <v>629141</v>
      </c>
      <c r="S983">
        <v>19.57</v>
      </c>
      <c r="AA983">
        <v>-0.25</v>
      </c>
      <c r="AB983" t="s">
        <v>13981</v>
      </c>
      <c r="AC983" t="s">
        <v>13982</v>
      </c>
      <c r="AD983" t="s">
        <v>3524</v>
      </c>
      <c r="AI983" t="s">
        <v>13983</v>
      </c>
      <c r="AJ983" t="s">
        <v>1723</v>
      </c>
      <c r="AK983" t="s">
        <v>13984</v>
      </c>
      <c r="AL983">
        <v>76.72</v>
      </c>
      <c r="AM983">
        <v>76.72</v>
      </c>
      <c r="AN983">
        <v>0.97</v>
      </c>
      <c r="AR983" t="s">
        <v>353</v>
      </c>
      <c r="AS983" t="s">
        <v>8229</v>
      </c>
      <c r="AT983" t="s">
        <v>6202</v>
      </c>
      <c r="AU983" t="s">
        <v>3685</v>
      </c>
      <c r="AV983" t="s">
        <v>13985</v>
      </c>
      <c r="AW983" t="s">
        <v>7464</v>
      </c>
      <c r="AX983" t="s">
        <v>13986</v>
      </c>
      <c r="AY983" t="s">
        <v>7464</v>
      </c>
      <c r="AZ983" t="s">
        <v>13987</v>
      </c>
      <c r="BA983">
        <v>1.5</v>
      </c>
      <c r="BB983">
        <v>3584.05</v>
      </c>
      <c r="BC983">
        <v>0.62</v>
      </c>
      <c r="BD983">
        <v>7.94</v>
      </c>
      <c r="BE983">
        <v>8.15</v>
      </c>
      <c r="BF983">
        <v>7.99</v>
      </c>
      <c r="BG983" t="s">
        <v>13988</v>
      </c>
      <c r="BH983" t="s">
        <v>13989</v>
      </c>
      <c r="BI983" t="s">
        <v>13990</v>
      </c>
      <c r="BJ983" t="s">
        <v>101</v>
      </c>
      <c r="BK983" t="s">
        <v>13991</v>
      </c>
      <c r="BL983" t="s">
        <v>13992</v>
      </c>
      <c r="BM983" t="s">
        <v>13993</v>
      </c>
      <c r="BN983" t="s">
        <v>4063</v>
      </c>
    </row>
    <row r="984" spans="1:66" x14ac:dyDescent="0.25">
      <c r="A984" t="str">
        <f>HYPERLINK("https://elite.finviz.com/quote.ashx?t=ETNB&amp;ty=c&amp;p=d&amp;b=1", "ETNB")</f>
        <v>ETNB</v>
      </c>
      <c r="B984">
        <v>7</v>
      </c>
      <c r="C984">
        <v>138.38</v>
      </c>
      <c r="D984">
        <v>79.52</v>
      </c>
      <c r="E984" t="s">
        <v>13994</v>
      </c>
      <c r="F984" t="s">
        <v>67</v>
      </c>
      <c r="G984" t="s">
        <v>428</v>
      </c>
      <c r="H984" t="s">
        <v>429</v>
      </c>
      <c r="I984" t="s">
        <v>70</v>
      </c>
      <c r="J984" t="s">
        <v>321</v>
      </c>
      <c r="K984">
        <v>2179.2399999999998</v>
      </c>
      <c r="L984">
        <v>14.69</v>
      </c>
      <c r="M984" t="s">
        <v>3227</v>
      </c>
      <c r="N984">
        <v>963948</v>
      </c>
      <c r="S984">
        <v>4.18</v>
      </c>
      <c r="AA984">
        <v>-3.61</v>
      </c>
      <c r="AB984" t="s">
        <v>265</v>
      </c>
      <c r="AC984" t="s">
        <v>13995</v>
      </c>
      <c r="AD984" t="s">
        <v>2338</v>
      </c>
      <c r="AI984" t="s">
        <v>13996</v>
      </c>
      <c r="AJ984" t="s">
        <v>7568</v>
      </c>
      <c r="AK984" t="s">
        <v>13997</v>
      </c>
      <c r="AL984">
        <v>15.19</v>
      </c>
      <c r="AM984">
        <v>15.19</v>
      </c>
      <c r="AN984">
        <v>7.0000000000000007E-2</v>
      </c>
      <c r="AR984" t="s">
        <v>3169</v>
      </c>
      <c r="AS984" t="s">
        <v>4142</v>
      </c>
      <c r="AT984" t="s">
        <v>3603</v>
      </c>
      <c r="AU984" t="s">
        <v>6618</v>
      </c>
      <c r="AV984" t="s">
        <v>13998</v>
      </c>
      <c r="AW984" t="s">
        <v>6162</v>
      </c>
      <c r="AX984" t="s">
        <v>5878</v>
      </c>
      <c r="AY984" t="s">
        <v>6162</v>
      </c>
      <c r="AZ984" t="s">
        <v>13999</v>
      </c>
      <c r="BA984">
        <v>2</v>
      </c>
      <c r="BB984">
        <v>3664.65</v>
      </c>
      <c r="BC984">
        <v>0.93</v>
      </c>
      <c r="BD984">
        <v>14.7</v>
      </c>
      <c r="BE984">
        <v>14.74</v>
      </c>
      <c r="BF984">
        <v>14.69</v>
      </c>
      <c r="BG984" t="s">
        <v>14000</v>
      </c>
      <c r="BH984" t="s">
        <v>14001</v>
      </c>
      <c r="BI984" t="s">
        <v>14002</v>
      </c>
      <c r="BJ984" t="s">
        <v>101</v>
      </c>
      <c r="BK984" t="s">
        <v>1143</v>
      </c>
      <c r="BL984" t="s">
        <v>14003</v>
      </c>
      <c r="BM984" t="s">
        <v>14004</v>
      </c>
      <c r="BN984" t="s">
        <v>4063</v>
      </c>
    </row>
    <row r="985" spans="1:66" x14ac:dyDescent="0.25">
      <c r="A985" t="str">
        <f>HYPERLINK("https://elite.finviz.com/quote.ashx?t=IE&amp;ty=c&amp;p=d&amp;b=1", "IE")</f>
        <v>IE</v>
      </c>
      <c r="B985">
        <v>7</v>
      </c>
      <c r="C985">
        <v>138.38</v>
      </c>
      <c r="D985">
        <v>79.78</v>
      </c>
      <c r="E985" t="s">
        <v>14005</v>
      </c>
      <c r="F985" t="s">
        <v>67</v>
      </c>
      <c r="G985" t="s">
        <v>355</v>
      </c>
      <c r="H985" t="s">
        <v>13606</v>
      </c>
      <c r="I985" t="s">
        <v>70</v>
      </c>
      <c r="J985" t="s">
        <v>383</v>
      </c>
      <c r="K985">
        <v>1569.9</v>
      </c>
      <c r="L985">
        <v>11.82</v>
      </c>
      <c r="M985" t="s">
        <v>1769</v>
      </c>
      <c r="N985">
        <v>508025</v>
      </c>
      <c r="R985">
        <v>412.05</v>
      </c>
      <c r="S985">
        <v>5.35</v>
      </c>
      <c r="AA985">
        <v>-0.64</v>
      </c>
      <c r="AB985" t="s">
        <v>14006</v>
      </c>
      <c r="AC985" t="s">
        <v>14007</v>
      </c>
      <c r="AD985" t="s">
        <v>1887</v>
      </c>
      <c r="AE985" t="s">
        <v>13049</v>
      </c>
      <c r="AF985" t="s">
        <v>6040</v>
      </c>
      <c r="AG985" t="s">
        <v>4215</v>
      </c>
      <c r="AH985" t="s">
        <v>373</v>
      </c>
      <c r="AI985" t="s">
        <v>14008</v>
      </c>
      <c r="AJ985" t="s">
        <v>2263</v>
      </c>
      <c r="AK985" t="s">
        <v>14009</v>
      </c>
      <c r="AL985">
        <v>3.84</v>
      </c>
      <c r="AM985">
        <v>3.84</v>
      </c>
      <c r="AN985">
        <v>0.25</v>
      </c>
      <c r="AO985" t="s">
        <v>14010</v>
      </c>
      <c r="AP985" t="s">
        <v>14011</v>
      </c>
      <c r="AQ985" t="s">
        <v>14012</v>
      </c>
      <c r="AR985" t="s">
        <v>1507</v>
      </c>
      <c r="AS985" t="s">
        <v>1749</v>
      </c>
      <c r="AT985" t="s">
        <v>6063</v>
      </c>
      <c r="AU985" t="s">
        <v>14013</v>
      </c>
      <c r="AV985" t="s">
        <v>14014</v>
      </c>
      <c r="AW985" t="s">
        <v>7746</v>
      </c>
      <c r="AX985" t="s">
        <v>3137</v>
      </c>
      <c r="AY985" t="s">
        <v>7746</v>
      </c>
      <c r="AZ985" t="s">
        <v>14015</v>
      </c>
      <c r="BA985">
        <v>1.1399999999999999</v>
      </c>
      <c r="BB985">
        <v>1404.06</v>
      </c>
      <c r="BC985">
        <v>1.27</v>
      </c>
      <c r="BD985">
        <v>11.47</v>
      </c>
      <c r="BE985">
        <v>11.84</v>
      </c>
      <c r="BF985">
        <v>11.38</v>
      </c>
      <c r="BG985" t="s">
        <v>14016</v>
      </c>
      <c r="BH985" t="s">
        <v>14017</v>
      </c>
      <c r="BI985" t="s">
        <v>14015</v>
      </c>
      <c r="BJ985" t="s">
        <v>101</v>
      </c>
      <c r="BK985" t="s">
        <v>5238</v>
      </c>
      <c r="BL985" t="s">
        <v>14018</v>
      </c>
      <c r="BM985" t="s">
        <v>7130</v>
      </c>
      <c r="BN985" t="s">
        <v>4063</v>
      </c>
    </row>
    <row r="986" spans="1:66" x14ac:dyDescent="0.25">
      <c r="A986" t="str">
        <f>HYPERLINK("https://elite.finviz.com/quote.ashx?t=WTTR&amp;ty=c&amp;p=d&amp;b=1", "WTTR")</f>
        <v>WTTR</v>
      </c>
      <c r="B986">
        <v>7</v>
      </c>
      <c r="C986">
        <v>138.38</v>
      </c>
      <c r="D986">
        <v>80.209999999999994</v>
      </c>
      <c r="E986" t="s">
        <v>14019</v>
      </c>
      <c r="F986" t="s">
        <v>67</v>
      </c>
      <c r="G986" t="s">
        <v>1048</v>
      </c>
      <c r="H986" t="s">
        <v>8341</v>
      </c>
      <c r="I986" t="s">
        <v>70</v>
      </c>
      <c r="J986" t="s">
        <v>71</v>
      </c>
      <c r="K986">
        <v>1338.77</v>
      </c>
      <c r="L986">
        <v>11.04</v>
      </c>
      <c r="M986" t="s">
        <v>2892</v>
      </c>
      <c r="N986">
        <v>224995</v>
      </c>
      <c r="O986">
        <v>34.28</v>
      </c>
      <c r="P986">
        <v>25.89</v>
      </c>
      <c r="Q986">
        <v>1.26</v>
      </c>
      <c r="R986">
        <v>0.92</v>
      </c>
      <c r="S986">
        <v>1.44</v>
      </c>
      <c r="T986" t="s">
        <v>387</v>
      </c>
      <c r="U986">
        <v>0.28000000000000003</v>
      </c>
      <c r="V986" t="s">
        <v>6057</v>
      </c>
      <c r="W986" t="s">
        <v>10711</v>
      </c>
      <c r="Z986" t="s">
        <v>14020</v>
      </c>
      <c r="AA986">
        <v>0.32</v>
      </c>
      <c r="AC986" t="s">
        <v>14021</v>
      </c>
      <c r="AD986" t="s">
        <v>877</v>
      </c>
      <c r="AE986" t="s">
        <v>6002</v>
      </c>
      <c r="AF986" t="s">
        <v>13137</v>
      </c>
      <c r="AG986" t="s">
        <v>4600</v>
      </c>
      <c r="AH986" t="s">
        <v>4538</v>
      </c>
      <c r="AI986" t="s">
        <v>3057</v>
      </c>
      <c r="AJ986" t="s">
        <v>164</v>
      </c>
      <c r="AK986" t="s">
        <v>5744</v>
      </c>
      <c r="AL986">
        <v>2.0099999999999998</v>
      </c>
      <c r="AM986">
        <v>1.82</v>
      </c>
      <c r="AN986">
        <v>0.39</v>
      </c>
      <c r="AO986" t="s">
        <v>4941</v>
      </c>
      <c r="AP986" t="s">
        <v>4104</v>
      </c>
      <c r="AQ986" t="s">
        <v>1599</v>
      </c>
      <c r="AR986" t="s">
        <v>2170</v>
      </c>
      <c r="AS986" t="s">
        <v>4142</v>
      </c>
      <c r="AT986" t="s">
        <v>1844</v>
      </c>
      <c r="AU986" t="s">
        <v>3453</v>
      </c>
      <c r="AV986" t="s">
        <v>1889</v>
      </c>
      <c r="AW986" t="s">
        <v>1837</v>
      </c>
      <c r="AX986" t="s">
        <v>14022</v>
      </c>
      <c r="AY986" t="s">
        <v>14023</v>
      </c>
      <c r="AZ986" t="s">
        <v>9293</v>
      </c>
      <c r="BA986">
        <v>1</v>
      </c>
      <c r="BB986">
        <v>1162.6199999999999</v>
      </c>
      <c r="BC986">
        <v>0.68</v>
      </c>
      <c r="BD986">
        <v>10.73</v>
      </c>
      <c r="BE986">
        <v>11.12</v>
      </c>
      <c r="BF986">
        <v>10.75</v>
      </c>
      <c r="BG986" t="s">
        <v>14024</v>
      </c>
      <c r="BH986" t="s">
        <v>14025</v>
      </c>
      <c r="BI986" t="s">
        <v>14026</v>
      </c>
      <c r="BJ986" t="s">
        <v>101</v>
      </c>
      <c r="BK986" t="s">
        <v>3750</v>
      </c>
      <c r="BL986" t="s">
        <v>2317</v>
      </c>
      <c r="BM986" t="s">
        <v>2969</v>
      </c>
      <c r="BN986" t="s">
        <v>4063</v>
      </c>
    </row>
    <row r="987" spans="1:66" x14ac:dyDescent="0.25">
      <c r="A987" t="str">
        <f>HYPERLINK("https://elite.finviz.com/quote.ashx?t=LAUR&amp;ty=c&amp;p=d&amp;b=1", "LAUR")</f>
        <v>LAUR</v>
      </c>
      <c r="B987">
        <v>7</v>
      </c>
      <c r="C987">
        <v>138.38</v>
      </c>
      <c r="D987">
        <v>80.89</v>
      </c>
      <c r="E987" t="s">
        <v>14027</v>
      </c>
      <c r="F987" t="s">
        <v>67</v>
      </c>
      <c r="G987" t="s">
        <v>2244</v>
      </c>
      <c r="H987" t="s">
        <v>2483</v>
      </c>
      <c r="I987" t="s">
        <v>70</v>
      </c>
      <c r="J987" t="s">
        <v>321</v>
      </c>
      <c r="K987">
        <v>4557.9399999999996</v>
      </c>
      <c r="L987">
        <v>30.93</v>
      </c>
      <c r="M987" t="s">
        <v>4689</v>
      </c>
      <c r="N987">
        <v>492695</v>
      </c>
      <c r="O987">
        <v>18.239999999999998</v>
      </c>
      <c r="P987">
        <v>15.72</v>
      </c>
      <c r="Q987">
        <v>1.03</v>
      </c>
      <c r="R987">
        <v>2.94</v>
      </c>
      <c r="S987">
        <v>4.33</v>
      </c>
      <c r="T987" t="s">
        <v>2742</v>
      </c>
      <c r="V987" t="s">
        <v>14028</v>
      </c>
      <c r="Z987" t="s">
        <v>164</v>
      </c>
      <c r="AA987">
        <v>1.7</v>
      </c>
      <c r="AC987" t="s">
        <v>1185</v>
      </c>
      <c r="AD987" t="s">
        <v>535</v>
      </c>
      <c r="AE987" t="s">
        <v>3112</v>
      </c>
      <c r="AF987" t="s">
        <v>1925</v>
      </c>
      <c r="AG987" t="s">
        <v>8966</v>
      </c>
      <c r="AH987" t="s">
        <v>275</v>
      </c>
      <c r="AI987" t="s">
        <v>684</v>
      </c>
      <c r="AJ987" t="s">
        <v>3598</v>
      </c>
      <c r="AK987" t="s">
        <v>14029</v>
      </c>
      <c r="AL987">
        <v>0.75</v>
      </c>
      <c r="AM987">
        <v>0.75</v>
      </c>
      <c r="AN987">
        <v>0.43</v>
      </c>
      <c r="AO987" t="s">
        <v>7092</v>
      </c>
      <c r="AP987" t="s">
        <v>5998</v>
      </c>
      <c r="AQ987" t="s">
        <v>11856</v>
      </c>
      <c r="AR987" t="s">
        <v>1439</v>
      </c>
      <c r="AS987" t="s">
        <v>633</v>
      </c>
      <c r="AT987" t="s">
        <v>2839</v>
      </c>
      <c r="AU987" t="s">
        <v>5119</v>
      </c>
      <c r="AV987" t="s">
        <v>14030</v>
      </c>
      <c r="AW987" t="s">
        <v>7346</v>
      </c>
      <c r="AX987" t="s">
        <v>14031</v>
      </c>
      <c r="AY987" t="s">
        <v>7346</v>
      </c>
      <c r="AZ987" t="s">
        <v>14032</v>
      </c>
      <c r="BA987">
        <v>1.4</v>
      </c>
      <c r="BB987">
        <v>1078.57</v>
      </c>
      <c r="BC987">
        <v>1.61</v>
      </c>
      <c r="BD987">
        <v>30.62</v>
      </c>
      <c r="BE987">
        <v>31.2</v>
      </c>
      <c r="BF987">
        <v>30.6</v>
      </c>
      <c r="BG987" t="s">
        <v>14033</v>
      </c>
      <c r="BH987" t="s">
        <v>7346</v>
      </c>
      <c r="BI987" t="s">
        <v>14034</v>
      </c>
      <c r="BJ987" t="s">
        <v>101</v>
      </c>
      <c r="BK987" t="s">
        <v>725</v>
      </c>
      <c r="BL987" t="s">
        <v>14035</v>
      </c>
      <c r="BM987" t="s">
        <v>14036</v>
      </c>
      <c r="BN987" t="s">
        <v>4063</v>
      </c>
    </row>
    <row r="988" spans="1:66" x14ac:dyDescent="0.25">
      <c r="A988" t="str">
        <f>HYPERLINK("https://elite.finviz.com/quote.ashx?t=PHLT&amp;ty=c&amp;p=d&amp;b=1", "PHLT")</f>
        <v>PHLT</v>
      </c>
      <c r="B988">
        <v>7</v>
      </c>
      <c r="C988">
        <v>138.38</v>
      </c>
      <c r="D988">
        <v>81.13</v>
      </c>
      <c r="E988" t="s">
        <v>14037</v>
      </c>
      <c r="F988" t="s">
        <v>67</v>
      </c>
      <c r="G988" t="s">
        <v>428</v>
      </c>
      <c r="H988" t="s">
        <v>2075</v>
      </c>
      <c r="I988" t="s">
        <v>70</v>
      </c>
      <c r="J988" t="s">
        <v>321</v>
      </c>
      <c r="K988">
        <v>621</v>
      </c>
      <c r="L988">
        <v>7.72</v>
      </c>
      <c r="M988" t="s">
        <v>4494</v>
      </c>
      <c r="N988">
        <v>107788</v>
      </c>
      <c r="P988">
        <v>60.95</v>
      </c>
      <c r="R988">
        <v>4.5199999999999996</v>
      </c>
      <c r="S988">
        <v>7.42</v>
      </c>
      <c r="AA988">
        <v>-0.01</v>
      </c>
      <c r="AB988" t="s">
        <v>3076</v>
      </c>
      <c r="AC988" t="s">
        <v>14038</v>
      </c>
      <c r="AE988" t="s">
        <v>11141</v>
      </c>
      <c r="AF988" t="s">
        <v>1564</v>
      </c>
      <c r="AG988" t="s">
        <v>944</v>
      </c>
      <c r="AH988" t="s">
        <v>7633</v>
      </c>
      <c r="AI988" t="s">
        <v>8070</v>
      </c>
      <c r="AJ988" t="s">
        <v>4688</v>
      </c>
      <c r="AK988" t="s">
        <v>4486</v>
      </c>
      <c r="AL988">
        <v>2.64</v>
      </c>
      <c r="AM988">
        <v>2.64</v>
      </c>
      <c r="AN988">
        <v>0.11</v>
      </c>
      <c r="AO988" t="s">
        <v>3598</v>
      </c>
      <c r="AP988" t="s">
        <v>3598</v>
      </c>
      <c r="AQ988" t="s">
        <v>4963</v>
      </c>
      <c r="AR988" t="s">
        <v>2646</v>
      </c>
      <c r="AS988" t="s">
        <v>2290</v>
      </c>
      <c r="AT988" t="s">
        <v>4840</v>
      </c>
      <c r="AU988" t="s">
        <v>8928</v>
      </c>
      <c r="AV988" t="s">
        <v>14039</v>
      </c>
      <c r="AW988" t="s">
        <v>2402</v>
      </c>
      <c r="AX988" t="s">
        <v>14040</v>
      </c>
      <c r="AY988" t="s">
        <v>2402</v>
      </c>
      <c r="AZ988" t="s">
        <v>14041</v>
      </c>
      <c r="BA988">
        <v>3</v>
      </c>
      <c r="BB988">
        <v>1220.3900000000001</v>
      </c>
      <c r="BC988">
        <v>0.31</v>
      </c>
      <c r="BD988">
        <v>7.71</v>
      </c>
      <c r="BE988">
        <v>7.74</v>
      </c>
      <c r="BF988">
        <v>7.72</v>
      </c>
      <c r="BG988" t="s">
        <v>14042</v>
      </c>
      <c r="BH988" t="s">
        <v>14043</v>
      </c>
      <c r="BI988" t="s">
        <v>14044</v>
      </c>
      <c r="BJ988" t="s">
        <v>101</v>
      </c>
      <c r="BK988" t="s">
        <v>14045</v>
      </c>
      <c r="BL988" t="s">
        <v>14046</v>
      </c>
      <c r="BM988" t="s">
        <v>14047</v>
      </c>
      <c r="BN988" t="s">
        <v>4063</v>
      </c>
    </row>
    <row r="989" spans="1:66" x14ac:dyDescent="0.25">
      <c r="A989" t="str">
        <f>HYPERLINK("https://elite.finviz.com/quote.ashx?t=APP&amp;ty=c&amp;p=d&amp;b=1", "APP")</f>
        <v>APP</v>
      </c>
      <c r="B989">
        <v>7</v>
      </c>
      <c r="C989">
        <v>138.38</v>
      </c>
      <c r="D989">
        <v>81.37</v>
      </c>
      <c r="E989" t="s">
        <v>14048</v>
      </c>
      <c r="F989" t="s">
        <v>319</v>
      </c>
      <c r="G989" t="s">
        <v>598</v>
      </c>
      <c r="H989" t="s">
        <v>1020</v>
      </c>
      <c r="I989" t="s">
        <v>70</v>
      </c>
      <c r="J989" t="s">
        <v>321</v>
      </c>
      <c r="K989">
        <v>223150.23</v>
      </c>
      <c r="L989">
        <v>659.72</v>
      </c>
      <c r="M989" t="s">
        <v>1932</v>
      </c>
      <c r="N989">
        <v>2319701</v>
      </c>
      <c r="O989">
        <v>98.01</v>
      </c>
      <c r="P989">
        <v>47.1</v>
      </c>
      <c r="Q989">
        <v>1.73</v>
      </c>
      <c r="R989">
        <v>41.99</v>
      </c>
      <c r="S989">
        <v>191.5</v>
      </c>
      <c r="Z989" t="s">
        <v>164</v>
      </c>
      <c r="AA989">
        <v>6.73</v>
      </c>
      <c r="AB989" t="s">
        <v>14049</v>
      </c>
      <c r="AC989" t="s">
        <v>13057</v>
      </c>
      <c r="AD989" t="s">
        <v>8873</v>
      </c>
      <c r="AE989" t="s">
        <v>1311</v>
      </c>
      <c r="AF989" t="s">
        <v>14050</v>
      </c>
      <c r="AG989" t="s">
        <v>14051</v>
      </c>
      <c r="AH989" t="s">
        <v>949</v>
      </c>
      <c r="AI989" t="s">
        <v>1130</v>
      </c>
      <c r="AJ989" t="s">
        <v>133</v>
      </c>
      <c r="AK989" t="s">
        <v>14052</v>
      </c>
      <c r="AL989">
        <v>2.74</v>
      </c>
      <c r="AM989">
        <v>2.74</v>
      </c>
      <c r="AN989">
        <v>3.01</v>
      </c>
      <c r="AO989" t="s">
        <v>14053</v>
      </c>
      <c r="AP989" t="s">
        <v>9015</v>
      </c>
      <c r="AQ989" t="s">
        <v>12101</v>
      </c>
      <c r="AR989" t="s">
        <v>4530</v>
      </c>
      <c r="AS989" t="s">
        <v>3433</v>
      </c>
      <c r="AT989" t="s">
        <v>1360</v>
      </c>
      <c r="AU989" t="s">
        <v>11241</v>
      </c>
      <c r="AV989" t="s">
        <v>3935</v>
      </c>
      <c r="AW989" t="s">
        <v>5070</v>
      </c>
      <c r="AX989" t="s">
        <v>14054</v>
      </c>
      <c r="AY989" t="s">
        <v>5070</v>
      </c>
      <c r="AZ989" t="s">
        <v>14055</v>
      </c>
      <c r="BA989">
        <v>1.66</v>
      </c>
      <c r="BB989">
        <v>7234.3</v>
      </c>
      <c r="BC989">
        <v>1.1299999999999999</v>
      </c>
      <c r="BD989">
        <v>639.91</v>
      </c>
      <c r="BE989">
        <v>664.16</v>
      </c>
      <c r="BF989">
        <v>646.52</v>
      </c>
      <c r="BG989" t="s">
        <v>14056</v>
      </c>
      <c r="BH989" t="s">
        <v>5070</v>
      </c>
      <c r="BI989" t="s">
        <v>14057</v>
      </c>
      <c r="BJ989" t="s">
        <v>101</v>
      </c>
      <c r="BK989" t="s">
        <v>13239</v>
      </c>
      <c r="BL989" t="s">
        <v>14058</v>
      </c>
      <c r="BM989" t="s">
        <v>14059</v>
      </c>
      <c r="BN989" t="s">
        <v>4063</v>
      </c>
    </row>
    <row r="990" spans="1:66" x14ac:dyDescent="0.25">
      <c r="A990" t="str">
        <f>HYPERLINK("https://elite.finviz.com/quote.ashx?t=TYGO&amp;ty=c&amp;p=d&amp;b=1", "TYGO")</f>
        <v>TYGO</v>
      </c>
      <c r="B990">
        <v>7</v>
      </c>
      <c r="C990">
        <v>138.38</v>
      </c>
      <c r="D990">
        <v>81.819999999999993</v>
      </c>
      <c r="E990" t="s">
        <v>14060</v>
      </c>
      <c r="F990" t="s">
        <v>107</v>
      </c>
      <c r="G990" t="s">
        <v>108</v>
      </c>
      <c r="H990" t="s">
        <v>2924</v>
      </c>
      <c r="I990" t="s">
        <v>70</v>
      </c>
      <c r="J990" t="s">
        <v>321</v>
      </c>
      <c r="K990">
        <v>159.1</v>
      </c>
      <c r="L990">
        <v>2.42</v>
      </c>
      <c r="M990" t="s">
        <v>8634</v>
      </c>
      <c r="N990">
        <v>203609</v>
      </c>
      <c r="R990">
        <v>2.14</v>
      </c>
      <c r="S990">
        <v>89.56</v>
      </c>
      <c r="AA990">
        <v>-0.84</v>
      </c>
      <c r="AB990" t="s">
        <v>14061</v>
      </c>
      <c r="AC990" t="s">
        <v>14062</v>
      </c>
      <c r="AD990" t="s">
        <v>14063</v>
      </c>
      <c r="AE990" t="s">
        <v>8909</v>
      </c>
      <c r="AH990" t="s">
        <v>689</v>
      </c>
      <c r="AI990" t="s">
        <v>14064</v>
      </c>
      <c r="AJ990" t="s">
        <v>164</v>
      </c>
      <c r="AK990" t="s">
        <v>7297</v>
      </c>
      <c r="AL990">
        <v>0.89</v>
      </c>
      <c r="AM990">
        <v>0.61</v>
      </c>
      <c r="AN990">
        <v>28.33</v>
      </c>
      <c r="AO990" t="s">
        <v>4193</v>
      </c>
      <c r="AP990" t="s">
        <v>14065</v>
      </c>
      <c r="AQ990" t="s">
        <v>14066</v>
      </c>
      <c r="AR990" t="s">
        <v>8059</v>
      </c>
      <c r="AS990" t="s">
        <v>5460</v>
      </c>
      <c r="AT990" t="s">
        <v>14067</v>
      </c>
      <c r="AU990" t="s">
        <v>12069</v>
      </c>
      <c r="AV990" t="s">
        <v>14068</v>
      </c>
      <c r="AW990" t="s">
        <v>5444</v>
      </c>
      <c r="AX990" t="s">
        <v>14069</v>
      </c>
      <c r="AY990" t="s">
        <v>5444</v>
      </c>
      <c r="AZ990" t="s">
        <v>14070</v>
      </c>
      <c r="BA990">
        <v>1</v>
      </c>
      <c r="BB990">
        <v>1078.43</v>
      </c>
      <c r="BC990">
        <v>0.67</v>
      </c>
      <c r="BD990">
        <v>2.44</v>
      </c>
      <c r="BE990">
        <v>2.54</v>
      </c>
      <c r="BF990">
        <v>2.41</v>
      </c>
      <c r="BG990" t="s">
        <v>14071</v>
      </c>
      <c r="BH990" t="s">
        <v>14072</v>
      </c>
      <c r="BI990" t="s">
        <v>14070</v>
      </c>
      <c r="BJ990" t="s">
        <v>101</v>
      </c>
      <c r="BK990" t="s">
        <v>14073</v>
      </c>
      <c r="BL990" t="s">
        <v>1703</v>
      </c>
      <c r="BM990" t="s">
        <v>14074</v>
      </c>
      <c r="BN990" t="s">
        <v>4063</v>
      </c>
    </row>
    <row r="991" spans="1:66" x14ac:dyDescent="0.25">
      <c r="A991" t="str">
        <f>HYPERLINK("https://elite.finviz.com/quote.ashx?t=PL&amp;ty=c&amp;p=d&amp;b=1", "PL")</f>
        <v>PL</v>
      </c>
      <c r="B991">
        <v>7</v>
      </c>
      <c r="C991">
        <v>138.38</v>
      </c>
      <c r="D991">
        <v>82.32</v>
      </c>
      <c r="E991" t="s">
        <v>14075</v>
      </c>
      <c r="F991" t="s">
        <v>67</v>
      </c>
      <c r="G991" t="s">
        <v>260</v>
      </c>
      <c r="H991" t="s">
        <v>4779</v>
      </c>
      <c r="I991" t="s">
        <v>70</v>
      </c>
      <c r="J991" t="s">
        <v>71</v>
      </c>
      <c r="K991">
        <v>3753.24</v>
      </c>
      <c r="L991">
        <v>12.19</v>
      </c>
      <c r="M991" t="s">
        <v>909</v>
      </c>
      <c r="N991">
        <v>3360009</v>
      </c>
      <c r="R991">
        <v>14.3</v>
      </c>
      <c r="S991">
        <v>8.61</v>
      </c>
      <c r="AA991">
        <v>-0.3</v>
      </c>
      <c r="AB991" t="s">
        <v>8276</v>
      </c>
      <c r="AC991" t="s">
        <v>956</v>
      </c>
      <c r="AE991" t="s">
        <v>5656</v>
      </c>
      <c r="AF991" t="s">
        <v>6973</v>
      </c>
      <c r="AG991" t="s">
        <v>7579</v>
      </c>
      <c r="AH991" t="s">
        <v>3663</v>
      </c>
      <c r="AI991" t="s">
        <v>14076</v>
      </c>
      <c r="AJ991" t="s">
        <v>164</v>
      </c>
      <c r="AK991" t="s">
        <v>6135</v>
      </c>
      <c r="AL991">
        <v>1.74</v>
      </c>
      <c r="AM991">
        <v>1.74</v>
      </c>
      <c r="AN991">
        <v>0.04</v>
      </c>
      <c r="AO991" t="s">
        <v>14077</v>
      </c>
      <c r="AP991" t="s">
        <v>14078</v>
      </c>
      <c r="AQ991" t="s">
        <v>12244</v>
      </c>
      <c r="AR991" t="s">
        <v>1160</v>
      </c>
      <c r="AS991" t="s">
        <v>2698</v>
      </c>
      <c r="AT991" t="s">
        <v>6970</v>
      </c>
      <c r="AU991" t="s">
        <v>4169</v>
      </c>
      <c r="AV991" t="s">
        <v>14079</v>
      </c>
      <c r="AW991" t="s">
        <v>1574</v>
      </c>
      <c r="AX991" t="s">
        <v>14080</v>
      </c>
      <c r="AY991" t="s">
        <v>1574</v>
      </c>
      <c r="AZ991" t="s">
        <v>14081</v>
      </c>
      <c r="BA991">
        <v>1.22</v>
      </c>
      <c r="BB991">
        <v>11239.1</v>
      </c>
      <c r="BC991">
        <v>1.05</v>
      </c>
      <c r="BD991">
        <v>11.96</v>
      </c>
      <c r="BE991">
        <v>12.27</v>
      </c>
      <c r="BF991">
        <v>11.76</v>
      </c>
      <c r="BG991" t="s">
        <v>14082</v>
      </c>
      <c r="BH991" t="s">
        <v>1574</v>
      </c>
      <c r="BI991" t="s">
        <v>14083</v>
      </c>
      <c r="BJ991" t="s">
        <v>101</v>
      </c>
      <c r="BK991" t="s">
        <v>7152</v>
      </c>
      <c r="BL991" t="s">
        <v>14084</v>
      </c>
      <c r="BM991" t="s">
        <v>14085</v>
      </c>
      <c r="BN991" t="s">
        <v>4063</v>
      </c>
    </row>
    <row r="992" spans="1:66" x14ac:dyDescent="0.25">
      <c r="A992" t="str">
        <f>HYPERLINK("https://elite.finviz.com/quote.ashx?t=PRO&amp;ty=c&amp;p=d&amp;b=1", "PRO")</f>
        <v>PRO</v>
      </c>
      <c r="B992">
        <v>7</v>
      </c>
      <c r="C992">
        <v>138.38</v>
      </c>
      <c r="D992">
        <v>82.46</v>
      </c>
      <c r="E992" t="s">
        <v>14086</v>
      </c>
      <c r="F992" t="s">
        <v>67</v>
      </c>
      <c r="G992" t="s">
        <v>108</v>
      </c>
      <c r="H992" t="s">
        <v>136</v>
      </c>
      <c r="I992" t="s">
        <v>70</v>
      </c>
      <c r="J992" t="s">
        <v>71</v>
      </c>
      <c r="K992">
        <v>1103.3900000000001</v>
      </c>
      <c r="L992">
        <v>22.94</v>
      </c>
      <c r="M992" t="s">
        <v>5549</v>
      </c>
      <c r="N992">
        <v>214124</v>
      </c>
      <c r="P992">
        <v>26.6</v>
      </c>
      <c r="R992">
        <v>3.22</v>
      </c>
      <c r="AA992">
        <v>-0.15</v>
      </c>
      <c r="AB992" t="s">
        <v>14087</v>
      </c>
      <c r="AC992" t="s">
        <v>3426</v>
      </c>
      <c r="AD992" t="s">
        <v>14088</v>
      </c>
      <c r="AE992" t="s">
        <v>710</v>
      </c>
      <c r="AF992" t="s">
        <v>9515</v>
      </c>
      <c r="AG992" t="s">
        <v>2064</v>
      </c>
      <c r="AH992" t="s">
        <v>7511</v>
      </c>
      <c r="AI992" t="s">
        <v>12871</v>
      </c>
      <c r="AJ992" t="s">
        <v>3752</v>
      </c>
      <c r="AK992" t="s">
        <v>14089</v>
      </c>
      <c r="AL992">
        <v>1.4</v>
      </c>
      <c r="AM992">
        <v>1.4</v>
      </c>
      <c r="AO992" t="s">
        <v>10238</v>
      </c>
      <c r="AP992" t="s">
        <v>4704</v>
      </c>
      <c r="AQ992" t="s">
        <v>6838</v>
      </c>
      <c r="AR992" t="s">
        <v>5158</v>
      </c>
      <c r="AS992" t="s">
        <v>2473</v>
      </c>
      <c r="AT992" t="s">
        <v>9686</v>
      </c>
      <c r="AU992" t="s">
        <v>1985</v>
      </c>
      <c r="AV992" t="s">
        <v>876</v>
      </c>
      <c r="AW992" t="s">
        <v>2203</v>
      </c>
      <c r="AX992" t="s">
        <v>6819</v>
      </c>
      <c r="AY992" t="s">
        <v>14090</v>
      </c>
      <c r="AZ992" t="s">
        <v>14091</v>
      </c>
      <c r="BA992">
        <v>2.4300000000000002</v>
      </c>
      <c r="BB992">
        <v>1282.1300000000001</v>
      </c>
      <c r="BC992">
        <v>0.59</v>
      </c>
      <c r="BD992">
        <v>22.93</v>
      </c>
      <c r="BE992">
        <v>22.95</v>
      </c>
      <c r="BF992">
        <v>22.92</v>
      </c>
      <c r="BG992" t="s">
        <v>14092</v>
      </c>
      <c r="BH992" t="s">
        <v>14093</v>
      </c>
      <c r="BI992" t="s">
        <v>14094</v>
      </c>
      <c r="BJ992" t="s">
        <v>101</v>
      </c>
      <c r="BK992" t="s">
        <v>14095</v>
      </c>
      <c r="BL992" t="s">
        <v>8319</v>
      </c>
      <c r="BM992" t="s">
        <v>865</v>
      </c>
      <c r="BN992" t="s">
        <v>4063</v>
      </c>
    </row>
    <row r="993" spans="1:66" x14ac:dyDescent="0.25">
      <c r="A993" t="str">
        <f>HYPERLINK("https://elite.finviz.com/quote.ashx?t=AMLX&amp;ty=c&amp;p=d&amp;b=1", "AMLX")</f>
        <v>AMLX</v>
      </c>
      <c r="B993">
        <v>7</v>
      </c>
      <c r="C993">
        <v>138.38</v>
      </c>
      <c r="D993">
        <v>82.89</v>
      </c>
      <c r="E993" t="s">
        <v>14096</v>
      </c>
      <c r="F993" t="s">
        <v>67</v>
      </c>
      <c r="G993" t="s">
        <v>428</v>
      </c>
      <c r="H993" t="s">
        <v>429</v>
      </c>
      <c r="I993" t="s">
        <v>70</v>
      </c>
      <c r="J993" t="s">
        <v>321</v>
      </c>
      <c r="K993">
        <v>1464.54</v>
      </c>
      <c r="L993">
        <v>13.73</v>
      </c>
      <c r="M993" t="s">
        <v>2059</v>
      </c>
      <c r="N993">
        <v>225222</v>
      </c>
      <c r="S993">
        <v>7.29</v>
      </c>
      <c r="AA993">
        <v>-2.5</v>
      </c>
      <c r="AB993" t="s">
        <v>14097</v>
      </c>
      <c r="AC993" t="s">
        <v>14098</v>
      </c>
      <c r="AD993" t="s">
        <v>14099</v>
      </c>
      <c r="AE993" t="s">
        <v>14100</v>
      </c>
      <c r="AF993" t="s">
        <v>14101</v>
      </c>
      <c r="AG993" t="s">
        <v>14102</v>
      </c>
      <c r="AH993" t="s">
        <v>1647</v>
      </c>
      <c r="AI993" t="s">
        <v>3905</v>
      </c>
      <c r="AJ993" t="s">
        <v>3388</v>
      </c>
      <c r="AK993" t="s">
        <v>14103</v>
      </c>
      <c r="AL993">
        <v>8.7200000000000006</v>
      </c>
      <c r="AM993">
        <v>8.7200000000000006</v>
      </c>
      <c r="AN993">
        <v>0.04</v>
      </c>
      <c r="AO993" t="s">
        <v>14104</v>
      </c>
      <c r="AP993" t="s">
        <v>14105</v>
      </c>
      <c r="AQ993" t="s">
        <v>14106</v>
      </c>
      <c r="AR993" t="s">
        <v>10226</v>
      </c>
      <c r="AS993" t="s">
        <v>2580</v>
      </c>
      <c r="AT993" t="s">
        <v>6752</v>
      </c>
      <c r="AU993" t="s">
        <v>14107</v>
      </c>
      <c r="AV993" t="s">
        <v>14108</v>
      </c>
      <c r="AW993" t="s">
        <v>2149</v>
      </c>
      <c r="AX993" t="s">
        <v>14109</v>
      </c>
      <c r="AY993" t="s">
        <v>2149</v>
      </c>
      <c r="AZ993" t="s">
        <v>14110</v>
      </c>
      <c r="BA993">
        <v>1.1100000000000001</v>
      </c>
      <c r="BB993">
        <v>1751.13</v>
      </c>
      <c r="BC993">
        <v>0.45</v>
      </c>
      <c r="BD993">
        <v>13.82</v>
      </c>
      <c r="BE993">
        <v>14.11</v>
      </c>
      <c r="BF993">
        <v>13.69</v>
      </c>
      <c r="BG993" t="s">
        <v>14111</v>
      </c>
      <c r="BH993" t="s">
        <v>12111</v>
      </c>
      <c r="BI993" t="s">
        <v>14112</v>
      </c>
      <c r="BJ993" t="s">
        <v>101</v>
      </c>
      <c r="BK993" t="s">
        <v>14113</v>
      </c>
      <c r="BL993" t="s">
        <v>14114</v>
      </c>
      <c r="BM993" t="s">
        <v>14115</v>
      </c>
      <c r="BN993" t="s">
        <v>4063</v>
      </c>
    </row>
    <row r="994" spans="1:66" x14ac:dyDescent="0.25">
      <c r="A994" t="str">
        <f>HYPERLINK("https://elite.finviz.com/quote.ashx?t=HOUS&amp;ty=c&amp;p=d&amp;b=1", "HOUS")</f>
        <v>HOUS</v>
      </c>
      <c r="B994">
        <v>7</v>
      </c>
      <c r="C994">
        <v>138.38</v>
      </c>
      <c r="D994">
        <v>83.28</v>
      </c>
      <c r="E994" t="s">
        <v>14116</v>
      </c>
      <c r="F994" t="s">
        <v>67</v>
      </c>
      <c r="G994" t="s">
        <v>68</v>
      </c>
      <c r="H994" t="s">
        <v>7494</v>
      </c>
      <c r="I994" t="s">
        <v>70</v>
      </c>
      <c r="J994" t="s">
        <v>71</v>
      </c>
      <c r="K994">
        <v>1172.8900000000001</v>
      </c>
      <c r="L994">
        <v>10.47</v>
      </c>
      <c r="M994" t="s">
        <v>4801</v>
      </c>
      <c r="N994">
        <v>747262</v>
      </c>
      <c r="R994">
        <v>0.2</v>
      </c>
      <c r="S994">
        <v>0.77</v>
      </c>
      <c r="V994" t="s">
        <v>14117</v>
      </c>
      <c r="AA994">
        <v>-0.98</v>
      </c>
      <c r="AC994" t="s">
        <v>1691</v>
      </c>
      <c r="AE994" t="s">
        <v>4658</v>
      </c>
      <c r="AF994" t="s">
        <v>5846</v>
      </c>
      <c r="AG994" t="s">
        <v>1202</v>
      </c>
      <c r="AH994" t="s">
        <v>3169</v>
      </c>
      <c r="AI994" t="s">
        <v>14118</v>
      </c>
      <c r="AJ994" t="s">
        <v>164</v>
      </c>
      <c r="AK994" t="s">
        <v>14119</v>
      </c>
      <c r="AL994">
        <v>0.55000000000000004</v>
      </c>
      <c r="AM994">
        <v>0.55000000000000004</v>
      </c>
      <c r="AN994">
        <v>2.19</v>
      </c>
      <c r="AO994" t="s">
        <v>7938</v>
      </c>
      <c r="AP994" t="s">
        <v>3350</v>
      </c>
      <c r="AQ994" t="s">
        <v>4707</v>
      </c>
      <c r="AR994" t="s">
        <v>4378</v>
      </c>
      <c r="AS994" t="s">
        <v>5152</v>
      </c>
      <c r="AT994" t="s">
        <v>14120</v>
      </c>
      <c r="AU994" t="s">
        <v>14121</v>
      </c>
      <c r="AV994" t="s">
        <v>14122</v>
      </c>
      <c r="AW994" t="s">
        <v>8242</v>
      </c>
      <c r="AX994" t="s">
        <v>14123</v>
      </c>
      <c r="AY994" t="s">
        <v>8242</v>
      </c>
      <c r="AZ994" t="s">
        <v>14124</v>
      </c>
      <c r="BA994">
        <v>3</v>
      </c>
      <c r="BB994">
        <v>2049.4699999999998</v>
      </c>
      <c r="BC994">
        <v>1.28</v>
      </c>
      <c r="BD994">
        <v>10.42</v>
      </c>
      <c r="BE994">
        <v>10.59</v>
      </c>
      <c r="BF994">
        <v>10.4</v>
      </c>
      <c r="BG994" t="s">
        <v>14125</v>
      </c>
      <c r="BH994" t="s">
        <v>14126</v>
      </c>
      <c r="BI994" t="s">
        <v>14127</v>
      </c>
      <c r="BJ994" t="s">
        <v>101</v>
      </c>
      <c r="BK994" t="s">
        <v>14128</v>
      </c>
      <c r="BL994" t="s">
        <v>14129</v>
      </c>
      <c r="BM994" t="s">
        <v>10548</v>
      </c>
      <c r="BN994" t="s">
        <v>4063</v>
      </c>
    </row>
    <row r="995" spans="1:66" x14ac:dyDescent="0.25">
      <c r="A995" t="str">
        <f>HYPERLINK("https://elite.finviz.com/quote.ashx?t=VLO&amp;ty=c&amp;p=d&amp;b=1", "VLO")</f>
        <v>VLO</v>
      </c>
      <c r="B995">
        <v>7</v>
      </c>
      <c r="C995">
        <v>138.38</v>
      </c>
      <c r="D995">
        <v>83.34</v>
      </c>
      <c r="E995" t="s">
        <v>14130</v>
      </c>
      <c r="F995" t="s">
        <v>195</v>
      </c>
      <c r="G995" t="s">
        <v>1048</v>
      </c>
      <c r="H995" t="s">
        <v>3886</v>
      </c>
      <c r="I995" t="s">
        <v>70</v>
      </c>
      <c r="J995" t="s">
        <v>71</v>
      </c>
      <c r="K995">
        <v>55055.41</v>
      </c>
      <c r="L995">
        <v>177.23</v>
      </c>
      <c r="M995" t="s">
        <v>6990</v>
      </c>
      <c r="N995">
        <v>750719</v>
      </c>
      <c r="O995">
        <v>73.489999999999995</v>
      </c>
      <c r="P995">
        <v>15.4</v>
      </c>
      <c r="Q995">
        <v>5.25</v>
      </c>
      <c r="R995">
        <v>0.44</v>
      </c>
      <c r="S995">
        <v>2.29</v>
      </c>
      <c r="T995" t="s">
        <v>387</v>
      </c>
      <c r="U995">
        <v>4.46</v>
      </c>
      <c r="V995" t="s">
        <v>5604</v>
      </c>
      <c r="W995" t="s">
        <v>246</v>
      </c>
      <c r="X995" t="s">
        <v>2383</v>
      </c>
      <c r="Y995" t="s">
        <v>2495</v>
      </c>
      <c r="Z995" t="s">
        <v>14131</v>
      </c>
      <c r="AA995">
        <v>2.41</v>
      </c>
      <c r="AB995" t="s">
        <v>14132</v>
      </c>
      <c r="AC995" t="s">
        <v>710</v>
      </c>
      <c r="AD995" t="s">
        <v>6748</v>
      </c>
      <c r="AE995" t="s">
        <v>879</v>
      </c>
      <c r="AF995" t="s">
        <v>2472</v>
      </c>
      <c r="AG995" t="s">
        <v>2764</v>
      </c>
      <c r="AH995" t="s">
        <v>3700</v>
      </c>
      <c r="AI995" t="s">
        <v>4803</v>
      </c>
      <c r="AJ995" t="s">
        <v>164</v>
      </c>
      <c r="AK995" t="s">
        <v>14133</v>
      </c>
      <c r="AL995">
        <v>1.62</v>
      </c>
      <c r="AM995">
        <v>1.1100000000000001</v>
      </c>
      <c r="AN995">
        <v>0.44</v>
      </c>
      <c r="AO995" t="s">
        <v>387</v>
      </c>
      <c r="AP995" t="s">
        <v>6336</v>
      </c>
      <c r="AQ995" t="s">
        <v>306</v>
      </c>
      <c r="AR995" t="s">
        <v>451</v>
      </c>
      <c r="AS995" t="s">
        <v>4216</v>
      </c>
      <c r="AT995" t="s">
        <v>4248</v>
      </c>
      <c r="AU995" t="s">
        <v>6393</v>
      </c>
      <c r="AV995" t="s">
        <v>2358</v>
      </c>
      <c r="AW995" t="s">
        <v>5253</v>
      </c>
      <c r="AX995" t="s">
        <v>2894</v>
      </c>
      <c r="AY995" t="s">
        <v>5253</v>
      </c>
      <c r="AZ995" t="s">
        <v>14134</v>
      </c>
      <c r="BA995">
        <v>1.82</v>
      </c>
      <c r="BB995">
        <v>3012.97</v>
      </c>
      <c r="BC995">
        <v>0.88</v>
      </c>
      <c r="BD995">
        <v>174.42</v>
      </c>
      <c r="BE995">
        <v>178.43</v>
      </c>
      <c r="BF995">
        <v>174.13</v>
      </c>
      <c r="BG995" t="s">
        <v>14135</v>
      </c>
      <c r="BH995" t="s">
        <v>2288</v>
      </c>
      <c r="BI995" t="s">
        <v>14136</v>
      </c>
      <c r="BJ995" t="s">
        <v>101</v>
      </c>
      <c r="BK995" t="s">
        <v>7626</v>
      </c>
      <c r="BL995" t="s">
        <v>7772</v>
      </c>
      <c r="BM995" t="s">
        <v>7580</v>
      </c>
      <c r="BN995" t="s">
        <v>4063</v>
      </c>
    </row>
    <row r="996" spans="1:66" x14ac:dyDescent="0.25">
      <c r="A996" t="str">
        <f>HYPERLINK("https://elite.finviz.com/quote.ashx?t=TTI&amp;ty=c&amp;p=d&amp;b=1", "TTI")</f>
        <v>TTI</v>
      </c>
      <c r="B996">
        <v>7</v>
      </c>
      <c r="C996">
        <v>138.38</v>
      </c>
      <c r="D996">
        <v>84.69</v>
      </c>
      <c r="E996" t="s">
        <v>14137</v>
      </c>
      <c r="F996" t="s">
        <v>67</v>
      </c>
      <c r="G996" t="s">
        <v>260</v>
      </c>
      <c r="H996" t="s">
        <v>2508</v>
      </c>
      <c r="I996" t="s">
        <v>70</v>
      </c>
      <c r="J996" t="s">
        <v>71</v>
      </c>
      <c r="K996">
        <v>788.35</v>
      </c>
      <c r="L996">
        <v>5.91</v>
      </c>
      <c r="M996" t="s">
        <v>2107</v>
      </c>
      <c r="N996">
        <v>643138</v>
      </c>
      <c r="O996">
        <v>6.83</v>
      </c>
      <c r="P996">
        <v>20.68</v>
      </c>
      <c r="R996">
        <v>1.3</v>
      </c>
      <c r="S996">
        <v>2.71</v>
      </c>
      <c r="Z996" t="s">
        <v>164</v>
      </c>
      <c r="AA996">
        <v>0.87</v>
      </c>
      <c r="AE996" t="s">
        <v>4168</v>
      </c>
      <c r="AF996" t="s">
        <v>328</v>
      </c>
      <c r="AG996" t="s">
        <v>1559</v>
      </c>
      <c r="AH996" t="s">
        <v>273</v>
      </c>
      <c r="AI996" t="s">
        <v>3776</v>
      </c>
      <c r="AJ996" t="s">
        <v>714</v>
      </c>
      <c r="AK996" t="s">
        <v>2639</v>
      </c>
      <c r="AL996">
        <v>2.4700000000000002</v>
      </c>
      <c r="AM996">
        <v>1.61</v>
      </c>
      <c r="AN996">
        <v>0.75</v>
      </c>
      <c r="AO996" t="s">
        <v>3582</v>
      </c>
      <c r="AP996" t="s">
        <v>531</v>
      </c>
      <c r="AQ996" t="s">
        <v>12736</v>
      </c>
      <c r="AR996" t="s">
        <v>5100</v>
      </c>
      <c r="AS996" t="s">
        <v>756</v>
      </c>
      <c r="AT996" t="s">
        <v>11564</v>
      </c>
      <c r="AU996" t="s">
        <v>14138</v>
      </c>
      <c r="AV996" t="s">
        <v>14139</v>
      </c>
      <c r="AW996" t="s">
        <v>84</v>
      </c>
      <c r="AX996" t="s">
        <v>14140</v>
      </c>
      <c r="AY996" t="s">
        <v>84</v>
      </c>
      <c r="AZ996" t="s">
        <v>14141</v>
      </c>
      <c r="BA996">
        <v>1</v>
      </c>
      <c r="BB996">
        <v>1624.1</v>
      </c>
      <c r="BC996">
        <v>1.4</v>
      </c>
      <c r="BD996">
        <v>5.64</v>
      </c>
      <c r="BE996">
        <v>6</v>
      </c>
      <c r="BF996">
        <v>5.67</v>
      </c>
      <c r="BG996" t="s">
        <v>14142</v>
      </c>
      <c r="BH996" t="s">
        <v>14143</v>
      </c>
      <c r="BI996" t="s">
        <v>14144</v>
      </c>
      <c r="BJ996" t="s">
        <v>101</v>
      </c>
      <c r="BK996" t="s">
        <v>3543</v>
      </c>
      <c r="BL996" t="s">
        <v>14145</v>
      </c>
      <c r="BM996" t="s">
        <v>653</v>
      </c>
      <c r="BN996" t="s">
        <v>4063</v>
      </c>
    </row>
    <row r="997" spans="1:66" x14ac:dyDescent="0.25">
      <c r="A997" t="str">
        <f>HYPERLINK("https://elite.finviz.com/quote.ashx?t=MPC&amp;ty=c&amp;p=d&amp;b=1", "MPC")</f>
        <v>MPC</v>
      </c>
      <c r="B997">
        <v>7</v>
      </c>
      <c r="C997">
        <v>138.38</v>
      </c>
      <c r="D997">
        <v>85.18</v>
      </c>
      <c r="E997" t="s">
        <v>14146</v>
      </c>
      <c r="F997" t="s">
        <v>195</v>
      </c>
      <c r="G997" t="s">
        <v>1048</v>
      </c>
      <c r="H997" t="s">
        <v>3886</v>
      </c>
      <c r="I997" t="s">
        <v>70</v>
      </c>
      <c r="J997" t="s">
        <v>71</v>
      </c>
      <c r="K997">
        <v>61019.92</v>
      </c>
      <c r="L997">
        <v>200.71</v>
      </c>
      <c r="M997" t="s">
        <v>3916</v>
      </c>
      <c r="N997">
        <v>532806</v>
      </c>
      <c r="O997">
        <v>29.73</v>
      </c>
      <c r="P997">
        <v>15.6</v>
      </c>
      <c r="Q997">
        <v>2.46</v>
      </c>
      <c r="R997">
        <v>0.46</v>
      </c>
      <c r="S997">
        <v>3.67</v>
      </c>
      <c r="T997" t="s">
        <v>2424</v>
      </c>
      <c r="U997">
        <v>3.64</v>
      </c>
      <c r="V997" t="s">
        <v>5737</v>
      </c>
      <c r="W997" t="s">
        <v>1809</v>
      </c>
      <c r="X997" t="s">
        <v>1055</v>
      </c>
      <c r="Y997" t="s">
        <v>5653</v>
      </c>
      <c r="Z997" t="s">
        <v>6114</v>
      </c>
      <c r="AA997">
        <v>6.75</v>
      </c>
      <c r="AB997" t="s">
        <v>14147</v>
      </c>
      <c r="AC997" t="s">
        <v>10934</v>
      </c>
      <c r="AD997" t="s">
        <v>14148</v>
      </c>
      <c r="AE997" t="s">
        <v>7886</v>
      </c>
      <c r="AF997" t="s">
        <v>4678</v>
      </c>
      <c r="AG997" t="s">
        <v>3119</v>
      </c>
      <c r="AH997" t="s">
        <v>704</v>
      </c>
      <c r="AI997" t="s">
        <v>13278</v>
      </c>
      <c r="AJ997" t="s">
        <v>6256</v>
      </c>
      <c r="AK997" t="s">
        <v>11576</v>
      </c>
      <c r="AL997">
        <v>1.23</v>
      </c>
      <c r="AM997">
        <v>0.71</v>
      </c>
      <c r="AN997">
        <v>1.81</v>
      </c>
      <c r="AO997" t="s">
        <v>3036</v>
      </c>
      <c r="AP997" t="s">
        <v>2522</v>
      </c>
      <c r="AQ997" t="s">
        <v>1760</v>
      </c>
      <c r="AR997" t="s">
        <v>714</v>
      </c>
      <c r="AS997" t="s">
        <v>1761</v>
      </c>
      <c r="AT997" t="s">
        <v>346</v>
      </c>
      <c r="AU997" t="s">
        <v>8848</v>
      </c>
      <c r="AV997" t="s">
        <v>5782</v>
      </c>
      <c r="AW997" t="s">
        <v>5968</v>
      </c>
      <c r="AX997" t="s">
        <v>14149</v>
      </c>
      <c r="AY997" t="s">
        <v>5968</v>
      </c>
      <c r="AZ997" t="s">
        <v>14150</v>
      </c>
      <c r="BA997">
        <v>2.14</v>
      </c>
      <c r="BB997">
        <v>2052.7399999999998</v>
      </c>
      <c r="BC997">
        <v>0.91</v>
      </c>
      <c r="BD997">
        <v>196.44</v>
      </c>
      <c r="BE997">
        <v>201.57</v>
      </c>
      <c r="BF997">
        <v>197.4</v>
      </c>
      <c r="BG997" t="s">
        <v>14151</v>
      </c>
      <c r="BH997" t="s">
        <v>2701</v>
      </c>
      <c r="BI997" t="s">
        <v>14152</v>
      </c>
      <c r="BJ997" t="s">
        <v>101</v>
      </c>
      <c r="BK997" t="s">
        <v>767</v>
      </c>
      <c r="BL997" t="s">
        <v>1948</v>
      </c>
      <c r="BM997" t="s">
        <v>11152</v>
      </c>
      <c r="BN997" t="s">
        <v>4063</v>
      </c>
    </row>
    <row r="998" spans="1:66" x14ac:dyDescent="0.25">
      <c r="A998" t="str">
        <f>HYPERLINK("https://elite.finviz.com/quote.ashx?t=PMI&amp;ty=c&amp;p=d&amp;b=1", "PMI")</f>
        <v>PMI</v>
      </c>
      <c r="B998">
        <v>7</v>
      </c>
      <c r="C998">
        <v>138.38</v>
      </c>
      <c r="D998">
        <v>86.33</v>
      </c>
      <c r="E998" t="s">
        <v>14153</v>
      </c>
      <c r="F998" t="s">
        <v>107</v>
      </c>
      <c r="G998" t="s">
        <v>428</v>
      </c>
      <c r="H998" t="s">
        <v>2051</v>
      </c>
      <c r="I998" t="s">
        <v>70</v>
      </c>
      <c r="J998" t="s">
        <v>383</v>
      </c>
      <c r="K998">
        <v>604.34</v>
      </c>
      <c r="L998">
        <v>8.1999999999999993</v>
      </c>
      <c r="M998" t="s">
        <v>2717</v>
      </c>
      <c r="N998">
        <v>466835</v>
      </c>
      <c r="R998">
        <v>135.19999999999999</v>
      </c>
      <c r="AA998">
        <v>-0.42</v>
      </c>
      <c r="AB998" t="s">
        <v>13268</v>
      </c>
      <c r="AE998" t="s">
        <v>3349</v>
      </c>
      <c r="AF998" t="s">
        <v>4677</v>
      </c>
      <c r="AH998" t="s">
        <v>14154</v>
      </c>
      <c r="AJ998" t="s">
        <v>164</v>
      </c>
      <c r="AL998">
        <v>0.21</v>
      </c>
      <c r="AM998">
        <v>0.06</v>
      </c>
      <c r="AO998" t="s">
        <v>2088</v>
      </c>
      <c r="AP998" t="s">
        <v>14155</v>
      </c>
      <c r="AQ998" t="s">
        <v>14156</v>
      </c>
      <c r="AR998" t="s">
        <v>5847</v>
      </c>
      <c r="AT998" t="s">
        <v>14157</v>
      </c>
      <c r="AU998" t="s">
        <v>14157</v>
      </c>
      <c r="AV998" t="s">
        <v>14157</v>
      </c>
      <c r="AW998" t="s">
        <v>10581</v>
      </c>
      <c r="AX998" t="s">
        <v>14158</v>
      </c>
      <c r="AY998" t="s">
        <v>10581</v>
      </c>
      <c r="AZ998" t="s">
        <v>14158</v>
      </c>
      <c r="BB998">
        <v>3012.31</v>
      </c>
      <c r="BC998">
        <v>0.55000000000000004</v>
      </c>
      <c r="BD998">
        <v>8.2100000000000009</v>
      </c>
      <c r="BE998">
        <v>8.5</v>
      </c>
      <c r="BF998">
        <v>8.1</v>
      </c>
      <c r="BG998" t="s">
        <v>14159</v>
      </c>
      <c r="BH998" t="s">
        <v>10581</v>
      </c>
      <c r="BI998" t="s">
        <v>14158</v>
      </c>
      <c r="BJ998" t="s">
        <v>101</v>
      </c>
      <c r="BN998" t="s">
        <v>4063</v>
      </c>
    </row>
    <row r="999" spans="1:66" x14ac:dyDescent="0.25">
      <c r="A999" t="str">
        <f>HYPERLINK("https://elite.finviz.com/quote.ashx?t=VMEO&amp;ty=c&amp;p=d&amp;b=1", "VMEO")</f>
        <v>VMEO</v>
      </c>
      <c r="B999">
        <v>7</v>
      </c>
      <c r="C999">
        <v>138.38</v>
      </c>
      <c r="D999">
        <v>90.76</v>
      </c>
      <c r="E999" t="s">
        <v>14160</v>
      </c>
      <c r="F999" t="s">
        <v>67</v>
      </c>
      <c r="G999" t="s">
        <v>108</v>
      </c>
      <c r="H999" t="s">
        <v>136</v>
      </c>
      <c r="I999" t="s">
        <v>70</v>
      </c>
      <c r="J999" t="s">
        <v>321</v>
      </c>
      <c r="K999">
        <v>1287.43</v>
      </c>
      <c r="L999">
        <v>7.75</v>
      </c>
      <c r="M999" t="s">
        <v>211</v>
      </c>
      <c r="N999">
        <v>385808</v>
      </c>
      <c r="O999">
        <v>102.09</v>
      </c>
      <c r="P999">
        <v>64.569999999999993</v>
      </c>
      <c r="Q999">
        <v>30.38</v>
      </c>
      <c r="R999">
        <v>3.1</v>
      </c>
      <c r="S999">
        <v>3.28</v>
      </c>
      <c r="Z999" t="s">
        <v>164</v>
      </c>
      <c r="AA999">
        <v>0.08</v>
      </c>
      <c r="AD999" t="s">
        <v>3542</v>
      </c>
      <c r="AE999" t="s">
        <v>1787</v>
      </c>
      <c r="AF999" t="s">
        <v>206</v>
      </c>
      <c r="AG999" t="s">
        <v>5060</v>
      </c>
      <c r="AH999" t="s">
        <v>182</v>
      </c>
      <c r="AI999" t="s">
        <v>14161</v>
      </c>
      <c r="AJ999" t="s">
        <v>164</v>
      </c>
      <c r="AK999" t="s">
        <v>14162</v>
      </c>
      <c r="AL999">
        <v>1.57</v>
      </c>
      <c r="AM999">
        <v>1.57</v>
      </c>
      <c r="AN999">
        <v>0.02</v>
      </c>
      <c r="AO999" t="s">
        <v>14163</v>
      </c>
      <c r="AP999" t="s">
        <v>3842</v>
      </c>
      <c r="AQ999" t="s">
        <v>3638</v>
      </c>
      <c r="AR999" t="s">
        <v>698</v>
      </c>
      <c r="AS999" t="s">
        <v>4493</v>
      </c>
      <c r="AT999" t="s">
        <v>111</v>
      </c>
      <c r="AU999" t="s">
        <v>14164</v>
      </c>
      <c r="AV999" t="s">
        <v>12315</v>
      </c>
      <c r="AW999" t="s">
        <v>2486</v>
      </c>
      <c r="AX999" t="s">
        <v>14165</v>
      </c>
      <c r="AY999" t="s">
        <v>1866</v>
      </c>
      <c r="AZ999" t="s">
        <v>14165</v>
      </c>
      <c r="BA999">
        <v>3</v>
      </c>
      <c r="BB999">
        <v>3249.13</v>
      </c>
      <c r="BC999">
        <v>0.42</v>
      </c>
      <c r="BD999">
        <v>7.74</v>
      </c>
      <c r="BE999">
        <v>7.75</v>
      </c>
      <c r="BF999">
        <v>7.74</v>
      </c>
      <c r="BG999" t="s">
        <v>14166</v>
      </c>
      <c r="BH999" t="s">
        <v>14167</v>
      </c>
      <c r="BI999" t="s">
        <v>14168</v>
      </c>
      <c r="BJ999" t="s">
        <v>101</v>
      </c>
      <c r="BK999" t="s">
        <v>10442</v>
      </c>
      <c r="BL999" t="s">
        <v>14169</v>
      </c>
      <c r="BM999" t="s">
        <v>3176</v>
      </c>
      <c r="BN999" t="s">
        <v>4063</v>
      </c>
    </row>
    <row r="1000" spans="1:66" x14ac:dyDescent="0.25">
      <c r="A1000" t="str">
        <f>HYPERLINK("https://elite.finviz.com/quote.ashx?t=BLZRU&amp;ty=c&amp;p=d&amp;b=1", "BLZRU")</f>
        <v>BLZRU</v>
      </c>
      <c r="B1000">
        <v>7</v>
      </c>
      <c r="C1000">
        <v>138.38</v>
      </c>
      <c r="E1000" t="s">
        <v>14170</v>
      </c>
      <c r="F1000" t="s">
        <v>107</v>
      </c>
      <c r="G1000" t="s">
        <v>550</v>
      </c>
      <c r="H1000" t="s">
        <v>2120</v>
      </c>
      <c r="I1000" t="s">
        <v>70</v>
      </c>
      <c r="J1000" t="s">
        <v>321</v>
      </c>
      <c r="K1000">
        <v>243.12</v>
      </c>
      <c r="L1000">
        <v>10.130000000000001</v>
      </c>
      <c r="M1000" t="s">
        <v>2423</v>
      </c>
      <c r="N1000">
        <v>108542</v>
      </c>
      <c r="S1000">
        <v>48238.57</v>
      </c>
      <c r="AL1000">
        <v>0</v>
      </c>
      <c r="AM1000">
        <v>0</v>
      </c>
      <c r="AN1000">
        <v>2</v>
      </c>
      <c r="AR1000" t="s">
        <v>6182</v>
      </c>
      <c r="AT1000" t="s">
        <v>227</v>
      </c>
      <c r="AU1000" t="s">
        <v>227</v>
      </c>
      <c r="AV1000" t="s">
        <v>227</v>
      </c>
      <c r="AW1000" t="s">
        <v>2641</v>
      </c>
      <c r="AX1000" t="s">
        <v>1837</v>
      </c>
      <c r="AY1000" t="s">
        <v>2641</v>
      </c>
      <c r="AZ1000" t="s">
        <v>1837</v>
      </c>
      <c r="BB1000">
        <v>1345.39</v>
      </c>
      <c r="BC1000">
        <v>0.28999999999999998</v>
      </c>
      <c r="BD1000">
        <v>10.09</v>
      </c>
      <c r="BE1000">
        <v>10.15</v>
      </c>
      <c r="BF1000">
        <v>10.09</v>
      </c>
      <c r="BG1000" t="s">
        <v>14171</v>
      </c>
      <c r="BH1000" t="s">
        <v>2641</v>
      </c>
      <c r="BI1000" t="s">
        <v>1837</v>
      </c>
      <c r="BJ1000" t="s">
        <v>101</v>
      </c>
      <c r="BN1000" t="s">
        <v>4063</v>
      </c>
    </row>
    <row r="1001" spans="1:66" x14ac:dyDescent="0.25">
      <c r="A1001" t="str">
        <f>HYPERLINK("https://elite.finviz.com/quote.ashx?t=FIGR&amp;ty=c&amp;p=d&amp;b=1", "FIGR")</f>
        <v>FIGR</v>
      </c>
      <c r="B1001">
        <v>7</v>
      </c>
      <c r="C1001">
        <v>138.38</v>
      </c>
      <c r="E1001" t="s">
        <v>14172</v>
      </c>
      <c r="F1001" t="s">
        <v>107</v>
      </c>
      <c r="G1001" t="s">
        <v>550</v>
      </c>
      <c r="H1001" t="s">
        <v>551</v>
      </c>
      <c r="I1001" t="s">
        <v>70</v>
      </c>
      <c r="J1001" t="s">
        <v>321</v>
      </c>
      <c r="K1001">
        <v>8297.07</v>
      </c>
      <c r="L1001">
        <v>39.200000000000003</v>
      </c>
      <c r="M1001" t="s">
        <v>4646</v>
      </c>
      <c r="N1001">
        <v>688226</v>
      </c>
      <c r="S1001">
        <v>20.96</v>
      </c>
      <c r="AJ1001" t="s">
        <v>3322</v>
      </c>
      <c r="AL1001">
        <v>0.85</v>
      </c>
      <c r="AM1001">
        <v>0.85</v>
      </c>
      <c r="AN1001">
        <v>1.86</v>
      </c>
      <c r="AR1001" t="s">
        <v>2555</v>
      </c>
      <c r="AT1001" t="s">
        <v>6156</v>
      </c>
      <c r="AU1001" t="s">
        <v>6156</v>
      </c>
      <c r="AV1001" t="s">
        <v>6156</v>
      </c>
      <c r="AW1001" t="s">
        <v>14173</v>
      </c>
      <c r="AX1001" t="s">
        <v>8867</v>
      </c>
      <c r="AY1001" t="s">
        <v>14173</v>
      </c>
      <c r="AZ1001" t="s">
        <v>8867</v>
      </c>
      <c r="BB1001">
        <v>9770.08</v>
      </c>
      <c r="BC1001">
        <v>0.25</v>
      </c>
      <c r="BD1001">
        <v>40.33</v>
      </c>
      <c r="BE1001">
        <v>39.79</v>
      </c>
      <c r="BF1001">
        <v>38.380000000000003</v>
      </c>
      <c r="BG1001" t="s">
        <v>14174</v>
      </c>
      <c r="BH1001" t="s">
        <v>14173</v>
      </c>
      <c r="BI1001" t="s">
        <v>8867</v>
      </c>
      <c r="BJ1001" t="s">
        <v>101</v>
      </c>
      <c r="BN1001" t="s">
        <v>4063</v>
      </c>
    </row>
    <row r="1002" spans="1:66" x14ac:dyDescent="0.25">
      <c r="A1002" t="str">
        <f>HYPERLINK("https://elite.finviz.com/quote.ashx?t=FOFO&amp;ty=c&amp;p=d&amp;b=1", "FOFO")</f>
        <v>FOFO</v>
      </c>
      <c r="B1002">
        <v>7</v>
      </c>
      <c r="C1002">
        <v>138.38</v>
      </c>
      <c r="E1002" t="s">
        <v>14175</v>
      </c>
      <c r="F1002" t="s">
        <v>107</v>
      </c>
      <c r="G1002" t="s">
        <v>260</v>
      </c>
      <c r="H1002" t="s">
        <v>2879</v>
      </c>
      <c r="I1002" t="s">
        <v>70</v>
      </c>
      <c r="J1002" t="s">
        <v>321</v>
      </c>
      <c r="L1002">
        <v>38.04</v>
      </c>
      <c r="M1002" t="s">
        <v>12978</v>
      </c>
      <c r="N1002">
        <v>364357</v>
      </c>
      <c r="AR1002" t="s">
        <v>14176</v>
      </c>
      <c r="AT1002" t="s">
        <v>14177</v>
      </c>
      <c r="AU1002" t="s">
        <v>14177</v>
      </c>
      <c r="AV1002" t="s">
        <v>14177</v>
      </c>
      <c r="AW1002" t="s">
        <v>620</v>
      </c>
      <c r="AX1002" t="s">
        <v>14178</v>
      </c>
      <c r="AY1002" t="s">
        <v>620</v>
      </c>
      <c r="AZ1002" t="s">
        <v>14178</v>
      </c>
      <c r="BB1002">
        <v>1397.4</v>
      </c>
      <c r="BC1002">
        <v>0.92</v>
      </c>
      <c r="BD1002">
        <v>29.75</v>
      </c>
      <c r="BE1002">
        <v>43.91</v>
      </c>
      <c r="BF1002">
        <v>28.8</v>
      </c>
      <c r="BG1002" t="s">
        <v>14179</v>
      </c>
      <c r="BH1002" t="s">
        <v>620</v>
      </c>
      <c r="BI1002" t="s">
        <v>14178</v>
      </c>
      <c r="BJ1002" t="s">
        <v>101</v>
      </c>
      <c r="BN1002" t="s">
        <v>4063</v>
      </c>
    </row>
    <row r="1003" spans="1:66" x14ac:dyDescent="0.25">
      <c r="A1003" t="str">
        <f>HYPERLINK("https://elite.finviz.com/quote.ashx?t=LATAU&amp;ty=c&amp;p=d&amp;b=1", "LATAU")</f>
        <v>LATAU</v>
      </c>
      <c r="B1003">
        <v>7</v>
      </c>
      <c r="C1003">
        <v>138.38</v>
      </c>
      <c r="E1003" t="s">
        <v>14180</v>
      </c>
      <c r="F1003" t="s">
        <v>107</v>
      </c>
      <c r="G1003" t="s">
        <v>550</v>
      </c>
      <c r="H1003" t="s">
        <v>2120</v>
      </c>
      <c r="I1003" t="s">
        <v>70</v>
      </c>
      <c r="J1003" t="s">
        <v>321</v>
      </c>
      <c r="K1003">
        <v>150</v>
      </c>
      <c r="L1003">
        <v>10</v>
      </c>
      <c r="M1003" t="s">
        <v>164</v>
      </c>
      <c r="N1003">
        <v>810</v>
      </c>
      <c r="AL1003">
        <v>0.4</v>
      </c>
      <c r="AM1003">
        <v>0.4</v>
      </c>
      <c r="AT1003" t="s">
        <v>580</v>
      </c>
      <c r="AU1003" t="s">
        <v>580</v>
      </c>
      <c r="AV1003" t="s">
        <v>580</v>
      </c>
      <c r="AW1003" t="s">
        <v>2213</v>
      </c>
      <c r="AX1003" t="s">
        <v>1083</v>
      </c>
      <c r="AY1003" t="s">
        <v>2213</v>
      </c>
      <c r="AZ1003" t="s">
        <v>1083</v>
      </c>
      <c r="BB1003">
        <v>1909.17</v>
      </c>
      <c r="BC1003">
        <v>0</v>
      </c>
      <c r="BD1003">
        <v>10</v>
      </c>
      <c r="BE1003">
        <v>10.01</v>
      </c>
      <c r="BF1003">
        <v>10</v>
      </c>
      <c r="BG1003" t="s">
        <v>14181</v>
      </c>
      <c r="BH1003" t="s">
        <v>2213</v>
      </c>
      <c r="BI1003" t="s">
        <v>1083</v>
      </c>
      <c r="BJ1003" t="s">
        <v>101</v>
      </c>
      <c r="BN1003" t="s">
        <v>4063</v>
      </c>
    </row>
    <row r="1004" spans="1:66" x14ac:dyDescent="0.25">
      <c r="A1004" t="str">
        <f>HYPERLINK("https://elite.finviz.com/quote.ashx?t=LGN&amp;ty=c&amp;p=d&amp;b=1", "LGN")</f>
        <v>LGN</v>
      </c>
      <c r="B1004">
        <v>7</v>
      </c>
      <c r="C1004">
        <v>138.38</v>
      </c>
      <c r="E1004" t="s">
        <v>14182</v>
      </c>
      <c r="F1004" t="s">
        <v>107</v>
      </c>
      <c r="G1004" t="s">
        <v>260</v>
      </c>
      <c r="H1004" t="s">
        <v>2944</v>
      </c>
      <c r="I1004" t="s">
        <v>70</v>
      </c>
      <c r="J1004" t="s">
        <v>321</v>
      </c>
      <c r="K1004">
        <v>3255.87</v>
      </c>
      <c r="L1004">
        <v>32.01</v>
      </c>
      <c r="M1004" t="s">
        <v>2294</v>
      </c>
      <c r="N1004">
        <v>51571</v>
      </c>
      <c r="AJ1004" t="s">
        <v>2215</v>
      </c>
      <c r="AR1004" t="s">
        <v>3723</v>
      </c>
      <c r="AT1004" t="s">
        <v>5158</v>
      </c>
      <c r="AU1004" t="s">
        <v>5158</v>
      </c>
      <c r="AV1004" t="s">
        <v>5158</v>
      </c>
      <c r="AW1004" t="s">
        <v>4243</v>
      </c>
      <c r="AX1004" t="s">
        <v>3168</v>
      </c>
      <c r="AY1004" t="s">
        <v>4243</v>
      </c>
      <c r="AZ1004" t="s">
        <v>3168</v>
      </c>
      <c r="BB1004">
        <v>2145.36</v>
      </c>
      <c r="BC1004">
        <v>0.08</v>
      </c>
      <c r="BD1004">
        <v>32.08</v>
      </c>
      <c r="BE1004">
        <v>32.5</v>
      </c>
      <c r="BF1004">
        <v>31.39</v>
      </c>
      <c r="BG1004" t="s">
        <v>14183</v>
      </c>
      <c r="BH1004" t="s">
        <v>4243</v>
      </c>
      <c r="BI1004" t="s">
        <v>3168</v>
      </c>
      <c r="BJ1004" t="s">
        <v>101</v>
      </c>
      <c r="BN1004" t="s">
        <v>4063</v>
      </c>
    </row>
    <row r="1005" spans="1:66" x14ac:dyDescent="0.25">
      <c r="A1005" t="str">
        <f>HYPERLINK("https://elite.finviz.com/quote.ashx?t=OTGAU&amp;ty=c&amp;p=d&amp;b=1", "OTGAU")</f>
        <v>OTGAU</v>
      </c>
      <c r="B1005">
        <v>7</v>
      </c>
      <c r="C1005">
        <v>138.38</v>
      </c>
      <c r="E1005" t="s">
        <v>14184</v>
      </c>
      <c r="F1005" t="s">
        <v>107</v>
      </c>
      <c r="G1005" t="s">
        <v>550</v>
      </c>
      <c r="H1005" t="s">
        <v>2120</v>
      </c>
      <c r="I1005" t="s">
        <v>70</v>
      </c>
      <c r="J1005" t="s">
        <v>321</v>
      </c>
      <c r="K1005">
        <v>239.42</v>
      </c>
      <c r="L1005">
        <v>10.07</v>
      </c>
      <c r="M1005" t="s">
        <v>1083</v>
      </c>
      <c r="N1005">
        <v>19942</v>
      </c>
      <c r="S1005">
        <v>24560.97</v>
      </c>
      <c r="AL1005">
        <v>0.4</v>
      </c>
      <c r="AM1005">
        <v>0.4</v>
      </c>
      <c r="AN1005">
        <v>4</v>
      </c>
      <c r="AR1005" t="s">
        <v>439</v>
      </c>
      <c r="AT1005" t="s">
        <v>698</v>
      </c>
      <c r="AU1005" t="s">
        <v>698</v>
      </c>
      <c r="AV1005" t="s">
        <v>698</v>
      </c>
      <c r="AW1005" t="s">
        <v>2638</v>
      </c>
      <c r="AX1005" t="s">
        <v>3047</v>
      </c>
      <c r="AY1005" t="s">
        <v>2638</v>
      </c>
      <c r="AZ1005" t="s">
        <v>3047</v>
      </c>
      <c r="BB1005">
        <v>1594.11</v>
      </c>
      <c r="BC1005">
        <v>0.04</v>
      </c>
      <c r="BD1005">
        <v>10.050000000000001</v>
      </c>
      <c r="BE1005">
        <v>10.07</v>
      </c>
      <c r="BF1005">
        <v>10.07</v>
      </c>
      <c r="BG1005" t="s">
        <v>14185</v>
      </c>
      <c r="BH1005" t="s">
        <v>2638</v>
      </c>
      <c r="BI1005" t="s">
        <v>3047</v>
      </c>
      <c r="BJ1005" t="s">
        <v>101</v>
      </c>
      <c r="BN1005" t="s">
        <v>4063</v>
      </c>
    </row>
    <row r="1006" spans="1:66" x14ac:dyDescent="0.25">
      <c r="A1006" t="str">
        <f>HYPERLINK("https://elite.finviz.com/quote.ashx?t=PLTS&amp;ty=c&amp;p=d&amp;b=1", "PLTS")</f>
        <v>PLTS</v>
      </c>
      <c r="B1006">
        <v>7</v>
      </c>
      <c r="C1006">
        <v>138.38</v>
      </c>
      <c r="E1006" t="s">
        <v>14186</v>
      </c>
      <c r="F1006" t="s">
        <v>107</v>
      </c>
      <c r="G1006" t="s">
        <v>108</v>
      </c>
      <c r="H1006" t="s">
        <v>136</v>
      </c>
      <c r="I1006" t="s">
        <v>70</v>
      </c>
      <c r="J1006" t="s">
        <v>321</v>
      </c>
      <c r="L1006">
        <v>15.86</v>
      </c>
      <c r="M1006" t="s">
        <v>14187</v>
      </c>
      <c r="N1006">
        <v>198711</v>
      </c>
      <c r="AT1006" t="s">
        <v>3044</v>
      </c>
      <c r="AU1006" t="s">
        <v>3044</v>
      </c>
      <c r="AV1006" t="s">
        <v>3044</v>
      </c>
      <c r="AW1006" t="s">
        <v>12274</v>
      </c>
      <c r="AX1006" t="s">
        <v>14188</v>
      </c>
      <c r="AY1006" t="s">
        <v>12274</v>
      </c>
      <c r="AZ1006" t="s">
        <v>14188</v>
      </c>
      <c r="BB1006">
        <v>2533.92</v>
      </c>
      <c r="BC1006">
        <v>0.28000000000000003</v>
      </c>
      <c r="BD1006">
        <v>11.85</v>
      </c>
      <c r="BE1006">
        <v>15.9</v>
      </c>
      <c r="BF1006">
        <v>11.01</v>
      </c>
      <c r="BG1006" t="s">
        <v>14189</v>
      </c>
      <c r="BH1006" t="s">
        <v>12274</v>
      </c>
      <c r="BI1006" t="s">
        <v>14188</v>
      </c>
      <c r="BJ1006" t="s">
        <v>101</v>
      </c>
      <c r="BN1006" t="s">
        <v>4063</v>
      </c>
    </row>
    <row r="1007" spans="1:66" x14ac:dyDescent="0.25">
      <c r="A1007" t="str">
        <f>HYPERLINK("https://elite.finviz.com/quote.ashx?t=WBI&amp;ty=c&amp;p=d&amp;b=1", "WBI")</f>
        <v>WBI</v>
      </c>
      <c r="B1007">
        <v>7</v>
      </c>
      <c r="C1007">
        <v>138.38</v>
      </c>
      <c r="E1007" t="s">
        <v>14190</v>
      </c>
      <c r="F1007" t="s">
        <v>107</v>
      </c>
      <c r="G1007" t="s">
        <v>287</v>
      </c>
      <c r="H1007" t="s">
        <v>13133</v>
      </c>
      <c r="I1007" t="s">
        <v>70</v>
      </c>
      <c r="J1007" t="s">
        <v>71</v>
      </c>
      <c r="L1007">
        <v>23.38</v>
      </c>
      <c r="M1007" t="s">
        <v>4308</v>
      </c>
      <c r="N1007">
        <v>238798</v>
      </c>
      <c r="AR1007" t="s">
        <v>4077</v>
      </c>
      <c r="AT1007" t="s">
        <v>4267</v>
      </c>
      <c r="AU1007" t="s">
        <v>4267</v>
      </c>
      <c r="AV1007" t="s">
        <v>4267</v>
      </c>
      <c r="AW1007" t="s">
        <v>137</v>
      </c>
      <c r="AX1007" t="s">
        <v>6226</v>
      </c>
      <c r="AY1007" t="s">
        <v>137</v>
      </c>
      <c r="AZ1007" t="s">
        <v>6226</v>
      </c>
      <c r="BB1007">
        <v>2791.83</v>
      </c>
      <c r="BC1007">
        <v>0.3</v>
      </c>
      <c r="BD1007">
        <v>23.23</v>
      </c>
      <c r="BE1007">
        <v>23.48</v>
      </c>
      <c r="BF1007">
        <v>22.95</v>
      </c>
      <c r="BG1007" t="s">
        <v>14191</v>
      </c>
      <c r="BH1007" t="s">
        <v>137</v>
      </c>
      <c r="BI1007" t="s">
        <v>6226</v>
      </c>
      <c r="BJ1007" t="s">
        <v>101</v>
      </c>
      <c r="BN1007" t="s">
        <v>4063</v>
      </c>
    </row>
    <row r="1008" spans="1:66" x14ac:dyDescent="0.25">
      <c r="A1008" t="str">
        <f>HYPERLINK("https://elite.finviz.com/quote.ashx?t=CETX&amp;ty=c&amp;p=d&amp;b=1", "CETX")</f>
        <v>CETX</v>
      </c>
      <c r="B1008">
        <v>6</v>
      </c>
      <c r="C1008">
        <v>137.84</v>
      </c>
      <c r="D1008">
        <v>13.93</v>
      </c>
      <c r="E1008" t="s">
        <v>14192</v>
      </c>
      <c r="F1008" t="s">
        <v>107</v>
      </c>
      <c r="G1008" t="s">
        <v>108</v>
      </c>
      <c r="H1008" t="s">
        <v>109</v>
      </c>
      <c r="I1008" t="s">
        <v>70</v>
      </c>
      <c r="J1008" t="s">
        <v>321</v>
      </c>
      <c r="K1008">
        <v>2.17</v>
      </c>
      <c r="L1008">
        <v>0.38</v>
      </c>
      <c r="M1008" t="s">
        <v>11348</v>
      </c>
      <c r="N1008">
        <v>706198</v>
      </c>
      <c r="O1008">
        <v>0</v>
      </c>
      <c r="R1008">
        <v>0.03</v>
      </c>
      <c r="S1008">
        <v>0.37</v>
      </c>
      <c r="V1008" t="s">
        <v>14193</v>
      </c>
      <c r="AA1008">
        <v>297.60000000000002</v>
      </c>
      <c r="AB1008" t="s">
        <v>14194</v>
      </c>
      <c r="AC1008" t="s">
        <v>13056</v>
      </c>
      <c r="AE1008" t="s">
        <v>2963</v>
      </c>
      <c r="AF1008" t="s">
        <v>14195</v>
      </c>
      <c r="AG1008" t="s">
        <v>11641</v>
      </c>
      <c r="AH1008" t="s">
        <v>12975</v>
      </c>
      <c r="AJ1008" t="s">
        <v>164</v>
      </c>
      <c r="AK1008" t="s">
        <v>3521</v>
      </c>
      <c r="AL1008">
        <v>1.2</v>
      </c>
      <c r="AM1008">
        <v>0.96</v>
      </c>
      <c r="AN1008">
        <v>6.23</v>
      </c>
      <c r="AO1008" t="s">
        <v>12619</v>
      </c>
      <c r="AP1008" t="s">
        <v>6430</v>
      </c>
      <c r="AQ1008" t="s">
        <v>14196</v>
      </c>
      <c r="AR1008" t="s">
        <v>12974</v>
      </c>
      <c r="AS1008" t="s">
        <v>1066</v>
      </c>
      <c r="AT1008" t="s">
        <v>14197</v>
      </c>
      <c r="AU1008" t="s">
        <v>14198</v>
      </c>
      <c r="AV1008" t="s">
        <v>9819</v>
      </c>
      <c r="AW1008" t="s">
        <v>14199</v>
      </c>
      <c r="AX1008" t="s">
        <v>4210</v>
      </c>
      <c r="AY1008" t="s">
        <v>14200</v>
      </c>
      <c r="AZ1008" t="s">
        <v>4210</v>
      </c>
      <c r="BA1008">
        <v>1</v>
      </c>
      <c r="BB1008">
        <v>1101.08</v>
      </c>
      <c r="BC1008">
        <v>2.2599999999999998</v>
      </c>
      <c r="BD1008">
        <v>0.41</v>
      </c>
      <c r="BE1008">
        <v>0.4</v>
      </c>
      <c r="BF1008">
        <v>0.37</v>
      </c>
      <c r="BG1008" t="s">
        <v>14201</v>
      </c>
      <c r="BH1008" t="s">
        <v>579</v>
      </c>
      <c r="BI1008" t="s">
        <v>4210</v>
      </c>
      <c r="BJ1008" t="s">
        <v>101</v>
      </c>
      <c r="BK1008" t="s">
        <v>14202</v>
      </c>
      <c r="BL1008" t="s">
        <v>14203</v>
      </c>
      <c r="BM1008" t="s">
        <v>14200</v>
      </c>
      <c r="BN1008" t="s">
        <v>14204</v>
      </c>
    </row>
    <row r="1009" spans="1:66" x14ac:dyDescent="0.25">
      <c r="A1009" t="str">
        <f>HYPERLINK("https://elite.finviz.com/quote.ashx?t=KMX&amp;ty=c&amp;p=d&amp;b=1", "KMX")</f>
        <v>KMX</v>
      </c>
      <c r="B1009">
        <v>6</v>
      </c>
      <c r="C1009">
        <v>137.84</v>
      </c>
      <c r="D1009">
        <v>19.47</v>
      </c>
      <c r="E1009" t="s">
        <v>14205</v>
      </c>
      <c r="F1009" t="s">
        <v>195</v>
      </c>
      <c r="G1009" t="s">
        <v>813</v>
      </c>
      <c r="H1009" t="s">
        <v>5888</v>
      </c>
      <c r="I1009" t="s">
        <v>70</v>
      </c>
      <c r="J1009" t="s">
        <v>71</v>
      </c>
      <c r="K1009">
        <v>6788.33</v>
      </c>
      <c r="L1009">
        <v>45.23</v>
      </c>
      <c r="M1009" t="s">
        <v>174</v>
      </c>
      <c r="N1009">
        <v>3347578</v>
      </c>
      <c r="O1009">
        <v>13.29</v>
      </c>
      <c r="P1009">
        <v>11.16</v>
      </c>
      <c r="R1009">
        <v>0.24</v>
      </c>
      <c r="S1009">
        <v>1.08</v>
      </c>
      <c r="Z1009" t="s">
        <v>164</v>
      </c>
      <c r="AA1009">
        <v>3.4</v>
      </c>
      <c r="AB1009" t="s">
        <v>7181</v>
      </c>
      <c r="AC1009" t="s">
        <v>12163</v>
      </c>
      <c r="AE1009" t="s">
        <v>2423</v>
      </c>
      <c r="AF1009" t="s">
        <v>1373</v>
      </c>
      <c r="AG1009" t="s">
        <v>11629</v>
      </c>
      <c r="AH1009" t="s">
        <v>10726</v>
      </c>
      <c r="AI1009" t="s">
        <v>14206</v>
      </c>
      <c r="AJ1009" t="s">
        <v>3598</v>
      </c>
      <c r="AK1009" t="s">
        <v>14207</v>
      </c>
      <c r="AL1009">
        <v>2.46</v>
      </c>
      <c r="AM1009">
        <v>1.06</v>
      </c>
      <c r="AN1009">
        <v>3.09</v>
      </c>
      <c r="AO1009" t="s">
        <v>6528</v>
      </c>
      <c r="AP1009" t="s">
        <v>5071</v>
      </c>
      <c r="AQ1009" t="s">
        <v>910</v>
      </c>
      <c r="AR1009" t="s">
        <v>4299</v>
      </c>
      <c r="AS1009" t="s">
        <v>2662</v>
      </c>
      <c r="AT1009" t="s">
        <v>14208</v>
      </c>
      <c r="AU1009" t="s">
        <v>14209</v>
      </c>
      <c r="AV1009" t="s">
        <v>14210</v>
      </c>
      <c r="AW1009" t="s">
        <v>14211</v>
      </c>
      <c r="AX1009" t="s">
        <v>7210</v>
      </c>
      <c r="AY1009" t="s">
        <v>8758</v>
      </c>
      <c r="AZ1009" t="s">
        <v>7210</v>
      </c>
      <c r="BA1009">
        <v>2.23</v>
      </c>
      <c r="BB1009">
        <v>3317.91</v>
      </c>
      <c r="BC1009">
        <v>3.55</v>
      </c>
      <c r="BD1009">
        <v>45.6</v>
      </c>
      <c r="BE1009">
        <v>46.59</v>
      </c>
      <c r="BF1009">
        <v>44.56</v>
      </c>
      <c r="BG1009" t="s">
        <v>14212</v>
      </c>
      <c r="BH1009" t="s">
        <v>14213</v>
      </c>
      <c r="BI1009" t="s">
        <v>14214</v>
      </c>
      <c r="BJ1009" t="s">
        <v>101</v>
      </c>
      <c r="BK1009" t="s">
        <v>14215</v>
      </c>
      <c r="BL1009" t="s">
        <v>14216</v>
      </c>
      <c r="BM1009" t="s">
        <v>11107</v>
      </c>
      <c r="BN1009" t="s">
        <v>14204</v>
      </c>
    </row>
    <row r="1010" spans="1:66" x14ac:dyDescent="0.25">
      <c r="A1010" t="str">
        <f>HYPERLINK("https://elite.finviz.com/quote.ashx?t=ATYR&amp;ty=c&amp;p=d&amp;b=1", "ATYR")</f>
        <v>ATYR</v>
      </c>
      <c r="B1010">
        <v>6</v>
      </c>
      <c r="C1010">
        <v>137.84</v>
      </c>
      <c r="D1010">
        <v>22.18</v>
      </c>
      <c r="E1010" t="s">
        <v>14217</v>
      </c>
      <c r="F1010" t="s">
        <v>67</v>
      </c>
      <c r="G1010" t="s">
        <v>428</v>
      </c>
      <c r="H1010" t="s">
        <v>429</v>
      </c>
      <c r="I1010" t="s">
        <v>70</v>
      </c>
      <c r="J1010" t="s">
        <v>321</v>
      </c>
      <c r="K1010">
        <v>83.04</v>
      </c>
      <c r="L1010">
        <v>0.85</v>
      </c>
      <c r="M1010" t="s">
        <v>6822</v>
      </c>
      <c r="N1010">
        <v>6478911</v>
      </c>
      <c r="S1010">
        <v>1.05</v>
      </c>
      <c r="AA1010">
        <v>-0.8</v>
      </c>
      <c r="AB1010" t="s">
        <v>8153</v>
      </c>
      <c r="AC1010" t="s">
        <v>772</v>
      </c>
      <c r="AD1010" t="s">
        <v>4110</v>
      </c>
      <c r="AE1010" t="s">
        <v>579</v>
      </c>
      <c r="AG1010" t="s">
        <v>1828</v>
      </c>
      <c r="AI1010" t="s">
        <v>14218</v>
      </c>
      <c r="AJ1010" t="s">
        <v>164</v>
      </c>
      <c r="AK1010" t="s">
        <v>14219</v>
      </c>
      <c r="AL1010">
        <v>5.63</v>
      </c>
      <c r="AM1010">
        <v>5.63</v>
      </c>
      <c r="AN1010">
        <v>0.17</v>
      </c>
      <c r="AR1010" t="s">
        <v>5912</v>
      </c>
      <c r="AS1010" t="s">
        <v>4067</v>
      </c>
      <c r="AT1010" t="s">
        <v>14220</v>
      </c>
      <c r="AU1010" t="s">
        <v>14221</v>
      </c>
      <c r="AV1010" t="s">
        <v>14222</v>
      </c>
      <c r="AW1010" t="s">
        <v>14223</v>
      </c>
      <c r="AX1010" t="s">
        <v>3031</v>
      </c>
      <c r="AY1010" t="s">
        <v>14223</v>
      </c>
      <c r="AZ1010" t="s">
        <v>3031</v>
      </c>
      <c r="BA1010">
        <v>2.4500000000000002</v>
      </c>
      <c r="BB1010">
        <v>9683.84</v>
      </c>
      <c r="BC1010">
        <v>2.36</v>
      </c>
      <c r="BD1010">
        <v>0.89</v>
      </c>
      <c r="BE1010">
        <v>0.9</v>
      </c>
      <c r="BF1010">
        <v>0.8</v>
      </c>
      <c r="BG1010" t="s">
        <v>14224</v>
      </c>
      <c r="BH1010" t="s">
        <v>3198</v>
      </c>
      <c r="BI1010" t="s">
        <v>3031</v>
      </c>
      <c r="BJ1010" t="s">
        <v>101</v>
      </c>
      <c r="BK1010" t="s">
        <v>14225</v>
      </c>
      <c r="BL1010" t="s">
        <v>14226</v>
      </c>
      <c r="BM1010" t="s">
        <v>14227</v>
      </c>
      <c r="BN1010" t="s">
        <v>14204</v>
      </c>
    </row>
    <row r="1011" spans="1:66" x14ac:dyDescent="0.25">
      <c r="A1011" t="str">
        <f>HYPERLINK("https://elite.finviz.com/quote.ashx?t=KVUE&amp;ty=c&amp;p=d&amp;b=1", "KVUE")</f>
        <v>KVUE</v>
      </c>
      <c r="B1011">
        <v>6</v>
      </c>
      <c r="C1011">
        <v>137.84</v>
      </c>
      <c r="D1011">
        <v>24.6</v>
      </c>
      <c r="E1011" t="s">
        <v>14228</v>
      </c>
      <c r="F1011" t="s">
        <v>195</v>
      </c>
      <c r="G1011" t="s">
        <v>2244</v>
      </c>
      <c r="H1011" t="s">
        <v>5311</v>
      </c>
      <c r="I1011" t="s">
        <v>70</v>
      </c>
      <c r="J1011" t="s">
        <v>71</v>
      </c>
      <c r="K1011">
        <v>31040.95</v>
      </c>
      <c r="L1011">
        <v>16.170000000000002</v>
      </c>
      <c r="M1011" t="s">
        <v>5549</v>
      </c>
      <c r="N1011">
        <v>13317761</v>
      </c>
      <c r="O1011">
        <v>21.97</v>
      </c>
      <c r="P1011">
        <v>14.43</v>
      </c>
      <c r="Q1011">
        <v>10.62</v>
      </c>
      <c r="R1011">
        <v>2.0499999999999998</v>
      </c>
      <c r="S1011">
        <v>2.89</v>
      </c>
      <c r="T1011" t="s">
        <v>7453</v>
      </c>
      <c r="U1011">
        <v>0.82</v>
      </c>
      <c r="V1011" t="s">
        <v>8649</v>
      </c>
      <c r="W1011" t="s">
        <v>14229</v>
      </c>
      <c r="Z1011" t="s">
        <v>14230</v>
      </c>
      <c r="AA1011">
        <v>0.74</v>
      </c>
      <c r="AB1011" t="s">
        <v>14231</v>
      </c>
      <c r="AC1011" t="s">
        <v>217</v>
      </c>
      <c r="AD1011" t="s">
        <v>4276</v>
      </c>
      <c r="AE1011" t="s">
        <v>9475</v>
      </c>
      <c r="AF1011" t="s">
        <v>3344</v>
      </c>
      <c r="AG1011" t="s">
        <v>2572</v>
      </c>
      <c r="AH1011" t="s">
        <v>11242</v>
      </c>
      <c r="AI1011" t="s">
        <v>5132</v>
      </c>
      <c r="AJ1011" t="s">
        <v>164</v>
      </c>
      <c r="AK1011" t="s">
        <v>8326</v>
      </c>
      <c r="AL1011">
        <v>0.98</v>
      </c>
      <c r="AM1011">
        <v>0.68</v>
      </c>
      <c r="AN1011">
        <v>0.81</v>
      </c>
      <c r="AO1011" t="s">
        <v>14232</v>
      </c>
      <c r="AP1011" t="s">
        <v>7082</v>
      </c>
      <c r="AQ1011" t="s">
        <v>827</v>
      </c>
      <c r="AR1011" t="s">
        <v>1452</v>
      </c>
      <c r="AS1011" t="s">
        <v>3443</v>
      </c>
      <c r="AT1011" t="s">
        <v>12939</v>
      </c>
      <c r="AU1011" t="s">
        <v>7274</v>
      </c>
      <c r="AV1011" t="s">
        <v>9740</v>
      </c>
      <c r="AW1011" t="s">
        <v>2327</v>
      </c>
      <c r="AX1011" t="s">
        <v>430</v>
      </c>
      <c r="AY1011" t="s">
        <v>14233</v>
      </c>
      <c r="AZ1011" t="s">
        <v>430</v>
      </c>
      <c r="BA1011">
        <v>2.4500000000000002</v>
      </c>
      <c r="BB1011">
        <v>24572.83</v>
      </c>
      <c r="BC1011">
        <v>1.91</v>
      </c>
      <c r="BD1011">
        <v>16.170000000000002</v>
      </c>
      <c r="BE1011">
        <v>16.559999999999999</v>
      </c>
      <c r="BF1011">
        <v>16.07</v>
      </c>
      <c r="BG1011" t="s">
        <v>14234</v>
      </c>
      <c r="BH1011" t="s">
        <v>14235</v>
      </c>
      <c r="BI1011" t="s">
        <v>430</v>
      </c>
      <c r="BJ1011" t="s">
        <v>101</v>
      </c>
      <c r="BK1011" t="s">
        <v>14208</v>
      </c>
      <c r="BL1011" t="s">
        <v>14236</v>
      </c>
      <c r="BM1011" t="s">
        <v>14237</v>
      </c>
      <c r="BN1011" t="s">
        <v>14204</v>
      </c>
    </row>
    <row r="1012" spans="1:66" x14ac:dyDescent="0.25">
      <c r="A1012" t="str">
        <f>HYPERLINK("https://elite.finviz.com/quote.ashx?t=FCX&amp;ty=c&amp;p=d&amp;b=1", "FCX")</f>
        <v>FCX</v>
      </c>
      <c r="B1012">
        <v>6</v>
      </c>
      <c r="C1012">
        <v>137.84</v>
      </c>
      <c r="D1012">
        <v>25.66</v>
      </c>
      <c r="E1012" t="s">
        <v>14238</v>
      </c>
      <c r="F1012" t="s">
        <v>195</v>
      </c>
      <c r="G1012" t="s">
        <v>355</v>
      </c>
      <c r="H1012" t="s">
        <v>13606</v>
      </c>
      <c r="I1012" t="s">
        <v>70</v>
      </c>
      <c r="J1012" t="s">
        <v>71</v>
      </c>
      <c r="K1012">
        <v>51364.82</v>
      </c>
      <c r="L1012">
        <v>35.78</v>
      </c>
      <c r="M1012" t="s">
        <v>343</v>
      </c>
      <c r="N1012">
        <v>15022126</v>
      </c>
      <c r="O1012">
        <v>27.1</v>
      </c>
      <c r="P1012">
        <v>18.59</v>
      </c>
      <c r="Q1012">
        <v>1.25</v>
      </c>
      <c r="R1012">
        <v>2</v>
      </c>
      <c r="S1012">
        <v>2.82</v>
      </c>
      <c r="T1012" t="s">
        <v>2217</v>
      </c>
      <c r="U1012">
        <v>0.3</v>
      </c>
      <c r="V1012" t="s">
        <v>7373</v>
      </c>
      <c r="W1012" t="s">
        <v>164</v>
      </c>
      <c r="X1012" t="s">
        <v>2788</v>
      </c>
      <c r="Y1012" t="s">
        <v>1628</v>
      </c>
      <c r="Z1012" t="s">
        <v>14239</v>
      </c>
      <c r="AA1012">
        <v>1.32</v>
      </c>
      <c r="AB1012" t="s">
        <v>10986</v>
      </c>
      <c r="AD1012" t="s">
        <v>1300</v>
      </c>
      <c r="AE1012" t="s">
        <v>1772</v>
      </c>
      <c r="AF1012" t="s">
        <v>4142</v>
      </c>
      <c r="AG1012" t="s">
        <v>6751</v>
      </c>
      <c r="AH1012" t="s">
        <v>339</v>
      </c>
      <c r="AI1012" t="s">
        <v>11778</v>
      </c>
      <c r="AJ1012" t="s">
        <v>2638</v>
      </c>
      <c r="AK1012" t="s">
        <v>459</v>
      </c>
      <c r="AL1012">
        <v>2.4700000000000002</v>
      </c>
      <c r="AM1012">
        <v>1.21</v>
      </c>
      <c r="AN1012">
        <v>0.51</v>
      </c>
      <c r="AO1012" t="s">
        <v>14240</v>
      </c>
      <c r="AP1012" t="s">
        <v>3397</v>
      </c>
      <c r="AQ1012" t="s">
        <v>3746</v>
      </c>
      <c r="AR1012" t="s">
        <v>4824</v>
      </c>
      <c r="AS1012" t="s">
        <v>3542</v>
      </c>
      <c r="AT1012" t="s">
        <v>14241</v>
      </c>
      <c r="AU1012" t="s">
        <v>10629</v>
      </c>
      <c r="AV1012" t="s">
        <v>14242</v>
      </c>
      <c r="AW1012" t="s">
        <v>14243</v>
      </c>
      <c r="AX1012" t="s">
        <v>1952</v>
      </c>
      <c r="AY1012" t="s">
        <v>4102</v>
      </c>
      <c r="AZ1012" t="s">
        <v>14244</v>
      </c>
      <c r="BA1012">
        <v>2.04</v>
      </c>
      <c r="BB1012">
        <v>17245.900000000001</v>
      </c>
      <c r="BC1012">
        <v>3.07</v>
      </c>
      <c r="BD1012">
        <v>35.340000000000003</v>
      </c>
      <c r="BE1012">
        <v>36.26</v>
      </c>
      <c r="BF1012">
        <v>35.299999999999997</v>
      </c>
      <c r="BG1012" t="s">
        <v>14245</v>
      </c>
      <c r="BH1012" t="s">
        <v>14246</v>
      </c>
      <c r="BI1012" t="s">
        <v>14247</v>
      </c>
      <c r="BJ1012" t="s">
        <v>101</v>
      </c>
      <c r="BK1012" t="s">
        <v>14248</v>
      </c>
      <c r="BL1012" t="s">
        <v>14249</v>
      </c>
      <c r="BM1012" t="s">
        <v>2068</v>
      </c>
      <c r="BN1012" t="s">
        <v>14204</v>
      </c>
    </row>
    <row r="1013" spans="1:66" x14ac:dyDescent="0.25">
      <c r="A1013" t="str">
        <f>HYPERLINK("https://elite.finviz.com/quote.ashx?t=SDM&amp;ty=c&amp;p=d&amp;b=1", "SDM")</f>
        <v>SDM</v>
      </c>
      <c r="B1013">
        <v>6</v>
      </c>
      <c r="C1013">
        <v>137.84</v>
      </c>
      <c r="D1013">
        <v>28.61</v>
      </c>
      <c r="E1013" t="s">
        <v>14250</v>
      </c>
      <c r="F1013" t="s">
        <v>107</v>
      </c>
      <c r="G1013" t="s">
        <v>598</v>
      </c>
      <c r="H1013" t="s">
        <v>1020</v>
      </c>
      <c r="I1013" t="s">
        <v>70</v>
      </c>
      <c r="J1013" t="s">
        <v>321</v>
      </c>
      <c r="L1013">
        <v>1.79</v>
      </c>
      <c r="M1013" t="s">
        <v>14251</v>
      </c>
      <c r="N1013">
        <v>1888747</v>
      </c>
      <c r="AR1013" t="s">
        <v>8691</v>
      </c>
      <c r="AS1013" t="s">
        <v>10485</v>
      </c>
      <c r="AT1013" t="s">
        <v>14252</v>
      </c>
      <c r="AU1013" t="s">
        <v>14253</v>
      </c>
      <c r="AV1013" t="s">
        <v>14254</v>
      </c>
      <c r="AW1013" t="s">
        <v>14255</v>
      </c>
      <c r="AX1013" t="s">
        <v>14256</v>
      </c>
      <c r="AY1013" t="s">
        <v>14255</v>
      </c>
      <c r="AZ1013" t="s">
        <v>6983</v>
      </c>
      <c r="BB1013">
        <v>1299.1400000000001</v>
      </c>
      <c r="BC1013">
        <v>5.12</v>
      </c>
      <c r="BD1013">
        <v>13.61</v>
      </c>
      <c r="BE1013">
        <v>14.36</v>
      </c>
      <c r="BF1013">
        <v>1.72</v>
      </c>
      <c r="BG1013" t="s">
        <v>14257</v>
      </c>
      <c r="BH1013" t="s">
        <v>14255</v>
      </c>
      <c r="BI1013" t="s">
        <v>6983</v>
      </c>
      <c r="BJ1013" t="s">
        <v>101</v>
      </c>
      <c r="BK1013" t="s">
        <v>14258</v>
      </c>
      <c r="BN1013" t="s">
        <v>14204</v>
      </c>
    </row>
    <row r="1014" spans="1:66" x14ac:dyDescent="0.25">
      <c r="A1014" t="str">
        <f>HYPERLINK("https://elite.finviz.com/quote.ashx?t=RENB&amp;ty=c&amp;p=d&amp;b=1", "RENB")</f>
        <v>RENB</v>
      </c>
      <c r="B1014">
        <v>6</v>
      </c>
      <c r="C1014">
        <v>137.84</v>
      </c>
      <c r="D1014">
        <v>29.67</v>
      </c>
      <c r="E1014" t="s">
        <v>14259</v>
      </c>
      <c r="F1014" t="s">
        <v>107</v>
      </c>
      <c r="G1014" t="s">
        <v>428</v>
      </c>
      <c r="H1014" t="s">
        <v>429</v>
      </c>
      <c r="I1014" t="s">
        <v>70</v>
      </c>
      <c r="J1014" t="s">
        <v>321</v>
      </c>
      <c r="K1014">
        <v>31.41</v>
      </c>
      <c r="L1014">
        <v>0.14000000000000001</v>
      </c>
      <c r="M1014" t="s">
        <v>3814</v>
      </c>
      <c r="N1014">
        <v>1205932</v>
      </c>
      <c r="S1014">
        <v>0.25</v>
      </c>
      <c r="AA1014">
        <v>-0.47</v>
      </c>
      <c r="AB1014" t="s">
        <v>2480</v>
      </c>
      <c r="AC1014" t="s">
        <v>7237</v>
      </c>
      <c r="AJ1014" t="s">
        <v>164</v>
      </c>
      <c r="AK1014" t="s">
        <v>229</v>
      </c>
      <c r="AL1014">
        <v>0.13</v>
      </c>
      <c r="AM1014">
        <v>0.13</v>
      </c>
      <c r="AN1014">
        <v>0.08</v>
      </c>
      <c r="AR1014" t="s">
        <v>3259</v>
      </c>
      <c r="AS1014" t="s">
        <v>292</v>
      </c>
      <c r="AT1014" t="s">
        <v>5300</v>
      </c>
      <c r="AU1014" t="s">
        <v>14260</v>
      </c>
      <c r="AV1014" t="s">
        <v>14261</v>
      </c>
      <c r="AW1014" t="s">
        <v>396</v>
      </c>
      <c r="AX1014" t="s">
        <v>4659</v>
      </c>
      <c r="AY1014" t="s">
        <v>14262</v>
      </c>
      <c r="AZ1014" t="s">
        <v>4659</v>
      </c>
      <c r="BB1014">
        <v>1982.21</v>
      </c>
      <c r="BC1014">
        <v>2.14</v>
      </c>
      <c r="BD1014">
        <v>0.14000000000000001</v>
      </c>
      <c r="BE1014">
        <v>0.15</v>
      </c>
      <c r="BF1014">
        <v>0.13</v>
      </c>
      <c r="BG1014" t="s">
        <v>14263</v>
      </c>
      <c r="BH1014" t="s">
        <v>14264</v>
      </c>
      <c r="BI1014" t="s">
        <v>4659</v>
      </c>
      <c r="BJ1014" t="s">
        <v>101</v>
      </c>
      <c r="BK1014" t="s">
        <v>14265</v>
      </c>
      <c r="BL1014" t="s">
        <v>11281</v>
      </c>
      <c r="BM1014" t="s">
        <v>14266</v>
      </c>
      <c r="BN1014" t="s">
        <v>14204</v>
      </c>
    </row>
    <row r="1015" spans="1:66" x14ac:dyDescent="0.25">
      <c r="A1015" t="str">
        <f>HYPERLINK("https://elite.finviz.com/quote.ashx?t=RVPH&amp;ty=c&amp;p=d&amp;b=1", "RVPH")</f>
        <v>RVPH</v>
      </c>
      <c r="B1015">
        <v>6</v>
      </c>
      <c r="C1015">
        <v>137.84</v>
      </c>
      <c r="D1015">
        <v>30.5</v>
      </c>
      <c r="E1015" t="s">
        <v>14267</v>
      </c>
      <c r="F1015" t="s">
        <v>107</v>
      </c>
      <c r="G1015" t="s">
        <v>428</v>
      </c>
      <c r="H1015" t="s">
        <v>429</v>
      </c>
      <c r="I1015" t="s">
        <v>70</v>
      </c>
      <c r="J1015" t="s">
        <v>321</v>
      </c>
      <c r="K1015">
        <v>28.14</v>
      </c>
      <c r="L1015">
        <v>0.28999999999999998</v>
      </c>
      <c r="M1015" t="s">
        <v>1722</v>
      </c>
      <c r="N1015">
        <v>2744355</v>
      </c>
      <c r="AA1015">
        <v>-0.65</v>
      </c>
      <c r="AB1015" t="s">
        <v>4071</v>
      </c>
      <c r="AD1015" t="s">
        <v>11368</v>
      </c>
      <c r="AI1015" t="s">
        <v>4155</v>
      </c>
      <c r="AJ1015" t="s">
        <v>164</v>
      </c>
      <c r="AK1015" t="s">
        <v>3270</v>
      </c>
      <c r="AL1015">
        <v>0.9</v>
      </c>
      <c r="AM1015">
        <v>0.9</v>
      </c>
      <c r="AR1015" t="s">
        <v>1396</v>
      </c>
      <c r="AS1015" t="s">
        <v>2922</v>
      </c>
      <c r="AT1015" t="s">
        <v>14268</v>
      </c>
      <c r="AU1015" t="s">
        <v>14269</v>
      </c>
      <c r="AV1015" t="s">
        <v>14270</v>
      </c>
      <c r="AW1015" t="s">
        <v>13723</v>
      </c>
      <c r="AX1015" t="s">
        <v>8400</v>
      </c>
      <c r="AY1015" t="s">
        <v>14271</v>
      </c>
      <c r="AZ1015" t="s">
        <v>8400</v>
      </c>
      <c r="BA1015">
        <v>1</v>
      </c>
      <c r="BB1015">
        <v>3848.17</v>
      </c>
      <c r="BC1015">
        <v>2.5099999999999998</v>
      </c>
      <c r="BD1015">
        <v>0.28999999999999998</v>
      </c>
      <c r="BE1015">
        <v>0.31</v>
      </c>
      <c r="BF1015">
        <v>0.28999999999999998</v>
      </c>
      <c r="BG1015" t="s">
        <v>14272</v>
      </c>
      <c r="BH1015" t="s">
        <v>14273</v>
      </c>
      <c r="BI1015" t="s">
        <v>8400</v>
      </c>
      <c r="BJ1015" t="s">
        <v>101</v>
      </c>
      <c r="BK1015" t="s">
        <v>14274</v>
      </c>
      <c r="BL1015" t="s">
        <v>14275</v>
      </c>
      <c r="BM1015" t="s">
        <v>14276</v>
      </c>
      <c r="BN1015" t="s">
        <v>14204</v>
      </c>
    </row>
    <row r="1016" spans="1:66" x14ac:dyDescent="0.25">
      <c r="A1016" t="str">
        <f>HYPERLINK("https://elite.finviz.com/quote.ashx?t=ALTS&amp;ty=c&amp;p=d&amp;b=1", "ALTS")</f>
        <v>ALTS</v>
      </c>
      <c r="B1016">
        <v>6</v>
      </c>
      <c r="C1016">
        <v>137.84</v>
      </c>
      <c r="D1016">
        <v>32.64</v>
      </c>
      <c r="E1016" t="s">
        <v>14277</v>
      </c>
      <c r="F1016" t="s">
        <v>107</v>
      </c>
      <c r="G1016" t="s">
        <v>108</v>
      </c>
      <c r="H1016" t="s">
        <v>136</v>
      </c>
      <c r="I1016" t="s">
        <v>70</v>
      </c>
      <c r="J1016" t="s">
        <v>321</v>
      </c>
      <c r="K1016">
        <v>361.78</v>
      </c>
      <c r="L1016">
        <v>2.97</v>
      </c>
      <c r="M1016" t="s">
        <v>6276</v>
      </c>
      <c r="N1016">
        <v>3541406</v>
      </c>
      <c r="R1016">
        <v>16.260000000000002</v>
      </c>
      <c r="S1016">
        <v>7.01</v>
      </c>
      <c r="V1016" t="s">
        <v>6872</v>
      </c>
      <c r="AA1016">
        <v>-0.99</v>
      </c>
      <c r="AB1016" t="s">
        <v>14278</v>
      </c>
      <c r="AC1016" t="s">
        <v>7500</v>
      </c>
      <c r="AE1016" t="s">
        <v>14279</v>
      </c>
      <c r="AF1016" t="s">
        <v>14280</v>
      </c>
      <c r="AG1016" t="s">
        <v>14281</v>
      </c>
      <c r="AH1016" t="s">
        <v>14282</v>
      </c>
      <c r="AI1016" t="s">
        <v>5187</v>
      </c>
      <c r="AJ1016" t="s">
        <v>164</v>
      </c>
      <c r="AK1016" t="s">
        <v>4492</v>
      </c>
      <c r="AL1016">
        <v>0.88</v>
      </c>
      <c r="AM1016">
        <v>0.88</v>
      </c>
      <c r="AN1016">
        <v>0.76</v>
      </c>
      <c r="AO1016" t="s">
        <v>930</v>
      </c>
      <c r="AP1016" t="s">
        <v>1181</v>
      </c>
      <c r="AQ1016" t="s">
        <v>14283</v>
      </c>
      <c r="AR1016" t="s">
        <v>5912</v>
      </c>
      <c r="AS1016" t="s">
        <v>9614</v>
      </c>
      <c r="AT1016" t="s">
        <v>14284</v>
      </c>
      <c r="AU1016" t="s">
        <v>14285</v>
      </c>
      <c r="AV1016" t="s">
        <v>14286</v>
      </c>
      <c r="AW1016" t="s">
        <v>14287</v>
      </c>
      <c r="AX1016" t="s">
        <v>6002</v>
      </c>
      <c r="AY1016" t="s">
        <v>14288</v>
      </c>
      <c r="AZ1016" t="s">
        <v>13184</v>
      </c>
      <c r="BA1016">
        <v>1</v>
      </c>
      <c r="BB1016">
        <v>8140.75</v>
      </c>
      <c r="BC1016">
        <v>1.53</v>
      </c>
      <c r="BD1016">
        <v>3.06</v>
      </c>
      <c r="BE1016">
        <v>3.11</v>
      </c>
      <c r="BF1016">
        <v>2.93</v>
      </c>
      <c r="BG1016" t="s">
        <v>14289</v>
      </c>
      <c r="BH1016" t="s">
        <v>12709</v>
      </c>
      <c r="BI1016" t="s">
        <v>14290</v>
      </c>
      <c r="BJ1016" t="s">
        <v>101</v>
      </c>
      <c r="BK1016" t="s">
        <v>14291</v>
      </c>
      <c r="BL1016" t="s">
        <v>14292</v>
      </c>
      <c r="BM1016" t="s">
        <v>9519</v>
      </c>
      <c r="BN1016" t="s">
        <v>14204</v>
      </c>
    </row>
    <row r="1017" spans="1:66" x14ac:dyDescent="0.25">
      <c r="A1017" t="str">
        <f>HYPERLINK("https://elite.finviz.com/quote.ashx?t=SHOT&amp;ty=c&amp;p=d&amp;b=1", "SHOT")</f>
        <v>SHOT</v>
      </c>
      <c r="B1017">
        <v>6</v>
      </c>
      <c r="C1017">
        <v>137.84</v>
      </c>
      <c r="D1017">
        <v>33.270000000000003</v>
      </c>
      <c r="E1017" t="s">
        <v>14293</v>
      </c>
      <c r="F1017" t="s">
        <v>107</v>
      </c>
      <c r="G1017" t="s">
        <v>2244</v>
      </c>
      <c r="H1017" t="s">
        <v>4568</v>
      </c>
      <c r="I1017" t="s">
        <v>70</v>
      </c>
      <c r="J1017" t="s">
        <v>321</v>
      </c>
      <c r="K1017">
        <v>58.32</v>
      </c>
      <c r="L1017">
        <v>0.27</v>
      </c>
      <c r="M1017" t="s">
        <v>8054</v>
      </c>
      <c r="N1017">
        <v>20380151</v>
      </c>
      <c r="R1017">
        <v>153.46</v>
      </c>
      <c r="S1017">
        <v>1.18</v>
      </c>
      <c r="AA1017">
        <v>-0.46</v>
      </c>
      <c r="AB1017" t="s">
        <v>7082</v>
      </c>
      <c r="AC1017" t="s">
        <v>8198</v>
      </c>
      <c r="AE1017" t="s">
        <v>14294</v>
      </c>
      <c r="AF1017" t="s">
        <v>6605</v>
      </c>
      <c r="AG1017" t="s">
        <v>14295</v>
      </c>
      <c r="AH1017" t="s">
        <v>1682</v>
      </c>
      <c r="AJ1017" t="s">
        <v>164</v>
      </c>
      <c r="AK1017" t="s">
        <v>4839</v>
      </c>
      <c r="AL1017">
        <v>1.1599999999999999</v>
      </c>
      <c r="AM1017">
        <v>1.1100000000000001</v>
      </c>
      <c r="AN1017">
        <v>0.45</v>
      </c>
      <c r="AO1017" t="s">
        <v>14296</v>
      </c>
      <c r="AP1017" t="s">
        <v>14297</v>
      </c>
      <c r="AQ1017" t="s">
        <v>14298</v>
      </c>
      <c r="AR1017" t="s">
        <v>466</v>
      </c>
      <c r="AS1017" t="s">
        <v>582</v>
      </c>
      <c r="AT1017" t="s">
        <v>10986</v>
      </c>
      <c r="AU1017" t="s">
        <v>14299</v>
      </c>
      <c r="AV1017" t="s">
        <v>14300</v>
      </c>
      <c r="AW1017" t="s">
        <v>14301</v>
      </c>
      <c r="AX1017" t="s">
        <v>3455</v>
      </c>
      <c r="AY1017" t="s">
        <v>14302</v>
      </c>
      <c r="AZ1017" t="s">
        <v>2163</v>
      </c>
      <c r="BA1017">
        <v>1</v>
      </c>
      <c r="BB1017">
        <v>7138.3</v>
      </c>
      <c r="BC1017">
        <v>10.06</v>
      </c>
      <c r="BD1017">
        <v>0.25</v>
      </c>
      <c r="BE1017">
        <v>0.27</v>
      </c>
      <c r="BF1017">
        <v>0.25</v>
      </c>
      <c r="BG1017" t="s">
        <v>14303</v>
      </c>
      <c r="BH1017" t="s">
        <v>14304</v>
      </c>
      <c r="BI1017" t="s">
        <v>2163</v>
      </c>
      <c r="BJ1017" t="s">
        <v>101</v>
      </c>
      <c r="BK1017" t="s">
        <v>5491</v>
      </c>
      <c r="BL1017" t="s">
        <v>14305</v>
      </c>
      <c r="BM1017" t="s">
        <v>14306</v>
      </c>
      <c r="BN1017" t="s">
        <v>14204</v>
      </c>
    </row>
    <row r="1018" spans="1:66" x14ac:dyDescent="0.25">
      <c r="A1018" t="str">
        <f>HYPERLINK("https://elite.finviz.com/quote.ashx?t=HUN&amp;ty=c&amp;p=d&amp;b=1", "HUN")</f>
        <v>HUN</v>
      </c>
      <c r="B1018">
        <v>6</v>
      </c>
      <c r="C1018">
        <v>137.84</v>
      </c>
      <c r="D1018">
        <v>33.31</v>
      </c>
      <c r="E1018" t="s">
        <v>14307</v>
      </c>
      <c r="F1018" t="s">
        <v>107</v>
      </c>
      <c r="G1018" t="s">
        <v>355</v>
      </c>
      <c r="H1018" t="s">
        <v>5130</v>
      </c>
      <c r="I1018" t="s">
        <v>70</v>
      </c>
      <c r="J1018" t="s">
        <v>71</v>
      </c>
      <c r="K1018">
        <v>1569.85</v>
      </c>
      <c r="L1018">
        <v>9.0299999999999994</v>
      </c>
      <c r="M1018" t="s">
        <v>7423</v>
      </c>
      <c r="N1018">
        <v>2345320</v>
      </c>
      <c r="R1018">
        <v>0.27</v>
      </c>
      <c r="S1018">
        <v>0.55000000000000004</v>
      </c>
      <c r="T1018" t="s">
        <v>3759</v>
      </c>
      <c r="U1018">
        <v>1</v>
      </c>
      <c r="V1018" t="s">
        <v>3833</v>
      </c>
      <c r="W1018" t="s">
        <v>3981</v>
      </c>
      <c r="X1018" t="s">
        <v>7216</v>
      </c>
      <c r="Y1018" t="s">
        <v>2887</v>
      </c>
      <c r="AA1018">
        <v>-1.8</v>
      </c>
      <c r="AE1018" t="s">
        <v>5070</v>
      </c>
      <c r="AF1018" t="s">
        <v>3892</v>
      </c>
      <c r="AG1018" t="s">
        <v>1690</v>
      </c>
      <c r="AH1018" t="s">
        <v>5134</v>
      </c>
      <c r="AI1018" t="s">
        <v>14308</v>
      </c>
      <c r="AJ1018" t="s">
        <v>458</v>
      </c>
      <c r="AK1018" t="s">
        <v>9723</v>
      </c>
      <c r="AL1018">
        <v>1.43</v>
      </c>
      <c r="AM1018">
        <v>0.85</v>
      </c>
      <c r="AN1018">
        <v>0.86</v>
      </c>
      <c r="AO1018" t="s">
        <v>14309</v>
      </c>
      <c r="AP1018" t="s">
        <v>227</v>
      </c>
      <c r="AQ1018" t="s">
        <v>3704</v>
      </c>
      <c r="AR1018" t="s">
        <v>4269</v>
      </c>
      <c r="AS1018" t="s">
        <v>5672</v>
      </c>
      <c r="AT1018" t="s">
        <v>14274</v>
      </c>
      <c r="AU1018" t="s">
        <v>5372</v>
      </c>
      <c r="AV1018" t="s">
        <v>14310</v>
      </c>
      <c r="AW1018" t="s">
        <v>8628</v>
      </c>
      <c r="AX1018" t="s">
        <v>4800</v>
      </c>
      <c r="AY1018" t="s">
        <v>14311</v>
      </c>
      <c r="AZ1018" t="s">
        <v>4800</v>
      </c>
      <c r="BA1018">
        <v>2.89</v>
      </c>
      <c r="BB1018">
        <v>4728.5600000000004</v>
      </c>
      <c r="BC1018">
        <v>1.75</v>
      </c>
      <c r="BD1018">
        <v>8.89</v>
      </c>
      <c r="BE1018">
        <v>9.17</v>
      </c>
      <c r="BF1018">
        <v>8.99</v>
      </c>
      <c r="BG1018" t="s">
        <v>14312</v>
      </c>
      <c r="BH1018" t="s">
        <v>14313</v>
      </c>
      <c r="BI1018" t="s">
        <v>14314</v>
      </c>
      <c r="BJ1018" t="s">
        <v>101</v>
      </c>
      <c r="BK1018" t="s">
        <v>2110</v>
      </c>
      <c r="BL1018" t="s">
        <v>14315</v>
      </c>
      <c r="BM1018" t="s">
        <v>14316</v>
      </c>
      <c r="BN1018" t="s">
        <v>14204</v>
      </c>
    </row>
    <row r="1019" spans="1:66" x14ac:dyDescent="0.25">
      <c r="A1019" t="str">
        <f>HYPERLINK("https://elite.finviz.com/quote.ashx?t=NAKA&amp;ty=c&amp;p=d&amp;b=1", "NAKA")</f>
        <v>NAKA</v>
      </c>
      <c r="B1019">
        <v>6</v>
      </c>
      <c r="C1019">
        <v>137.84</v>
      </c>
      <c r="D1019">
        <v>34.08</v>
      </c>
      <c r="E1019" t="s">
        <v>14317</v>
      </c>
      <c r="F1019" t="s">
        <v>107</v>
      </c>
      <c r="G1019" t="s">
        <v>428</v>
      </c>
      <c r="H1019" t="s">
        <v>3160</v>
      </c>
      <c r="I1019" t="s">
        <v>70</v>
      </c>
      <c r="J1019" t="s">
        <v>321</v>
      </c>
      <c r="K1019">
        <v>445.74</v>
      </c>
      <c r="L1019">
        <v>1.18</v>
      </c>
      <c r="M1019" t="s">
        <v>8929</v>
      </c>
      <c r="N1019">
        <v>4669478</v>
      </c>
      <c r="R1019">
        <v>198.99</v>
      </c>
      <c r="S1019">
        <v>1</v>
      </c>
      <c r="AA1019">
        <v>-0.86</v>
      </c>
      <c r="AE1019" t="s">
        <v>14318</v>
      </c>
      <c r="AF1019" t="s">
        <v>3456</v>
      </c>
      <c r="AH1019" t="s">
        <v>14319</v>
      </c>
      <c r="AI1019" t="s">
        <v>164</v>
      </c>
      <c r="AJ1019" t="s">
        <v>164</v>
      </c>
      <c r="AK1019" t="s">
        <v>629</v>
      </c>
      <c r="AL1019">
        <v>12.99</v>
      </c>
      <c r="AM1019">
        <v>12.99</v>
      </c>
      <c r="AN1019">
        <v>0.06</v>
      </c>
      <c r="AO1019" t="s">
        <v>14320</v>
      </c>
      <c r="AP1019" t="s">
        <v>14321</v>
      </c>
      <c r="AQ1019" t="s">
        <v>14322</v>
      </c>
      <c r="AR1019" t="s">
        <v>1514</v>
      </c>
      <c r="AS1019" t="s">
        <v>2719</v>
      </c>
      <c r="AT1019" t="s">
        <v>14323</v>
      </c>
      <c r="AU1019" t="s">
        <v>14324</v>
      </c>
      <c r="AV1019" t="s">
        <v>14325</v>
      </c>
      <c r="AW1019" t="s">
        <v>14326</v>
      </c>
      <c r="AX1019" t="s">
        <v>2235</v>
      </c>
      <c r="AY1019" t="s">
        <v>14327</v>
      </c>
      <c r="AZ1019" t="s">
        <v>14328</v>
      </c>
      <c r="BA1019">
        <v>1</v>
      </c>
      <c r="BB1019">
        <v>8155.22</v>
      </c>
      <c r="BC1019">
        <v>2.02</v>
      </c>
      <c r="BD1019">
        <v>1.26</v>
      </c>
      <c r="BE1019">
        <v>1.25</v>
      </c>
      <c r="BF1019">
        <v>1.18</v>
      </c>
      <c r="BG1019" t="s">
        <v>14329</v>
      </c>
      <c r="BH1019" t="s">
        <v>14327</v>
      </c>
      <c r="BI1019" t="s">
        <v>14328</v>
      </c>
      <c r="BJ1019" t="s">
        <v>101</v>
      </c>
      <c r="BK1019" t="s">
        <v>1688</v>
      </c>
      <c r="BL1019" t="s">
        <v>14330</v>
      </c>
      <c r="BM1019" t="s">
        <v>14331</v>
      </c>
      <c r="BN1019" t="s">
        <v>14204</v>
      </c>
    </row>
    <row r="1020" spans="1:66" x14ac:dyDescent="0.25">
      <c r="A1020" t="str">
        <f>HYPERLINK("https://elite.finviz.com/quote.ashx?t=BURU&amp;ty=c&amp;p=d&amp;b=1", "BURU")</f>
        <v>BURU</v>
      </c>
      <c r="B1020">
        <v>6</v>
      </c>
      <c r="C1020">
        <v>137.84</v>
      </c>
      <c r="D1020">
        <v>34.21</v>
      </c>
      <c r="E1020" t="s">
        <v>14332</v>
      </c>
      <c r="F1020" t="s">
        <v>107</v>
      </c>
      <c r="G1020" t="s">
        <v>260</v>
      </c>
      <c r="H1020" t="s">
        <v>261</v>
      </c>
      <c r="I1020" t="s">
        <v>70</v>
      </c>
      <c r="J1020" t="s">
        <v>383</v>
      </c>
      <c r="K1020">
        <v>16.77</v>
      </c>
      <c r="L1020">
        <v>0.13</v>
      </c>
      <c r="M1020" t="s">
        <v>2265</v>
      </c>
      <c r="N1020">
        <v>23983419</v>
      </c>
      <c r="R1020">
        <v>1677.29</v>
      </c>
      <c r="AA1020">
        <v>-2.16</v>
      </c>
      <c r="AC1020" t="s">
        <v>12137</v>
      </c>
      <c r="AE1020" t="s">
        <v>14333</v>
      </c>
      <c r="AH1020" t="s">
        <v>579</v>
      </c>
      <c r="AJ1020" t="s">
        <v>164</v>
      </c>
      <c r="AK1020" t="s">
        <v>6842</v>
      </c>
      <c r="AL1020">
        <v>0.03</v>
      </c>
      <c r="AM1020">
        <v>0.03</v>
      </c>
      <c r="AO1020" t="s">
        <v>14334</v>
      </c>
      <c r="AP1020" t="s">
        <v>14335</v>
      </c>
      <c r="AQ1020" t="s">
        <v>14336</v>
      </c>
      <c r="AR1020" t="s">
        <v>302</v>
      </c>
      <c r="AS1020" t="s">
        <v>7555</v>
      </c>
      <c r="AT1020" t="s">
        <v>3109</v>
      </c>
      <c r="AU1020" t="s">
        <v>10326</v>
      </c>
      <c r="AV1020" t="s">
        <v>14337</v>
      </c>
      <c r="AW1020" t="s">
        <v>14338</v>
      </c>
      <c r="AX1020" t="s">
        <v>4173</v>
      </c>
      <c r="AY1020" t="s">
        <v>3133</v>
      </c>
      <c r="AZ1020" t="s">
        <v>4173</v>
      </c>
      <c r="BB1020">
        <v>20778.29</v>
      </c>
      <c r="BC1020">
        <v>4.07</v>
      </c>
      <c r="BD1020">
        <v>0.14000000000000001</v>
      </c>
      <c r="BE1020">
        <v>0.14000000000000001</v>
      </c>
      <c r="BF1020">
        <v>0.12</v>
      </c>
      <c r="BG1020" t="s">
        <v>14339</v>
      </c>
      <c r="BH1020" t="s">
        <v>3265</v>
      </c>
      <c r="BI1020" t="s">
        <v>4173</v>
      </c>
      <c r="BJ1020" t="s">
        <v>101</v>
      </c>
      <c r="BK1020" t="s">
        <v>14340</v>
      </c>
      <c r="BL1020" t="s">
        <v>6879</v>
      </c>
      <c r="BM1020" t="s">
        <v>14341</v>
      </c>
      <c r="BN1020" t="s">
        <v>14204</v>
      </c>
    </row>
    <row r="1021" spans="1:66" x14ac:dyDescent="0.25">
      <c r="A1021" t="str">
        <f>HYPERLINK("https://elite.finviz.com/quote.ashx?t=GOGO&amp;ty=c&amp;p=d&amp;b=1", "GOGO")</f>
        <v>GOGO</v>
      </c>
      <c r="B1021">
        <v>6</v>
      </c>
      <c r="C1021">
        <v>137.84</v>
      </c>
      <c r="D1021">
        <v>34.549999999999997</v>
      </c>
      <c r="E1021" t="s">
        <v>14342</v>
      </c>
      <c r="F1021" t="s">
        <v>67</v>
      </c>
      <c r="G1021" t="s">
        <v>598</v>
      </c>
      <c r="H1021" t="s">
        <v>6147</v>
      </c>
      <c r="I1021" t="s">
        <v>70</v>
      </c>
      <c r="J1021" t="s">
        <v>321</v>
      </c>
      <c r="K1021">
        <v>1227.6199999999999</v>
      </c>
      <c r="L1021">
        <v>9.18</v>
      </c>
      <c r="M1021" t="s">
        <v>4403</v>
      </c>
      <c r="N1021">
        <v>784887</v>
      </c>
      <c r="O1021">
        <v>204.98</v>
      </c>
      <c r="P1021">
        <v>15.3</v>
      </c>
      <c r="Q1021">
        <v>1.92</v>
      </c>
      <c r="R1021">
        <v>1.77</v>
      </c>
      <c r="S1021">
        <v>11.91</v>
      </c>
      <c r="Z1021" t="s">
        <v>164</v>
      </c>
      <c r="AA1021">
        <v>0.04</v>
      </c>
      <c r="AB1021" t="s">
        <v>14343</v>
      </c>
      <c r="AD1021" t="s">
        <v>14344</v>
      </c>
      <c r="AE1021" t="s">
        <v>14345</v>
      </c>
      <c r="AF1021" t="s">
        <v>3335</v>
      </c>
      <c r="AG1021" t="s">
        <v>2922</v>
      </c>
      <c r="AH1021" t="s">
        <v>14346</v>
      </c>
      <c r="AI1021" t="s">
        <v>14347</v>
      </c>
      <c r="AJ1021" t="s">
        <v>14348</v>
      </c>
      <c r="AK1021" t="s">
        <v>6239</v>
      </c>
      <c r="AL1021">
        <v>1.71</v>
      </c>
      <c r="AM1021">
        <v>1.32</v>
      </c>
      <c r="AN1021">
        <v>8.86</v>
      </c>
      <c r="AO1021" t="s">
        <v>13922</v>
      </c>
      <c r="AP1021" t="s">
        <v>1999</v>
      </c>
      <c r="AQ1021" t="s">
        <v>3447</v>
      </c>
      <c r="AR1021" t="s">
        <v>5102</v>
      </c>
      <c r="AS1021" t="s">
        <v>1091</v>
      </c>
      <c r="AT1021" t="s">
        <v>4517</v>
      </c>
      <c r="AU1021" t="s">
        <v>13616</v>
      </c>
      <c r="AV1021" t="s">
        <v>2746</v>
      </c>
      <c r="AW1021" t="s">
        <v>14349</v>
      </c>
      <c r="AX1021" t="s">
        <v>1006</v>
      </c>
      <c r="AY1021" t="s">
        <v>14349</v>
      </c>
      <c r="AZ1021" t="s">
        <v>11885</v>
      </c>
      <c r="BA1021">
        <v>2.2000000000000002</v>
      </c>
      <c r="BB1021">
        <v>1880.07</v>
      </c>
      <c r="BC1021">
        <v>1.47</v>
      </c>
      <c r="BD1021">
        <v>8.6999999999999993</v>
      </c>
      <c r="BE1021">
        <v>9.2200000000000006</v>
      </c>
      <c r="BF1021">
        <v>8.61</v>
      </c>
      <c r="BG1021" t="s">
        <v>14350</v>
      </c>
      <c r="BH1021" t="s">
        <v>14351</v>
      </c>
      <c r="BI1021" t="s">
        <v>14352</v>
      </c>
      <c r="BJ1021" t="s">
        <v>101</v>
      </c>
      <c r="BK1021" t="s">
        <v>14353</v>
      </c>
      <c r="BL1021" t="s">
        <v>5591</v>
      </c>
      <c r="BM1021" t="s">
        <v>1548</v>
      </c>
      <c r="BN1021" t="s">
        <v>14204</v>
      </c>
    </row>
    <row r="1022" spans="1:66" x14ac:dyDescent="0.25">
      <c r="A1022" t="str">
        <f>HYPERLINK("https://elite.finviz.com/quote.ashx?t=COST&amp;ty=c&amp;p=d&amp;b=1", "COST")</f>
        <v>COST</v>
      </c>
      <c r="B1022">
        <v>6</v>
      </c>
      <c r="C1022">
        <v>137.84</v>
      </c>
      <c r="D1022">
        <v>35.119999999999997</v>
      </c>
      <c r="E1022" t="s">
        <v>14354</v>
      </c>
      <c r="F1022" t="s">
        <v>319</v>
      </c>
      <c r="G1022" t="s">
        <v>2244</v>
      </c>
      <c r="H1022" t="s">
        <v>7615</v>
      </c>
      <c r="I1022" t="s">
        <v>70</v>
      </c>
      <c r="J1022" t="s">
        <v>321</v>
      </c>
      <c r="K1022">
        <v>409720.01</v>
      </c>
      <c r="L1022">
        <v>923.88</v>
      </c>
      <c r="M1022" t="s">
        <v>14331</v>
      </c>
      <c r="N1022">
        <v>2269547</v>
      </c>
      <c r="O1022">
        <v>50.74</v>
      </c>
      <c r="P1022">
        <v>41.96</v>
      </c>
      <c r="Q1022">
        <v>4.84</v>
      </c>
      <c r="R1022">
        <v>1.49</v>
      </c>
      <c r="S1022">
        <v>14.04</v>
      </c>
      <c r="T1022" t="s">
        <v>2571</v>
      </c>
      <c r="U1022">
        <v>4.92</v>
      </c>
      <c r="V1022" t="s">
        <v>4066</v>
      </c>
      <c r="W1022" t="s">
        <v>5390</v>
      </c>
      <c r="X1022" t="s">
        <v>2111</v>
      </c>
      <c r="Y1022" t="s">
        <v>7655</v>
      </c>
      <c r="Z1022" t="s">
        <v>11296</v>
      </c>
      <c r="AA1022">
        <v>18.21</v>
      </c>
      <c r="AB1022" t="s">
        <v>10407</v>
      </c>
      <c r="AC1022" t="s">
        <v>3875</v>
      </c>
      <c r="AD1022" t="s">
        <v>7106</v>
      </c>
      <c r="AE1022" t="s">
        <v>7511</v>
      </c>
      <c r="AF1022" t="s">
        <v>521</v>
      </c>
      <c r="AG1022" t="s">
        <v>2376</v>
      </c>
      <c r="AH1022" t="s">
        <v>2655</v>
      </c>
      <c r="AI1022" t="s">
        <v>5745</v>
      </c>
      <c r="AJ1022" t="s">
        <v>6659</v>
      </c>
      <c r="AK1022" t="s">
        <v>13379</v>
      </c>
      <c r="AL1022">
        <v>1.03</v>
      </c>
      <c r="AM1022">
        <v>0.55000000000000004</v>
      </c>
      <c r="AN1022">
        <v>0.28000000000000003</v>
      </c>
      <c r="AO1022" t="s">
        <v>10403</v>
      </c>
      <c r="AP1022" t="s">
        <v>1100</v>
      </c>
      <c r="AQ1022" t="s">
        <v>4873</v>
      </c>
      <c r="AR1022" t="s">
        <v>3976</v>
      </c>
      <c r="AS1022" t="s">
        <v>5158</v>
      </c>
      <c r="AT1022" t="s">
        <v>7884</v>
      </c>
      <c r="AU1022" t="s">
        <v>5061</v>
      </c>
      <c r="AV1022" t="s">
        <v>1052</v>
      </c>
      <c r="AW1022" t="s">
        <v>14355</v>
      </c>
      <c r="AX1022" t="s">
        <v>2717</v>
      </c>
      <c r="AY1022" t="s">
        <v>2088</v>
      </c>
      <c r="AZ1022" t="s">
        <v>9186</v>
      </c>
      <c r="BA1022">
        <v>1.93</v>
      </c>
      <c r="BB1022">
        <v>2162.09</v>
      </c>
      <c r="BC1022">
        <v>3.7</v>
      </c>
      <c r="BD1022">
        <v>943.31</v>
      </c>
      <c r="BE1022">
        <v>926</v>
      </c>
      <c r="BF1022">
        <v>905.3</v>
      </c>
      <c r="BG1022" t="s">
        <v>14356</v>
      </c>
      <c r="BH1022" t="s">
        <v>2088</v>
      </c>
      <c r="BI1022" t="s">
        <v>14357</v>
      </c>
      <c r="BJ1022" t="s">
        <v>101</v>
      </c>
      <c r="BK1022" t="s">
        <v>2665</v>
      </c>
      <c r="BL1022" t="s">
        <v>6265</v>
      </c>
      <c r="BM1022" t="s">
        <v>3635</v>
      </c>
      <c r="BN1022" t="s">
        <v>14204</v>
      </c>
    </row>
    <row r="1023" spans="1:66" x14ac:dyDescent="0.25">
      <c r="A1023" t="str">
        <f>HYPERLINK("https://elite.finviz.com/quote.ashx?t=NEXT&amp;ty=c&amp;p=d&amp;b=1", "NEXT")</f>
        <v>NEXT</v>
      </c>
      <c r="B1023">
        <v>6</v>
      </c>
      <c r="C1023">
        <v>137.84</v>
      </c>
      <c r="D1023">
        <v>35.76</v>
      </c>
      <c r="E1023" t="s">
        <v>14358</v>
      </c>
      <c r="F1023" t="s">
        <v>67</v>
      </c>
      <c r="G1023" t="s">
        <v>1048</v>
      </c>
      <c r="H1023" t="s">
        <v>8341</v>
      </c>
      <c r="I1023" t="s">
        <v>70</v>
      </c>
      <c r="J1023" t="s">
        <v>321</v>
      </c>
      <c r="K1023">
        <v>1894.18</v>
      </c>
      <c r="L1023">
        <v>7.23</v>
      </c>
      <c r="M1023" t="s">
        <v>2293</v>
      </c>
      <c r="N1023">
        <v>2451506</v>
      </c>
      <c r="S1023">
        <v>7.15</v>
      </c>
      <c r="T1023" t="s">
        <v>3494</v>
      </c>
      <c r="AA1023">
        <v>-0.79</v>
      </c>
      <c r="AB1023" t="s">
        <v>2513</v>
      </c>
      <c r="AC1023" t="s">
        <v>2629</v>
      </c>
      <c r="AI1023" t="s">
        <v>789</v>
      </c>
      <c r="AJ1023" t="s">
        <v>4600</v>
      </c>
      <c r="AK1023" t="s">
        <v>14359</v>
      </c>
      <c r="AL1023">
        <v>0.7</v>
      </c>
      <c r="AM1023">
        <v>0.7</v>
      </c>
      <c r="AN1023">
        <v>20.41</v>
      </c>
      <c r="AR1023" t="s">
        <v>5336</v>
      </c>
      <c r="AS1023" t="s">
        <v>417</v>
      </c>
      <c r="AT1023" t="s">
        <v>13837</v>
      </c>
      <c r="AU1023" t="s">
        <v>14360</v>
      </c>
      <c r="AV1023" t="s">
        <v>9071</v>
      </c>
      <c r="AW1023" t="s">
        <v>14361</v>
      </c>
      <c r="AX1023" t="s">
        <v>7775</v>
      </c>
      <c r="AY1023" t="s">
        <v>14361</v>
      </c>
      <c r="AZ1023" t="s">
        <v>13905</v>
      </c>
      <c r="BA1023">
        <v>2.33</v>
      </c>
      <c r="BB1023">
        <v>3658.01</v>
      </c>
      <c r="BC1023">
        <v>2.36</v>
      </c>
      <c r="BD1023">
        <v>6.87</v>
      </c>
      <c r="BE1023">
        <v>7.39</v>
      </c>
      <c r="BF1023">
        <v>6.99</v>
      </c>
      <c r="BG1023" t="s">
        <v>14362</v>
      </c>
      <c r="BH1023" t="s">
        <v>14363</v>
      </c>
      <c r="BI1023" t="s">
        <v>14364</v>
      </c>
      <c r="BJ1023" t="s">
        <v>101</v>
      </c>
      <c r="BK1023" t="s">
        <v>12000</v>
      </c>
      <c r="BL1023" t="s">
        <v>5299</v>
      </c>
      <c r="BM1023" t="s">
        <v>6034</v>
      </c>
      <c r="BN1023" t="s">
        <v>14204</v>
      </c>
    </row>
    <row r="1024" spans="1:66" x14ac:dyDescent="0.25">
      <c r="A1024" t="str">
        <f>HYPERLINK("https://elite.finviz.com/quote.ashx?t=SFIX&amp;ty=c&amp;p=d&amp;b=1", "SFIX")</f>
        <v>SFIX</v>
      </c>
      <c r="B1024">
        <v>6</v>
      </c>
      <c r="C1024">
        <v>137.84</v>
      </c>
      <c r="D1024">
        <v>36.57</v>
      </c>
      <c r="E1024" t="s">
        <v>14365</v>
      </c>
      <c r="F1024" t="s">
        <v>67</v>
      </c>
      <c r="G1024" t="s">
        <v>813</v>
      </c>
      <c r="H1024" t="s">
        <v>4488</v>
      </c>
      <c r="I1024" t="s">
        <v>70</v>
      </c>
      <c r="J1024" t="s">
        <v>321</v>
      </c>
      <c r="K1024">
        <v>613.94000000000005</v>
      </c>
      <c r="L1024">
        <v>4.7</v>
      </c>
      <c r="M1024" t="s">
        <v>4699</v>
      </c>
      <c r="N1024">
        <v>1198027</v>
      </c>
      <c r="R1024">
        <v>0.48</v>
      </c>
      <c r="S1024">
        <v>3.07</v>
      </c>
      <c r="AA1024">
        <v>-0.22</v>
      </c>
      <c r="AB1024" t="s">
        <v>14366</v>
      </c>
      <c r="AC1024" t="s">
        <v>4331</v>
      </c>
      <c r="AE1024" t="s">
        <v>786</v>
      </c>
      <c r="AF1024" t="s">
        <v>9632</v>
      </c>
      <c r="AG1024" t="s">
        <v>2220</v>
      </c>
      <c r="AH1024" t="s">
        <v>91</v>
      </c>
      <c r="AI1024" t="s">
        <v>4208</v>
      </c>
      <c r="AJ1024" t="s">
        <v>2888</v>
      </c>
      <c r="AK1024" t="s">
        <v>14367</v>
      </c>
      <c r="AL1024">
        <v>1.81</v>
      </c>
      <c r="AM1024">
        <v>1.24</v>
      </c>
      <c r="AN1024">
        <v>0.46</v>
      </c>
      <c r="AO1024" t="s">
        <v>14368</v>
      </c>
      <c r="AP1024" t="s">
        <v>6105</v>
      </c>
      <c r="AQ1024" t="s">
        <v>10568</v>
      </c>
      <c r="AR1024" t="s">
        <v>1771</v>
      </c>
      <c r="AS1024" t="s">
        <v>1871</v>
      </c>
      <c r="AT1024" t="s">
        <v>14369</v>
      </c>
      <c r="AU1024" t="s">
        <v>12282</v>
      </c>
      <c r="AV1024" t="s">
        <v>7150</v>
      </c>
      <c r="AW1024" t="s">
        <v>14370</v>
      </c>
      <c r="AX1024" t="s">
        <v>10407</v>
      </c>
      <c r="AY1024" t="s">
        <v>14371</v>
      </c>
      <c r="AZ1024" t="s">
        <v>14372</v>
      </c>
      <c r="BA1024">
        <v>3</v>
      </c>
      <c r="BB1024">
        <v>2374.33</v>
      </c>
      <c r="BC1024">
        <v>1.78</v>
      </c>
      <c r="BD1024">
        <v>4.71</v>
      </c>
      <c r="BE1024">
        <v>4.78</v>
      </c>
      <c r="BF1024">
        <v>4.5999999999999996</v>
      </c>
      <c r="BG1024" t="s">
        <v>14373</v>
      </c>
      <c r="BH1024" t="s">
        <v>14374</v>
      </c>
      <c r="BI1024" t="s">
        <v>14375</v>
      </c>
      <c r="BJ1024" t="s">
        <v>101</v>
      </c>
      <c r="BK1024" t="s">
        <v>7465</v>
      </c>
      <c r="BL1024" t="s">
        <v>13742</v>
      </c>
      <c r="BM1024" t="s">
        <v>1371</v>
      </c>
      <c r="BN1024" t="s">
        <v>14204</v>
      </c>
    </row>
    <row r="1025" spans="1:66" x14ac:dyDescent="0.25">
      <c r="A1025" t="str">
        <f>HYPERLINK("https://elite.finviz.com/quote.ashx?t=ICU&amp;ty=c&amp;p=d&amp;b=1", "ICU")</f>
        <v>ICU</v>
      </c>
      <c r="B1025">
        <v>6</v>
      </c>
      <c r="C1025">
        <v>137.84</v>
      </c>
      <c r="D1025">
        <v>36.950000000000003</v>
      </c>
      <c r="E1025" t="s">
        <v>14376</v>
      </c>
      <c r="F1025" t="s">
        <v>107</v>
      </c>
      <c r="G1025" t="s">
        <v>428</v>
      </c>
      <c r="H1025" t="s">
        <v>429</v>
      </c>
      <c r="I1025" t="s">
        <v>70</v>
      </c>
      <c r="J1025" t="s">
        <v>321</v>
      </c>
      <c r="K1025">
        <v>15.97</v>
      </c>
      <c r="L1025">
        <v>0.56999999999999995</v>
      </c>
      <c r="M1025" t="s">
        <v>4446</v>
      </c>
      <c r="N1025">
        <v>1926513</v>
      </c>
      <c r="R1025">
        <v>20.74</v>
      </c>
      <c r="S1025">
        <v>2.97</v>
      </c>
      <c r="AA1025">
        <v>-2.4500000000000002</v>
      </c>
      <c r="AB1025" t="s">
        <v>2984</v>
      </c>
      <c r="AC1025" t="s">
        <v>14377</v>
      </c>
      <c r="AI1025" t="s">
        <v>4662</v>
      </c>
      <c r="AJ1025" t="s">
        <v>12132</v>
      </c>
      <c r="AK1025" t="s">
        <v>6336</v>
      </c>
      <c r="AL1025">
        <v>1.52</v>
      </c>
      <c r="AM1025">
        <v>1.5</v>
      </c>
      <c r="AN1025">
        <v>0</v>
      </c>
      <c r="AO1025" t="s">
        <v>164</v>
      </c>
      <c r="AP1025" t="s">
        <v>14378</v>
      </c>
      <c r="AQ1025" t="s">
        <v>14379</v>
      </c>
      <c r="AR1025" t="s">
        <v>1563</v>
      </c>
      <c r="AS1025" t="s">
        <v>1533</v>
      </c>
      <c r="AT1025" t="s">
        <v>8392</v>
      </c>
      <c r="AU1025" t="s">
        <v>12972</v>
      </c>
      <c r="AV1025" t="s">
        <v>14380</v>
      </c>
      <c r="AW1025" t="s">
        <v>8431</v>
      </c>
      <c r="AX1025" t="s">
        <v>223</v>
      </c>
      <c r="AY1025" t="s">
        <v>5004</v>
      </c>
      <c r="AZ1025" t="s">
        <v>14381</v>
      </c>
      <c r="BA1025">
        <v>1</v>
      </c>
      <c r="BB1025">
        <v>3646.1</v>
      </c>
      <c r="BC1025">
        <v>1.86</v>
      </c>
      <c r="BD1025">
        <v>0.61</v>
      </c>
      <c r="BE1025">
        <v>0.61</v>
      </c>
      <c r="BF1025">
        <v>0.56000000000000005</v>
      </c>
      <c r="BG1025" t="s">
        <v>14382</v>
      </c>
      <c r="BH1025" t="s">
        <v>400</v>
      </c>
      <c r="BI1025" t="s">
        <v>14381</v>
      </c>
      <c r="BJ1025" t="s">
        <v>101</v>
      </c>
      <c r="BK1025" t="s">
        <v>14383</v>
      </c>
      <c r="BL1025" t="s">
        <v>14384</v>
      </c>
      <c r="BM1025" t="s">
        <v>14385</v>
      </c>
      <c r="BN1025" t="s">
        <v>14204</v>
      </c>
    </row>
    <row r="1026" spans="1:66" x14ac:dyDescent="0.25">
      <c r="A1026" t="str">
        <f>HYPERLINK("https://elite.finviz.com/quote.ashx?t=RUM&amp;ty=c&amp;p=d&amp;b=1", "RUM")</f>
        <v>RUM</v>
      </c>
      <c r="B1026">
        <v>6</v>
      </c>
      <c r="C1026">
        <v>137.84</v>
      </c>
      <c r="D1026">
        <v>37.64</v>
      </c>
      <c r="E1026" t="s">
        <v>14386</v>
      </c>
      <c r="F1026" t="s">
        <v>67</v>
      </c>
      <c r="G1026" t="s">
        <v>598</v>
      </c>
      <c r="H1026" t="s">
        <v>599</v>
      </c>
      <c r="I1026" t="s">
        <v>70</v>
      </c>
      <c r="J1026" t="s">
        <v>321</v>
      </c>
      <c r="K1026">
        <v>3057.9</v>
      </c>
      <c r="L1026">
        <v>7.03</v>
      </c>
      <c r="M1026" t="s">
        <v>3753</v>
      </c>
      <c r="N1026">
        <v>1517508</v>
      </c>
      <c r="R1026">
        <v>29.38</v>
      </c>
      <c r="S1026">
        <v>7.59</v>
      </c>
      <c r="AA1026">
        <v>-1.43</v>
      </c>
      <c r="AB1026" t="s">
        <v>14387</v>
      </c>
      <c r="AD1026" t="s">
        <v>14388</v>
      </c>
      <c r="AE1026" t="s">
        <v>14389</v>
      </c>
      <c r="AF1026" t="s">
        <v>14390</v>
      </c>
      <c r="AH1026" t="s">
        <v>2595</v>
      </c>
      <c r="AI1026" t="s">
        <v>14391</v>
      </c>
      <c r="AJ1026" t="s">
        <v>164</v>
      </c>
      <c r="AK1026" t="s">
        <v>3430</v>
      </c>
      <c r="AL1026">
        <v>7.71</v>
      </c>
      <c r="AM1026">
        <v>7.71</v>
      </c>
      <c r="AN1026">
        <v>0.01</v>
      </c>
      <c r="AO1026" t="s">
        <v>14392</v>
      </c>
      <c r="AP1026" t="s">
        <v>14393</v>
      </c>
      <c r="AQ1026" t="s">
        <v>14394</v>
      </c>
      <c r="AR1026" t="s">
        <v>2662</v>
      </c>
      <c r="AS1026" t="s">
        <v>7117</v>
      </c>
      <c r="AT1026" t="s">
        <v>2431</v>
      </c>
      <c r="AU1026" t="s">
        <v>10195</v>
      </c>
      <c r="AV1026" t="s">
        <v>14395</v>
      </c>
      <c r="AW1026" t="s">
        <v>10326</v>
      </c>
      <c r="AX1026" t="s">
        <v>6463</v>
      </c>
      <c r="AY1026" t="s">
        <v>14396</v>
      </c>
      <c r="AZ1026" t="s">
        <v>13116</v>
      </c>
      <c r="BA1026">
        <v>2</v>
      </c>
      <c r="BB1026">
        <v>2901.82</v>
      </c>
      <c r="BC1026">
        <v>1.84</v>
      </c>
      <c r="BD1026">
        <v>7.19</v>
      </c>
      <c r="BE1026">
        <v>7.14</v>
      </c>
      <c r="BF1026">
        <v>6.89</v>
      </c>
      <c r="BG1026" t="s">
        <v>14397</v>
      </c>
      <c r="BH1026" t="s">
        <v>14398</v>
      </c>
      <c r="BI1026" t="s">
        <v>14399</v>
      </c>
      <c r="BJ1026" t="s">
        <v>101</v>
      </c>
      <c r="BK1026" t="s">
        <v>14400</v>
      </c>
      <c r="BL1026" t="s">
        <v>4712</v>
      </c>
      <c r="BM1026" t="s">
        <v>6385</v>
      </c>
      <c r="BN1026" t="s">
        <v>14204</v>
      </c>
    </row>
    <row r="1027" spans="1:66" x14ac:dyDescent="0.25">
      <c r="A1027" t="str">
        <f>HYPERLINK("https://elite.finviz.com/quote.ashx?t=NCL&amp;ty=c&amp;p=d&amp;b=1", "NCL")</f>
        <v>NCL</v>
      </c>
      <c r="B1027">
        <v>6</v>
      </c>
      <c r="C1027">
        <v>137.84</v>
      </c>
      <c r="D1027">
        <v>37.65</v>
      </c>
      <c r="E1027" t="s">
        <v>14401</v>
      </c>
      <c r="F1027" t="s">
        <v>107</v>
      </c>
      <c r="G1027" t="s">
        <v>813</v>
      </c>
      <c r="H1027" t="s">
        <v>3866</v>
      </c>
      <c r="I1027" t="s">
        <v>70</v>
      </c>
      <c r="J1027" t="s">
        <v>383</v>
      </c>
      <c r="K1027">
        <v>11.95</v>
      </c>
      <c r="L1027">
        <v>0.13</v>
      </c>
      <c r="M1027" t="s">
        <v>6246</v>
      </c>
      <c r="N1027">
        <v>1847320</v>
      </c>
      <c r="R1027">
        <v>0.99</v>
      </c>
      <c r="S1027">
        <v>1.28</v>
      </c>
      <c r="AA1027">
        <v>-0.18</v>
      </c>
      <c r="AE1027" t="s">
        <v>10680</v>
      </c>
      <c r="AF1027" t="s">
        <v>14402</v>
      </c>
      <c r="AH1027" t="s">
        <v>14403</v>
      </c>
      <c r="AJ1027" t="s">
        <v>164</v>
      </c>
      <c r="AK1027" t="s">
        <v>2125</v>
      </c>
      <c r="AL1027">
        <v>1.02</v>
      </c>
      <c r="AM1027">
        <v>0.57999999999999996</v>
      </c>
      <c r="AN1027">
        <v>0.7</v>
      </c>
      <c r="AO1027" t="s">
        <v>3746</v>
      </c>
      <c r="AP1027" t="s">
        <v>14404</v>
      </c>
      <c r="AQ1027" t="s">
        <v>14405</v>
      </c>
      <c r="AR1027" t="s">
        <v>5680</v>
      </c>
      <c r="AS1027" t="s">
        <v>1066</v>
      </c>
      <c r="AT1027" t="s">
        <v>14406</v>
      </c>
      <c r="AU1027" t="s">
        <v>14407</v>
      </c>
      <c r="AV1027" t="s">
        <v>14408</v>
      </c>
      <c r="AW1027" t="s">
        <v>14409</v>
      </c>
      <c r="AX1027" t="s">
        <v>8293</v>
      </c>
      <c r="AY1027" t="s">
        <v>14410</v>
      </c>
      <c r="AZ1027" t="s">
        <v>8293</v>
      </c>
      <c r="BB1027">
        <v>2409.98</v>
      </c>
      <c r="BC1027">
        <v>2.7</v>
      </c>
      <c r="BD1027">
        <v>0.14000000000000001</v>
      </c>
      <c r="BE1027">
        <v>0.13</v>
      </c>
      <c r="BF1027">
        <v>0.12</v>
      </c>
      <c r="BG1027" t="s">
        <v>14411</v>
      </c>
      <c r="BH1027" t="s">
        <v>14412</v>
      </c>
      <c r="BI1027" t="s">
        <v>8293</v>
      </c>
      <c r="BJ1027" t="s">
        <v>101</v>
      </c>
      <c r="BK1027" t="s">
        <v>14284</v>
      </c>
      <c r="BL1027" t="s">
        <v>14413</v>
      </c>
      <c r="BM1027" t="s">
        <v>13032</v>
      </c>
      <c r="BN1027" t="s">
        <v>14204</v>
      </c>
    </row>
    <row r="1028" spans="1:66" x14ac:dyDescent="0.25">
      <c r="A1028" t="str">
        <f>HYPERLINK("https://elite.finviz.com/quote.ashx?t=RH&amp;ty=c&amp;p=d&amp;b=1", "RH")</f>
        <v>RH</v>
      </c>
      <c r="B1028">
        <v>6</v>
      </c>
      <c r="C1028">
        <v>137.84</v>
      </c>
      <c r="D1028">
        <v>37.729999999999997</v>
      </c>
      <c r="E1028" t="s">
        <v>14414</v>
      </c>
      <c r="F1028" t="s">
        <v>107</v>
      </c>
      <c r="G1028" t="s">
        <v>813</v>
      </c>
      <c r="H1028" t="s">
        <v>2262</v>
      </c>
      <c r="I1028" t="s">
        <v>70</v>
      </c>
      <c r="J1028" t="s">
        <v>71</v>
      </c>
      <c r="K1028">
        <v>3797.56</v>
      </c>
      <c r="L1028">
        <v>202.59</v>
      </c>
      <c r="M1028" t="s">
        <v>5101</v>
      </c>
      <c r="N1028">
        <v>574750</v>
      </c>
      <c r="O1028">
        <v>37.68</v>
      </c>
      <c r="P1028">
        <v>15.93</v>
      </c>
      <c r="Q1028">
        <v>0.81</v>
      </c>
      <c r="R1028">
        <v>1.1399999999999999</v>
      </c>
      <c r="Z1028" t="s">
        <v>164</v>
      </c>
      <c r="AA1028">
        <v>5.38</v>
      </c>
      <c r="AB1028" t="s">
        <v>1213</v>
      </c>
      <c r="AC1028" t="s">
        <v>14415</v>
      </c>
      <c r="AD1028" t="s">
        <v>3404</v>
      </c>
      <c r="AE1028" t="s">
        <v>1533</v>
      </c>
      <c r="AF1028" t="s">
        <v>9148</v>
      </c>
      <c r="AG1028" t="s">
        <v>5592</v>
      </c>
      <c r="AH1028" t="s">
        <v>8050</v>
      </c>
      <c r="AI1028" t="s">
        <v>1137</v>
      </c>
      <c r="AJ1028" t="s">
        <v>2745</v>
      </c>
      <c r="AK1028" t="s">
        <v>14416</v>
      </c>
      <c r="AL1028">
        <v>1.23</v>
      </c>
      <c r="AM1028">
        <v>0.21</v>
      </c>
      <c r="AO1028" t="s">
        <v>14417</v>
      </c>
      <c r="AP1028" t="s">
        <v>6531</v>
      </c>
      <c r="AQ1028" t="s">
        <v>170</v>
      </c>
      <c r="AR1028" t="s">
        <v>3520</v>
      </c>
      <c r="AS1028" t="s">
        <v>161</v>
      </c>
      <c r="AT1028" t="s">
        <v>7915</v>
      </c>
      <c r="AU1028" t="s">
        <v>6139</v>
      </c>
      <c r="AV1028" t="s">
        <v>14418</v>
      </c>
      <c r="AW1028" t="s">
        <v>924</v>
      </c>
      <c r="AX1028" t="s">
        <v>11494</v>
      </c>
      <c r="AY1028" t="s">
        <v>14419</v>
      </c>
      <c r="AZ1028" t="s">
        <v>9688</v>
      </c>
      <c r="BA1028">
        <v>2.4500000000000002</v>
      </c>
      <c r="BB1028">
        <v>1147.3699999999999</v>
      </c>
      <c r="BC1028">
        <v>1.76</v>
      </c>
      <c r="BD1028">
        <v>211.3</v>
      </c>
      <c r="BE1028">
        <v>214.33</v>
      </c>
      <c r="BF1028">
        <v>202.6</v>
      </c>
      <c r="BG1028" t="s">
        <v>14420</v>
      </c>
      <c r="BH1028" t="s">
        <v>14421</v>
      </c>
      <c r="BI1028" t="s">
        <v>14422</v>
      </c>
      <c r="BJ1028" t="s">
        <v>101</v>
      </c>
      <c r="BK1028" t="s">
        <v>3530</v>
      </c>
      <c r="BL1028" t="s">
        <v>14415</v>
      </c>
      <c r="BM1028" t="s">
        <v>14423</v>
      </c>
      <c r="BN1028" t="s">
        <v>14204</v>
      </c>
    </row>
    <row r="1029" spans="1:66" x14ac:dyDescent="0.25">
      <c r="A1029" t="str">
        <f>HYPERLINK("https://elite.finviz.com/quote.ashx?t=CURX&amp;ty=c&amp;p=d&amp;b=1", "CURX")</f>
        <v>CURX</v>
      </c>
      <c r="B1029">
        <v>6</v>
      </c>
      <c r="C1029">
        <v>137.84</v>
      </c>
      <c r="D1029">
        <v>38.520000000000003</v>
      </c>
      <c r="E1029" t="s">
        <v>14424</v>
      </c>
      <c r="F1029" t="s">
        <v>107</v>
      </c>
      <c r="G1029" t="s">
        <v>428</v>
      </c>
      <c r="H1029" t="s">
        <v>429</v>
      </c>
      <c r="I1029" t="s">
        <v>70</v>
      </c>
      <c r="J1029" t="s">
        <v>321</v>
      </c>
      <c r="K1029">
        <v>28.58</v>
      </c>
      <c r="L1029">
        <v>1.03</v>
      </c>
      <c r="M1029" t="s">
        <v>8769</v>
      </c>
      <c r="N1029">
        <v>10585343</v>
      </c>
      <c r="S1029">
        <v>93.64</v>
      </c>
      <c r="AA1029">
        <v>-0.02</v>
      </c>
      <c r="AJ1029" t="s">
        <v>164</v>
      </c>
      <c r="AL1029">
        <v>9.3699999999999992</v>
      </c>
      <c r="AM1029">
        <v>9.3699999999999992</v>
      </c>
      <c r="AN1029">
        <v>1.55</v>
      </c>
      <c r="AR1029" t="s">
        <v>1925</v>
      </c>
      <c r="AS1029" t="s">
        <v>7053</v>
      </c>
      <c r="AT1029" t="s">
        <v>14425</v>
      </c>
      <c r="AU1029" t="s">
        <v>14426</v>
      </c>
      <c r="AV1029" t="s">
        <v>14426</v>
      </c>
      <c r="AW1029" t="s">
        <v>14427</v>
      </c>
      <c r="AX1029" t="s">
        <v>14428</v>
      </c>
      <c r="AY1029" t="s">
        <v>14427</v>
      </c>
      <c r="AZ1029" t="s">
        <v>14428</v>
      </c>
      <c r="BB1029">
        <v>4007.93</v>
      </c>
      <c r="BC1029">
        <v>9.3000000000000007</v>
      </c>
      <c r="BD1029">
        <v>0.68</v>
      </c>
      <c r="BE1029">
        <v>1.05</v>
      </c>
      <c r="BF1029">
        <v>0.68</v>
      </c>
      <c r="BG1029" t="s">
        <v>14429</v>
      </c>
      <c r="BH1029" t="s">
        <v>14427</v>
      </c>
      <c r="BI1029" t="s">
        <v>14428</v>
      </c>
      <c r="BJ1029" t="s">
        <v>101</v>
      </c>
      <c r="BN1029" t="s">
        <v>14204</v>
      </c>
    </row>
    <row r="1030" spans="1:66" x14ac:dyDescent="0.25">
      <c r="A1030" t="str">
        <f>HYPERLINK("https://elite.finviz.com/quote.ashx?t=CROX&amp;ty=c&amp;p=d&amp;b=1", "CROX")</f>
        <v>CROX</v>
      </c>
      <c r="B1030">
        <v>6</v>
      </c>
      <c r="C1030">
        <v>137.84</v>
      </c>
      <c r="D1030">
        <v>39.1</v>
      </c>
      <c r="E1030" t="s">
        <v>14430</v>
      </c>
      <c r="F1030" t="s">
        <v>107</v>
      </c>
      <c r="G1030" t="s">
        <v>813</v>
      </c>
      <c r="H1030" t="s">
        <v>4043</v>
      </c>
      <c r="I1030" t="s">
        <v>70</v>
      </c>
      <c r="J1030" t="s">
        <v>321</v>
      </c>
      <c r="K1030">
        <v>4253.6000000000004</v>
      </c>
      <c r="L1030">
        <v>77.88</v>
      </c>
      <c r="M1030" t="s">
        <v>1760</v>
      </c>
      <c r="N1030">
        <v>1657377</v>
      </c>
      <c r="O1030">
        <v>20.91</v>
      </c>
      <c r="P1030">
        <v>6.93</v>
      </c>
      <c r="R1030">
        <v>1.03</v>
      </c>
      <c r="S1030">
        <v>3</v>
      </c>
      <c r="Z1030" t="s">
        <v>164</v>
      </c>
      <c r="AA1030">
        <v>3.72</v>
      </c>
      <c r="AB1030" t="s">
        <v>2629</v>
      </c>
      <c r="AC1030" t="s">
        <v>14431</v>
      </c>
      <c r="AD1030" t="s">
        <v>6345</v>
      </c>
      <c r="AE1030" t="s">
        <v>5968</v>
      </c>
      <c r="AF1030" t="s">
        <v>2652</v>
      </c>
      <c r="AG1030" t="s">
        <v>7092</v>
      </c>
      <c r="AH1030" t="s">
        <v>4495</v>
      </c>
      <c r="AI1030" t="s">
        <v>636</v>
      </c>
      <c r="AJ1030" t="s">
        <v>1445</v>
      </c>
      <c r="AK1030" t="s">
        <v>7748</v>
      </c>
      <c r="AL1030">
        <v>1.54</v>
      </c>
      <c r="AM1030">
        <v>0.97</v>
      </c>
      <c r="AN1030">
        <v>1.25</v>
      </c>
      <c r="AO1030" t="s">
        <v>14432</v>
      </c>
      <c r="AP1030" t="s">
        <v>10651</v>
      </c>
      <c r="AQ1030" t="s">
        <v>7685</v>
      </c>
      <c r="AR1030" t="s">
        <v>2892</v>
      </c>
      <c r="AS1030" t="s">
        <v>1088</v>
      </c>
      <c r="AT1030" t="s">
        <v>9814</v>
      </c>
      <c r="AU1030" t="s">
        <v>879</v>
      </c>
      <c r="AV1030" t="s">
        <v>14433</v>
      </c>
      <c r="AW1030" t="s">
        <v>14434</v>
      </c>
      <c r="AX1030" t="s">
        <v>3496</v>
      </c>
      <c r="AY1030" t="s">
        <v>14435</v>
      </c>
      <c r="AZ1030" t="s">
        <v>3496</v>
      </c>
      <c r="BA1030">
        <v>2.5299999999999998</v>
      </c>
      <c r="BB1030">
        <v>2010.19</v>
      </c>
      <c r="BC1030">
        <v>2.9</v>
      </c>
      <c r="BD1030">
        <v>76.650000000000006</v>
      </c>
      <c r="BE1030">
        <v>78.8</v>
      </c>
      <c r="BF1030">
        <v>76.540000000000006</v>
      </c>
      <c r="BG1030" t="s">
        <v>14436</v>
      </c>
      <c r="BH1030" t="s">
        <v>14437</v>
      </c>
      <c r="BI1030" t="s">
        <v>14438</v>
      </c>
      <c r="BJ1030" t="s">
        <v>101</v>
      </c>
      <c r="BK1030" t="s">
        <v>14439</v>
      </c>
      <c r="BL1030" t="s">
        <v>12196</v>
      </c>
      <c r="BM1030" t="s">
        <v>14440</v>
      </c>
      <c r="BN1030" t="s">
        <v>14204</v>
      </c>
    </row>
    <row r="1031" spans="1:66" x14ac:dyDescent="0.25">
      <c r="A1031" t="str">
        <f>HYPERLINK("https://elite.finviz.com/quote.ashx?t=EXTR&amp;ty=c&amp;p=d&amp;b=1", "EXTR")</f>
        <v>EXTR</v>
      </c>
      <c r="B1031">
        <v>6</v>
      </c>
      <c r="C1031">
        <v>137.84</v>
      </c>
      <c r="D1031">
        <v>39.74</v>
      </c>
      <c r="E1031" t="s">
        <v>14441</v>
      </c>
      <c r="F1031" t="s">
        <v>67</v>
      </c>
      <c r="G1031" t="s">
        <v>108</v>
      </c>
      <c r="H1031" t="s">
        <v>1921</v>
      </c>
      <c r="I1031" t="s">
        <v>70</v>
      </c>
      <c r="J1031" t="s">
        <v>321</v>
      </c>
      <c r="K1031">
        <v>2696.45</v>
      </c>
      <c r="L1031">
        <v>20.399999999999999</v>
      </c>
      <c r="M1031" t="s">
        <v>6002</v>
      </c>
      <c r="N1031">
        <v>664195</v>
      </c>
      <c r="P1031">
        <v>16.649999999999999</v>
      </c>
      <c r="R1031">
        <v>2.37</v>
      </c>
      <c r="S1031">
        <v>41.07</v>
      </c>
      <c r="AA1031">
        <v>-0.06</v>
      </c>
      <c r="AC1031" t="s">
        <v>12116</v>
      </c>
      <c r="AD1031" t="s">
        <v>340</v>
      </c>
      <c r="AE1031" t="s">
        <v>6151</v>
      </c>
      <c r="AF1031" t="s">
        <v>969</v>
      </c>
      <c r="AG1031" t="s">
        <v>3670</v>
      </c>
      <c r="AH1031" t="s">
        <v>14442</v>
      </c>
      <c r="AI1031" t="s">
        <v>5841</v>
      </c>
      <c r="AJ1031" t="s">
        <v>125</v>
      </c>
      <c r="AK1031" t="s">
        <v>14443</v>
      </c>
      <c r="AL1031">
        <v>0.91</v>
      </c>
      <c r="AM1031">
        <v>0.74</v>
      </c>
      <c r="AN1031">
        <v>3.41</v>
      </c>
      <c r="AO1031" t="s">
        <v>13541</v>
      </c>
      <c r="AP1031" t="s">
        <v>2186</v>
      </c>
      <c r="AQ1031" t="s">
        <v>2059</v>
      </c>
      <c r="AR1031" t="s">
        <v>2892</v>
      </c>
      <c r="AS1031" t="s">
        <v>4945</v>
      </c>
      <c r="AT1031" t="s">
        <v>5766</v>
      </c>
      <c r="AU1031" t="s">
        <v>3446</v>
      </c>
      <c r="AV1031" t="s">
        <v>7134</v>
      </c>
      <c r="AW1031" t="s">
        <v>14444</v>
      </c>
      <c r="AX1031" t="s">
        <v>2652</v>
      </c>
      <c r="AY1031" t="s">
        <v>14444</v>
      </c>
      <c r="AZ1031" t="s">
        <v>14445</v>
      </c>
      <c r="BA1031">
        <v>1.57</v>
      </c>
      <c r="BB1031">
        <v>1388.44</v>
      </c>
      <c r="BC1031">
        <v>1.69</v>
      </c>
      <c r="BD1031">
        <v>20.91</v>
      </c>
      <c r="BE1031">
        <v>20.95</v>
      </c>
      <c r="BF1031">
        <v>20.329999999999998</v>
      </c>
      <c r="BG1031" t="s">
        <v>14446</v>
      </c>
      <c r="BH1031" t="s">
        <v>14447</v>
      </c>
      <c r="BI1031" t="s">
        <v>14448</v>
      </c>
      <c r="BJ1031" t="s">
        <v>101</v>
      </c>
      <c r="BK1031" t="s">
        <v>7724</v>
      </c>
      <c r="BL1031" t="s">
        <v>5521</v>
      </c>
      <c r="BM1031" t="s">
        <v>11160</v>
      </c>
      <c r="BN1031" t="s">
        <v>14204</v>
      </c>
    </row>
    <row r="1032" spans="1:66" x14ac:dyDescent="0.25">
      <c r="A1032" t="str">
        <f>HYPERLINK("https://elite.finviz.com/quote.ashx?t=MJID&amp;ty=c&amp;p=d&amp;b=1", "MJID")</f>
        <v>MJID</v>
      </c>
      <c r="B1032">
        <v>6</v>
      </c>
      <c r="C1032">
        <v>137.84</v>
      </c>
      <c r="D1032">
        <v>40.46</v>
      </c>
      <c r="E1032" t="s">
        <v>14449</v>
      </c>
      <c r="F1032" t="s">
        <v>107</v>
      </c>
      <c r="G1032" t="s">
        <v>813</v>
      </c>
      <c r="H1032" t="s">
        <v>14450</v>
      </c>
      <c r="I1032" t="s">
        <v>70</v>
      </c>
      <c r="J1032" t="s">
        <v>321</v>
      </c>
      <c r="L1032">
        <v>1.17</v>
      </c>
      <c r="M1032" t="s">
        <v>3205</v>
      </c>
      <c r="N1032">
        <v>12380181</v>
      </c>
      <c r="AR1032" t="s">
        <v>12383</v>
      </c>
      <c r="AS1032" t="s">
        <v>3406</v>
      </c>
      <c r="AT1032" t="s">
        <v>2757</v>
      </c>
      <c r="AU1032" t="s">
        <v>14451</v>
      </c>
      <c r="AV1032" t="s">
        <v>14451</v>
      </c>
      <c r="AW1032" t="s">
        <v>10215</v>
      </c>
      <c r="AX1032" t="s">
        <v>14452</v>
      </c>
      <c r="AY1032" t="s">
        <v>10215</v>
      </c>
      <c r="AZ1032" t="s">
        <v>14452</v>
      </c>
      <c r="BB1032">
        <v>1578.32</v>
      </c>
      <c r="BC1032">
        <v>27.63</v>
      </c>
      <c r="BD1032">
        <v>1.1299999999999999</v>
      </c>
      <c r="BE1032">
        <v>1.29</v>
      </c>
      <c r="BF1032">
        <v>1.1200000000000001</v>
      </c>
      <c r="BG1032" t="s">
        <v>14453</v>
      </c>
      <c r="BH1032" t="s">
        <v>10215</v>
      </c>
      <c r="BI1032" t="s">
        <v>14452</v>
      </c>
      <c r="BJ1032" t="s">
        <v>101</v>
      </c>
      <c r="BN1032" t="s">
        <v>14204</v>
      </c>
    </row>
    <row r="1033" spans="1:66" x14ac:dyDescent="0.25">
      <c r="A1033" t="str">
        <f>HYPERLINK("https://elite.finviz.com/quote.ashx?t=XXII&amp;ty=c&amp;p=d&amp;b=1", "XXII")</f>
        <v>XXII</v>
      </c>
      <c r="B1033">
        <v>6</v>
      </c>
      <c r="C1033">
        <v>137.84</v>
      </c>
      <c r="D1033">
        <v>41.04</v>
      </c>
      <c r="E1033" t="s">
        <v>14454</v>
      </c>
      <c r="F1033" t="s">
        <v>107</v>
      </c>
      <c r="G1033" t="s">
        <v>2244</v>
      </c>
      <c r="H1033" t="s">
        <v>7643</v>
      </c>
      <c r="I1033" t="s">
        <v>70</v>
      </c>
      <c r="J1033" t="s">
        <v>321</v>
      </c>
      <c r="K1033">
        <v>6.37</v>
      </c>
      <c r="L1033">
        <v>1.68</v>
      </c>
      <c r="M1033" t="s">
        <v>14455</v>
      </c>
      <c r="N1033">
        <v>1472300</v>
      </c>
      <c r="P1033">
        <v>9.91</v>
      </c>
      <c r="R1033">
        <v>0.32</v>
      </c>
      <c r="S1033">
        <v>0.14000000000000001</v>
      </c>
      <c r="AA1033">
        <v>-2190.17</v>
      </c>
      <c r="AB1033" t="s">
        <v>14456</v>
      </c>
      <c r="AC1033" t="s">
        <v>8754</v>
      </c>
      <c r="AE1033" t="s">
        <v>14457</v>
      </c>
      <c r="AF1033" t="s">
        <v>11153</v>
      </c>
      <c r="AG1033" t="s">
        <v>4312</v>
      </c>
      <c r="AH1033" t="s">
        <v>14458</v>
      </c>
      <c r="AI1033" t="s">
        <v>14459</v>
      </c>
      <c r="AJ1033" t="s">
        <v>164</v>
      </c>
      <c r="AK1033" t="s">
        <v>458</v>
      </c>
      <c r="AL1033">
        <v>0.77</v>
      </c>
      <c r="AM1033">
        <v>0.61</v>
      </c>
      <c r="AN1033">
        <v>0.96</v>
      </c>
      <c r="AO1033" t="s">
        <v>9443</v>
      </c>
      <c r="AP1033" t="s">
        <v>14460</v>
      </c>
      <c r="AQ1033" t="s">
        <v>14461</v>
      </c>
      <c r="AR1033" t="s">
        <v>8041</v>
      </c>
      <c r="AS1033" t="s">
        <v>1159</v>
      </c>
      <c r="AT1033" t="s">
        <v>14462</v>
      </c>
      <c r="AU1033" t="s">
        <v>14463</v>
      </c>
      <c r="AV1033" t="s">
        <v>1336</v>
      </c>
      <c r="AW1033" t="s">
        <v>14464</v>
      </c>
      <c r="AX1033" t="s">
        <v>7976</v>
      </c>
      <c r="AY1033" t="s">
        <v>961</v>
      </c>
      <c r="AZ1033" t="s">
        <v>7976</v>
      </c>
      <c r="BA1033">
        <v>2</v>
      </c>
      <c r="BB1033">
        <v>1943.32</v>
      </c>
      <c r="BC1033">
        <v>2.67</v>
      </c>
      <c r="BD1033">
        <v>1.98</v>
      </c>
      <c r="BE1033">
        <v>1.84</v>
      </c>
      <c r="BF1033">
        <v>1.68</v>
      </c>
      <c r="BG1033" t="s">
        <v>14465</v>
      </c>
      <c r="BH1033" t="s">
        <v>579</v>
      </c>
      <c r="BI1033" t="s">
        <v>7976</v>
      </c>
      <c r="BJ1033" t="s">
        <v>101</v>
      </c>
      <c r="BK1033" t="s">
        <v>14466</v>
      </c>
      <c r="BL1033" t="s">
        <v>14467</v>
      </c>
      <c r="BM1033" t="s">
        <v>961</v>
      </c>
      <c r="BN1033" t="s">
        <v>14204</v>
      </c>
    </row>
    <row r="1034" spans="1:66" x14ac:dyDescent="0.25">
      <c r="A1034" t="str">
        <f>HYPERLINK("https://elite.finviz.com/quote.ashx?t=RXRX&amp;ty=c&amp;p=d&amp;b=1", "RXRX")</f>
        <v>RXRX</v>
      </c>
      <c r="B1034">
        <v>6</v>
      </c>
      <c r="C1034">
        <v>137.84</v>
      </c>
      <c r="D1034">
        <v>41.26</v>
      </c>
      <c r="E1034" t="s">
        <v>14468</v>
      </c>
      <c r="F1034" t="s">
        <v>67</v>
      </c>
      <c r="G1034" t="s">
        <v>428</v>
      </c>
      <c r="H1034" t="s">
        <v>429</v>
      </c>
      <c r="I1034" t="s">
        <v>70</v>
      </c>
      <c r="J1034" t="s">
        <v>321</v>
      </c>
      <c r="K1034">
        <v>2003.75</v>
      </c>
      <c r="L1034">
        <v>4.6100000000000003</v>
      </c>
      <c r="M1034" t="s">
        <v>7346</v>
      </c>
      <c r="N1034">
        <v>15301982</v>
      </c>
      <c r="R1034">
        <v>31.02</v>
      </c>
      <c r="S1034">
        <v>2.17</v>
      </c>
      <c r="AA1034">
        <v>-1.79</v>
      </c>
      <c r="AB1034" t="s">
        <v>14469</v>
      </c>
      <c r="AC1034" t="s">
        <v>14470</v>
      </c>
      <c r="AD1034" t="s">
        <v>4851</v>
      </c>
      <c r="AE1034" t="s">
        <v>1135</v>
      </c>
      <c r="AF1034" t="s">
        <v>6904</v>
      </c>
      <c r="AG1034" t="s">
        <v>14471</v>
      </c>
      <c r="AH1034" t="s">
        <v>14472</v>
      </c>
      <c r="AI1034" t="s">
        <v>3922</v>
      </c>
      <c r="AJ1034" t="s">
        <v>11369</v>
      </c>
      <c r="AK1034" t="s">
        <v>14473</v>
      </c>
      <c r="AL1034">
        <v>3.58</v>
      </c>
      <c r="AM1034">
        <v>3.58</v>
      </c>
      <c r="AN1034">
        <v>0.1</v>
      </c>
      <c r="AO1034" t="s">
        <v>14474</v>
      </c>
      <c r="AP1034" t="s">
        <v>14475</v>
      </c>
      <c r="AQ1034" t="s">
        <v>14476</v>
      </c>
      <c r="AR1034" t="s">
        <v>8286</v>
      </c>
      <c r="AS1034" t="s">
        <v>3496</v>
      </c>
      <c r="AT1034" t="s">
        <v>4131</v>
      </c>
      <c r="AU1034" t="s">
        <v>6977</v>
      </c>
      <c r="AV1034" t="s">
        <v>14477</v>
      </c>
      <c r="AW1034" t="s">
        <v>10439</v>
      </c>
      <c r="AX1034" t="s">
        <v>4956</v>
      </c>
      <c r="AY1034" t="s">
        <v>14478</v>
      </c>
      <c r="AZ1034" t="s">
        <v>4564</v>
      </c>
      <c r="BA1034">
        <v>2.5</v>
      </c>
      <c r="BB1034">
        <v>25388.880000000001</v>
      </c>
      <c r="BC1034">
        <v>2.12</v>
      </c>
      <c r="BD1034">
        <v>4.63</v>
      </c>
      <c r="BE1034">
        <v>4.6900000000000004</v>
      </c>
      <c r="BF1034">
        <v>4.57</v>
      </c>
      <c r="BG1034" t="s">
        <v>14479</v>
      </c>
      <c r="BH1034" t="s">
        <v>14480</v>
      </c>
      <c r="BI1034" t="s">
        <v>4564</v>
      </c>
      <c r="BJ1034" t="s">
        <v>101</v>
      </c>
      <c r="BK1034" t="s">
        <v>14481</v>
      </c>
      <c r="BL1034" t="s">
        <v>12518</v>
      </c>
      <c r="BM1034" t="s">
        <v>8157</v>
      </c>
      <c r="BN1034" t="s">
        <v>14204</v>
      </c>
    </row>
    <row r="1035" spans="1:66" x14ac:dyDescent="0.25">
      <c r="A1035" t="str">
        <f>HYPERLINK("https://elite.finviz.com/quote.ashx?t=WOLF&amp;ty=c&amp;p=d&amp;b=1", "WOLF")</f>
        <v>WOLF</v>
      </c>
      <c r="B1035">
        <v>6</v>
      </c>
      <c r="C1035">
        <v>137.84</v>
      </c>
      <c r="D1035">
        <v>41.36</v>
      </c>
      <c r="E1035" t="s">
        <v>14482</v>
      </c>
      <c r="F1035" t="s">
        <v>67</v>
      </c>
      <c r="G1035" t="s">
        <v>108</v>
      </c>
      <c r="H1035" t="s">
        <v>1808</v>
      </c>
      <c r="I1035" t="s">
        <v>70</v>
      </c>
      <c r="J1035" t="s">
        <v>71</v>
      </c>
      <c r="K1035">
        <v>202.97</v>
      </c>
      <c r="L1035">
        <v>1.3</v>
      </c>
      <c r="M1035" t="s">
        <v>4926</v>
      </c>
      <c r="N1035">
        <v>57344667</v>
      </c>
      <c r="R1035">
        <v>0.27</v>
      </c>
      <c r="AA1035">
        <v>-11.27</v>
      </c>
      <c r="AB1035" t="s">
        <v>14483</v>
      </c>
      <c r="AC1035" t="s">
        <v>14484</v>
      </c>
      <c r="AE1035" t="s">
        <v>6985</v>
      </c>
      <c r="AF1035" t="s">
        <v>4849</v>
      </c>
      <c r="AG1035" t="s">
        <v>6448</v>
      </c>
      <c r="AH1035" t="s">
        <v>9618</v>
      </c>
      <c r="AI1035" t="s">
        <v>8910</v>
      </c>
      <c r="AJ1035" t="s">
        <v>8357</v>
      </c>
      <c r="AK1035" t="s">
        <v>9572</v>
      </c>
      <c r="AL1035">
        <v>0.36</v>
      </c>
      <c r="AM1035">
        <v>0.28999999999999998</v>
      </c>
      <c r="AO1035" t="s">
        <v>14485</v>
      </c>
      <c r="AP1035" t="s">
        <v>14486</v>
      </c>
      <c r="AQ1035" t="s">
        <v>14487</v>
      </c>
      <c r="AR1035" t="s">
        <v>6814</v>
      </c>
      <c r="AS1035" t="s">
        <v>9175</v>
      </c>
      <c r="AT1035" t="s">
        <v>14488</v>
      </c>
      <c r="AU1035" t="s">
        <v>14489</v>
      </c>
      <c r="AV1035" t="s">
        <v>14490</v>
      </c>
      <c r="AW1035" t="s">
        <v>14491</v>
      </c>
      <c r="AX1035" t="s">
        <v>6466</v>
      </c>
      <c r="AY1035" t="s">
        <v>9177</v>
      </c>
      <c r="AZ1035" t="s">
        <v>14492</v>
      </c>
      <c r="BA1035">
        <v>4.33</v>
      </c>
      <c r="BB1035">
        <v>58610.879999999997</v>
      </c>
      <c r="BC1035">
        <v>3.45</v>
      </c>
      <c r="BD1035">
        <v>1.85</v>
      </c>
      <c r="BE1035">
        <v>1.66</v>
      </c>
      <c r="BF1035">
        <v>1.27</v>
      </c>
      <c r="BG1035" t="s">
        <v>14493</v>
      </c>
      <c r="BH1035" t="s">
        <v>14494</v>
      </c>
      <c r="BI1035" t="s">
        <v>14492</v>
      </c>
      <c r="BJ1035" t="s">
        <v>101</v>
      </c>
      <c r="BK1035" t="s">
        <v>14495</v>
      </c>
      <c r="BL1035" t="s">
        <v>14496</v>
      </c>
      <c r="BM1035" t="s">
        <v>14497</v>
      </c>
      <c r="BN1035" t="s">
        <v>14204</v>
      </c>
    </row>
    <row r="1036" spans="1:66" x14ac:dyDescent="0.25">
      <c r="A1036" t="str">
        <f>HYPERLINK("https://elite.finviz.com/quote.ashx?t=UA&amp;ty=c&amp;p=d&amp;b=1", "UA")</f>
        <v>UA</v>
      </c>
      <c r="B1036">
        <v>6</v>
      </c>
      <c r="C1036">
        <v>137.84</v>
      </c>
      <c r="D1036">
        <v>42.85</v>
      </c>
      <c r="E1036" t="s">
        <v>14498</v>
      </c>
      <c r="F1036" t="s">
        <v>107</v>
      </c>
      <c r="G1036" t="s">
        <v>813</v>
      </c>
      <c r="H1036" t="s">
        <v>7446</v>
      </c>
      <c r="I1036" t="s">
        <v>70</v>
      </c>
      <c r="J1036" t="s">
        <v>71</v>
      </c>
      <c r="K1036">
        <v>2085.8000000000002</v>
      </c>
      <c r="L1036">
        <v>4.8</v>
      </c>
      <c r="M1036" t="s">
        <v>3500</v>
      </c>
      <c r="N1036">
        <v>3490242</v>
      </c>
      <c r="O1036">
        <v>20.84</v>
      </c>
      <c r="P1036">
        <v>21.57</v>
      </c>
      <c r="Q1036">
        <v>3.51</v>
      </c>
      <c r="R1036">
        <v>0.41</v>
      </c>
      <c r="S1036">
        <v>1.1000000000000001</v>
      </c>
      <c r="AA1036">
        <v>0.23</v>
      </c>
      <c r="AD1036" t="s">
        <v>755</v>
      </c>
      <c r="AE1036" t="s">
        <v>6195</v>
      </c>
      <c r="AF1036" t="s">
        <v>3322</v>
      </c>
      <c r="AG1036" t="s">
        <v>386</v>
      </c>
      <c r="AH1036" t="s">
        <v>14499</v>
      </c>
      <c r="AI1036" t="s">
        <v>9320</v>
      </c>
      <c r="AJ1036" t="s">
        <v>1324</v>
      </c>
      <c r="AK1036" t="s">
        <v>14500</v>
      </c>
      <c r="AL1036">
        <v>1.53</v>
      </c>
      <c r="AM1036">
        <v>0.93</v>
      </c>
      <c r="AN1036">
        <v>0.89</v>
      </c>
      <c r="AO1036" t="s">
        <v>14501</v>
      </c>
      <c r="AP1036" t="s">
        <v>2200</v>
      </c>
      <c r="AQ1036" t="s">
        <v>5258</v>
      </c>
      <c r="AR1036" t="s">
        <v>2868</v>
      </c>
      <c r="AS1036" t="s">
        <v>179</v>
      </c>
      <c r="AT1036" t="s">
        <v>1714</v>
      </c>
      <c r="AU1036" t="s">
        <v>14502</v>
      </c>
      <c r="AV1036" t="s">
        <v>14090</v>
      </c>
      <c r="AW1036" t="s">
        <v>2686</v>
      </c>
      <c r="AX1036" t="s">
        <v>1302</v>
      </c>
      <c r="AY1036" t="s">
        <v>14503</v>
      </c>
      <c r="AZ1036" t="s">
        <v>1302</v>
      </c>
      <c r="BA1036">
        <v>2.92</v>
      </c>
      <c r="BB1036">
        <v>4910.08</v>
      </c>
      <c r="BC1036">
        <v>2.5</v>
      </c>
      <c r="BD1036">
        <v>4.66</v>
      </c>
      <c r="BE1036">
        <v>4.8600000000000003</v>
      </c>
      <c r="BF1036">
        <v>4.67</v>
      </c>
      <c r="BG1036" t="s">
        <v>14504</v>
      </c>
      <c r="BH1036" t="s">
        <v>14505</v>
      </c>
      <c r="BI1036" t="s">
        <v>1302</v>
      </c>
      <c r="BJ1036" t="s">
        <v>101</v>
      </c>
      <c r="BK1036" t="s">
        <v>9518</v>
      </c>
      <c r="BL1036" t="s">
        <v>9976</v>
      </c>
      <c r="BM1036" t="s">
        <v>8696</v>
      </c>
      <c r="BN1036" t="s">
        <v>14204</v>
      </c>
    </row>
    <row r="1037" spans="1:66" x14ac:dyDescent="0.25">
      <c r="A1037" t="str">
        <f>HYPERLINK("https://elite.finviz.com/quote.ashx?t=YYAI&amp;ty=c&amp;p=d&amp;b=1", "YYAI")</f>
        <v>YYAI</v>
      </c>
      <c r="B1037">
        <v>6</v>
      </c>
      <c r="C1037">
        <v>137.84</v>
      </c>
      <c r="D1037">
        <v>44.56</v>
      </c>
      <c r="E1037" t="s">
        <v>14506</v>
      </c>
      <c r="F1037" t="s">
        <v>107</v>
      </c>
      <c r="G1037" t="s">
        <v>813</v>
      </c>
      <c r="H1037" t="s">
        <v>5941</v>
      </c>
      <c r="I1037" t="s">
        <v>70</v>
      </c>
      <c r="J1037" t="s">
        <v>321</v>
      </c>
      <c r="K1037">
        <v>31.75</v>
      </c>
      <c r="L1037">
        <v>2.1800000000000002</v>
      </c>
      <c r="M1037" t="s">
        <v>2374</v>
      </c>
      <c r="N1037">
        <v>758361</v>
      </c>
      <c r="R1037">
        <v>3.3</v>
      </c>
      <c r="S1037">
        <v>1.21</v>
      </c>
      <c r="Z1037" t="s">
        <v>164</v>
      </c>
      <c r="AA1037">
        <v>-0.24</v>
      </c>
      <c r="AE1037" t="s">
        <v>14507</v>
      </c>
      <c r="AF1037" t="s">
        <v>5506</v>
      </c>
      <c r="AG1037" t="s">
        <v>9382</v>
      </c>
      <c r="AH1037" t="s">
        <v>14508</v>
      </c>
      <c r="AJ1037" t="s">
        <v>164</v>
      </c>
      <c r="AK1037" t="s">
        <v>617</v>
      </c>
      <c r="AL1037">
        <v>3.54</v>
      </c>
      <c r="AM1037">
        <v>3.54</v>
      </c>
      <c r="AN1037">
        <v>0</v>
      </c>
      <c r="AO1037" t="s">
        <v>8711</v>
      </c>
      <c r="AP1037" t="s">
        <v>11778</v>
      </c>
      <c r="AQ1037" t="s">
        <v>9666</v>
      </c>
      <c r="AR1037" t="s">
        <v>816</v>
      </c>
      <c r="AS1037" t="s">
        <v>11314</v>
      </c>
      <c r="AT1037" t="s">
        <v>2421</v>
      </c>
      <c r="AU1037" t="s">
        <v>14509</v>
      </c>
      <c r="AV1037" t="s">
        <v>14510</v>
      </c>
      <c r="AW1037" t="s">
        <v>14511</v>
      </c>
      <c r="AX1037" t="s">
        <v>14512</v>
      </c>
      <c r="AY1037" t="s">
        <v>14513</v>
      </c>
      <c r="AZ1037" t="s">
        <v>14514</v>
      </c>
      <c r="BB1037">
        <v>1612.33</v>
      </c>
      <c r="BC1037">
        <v>1.66</v>
      </c>
      <c r="BD1037">
        <v>2.2000000000000002</v>
      </c>
      <c r="BE1037">
        <v>2.34</v>
      </c>
      <c r="BF1037">
        <v>2.13</v>
      </c>
      <c r="BG1037" t="s">
        <v>14515</v>
      </c>
      <c r="BH1037" t="s">
        <v>579</v>
      </c>
      <c r="BI1037" t="s">
        <v>14514</v>
      </c>
      <c r="BJ1037" t="s">
        <v>101</v>
      </c>
      <c r="BK1037" t="s">
        <v>14516</v>
      </c>
      <c r="BL1037" t="s">
        <v>14517</v>
      </c>
      <c r="BM1037" t="s">
        <v>14518</v>
      </c>
      <c r="BN1037" t="s">
        <v>14204</v>
      </c>
    </row>
    <row r="1038" spans="1:66" x14ac:dyDescent="0.25">
      <c r="A1038" t="str">
        <f>HYPERLINK("https://elite.finviz.com/quote.ashx?t=RDW&amp;ty=c&amp;p=d&amp;b=1", "RDW")</f>
        <v>RDW</v>
      </c>
      <c r="B1038">
        <v>6</v>
      </c>
      <c r="C1038">
        <v>137.84</v>
      </c>
      <c r="D1038">
        <v>44.62</v>
      </c>
      <c r="E1038" t="s">
        <v>14519</v>
      </c>
      <c r="F1038" t="s">
        <v>67</v>
      </c>
      <c r="G1038" t="s">
        <v>260</v>
      </c>
      <c r="H1038" t="s">
        <v>4779</v>
      </c>
      <c r="I1038" t="s">
        <v>70</v>
      </c>
      <c r="J1038" t="s">
        <v>71</v>
      </c>
      <c r="K1038">
        <v>1244.51</v>
      </c>
      <c r="L1038">
        <v>8.64</v>
      </c>
      <c r="M1038" t="s">
        <v>11513</v>
      </c>
      <c r="N1038">
        <v>2366653</v>
      </c>
      <c r="R1038">
        <v>4.76</v>
      </c>
      <c r="S1038">
        <v>1.35</v>
      </c>
      <c r="AA1038">
        <v>-3.25</v>
      </c>
      <c r="AB1038" t="s">
        <v>7785</v>
      </c>
      <c r="AC1038" t="s">
        <v>14520</v>
      </c>
      <c r="AE1038" t="s">
        <v>5853</v>
      </c>
      <c r="AF1038" t="s">
        <v>11737</v>
      </c>
      <c r="AG1038" t="s">
        <v>8769</v>
      </c>
      <c r="AH1038" t="s">
        <v>11631</v>
      </c>
      <c r="AI1038" t="s">
        <v>14521</v>
      </c>
      <c r="AJ1038" t="s">
        <v>10281</v>
      </c>
      <c r="AK1038" t="s">
        <v>5230</v>
      </c>
      <c r="AL1038">
        <v>1.46</v>
      </c>
      <c r="AM1038">
        <v>1.1100000000000001</v>
      </c>
      <c r="AN1038">
        <v>0.42</v>
      </c>
      <c r="AO1038" t="s">
        <v>1776</v>
      </c>
      <c r="AP1038" t="s">
        <v>14522</v>
      </c>
      <c r="AQ1038" t="s">
        <v>14523</v>
      </c>
      <c r="AR1038" t="s">
        <v>2848</v>
      </c>
      <c r="AS1038" t="s">
        <v>3601</v>
      </c>
      <c r="AT1038" t="s">
        <v>5380</v>
      </c>
      <c r="AU1038" t="s">
        <v>13655</v>
      </c>
      <c r="AV1038" t="s">
        <v>14524</v>
      </c>
      <c r="AW1038" t="s">
        <v>14525</v>
      </c>
      <c r="AX1038" t="s">
        <v>6293</v>
      </c>
      <c r="AY1038" t="s">
        <v>14526</v>
      </c>
      <c r="AZ1038" t="s">
        <v>870</v>
      </c>
      <c r="BA1038">
        <v>1.56</v>
      </c>
      <c r="BB1038">
        <v>5025.3599999999997</v>
      </c>
      <c r="BC1038">
        <v>1.66</v>
      </c>
      <c r="BD1038">
        <v>8.9600000000000009</v>
      </c>
      <c r="BE1038">
        <v>9.16</v>
      </c>
      <c r="BF1038">
        <v>8.6</v>
      </c>
      <c r="BG1038" t="s">
        <v>14527</v>
      </c>
      <c r="BH1038" t="s">
        <v>14526</v>
      </c>
      <c r="BI1038" t="s">
        <v>14528</v>
      </c>
      <c r="BJ1038" t="s">
        <v>101</v>
      </c>
      <c r="BK1038" t="s">
        <v>14300</v>
      </c>
      <c r="BL1038" t="s">
        <v>14529</v>
      </c>
      <c r="BM1038" t="s">
        <v>9370</v>
      </c>
      <c r="BN1038" t="s">
        <v>14204</v>
      </c>
    </row>
    <row r="1039" spans="1:66" x14ac:dyDescent="0.25">
      <c r="A1039" t="str">
        <f>HYPERLINK("https://elite.finviz.com/quote.ashx?t=MYO&amp;ty=c&amp;p=d&amp;b=1", "MYO")</f>
        <v>MYO</v>
      </c>
      <c r="B1039">
        <v>6</v>
      </c>
      <c r="C1039">
        <v>137.84</v>
      </c>
      <c r="D1039">
        <v>44.68</v>
      </c>
      <c r="E1039" t="s">
        <v>14530</v>
      </c>
      <c r="F1039" t="s">
        <v>67</v>
      </c>
      <c r="G1039" t="s">
        <v>428</v>
      </c>
      <c r="H1039" t="s">
        <v>2051</v>
      </c>
      <c r="I1039" t="s">
        <v>70</v>
      </c>
      <c r="J1039" t="s">
        <v>383</v>
      </c>
      <c r="K1039">
        <v>36.67</v>
      </c>
      <c r="L1039">
        <v>0.97</v>
      </c>
      <c r="M1039" t="s">
        <v>6075</v>
      </c>
      <c r="N1039">
        <v>959119</v>
      </c>
      <c r="R1039">
        <v>0.9</v>
      </c>
      <c r="S1039">
        <v>2.08</v>
      </c>
      <c r="AA1039">
        <v>-0.23</v>
      </c>
      <c r="AB1039" t="s">
        <v>13813</v>
      </c>
      <c r="AC1039" t="s">
        <v>7647</v>
      </c>
      <c r="AD1039" t="s">
        <v>7762</v>
      </c>
      <c r="AE1039" t="s">
        <v>14531</v>
      </c>
      <c r="AF1039" t="s">
        <v>3383</v>
      </c>
      <c r="AG1039" t="s">
        <v>7993</v>
      </c>
      <c r="AH1039" t="s">
        <v>4928</v>
      </c>
      <c r="AI1039" t="s">
        <v>5913</v>
      </c>
      <c r="AJ1039" t="s">
        <v>2093</v>
      </c>
      <c r="AK1039" t="s">
        <v>14532</v>
      </c>
      <c r="AL1039">
        <v>2.39</v>
      </c>
      <c r="AM1039">
        <v>2.0299999999999998</v>
      </c>
      <c r="AN1039">
        <v>0.71</v>
      </c>
      <c r="AO1039" t="s">
        <v>14533</v>
      </c>
      <c r="AP1039" t="s">
        <v>14534</v>
      </c>
      <c r="AQ1039" t="s">
        <v>10286</v>
      </c>
      <c r="AR1039" t="s">
        <v>1089</v>
      </c>
      <c r="AS1039" t="s">
        <v>1341</v>
      </c>
      <c r="AT1039" t="s">
        <v>2838</v>
      </c>
      <c r="AU1039" t="s">
        <v>14535</v>
      </c>
      <c r="AV1039" t="s">
        <v>14536</v>
      </c>
      <c r="AW1039" t="s">
        <v>14537</v>
      </c>
      <c r="AX1039" t="s">
        <v>5691</v>
      </c>
      <c r="AY1039" t="s">
        <v>14538</v>
      </c>
      <c r="AZ1039" t="s">
        <v>5691</v>
      </c>
      <c r="BA1039">
        <v>1</v>
      </c>
      <c r="BB1039">
        <v>1363.18</v>
      </c>
      <c r="BC1039">
        <v>2.5</v>
      </c>
      <c r="BD1039">
        <v>0.91</v>
      </c>
      <c r="BE1039">
        <v>1.03</v>
      </c>
      <c r="BF1039">
        <v>0.95</v>
      </c>
      <c r="BG1039" t="s">
        <v>14539</v>
      </c>
      <c r="BH1039" t="s">
        <v>3590</v>
      </c>
      <c r="BI1039" t="s">
        <v>14540</v>
      </c>
      <c r="BJ1039" t="s">
        <v>101</v>
      </c>
      <c r="BK1039" t="s">
        <v>14541</v>
      </c>
      <c r="BL1039" t="s">
        <v>14542</v>
      </c>
      <c r="BM1039" t="s">
        <v>14543</v>
      </c>
      <c r="BN1039" t="s">
        <v>14204</v>
      </c>
    </row>
    <row r="1040" spans="1:66" x14ac:dyDescent="0.25">
      <c r="A1040" t="str">
        <f>HYPERLINK("https://elite.finviz.com/quote.ashx?t=GPUS&amp;ty=c&amp;p=d&amp;b=1", "GPUS")</f>
        <v>GPUS</v>
      </c>
      <c r="B1040">
        <v>6</v>
      </c>
      <c r="C1040">
        <v>137.84</v>
      </c>
      <c r="D1040">
        <v>46.2</v>
      </c>
      <c r="E1040" t="s">
        <v>14544</v>
      </c>
      <c r="F1040" t="s">
        <v>107</v>
      </c>
      <c r="G1040" t="s">
        <v>260</v>
      </c>
      <c r="H1040" t="s">
        <v>4779</v>
      </c>
      <c r="I1040" t="s">
        <v>70</v>
      </c>
      <c r="J1040" t="s">
        <v>383</v>
      </c>
      <c r="K1040">
        <v>12.67</v>
      </c>
      <c r="L1040">
        <v>0.47</v>
      </c>
      <c r="M1040" t="s">
        <v>4664</v>
      </c>
      <c r="N1040">
        <v>150211420</v>
      </c>
      <c r="R1040">
        <v>0.12</v>
      </c>
      <c r="S1040">
        <v>0.73</v>
      </c>
      <c r="AA1040">
        <v>-31.77</v>
      </c>
      <c r="AB1040" t="s">
        <v>14545</v>
      </c>
      <c r="AC1040" t="s">
        <v>14546</v>
      </c>
      <c r="AE1040" t="s">
        <v>7667</v>
      </c>
      <c r="AF1040" t="s">
        <v>279</v>
      </c>
      <c r="AG1040" t="s">
        <v>11888</v>
      </c>
      <c r="AH1040" t="s">
        <v>2836</v>
      </c>
      <c r="AJ1040" t="s">
        <v>756</v>
      </c>
      <c r="AK1040" t="s">
        <v>141</v>
      </c>
      <c r="AL1040">
        <v>0.31</v>
      </c>
      <c r="AM1040">
        <v>0.3</v>
      </c>
      <c r="AN1040">
        <v>20.71</v>
      </c>
      <c r="AO1040" t="s">
        <v>3649</v>
      </c>
      <c r="AP1040" t="s">
        <v>14547</v>
      </c>
      <c r="AQ1040" t="s">
        <v>14548</v>
      </c>
      <c r="AR1040" t="s">
        <v>10812</v>
      </c>
      <c r="AS1040" t="s">
        <v>14549</v>
      </c>
      <c r="AT1040" t="s">
        <v>2093</v>
      </c>
      <c r="AU1040" t="s">
        <v>14550</v>
      </c>
      <c r="AV1040" t="s">
        <v>14551</v>
      </c>
      <c r="AW1040" t="s">
        <v>14552</v>
      </c>
      <c r="AX1040" t="s">
        <v>9144</v>
      </c>
      <c r="AY1040" t="s">
        <v>14553</v>
      </c>
      <c r="AZ1040" t="s">
        <v>9144</v>
      </c>
      <c r="BA1040">
        <v>1</v>
      </c>
      <c r="BB1040">
        <v>13428.89</v>
      </c>
      <c r="BC1040">
        <v>39.409999999999997</v>
      </c>
      <c r="BD1040">
        <v>0.38</v>
      </c>
      <c r="BE1040">
        <v>0.47</v>
      </c>
      <c r="BF1040">
        <v>0.4</v>
      </c>
      <c r="BG1040" t="s">
        <v>14554</v>
      </c>
      <c r="BH1040" t="s">
        <v>579</v>
      </c>
      <c r="BI1040" t="s">
        <v>9144</v>
      </c>
      <c r="BJ1040" t="s">
        <v>101</v>
      </c>
      <c r="BK1040" t="s">
        <v>14555</v>
      </c>
      <c r="BL1040" t="s">
        <v>14556</v>
      </c>
      <c r="BM1040" t="s">
        <v>14557</v>
      </c>
      <c r="BN1040" t="s">
        <v>14204</v>
      </c>
    </row>
    <row r="1041" spans="1:66" x14ac:dyDescent="0.25">
      <c r="A1041" t="str">
        <f>HYPERLINK("https://elite.finviz.com/quote.ashx?t=AIV&amp;ty=c&amp;p=d&amp;b=1", "AIV")</f>
        <v>AIV</v>
      </c>
      <c r="B1041">
        <v>6</v>
      </c>
      <c r="C1041">
        <v>137.84</v>
      </c>
      <c r="D1041">
        <v>49.88</v>
      </c>
      <c r="E1041" t="s">
        <v>14558</v>
      </c>
      <c r="F1041" t="s">
        <v>67</v>
      </c>
      <c r="G1041" t="s">
        <v>68</v>
      </c>
      <c r="H1041" t="s">
        <v>5671</v>
      </c>
      <c r="I1041" t="s">
        <v>70</v>
      </c>
      <c r="J1041" t="s">
        <v>71</v>
      </c>
      <c r="K1041">
        <v>1109.45</v>
      </c>
      <c r="L1041">
        <v>7.79</v>
      </c>
      <c r="M1041" t="s">
        <v>4780</v>
      </c>
      <c r="N1041">
        <v>906156</v>
      </c>
      <c r="R1041">
        <v>5.22</v>
      </c>
      <c r="S1041">
        <v>11.68</v>
      </c>
      <c r="V1041" t="s">
        <v>3518</v>
      </c>
      <c r="AA1041">
        <v>-0.49</v>
      </c>
      <c r="AB1041" t="s">
        <v>14559</v>
      </c>
      <c r="AE1041" t="s">
        <v>2448</v>
      </c>
      <c r="AF1041" t="s">
        <v>274</v>
      </c>
      <c r="AG1041" t="s">
        <v>7622</v>
      </c>
      <c r="AH1041" t="s">
        <v>5779</v>
      </c>
      <c r="AJ1041" t="s">
        <v>164</v>
      </c>
      <c r="AK1041" t="s">
        <v>11709</v>
      </c>
      <c r="AL1041">
        <v>0.05</v>
      </c>
      <c r="AM1041">
        <v>0.05</v>
      </c>
      <c r="AN1041">
        <v>13.42</v>
      </c>
      <c r="AO1041" t="s">
        <v>7225</v>
      </c>
      <c r="AP1041" t="s">
        <v>4552</v>
      </c>
      <c r="AQ1041" t="s">
        <v>7536</v>
      </c>
      <c r="AR1041" t="s">
        <v>2195</v>
      </c>
      <c r="AS1041" t="s">
        <v>1129</v>
      </c>
      <c r="AT1041" t="s">
        <v>2630</v>
      </c>
      <c r="AU1041" t="s">
        <v>7193</v>
      </c>
      <c r="AV1041" t="s">
        <v>6741</v>
      </c>
      <c r="AW1041" t="s">
        <v>9826</v>
      </c>
      <c r="AX1041" t="s">
        <v>4428</v>
      </c>
      <c r="AY1041" t="s">
        <v>14560</v>
      </c>
      <c r="AZ1041" t="s">
        <v>6598</v>
      </c>
      <c r="BA1041">
        <v>1</v>
      </c>
      <c r="BB1041">
        <v>1556.07</v>
      </c>
      <c r="BC1041">
        <v>2.0499999999999998</v>
      </c>
      <c r="BD1041">
        <v>7.68</v>
      </c>
      <c r="BE1041">
        <v>8.0299999999999994</v>
      </c>
      <c r="BF1041">
        <v>7.7</v>
      </c>
      <c r="BG1041" t="s">
        <v>14561</v>
      </c>
      <c r="BH1041" t="s">
        <v>14560</v>
      </c>
      <c r="BI1041" t="s">
        <v>14562</v>
      </c>
      <c r="BJ1041" t="s">
        <v>101</v>
      </c>
      <c r="BK1041" t="s">
        <v>14563</v>
      </c>
      <c r="BL1041" t="s">
        <v>503</v>
      </c>
      <c r="BM1041" t="s">
        <v>8794</v>
      </c>
      <c r="BN1041" t="s">
        <v>14204</v>
      </c>
    </row>
    <row r="1042" spans="1:66" x14ac:dyDescent="0.25">
      <c r="A1042" t="str">
        <f>HYPERLINK("https://elite.finviz.com/quote.ashx?t=BA&amp;ty=c&amp;p=d&amp;b=1", "BA")</f>
        <v>BA</v>
      </c>
      <c r="B1042">
        <v>6</v>
      </c>
      <c r="C1042">
        <v>137.84</v>
      </c>
      <c r="D1042">
        <v>50.12</v>
      </c>
      <c r="E1042" t="s">
        <v>14564</v>
      </c>
      <c r="F1042" t="s">
        <v>1759</v>
      </c>
      <c r="G1042" t="s">
        <v>260</v>
      </c>
      <c r="H1042" t="s">
        <v>4779</v>
      </c>
      <c r="I1042" t="s">
        <v>70</v>
      </c>
      <c r="J1042" t="s">
        <v>71</v>
      </c>
      <c r="K1042">
        <v>167636.39000000001</v>
      </c>
      <c r="L1042">
        <v>221.7</v>
      </c>
      <c r="M1042" t="s">
        <v>3481</v>
      </c>
      <c r="N1042">
        <v>10160538</v>
      </c>
      <c r="P1042">
        <v>67.52</v>
      </c>
      <c r="R1042">
        <v>2.23</v>
      </c>
      <c r="T1042" t="s">
        <v>2215</v>
      </c>
      <c r="V1042" t="s">
        <v>14565</v>
      </c>
      <c r="AA1042">
        <v>-16.52</v>
      </c>
      <c r="AB1042" t="s">
        <v>14566</v>
      </c>
      <c r="AC1042" t="s">
        <v>14567</v>
      </c>
      <c r="AE1042" t="s">
        <v>92</v>
      </c>
      <c r="AF1042" t="s">
        <v>5660</v>
      </c>
      <c r="AG1042" t="s">
        <v>4711</v>
      </c>
      <c r="AH1042" t="s">
        <v>14568</v>
      </c>
      <c r="AI1042" t="s">
        <v>821</v>
      </c>
      <c r="AJ1042" t="s">
        <v>14569</v>
      </c>
      <c r="AK1042" t="s">
        <v>14570</v>
      </c>
      <c r="AL1042">
        <v>1.23</v>
      </c>
      <c r="AM1042">
        <v>0.38</v>
      </c>
      <c r="AO1042" t="s">
        <v>8425</v>
      </c>
      <c r="AP1042" t="s">
        <v>12939</v>
      </c>
      <c r="AQ1042" t="s">
        <v>8138</v>
      </c>
      <c r="AR1042" t="s">
        <v>212</v>
      </c>
      <c r="AS1042" t="s">
        <v>4891</v>
      </c>
      <c r="AT1042" t="s">
        <v>2294</v>
      </c>
      <c r="AU1042" t="s">
        <v>6838</v>
      </c>
      <c r="AV1042" t="s">
        <v>7688</v>
      </c>
      <c r="AW1042" t="s">
        <v>9998</v>
      </c>
      <c r="AX1042" t="s">
        <v>2035</v>
      </c>
      <c r="AY1042" t="s">
        <v>9998</v>
      </c>
      <c r="AZ1042" t="s">
        <v>5173</v>
      </c>
      <c r="BA1042">
        <v>1.54</v>
      </c>
      <c r="BB1042">
        <v>7223.2</v>
      </c>
      <c r="BC1042">
        <v>4.96</v>
      </c>
      <c r="BD1042">
        <v>213.53</v>
      </c>
      <c r="BE1042">
        <v>224.06</v>
      </c>
      <c r="BF1042">
        <v>219.13</v>
      </c>
      <c r="BG1042" t="s">
        <v>14571</v>
      </c>
      <c r="BH1042" t="s">
        <v>8755</v>
      </c>
      <c r="BI1042" t="s">
        <v>14572</v>
      </c>
      <c r="BJ1042" t="s">
        <v>101</v>
      </c>
      <c r="BK1042" t="s">
        <v>4189</v>
      </c>
      <c r="BL1042" t="s">
        <v>8957</v>
      </c>
      <c r="BM1042" t="s">
        <v>12647</v>
      </c>
      <c r="BN1042" t="s">
        <v>14204</v>
      </c>
    </row>
    <row r="1043" spans="1:66" x14ac:dyDescent="0.25">
      <c r="A1043" t="str">
        <f>HYPERLINK("https://elite.finviz.com/quote.ashx?t=TPET&amp;ty=c&amp;p=d&amp;b=1", "TPET")</f>
        <v>TPET</v>
      </c>
      <c r="B1043">
        <v>6</v>
      </c>
      <c r="C1043">
        <v>137.84</v>
      </c>
      <c r="D1043">
        <v>51.77</v>
      </c>
      <c r="E1043" t="s">
        <v>14573</v>
      </c>
      <c r="F1043" t="s">
        <v>107</v>
      </c>
      <c r="G1043" t="s">
        <v>1048</v>
      </c>
      <c r="H1043" t="s">
        <v>1049</v>
      </c>
      <c r="I1043" t="s">
        <v>70</v>
      </c>
      <c r="J1043" t="s">
        <v>383</v>
      </c>
      <c r="K1043">
        <v>9.6199999999999992</v>
      </c>
      <c r="L1043">
        <v>1.1399999999999999</v>
      </c>
      <c r="M1043" t="s">
        <v>458</v>
      </c>
      <c r="N1043">
        <v>337711</v>
      </c>
      <c r="R1043">
        <v>32.08</v>
      </c>
      <c r="S1043">
        <v>0.84</v>
      </c>
      <c r="AA1043">
        <v>-1.25</v>
      </c>
      <c r="AB1043" t="s">
        <v>14574</v>
      </c>
      <c r="AE1043" t="s">
        <v>14575</v>
      </c>
      <c r="AH1043" t="s">
        <v>13691</v>
      </c>
      <c r="AJ1043" t="s">
        <v>4809</v>
      </c>
      <c r="AK1043" t="s">
        <v>5420</v>
      </c>
      <c r="AL1043">
        <v>0.56000000000000005</v>
      </c>
      <c r="AM1043">
        <v>0.56000000000000005</v>
      </c>
      <c r="AN1043">
        <v>0</v>
      </c>
      <c r="AO1043" t="s">
        <v>14576</v>
      </c>
      <c r="AP1043" t="s">
        <v>14577</v>
      </c>
      <c r="AQ1043" t="s">
        <v>14578</v>
      </c>
      <c r="AR1043" t="s">
        <v>5319</v>
      </c>
      <c r="AS1043" t="s">
        <v>6075</v>
      </c>
      <c r="AT1043" t="s">
        <v>84</v>
      </c>
      <c r="AU1043" t="s">
        <v>3446</v>
      </c>
      <c r="AV1043" t="s">
        <v>14579</v>
      </c>
      <c r="AW1043" t="s">
        <v>10227</v>
      </c>
      <c r="AX1043" t="s">
        <v>1360</v>
      </c>
      <c r="AY1043" t="s">
        <v>14580</v>
      </c>
      <c r="AZ1043" t="s">
        <v>6713</v>
      </c>
      <c r="BB1043">
        <v>217.17</v>
      </c>
      <c r="BC1043">
        <v>5.48</v>
      </c>
      <c r="BD1043">
        <v>1.1299999999999999</v>
      </c>
      <c r="BE1043">
        <v>1.17</v>
      </c>
      <c r="BF1043">
        <v>1.08</v>
      </c>
      <c r="BG1043" t="s">
        <v>14581</v>
      </c>
      <c r="BH1043" t="s">
        <v>14582</v>
      </c>
      <c r="BI1043" t="s">
        <v>6713</v>
      </c>
      <c r="BJ1043" t="s">
        <v>101</v>
      </c>
      <c r="BK1043" t="s">
        <v>5506</v>
      </c>
      <c r="BL1043" t="s">
        <v>14583</v>
      </c>
      <c r="BM1043" t="s">
        <v>14584</v>
      </c>
      <c r="BN1043" t="s">
        <v>14585</v>
      </c>
    </row>
    <row r="1044" spans="1:66" x14ac:dyDescent="0.25">
      <c r="A1044" t="str">
        <f>HYPERLINK("https://elite.finviz.com/quote.ashx?t=MBRX&amp;ty=c&amp;p=d&amp;b=1", "MBRX")</f>
        <v>MBRX</v>
      </c>
      <c r="B1044">
        <v>6</v>
      </c>
      <c r="C1044">
        <v>137.84</v>
      </c>
      <c r="D1044">
        <v>53.11</v>
      </c>
      <c r="E1044" t="s">
        <v>14586</v>
      </c>
      <c r="F1044" t="s">
        <v>107</v>
      </c>
      <c r="G1044" t="s">
        <v>428</v>
      </c>
      <c r="H1044" t="s">
        <v>429</v>
      </c>
      <c r="I1044" t="s">
        <v>70</v>
      </c>
      <c r="J1044" t="s">
        <v>321</v>
      </c>
      <c r="K1044">
        <v>23.17</v>
      </c>
      <c r="L1044">
        <v>0.47</v>
      </c>
      <c r="M1044" t="s">
        <v>3389</v>
      </c>
      <c r="N1044">
        <v>4041425</v>
      </c>
      <c r="AA1044">
        <v>-4.59</v>
      </c>
      <c r="AB1044" t="s">
        <v>3901</v>
      </c>
      <c r="AC1044" t="s">
        <v>12475</v>
      </c>
      <c r="AD1044" t="s">
        <v>14587</v>
      </c>
      <c r="AI1044" t="s">
        <v>374</v>
      </c>
      <c r="AJ1044" t="s">
        <v>14588</v>
      </c>
      <c r="AK1044" t="s">
        <v>6829</v>
      </c>
      <c r="AL1044">
        <v>1.1499999999999999</v>
      </c>
      <c r="AM1044">
        <v>1.1499999999999999</v>
      </c>
      <c r="AR1044" t="s">
        <v>4697</v>
      </c>
      <c r="AS1044" t="s">
        <v>10425</v>
      </c>
      <c r="AT1044" t="s">
        <v>7086</v>
      </c>
      <c r="AU1044" t="s">
        <v>831</v>
      </c>
      <c r="AV1044" t="s">
        <v>3411</v>
      </c>
      <c r="AW1044" t="s">
        <v>14589</v>
      </c>
      <c r="AX1044" t="s">
        <v>11729</v>
      </c>
      <c r="AY1044" t="s">
        <v>14590</v>
      </c>
      <c r="AZ1044" t="s">
        <v>14591</v>
      </c>
      <c r="BA1044">
        <v>1</v>
      </c>
      <c r="BB1044">
        <v>5939.26</v>
      </c>
      <c r="BC1044">
        <v>2.4</v>
      </c>
      <c r="BD1044">
        <v>0.44</v>
      </c>
      <c r="BE1044">
        <v>0.48</v>
      </c>
      <c r="BF1044">
        <v>0.44</v>
      </c>
      <c r="BG1044" t="s">
        <v>14592</v>
      </c>
      <c r="BH1044" t="s">
        <v>14593</v>
      </c>
      <c r="BI1044" t="s">
        <v>14591</v>
      </c>
      <c r="BJ1044" t="s">
        <v>101</v>
      </c>
      <c r="BK1044" t="s">
        <v>14594</v>
      </c>
      <c r="BL1044" t="s">
        <v>14595</v>
      </c>
      <c r="BM1044" t="s">
        <v>14596</v>
      </c>
      <c r="BN1044" t="s">
        <v>14204</v>
      </c>
    </row>
    <row r="1045" spans="1:66" x14ac:dyDescent="0.25">
      <c r="A1045" t="str">
        <f>HYPERLINK("https://elite.finviz.com/quote.ashx?t=BOLT&amp;ty=c&amp;p=d&amp;b=1", "BOLT")</f>
        <v>BOLT</v>
      </c>
      <c r="B1045">
        <v>6</v>
      </c>
      <c r="C1045">
        <v>137.84</v>
      </c>
      <c r="D1045">
        <v>53.47</v>
      </c>
      <c r="E1045" t="s">
        <v>14597</v>
      </c>
      <c r="F1045" t="s">
        <v>107</v>
      </c>
      <c r="G1045" t="s">
        <v>428</v>
      </c>
      <c r="H1045" t="s">
        <v>429</v>
      </c>
      <c r="I1045" t="s">
        <v>70</v>
      </c>
      <c r="J1045" t="s">
        <v>321</v>
      </c>
      <c r="K1045">
        <v>10.53</v>
      </c>
      <c r="L1045">
        <v>5.49</v>
      </c>
      <c r="M1045" t="s">
        <v>8634</v>
      </c>
      <c r="N1045">
        <v>9610</v>
      </c>
      <c r="R1045">
        <v>2.5299999999999998</v>
      </c>
      <c r="S1045">
        <v>0.27</v>
      </c>
      <c r="AA1045">
        <v>-26.48</v>
      </c>
      <c r="AB1045" t="s">
        <v>8526</v>
      </c>
      <c r="AC1045" t="s">
        <v>1865</v>
      </c>
      <c r="AD1045" t="s">
        <v>1935</v>
      </c>
      <c r="AE1045" t="s">
        <v>14338</v>
      </c>
      <c r="AF1045" t="s">
        <v>14598</v>
      </c>
      <c r="AG1045" t="s">
        <v>14599</v>
      </c>
      <c r="AH1045" t="s">
        <v>1874</v>
      </c>
      <c r="AI1045" t="s">
        <v>3819</v>
      </c>
      <c r="AJ1045" t="s">
        <v>3257</v>
      </c>
      <c r="AK1045" t="s">
        <v>7379</v>
      </c>
      <c r="AL1045">
        <v>3.11</v>
      </c>
      <c r="AM1045">
        <v>3.11</v>
      </c>
      <c r="AN1045">
        <v>0.62</v>
      </c>
      <c r="AO1045" t="s">
        <v>1044</v>
      </c>
      <c r="AP1045" t="s">
        <v>14600</v>
      </c>
      <c r="AQ1045" t="s">
        <v>14601</v>
      </c>
      <c r="AR1045" t="s">
        <v>464</v>
      </c>
      <c r="AS1045" t="s">
        <v>5969</v>
      </c>
      <c r="AT1045" t="s">
        <v>4052</v>
      </c>
      <c r="AU1045" t="s">
        <v>2418</v>
      </c>
      <c r="AV1045" t="s">
        <v>11766</v>
      </c>
      <c r="AW1045" t="s">
        <v>12406</v>
      </c>
      <c r="AX1045" t="s">
        <v>9044</v>
      </c>
      <c r="AY1045" t="s">
        <v>14602</v>
      </c>
      <c r="AZ1045" t="s">
        <v>9044</v>
      </c>
      <c r="BA1045">
        <v>2.33</v>
      </c>
      <c r="BB1045">
        <v>16.27</v>
      </c>
      <c r="BC1045">
        <v>2.1</v>
      </c>
      <c r="BD1045">
        <v>5.53</v>
      </c>
      <c r="BE1045">
        <v>5.71</v>
      </c>
      <c r="BF1045">
        <v>5.36</v>
      </c>
      <c r="BG1045" t="s">
        <v>14603</v>
      </c>
      <c r="BH1045" t="s">
        <v>1332</v>
      </c>
      <c r="BI1045" t="s">
        <v>9044</v>
      </c>
      <c r="BJ1045" t="s">
        <v>101</v>
      </c>
      <c r="BK1045" t="s">
        <v>3811</v>
      </c>
      <c r="BL1045" t="s">
        <v>894</v>
      </c>
      <c r="BM1045" t="s">
        <v>14604</v>
      </c>
      <c r="BN1045" t="s">
        <v>14605</v>
      </c>
    </row>
    <row r="1046" spans="1:66" x14ac:dyDescent="0.25">
      <c r="A1046" t="str">
        <f>HYPERLINK("https://elite.finviz.com/quote.ashx?t=PAA&amp;ty=c&amp;p=d&amp;b=1", "PAA")</f>
        <v>PAA</v>
      </c>
      <c r="B1046">
        <v>6</v>
      </c>
      <c r="C1046">
        <v>137.84</v>
      </c>
      <c r="D1046">
        <v>55.67</v>
      </c>
      <c r="E1046" t="s">
        <v>14606</v>
      </c>
      <c r="F1046" t="s">
        <v>107</v>
      </c>
      <c r="G1046" t="s">
        <v>1048</v>
      </c>
      <c r="H1046" t="s">
        <v>3915</v>
      </c>
      <c r="I1046" t="s">
        <v>70</v>
      </c>
      <c r="J1046" t="s">
        <v>321</v>
      </c>
      <c r="K1046">
        <v>12479.93</v>
      </c>
      <c r="L1046">
        <v>17.739999999999998</v>
      </c>
      <c r="M1046" t="s">
        <v>698</v>
      </c>
      <c r="N1046">
        <v>1841648</v>
      </c>
      <c r="O1046">
        <v>19.62</v>
      </c>
      <c r="P1046">
        <v>12.2</v>
      </c>
      <c r="Q1046">
        <v>19.239999999999998</v>
      </c>
      <c r="R1046">
        <v>0.26</v>
      </c>
      <c r="S1046">
        <v>1.63</v>
      </c>
      <c r="T1046" t="s">
        <v>776</v>
      </c>
      <c r="U1046">
        <v>1.46</v>
      </c>
      <c r="V1046" t="s">
        <v>5604</v>
      </c>
      <c r="W1046" t="s">
        <v>6081</v>
      </c>
      <c r="X1046" t="s">
        <v>13279</v>
      </c>
      <c r="Y1046" t="s">
        <v>14607</v>
      </c>
      <c r="Z1046" t="s">
        <v>14608</v>
      </c>
      <c r="AA1046">
        <v>0.9</v>
      </c>
      <c r="AB1046" t="s">
        <v>3491</v>
      </c>
      <c r="AC1046" t="s">
        <v>14609</v>
      </c>
      <c r="AD1046" t="s">
        <v>5577</v>
      </c>
      <c r="AE1046" t="s">
        <v>8225</v>
      </c>
      <c r="AF1046" t="s">
        <v>334</v>
      </c>
      <c r="AG1046" t="s">
        <v>2053</v>
      </c>
      <c r="AH1046" t="s">
        <v>3527</v>
      </c>
      <c r="AI1046" t="s">
        <v>4672</v>
      </c>
      <c r="AJ1046" t="s">
        <v>164</v>
      </c>
      <c r="AK1046" t="s">
        <v>8536</v>
      </c>
      <c r="AL1046">
        <v>1</v>
      </c>
      <c r="AM1046">
        <v>0.97</v>
      </c>
      <c r="AN1046">
        <v>0.91</v>
      </c>
      <c r="AO1046" t="s">
        <v>162</v>
      </c>
      <c r="AP1046" t="s">
        <v>3500</v>
      </c>
      <c r="AQ1046" t="s">
        <v>5692</v>
      </c>
      <c r="AR1046" t="s">
        <v>6692</v>
      </c>
      <c r="AS1046" t="s">
        <v>2186</v>
      </c>
      <c r="AT1046" t="s">
        <v>2202</v>
      </c>
      <c r="AU1046" t="s">
        <v>1842</v>
      </c>
      <c r="AV1046" t="s">
        <v>7742</v>
      </c>
      <c r="AW1046" t="s">
        <v>6043</v>
      </c>
      <c r="AX1046" t="s">
        <v>10926</v>
      </c>
      <c r="AY1046" t="s">
        <v>14610</v>
      </c>
      <c r="AZ1046" t="s">
        <v>10736</v>
      </c>
      <c r="BA1046">
        <v>2.4500000000000002</v>
      </c>
      <c r="BB1046">
        <v>2600.52</v>
      </c>
      <c r="BC1046">
        <v>2.4900000000000002</v>
      </c>
      <c r="BD1046">
        <v>17.690000000000001</v>
      </c>
      <c r="BE1046">
        <v>17.88</v>
      </c>
      <c r="BF1046">
        <v>17.62</v>
      </c>
      <c r="BG1046" t="s">
        <v>14611</v>
      </c>
      <c r="BH1046" t="s">
        <v>14612</v>
      </c>
      <c r="BI1046" t="s">
        <v>14613</v>
      </c>
      <c r="BJ1046" t="s">
        <v>101</v>
      </c>
      <c r="BK1046" t="s">
        <v>4113</v>
      </c>
      <c r="BL1046" t="s">
        <v>8098</v>
      </c>
      <c r="BM1046" t="s">
        <v>5257</v>
      </c>
      <c r="BN1046" t="s">
        <v>14204</v>
      </c>
    </row>
    <row r="1047" spans="1:66" x14ac:dyDescent="0.25">
      <c r="A1047" t="str">
        <f>HYPERLINK("https://elite.finviz.com/quote.ashx?t=AVR&amp;ty=c&amp;p=d&amp;b=1", "AVR")</f>
        <v>AVR</v>
      </c>
      <c r="B1047">
        <v>6</v>
      </c>
      <c r="C1047">
        <v>127.03</v>
      </c>
      <c r="D1047">
        <v>40.98</v>
      </c>
      <c r="E1047" t="s">
        <v>14614</v>
      </c>
      <c r="F1047" t="s">
        <v>67</v>
      </c>
      <c r="G1047" t="s">
        <v>428</v>
      </c>
      <c r="H1047" t="s">
        <v>2161</v>
      </c>
      <c r="I1047" t="s">
        <v>70</v>
      </c>
      <c r="J1047" t="s">
        <v>321</v>
      </c>
      <c r="K1047">
        <v>146.6</v>
      </c>
      <c r="L1047">
        <v>4.07</v>
      </c>
      <c r="M1047" t="s">
        <v>4210</v>
      </c>
      <c r="N1047">
        <v>23583</v>
      </c>
      <c r="R1047">
        <v>59.11</v>
      </c>
      <c r="S1047">
        <v>6.01</v>
      </c>
      <c r="AA1047">
        <v>-2.33</v>
      </c>
      <c r="AB1047" t="s">
        <v>14615</v>
      </c>
      <c r="AD1047" t="s">
        <v>9349</v>
      </c>
      <c r="AE1047" t="s">
        <v>7272</v>
      </c>
      <c r="AF1047" t="s">
        <v>5852</v>
      </c>
      <c r="AH1047" t="s">
        <v>9500</v>
      </c>
      <c r="AI1047" t="s">
        <v>9019</v>
      </c>
      <c r="AJ1047" t="s">
        <v>164</v>
      </c>
      <c r="AK1047" t="s">
        <v>5750</v>
      </c>
      <c r="AL1047">
        <v>2.41</v>
      </c>
      <c r="AM1047">
        <v>2.38</v>
      </c>
      <c r="AN1047">
        <v>0.12</v>
      </c>
      <c r="AO1047" t="s">
        <v>8050</v>
      </c>
      <c r="AP1047" t="s">
        <v>14616</v>
      </c>
      <c r="AQ1047" t="s">
        <v>14617</v>
      </c>
      <c r="AR1047" t="s">
        <v>2656</v>
      </c>
      <c r="AS1047" t="s">
        <v>5914</v>
      </c>
      <c r="AT1047" t="s">
        <v>6337</v>
      </c>
      <c r="AU1047" t="s">
        <v>84</v>
      </c>
      <c r="AV1047" t="s">
        <v>11437</v>
      </c>
      <c r="AW1047" t="s">
        <v>14618</v>
      </c>
      <c r="AX1047" t="s">
        <v>14619</v>
      </c>
      <c r="AY1047" t="s">
        <v>14620</v>
      </c>
      <c r="AZ1047" t="s">
        <v>14621</v>
      </c>
      <c r="BA1047">
        <v>1</v>
      </c>
      <c r="BB1047">
        <v>212.85</v>
      </c>
      <c r="BC1047">
        <v>0.39</v>
      </c>
      <c r="BD1047">
        <v>4.25</v>
      </c>
      <c r="BE1047">
        <v>4.33</v>
      </c>
      <c r="BF1047">
        <v>4.07</v>
      </c>
      <c r="BG1047" t="s">
        <v>14622</v>
      </c>
      <c r="BH1047" t="s">
        <v>14620</v>
      </c>
      <c r="BI1047" t="s">
        <v>14621</v>
      </c>
      <c r="BJ1047" t="s">
        <v>101</v>
      </c>
      <c r="BK1047" t="s">
        <v>2275</v>
      </c>
      <c r="BL1047" t="s">
        <v>2136</v>
      </c>
      <c r="BN1047" t="s">
        <v>14623</v>
      </c>
    </row>
    <row r="1048" spans="1:66" x14ac:dyDescent="0.25">
      <c r="A1048" t="str">
        <f>HYPERLINK("https://elite.finviz.com/quote.ashx?t=CCAP&amp;ty=c&amp;p=d&amp;b=1", "CCAP")</f>
        <v>CCAP</v>
      </c>
      <c r="B1048">
        <v>6</v>
      </c>
      <c r="C1048">
        <v>127.03</v>
      </c>
      <c r="D1048">
        <v>41.3</v>
      </c>
      <c r="E1048" t="s">
        <v>14624</v>
      </c>
      <c r="F1048" t="s">
        <v>107</v>
      </c>
      <c r="G1048" t="s">
        <v>550</v>
      </c>
      <c r="H1048" t="s">
        <v>2597</v>
      </c>
      <c r="I1048" t="s">
        <v>70</v>
      </c>
      <c r="J1048" t="s">
        <v>321</v>
      </c>
      <c r="K1048">
        <v>562.15</v>
      </c>
      <c r="L1048">
        <v>15.17</v>
      </c>
      <c r="M1048" t="s">
        <v>7646</v>
      </c>
      <c r="N1048">
        <v>43953</v>
      </c>
      <c r="O1048">
        <v>12.75</v>
      </c>
      <c r="P1048">
        <v>8.92</v>
      </c>
      <c r="R1048">
        <v>3.07</v>
      </c>
      <c r="S1048">
        <v>0.78</v>
      </c>
      <c r="T1048" t="s">
        <v>9387</v>
      </c>
      <c r="U1048">
        <v>1.67</v>
      </c>
      <c r="V1048" t="s">
        <v>198</v>
      </c>
      <c r="W1048" t="s">
        <v>4395</v>
      </c>
      <c r="X1048" t="s">
        <v>2195</v>
      </c>
      <c r="Z1048" t="s">
        <v>14625</v>
      </c>
      <c r="AA1048">
        <v>1.19</v>
      </c>
      <c r="AE1048" t="s">
        <v>14626</v>
      </c>
      <c r="AH1048" t="s">
        <v>840</v>
      </c>
      <c r="AI1048" t="s">
        <v>2190</v>
      </c>
      <c r="AJ1048" t="s">
        <v>6411</v>
      </c>
      <c r="AK1048" t="s">
        <v>14627</v>
      </c>
      <c r="AR1048" t="s">
        <v>5084</v>
      </c>
      <c r="AS1048" t="s">
        <v>2720</v>
      </c>
      <c r="AT1048" t="s">
        <v>10774</v>
      </c>
      <c r="AU1048" t="s">
        <v>1657</v>
      </c>
      <c r="AV1048" t="s">
        <v>8230</v>
      </c>
      <c r="AW1048" t="s">
        <v>9148</v>
      </c>
      <c r="AX1048" t="s">
        <v>416</v>
      </c>
      <c r="AY1048" t="s">
        <v>14628</v>
      </c>
      <c r="AZ1048" t="s">
        <v>2291</v>
      </c>
      <c r="BB1048">
        <v>229.28</v>
      </c>
      <c r="BC1048">
        <v>0.68</v>
      </c>
      <c r="BD1048">
        <v>15.33</v>
      </c>
      <c r="BE1048">
        <v>15.42</v>
      </c>
      <c r="BF1048">
        <v>15.15</v>
      </c>
      <c r="BG1048" t="s">
        <v>14629</v>
      </c>
      <c r="BH1048" t="s">
        <v>12530</v>
      </c>
      <c r="BI1048" t="s">
        <v>14630</v>
      </c>
      <c r="BJ1048" t="s">
        <v>101</v>
      </c>
      <c r="BK1048" t="s">
        <v>6419</v>
      </c>
      <c r="BL1048" t="s">
        <v>14631</v>
      </c>
      <c r="BM1048" t="s">
        <v>11587</v>
      </c>
      <c r="BN1048" t="s">
        <v>14623</v>
      </c>
    </row>
    <row r="1049" spans="1:66" x14ac:dyDescent="0.25">
      <c r="A1049" t="str">
        <f>HYPERLINK("https://elite.finviz.com/quote.ashx?t=PRG&amp;ty=c&amp;p=d&amp;b=1", "PRG")</f>
        <v>PRG</v>
      </c>
      <c r="B1049">
        <v>6</v>
      </c>
      <c r="C1049">
        <v>127.03</v>
      </c>
      <c r="D1049">
        <v>41.53</v>
      </c>
      <c r="E1049" t="s">
        <v>14632</v>
      </c>
      <c r="F1049" t="s">
        <v>67</v>
      </c>
      <c r="G1049" t="s">
        <v>260</v>
      </c>
      <c r="H1049" t="s">
        <v>7905</v>
      </c>
      <c r="I1049" t="s">
        <v>70</v>
      </c>
      <c r="J1049" t="s">
        <v>71</v>
      </c>
      <c r="K1049">
        <v>1326.34</v>
      </c>
      <c r="L1049">
        <v>33.54</v>
      </c>
      <c r="M1049" t="s">
        <v>6407</v>
      </c>
      <c r="N1049">
        <v>129783</v>
      </c>
      <c r="O1049">
        <v>6.62</v>
      </c>
      <c r="P1049">
        <v>9.07</v>
      </c>
      <c r="Q1049">
        <v>0.76</v>
      </c>
      <c r="R1049">
        <v>0.53</v>
      </c>
      <c r="S1049">
        <v>1.98</v>
      </c>
      <c r="T1049" t="s">
        <v>3550</v>
      </c>
      <c r="U1049">
        <v>0.51</v>
      </c>
      <c r="V1049" t="s">
        <v>10236</v>
      </c>
      <c r="Y1049" t="s">
        <v>11514</v>
      </c>
      <c r="Z1049" t="s">
        <v>6315</v>
      </c>
      <c r="AA1049">
        <v>5.07</v>
      </c>
      <c r="AB1049" t="s">
        <v>8054</v>
      </c>
      <c r="AC1049" t="s">
        <v>14633</v>
      </c>
      <c r="AD1049" t="s">
        <v>191</v>
      </c>
      <c r="AE1049" t="s">
        <v>3303</v>
      </c>
      <c r="AF1049" t="s">
        <v>9085</v>
      </c>
      <c r="AG1049" t="s">
        <v>2643</v>
      </c>
      <c r="AH1049" t="s">
        <v>206</v>
      </c>
      <c r="AI1049" t="s">
        <v>1813</v>
      </c>
      <c r="AJ1049" t="s">
        <v>1760</v>
      </c>
      <c r="AK1049" t="s">
        <v>6864</v>
      </c>
      <c r="AL1049">
        <v>10.32</v>
      </c>
      <c r="AM1049">
        <v>4.6399999999999997</v>
      </c>
      <c r="AN1049">
        <v>0.9</v>
      </c>
      <c r="AO1049" t="s">
        <v>14634</v>
      </c>
      <c r="AP1049" t="s">
        <v>7407</v>
      </c>
      <c r="AQ1049" t="s">
        <v>1700</v>
      </c>
      <c r="AR1049" t="s">
        <v>2643</v>
      </c>
      <c r="AS1049" t="s">
        <v>4800</v>
      </c>
      <c r="AT1049" t="s">
        <v>14635</v>
      </c>
      <c r="AU1049" t="s">
        <v>1249</v>
      </c>
      <c r="AV1049" t="s">
        <v>1439</v>
      </c>
      <c r="AW1049" t="s">
        <v>6735</v>
      </c>
      <c r="AX1049" t="s">
        <v>9137</v>
      </c>
      <c r="AY1049" t="s">
        <v>14636</v>
      </c>
      <c r="AZ1049" t="s">
        <v>1692</v>
      </c>
      <c r="BA1049">
        <v>2</v>
      </c>
      <c r="BB1049">
        <v>407.1</v>
      </c>
      <c r="BC1049">
        <v>1.1200000000000001</v>
      </c>
      <c r="BD1049">
        <v>33.94</v>
      </c>
      <c r="BE1049">
        <v>34.1</v>
      </c>
      <c r="BF1049">
        <v>33.380000000000003</v>
      </c>
      <c r="BG1049" t="s">
        <v>14637</v>
      </c>
      <c r="BH1049" t="s">
        <v>14638</v>
      </c>
      <c r="BI1049" t="s">
        <v>14639</v>
      </c>
      <c r="BJ1049" t="s">
        <v>101</v>
      </c>
      <c r="BK1049" t="s">
        <v>2432</v>
      </c>
      <c r="BL1049" t="s">
        <v>13932</v>
      </c>
      <c r="BM1049" t="s">
        <v>14640</v>
      </c>
      <c r="BN1049" t="s">
        <v>14623</v>
      </c>
    </row>
    <row r="1050" spans="1:66" x14ac:dyDescent="0.25">
      <c r="A1050" t="str">
        <f>HYPERLINK("https://elite.finviz.com/quote.ashx?t=CDP&amp;ty=c&amp;p=d&amp;b=1", "CDP")</f>
        <v>CDP</v>
      </c>
      <c r="B1050">
        <v>6</v>
      </c>
      <c r="C1050">
        <v>127.03</v>
      </c>
      <c r="D1050">
        <v>42.07</v>
      </c>
      <c r="E1050" t="s">
        <v>14641</v>
      </c>
      <c r="F1050" t="s">
        <v>67</v>
      </c>
      <c r="G1050" t="s">
        <v>68</v>
      </c>
      <c r="H1050" t="s">
        <v>69</v>
      </c>
      <c r="I1050" t="s">
        <v>70</v>
      </c>
      <c r="J1050" t="s">
        <v>71</v>
      </c>
      <c r="K1050">
        <v>6568.12</v>
      </c>
      <c r="L1050">
        <v>29.11</v>
      </c>
      <c r="M1050" t="s">
        <v>1714</v>
      </c>
      <c r="N1050">
        <v>116448</v>
      </c>
      <c r="O1050">
        <v>22.92</v>
      </c>
      <c r="P1050">
        <v>21.87</v>
      </c>
      <c r="Q1050">
        <v>3.22</v>
      </c>
      <c r="R1050">
        <v>8.75</v>
      </c>
      <c r="S1050">
        <v>2.19</v>
      </c>
      <c r="T1050" t="s">
        <v>2721</v>
      </c>
      <c r="U1050">
        <v>1.2</v>
      </c>
      <c r="V1050" t="s">
        <v>198</v>
      </c>
      <c r="W1050" t="s">
        <v>1926</v>
      </c>
      <c r="X1050" t="s">
        <v>4600</v>
      </c>
      <c r="Y1050" t="s">
        <v>2554</v>
      </c>
      <c r="Z1050" t="s">
        <v>14642</v>
      </c>
      <c r="AA1050">
        <v>1.27</v>
      </c>
      <c r="AB1050" t="s">
        <v>6903</v>
      </c>
      <c r="AC1050" t="s">
        <v>10208</v>
      </c>
      <c r="AD1050" t="s">
        <v>234</v>
      </c>
      <c r="AE1050" t="s">
        <v>5132</v>
      </c>
      <c r="AF1050" t="s">
        <v>4744</v>
      </c>
      <c r="AG1050" t="s">
        <v>2317</v>
      </c>
      <c r="AH1050" t="s">
        <v>4856</v>
      </c>
      <c r="AI1050" t="s">
        <v>273</v>
      </c>
      <c r="AJ1050" t="s">
        <v>2856</v>
      </c>
      <c r="AK1050" t="s">
        <v>14643</v>
      </c>
      <c r="AL1050">
        <v>1.76</v>
      </c>
      <c r="AM1050">
        <v>1.76</v>
      </c>
      <c r="AN1050">
        <v>1.66</v>
      </c>
      <c r="AO1050" t="s">
        <v>4484</v>
      </c>
      <c r="AP1050" t="s">
        <v>14644</v>
      </c>
      <c r="AQ1050" t="s">
        <v>8322</v>
      </c>
      <c r="AR1050" t="s">
        <v>5258</v>
      </c>
      <c r="AS1050" t="s">
        <v>2201</v>
      </c>
      <c r="AT1050" t="s">
        <v>799</v>
      </c>
      <c r="AU1050" t="s">
        <v>2125</v>
      </c>
      <c r="AV1050" t="s">
        <v>2892</v>
      </c>
      <c r="AW1050" t="s">
        <v>14645</v>
      </c>
      <c r="AX1050" t="s">
        <v>2492</v>
      </c>
      <c r="AY1050" t="s">
        <v>2504</v>
      </c>
      <c r="AZ1050" t="s">
        <v>4598</v>
      </c>
      <c r="BA1050">
        <v>1.86</v>
      </c>
      <c r="BB1050">
        <v>925.54</v>
      </c>
      <c r="BC1050">
        <v>0.44</v>
      </c>
      <c r="BD1050">
        <v>29.27</v>
      </c>
      <c r="BE1050">
        <v>29.37</v>
      </c>
      <c r="BF1050">
        <v>29.07</v>
      </c>
      <c r="BG1050" t="s">
        <v>14646</v>
      </c>
      <c r="BH1050" t="s">
        <v>2436</v>
      </c>
      <c r="BI1050" t="s">
        <v>14647</v>
      </c>
      <c r="BJ1050" t="s">
        <v>101</v>
      </c>
      <c r="BK1050" t="s">
        <v>3545</v>
      </c>
      <c r="BL1050" t="s">
        <v>2967</v>
      </c>
      <c r="BM1050" t="s">
        <v>8109</v>
      </c>
      <c r="BN1050" t="s">
        <v>14623</v>
      </c>
    </row>
    <row r="1051" spans="1:66" x14ac:dyDescent="0.25">
      <c r="A1051" t="str">
        <f>HYPERLINK("https://elite.finviz.com/quote.ashx?t=ATLC&amp;ty=c&amp;p=d&amp;b=1", "ATLC")</f>
        <v>ATLC</v>
      </c>
      <c r="B1051">
        <v>6</v>
      </c>
      <c r="C1051">
        <v>127.03</v>
      </c>
      <c r="D1051">
        <v>42.12</v>
      </c>
      <c r="E1051" t="s">
        <v>14648</v>
      </c>
      <c r="F1051" t="s">
        <v>67</v>
      </c>
      <c r="G1051" t="s">
        <v>550</v>
      </c>
      <c r="H1051" t="s">
        <v>3744</v>
      </c>
      <c r="I1051" t="s">
        <v>70</v>
      </c>
      <c r="J1051" t="s">
        <v>321</v>
      </c>
      <c r="K1051">
        <v>965.92</v>
      </c>
      <c r="L1051">
        <v>63.86</v>
      </c>
      <c r="M1051" t="s">
        <v>7568</v>
      </c>
      <c r="N1051">
        <v>8970</v>
      </c>
      <c r="O1051">
        <v>11.23</v>
      </c>
      <c r="P1051">
        <v>7.63</v>
      </c>
      <c r="Q1051">
        <v>0.3</v>
      </c>
      <c r="R1051">
        <v>0.67</v>
      </c>
      <c r="S1051">
        <v>1.71</v>
      </c>
      <c r="V1051" t="s">
        <v>14649</v>
      </c>
      <c r="Z1051" t="s">
        <v>164</v>
      </c>
      <c r="AA1051">
        <v>5.69</v>
      </c>
      <c r="AB1051" t="s">
        <v>14631</v>
      </c>
      <c r="AC1051" t="s">
        <v>4745</v>
      </c>
      <c r="AD1051" t="s">
        <v>14650</v>
      </c>
      <c r="AE1051" t="s">
        <v>2862</v>
      </c>
      <c r="AF1051" t="s">
        <v>6406</v>
      </c>
      <c r="AG1051" t="s">
        <v>5938</v>
      </c>
      <c r="AH1051" t="s">
        <v>7375</v>
      </c>
      <c r="AI1051" t="s">
        <v>6973</v>
      </c>
      <c r="AJ1051" t="s">
        <v>1547</v>
      </c>
      <c r="AK1051" t="s">
        <v>11870</v>
      </c>
      <c r="AL1051">
        <v>1.49</v>
      </c>
      <c r="AM1051">
        <v>1.49</v>
      </c>
      <c r="AN1051">
        <v>4.6399999999999997</v>
      </c>
      <c r="AO1051" t="s">
        <v>14651</v>
      </c>
      <c r="AP1051" t="s">
        <v>14652</v>
      </c>
      <c r="AQ1051" t="s">
        <v>4850</v>
      </c>
      <c r="AR1051" t="s">
        <v>3443</v>
      </c>
      <c r="AS1051" t="s">
        <v>2838</v>
      </c>
      <c r="AT1051" t="s">
        <v>14653</v>
      </c>
      <c r="AU1051" t="s">
        <v>122</v>
      </c>
      <c r="AV1051" t="s">
        <v>1716</v>
      </c>
      <c r="AW1051" t="s">
        <v>4989</v>
      </c>
      <c r="AX1051" t="s">
        <v>14654</v>
      </c>
      <c r="AY1051" t="s">
        <v>4989</v>
      </c>
      <c r="AZ1051" t="s">
        <v>14655</v>
      </c>
      <c r="BA1051">
        <v>1.33</v>
      </c>
      <c r="BB1051">
        <v>64.86</v>
      </c>
      <c r="BC1051">
        <v>0.49</v>
      </c>
      <c r="BD1051">
        <v>64.53</v>
      </c>
      <c r="BE1051">
        <v>65.709999999999994</v>
      </c>
      <c r="BF1051">
        <v>63.53</v>
      </c>
      <c r="BG1051" t="s">
        <v>14656</v>
      </c>
      <c r="BH1051" t="s">
        <v>14657</v>
      </c>
      <c r="BI1051" t="s">
        <v>14658</v>
      </c>
      <c r="BJ1051" t="s">
        <v>101</v>
      </c>
      <c r="BK1051" t="s">
        <v>14659</v>
      </c>
      <c r="BL1051" t="s">
        <v>14660</v>
      </c>
      <c r="BM1051" t="s">
        <v>14661</v>
      </c>
      <c r="BN1051" t="s">
        <v>14623</v>
      </c>
    </row>
    <row r="1052" spans="1:66" x14ac:dyDescent="0.25">
      <c r="A1052" t="str">
        <f>HYPERLINK("https://elite.finviz.com/quote.ashx?t=IBP&amp;ty=c&amp;p=d&amp;b=1", "IBP")</f>
        <v>IBP</v>
      </c>
      <c r="B1052">
        <v>6</v>
      </c>
      <c r="C1052">
        <v>127.03</v>
      </c>
      <c r="D1052">
        <v>42.24</v>
      </c>
      <c r="E1052" t="s">
        <v>14662</v>
      </c>
      <c r="F1052" t="s">
        <v>67</v>
      </c>
      <c r="G1052" t="s">
        <v>813</v>
      </c>
      <c r="H1052" t="s">
        <v>5054</v>
      </c>
      <c r="I1052" t="s">
        <v>70</v>
      </c>
      <c r="J1052" t="s">
        <v>71</v>
      </c>
      <c r="K1052">
        <v>6787.05</v>
      </c>
      <c r="L1052">
        <v>248.37</v>
      </c>
      <c r="M1052" t="s">
        <v>1842</v>
      </c>
      <c r="N1052">
        <v>29784</v>
      </c>
      <c r="O1052">
        <v>27.62</v>
      </c>
      <c r="P1052">
        <v>23.45</v>
      </c>
      <c r="Q1052">
        <v>29.7</v>
      </c>
      <c r="R1052">
        <v>2.2999999999999998</v>
      </c>
      <c r="S1052">
        <v>10.210000000000001</v>
      </c>
      <c r="T1052" t="s">
        <v>6463</v>
      </c>
      <c r="U1052">
        <v>1.46</v>
      </c>
      <c r="V1052" t="s">
        <v>3833</v>
      </c>
      <c r="W1052" t="s">
        <v>3951</v>
      </c>
      <c r="X1052" t="s">
        <v>8966</v>
      </c>
      <c r="Z1052" t="s">
        <v>5468</v>
      </c>
      <c r="AA1052">
        <v>8.99</v>
      </c>
      <c r="AB1052" t="s">
        <v>7958</v>
      </c>
      <c r="AC1052" t="s">
        <v>14663</v>
      </c>
      <c r="AD1052" t="s">
        <v>3761</v>
      </c>
      <c r="AE1052" t="s">
        <v>5736</v>
      </c>
      <c r="AF1052" t="s">
        <v>176</v>
      </c>
      <c r="AG1052" t="s">
        <v>8437</v>
      </c>
      <c r="AH1052" t="s">
        <v>5188</v>
      </c>
      <c r="AI1052" t="s">
        <v>8258</v>
      </c>
      <c r="AJ1052" t="s">
        <v>4191</v>
      </c>
      <c r="AK1052" t="s">
        <v>14664</v>
      </c>
      <c r="AL1052">
        <v>2.85</v>
      </c>
      <c r="AM1052">
        <v>2.31</v>
      </c>
      <c r="AN1052">
        <v>1.48</v>
      </c>
      <c r="AO1052" t="s">
        <v>14665</v>
      </c>
      <c r="AP1052" t="s">
        <v>6329</v>
      </c>
      <c r="AQ1052" t="s">
        <v>712</v>
      </c>
      <c r="AR1052" t="s">
        <v>4945</v>
      </c>
      <c r="AS1052" t="s">
        <v>2317</v>
      </c>
      <c r="AT1052" t="s">
        <v>8004</v>
      </c>
      <c r="AU1052" t="s">
        <v>4849</v>
      </c>
      <c r="AV1052" t="s">
        <v>14666</v>
      </c>
      <c r="AW1052" t="s">
        <v>14667</v>
      </c>
      <c r="AX1052" t="s">
        <v>6385</v>
      </c>
      <c r="AY1052" t="s">
        <v>14667</v>
      </c>
      <c r="AZ1052" t="s">
        <v>9688</v>
      </c>
      <c r="BA1052">
        <v>2.92</v>
      </c>
      <c r="BB1052">
        <v>501.09</v>
      </c>
      <c r="BC1052">
        <v>0.21</v>
      </c>
      <c r="BD1052">
        <v>248.7</v>
      </c>
      <c r="BE1052">
        <v>249.87</v>
      </c>
      <c r="BF1052">
        <v>247.45</v>
      </c>
      <c r="BG1052" t="s">
        <v>14668</v>
      </c>
      <c r="BH1052" t="s">
        <v>14667</v>
      </c>
      <c r="BI1052" t="s">
        <v>14669</v>
      </c>
      <c r="BJ1052" t="s">
        <v>101</v>
      </c>
      <c r="BK1052" t="s">
        <v>6132</v>
      </c>
      <c r="BL1052" t="s">
        <v>14670</v>
      </c>
      <c r="BM1052" t="s">
        <v>4323</v>
      </c>
      <c r="BN1052" t="s">
        <v>14623</v>
      </c>
    </row>
    <row r="1053" spans="1:66" x14ac:dyDescent="0.25">
      <c r="A1053" t="str">
        <f>HYPERLINK("https://elite.finviz.com/quote.ashx?t=LAD&amp;ty=c&amp;p=d&amp;b=1", "LAD")</f>
        <v>LAD</v>
      </c>
      <c r="B1053">
        <v>6</v>
      </c>
      <c r="C1053">
        <v>127.03</v>
      </c>
      <c r="D1053">
        <v>42.52</v>
      </c>
      <c r="E1053" t="s">
        <v>14671</v>
      </c>
      <c r="F1053" t="s">
        <v>107</v>
      </c>
      <c r="G1053" t="s">
        <v>813</v>
      </c>
      <c r="H1053" t="s">
        <v>5888</v>
      </c>
      <c r="I1053" t="s">
        <v>70</v>
      </c>
      <c r="J1053" t="s">
        <v>71</v>
      </c>
      <c r="K1053">
        <v>8176.02</v>
      </c>
      <c r="L1053">
        <v>318.92</v>
      </c>
      <c r="M1053" t="s">
        <v>1764</v>
      </c>
      <c r="N1053">
        <v>30581</v>
      </c>
      <c r="O1053">
        <v>9.4499999999999993</v>
      </c>
      <c r="P1053">
        <v>8.44</v>
      </c>
      <c r="Q1053">
        <v>0.69</v>
      </c>
      <c r="R1053">
        <v>0.22</v>
      </c>
      <c r="S1053">
        <v>1.17</v>
      </c>
      <c r="T1053" t="s">
        <v>5253</v>
      </c>
      <c r="U1053">
        <v>2.16</v>
      </c>
      <c r="V1053" t="s">
        <v>1762</v>
      </c>
      <c r="W1053" t="s">
        <v>2000</v>
      </c>
      <c r="X1053" t="s">
        <v>5439</v>
      </c>
      <c r="Y1053" t="s">
        <v>5387</v>
      </c>
      <c r="Z1053" t="s">
        <v>2869</v>
      </c>
      <c r="AA1053">
        <v>33.75</v>
      </c>
      <c r="AB1053" t="s">
        <v>14672</v>
      </c>
      <c r="AC1053" t="s">
        <v>5691</v>
      </c>
      <c r="AD1053" t="s">
        <v>5096</v>
      </c>
      <c r="AE1053" t="s">
        <v>8401</v>
      </c>
      <c r="AF1053" t="s">
        <v>10485</v>
      </c>
      <c r="AG1053" t="s">
        <v>7479</v>
      </c>
      <c r="AH1053" t="s">
        <v>756</v>
      </c>
      <c r="AI1053" t="s">
        <v>6928</v>
      </c>
      <c r="AJ1053" t="s">
        <v>4955</v>
      </c>
      <c r="AK1053" t="s">
        <v>2004</v>
      </c>
      <c r="AL1053">
        <v>1.22</v>
      </c>
      <c r="AM1053">
        <v>0.28999999999999998</v>
      </c>
      <c r="AN1053">
        <v>2.0499999999999998</v>
      </c>
      <c r="AO1053" t="s">
        <v>4523</v>
      </c>
      <c r="AP1053" t="s">
        <v>3480</v>
      </c>
      <c r="AQ1053" t="s">
        <v>744</v>
      </c>
      <c r="AR1053" t="s">
        <v>2743</v>
      </c>
      <c r="AS1053" t="s">
        <v>2789</v>
      </c>
      <c r="AT1053" t="s">
        <v>9070</v>
      </c>
      <c r="AU1053" t="s">
        <v>3000</v>
      </c>
      <c r="AV1053" t="s">
        <v>2617</v>
      </c>
      <c r="AW1053" t="s">
        <v>11615</v>
      </c>
      <c r="AX1053" t="s">
        <v>4462</v>
      </c>
      <c r="AY1053" t="s">
        <v>14673</v>
      </c>
      <c r="AZ1053" t="s">
        <v>1300</v>
      </c>
      <c r="BA1053">
        <v>1.41</v>
      </c>
      <c r="BB1053">
        <v>310.86</v>
      </c>
      <c r="BC1053">
        <v>0.35</v>
      </c>
      <c r="BD1053">
        <v>316.58</v>
      </c>
      <c r="BE1053">
        <v>318.95</v>
      </c>
      <c r="BF1053">
        <v>317.23</v>
      </c>
      <c r="BG1053" t="s">
        <v>14674</v>
      </c>
      <c r="BH1053" t="s">
        <v>441</v>
      </c>
      <c r="BI1053" t="s">
        <v>14675</v>
      </c>
      <c r="BJ1053" t="s">
        <v>101</v>
      </c>
      <c r="BK1053" t="s">
        <v>8121</v>
      </c>
      <c r="BL1053" t="s">
        <v>7566</v>
      </c>
      <c r="BM1053" t="s">
        <v>2572</v>
      </c>
      <c r="BN1053" t="s">
        <v>14623</v>
      </c>
    </row>
    <row r="1054" spans="1:66" x14ac:dyDescent="0.25">
      <c r="A1054" t="str">
        <f>HYPERLINK("https://elite.finviz.com/quote.ashx?t=MHK&amp;ty=c&amp;p=d&amp;b=1", "MHK")</f>
        <v>MHK</v>
      </c>
      <c r="B1054">
        <v>6</v>
      </c>
      <c r="C1054">
        <v>127.03</v>
      </c>
      <c r="D1054">
        <v>42.66</v>
      </c>
      <c r="E1054" t="s">
        <v>14676</v>
      </c>
      <c r="F1054" t="s">
        <v>195</v>
      </c>
      <c r="G1054" t="s">
        <v>813</v>
      </c>
      <c r="H1054" t="s">
        <v>3866</v>
      </c>
      <c r="I1054" t="s">
        <v>70</v>
      </c>
      <c r="J1054" t="s">
        <v>71</v>
      </c>
      <c r="K1054">
        <v>7848.5</v>
      </c>
      <c r="L1054">
        <v>126.32</v>
      </c>
      <c r="M1054" t="s">
        <v>306</v>
      </c>
      <c r="N1054">
        <v>64713</v>
      </c>
      <c r="O1054">
        <v>16.79</v>
      </c>
      <c r="P1054">
        <v>11.91</v>
      </c>
      <c r="Q1054">
        <v>2.25</v>
      </c>
      <c r="R1054">
        <v>0.73</v>
      </c>
      <c r="S1054">
        <v>0.95</v>
      </c>
      <c r="Z1054" t="s">
        <v>164</v>
      </c>
      <c r="AA1054">
        <v>7.52</v>
      </c>
      <c r="AB1054" t="s">
        <v>6606</v>
      </c>
      <c r="AC1054" t="s">
        <v>13734</v>
      </c>
      <c r="AD1054" t="s">
        <v>3228</v>
      </c>
      <c r="AE1054" t="s">
        <v>5159</v>
      </c>
      <c r="AF1054" t="s">
        <v>4436</v>
      </c>
      <c r="AG1054" t="s">
        <v>2217</v>
      </c>
      <c r="AH1054" t="s">
        <v>5549</v>
      </c>
      <c r="AI1054" t="s">
        <v>3148</v>
      </c>
      <c r="AJ1054" t="s">
        <v>6871</v>
      </c>
      <c r="AK1054" t="s">
        <v>14677</v>
      </c>
      <c r="AL1054">
        <v>2.13</v>
      </c>
      <c r="AM1054">
        <v>1.18</v>
      </c>
      <c r="AN1054">
        <v>0.32</v>
      </c>
      <c r="AO1054" t="s">
        <v>5068</v>
      </c>
      <c r="AP1054" t="s">
        <v>3372</v>
      </c>
      <c r="AQ1054" t="s">
        <v>2810</v>
      </c>
      <c r="AR1054" t="s">
        <v>1761</v>
      </c>
      <c r="AS1054" t="s">
        <v>2789</v>
      </c>
      <c r="AT1054" t="s">
        <v>3998</v>
      </c>
      <c r="AU1054" t="s">
        <v>1564</v>
      </c>
      <c r="AV1054" t="s">
        <v>863</v>
      </c>
      <c r="AW1054" t="s">
        <v>13837</v>
      </c>
      <c r="AX1054" t="s">
        <v>9096</v>
      </c>
      <c r="AY1054" t="s">
        <v>5799</v>
      </c>
      <c r="AZ1054" t="s">
        <v>4949</v>
      </c>
      <c r="BA1054">
        <v>2.2200000000000002</v>
      </c>
      <c r="BB1054">
        <v>834.9</v>
      </c>
      <c r="BC1054">
        <v>0.27</v>
      </c>
      <c r="BD1054">
        <v>125.55</v>
      </c>
      <c r="BE1054">
        <v>127.05</v>
      </c>
      <c r="BF1054">
        <v>126.1</v>
      </c>
      <c r="BG1054" t="s">
        <v>14678</v>
      </c>
      <c r="BH1054" t="s">
        <v>14679</v>
      </c>
      <c r="BI1054" t="s">
        <v>14680</v>
      </c>
      <c r="BJ1054" t="s">
        <v>101</v>
      </c>
      <c r="BK1054" t="s">
        <v>3735</v>
      </c>
      <c r="BL1054" t="s">
        <v>6225</v>
      </c>
      <c r="BM1054" t="s">
        <v>5064</v>
      </c>
      <c r="BN1054" t="s">
        <v>14623</v>
      </c>
    </row>
    <row r="1055" spans="1:66" x14ac:dyDescent="0.25">
      <c r="A1055" t="str">
        <f>HYPERLINK("https://elite.finviz.com/quote.ashx?t=SWAG&amp;ty=c&amp;p=d&amp;b=1", "SWAG")</f>
        <v>SWAG</v>
      </c>
      <c r="B1055">
        <v>6</v>
      </c>
      <c r="C1055">
        <v>127.03</v>
      </c>
      <c r="D1055">
        <v>42.7</v>
      </c>
      <c r="E1055" t="s">
        <v>14681</v>
      </c>
      <c r="F1055" t="s">
        <v>107</v>
      </c>
      <c r="G1055" t="s">
        <v>598</v>
      </c>
      <c r="H1055" t="s">
        <v>1020</v>
      </c>
      <c r="I1055" t="s">
        <v>70</v>
      </c>
      <c r="J1055" t="s">
        <v>321</v>
      </c>
      <c r="K1055">
        <v>30.99</v>
      </c>
      <c r="L1055">
        <v>1.67</v>
      </c>
      <c r="M1055" t="s">
        <v>5809</v>
      </c>
      <c r="N1055">
        <v>10810</v>
      </c>
      <c r="R1055">
        <v>0.28999999999999998</v>
      </c>
      <c r="S1055">
        <v>0.97</v>
      </c>
      <c r="AA1055">
        <v>-0.13</v>
      </c>
      <c r="AE1055" t="s">
        <v>9262</v>
      </c>
      <c r="AF1055" t="s">
        <v>9081</v>
      </c>
      <c r="AG1055" t="s">
        <v>9501</v>
      </c>
      <c r="AH1055" t="s">
        <v>14682</v>
      </c>
      <c r="AJ1055" t="s">
        <v>4237</v>
      </c>
      <c r="AK1055" t="s">
        <v>8164</v>
      </c>
      <c r="AL1055">
        <v>1.88</v>
      </c>
      <c r="AM1055">
        <v>1.63</v>
      </c>
      <c r="AN1055">
        <v>0.1</v>
      </c>
      <c r="AO1055" t="s">
        <v>11877</v>
      </c>
      <c r="AP1055" t="s">
        <v>6130</v>
      </c>
      <c r="AQ1055" t="s">
        <v>8763</v>
      </c>
      <c r="AR1055" t="s">
        <v>2772</v>
      </c>
      <c r="AS1055" t="s">
        <v>2370</v>
      </c>
      <c r="AT1055" t="s">
        <v>9741</v>
      </c>
      <c r="AU1055" t="s">
        <v>1559</v>
      </c>
      <c r="AV1055" t="s">
        <v>992</v>
      </c>
      <c r="AW1055" t="s">
        <v>9038</v>
      </c>
      <c r="AX1055" t="s">
        <v>8290</v>
      </c>
      <c r="AY1055" t="s">
        <v>9038</v>
      </c>
      <c r="AZ1055" t="s">
        <v>11001</v>
      </c>
      <c r="BA1055">
        <v>1</v>
      </c>
      <c r="BB1055">
        <v>87.97</v>
      </c>
      <c r="BC1055">
        <v>0.44</v>
      </c>
      <c r="BD1055">
        <v>1.71</v>
      </c>
      <c r="BE1055">
        <v>1.75</v>
      </c>
      <c r="BF1055">
        <v>1.65</v>
      </c>
      <c r="BG1055" t="s">
        <v>14683</v>
      </c>
      <c r="BH1055" t="s">
        <v>14684</v>
      </c>
      <c r="BI1055" t="s">
        <v>11001</v>
      </c>
      <c r="BJ1055" t="s">
        <v>101</v>
      </c>
      <c r="BK1055" t="s">
        <v>5386</v>
      </c>
      <c r="BL1055" t="s">
        <v>14685</v>
      </c>
      <c r="BM1055" t="s">
        <v>9005</v>
      </c>
      <c r="BN1055" t="s">
        <v>14623</v>
      </c>
    </row>
    <row r="1056" spans="1:66" x14ac:dyDescent="0.25">
      <c r="A1056" t="str">
        <f>HYPERLINK("https://elite.finviz.com/quote.ashx?t=CCNE&amp;ty=c&amp;p=d&amp;b=1", "CCNE")</f>
        <v>CCNE</v>
      </c>
      <c r="B1056">
        <v>6</v>
      </c>
      <c r="C1056">
        <v>127.03</v>
      </c>
      <c r="D1056">
        <v>43.02</v>
      </c>
      <c r="E1056" t="s">
        <v>14686</v>
      </c>
      <c r="F1056" t="s">
        <v>67</v>
      </c>
      <c r="G1056" t="s">
        <v>550</v>
      </c>
      <c r="H1056" t="s">
        <v>697</v>
      </c>
      <c r="I1056" t="s">
        <v>70</v>
      </c>
      <c r="J1056" t="s">
        <v>321</v>
      </c>
      <c r="K1056">
        <v>735.04</v>
      </c>
      <c r="L1056">
        <v>24.94</v>
      </c>
      <c r="M1056" t="s">
        <v>6298</v>
      </c>
      <c r="N1056">
        <v>10882</v>
      </c>
      <c r="O1056">
        <v>10.49</v>
      </c>
      <c r="P1056">
        <v>7.02</v>
      </c>
      <c r="R1056">
        <v>1.97</v>
      </c>
      <c r="S1056">
        <v>0.91</v>
      </c>
      <c r="T1056" t="s">
        <v>4687</v>
      </c>
      <c r="U1056">
        <v>0.72</v>
      </c>
      <c r="V1056" t="s">
        <v>4882</v>
      </c>
      <c r="W1056" t="s">
        <v>6829</v>
      </c>
      <c r="X1056" t="s">
        <v>4759</v>
      </c>
      <c r="Y1056" t="s">
        <v>6117</v>
      </c>
      <c r="Z1056" t="s">
        <v>7773</v>
      </c>
      <c r="AA1056">
        <v>2.38</v>
      </c>
      <c r="AB1056" t="s">
        <v>2836</v>
      </c>
      <c r="AC1056" t="s">
        <v>1119</v>
      </c>
      <c r="AE1056" t="s">
        <v>12465</v>
      </c>
      <c r="AF1056" t="s">
        <v>11176</v>
      </c>
      <c r="AG1056" t="s">
        <v>14687</v>
      </c>
      <c r="AH1056" t="s">
        <v>4907</v>
      </c>
      <c r="AI1056" t="s">
        <v>464</v>
      </c>
      <c r="AJ1056" t="s">
        <v>164</v>
      </c>
      <c r="AK1056" t="s">
        <v>14688</v>
      </c>
      <c r="AL1056">
        <v>0.23</v>
      </c>
      <c r="AN1056">
        <v>0.26</v>
      </c>
      <c r="AP1056" t="s">
        <v>731</v>
      </c>
      <c r="AQ1056" t="s">
        <v>3231</v>
      </c>
      <c r="AR1056" t="s">
        <v>4710</v>
      </c>
      <c r="AS1056" t="s">
        <v>5968</v>
      </c>
      <c r="AT1056" t="s">
        <v>5763</v>
      </c>
      <c r="AU1056" t="s">
        <v>6719</v>
      </c>
      <c r="AV1056" t="s">
        <v>371</v>
      </c>
      <c r="AW1056" t="s">
        <v>2268</v>
      </c>
      <c r="AX1056" t="s">
        <v>3058</v>
      </c>
      <c r="AY1056" t="s">
        <v>14689</v>
      </c>
      <c r="AZ1056" t="s">
        <v>5669</v>
      </c>
      <c r="BA1056">
        <v>1.67</v>
      </c>
      <c r="BB1056">
        <v>145.69</v>
      </c>
      <c r="BC1056">
        <v>0.26</v>
      </c>
      <c r="BD1056">
        <v>25.11</v>
      </c>
      <c r="BE1056">
        <v>25.31</v>
      </c>
      <c r="BF1056">
        <v>24.98</v>
      </c>
      <c r="BG1056" t="s">
        <v>14690</v>
      </c>
      <c r="BH1056" t="s">
        <v>11825</v>
      </c>
      <c r="BI1056" t="s">
        <v>14691</v>
      </c>
      <c r="BJ1056" t="s">
        <v>101</v>
      </c>
      <c r="BK1056" t="s">
        <v>6272</v>
      </c>
      <c r="BL1056" t="s">
        <v>2237</v>
      </c>
      <c r="BM1056" t="s">
        <v>2522</v>
      </c>
      <c r="BN1056" t="s">
        <v>14623</v>
      </c>
    </row>
    <row r="1057" spans="1:66" x14ac:dyDescent="0.25">
      <c r="A1057" t="str">
        <f>HYPERLINK("https://elite.finviz.com/quote.ashx?t=SHIM&amp;ty=c&amp;p=d&amp;b=1", "SHIM")</f>
        <v>SHIM</v>
      </c>
      <c r="B1057">
        <v>6</v>
      </c>
      <c r="C1057">
        <v>127.03</v>
      </c>
      <c r="D1057">
        <v>43.21</v>
      </c>
      <c r="E1057" t="s">
        <v>14692</v>
      </c>
      <c r="F1057" t="s">
        <v>107</v>
      </c>
      <c r="G1057" t="s">
        <v>260</v>
      </c>
      <c r="H1057" t="s">
        <v>2944</v>
      </c>
      <c r="I1057" t="s">
        <v>70</v>
      </c>
      <c r="J1057" t="s">
        <v>321</v>
      </c>
      <c r="K1057">
        <v>94.12</v>
      </c>
      <c r="L1057">
        <v>2.66</v>
      </c>
      <c r="M1057" t="s">
        <v>6074</v>
      </c>
      <c r="N1057">
        <v>5648</v>
      </c>
      <c r="P1057">
        <v>21.32</v>
      </c>
      <c r="R1057">
        <v>0.18</v>
      </c>
      <c r="AA1057">
        <v>-1.71</v>
      </c>
      <c r="AE1057" t="s">
        <v>1226</v>
      </c>
      <c r="AF1057" t="s">
        <v>3859</v>
      </c>
      <c r="AH1057" t="s">
        <v>14693</v>
      </c>
      <c r="AI1057" t="s">
        <v>164</v>
      </c>
      <c r="AJ1057" t="s">
        <v>7598</v>
      </c>
      <c r="AK1057" t="s">
        <v>370</v>
      </c>
      <c r="AL1057">
        <v>0.72</v>
      </c>
      <c r="AM1057">
        <v>0.72</v>
      </c>
      <c r="AO1057" t="s">
        <v>4623</v>
      </c>
      <c r="AP1057" t="s">
        <v>12070</v>
      </c>
      <c r="AQ1057" t="s">
        <v>14694</v>
      </c>
      <c r="AR1057" t="s">
        <v>7090</v>
      </c>
      <c r="AS1057" t="s">
        <v>6348</v>
      </c>
      <c r="AT1057" t="s">
        <v>5675</v>
      </c>
      <c r="AU1057" t="s">
        <v>5885</v>
      </c>
      <c r="AV1057" t="s">
        <v>11506</v>
      </c>
      <c r="AW1057" t="s">
        <v>14695</v>
      </c>
      <c r="AX1057" t="s">
        <v>14696</v>
      </c>
      <c r="AY1057" t="s">
        <v>12463</v>
      </c>
      <c r="AZ1057" t="s">
        <v>14697</v>
      </c>
      <c r="BA1057">
        <v>3</v>
      </c>
      <c r="BB1057">
        <v>55.95</v>
      </c>
      <c r="BC1057">
        <v>0.36</v>
      </c>
      <c r="BD1057">
        <v>2.78</v>
      </c>
      <c r="BE1057">
        <v>2.77</v>
      </c>
      <c r="BF1057">
        <v>2.67</v>
      </c>
      <c r="BG1057" t="s">
        <v>14698</v>
      </c>
      <c r="BH1057" t="s">
        <v>14699</v>
      </c>
      <c r="BI1057" t="s">
        <v>14697</v>
      </c>
      <c r="BJ1057" t="s">
        <v>101</v>
      </c>
      <c r="BK1057" t="s">
        <v>9997</v>
      </c>
      <c r="BL1057" t="s">
        <v>14700</v>
      </c>
      <c r="BM1057" t="s">
        <v>10819</v>
      </c>
      <c r="BN1057" t="s">
        <v>14623</v>
      </c>
    </row>
    <row r="1058" spans="1:66" x14ac:dyDescent="0.25">
      <c r="A1058" t="str">
        <f>HYPERLINK("https://elite.finviz.com/quote.ashx?t=MATV&amp;ty=c&amp;p=d&amp;b=1", "MATV")</f>
        <v>MATV</v>
      </c>
      <c r="B1058">
        <v>6</v>
      </c>
      <c r="C1058">
        <v>127.03</v>
      </c>
      <c r="D1058">
        <v>43.25</v>
      </c>
      <c r="E1058" t="s">
        <v>14701</v>
      </c>
      <c r="F1058" t="s">
        <v>67</v>
      </c>
      <c r="G1058" t="s">
        <v>355</v>
      </c>
      <c r="H1058" t="s">
        <v>1147</v>
      </c>
      <c r="I1058" t="s">
        <v>70</v>
      </c>
      <c r="J1058" t="s">
        <v>71</v>
      </c>
      <c r="K1058">
        <v>613.15</v>
      </c>
      <c r="L1058">
        <v>11.22</v>
      </c>
      <c r="M1058" t="s">
        <v>698</v>
      </c>
      <c r="N1058">
        <v>44566</v>
      </c>
      <c r="P1058">
        <v>10.63</v>
      </c>
      <c r="R1058">
        <v>0.31</v>
      </c>
      <c r="S1058">
        <v>1.47</v>
      </c>
      <c r="T1058" t="s">
        <v>975</v>
      </c>
      <c r="U1058">
        <v>0.4</v>
      </c>
      <c r="V1058" t="s">
        <v>4882</v>
      </c>
      <c r="W1058" t="s">
        <v>8192</v>
      </c>
      <c r="X1058" t="s">
        <v>14702</v>
      </c>
      <c r="Y1058" t="s">
        <v>14703</v>
      </c>
      <c r="AA1058">
        <v>-8.35</v>
      </c>
      <c r="AD1058" t="s">
        <v>14704</v>
      </c>
      <c r="AE1058" t="s">
        <v>8932</v>
      </c>
      <c r="AF1058" t="s">
        <v>2399</v>
      </c>
      <c r="AG1058" t="s">
        <v>8814</v>
      </c>
      <c r="AH1058" t="s">
        <v>698</v>
      </c>
      <c r="AI1058" t="s">
        <v>14705</v>
      </c>
      <c r="AJ1058" t="s">
        <v>4872</v>
      </c>
      <c r="AK1058" t="s">
        <v>689</v>
      </c>
      <c r="AL1058">
        <v>2.37</v>
      </c>
      <c r="AM1058">
        <v>1.21</v>
      </c>
      <c r="AN1058">
        <v>2.79</v>
      </c>
      <c r="AO1058" t="s">
        <v>1788</v>
      </c>
      <c r="AP1058" t="s">
        <v>2217</v>
      </c>
      <c r="AQ1058" t="s">
        <v>5799</v>
      </c>
      <c r="AR1058" t="s">
        <v>3874</v>
      </c>
      <c r="AS1058" t="s">
        <v>2493</v>
      </c>
      <c r="AT1058" t="s">
        <v>6436</v>
      </c>
      <c r="AU1058" t="s">
        <v>4819</v>
      </c>
      <c r="AV1058" t="s">
        <v>5364</v>
      </c>
      <c r="AW1058" t="s">
        <v>12843</v>
      </c>
      <c r="AX1058" t="s">
        <v>14706</v>
      </c>
      <c r="AY1058" t="s">
        <v>10678</v>
      </c>
      <c r="AZ1058" t="s">
        <v>14707</v>
      </c>
      <c r="BA1058">
        <v>1</v>
      </c>
      <c r="BB1058">
        <v>633.16</v>
      </c>
      <c r="BC1058">
        <v>0.25</v>
      </c>
      <c r="BD1058">
        <v>11.18</v>
      </c>
      <c r="BE1058">
        <v>11.46</v>
      </c>
      <c r="BF1058">
        <v>11.1</v>
      </c>
      <c r="BG1058" t="s">
        <v>14708</v>
      </c>
      <c r="BH1058" t="s">
        <v>2147</v>
      </c>
      <c r="BI1058" t="s">
        <v>14707</v>
      </c>
      <c r="BJ1058" t="s">
        <v>101</v>
      </c>
      <c r="BK1058" t="s">
        <v>8740</v>
      </c>
      <c r="BL1058" t="s">
        <v>14709</v>
      </c>
      <c r="BM1058" t="s">
        <v>14710</v>
      </c>
      <c r="BN1058" t="s">
        <v>14623</v>
      </c>
    </row>
    <row r="1059" spans="1:66" x14ac:dyDescent="0.25">
      <c r="A1059" t="str">
        <f>HYPERLINK("https://elite.finviz.com/quote.ashx?t=VLGEA&amp;ty=c&amp;p=d&amp;b=1", "VLGEA")</f>
        <v>VLGEA</v>
      </c>
      <c r="B1059">
        <v>6</v>
      </c>
      <c r="C1059">
        <v>127.03</v>
      </c>
      <c r="D1059">
        <v>43.35</v>
      </c>
      <c r="E1059" t="s">
        <v>14711</v>
      </c>
      <c r="F1059" t="s">
        <v>67</v>
      </c>
      <c r="G1059" t="s">
        <v>2244</v>
      </c>
      <c r="H1059" t="s">
        <v>14712</v>
      </c>
      <c r="I1059" t="s">
        <v>70</v>
      </c>
      <c r="J1059" t="s">
        <v>321</v>
      </c>
      <c r="K1059">
        <v>488.65</v>
      </c>
      <c r="L1059">
        <v>36.72</v>
      </c>
      <c r="M1059" t="s">
        <v>4086</v>
      </c>
      <c r="N1059">
        <v>11497</v>
      </c>
      <c r="O1059">
        <v>9.4700000000000006</v>
      </c>
      <c r="R1059">
        <v>0.21</v>
      </c>
      <c r="S1059">
        <v>1.02</v>
      </c>
      <c r="T1059" t="s">
        <v>901</v>
      </c>
      <c r="U1059">
        <v>1</v>
      </c>
      <c r="V1059" t="s">
        <v>5149</v>
      </c>
      <c r="W1059" t="s">
        <v>164</v>
      </c>
      <c r="X1059" t="s">
        <v>164</v>
      </c>
      <c r="Y1059" t="s">
        <v>164</v>
      </c>
      <c r="Z1059" t="s">
        <v>12851</v>
      </c>
      <c r="AA1059">
        <v>3.88</v>
      </c>
      <c r="AB1059" t="s">
        <v>14713</v>
      </c>
      <c r="AC1059" t="s">
        <v>7079</v>
      </c>
      <c r="AE1059" t="s">
        <v>4125</v>
      </c>
      <c r="AF1059" t="s">
        <v>7284</v>
      </c>
      <c r="AG1059" t="s">
        <v>3777</v>
      </c>
      <c r="AH1059" t="s">
        <v>4916</v>
      </c>
      <c r="AJ1059" t="s">
        <v>2059</v>
      </c>
      <c r="AK1059" t="s">
        <v>6941</v>
      </c>
      <c r="AL1059">
        <v>1.06</v>
      </c>
      <c r="AM1059">
        <v>0.78</v>
      </c>
      <c r="AN1059">
        <v>0.72</v>
      </c>
      <c r="AO1059" t="s">
        <v>4798</v>
      </c>
      <c r="AP1059" t="s">
        <v>1391</v>
      </c>
      <c r="AQ1059" t="s">
        <v>352</v>
      </c>
      <c r="AR1059" t="s">
        <v>2473</v>
      </c>
      <c r="AS1059" t="s">
        <v>5121</v>
      </c>
      <c r="AT1059" t="s">
        <v>10958</v>
      </c>
      <c r="AU1059" t="s">
        <v>2362</v>
      </c>
      <c r="AV1059" t="s">
        <v>2493</v>
      </c>
      <c r="AW1059" t="s">
        <v>5932</v>
      </c>
      <c r="AX1059" t="s">
        <v>369</v>
      </c>
      <c r="AY1059" t="s">
        <v>8659</v>
      </c>
      <c r="AZ1059" t="s">
        <v>14714</v>
      </c>
      <c r="BB1059">
        <v>58.43</v>
      </c>
      <c r="BC1059">
        <v>0.7</v>
      </c>
      <c r="BD1059">
        <v>36.979999999999997</v>
      </c>
      <c r="BE1059">
        <v>36.97</v>
      </c>
      <c r="BF1059">
        <v>36.61</v>
      </c>
      <c r="BG1059" t="s">
        <v>14715</v>
      </c>
      <c r="BH1059" t="s">
        <v>8659</v>
      </c>
      <c r="BI1059" t="s">
        <v>14716</v>
      </c>
      <c r="BJ1059" t="s">
        <v>101</v>
      </c>
      <c r="BK1059" t="s">
        <v>2498</v>
      </c>
      <c r="BL1059" t="s">
        <v>3856</v>
      </c>
      <c r="BM1059" t="s">
        <v>12266</v>
      </c>
      <c r="BN1059" t="s">
        <v>14623</v>
      </c>
    </row>
    <row r="1060" spans="1:66" x14ac:dyDescent="0.25">
      <c r="A1060" t="str">
        <f>HYPERLINK("https://elite.finviz.com/quote.ashx?t=TRST&amp;ty=c&amp;p=d&amp;b=1", "TRST")</f>
        <v>TRST</v>
      </c>
      <c r="B1060">
        <v>6</v>
      </c>
      <c r="C1060">
        <v>127.03</v>
      </c>
      <c r="D1060">
        <v>43.59</v>
      </c>
      <c r="E1060" t="s">
        <v>14717</v>
      </c>
      <c r="F1060" t="s">
        <v>67</v>
      </c>
      <c r="G1060" t="s">
        <v>550</v>
      </c>
      <c r="H1060" t="s">
        <v>697</v>
      </c>
      <c r="I1060" t="s">
        <v>70</v>
      </c>
      <c r="J1060" t="s">
        <v>321</v>
      </c>
      <c r="K1060">
        <v>707.01</v>
      </c>
      <c r="L1060">
        <v>37.51</v>
      </c>
      <c r="M1060" t="s">
        <v>240</v>
      </c>
      <c r="N1060">
        <v>11605</v>
      </c>
      <c r="O1060">
        <v>13.35</v>
      </c>
      <c r="R1060">
        <v>2.64</v>
      </c>
      <c r="S1060">
        <v>1.02</v>
      </c>
      <c r="T1060" t="s">
        <v>162</v>
      </c>
      <c r="U1060">
        <v>1.46</v>
      </c>
      <c r="V1060" t="s">
        <v>4548</v>
      </c>
      <c r="W1060" t="s">
        <v>164</v>
      </c>
      <c r="X1060" t="s">
        <v>2082</v>
      </c>
      <c r="Y1060" t="s">
        <v>1488</v>
      </c>
      <c r="Z1060" t="s">
        <v>12554</v>
      </c>
      <c r="AA1060">
        <v>2.81</v>
      </c>
      <c r="AB1060" t="s">
        <v>972</v>
      </c>
      <c r="AC1060" t="s">
        <v>997</v>
      </c>
      <c r="AE1060" t="s">
        <v>896</v>
      </c>
      <c r="AF1060" t="s">
        <v>953</v>
      </c>
      <c r="AG1060" t="s">
        <v>1449</v>
      </c>
      <c r="AH1060" t="s">
        <v>1204</v>
      </c>
      <c r="AJ1060" t="s">
        <v>193</v>
      </c>
      <c r="AK1060" t="s">
        <v>14718</v>
      </c>
      <c r="AL1060">
        <v>0.22</v>
      </c>
      <c r="AN1060">
        <v>0.18</v>
      </c>
      <c r="AP1060" t="s">
        <v>4838</v>
      </c>
      <c r="AQ1060" t="s">
        <v>10912</v>
      </c>
      <c r="AR1060" t="s">
        <v>2202</v>
      </c>
      <c r="AS1060" t="s">
        <v>4255</v>
      </c>
      <c r="AT1060" t="s">
        <v>8534</v>
      </c>
      <c r="AU1060" t="s">
        <v>6493</v>
      </c>
      <c r="AV1060" t="s">
        <v>4450</v>
      </c>
      <c r="AW1060" t="s">
        <v>6660</v>
      </c>
      <c r="AX1060" t="s">
        <v>1723</v>
      </c>
      <c r="AY1060" t="s">
        <v>6660</v>
      </c>
      <c r="AZ1060" t="s">
        <v>14719</v>
      </c>
      <c r="BA1060">
        <v>5</v>
      </c>
      <c r="BB1060">
        <v>113.45</v>
      </c>
      <c r="BC1060">
        <v>0.36</v>
      </c>
      <c r="BD1060">
        <v>37.79</v>
      </c>
      <c r="BE1060">
        <v>38.159999999999997</v>
      </c>
      <c r="BF1060">
        <v>37.5</v>
      </c>
      <c r="BG1060" t="s">
        <v>14720</v>
      </c>
      <c r="BH1060" t="s">
        <v>14721</v>
      </c>
      <c r="BI1060" t="s">
        <v>14722</v>
      </c>
      <c r="BJ1060" t="s">
        <v>101</v>
      </c>
      <c r="BK1060" t="s">
        <v>3122</v>
      </c>
      <c r="BL1060" t="s">
        <v>6968</v>
      </c>
      <c r="BM1060" t="s">
        <v>6946</v>
      </c>
      <c r="BN1060" t="s">
        <v>14623</v>
      </c>
    </row>
    <row r="1061" spans="1:66" x14ac:dyDescent="0.25">
      <c r="A1061" t="str">
        <f>HYPERLINK("https://elite.finviz.com/quote.ashx?t=ONIT&amp;ty=c&amp;p=d&amp;b=1", "ONIT")</f>
        <v>ONIT</v>
      </c>
      <c r="B1061">
        <v>6</v>
      </c>
      <c r="C1061">
        <v>127.03</v>
      </c>
      <c r="D1061">
        <v>43.62</v>
      </c>
      <c r="E1061" t="s">
        <v>14723</v>
      </c>
      <c r="F1061" t="s">
        <v>67</v>
      </c>
      <c r="G1061" t="s">
        <v>550</v>
      </c>
      <c r="H1061" t="s">
        <v>3699</v>
      </c>
      <c r="I1061" t="s">
        <v>70</v>
      </c>
      <c r="J1061" t="s">
        <v>71</v>
      </c>
      <c r="K1061">
        <v>329.34</v>
      </c>
      <c r="L1061">
        <v>40.89</v>
      </c>
      <c r="M1061" t="s">
        <v>4840</v>
      </c>
      <c r="N1061">
        <v>8005</v>
      </c>
      <c r="O1061">
        <v>10.41</v>
      </c>
      <c r="P1061">
        <v>3.85</v>
      </c>
      <c r="Q1061">
        <v>0.26</v>
      </c>
      <c r="R1061">
        <v>0.34</v>
      </c>
      <c r="S1061">
        <v>0.68</v>
      </c>
      <c r="Z1061" t="s">
        <v>164</v>
      </c>
      <c r="AA1061">
        <v>3.93</v>
      </c>
      <c r="AB1061" t="s">
        <v>10587</v>
      </c>
      <c r="AD1061" t="s">
        <v>14724</v>
      </c>
      <c r="AE1061" t="s">
        <v>4257</v>
      </c>
      <c r="AF1061" t="s">
        <v>6105</v>
      </c>
      <c r="AG1061" t="s">
        <v>7429</v>
      </c>
      <c r="AH1061" t="s">
        <v>7598</v>
      </c>
      <c r="AI1061" t="s">
        <v>12245</v>
      </c>
      <c r="AJ1061" t="s">
        <v>164</v>
      </c>
      <c r="AK1061" t="s">
        <v>3176</v>
      </c>
      <c r="AL1061">
        <v>0.35</v>
      </c>
      <c r="AM1061">
        <v>0.32</v>
      </c>
      <c r="AN1061">
        <v>28.82</v>
      </c>
      <c r="AO1061" t="s">
        <v>14725</v>
      </c>
      <c r="AP1061" t="s">
        <v>11819</v>
      </c>
      <c r="AQ1061" t="s">
        <v>2495</v>
      </c>
      <c r="AR1061" t="s">
        <v>3500</v>
      </c>
      <c r="AS1061" t="s">
        <v>2233</v>
      </c>
      <c r="AT1061" t="s">
        <v>2827</v>
      </c>
      <c r="AU1061" t="s">
        <v>149</v>
      </c>
      <c r="AV1061" t="s">
        <v>10736</v>
      </c>
      <c r="AW1061" t="s">
        <v>7746</v>
      </c>
      <c r="AX1061" t="s">
        <v>5390</v>
      </c>
      <c r="AY1061" t="s">
        <v>7746</v>
      </c>
      <c r="AZ1061" t="s">
        <v>2718</v>
      </c>
      <c r="BA1061">
        <v>1</v>
      </c>
      <c r="BB1061">
        <v>49.13</v>
      </c>
      <c r="BC1061">
        <v>0.56999999999999995</v>
      </c>
      <c r="BD1061">
        <v>40.630000000000003</v>
      </c>
      <c r="BE1061">
        <v>41.01</v>
      </c>
      <c r="BF1061">
        <v>40.6</v>
      </c>
      <c r="BG1061" t="s">
        <v>14726</v>
      </c>
      <c r="BH1061" t="s">
        <v>14727</v>
      </c>
      <c r="BI1061" t="s">
        <v>14728</v>
      </c>
      <c r="BJ1061" t="s">
        <v>101</v>
      </c>
      <c r="BK1061" t="s">
        <v>11728</v>
      </c>
      <c r="BL1061" t="s">
        <v>3582</v>
      </c>
      <c r="BM1061" t="s">
        <v>12116</v>
      </c>
      <c r="BN1061" t="s">
        <v>14623</v>
      </c>
    </row>
    <row r="1062" spans="1:66" x14ac:dyDescent="0.25">
      <c r="A1062" t="str">
        <f>HYPERLINK("https://elite.finviz.com/quote.ashx?t=MPB&amp;ty=c&amp;p=d&amp;b=1", "MPB")</f>
        <v>MPB</v>
      </c>
      <c r="B1062">
        <v>6</v>
      </c>
      <c r="C1062">
        <v>127.03</v>
      </c>
      <c r="D1062">
        <v>43.69</v>
      </c>
      <c r="E1062" t="s">
        <v>14729</v>
      </c>
      <c r="F1062" t="s">
        <v>67</v>
      </c>
      <c r="G1062" t="s">
        <v>550</v>
      </c>
      <c r="H1062" t="s">
        <v>697</v>
      </c>
      <c r="I1062" t="s">
        <v>70</v>
      </c>
      <c r="J1062" t="s">
        <v>321</v>
      </c>
      <c r="K1062">
        <v>675.37</v>
      </c>
      <c r="L1062">
        <v>29.36</v>
      </c>
      <c r="M1062" t="s">
        <v>6194</v>
      </c>
      <c r="N1062">
        <v>29385</v>
      </c>
      <c r="O1062">
        <v>12.3</v>
      </c>
      <c r="P1062">
        <v>8.4600000000000009</v>
      </c>
      <c r="Q1062">
        <v>0.87</v>
      </c>
      <c r="R1062">
        <v>2.1</v>
      </c>
      <c r="S1062">
        <v>0.87</v>
      </c>
      <c r="T1062" t="s">
        <v>901</v>
      </c>
      <c r="U1062">
        <v>0.8</v>
      </c>
      <c r="V1062" t="s">
        <v>1762</v>
      </c>
      <c r="W1062" t="s">
        <v>164</v>
      </c>
      <c r="X1062" t="s">
        <v>1409</v>
      </c>
      <c r="Y1062" t="s">
        <v>305</v>
      </c>
      <c r="Z1062" t="s">
        <v>14730</v>
      </c>
      <c r="AA1062">
        <v>2.39</v>
      </c>
      <c r="AB1062" t="s">
        <v>3842</v>
      </c>
      <c r="AC1062" t="s">
        <v>9703</v>
      </c>
      <c r="AD1062" t="s">
        <v>10200</v>
      </c>
      <c r="AE1062" t="s">
        <v>177</v>
      </c>
      <c r="AF1062" t="s">
        <v>1875</v>
      </c>
      <c r="AG1062" t="s">
        <v>4930</v>
      </c>
      <c r="AH1062" t="s">
        <v>14731</v>
      </c>
      <c r="AI1062" t="s">
        <v>907</v>
      </c>
      <c r="AJ1062" t="s">
        <v>2646</v>
      </c>
      <c r="AK1062" t="s">
        <v>5483</v>
      </c>
      <c r="AL1062">
        <v>0.08</v>
      </c>
      <c r="AN1062">
        <v>0.1</v>
      </c>
      <c r="AP1062" t="s">
        <v>12079</v>
      </c>
      <c r="AQ1062" t="s">
        <v>7575</v>
      </c>
      <c r="AR1062" t="s">
        <v>2080</v>
      </c>
      <c r="AS1062" t="s">
        <v>3842</v>
      </c>
      <c r="AT1062" t="s">
        <v>10774</v>
      </c>
      <c r="AU1062" t="s">
        <v>1279</v>
      </c>
      <c r="AV1062" t="s">
        <v>6475</v>
      </c>
      <c r="AW1062" t="s">
        <v>14732</v>
      </c>
      <c r="AX1062" t="s">
        <v>5877</v>
      </c>
      <c r="AY1062" t="s">
        <v>4899</v>
      </c>
      <c r="AZ1062" t="s">
        <v>5724</v>
      </c>
      <c r="BA1062">
        <v>1</v>
      </c>
      <c r="BB1062">
        <v>124.31</v>
      </c>
      <c r="BC1062">
        <v>0.83</v>
      </c>
      <c r="BD1062">
        <v>29.52</v>
      </c>
      <c r="BE1062">
        <v>29.85</v>
      </c>
      <c r="BF1062">
        <v>29.25</v>
      </c>
      <c r="BG1062" t="s">
        <v>14733</v>
      </c>
      <c r="BH1062" t="s">
        <v>11868</v>
      </c>
      <c r="BI1062" t="s">
        <v>14734</v>
      </c>
      <c r="BJ1062" t="s">
        <v>101</v>
      </c>
      <c r="BK1062" t="s">
        <v>3170</v>
      </c>
      <c r="BL1062" t="s">
        <v>2911</v>
      </c>
      <c r="BM1062" t="s">
        <v>4828</v>
      </c>
      <c r="BN1062" t="s">
        <v>14623</v>
      </c>
    </row>
    <row r="1063" spans="1:66" x14ac:dyDescent="0.25">
      <c r="A1063" t="str">
        <f>HYPERLINK("https://elite.finviz.com/quote.ashx?t=NXST&amp;ty=c&amp;p=d&amp;b=1", "NXST")</f>
        <v>NXST</v>
      </c>
      <c r="B1063">
        <v>6</v>
      </c>
      <c r="C1063">
        <v>127.03</v>
      </c>
      <c r="D1063">
        <v>43.86</v>
      </c>
      <c r="E1063" t="s">
        <v>14735</v>
      </c>
      <c r="F1063" t="s">
        <v>107</v>
      </c>
      <c r="G1063" t="s">
        <v>598</v>
      </c>
      <c r="H1063" t="s">
        <v>4546</v>
      </c>
      <c r="I1063" t="s">
        <v>70</v>
      </c>
      <c r="J1063" t="s">
        <v>321</v>
      </c>
      <c r="K1063">
        <v>5994.53</v>
      </c>
      <c r="L1063">
        <v>197.74</v>
      </c>
      <c r="M1063" t="s">
        <v>2906</v>
      </c>
      <c r="N1063">
        <v>29044</v>
      </c>
      <c r="O1063">
        <v>9.9700000000000006</v>
      </c>
      <c r="P1063">
        <v>7.74</v>
      </c>
      <c r="R1063">
        <v>1.1299999999999999</v>
      </c>
      <c r="S1063">
        <v>2.66</v>
      </c>
      <c r="T1063" t="s">
        <v>3670</v>
      </c>
      <c r="U1063">
        <v>7.27</v>
      </c>
      <c r="V1063" t="s">
        <v>3046</v>
      </c>
      <c r="W1063" t="s">
        <v>2129</v>
      </c>
      <c r="X1063" t="s">
        <v>14736</v>
      </c>
      <c r="Y1063" t="s">
        <v>3508</v>
      </c>
      <c r="Z1063" t="s">
        <v>7626</v>
      </c>
      <c r="AA1063">
        <v>19.84</v>
      </c>
      <c r="AB1063" t="s">
        <v>2647</v>
      </c>
      <c r="AC1063" t="s">
        <v>4684</v>
      </c>
      <c r="AD1063" t="s">
        <v>815</v>
      </c>
      <c r="AE1063" t="s">
        <v>8960</v>
      </c>
      <c r="AF1063" t="s">
        <v>4393</v>
      </c>
      <c r="AG1063" t="s">
        <v>3406</v>
      </c>
      <c r="AH1063" t="s">
        <v>10958</v>
      </c>
      <c r="AI1063" t="s">
        <v>1925</v>
      </c>
      <c r="AJ1063" t="s">
        <v>2176</v>
      </c>
      <c r="AK1063" t="s">
        <v>14737</v>
      </c>
      <c r="AL1063">
        <v>1.69</v>
      </c>
      <c r="AM1063">
        <v>1.69</v>
      </c>
      <c r="AN1063">
        <v>2.96</v>
      </c>
      <c r="AO1063" t="s">
        <v>14738</v>
      </c>
      <c r="AP1063" t="s">
        <v>10109</v>
      </c>
      <c r="AQ1063" t="s">
        <v>8041</v>
      </c>
      <c r="AR1063" t="s">
        <v>451</v>
      </c>
      <c r="AS1063" t="s">
        <v>451</v>
      </c>
      <c r="AT1063" t="s">
        <v>1175</v>
      </c>
      <c r="AU1063" t="s">
        <v>8979</v>
      </c>
      <c r="AV1063" t="s">
        <v>8526</v>
      </c>
      <c r="AW1063" t="s">
        <v>2375</v>
      </c>
      <c r="AX1063" t="s">
        <v>8209</v>
      </c>
      <c r="AY1063" t="s">
        <v>2375</v>
      </c>
      <c r="AZ1063" t="s">
        <v>14739</v>
      </c>
      <c r="BA1063">
        <v>1.73</v>
      </c>
      <c r="BB1063">
        <v>349.77</v>
      </c>
      <c r="BC1063">
        <v>0.28999999999999998</v>
      </c>
      <c r="BD1063">
        <v>198.1</v>
      </c>
      <c r="BE1063">
        <v>199.44</v>
      </c>
      <c r="BF1063">
        <v>198.1</v>
      </c>
      <c r="BG1063" t="s">
        <v>14740</v>
      </c>
      <c r="BH1063" t="s">
        <v>2375</v>
      </c>
      <c r="BI1063" t="s">
        <v>14741</v>
      </c>
      <c r="BJ1063" t="s">
        <v>101</v>
      </c>
      <c r="BK1063" t="s">
        <v>1511</v>
      </c>
      <c r="BL1063" t="s">
        <v>3171</v>
      </c>
      <c r="BM1063" t="s">
        <v>2544</v>
      </c>
      <c r="BN1063" t="s">
        <v>14623</v>
      </c>
    </row>
    <row r="1064" spans="1:66" x14ac:dyDescent="0.25">
      <c r="A1064" t="str">
        <f>HYPERLINK("https://elite.finviz.com/quote.ashx?t=RBCAA&amp;ty=c&amp;p=d&amp;b=1", "RBCAA")</f>
        <v>RBCAA</v>
      </c>
      <c r="B1064">
        <v>6</v>
      </c>
      <c r="C1064">
        <v>127.03</v>
      </c>
      <c r="D1064">
        <v>43.9</v>
      </c>
      <c r="E1064" t="s">
        <v>14742</v>
      </c>
      <c r="F1064" t="s">
        <v>67</v>
      </c>
      <c r="G1064" t="s">
        <v>550</v>
      </c>
      <c r="H1064" t="s">
        <v>697</v>
      </c>
      <c r="I1064" t="s">
        <v>70</v>
      </c>
      <c r="J1064" t="s">
        <v>321</v>
      </c>
      <c r="K1064">
        <v>1277.55</v>
      </c>
      <c r="L1064">
        <v>73.5</v>
      </c>
      <c r="M1064" t="s">
        <v>2275</v>
      </c>
      <c r="N1064">
        <v>2439</v>
      </c>
      <c r="O1064">
        <v>11.61</v>
      </c>
      <c r="P1064">
        <v>12.14</v>
      </c>
      <c r="R1064">
        <v>2.4700000000000002</v>
      </c>
      <c r="S1064">
        <v>1.34</v>
      </c>
      <c r="T1064" t="s">
        <v>5121</v>
      </c>
      <c r="U1064">
        <v>1.76</v>
      </c>
      <c r="V1064" t="s">
        <v>7552</v>
      </c>
      <c r="W1064" t="s">
        <v>2428</v>
      </c>
      <c r="X1064" t="s">
        <v>3793</v>
      </c>
      <c r="Y1064" t="s">
        <v>1133</v>
      </c>
      <c r="Z1064" t="s">
        <v>2670</v>
      </c>
      <c r="AA1064">
        <v>6.33</v>
      </c>
      <c r="AB1064" t="s">
        <v>954</v>
      </c>
      <c r="AC1064" t="s">
        <v>9280</v>
      </c>
      <c r="AE1064" t="s">
        <v>5911</v>
      </c>
      <c r="AF1064" t="s">
        <v>14743</v>
      </c>
      <c r="AG1064" t="s">
        <v>2515</v>
      </c>
      <c r="AH1064" t="s">
        <v>911</v>
      </c>
      <c r="AI1064" t="s">
        <v>7345</v>
      </c>
      <c r="AJ1064" t="s">
        <v>7709</v>
      </c>
      <c r="AK1064" t="s">
        <v>11035</v>
      </c>
      <c r="AL1064">
        <v>0.12</v>
      </c>
      <c r="AN1064">
        <v>0.45</v>
      </c>
      <c r="AP1064" t="s">
        <v>329</v>
      </c>
      <c r="AQ1064" t="s">
        <v>1368</v>
      </c>
      <c r="AR1064" t="s">
        <v>3757</v>
      </c>
      <c r="AS1064" t="s">
        <v>2609</v>
      </c>
      <c r="AT1064" t="s">
        <v>4113</v>
      </c>
      <c r="AU1064" t="s">
        <v>171</v>
      </c>
      <c r="AV1064" t="s">
        <v>2293</v>
      </c>
      <c r="AW1064" t="s">
        <v>14744</v>
      </c>
      <c r="AX1064" t="s">
        <v>4783</v>
      </c>
      <c r="AY1064" t="s">
        <v>9417</v>
      </c>
      <c r="AZ1064" t="s">
        <v>5184</v>
      </c>
      <c r="BA1064">
        <v>3</v>
      </c>
      <c r="BB1064">
        <v>39.18</v>
      </c>
      <c r="BC1064">
        <v>0.22</v>
      </c>
      <c r="BD1064">
        <v>73.41</v>
      </c>
      <c r="BE1064">
        <v>74.010000000000005</v>
      </c>
      <c r="BF1064">
        <v>74.010000000000005</v>
      </c>
      <c r="BG1064" t="s">
        <v>14745</v>
      </c>
      <c r="BH1064" t="s">
        <v>9417</v>
      </c>
      <c r="BI1064" t="s">
        <v>14746</v>
      </c>
      <c r="BJ1064" t="s">
        <v>101</v>
      </c>
      <c r="BK1064" t="s">
        <v>2864</v>
      </c>
      <c r="BL1064" t="s">
        <v>821</v>
      </c>
      <c r="BM1064" t="s">
        <v>5386</v>
      </c>
      <c r="BN1064" t="s">
        <v>14623</v>
      </c>
    </row>
    <row r="1065" spans="1:66" x14ac:dyDescent="0.25">
      <c r="A1065" t="str">
        <f>HYPERLINK("https://elite.finviz.com/quote.ashx?t=RLYB&amp;ty=c&amp;p=d&amp;b=1", "RLYB")</f>
        <v>RLYB</v>
      </c>
      <c r="B1065">
        <v>6</v>
      </c>
      <c r="C1065">
        <v>127.03</v>
      </c>
      <c r="D1065">
        <v>43.91</v>
      </c>
      <c r="E1065" t="s">
        <v>14747</v>
      </c>
      <c r="F1065" t="s">
        <v>107</v>
      </c>
      <c r="G1065" t="s">
        <v>428</v>
      </c>
      <c r="H1065" t="s">
        <v>429</v>
      </c>
      <c r="I1065" t="s">
        <v>70</v>
      </c>
      <c r="J1065" t="s">
        <v>321</v>
      </c>
      <c r="K1065">
        <v>22.69</v>
      </c>
      <c r="L1065">
        <v>0.54</v>
      </c>
      <c r="M1065" t="s">
        <v>6739</v>
      </c>
      <c r="N1065">
        <v>533369</v>
      </c>
      <c r="R1065">
        <v>29.85</v>
      </c>
      <c r="S1065">
        <v>0.49</v>
      </c>
      <c r="AA1065">
        <v>-0.93</v>
      </c>
      <c r="AB1065" t="s">
        <v>8013</v>
      </c>
      <c r="AC1065" t="s">
        <v>14748</v>
      </c>
      <c r="AD1065" t="s">
        <v>5046</v>
      </c>
      <c r="AE1065" t="s">
        <v>14749</v>
      </c>
      <c r="AH1065" t="s">
        <v>14750</v>
      </c>
      <c r="AI1065" t="s">
        <v>3468</v>
      </c>
      <c r="AJ1065" t="s">
        <v>164</v>
      </c>
      <c r="AK1065" t="s">
        <v>13676</v>
      </c>
      <c r="AL1065">
        <v>9.98</v>
      </c>
      <c r="AM1065">
        <v>9.98</v>
      </c>
      <c r="AN1065">
        <v>0</v>
      </c>
      <c r="AO1065" t="s">
        <v>14751</v>
      </c>
      <c r="AP1065" t="s">
        <v>14752</v>
      </c>
      <c r="AQ1065" t="s">
        <v>14753</v>
      </c>
      <c r="AR1065" t="s">
        <v>5739</v>
      </c>
      <c r="AS1065" t="s">
        <v>9936</v>
      </c>
      <c r="AT1065" t="s">
        <v>3091</v>
      </c>
      <c r="AU1065" t="s">
        <v>9475</v>
      </c>
      <c r="AV1065" t="s">
        <v>6231</v>
      </c>
      <c r="AW1065" t="s">
        <v>14754</v>
      </c>
      <c r="AX1065" t="s">
        <v>8832</v>
      </c>
      <c r="AY1065" t="s">
        <v>14755</v>
      </c>
      <c r="AZ1065" t="s">
        <v>14756</v>
      </c>
      <c r="BA1065">
        <v>2.5</v>
      </c>
      <c r="BB1065">
        <v>2869.48</v>
      </c>
      <c r="BC1065">
        <v>0.65</v>
      </c>
      <c r="BD1065">
        <v>0.56999999999999995</v>
      </c>
      <c r="BE1065">
        <v>0.56000000000000005</v>
      </c>
      <c r="BF1065">
        <v>0.5</v>
      </c>
      <c r="BG1065" t="s">
        <v>14757</v>
      </c>
      <c r="BH1065" t="s">
        <v>14758</v>
      </c>
      <c r="BI1065" t="s">
        <v>14756</v>
      </c>
      <c r="BJ1065" t="s">
        <v>101</v>
      </c>
      <c r="BK1065" t="s">
        <v>1170</v>
      </c>
      <c r="BL1065" t="s">
        <v>10420</v>
      </c>
      <c r="BM1065" t="s">
        <v>11834</v>
      </c>
      <c r="BN1065" t="s">
        <v>14759</v>
      </c>
    </row>
    <row r="1066" spans="1:66" x14ac:dyDescent="0.25">
      <c r="A1066" t="str">
        <f>HYPERLINK("https://elite.finviz.com/quote.ashx?t=PI&amp;ty=c&amp;p=d&amp;b=1", "PI")</f>
        <v>PI</v>
      </c>
      <c r="B1066">
        <v>6</v>
      </c>
      <c r="C1066">
        <v>127.03</v>
      </c>
      <c r="D1066">
        <v>43.93</v>
      </c>
      <c r="E1066" t="s">
        <v>14760</v>
      </c>
      <c r="F1066" t="s">
        <v>67</v>
      </c>
      <c r="G1066" t="s">
        <v>108</v>
      </c>
      <c r="H1066" t="s">
        <v>1808</v>
      </c>
      <c r="I1066" t="s">
        <v>70</v>
      </c>
      <c r="J1066" t="s">
        <v>321</v>
      </c>
      <c r="K1066">
        <v>5051.1899999999996</v>
      </c>
      <c r="L1066">
        <v>173.64</v>
      </c>
      <c r="M1066" t="s">
        <v>72</v>
      </c>
      <c r="N1066">
        <v>66156</v>
      </c>
      <c r="O1066">
        <v>24116.93</v>
      </c>
      <c r="P1066">
        <v>66.53</v>
      </c>
      <c r="Q1066">
        <v>1148.97</v>
      </c>
      <c r="R1066">
        <v>14.07</v>
      </c>
      <c r="S1066">
        <v>26.91</v>
      </c>
      <c r="Z1066" t="s">
        <v>164</v>
      </c>
      <c r="AA1066">
        <v>0.01</v>
      </c>
      <c r="AD1066" t="s">
        <v>14761</v>
      </c>
      <c r="AE1066" t="s">
        <v>11319</v>
      </c>
      <c r="AF1066" t="s">
        <v>10947</v>
      </c>
      <c r="AG1066" t="s">
        <v>11039</v>
      </c>
      <c r="AH1066" t="s">
        <v>3622</v>
      </c>
      <c r="AI1066" t="s">
        <v>8916</v>
      </c>
      <c r="AJ1066" t="s">
        <v>4649</v>
      </c>
      <c r="AK1066" t="s">
        <v>14762</v>
      </c>
      <c r="AL1066">
        <v>11.64</v>
      </c>
      <c r="AM1066">
        <v>8.44</v>
      </c>
      <c r="AN1066">
        <v>1.56</v>
      </c>
      <c r="AO1066" t="s">
        <v>14763</v>
      </c>
      <c r="AP1066" t="s">
        <v>5693</v>
      </c>
      <c r="AQ1066" t="s">
        <v>4794</v>
      </c>
      <c r="AR1066" t="s">
        <v>4526</v>
      </c>
      <c r="AS1066" t="s">
        <v>995</v>
      </c>
      <c r="AT1066" t="s">
        <v>2467</v>
      </c>
      <c r="AU1066" t="s">
        <v>926</v>
      </c>
      <c r="AV1066" t="s">
        <v>5689</v>
      </c>
      <c r="AW1066" t="s">
        <v>14764</v>
      </c>
      <c r="AX1066" t="s">
        <v>6334</v>
      </c>
      <c r="AY1066" t="s">
        <v>14765</v>
      </c>
      <c r="AZ1066" t="s">
        <v>14766</v>
      </c>
      <c r="BA1066">
        <v>1</v>
      </c>
      <c r="BB1066">
        <v>545.08000000000004</v>
      </c>
      <c r="BC1066">
        <v>0.43</v>
      </c>
      <c r="BD1066">
        <v>178.47</v>
      </c>
      <c r="BE1066">
        <v>179.58</v>
      </c>
      <c r="BF1066">
        <v>173.48</v>
      </c>
      <c r="BG1066" t="s">
        <v>14767</v>
      </c>
      <c r="BH1066" t="s">
        <v>14765</v>
      </c>
      <c r="BI1066" t="s">
        <v>14768</v>
      </c>
      <c r="BJ1066" t="s">
        <v>101</v>
      </c>
      <c r="BK1066" t="s">
        <v>13457</v>
      </c>
      <c r="BL1066" t="s">
        <v>14769</v>
      </c>
      <c r="BM1066" t="s">
        <v>10341</v>
      </c>
      <c r="BN1066" t="s">
        <v>14623</v>
      </c>
    </row>
    <row r="1067" spans="1:66" x14ac:dyDescent="0.25">
      <c r="A1067" t="str">
        <f>HYPERLINK("https://elite.finviz.com/quote.ashx?t=KAR&amp;ty=c&amp;p=d&amp;b=1", "KAR")</f>
        <v>KAR</v>
      </c>
      <c r="B1067">
        <v>6</v>
      </c>
      <c r="C1067">
        <v>127.03</v>
      </c>
      <c r="D1067">
        <v>43.94</v>
      </c>
      <c r="E1067" t="s">
        <v>14770</v>
      </c>
      <c r="F1067" t="s">
        <v>67</v>
      </c>
      <c r="G1067" t="s">
        <v>813</v>
      </c>
      <c r="H1067" t="s">
        <v>5888</v>
      </c>
      <c r="I1067" t="s">
        <v>70</v>
      </c>
      <c r="J1067" t="s">
        <v>71</v>
      </c>
      <c r="K1067">
        <v>2975.97</v>
      </c>
      <c r="L1067">
        <v>28</v>
      </c>
      <c r="M1067" t="s">
        <v>8425</v>
      </c>
      <c r="N1067">
        <v>439970</v>
      </c>
      <c r="O1067">
        <v>37.79</v>
      </c>
      <c r="P1067">
        <v>21.82</v>
      </c>
      <c r="R1067">
        <v>1.61</v>
      </c>
      <c r="S1067">
        <v>2.12</v>
      </c>
      <c r="V1067" t="s">
        <v>14771</v>
      </c>
      <c r="Z1067" t="s">
        <v>164</v>
      </c>
      <c r="AA1067">
        <v>0.74</v>
      </c>
      <c r="AB1067" t="s">
        <v>5564</v>
      </c>
      <c r="AC1067" t="s">
        <v>14772</v>
      </c>
      <c r="AE1067" t="s">
        <v>7654</v>
      </c>
      <c r="AF1067" t="s">
        <v>297</v>
      </c>
      <c r="AG1067" t="s">
        <v>11693</v>
      </c>
      <c r="AH1067" t="s">
        <v>7976</v>
      </c>
      <c r="AI1067" t="s">
        <v>14773</v>
      </c>
      <c r="AJ1067" t="s">
        <v>14774</v>
      </c>
      <c r="AK1067" t="s">
        <v>14775</v>
      </c>
      <c r="AL1067">
        <v>1.1599999999999999</v>
      </c>
      <c r="AM1067">
        <v>1.1599999999999999</v>
      </c>
      <c r="AN1067">
        <v>0.88</v>
      </c>
      <c r="AO1067" t="s">
        <v>4207</v>
      </c>
      <c r="AP1067" t="s">
        <v>3272</v>
      </c>
      <c r="AQ1067" t="s">
        <v>8625</v>
      </c>
      <c r="AR1067" t="s">
        <v>2195</v>
      </c>
      <c r="AS1067" t="s">
        <v>92</v>
      </c>
      <c r="AT1067" t="s">
        <v>3485</v>
      </c>
      <c r="AU1067" t="s">
        <v>1837</v>
      </c>
      <c r="AV1067" t="s">
        <v>4253</v>
      </c>
      <c r="AW1067" t="s">
        <v>7190</v>
      </c>
      <c r="AX1067" t="s">
        <v>6415</v>
      </c>
      <c r="AY1067" t="s">
        <v>7190</v>
      </c>
      <c r="AZ1067" t="s">
        <v>14776</v>
      </c>
      <c r="BA1067">
        <v>2.2200000000000002</v>
      </c>
      <c r="BB1067">
        <v>951.95</v>
      </c>
      <c r="BC1067">
        <v>1.63</v>
      </c>
      <c r="BD1067">
        <v>28.07</v>
      </c>
      <c r="BE1067">
        <v>28.13</v>
      </c>
      <c r="BF1067">
        <v>27.72</v>
      </c>
      <c r="BG1067" t="s">
        <v>14777</v>
      </c>
      <c r="BH1067" t="s">
        <v>7190</v>
      </c>
      <c r="BI1067" t="s">
        <v>14778</v>
      </c>
      <c r="BJ1067" t="s">
        <v>101</v>
      </c>
      <c r="BK1067" t="s">
        <v>14779</v>
      </c>
      <c r="BL1067" t="s">
        <v>14780</v>
      </c>
      <c r="BM1067" t="s">
        <v>14781</v>
      </c>
      <c r="BN1067" t="s">
        <v>14623</v>
      </c>
    </row>
    <row r="1068" spans="1:66" x14ac:dyDescent="0.25">
      <c r="A1068" t="str">
        <f>HYPERLINK("https://elite.finviz.com/quote.ashx?t=BLFS&amp;ty=c&amp;p=d&amp;b=1", "BLFS")</f>
        <v>BLFS</v>
      </c>
      <c r="B1068">
        <v>6</v>
      </c>
      <c r="C1068">
        <v>127.03</v>
      </c>
      <c r="D1068">
        <v>43.94</v>
      </c>
      <c r="E1068" t="s">
        <v>14782</v>
      </c>
      <c r="F1068" t="s">
        <v>67</v>
      </c>
      <c r="G1068" t="s">
        <v>428</v>
      </c>
      <c r="H1068" t="s">
        <v>2161</v>
      </c>
      <c r="I1068" t="s">
        <v>70</v>
      </c>
      <c r="J1068" t="s">
        <v>321</v>
      </c>
      <c r="K1068">
        <v>1166.01</v>
      </c>
      <c r="L1068">
        <v>24.34</v>
      </c>
      <c r="M1068" t="s">
        <v>1022</v>
      </c>
      <c r="N1068">
        <v>29365</v>
      </c>
      <c r="P1068">
        <v>205.28</v>
      </c>
      <c r="R1068">
        <v>11.36</v>
      </c>
      <c r="S1068">
        <v>3.35</v>
      </c>
      <c r="AA1068">
        <v>-0.12</v>
      </c>
      <c r="AB1068" t="s">
        <v>14783</v>
      </c>
      <c r="AC1068" t="s">
        <v>14784</v>
      </c>
      <c r="AE1068" t="s">
        <v>14281</v>
      </c>
      <c r="AF1068" t="s">
        <v>9826</v>
      </c>
      <c r="AG1068" t="s">
        <v>8565</v>
      </c>
      <c r="AH1068" t="s">
        <v>7956</v>
      </c>
      <c r="AI1068" t="s">
        <v>14785</v>
      </c>
      <c r="AJ1068" t="s">
        <v>14343</v>
      </c>
      <c r="AK1068" t="s">
        <v>14786</v>
      </c>
      <c r="AL1068">
        <v>4.43</v>
      </c>
      <c r="AM1068">
        <v>3.45</v>
      </c>
      <c r="AN1068">
        <v>7.0000000000000007E-2</v>
      </c>
      <c r="AO1068" t="s">
        <v>14787</v>
      </c>
      <c r="AP1068" t="s">
        <v>5827</v>
      </c>
      <c r="AQ1068" t="s">
        <v>9927</v>
      </c>
      <c r="AR1068" t="s">
        <v>6150</v>
      </c>
      <c r="AS1068" t="s">
        <v>7484</v>
      </c>
      <c r="AT1068" t="s">
        <v>9814</v>
      </c>
      <c r="AU1068" t="s">
        <v>344</v>
      </c>
      <c r="AV1068" t="s">
        <v>7709</v>
      </c>
      <c r="AW1068" t="s">
        <v>10222</v>
      </c>
      <c r="AX1068" t="s">
        <v>9003</v>
      </c>
      <c r="AY1068" t="s">
        <v>349</v>
      </c>
      <c r="AZ1068" t="s">
        <v>14788</v>
      </c>
      <c r="BA1068">
        <v>1</v>
      </c>
      <c r="BB1068">
        <v>493.65</v>
      </c>
      <c r="BC1068">
        <v>0.21</v>
      </c>
      <c r="BD1068">
        <v>24.18</v>
      </c>
      <c r="BE1068">
        <v>24.5</v>
      </c>
      <c r="BF1068">
        <v>24.2</v>
      </c>
      <c r="BG1068" t="s">
        <v>14789</v>
      </c>
      <c r="BH1068" t="s">
        <v>14790</v>
      </c>
      <c r="BI1068" t="s">
        <v>14791</v>
      </c>
      <c r="BJ1068" t="s">
        <v>101</v>
      </c>
      <c r="BK1068" t="s">
        <v>6737</v>
      </c>
      <c r="BL1068" t="s">
        <v>269</v>
      </c>
      <c r="BM1068" t="s">
        <v>8053</v>
      </c>
      <c r="BN1068" t="s">
        <v>14623</v>
      </c>
    </row>
    <row r="1069" spans="1:66" x14ac:dyDescent="0.25">
      <c r="A1069" t="str">
        <f>HYPERLINK("https://elite.finviz.com/quote.ashx?t=BC&amp;ty=c&amp;p=d&amp;b=1", "BC")</f>
        <v>BC</v>
      </c>
      <c r="B1069">
        <v>6</v>
      </c>
      <c r="C1069">
        <v>127.03</v>
      </c>
      <c r="D1069">
        <v>43.97</v>
      </c>
      <c r="E1069" t="s">
        <v>14792</v>
      </c>
      <c r="F1069" t="s">
        <v>107</v>
      </c>
      <c r="G1069" t="s">
        <v>813</v>
      </c>
      <c r="H1069" t="s">
        <v>5716</v>
      </c>
      <c r="I1069" t="s">
        <v>70</v>
      </c>
      <c r="J1069" t="s">
        <v>71</v>
      </c>
      <c r="K1069">
        <v>4059.59</v>
      </c>
      <c r="L1069">
        <v>62.14</v>
      </c>
      <c r="M1069" t="s">
        <v>1022</v>
      </c>
      <c r="N1069">
        <v>84583</v>
      </c>
      <c r="O1069">
        <v>98.29</v>
      </c>
      <c r="P1069">
        <v>15.07</v>
      </c>
      <c r="Q1069">
        <v>32.119999999999997</v>
      </c>
      <c r="R1069">
        <v>0.8</v>
      </c>
      <c r="S1069">
        <v>2.14</v>
      </c>
      <c r="T1069" t="s">
        <v>4945</v>
      </c>
      <c r="U1069">
        <v>1.71</v>
      </c>
      <c r="V1069" t="s">
        <v>5737</v>
      </c>
      <c r="W1069" t="s">
        <v>3450</v>
      </c>
      <c r="X1069" t="s">
        <v>8650</v>
      </c>
      <c r="Y1069" t="s">
        <v>775</v>
      </c>
      <c r="Z1069" t="s">
        <v>14793</v>
      </c>
      <c r="AA1069">
        <v>0.63</v>
      </c>
      <c r="AB1069" t="s">
        <v>14794</v>
      </c>
      <c r="AD1069" t="s">
        <v>2473</v>
      </c>
      <c r="AE1069" t="s">
        <v>7861</v>
      </c>
      <c r="AF1069" t="s">
        <v>1727</v>
      </c>
      <c r="AG1069" t="s">
        <v>197</v>
      </c>
      <c r="AH1069" t="s">
        <v>497</v>
      </c>
      <c r="AI1069" t="s">
        <v>235</v>
      </c>
      <c r="AJ1069" t="s">
        <v>124</v>
      </c>
      <c r="AK1069" t="s">
        <v>14795</v>
      </c>
      <c r="AL1069">
        <v>1.68</v>
      </c>
      <c r="AM1069">
        <v>0.7</v>
      </c>
      <c r="AN1069">
        <v>1.27</v>
      </c>
      <c r="AO1069" t="s">
        <v>4541</v>
      </c>
      <c r="AP1069" t="s">
        <v>1576</v>
      </c>
      <c r="AQ1069" t="s">
        <v>969</v>
      </c>
      <c r="AR1069" t="s">
        <v>4687</v>
      </c>
      <c r="AS1069" t="s">
        <v>862</v>
      </c>
      <c r="AT1069" t="s">
        <v>9279</v>
      </c>
      <c r="AU1069" t="s">
        <v>4203</v>
      </c>
      <c r="AV1069" t="s">
        <v>2107</v>
      </c>
      <c r="AW1069" t="s">
        <v>7754</v>
      </c>
      <c r="AX1069" t="s">
        <v>8041</v>
      </c>
      <c r="AY1069" t="s">
        <v>11603</v>
      </c>
      <c r="AZ1069" t="s">
        <v>14763</v>
      </c>
      <c r="BA1069">
        <v>2.19</v>
      </c>
      <c r="BB1069">
        <v>841.18</v>
      </c>
      <c r="BC1069">
        <v>0.35</v>
      </c>
      <c r="BD1069">
        <v>61.73</v>
      </c>
      <c r="BE1069">
        <v>62.38</v>
      </c>
      <c r="BF1069">
        <v>61.49</v>
      </c>
      <c r="BG1069" t="s">
        <v>14796</v>
      </c>
      <c r="BH1069" t="s">
        <v>12347</v>
      </c>
      <c r="BI1069" t="s">
        <v>14797</v>
      </c>
      <c r="BJ1069" t="s">
        <v>101</v>
      </c>
      <c r="BK1069" t="s">
        <v>3327</v>
      </c>
      <c r="BL1069" t="s">
        <v>8188</v>
      </c>
      <c r="BM1069" t="s">
        <v>9027</v>
      </c>
      <c r="BN1069" t="s">
        <v>14623</v>
      </c>
    </row>
    <row r="1070" spans="1:66" x14ac:dyDescent="0.25">
      <c r="A1070" t="str">
        <f>HYPERLINK("https://elite.finviz.com/quote.ashx?t=EMBC&amp;ty=c&amp;p=d&amp;b=1", "EMBC")</f>
        <v>EMBC</v>
      </c>
      <c r="B1070">
        <v>6</v>
      </c>
      <c r="C1070">
        <v>127.03</v>
      </c>
      <c r="D1070">
        <v>43.98</v>
      </c>
      <c r="E1070" t="s">
        <v>14798</v>
      </c>
      <c r="F1070" t="s">
        <v>67</v>
      </c>
      <c r="G1070" t="s">
        <v>428</v>
      </c>
      <c r="H1070" t="s">
        <v>2161</v>
      </c>
      <c r="I1070" t="s">
        <v>70</v>
      </c>
      <c r="J1070" t="s">
        <v>321</v>
      </c>
      <c r="K1070">
        <v>804.75</v>
      </c>
      <c r="L1070">
        <v>13.76</v>
      </c>
      <c r="M1070" t="s">
        <v>4849</v>
      </c>
      <c r="N1070">
        <v>37724</v>
      </c>
      <c r="O1070">
        <v>9.6199999999999992</v>
      </c>
      <c r="P1070">
        <v>4.66</v>
      </c>
      <c r="Q1070">
        <v>1.34</v>
      </c>
      <c r="R1070">
        <v>0.73</v>
      </c>
      <c r="T1070" t="s">
        <v>3520</v>
      </c>
      <c r="U1070">
        <v>0.6</v>
      </c>
      <c r="V1070" t="s">
        <v>4882</v>
      </c>
      <c r="W1070" t="s">
        <v>164</v>
      </c>
      <c r="Z1070" t="s">
        <v>14799</v>
      </c>
      <c r="AA1070">
        <v>1.43</v>
      </c>
      <c r="AB1070" t="s">
        <v>14800</v>
      </c>
      <c r="AD1070" t="s">
        <v>6420</v>
      </c>
      <c r="AE1070" t="s">
        <v>525</v>
      </c>
      <c r="AF1070" t="s">
        <v>2518</v>
      </c>
      <c r="AG1070" t="s">
        <v>4266</v>
      </c>
      <c r="AH1070" t="s">
        <v>3664</v>
      </c>
      <c r="AI1070" t="s">
        <v>6283</v>
      </c>
      <c r="AJ1070" t="s">
        <v>6182</v>
      </c>
      <c r="AK1070" t="s">
        <v>14801</v>
      </c>
      <c r="AL1070">
        <v>2.4700000000000002</v>
      </c>
      <c r="AM1070">
        <v>1.78</v>
      </c>
      <c r="AO1070" t="s">
        <v>14802</v>
      </c>
      <c r="AP1070" t="s">
        <v>8565</v>
      </c>
      <c r="AQ1070" t="s">
        <v>4498</v>
      </c>
      <c r="AR1070" t="s">
        <v>3433</v>
      </c>
      <c r="AS1070" t="s">
        <v>2233</v>
      </c>
      <c r="AT1070" t="s">
        <v>677</v>
      </c>
      <c r="AU1070" t="s">
        <v>3480</v>
      </c>
      <c r="AV1070" t="s">
        <v>9925</v>
      </c>
      <c r="AW1070" t="s">
        <v>9198</v>
      </c>
      <c r="AX1070" t="s">
        <v>3902</v>
      </c>
      <c r="AY1070" t="s">
        <v>14803</v>
      </c>
      <c r="AZ1070" t="s">
        <v>13368</v>
      </c>
      <c r="BA1070">
        <v>2.75</v>
      </c>
      <c r="BB1070">
        <v>617.87</v>
      </c>
      <c r="BC1070">
        <v>0.22</v>
      </c>
      <c r="BD1070">
        <v>13.69</v>
      </c>
      <c r="BE1070">
        <v>13.82</v>
      </c>
      <c r="BF1070">
        <v>13.66</v>
      </c>
      <c r="BG1070" t="s">
        <v>14804</v>
      </c>
      <c r="BH1070" t="s">
        <v>14805</v>
      </c>
      <c r="BI1070" t="s">
        <v>13368</v>
      </c>
      <c r="BJ1070" t="s">
        <v>101</v>
      </c>
      <c r="BK1070" t="s">
        <v>14806</v>
      </c>
      <c r="BL1070" t="s">
        <v>3326</v>
      </c>
      <c r="BM1070" t="s">
        <v>6139</v>
      </c>
      <c r="BN1070" t="s">
        <v>14623</v>
      </c>
    </row>
    <row r="1071" spans="1:66" x14ac:dyDescent="0.25">
      <c r="A1071" t="str">
        <f>HYPERLINK("https://elite.finviz.com/quote.ashx?t=FULT&amp;ty=c&amp;p=d&amp;b=1", "FULT")</f>
        <v>FULT</v>
      </c>
      <c r="B1071">
        <v>6</v>
      </c>
      <c r="C1071">
        <v>127.03</v>
      </c>
      <c r="D1071">
        <v>44.07</v>
      </c>
      <c r="E1071" t="s">
        <v>14807</v>
      </c>
      <c r="F1071" t="s">
        <v>67</v>
      </c>
      <c r="G1071" t="s">
        <v>550</v>
      </c>
      <c r="H1071" t="s">
        <v>697</v>
      </c>
      <c r="I1071" t="s">
        <v>70</v>
      </c>
      <c r="J1071" t="s">
        <v>321</v>
      </c>
      <c r="K1071">
        <v>3420.83</v>
      </c>
      <c r="L1071">
        <v>18.78</v>
      </c>
      <c r="M1071" t="s">
        <v>1547</v>
      </c>
      <c r="N1071">
        <v>115909</v>
      </c>
      <c r="O1071">
        <v>11.01</v>
      </c>
      <c r="P1071">
        <v>9.02</v>
      </c>
      <c r="Q1071">
        <v>0.77</v>
      </c>
      <c r="R1071">
        <v>1.79</v>
      </c>
      <c r="S1071">
        <v>1.0900000000000001</v>
      </c>
      <c r="T1071" t="s">
        <v>162</v>
      </c>
      <c r="U1071">
        <v>0.71</v>
      </c>
      <c r="V1071" t="s">
        <v>700</v>
      </c>
      <c r="W1071" t="s">
        <v>2515</v>
      </c>
      <c r="X1071" t="s">
        <v>1159</v>
      </c>
      <c r="Y1071" t="s">
        <v>12712</v>
      </c>
      <c r="Z1071" t="s">
        <v>13172</v>
      </c>
      <c r="AA1071">
        <v>1.71</v>
      </c>
      <c r="AB1071" t="s">
        <v>4436</v>
      </c>
      <c r="AC1071" t="s">
        <v>1932</v>
      </c>
      <c r="AD1071" t="s">
        <v>7108</v>
      </c>
      <c r="AE1071" t="s">
        <v>1570</v>
      </c>
      <c r="AF1071" t="s">
        <v>5050</v>
      </c>
      <c r="AG1071" t="s">
        <v>3188</v>
      </c>
      <c r="AH1071" t="s">
        <v>7118</v>
      </c>
      <c r="AI1071" t="s">
        <v>2897</v>
      </c>
      <c r="AJ1071" t="s">
        <v>2486</v>
      </c>
      <c r="AK1071" t="s">
        <v>14808</v>
      </c>
      <c r="AL1071">
        <v>7.0000000000000007E-2</v>
      </c>
      <c r="AN1071">
        <v>0.53</v>
      </c>
      <c r="AP1071" t="s">
        <v>1458</v>
      </c>
      <c r="AQ1071" t="s">
        <v>976</v>
      </c>
      <c r="AR1071" t="s">
        <v>206</v>
      </c>
      <c r="AS1071" t="s">
        <v>5263</v>
      </c>
      <c r="AT1071" t="s">
        <v>6149</v>
      </c>
      <c r="AU1071" t="s">
        <v>4273</v>
      </c>
      <c r="AV1071" t="s">
        <v>6117</v>
      </c>
      <c r="AW1071" t="s">
        <v>12333</v>
      </c>
      <c r="AX1071" t="s">
        <v>147</v>
      </c>
      <c r="AY1071" t="s">
        <v>8330</v>
      </c>
      <c r="AZ1071" t="s">
        <v>4721</v>
      </c>
      <c r="BA1071">
        <v>2.71</v>
      </c>
      <c r="BB1071">
        <v>1648.24</v>
      </c>
      <c r="BC1071">
        <v>0.25</v>
      </c>
      <c r="BD1071">
        <v>18.8</v>
      </c>
      <c r="BE1071">
        <v>19.010000000000002</v>
      </c>
      <c r="BF1071">
        <v>18.75</v>
      </c>
      <c r="BG1071" t="s">
        <v>14809</v>
      </c>
      <c r="BH1071" t="s">
        <v>8330</v>
      </c>
      <c r="BI1071" t="s">
        <v>14810</v>
      </c>
      <c r="BJ1071" t="s">
        <v>101</v>
      </c>
      <c r="BK1071" t="s">
        <v>122</v>
      </c>
      <c r="BL1071" t="s">
        <v>5425</v>
      </c>
      <c r="BM1071" t="s">
        <v>2721</v>
      </c>
      <c r="BN1071" t="s">
        <v>14759</v>
      </c>
    </row>
    <row r="1072" spans="1:66" x14ac:dyDescent="0.25">
      <c r="A1072" t="str">
        <f>HYPERLINK("https://elite.finviz.com/quote.ashx?t=STWD&amp;ty=c&amp;p=d&amp;b=1", "STWD")</f>
        <v>STWD</v>
      </c>
      <c r="B1072">
        <v>6</v>
      </c>
      <c r="C1072">
        <v>127.03</v>
      </c>
      <c r="D1072">
        <v>44.08</v>
      </c>
      <c r="E1072" t="s">
        <v>14811</v>
      </c>
      <c r="F1072" t="s">
        <v>107</v>
      </c>
      <c r="G1072" t="s">
        <v>68</v>
      </c>
      <c r="H1072" t="s">
        <v>5566</v>
      </c>
      <c r="I1072" t="s">
        <v>70</v>
      </c>
      <c r="J1072" t="s">
        <v>71</v>
      </c>
      <c r="K1072">
        <v>7349.45</v>
      </c>
      <c r="L1072">
        <v>20.02</v>
      </c>
      <c r="M1072" t="s">
        <v>2880</v>
      </c>
      <c r="N1072">
        <v>377368</v>
      </c>
      <c r="O1072">
        <v>18.41</v>
      </c>
      <c r="P1072">
        <v>9.7899999999999991</v>
      </c>
      <c r="Q1072">
        <v>76.709999999999994</v>
      </c>
      <c r="R1072">
        <v>4.0199999999999996</v>
      </c>
      <c r="S1072">
        <v>1.06</v>
      </c>
      <c r="T1072" t="s">
        <v>2459</v>
      </c>
      <c r="U1072">
        <v>1.82</v>
      </c>
      <c r="V1072" t="s">
        <v>198</v>
      </c>
      <c r="W1072" t="s">
        <v>164</v>
      </c>
      <c r="X1072" t="s">
        <v>164</v>
      </c>
      <c r="Y1072" t="s">
        <v>164</v>
      </c>
      <c r="Z1072" t="s">
        <v>14812</v>
      </c>
      <c r="AA1072">
        <v>1.0900000000000001</v>
      </c>
      <c r="AB1072" t="s">
        <v>14813</v>
      </c>
      <c r="AC1072" t="s">
        <v>7439</v>
      </c>
      <c r="AD1072" t="s">
        <v>6182</v>
      </c>
      <c r="AE1072" t="s">
        <v>3795</v>
      </c>
      <c r="AF1072" t="s">
        <v>12334</v>
      </c>
      <c r="AG1072" t="s">
        <v>3076</v>
      </c>
      <c r="AH1072" t="s">
        <v>2673</v>
      </c>
      <c r="AI1072" t="s">
        <v>3389</v>
      </c>
      <c r="AJ1072" t="s">
        <v>164</v>
      </c>
      <c r="AK1072" t="s">
        <v>6215</v>
      </c>
      <c r="AL1072">
        <v>0.36</v>
      </c>
      <c r="AM1072">
        <v>0.36</v>
      </c>
      <c r="AN1072">
        <v>3.05</v>
      </c>
      <c r="AO1072" t="s">
        <v>14814</v>
      </c>
      <c r="AP1072" t="s">
        <v>9385</v>
      </c>
      <c r="AQ1072" t="s">
        <v>11602</v>
      </c>
      <c r="AR1072" t="s">
        <v>4759</v>
      </c>
      <c r="AS1072" t="s">
        <v>581</v>
      </c>
      <c r="AT1072" t="s">
        <v>1510</v>
      </c>
      <c r="AU1072" t="s">
        <v>3227</v>
      </c>
      <c r="AV1072" t="s">
        <v>6829</v>
      </c>
      <c r="AW1072" t="s">
        <v>14499</v>
      </c>
      <c r="AX1072" t="s">
        <v>5164</v>
      </c>
      <c r="AY1072" t="s">
        <v>309</v>
      </c>
      <c r="AZ1072" t="s">
        <v>14815</v>
      </c>
      <c r="BA1072">
        <v>1.75</v>
      </c>
      <c r="BB1072">
        <v>3514.39</v>
      </c>
      <c r="BC1072">
        <v>0.38</v>
      </c>
      <c r="BD1072">
        <v>19.98</v>
      </c>
      <c r="BE1072">
        <v>20.14</v>
      </c>
      <c r="BF1072">
        <v>20</v>
      </c>
      <c r="BG1072" t="s">
        <v>14816</v>
      </c>
      <c r="BH1072" t="s">
        <v>14118</v>
      </c>
      <c r="BI1072" t="s">
        <v>14817</v>
      </c>
      <c r="BJ1072" t="s">
        <v>101</v>
      </c>
      <c r="BK1072" t="s">
        <v>4707</v>
      </c>
      <c r="BL1072" t="s">
        <v>629</v>
      </c>
      <c r="BM1072" t="s">
        <v>156</v>
      </c>
      <c r="BN1072" t="s">
        <v>14759</v>
      </c>
    </row>
    <row r="1073" spans="1:66" x14ac:dyDescent="0.25">
      <c r="A1073" t="str">
        <f>HYPERLINK("https://elite.finviz.com/quote.ashx?t=FOSL&amp;ty=c&amp;p=d&amp;b=1", "FOSL")</f>
        <v>FOSL</v>
      </c>
      <c r="B1073">
        <v>6</v>
      </c>
      <c r="C1073">
        <v>127.03</v>
      </c>
      <c r="D1073">
        <v>44.16</v>
      </c>
      <c r="E1073" t="s">
        <v>14818</v>
      </c>
      <c r="F1073" t="s">
        <v>107</v>
      </c>
      <c r="G1073" t="s">
        <v>813</v>
      </c>
      <c r="H1073" t="s">
        <v>4043</v>
      </c>
      <c r="I1073" t="s">
        <v>70</v>
      </c>
      <c r="J1073" t="s">
        <v>321</v>
      </c>
      <c r="K1073">
        <v>146.51</v>
      </c>
      <c r="L1073">
        <v>2.72</v>
      </c>
      <c r="M1073" t="s">
        <v>6693</v>
      </c>
      <c r="N1073">
        <v>267641</v>
      </c>
      <c r="R1073">
        <v>0.14000000000000001</v>
      </c>
      <c r="S1073">
        <v>0.97</v>
      </c>
      <c r="AA1073">
        <v>-1.1200000000000001</v>
      </c>
      <c r="AC1073" t="s">
        <v>851</v>
      </c>
      <c r="AE1073" t="s">
        <v>14819</v>
      </c>
      <c r="AF1073" t="s">
        <v>7443</v>
      </c>
      <c r="AG1073" t="s">
        <v>6918</v>
      </c>
      <c r="AH1073" t="s">
        <v>14820</v>
      </c>
      <c r="AI1073" t="s">
        <v>4586</v>
      </c>
      <c r="AJ1073" t="s">
        <v>164</v>
      </c>
      <c r="AK1073" t="s">
        <v>9624</v>
      </c>
      <c r="AL1073">
        <v>1.83</v>
      </c>
      <c r="AM1073">
        <v>1.17</v>
      </c>
      <c r="AN1073">
        <v>2.21</v>
      </c>
      <c r="AO1073" t="s">
        <v>14821</v>
      </c>
      <c r="AP1073" t="s">
        <v>744</v>
      </c>
      <c r="AQ1073" t="s">
        <v>6354</v>
      </c>
      <c r="AR1073" t="s">
        <v>464</v>
      </c>
      <c r="AS1073" t="s">
        <v>4077</v>
      </c>
      <c r="AT1073" t="s">
        <v>4284</v>
      </c>
      <c r="AU1073" t="s">
        <v>9636</v>
      </c>
      <c r="AV1073" t="s">
        <v>14822</v>
      </c>
      <c r="AW1073" t="s">
        <v>14823</v>
      </c>
      <c r="AX1073" t="s">
        <v>14824</v>
      </c>
      <c r="AY1073" t="s">
        <v>14823</v>
      </c>
      <c r="AZ1073" t="s">
        <v>14825</v>
      </c>
      <c r="BA1073">
        <v>1</v>
      </c>
      <c r="BB1073">
        <v>597.97</v>
      </c>
      <c r="BC1073">
        <v>1.58</v>
      </c>
      <c r="BD1073">
        <v>2.88</v>
      </c>
      <c r="BE1073">
        <v>2.91</v>
      </c>
      <c r="BF1073">
        <v>2.72</v>
      </c>
      <c r="BG1073" t="s">
        <v>14826</v>
      </c>
      <c r="BH1073" t="s">
        <v>3154</v>
      </c>
      <c r="BI1073" t="s">
        <v>14827</v>
      </c>
      <c r="BJ1073" t="s">
        <v>101</v>
      </c>
      <c r="BK1073" t="s">
        <v>14828</v>
      </c>
      <c r="BL1073" t="s">
        <v>14829</v>
      </c>
      <c r="BM1073" t="s">
        <v>14122</v>
      </c>
      <c r="BN1073" t="s">
        <v>14623</v>
      </c>
    </row>
    <row r="1074" spans="1:66" x14ac:dyDescent="0.25">
      <c r="A1074" t="str">
        <f>HYPERLINK("https://elite.finviz.com/quote.ashx?t=GWRE&amp;ty=c&amp;p=d&amp;b=1", "GWRE")</f>
        <v>GWRE</v>
      </c>
      <c r="B1074">
        <v>6</v>
      </c>
      <c r="C1074">
        <v>127.03</v>
      </c>
      <c r="D1074">
        <v>44.2</v>
      </c>
      <c r="E1074" t="s">
        <v>14830</v>
      </c>
      <c r="F1074" t="s">
        <v>107</v>
      </c>
      <c r="G1074" t="s">
        <v>108</v>
      </c>
      <c r="H1074" t="s">
        <v>136</v>
      </c>
      <c r="I1074" t="s">
        <v>70</v>
      </c>
      <c r="J1074" t="s">
        <v>71</v>
      </c>
      <c r="K1074">
        <v>19584.47</v>
      </c>
      <c r="L1074">
        <v>231.68</v>
      </c>
      <c r="M1074" t="s">
        <v>1864</v>
      </c>
      <c r="N1074">
        <v>109984</v>
      </c>
      <c r="O1074">
        <v>290.08</v>
      </c>
      <c r="P1074">
        <v>59.78</v>
      </c>
      <c r="Q1074">
        <v>11.99</v>
      </c>
      <c r="R1074">
        <v>16.29</v>
      </c>
      <c r="S1074">
        <v>13.44</v>
      </c>
      <c r="Z1074" t="s">
        <v>164</v>
      </c>
      <c r="AA1074">
        <v>0.8</v>
      </c>
      <c r="AD1074" t="s">
        <v>14831</v>
      </c>
      <c r="AE1074" t="s">
        <v>5160</v>
      </c>
      <c r="AF1074" t="s">
        <v>73</v>
      </c>
      <c r="AG1074" t="s">
        <v>9300</v>
      </c>
      <c r="AH1074" t="s">
        <v>13932</v>
      </c>
      <c r="AI1074" t="s">
        <v>4208</v>
      </c>
      <c r="AJ1074" t="s">
        <v>14832</v>
      </c>
      <c r="AK1074" t="s">
        <v>13892</v>
      </c>
      <c r="AL1074">
        <v>2.72</v>
      </c>
      <c r="AM1074">
        <v>2.72</v>
      </c>
      <c r="AN1074">
        <v>0.49</v>
      </c>
      <c r="AO1074" t="s">
        <v>7017</v>
      </c>
      <c r="AP1074" t="s">
        <v>2736</v>
      </c>
      <c r="AQ1074" t="s">
        <v>7210</v>
      </c>
      <c r="AR1074" t="s">
        <v>6003</v>
      </c>
      <c r="AS1074" t="s">
        <v>3173</v>
      </c>
      <c r="AT1074" t="s">
        <v>6074</v>
      </c>
      <c r="AU1074" t="s">
        <v>2201</v>
      </c>
      <c r="AV1074" t="s">
        <v>177</v>
      </c>
      <c r="AW1074" t="s">
        <v>14833</v>
      </c>
      <c r="AX1074" t="s">
        <v>5676</v>
      </c>
      <c r="AY1074" t="s">
        <v>14833</v>
      </c>
      <c r="AZ1074" t="s">
        <v>13662</v>
      </c>
      <c r="BA1074">
        <v>2</v>
      </c>
      <c r="BB1074">
        <v>741.53</v>
      </c>
      <c r="BC1074">
        <v>0.52</v>
      </c>
      <c r="BD1074">
        <v>234.54</v>
      </c>
      <c r="BE1074">
        <v>234.77</v>
      </c>
      <c r="BF1074">
        <v>230.95</v>
      </c>
      <c r="BG1074" t="s">
        <v>14834</v>
      </c>
      <c r="BH1074" t="s">
        <v>14833</v>
      </c>
      <c r="BI1074" t="s">
        <v>14835</v>
      </c>
      <c r="BJ1074" t="s">
        <v>101</v>
      </c>
      <c r="BK1074" t="s">
        <v>6265</v>
      </c>
      <c r="BL1074" t="s">
        <v>1035</v>
      </c>
      <c r="BM1074" t="s">
        <v>7696</v>
      </c>
      <c r="BN1074" t="s">
        <v>14623</v>
      </c>
    </row>
    <row r="1075" spans="1:66" x14ac:dyDescent="0.25">
      <c r="A1075" t="str">
        <f>HYPERLINK("https://elite.finviz.com/quote.ashx?t=CMTG&amp;ty=c&amp;p=d&amp;b=1", "CMTG")</f>
        <v>CMTG</v>
      </c>
      <c r="B1075">
        <v>6</v>
      </c>
      <c r="C1075">
        <v>127.03</v>
      </c>
      <c r="D1075">
        <v>44.22</v>
      </c>
      <c r="E1075" t="s">
        <v>14836</v>
      </c>
      <c r="F1075" t="s">
        <v>67</v>
      </c>
      <c r="G1075" t="s">
        <v>68</v>
      </c>
      <c r="H1075" t="s">
        <v>5566</v>
      </c>
      <c r="I1075" t="s">
        <v>70</v>
      </c>
      <c r="J1075" t="s">
        <v>71</v>
      </c>
      <c r="K1075">
        <v>482.41</v>
      </c>
      <c r="L1075">
        <v>3.45</v>
      </c>
      <c r="M1075" t="s">
        <v>5061</v>
      </c>
      <c r="N1075">
        <v>58314</v>
      </c>
      <c r="R1075">
        <v>4.87</v>
      </c>
      <c r="S1075">
        <v>0.27</v>
      </c>
      <c r="T1075" t="s">
        <v>5116</v>
      </c>
      <c r="U1075">
        <v>0.05</v>
      </c>
      <c r="V1075" t="s">
        <v>14837</v>
      </c>
      <c r="W1075" t="s">
        <v>14838</v>
      </c>
      <c r="X1075" t="s">
        <v>7618</v>
      </c>
      <c r="AA1075">
        <v>-2.99</v>
      </c>
      <c r="AE1075" t="s">
        <v>14839</v>
      </c>
      <c r="AF1075" t="s">
        <v>11925</v>
      </c>
      <c r="AG1075" t="s">
        <v>14840</v>
      </c>
      <c r="AH1075" t="s">
        <v>14841</v>
      </c>
      <c r="AI1075" t="s">
        <v>14842</v>
      </c>
      <c r="AJ1075" t="s">
        <v>164</v>
      </c>
      <c r="AK1075" t="s">
        <v>14843</v>
      </c>
      <c r="AL1075">
        <v>3.02</v>
      </c>
      <c r="AM1075">
        <v>3.02</v>
      </c>
      <c r="AN1075">
        <v>2.29</v>
      </c>
      <c r="AO1075" t="s">
        <v>6058</v>
      </c>
      <c r="AP1075" t="s">
        <v>14844</v>
      </c>
      <c r="AQ1075" t="s">
        <v>14845</v>
      </c>
      <c r="AR1075" t="s">
        <v>246</v>
      </c>
      <c r="AS1075" t="s">
        <v>5395</v>
      </c>
      <c r="AT1075" t="s">
        <v>9240</v>
      </c>
      <c r="AU1075" t="s">
        <v>4901</v>
      </c>
      <c r="AV1075" t="s">
        <v>2170</v>
      </c>
      <c r="AW1075" t="s">
        <v>14846</v>
      </c>
      <c r="AX1075" t="s">
        <v>5891</v>
      </c>
      <c r="AY1075" t="s">
        <v>14847</v>
      </c>
      <c r="AZ1075" t="s">
        <v>3356</v>
      </c>
      <c r="BA1075">
        <v>3.33</v>
      </c>
      <c r="BB1075">
        <v>668.62</v>
      </c>
      <c r="BC1075">
        <v>0.31</v>
      </c>
      <c r="BD1075">
        <v>3.57</v>
      </c>
      <c r="BE1075">
        <v>3.63</v>
      </c>
      <c r="BF1075">
        <v>3.45</v>
      </c>
      <c r="BG1075" t="s">
        <v>14848</v>
      </c>
      <c r="BH1075" t="s">
        <v>14849</v>
      </c>
      <c r="BI1075" t="s">
        <v>3356</v>
      </c>
      <c r="BJ1075" t="s">
        <v>101</v>
      </c>
      <c r="BK1075" t="s">
        <v>8212</v>
      </c>
      <c r="BL1075" t="s">
        <v>75</v>
      </c>
      <c r="BM1075" t="s">
        <v>14850</v>
      </c>
      <c r="BN1075" t="s">
        <v>14623</v>
      </c>
    </row>
    <row r="1076" spans="1:66" x14ac:dyDescent="0.25">
      <c r="A1076" t="str">
        <f>HYPERLINK("https://elite.finviz.com/quote.ashx?t=MEI&amp;ty=c&amp;p=d&amp;b=1", "MEI")</f>
        <v>MEI</v>
      </c>
      <c r="B1076">
        <v>6</v>
      </c>
      <c r="C1076">
        <v>127.03</v>
      </c>
      <c r="D1076">
        <v>44.23</v>
      </c>
      <c r="E1076" t="s">
        <v>14851</v>
      </c>
      <c r="F1076" t="s">
        <v>67</v>
      </c>
      <c r="G1076" t="s">
        <v>108</v>
      </c>
      <c r="H1076" t="s">
        <v>3346</v>
      </c>
      <c r="I1076" t="s">
        <v>70</v>
      </c>
      <c r="J1076" t="s">
        <v>71</v>
      </c>
      <c r="K1076">
        <v>260.61</v>
      </c>
      <c r="L1076">
        <v>7.4</v>
      </c>
      <c r="M1076" t="s">
        <v>4763</v>
      </c>
      <c r="N1076">
        <v>40842</v>
      </c>
      <c r="P1076">
        <v>21.98</v>
      </c>
      <c r="R1076">
        <v>0.25</v>
      </c>
      <c r="S1076">
        <v>0.38</v>
      </c>
      <c r="T1076" t="s">
        <v>6106</v>
      </c>
      <c r="U1076">
        <v>0.49</v>
      </c>
      <c r="V1076" t="s">
        <v>6164</v>
      </c>
      <c r="W1076" t="s">
        <v>164</v>
      </c>
      <c r="X1076" t="s">
        <v>164</v>
      </c>
      <c r="Y1076" t="s">
        <v>912</v>
      </c>
      <c r="AA1076">
        <v>-1.54</v>
      </c>
      <c r="AE1076" t="s">
        <v>8139</v>
      </c>
      <c r="AF1076" t="s">
        <v>12274</v>
      </c>
      <c r="AG1076" t="s">
        <v>149</v>
      </c>
      <c r="AH1076" t="s">
        <v>4243</v>
      </c>
      <c r="AI1076" t="s">
        <v>3190</v>
      </c>
      <c r="AJ1076" t="s">
        <v>164</v>
      </c>
      <c r="AK1076" t="s">
        <v>9720</v>
      </c>
      <c r="AL1076">
        <v>2.5</v>
      </c>
      <c r="AM1076">
        <v>1.63</v>
      </c>
      <c r="AN1076">
        <v>0.51</v>
      </c>
      <c r="AO1076" t="s">
        <v>7116</v>
      </c>
      <c r="AP1076" t="s">
        <v>4879</v>
      </c>
      <c r="AQ1076" t="s">
        <v>7285</v>
      </c>
      <c r="AR1076" t="s">
        <v>3520</v>
      </c>
      <c r="AS1076" t="s">
        <v>5907</v>
      </c>
      <c r="AT1076" t="s">
        <v>5558</v>
      </c>
      <c r="AU1076" t="s">
        <v>295</v>
      </c>
      <c r="AV1076" t="s">
        <v>12901</v>
      </c>
      <c r="AW1076" t="s">
        <v>14820</v>
      </c>
      <c r="AX1076" t="s">
        <v>11674</v>
      </c>
      <c r="AY1076" t="s">
        <v>14852</v>
      </c>
      <c r="AZ1076" t="s">
        <v>12165</v>
      </c>
      <c r="BA1076">
        <v>2.33</v>
      </c>
      <c r="BB1076">
        <v>490.18</v>
      </c>
      <c r="BC1076">
        <v>0.28999999999999998</v>
      </c>
      <c r="BD1076">
        <v>7.51</v>
      </c>
      <c r="BE1076">
        <v>7.58</v>
      </c>
      <c r="BF1076">
        <v>7.39</v>
      </c>
      <c r="BG1076" t="s">
        <v>14853</v>
      </c>
      <c r="BH1076" t="s">
        <v>14854</v>
      </c>
      <c r="BI1076" t="s">
        <v>14855</v>
      </c>
      <c r="BJ1076" t="s">
        <v>101</v>
      </c>
      <c r="BK1076" t="s">
        <v>5398</v>
      </c>
      <c r="BL1076" t="s">
        <v>3230</v>
      </c>
      <c r="BM1076" t="s">
        <v>14856</v>
      </c>
      <c r="BN1076" t="s">
        <v>14623</v>
      </c>
    </row>
    <row r="1077" spans="1:66" x14ac:dyDescent="0.25">
      <c r="A1077" t="str">
        <f>HYPERLINK("https://elite.finviz.com/quote.ashx?t=BUSE&amp;ty=c&amp;p=d&amp;b=1", "BUSE")</f>
        <v>BUSE</v>
      </c>
      <c r="B1077">
        <v>6</v>
      </c>
      <c r="C1077">
        <v>127.03</v>
      </c>
      <c r="D1077">
        <v>44.37</v>
      </c>
      <c r="E1077" t="s">
        <v>14857</v>
      </c>
      <c r="F1077" t="s">
        <v>67</v>
      </c>
      <c r="G1077" t="s">
        <v>550</v>
      </c>
      <c r="H1077" t="s">
        <v>697</v>
      </c>
      <c r="I1077" t="s">
        <v>70</v>
      </c>
      <c r="J1077" t="s">
        <v>321</v>
      </c>
      <c r="K1077">
        <v>2132.2399999999998</v>
      </c>
      <c r="L1077">
        <v>23.94</v>
      </c>
      <c r="M1077" t="s">
        <v>2468</v>
      </c>
      <c r="N1077">
        <v>40277</v>
      </c>
      <c r="O1077">
        <v>21.39</v>
      </c>
      <c r="P1077">
        <v>9.15</v>
      </c>
      <c r="R1077">
        <v>2.63</v>
      </c>
      <c r="S1077">
        <v>0.88</v>
      </c>
      <c r="T1077" t="s">
        <v>5467</v>
      </c>
      <c r="U1077">
        <v>0.99</v>
      </c>
      <c r="V1077" t="s">
        <v>14858</v>
      </c>
      <c r="W1077" t="s">
        <v>164</v>
      </c>
      <c r="X1077" t="s">
        <v>6829</v>
      </c>
      <c r="Y1077" t="s">
        <v>2496</v>
      </c>
      <c r="Z1077" t="s">
        <v>14859</v>
      </c>
      <c r="AA1077">
        <v>1.1200000000000001</v>
      </c>
      <c r="AB1077" t="s">
        <v>4927</v>
      </c>
      <c r="AC1077" t="s">
        <v>273</v>
      </c>
      <c r="AE1077" t="s">
        <v>14860</v>
      </c>
      <c r="AF1077" t="s">
        <v>5057</v>
      </c>
      <c r="AG1077" t="s">
        <v>1955</v>
      </c>
      <c r="AH1077" t="s">
        <v>14861</v>
      </c>
      <c r="AI1077" t="s">
        <v>6939</v>
      </c>
      <c r="AJ1077" t="s">
        <v>910</v>
      </c>
      <c r="AK1077" t="s">
        <v>14862</v>
      </c>
      <c r="AL1077">
        <v>0.14000000000000001</v>
      </c>
      <c r="AN1077">
        <v>0.19</v>
      </c>
      <c r="AP1077" t="s">
        <v>5743</v>
      </c>
      <c r="AQ1077" t="s">
        <v>4248</v>
      </c>
      <c r="AR1077" t="s">
        <v>4891</v>
      </c>
      <c r="AS1077" t="s">
        <v>2202</v>
      </c>
      <c r="AT1077" t="s">
        <v>6162</v>
      </c>
      <c r="AU1077" t="s">
        <v>3871</v>
      </c>
      <c r="AV1077" t="s">
        <v>749</v>
      </c>
      <c r="AW1077" t="s">
        <v>93</v>
      </c>
      <c r="AX1077" t="s">
        <v>3901</v>
      </c>
      <c r="AY1077" t="s">
        <v>14863</v>
      </c>
      <c r="AZ1077" t="s">
        <v>3260</v>
      </c>
      <c r="BA1077">
        <v>2</v>
      </c>
      <c r="BB1077">
        <v>549.04999999999995</v>
      </c>
      <c r="BC1077">
        <v>0.26</v>
      </c>
      <c r="BD1077">
        <v>23.99</v>
      </c>
      <c r="BE1077">
        <v>24.26</v>
      </c>
      <c r="BF1077">
        <v>23.91</v>
      </c>
      <c r="BG1077" t="s">
        <v>14864</v>
      </c>
      <c r="BH1077" t="s">
        <v>14865</v>
      </c>
      <c r="BI1077" t="s">
        <v>14866</v>
      </c>
      <c r="BJ1077" t="s">
        <v>101</v>
      </c>
      <c r="BK1077" t="s">
        <v>1932</v>
      </c>
      <c r="BL1077" t="s">
        <v>4999</v>
      </c>
      <c r="BM1077" t="s">
        <v>5677</v>
      </c>
      <c r="BN1077" t="s">
        <v>14623</v>
      </c>
    </row>
    <row r="1078" spans="1:66" x14ac:dyDescent="0.25">
      <c r="A1078" t="str">
        <f>HYPERLINK("https://elite.finviz.com/quote.ashx?t=SRCE&amp;ty=c&amp;p=d&amp;b=1", "SRCE")</f>
        <v>SRCE</v>
      </c>
      <c r="B1078">
        <v>6</v>
      </c>
      <c r="C1078">
        <v>127.03</v>
      </c>
      <c r="D1078">
        <v>44.4</v>
      </c>
      <c r="E1078" t="s">
        <v>14867</v>
      </c>
      <c r="F1078" t="s">
        <v>67</v>
      </c>
      <c r="G1078" t="s">
        <v>550</v>
      </c>
      <c r="H1078" t="s">
        <v>697</v>
      </c>
      <c r="I1078" t="s">
        <v>70</v>
      </c>
      <c r="J1078" t="s">
        <v>321</v>
      </c>
      <c r="K1078">
        <v>1527.48</v>
      </c>
      <c r="L1078">
        <v>62.25</v>
      </c>
      <c r="M1078" t="s">
        <v>4955</v>
      </c>
      <c r="N1078">
        <v>10442</v>
      </c>
      <c r="O1078">
        <v>10.76</v>
      </c>
      <c r="P1078">
        <v>9.89</v>
      </c>
      <c r="R1078">
        <v>2.62</v>
      </c>
      <c r="S1078">
        <v>1.27</v>
      </c>
      <c r="T1078" t="s">
        <v>3208</v>
      </c>
      <c r="U1078">
        <v>1.48</v>
      </c>
      <c r="V1078" t="s">
        <v>6057</v>
      </c>
      <c r="W1078" t="s">
        <v>2698</v>
      </c>
      <c r="X1078" t="s">
        <v>4824</v>
      </c>
      <c r="Y1078" t="s">
        <v>912</v>
      </c>
      <c r="Z1078" t="s">
        <v>9539</v>
      </c>
      <c r="AA1078">
        <v>5.78</v>
      </c>
      <c r="AB1078" t="s">
        <v>4872</v>
      </c>
      <c r="AC1078" t="s">
        <v>2428</v>
      </c>
      <c r="AE1078" t="s">
        <v>8286</v>
      </c>
      <c r="AF1078" t="s">
        <v>4855</v>
      </c>
      <c r="AG1078" t="s">
        <v>1252</v>
      </c>
      <c r="AH1078" t="s">
        <v>4052</v>
      </c>
      <c r="AI1078" t="s">
        <v>2333</v>
      </c>
      <c r="AJ1078" t="s">
        <v>164</v>
      </c>
      <c r="AK1078" t="s">
        <v>2583</v>
      </c>
      <c r="AL1078">
        <v>0.04</v>
      </c>
      <c r="AN1078">
        <v>0.18</v>
      </c>
      <c r="AP1078" t="s">
        <v>8411</v>
      </c>
      <c r="AQ1078" t="s">
        <v>8342</v>
      </c>
      <c r="AR1078" t="s">
        <v>5968</v>
      </c>
      <c r="AS1078" t="s">
        <v>3856</v>
      </c>
      <c r="AT1078" t="s">
        <v>6256</v>
      </c>
      <c r="AU1078" t="s">
        <v>770</v>
      </c>
      <c r="AV1078" t="s">
        <v>2720</v>
      </c>
      <c r="AW1078" t="s">
        <v>6693</v>
      </c>
      <c r="AX1078" t="s">
        <v>297</v>
      </c>
      <c r="AY1078" t="s">
        <v>6735</v>
      </c>
      <c r="AZ1078" t="s">
        <v>4331</v>
      </c>
      <c r="BA1078">
        <v>2.33</v>
      </c>
      <c r="BB1078">
        <v>80.150000000000006</v>
      </c>
      <c r="BC1078">
        <v>0.46</v>
      </c>
      <c r="BD1078">
        <v>62.35</v>
      </c>
      <c r="BE1078">
        <v>62.92</v>
      </c>
      <c r="BF1078">
        <v>62.3</v>
      </c>
      <c r="BG1078" t="s">
        <v>14868</v>
      </c>
      <c r="BH1078" t="s">
        <v>6735</v>
      </c>
      <c r="BI1078" t="s">
        <v>14869</v>
      </c>
      <c r="BJ1078" t="s">
        <v>101</v>
      </c>
      <c r="BK1078" t="s">
        <v>1022</v>
      </c>
      <c r="BL1078" t="s">
        <v>2449</v>
      </c>
      <c r="BM1078" t="s">
        <v>4551</v>
      </c>
      <c r="BN1078" t="s">
        <v>14623</v>
      </c>
    </row>
    <row r="1079" spans="1:66" x14ac:dyDescent="0.25">
      <c r="A1079" t="str">
        <f>HYPERLINK("https://elite.finviz.com/quote.ashx?t=CBL&amp;ty=c&amp;p=d&amp;b=1", "CBL")</f>
        <v>CBL</v>
      </c>
      <c r="B1079">
        <v>6</v>
      </c>
      <c r="C1079">
        <v>127.03</v>
      </c>
      <c r="D1079">
        <v>44.45</v>
      </c>
      <c r="E1079" t="s">
        <v>14870</v>
      </c>
      <c r="F1079" t="s">
        <v>67</v>
      </c>
      <c r="G1079" t="s">
        <v>68</v>
      </c>
      <c r="H1079" t="s">
        <v>160</v>
      </c>
      <c r="I1079" t="s">
        <v>70</v>
      </c>
      <c r="J1079" t="s">
        <v>71</v>
      </c>
      <c r="K1079">
        <v>931.25</v>
      </c>
      <c r="L1079">
        <v>30.1</v>
      </c>
      <c r="M1079" t="s">
        <v>4801</v>
      </c>
      <c r="N1079">
        <v>20860</v>
      </c>
      <c r="O1079">
        <v>14.4</v>
      </c>
      <c r="R1079">
        <v>1.73</v>
      </c>
      <c r="S1079">
        <v>3.22</v>
      </c>
      <c r="T1079" t="s">
        <v>2123</v>
      </c>
      <c r="U1079">
        <v>1.64</v>
      </c>
      <c r="V1079" t="s">
        <v>3833</v>
      </c>
      <c r="W1079" t="s">
        <v>4760</v>
      </c>
      <c r="Y1079" t="s">
        <v>14871</v>
      </c>
      <c r="Z1079" t="s">
        <v>14872</v>
      </c>
      <c r="AA1079">
        <v>2.09</v>
      </c>
      <c r="AE1079" t="s">
        <v>2876</v>
      </c>
      <c r="AF1079" t="s">
        <v>2893</v>
      </c>
      <c r="AG1079" t="s">
        <v>3892</v>
      </c>
      <c r="AH1079" t="s">
        <v>2428</v>
      </c>
      <c r="AI1079" t="s">
        <v>7242</v>
      </c>
      <c r="AJ1079" t="s">
        <v>1842</v>
      </c>
      <c r="AK1079" t="s">
        <v>14873</v>
      </c>
      <c r="AL1079">
        <v>0.27</v>
      </c>
      <c r="AM1079">
        <v>0.27</v>
      </c>
      <c r="AN1079">
        <v>7.39</v>
      </c>
      <c r="AO1079" t="s">
        <v>1093</v>
      </c>
      <c r="AP1079" t="s">
        <v>8093</v>
      </c>
      <c r="AQ1079" t="s">
        <v>845</v>
      </c>
      <c r="AR1079" t="s">
        <v>6151</v>
      </c>
      <c r="AS1079" t="s">
        <v>3757</v>
      </c>
      <c r="AT1079" t="s">
        <v>4439</v>
      </c>
      <c r="AU1079" t="s">
        <v>5055</v>
      </c>
      <c r="AV1079" t="s">
        <v>7567</v>
      </c>
      <c r="AW1079" t="s">
        <v>14874</v>
      </c>
      <c r="AX1079" t="s">
        <v>5699</v>
      </c>
      <c r="AY1079" t="s">
        <v>14874</v>
      </c>
      <c r="AZ1079" t="s">
        <v>14875</v>
      </c>
      <c r="BA1079">
        <v>1</v>
      </c>
      <c r="BB1079">
        <v>132.57</v>
      </c>
      <c r="BC1079">
        <v>0.55000000000000004</v>
      </c>
      <c r="BD1079">
        <v>29.96</v>
      </c>
      <c r="BE1079">
        <v>30.5</v>
      </c>
      <c r="BF1079">
        <v>30.07</v>
      </c>
      <c r="BG1079" t="s">
        <v>14876</v>
      </c>
      <c r="BH1079" t="s">
        <v>2497</v>
      </c>
      <c r="BI1079" t="s">
        <v>14877</v>
      </c>
      <c r="BJ1079" t="s">
        <v>101</v>
      </c>
      <c r="BK1079" t="s">
        <v>3939</v>
      </c>
      <c r="BL1079" t="s">
        <v>1794</v>
      </c>
      <c r="BM1079" t="s">
        <v>3863</v>
      </c>
      <c r="BN1079" t="s">
        <v>14623</v>
      </c>
    </row>
    <row r="1080" spans="1:66" x14ac:dyDescent="0.25">
      <c r="A1080" t="str">
        <f>HYPERLINK("https://elite.finviz.com/quote.ashx?t=VNT&amp;ty=c&amp;p=d&amp;b=1", "VNT")</f>
        <v>VNT</v>
      </c>
      <c r="B1080">
        <v>6</v>
      </c>
      <c r="C1080">
        <v>127.03</v>
      </c>
      <c r="D1080">
        <v>44.46</v>
      </c>
      <c r="E1080" t="s">
        <v>14878</v>
      </c>
      <c r="F1080" t="s">
        <v>107</v>
      </c>
      <c r="G1080" t="s">
        <v>108</v>
      </c>
      <c r="H1080" t="s">
        <v>9222</v>
      </c>
      <c r="I1080" t="s">
        <v>70</v>
      </c>
      <c r="J1080" t="s">
        <v>71</v>
      </c>
      <c r="K1080">
        <v>6148.93</v>
      </c>
      <c r="L1080">
        <v>41.92</v>
      </c>
      <c r="M1080" t="s">
        <v>3000</v>
      </c>
      <c r="N1080">
        <v>82289</v>
      </c>
      <c r="O1080">
        <v>15.97</v>
      </c>
      <c r="P1080">
        <v>11.92</v>
      </c>
      <c r="Q1080">
        <v>1.55</v>
      </c>
      <c r="R1080">
        <v>2.02</v>
      </c>
      <c r="S1080">
        <v>5.13</v>
      </c>
      <c r="T1080" t="s">
        <v>6182</v>
      </c>
      <c r="U1080">
        <v>0.1</v>
      </c>
      <c r="V1080" t="s">
        <v>6223</v>
      </c>
      <c r="W1080" t="s">
        <v>164</v>
      </c>
      <c r="X1080" t="s">
        <v>5224</v>
      </c>
      <c r="Z1080" t="s">
        <v>5111</v>
      </c>
      <c r="AA1080">
        <v>2.62</v>
      </c>
      <c r="AB1080" t="s">
        <v>5467</v>
      </c>
      <c r="AC1080" t="s">
        <v>1488</v>
      </c>
      <c r="AD1080" t="s">
        <v>1396</v>
      </c>
      <c r="AE1080" t="s">
        <v>5166</v>
      </c>
      <c r="AF1080" t="s">
        <v>1842</v>
      </c>
      <c r="AG1080" t="s">
        <v>907</v>
      </c>
      <c r="AH1080" t="s">
        <v>3759</v>
      </c>
      <c r="AI1080" t="s">
        <v>2459</v>
      </c>
      <c r="AJ1080" t="s">
        <v>5424</v>
      </c>
      <c r="AK1080" t="s">
        <v>13293</v>
      </c>
      <c r="AL1080">
        <v>1.08</v>
      </c>
      <c r="AM1080">
        <v>0.8</v>
      </c>
      <c r="AN1080">
        <v>1.78</v>
      </c>
      <c r="AO1080" t="s">
        <v>14879</v>
      </c>
      <c r="AP1080" t="s">
        <v>12687</v>
      </c>
      <c r="AQ1080" t="s">
        <v>2463</v>
      </c>
      <c r="AR1080" t="s">
        <v>5084</v>
      </c>
      <c r="AS1080" t="s">
        <v>3487</v>
      </c>
      <c r="AT1080" t="s">
        <v>708</v>
      </c>
      <c r="AU1080" t="s">
        <v>183</v>
      </c>
      <c r="AV1080" t="s">
        <v>6206</v>
      </c>
      <c r="AW1080" t="s">
        <v>9780</v>
      </c>
      <c r="AX1080" t="s">
        <v>6293</v>
      </c>
      <c r="AY1080" t="s">
        <v>9780</v>
      </c>
      <c r="AZ1080" t="s">
        <v>14880</v>
      </c>
      <c r="BA1080">
        <v>1.79</v>
      </c>
      <c r="BB1080">
        <v>976.58</v>
      </c>
      <c r="BC1080">
        <v>0.3</v>
      </c>
      <c r="BD1080">
        <v>41.76</v>
      </c>
      <c r="BE1080">
        <v>42.28</v>
      </c>
      <c r="BF1080">
        <v>41.93</v>
      </c>
      <c r="BG1080" t="s">
        <v>14881</v>
      </c>
      <c r="BH1080" t="s">
        <v>7954</v>
      </c>
      <c r="BI1080" t="s">
        <v>14882</v>
      </c>
      <c r="BJ1080" t="s">
        <v>101</v>
      </c>
      <c r="BK1080" t="s">
        <v>3955</v>
      </c>
      <c r="BL1080" t="s">
        <v>11506</v>
      </c>
      <c r="BM1080" t="s">
        <v>664</v>
      </c>
      <c r="BN1080" t="s">
        <v>14623</v>
      </c>
    </row>
    <row r="1081" spans="1:66" x14ac:dyDescent="0.25">
      <c r="A1081" t="str">
        <f>HYPERLINK("https://elite.finviz.com/quote.ashx?t=IVT&amp;ty=c&amp;p=d&amp;b=1", "IVT")</f>
        <v>IVT</v>
      </c>
      <c r="B1081">
        <v>6</v>
      </c>
      <c r="C1081">
        <v>127.03</v>
      </c>
      <c r="D1081">
        <v>44.49</v>
      </c>
      <c r="E1081" t="s">
        <v>14883</v>
      </c>
      <c r="F1081" t="s">
        <v>67</v>
      </c>
      <c r="G1081" t="s">
        <v>68</v>
      </c>
      <c r="H1081" t="s">
        <v>160</v>
      </c>
      <c r="I1081" t="s">
        <v>70</v>
      </c>
      <c r="J1081" t="s">
        <v>71</v>
      </c>
      <c r="K1081">
        <v>2242.4699999999998</v>
      </c>
      <c r="L1081">
        <v>28.9</v>
      </c>
      <c r="M1081" t="s">
        <v>2003</v>
      </c>
      <c r="N1081">
        <v>29399</v>
      </c>
      <c r="O1081">
        <v>20.21</v>
      </c>
      <c r="P1081">
        <v>92.22</v>
      </c>
      <c r="Q1081">
        <v>0.89</v>
      </c>
      <c r="R1081">
        <v>7.8</v>
      </c>
      <c r="S1081">
        <v>1.23</v>
      </c>
      <c r="T1081" t="s">
        <v>7284</v>
      </c>
      <c r="U1081">
        <v>0.92</v>
      </c>
      <c r="V1081" t="s">
        <v>198</v>
      </c>
      <c r="W1081" t="s">
        <v>7210</v>
      </c>
      <c r="X1081" t="s">
        <v>2699</v>
      </c>
      <c r="Y1081" t="s">
        <v>14884</v>
      </c>
      <c r="Z1081" t="s">
        <v>14885</v>
      </c>
      <c r="AA1081">
        <v>1.43</v>
      </c>
      <c r="AC1081" t="s">
        <v>5337</v>
      </c>
      <c r="AD1081" t="s">
        <v>7947</v>
      </c>
      <c r="AE1081" t="s">
        <v>5864</v>
      </c>
      <c r="AF1081" t="s">
        <v>3212</v>
      </c>
      <c r="AG1081" t="s">
        <v>2234</v>
      </c>
      <c r="AH1081" t="s">
        <v>416</v>
      </c>
      <c r="AI1081" t="s">
        <v>14886</v>
      </c>
      <c r="AJ1081" t="s">
        <v>164</v>
      </c>
      <c r="AK1081" t="s">
        <v>14887</v>
      </c>
      <c r="AL1081">
        <v>3.85</v>
      </c>
      <c r="AM1081">
        <v>3.85</v>
      </c>
      <c r="AN1081">
        <v>0.44</v>
      </c>
      <c r="AO1081" t="s">
        <v>14888</v>
      </c>
      <c r="AP1081" t="s">
        <v>4944</v>
      </c>
      <c r="AQ1081" t="s">
        <v>1954</v>
      </c>
      <c r="AR1081" t="s">
        <v>1559</v>
      </c>
      <c r="AS1081" t="s">
        <v>6990</v>
      </c>
      <c r="AT1081" t="s">
        <v>3811</v>
      </c>
      <c r="AU1081" t="s">
        <v>2630</v>
      </c>
      <c r="AV1081" t="s">
        <v>747</v>
      </c>
      <c r="AW1081" t="s">
        <v>1465</v>
      </c>
      <c r="AX1081" t="s">
        <v>417</v>
      </c>
      <c r="AY1081" t="s">
        <v>5677</v>
      </c>
      <c r="AZ1081" t="s">
        <v>11140</v>
      </c>
      <c r="BA1081">
        <v>1.67</v>
      </c>
      <c r="BB1081">
        <v>425.31</v>
      </c>
      <c r="BC1081">
        <v>0.24</v>
      </c>
      <c r="BD1081">
        <v>28.98</v>
      </c>
      <c r="BE1081">
        <v>29.22</v>
      </c>
      <c r="BF1081">
        <v>28.89</v>
      </c>
      <c r="BG1081" t="s">
        <v>14889</v>
      </c>
      <c r="BH1081" t="s">
        <v>9083</v>
      </c>
      <c r="BJ1081" t="s">
        <v>101</v>
      </c>
      <c r="BK1081" t="s">
        <v>161</v>
      </c>
      <c r="BL1081" t="s">
        <v>6449</v>
      </c>
      <c r="BM1081" t="s">
        <v>1457</v>
      </c>
      <c r="BN1081" t="s">
        <v>14623</v>
      </c>
    </row>
    <row r="1082" spans="1:66" x14ac:dyDescent="0.25">
      <c r="A1082" t="str">
        <f>HYPERLINK("https://elite.finviz.com/quote.ashx?t=IMKTA&amp;ty=c&amp;p=d&amp;b=1", "IMKTA")</f>
        <v>IMKTA</v>
      </c>
      <c r="B1082">
        <v>6</v>
      </c>
      <c r="C1082">
        <v>127.03</v>
      </c>
      <c r="D1082">
        <v>44.53</v>
      </c>
      <c r="E1082" t="s">
        <v>14890</v>
      </c>
      <c r="F1082" t="s">
        <v>67</v>
      </c>
      <c r="G1082" t="s">
        <v>2244</v>
      </c>
      <c r="H1082" t="s">
        <v>14712</v>
      </c>
      <c r="I1082" t="s">
        <v>70</v>
      </c>
      <c r="J1082" t="s">
        <v>321</v>
      </c>
      <c r="K1082">
        <v>1246.23</v>
      </c>
      <c r="L1082">
        <v>67.040000000000006</v>
      </c>
      <c r="M1082" t="s">
        <v>2906</v>
      </c>
      <c r="N1082">
        <v>11140</v>
      </c>
      <c r="O1082">
        <v>22.58</v>
      </c>
      <c r="R1082">
        <v>0.23</v>
      </c>
      <c r="S1082">
        <v>0.78</v>
      </c>
      <c r="T1082" t="s">
        <v>5055</v>
      </c>
      <c r="U1082">
        <v>0.66</v>
      </c>
      <c r="V1082" t="s">
        <v>2573</v>
      </c>
      <c r="W1082" t="s">
        <v>164</v>
      </c>
      <c r="X1082" t="s">
        <v>164</v>
      </c>
      <c r="Y1082" t="s">
        <v>164</v>
      </c>
      <c r="Z1082" t="s">
        <v>904</v>
      </c>
      <c r="AA1082">
        <v>2.97</v>
      </c>
      <c r="AB1082" t="s">
        <v>14891</v>
      </c>
      <c r="AC1082" t="s">
        <v>6330</v>
      </c>
      <c r="AE1082" t="s">
        <v>357</v>
      </c>
      <c r="AF1082" t="s">
        <v>5467</v>
      </c>
      <c r="AG1082" t="s">
        <v>3951</v>
      </c>
      <c r="AH1082" t="s">
        <v>4529</v>
      </c>
      <c r="AJ1082" t="s">
        <v>164</v>
      </c>
      <c r="AK1082" t="s">
        <v>14892</v>
      </c>
      <c r="AL1082">
        <v>3.14</v>
      </c>
      <c r="AM1082">
        <v>1.53</v>
      </c>
      <c r="AN1082">
        <v>0.34</v>
      </c>
      <c r="AO1082" t="s">
        <v>9229</v>
      </c>
      <c r="AP1082" t="s">
        <v>907</v>
      </c>
      <c r="AQ1082" t="s">
        <v>3447</v>
      </c>
      <c r="AR1082" t="s">
        <v>1560</v>
      </c>
      <c r="AS1082" t="s">
        <v>1761</v>
      </c>
      <c r="AT1082" t="s">
        <v>11402</v>
      </c>
      <c r="AU1082" t="s">
        <v>6463</v>
      </c>
      <c r="AV1082" t="s">
        <v>3469</v>
      </c>
      <c r="AW1082" t="s">
        <v>9018</v>
      </c>
      <c r="AX1082" t="s">
        <v>2947</v>
      </c>
      <c r="AY1082" t="s">
        <v>3070</v>
      </c>
      <c r="AZ1082" t="s">
        <v>5798</v>
      </c>
      <c r="BB1082">
        <v>116.98</v>
      </c>
      <c r="BC1082">
        <v>0.34</v>
      </c>
      <c r="BD1082">
        <v>67.16</v>
      </c>
      <c r="BE1082">
        <v>67.77</v>
      </c>
      <c r="BF1082">
        <v>66.63</v>
      </c>
      <c r="BG1082" t="s">
        <v>14893</v>
      </c>
      <c r="BH1082" t="s">
        <v>11012</v>
      </c>
      <c r="BI1082" t="s">
        <v>14894</v>
      </c>
      <c r="BJ1082" t="s">
        <v>101</v>
      </c>
      <c r="BK1082" t="s">
        <v>3432</v>
      </c>
      <c r="BL1082" t="s">
        <v>122</v>
      </c>
      <c r="BM1082" t="s">
        <v>7449</v>
      </c>
      <c r="BN1082" t="s">
        <v>14623</v>
      </c>
    </row>
    <row r="1083" spans="1:66" x14ac:dyDescent="0.25">
      <c r="A1083" t="str">
        <f>HYPERLINK("https://elite.finviz.com/quote.ashx?t=ESBA&amp;ty=c&amp;p=d&amp;b=1", "ESBA")</f>
        <v>ESBA</v>
      </c>
      <c r="B1083">
        <v>6</v>
      </c>
      <c r="C1083">
        <v>127.03</v>
      </c>
      <c r="D1083">
        <v>44.66</v>
      </c>
      <c r="E1083" t="s">
        <v>14895</v>
      </c>
      <c r="F1083" t="s">
        <v>107</v>
      </c>
      <c r="G1083" t="s">
        <v>68</v>
      </c>
      <c r="H1083" t="s">
        <v>69</v>
      </c>
      <c r="I1083" t="s">
        <v>70</v>
      </c>
      <c r="J1083" t="s">
        <v>71</v>
      </c>
      <c r="K1083">
        <v>2004.62</v>
      </c>
      <c r="L1083">
        <v>7.27</v>
      </c>
      <c r="M1083" t="s">
        <v>1272</v>
      </c>
      <c r="N1083">
        <v>1</v>
      </c>
      <c r="R1083">
        <v>2.61</v>
      </c>
      <c r="S1083">
        <v>1.19</v>
      </c>
      <c r="T1083" t="s">
        <v>3832</v>
      </c>
      <c r="U1083">
        <v>0.14000000000000001</v>
      </c>
      <c r="V1083" t="s">
        <v>3833</v>
      </c>
      <c r="W1083" t="s">
        <v>164</v>
      </c>
      <c r="X1083" t="s">
        <v>4079</v>
      </c>
      <c r="Y1083" t="s">
        <v>5828</v>
      </c>
      <c r="Z1083" t="s">
        <v>7162</v>
      </c>
      <c r="AC1083" t="s">
        <v>3112</v>
      </c>
      <c r="AE1083" t="s">
        <v>3757</v>
      </c>
      <c r="AF1083" t="s">
        <v>6420</v>
      </c>
      <c r="AG1083" t="s">
        <v>5055</v>
      </c>
      <c r="AH1083" t="s">
        <v>3493</v>
      </c>
      <c r="AJ1083" t="s">
        <v>164</v>
      </c>
      <c r="AK1083" t="s">
        <v>1022</v>
      </c>
      <c r="AL1083">
        <v>3.96</v>
      </c>
      <c r="AM1083">
        <v>3.96</v>
      </c>
      <c r="AN1083">
        <v>2.0299999999999998</v>
      </c>
      <c r="AO1083" t="s">
        <v>2972</v>
      </c>
      <c r="AP1083" t="s">
        <v>850</v>
      </c>
      <c r="AQ1083" t="s">
        <v>3981</v>
      </c>
      <c r="AR1083" t="s">
        <v>4795</v>
      </c>
      <c r="AS1083" t="s">
        <v>2624</v>
      </c>
      <c r="AT1083" t="s">
        <v>1272</v>
      </c>
      <c r="AU1083" t="s">
        <v>5153</v>
      </c>
      <c r="AV1083" t="s">
        <v>1865</v>
      </c>
      <c r="AW1083" t="s">
        <v>14896</v>
      </c>
      <c r="AX1083" t="s">
        <v>336</v>
      </c>
      <c r="AY1083" t="s">
        <v>14897</v>
      </c>
      <c r="AZ1083" t="s">
        <v>7033</v>
      </c>
      <c r="BB1083">
        <v>5.65</v>
      </c>
      <c r="BC1083">
        <v>0</v>
      </c>
      <c r="BD1083">
        <v>7.47</v>
      </c>
      <c r="BE1083">
        <v>7.27</v>
      </c>
      <c r="BF1083">
        <v>7.27</v>
      </c>
      <c r="BG1083" t="s">
        <v>14898</v>
      </c>
      <c r="BH1083" t="s">
        <v>14899</v>
      </c>
      <c r="BI1083" t="s">
        <v>14900</v>
      </c>
      <c r="BJ1083" t="s">
        <v>101</v>
      </c>
      <c r="BK1083" t="s">
        <v>14901</v>
      </c>
      <c r="BL1083" t="s">
        <v>14902</v>
      </c>
      <c r="BM1083" t="s">
        <v>14903</v>
      </c>
      <c r="BN1083" t="s">
        <v>14623</v>
      </c>
    </row>
    <row r="1084" spans="1:66" x14ac:dyDescent="0.25">
      <c r="A1084" t="str">
        <f>HYPERLINK("https://elite.finviz.com/quote.ashx?t=SMTI&amp;ty=c&amp;p=d&amp;b=1", "SMTI")</f>
        <v>SMTI</v>
      </c>
      <c r="B1084">
        <v>6</v>
      </c>
      <c r="C1084">
        <v>127.03</v>
      </c>
      <c r="D1084">
        <v>44.75</v>
      </c>
      <c r="E1084" t="s">
        <v>14904</v>
      </c>
      <c r="F1084" t="s">
        <v>67</v>
      </c>
      <c r="G1084" t="s">
        <v>428</v>
      </c>
      <c r="H1084" t="s">
        <v>2161</v>
      </c>
      <c r="I1084" t="s">
        <v>70</v>
      </c>
      <c r="J1084" t="s">
        <v>321</v>
      </c>
      <c r="K1084">
        <v>280.16000000000003</v>
      </c>
      <c r="L1084">
        <v>31.47</v>
      </c>
      <c r="M1084" t="s">
        <v>1764</v>
      </c>
      <c r="N1084">
        <v>2231</v>
      </c>
      <c r="R1084">
        <v>2.88</v>
      </c>
      <c r="S1084">
        <v>7.92</v>
      </c>
      <c r="AA1084">
        <v>-1.1599999999999999</v>
      </c>
      <c r="AB1084" t="s">
        <v>8053</v>
      </c>
      <c r="AC1084" t="s">
        <v>4687</v>
      </c>
      <c r="AE1084" t="s">
        <v>14905</v>
      </c>
      <c r="AF1084" t="s">
        <v>13152</v>
      </c>
      <c r="AG1084" t="s">
        <v>7812</v>
      </c>
      <c r="AH1084" t="s">
        <v>5713</v>
      </c>
      <c r="AI1084" t="s">
        <v>8730</v>
      </c>
      <c r="AJ1084" t="s">
        <v>164</v>
      </c>
      <c r="AK1084" t="s">
        <v>302</v>
      </c>
      <c r="AL1084">
        <v>2.2599999999999998</v>
      </c>
      <c r="AM1084">
        <v>2.0299999999999998</v>
      </c>
      <c r="AN1084">
        <v>1.28</v>
      </c>
      <c r="AO1084" t="s">
        <v>11616</v>
      </c>
      <c r="AP1084" t="s">
        <v>5748</v>
      </c>
      <c r="AQ1084" t="s">
        <v>14906</v>
      </c>
      <c r="AR1084" t="s">
        <v>5100</v>
      </c>
      <c r="AS1084" t="s">
        <v>6460</v>
      </c>
      <c r="AT1084" t="s">
        <v>4236</v>
      </c>
      <c r="AU1084" t="s">
        <v>2233</v>
      </c>
      <c r="AV1084" t="s">
        <v>8425</v>
      </c>
      <c r="AW1084" t="s">
        <v>2705</v>
      </c>
      <c r="AX1084" t="s">
        <v>14907</v>
      </c>
      <c r="AY1084" t="s">
        <v>104</v>
      </c>
      <c r="AZ1084" t="s">
        <v>14907</v>
      </c>
      <c r="BA1084">
        <v>1</v>
      </c>
      <c r="BB1084">
        <v>41.79</v>
      </c>
      <c r="BC1084">
        <v>0.19</v>
      </c>
      <c r="BD1084">
        <v>31.24</v>
      </c>
      <c r="BE1084">
        <v>31.75</v>
      </c>
      <c r="BF1084">
        <v>31.24</v>
      </c>
      <c r="BG1084" t="s">
        <v>14908</v>
      </c>
      <c r="BH1084" t="s">
        <v>14909</v>
      </c>
      <c r="BI1084" t="s">
        <v>14910</v>
      </c>
      <c r="BJ1084" t="s">
        <v>101</v>
      </c>
      <c r="BK1084" t="s">
        <v>6810</v>
      </c>
      <c r="BL1084" t="s">
        <v>2785</v>
      </c>
      <c r="BM1084" t="s">
        <v>437</v>
      </c>
      <c r="BN1084" t="s">
        <v>14623</v>
      </c>
    </row>
    <row r="1085" spans="1:66" x14ac:dyDescent="0.25">
      <c r="A1085" t="str">
        <f>HYPERLINK("https://elite.finviz.com/quote.ashx?t=PODD&amp;ty=c&amp;p=d&amp;b=1", "PODD")</f>
        <v>PODD</v>
      </c>
      <c r="B1085">
        <v>6</v>
      </c>
      <c r="C1085">
        <v>127.03</v>
      </c>
      <c r="D1085">
        <v>44.78</v>
      </c>
      <c r="E1085" t="s">
        <v>14911</v>
      </c>
      <c r="F1085" t="s">
        <v>195</v>
      </c>
      <c r="G1085" t="s">
        <v>428</v>
      </c>
      <c r="H1085" t="s">
        <v>2051</v>
      </c>
      <c r="I1085" t="s">
        <v>70</v>
      </c>
      <c r="J1085" t="s">
        <v>321</v>
      </c>
      <c r="K1085">
        <v>22781.13</v>
      </c>
      <c r="L1085">
        <v>323.63</v>
      </c>
      <c r="M1085" t="s">
        <v>2215</v>
      </c>
      <c r="N1085">
        <v>62382</v>
      </c>
      <c r="O1085">
        <v>98.49</v>
      </c>
      <c r="P1085">
        <v>55.59</v>
      </c>
      <c r="Q1085">
        <v>3.17</v>
      </c>
      <c r="R1085">
        <v>9.66</v>
      </c>
      <c r="S1085">
        <v>15.57</v>
      </c>
      <c r="Z1085" t="s">
        <v>164</v>
      </c>
      <c r="AA1085">
        <v>3.29</v>
      </c>
      <c r="AB1085" t="s">
        <v>14912</v>
      </c>
      <c r="AC1085" t="s">
        <v>14913</v>
      </c>
      <c r="AD1085" t="s">
        <v>14914</v>
      </c>
      <c r="AE1085" t="s">
        <v>3397</v>
      </c>
      <c r="AF1085" t="s">
        <v>7125</v>
      </c>
      <c r="AG1085" t="s">
        <v>5382</v>
      </c>
      <c r="AH1085" t="s">
        <v>12154</v>
      </c>
      <c r="AI1085" t="s">
        <v>9223</v>
      </c>
      <c r="AJ1085" t="s">
        <v>14915</v>
      </c>
      <c r="AK1085" t="s">
        <v>14916</v>
      </c>
      <c r="AL1085">
        <v>2.23</v>
      </c>
      <c r="AM1085">
        <v>1.79</v>
      </c>
      <c r="AN1085">
        <v>0.97</v>
      </c>
      <c r="AO1085" t="s">
        <v>14917</v>
      </c>
      <c r="AP1085" t="s">
        <v>3348</v>
      </c>
      <c r="AQ1085" t="s">
        <v>4783</v>
      </c>
      <c r="AR1085" t="s">
        <v>4547</v>
      </c>
      <c r="AS1085" t="s">
        <v>307</v>
      </c>
      <c r="AT1085" t="s">
        <v>944</v>
      </c>
      <c r="AU1085" t="s">
        <v>3757</v>
      </c>
      <c r="AV1085" t="s">
        <v>14918</v>
      </c>
      <c r="AW1085" t="s">
        <v>6303</v>
      </c>
      <c r="AX1085" t="s">
        <v>9149</v>
      </c>
      <c r="AY1085" t="s">
        <v>6303</v>
      </c>
      <c r="AZ1085" t="s">
        <v>14919</v>
      </c>
      <c r="BA1085">
        <v>1.5</v>
      </c>
      <c r="BB1085">
        <v>638.58000000000004</v>
      </c>
      <c r="BC1085">
        <v>0.34</v>
      </c>
      <c r="BD1085">
        <v>323.58</v>
      </c>
      <c r="BE1085">
        <v>325.38</v>
      </c>
      <c r="BF1085">
        <v>322.70999999999998</v>
      </c>
      <c r="BG1085" t="s">
        <v>14920</v>
      </c>
      <c r="BH1085" t="s">
        <v>6303</v>
      </c>
      <c r="BI1085" t="s">
        <v>14921</v>
      </c>
      <c r="BJ1085" t="s">
        <v>101</v>
      </c>
      <c r="BK1085" t="s">
        <v>3454</v>
      </c>
      <c r="BL1085" t="s">
        <v>9999</v>
      </c>
      <c r="BM1085" t="s">
        <v>13473</v>
      </c>
      <c r="BN1085" t="s">
        <v>14623</v>
      </c>
    </row>
    <row r="1086" spans="1:66" x14ac:dyDescent="0.25">
      <c r="A1086" t="str">
        <f>HYPERLINK("https://elite.finviz.com/quote.ashx?t=IRMD&amp;ty=c&amp;p=d&amp;b=1", "IRMD")</f>
        <v>IRMD</v>
      </c>
      <c r="B1086">
        <v>6</v>
      </c>
      <c r="C1086">
        <v>127.03</v>
      </c>
      <c r="D1086">
        <v>44.78</v>
      </c>
      <c r="E1086" t="s">
        <v>14922</v>
      </c>
      <c r="F1086" t="s">
        <v>67</v>
      </c>
      <c r="G1086" t="s">
        <v>428</v>
      </c>
      <c r="H1086" t="s">
        <v>2051</v>
      </c>
      <c r="I1086" t="s">
        <v>70</v>
      </c>
      <c r="J1086" t="s">
        <v>321</v>
      </c>
      <c r="K1086">
        <v>876.99</v>
      </c>
      <c r="L1086">
        <v>68.95</v>
      </c>
      <c r="M1086" t="s">
        <v>2571</v>
      </c>
      <c r="N1086">
        <v>4841</v>
      </c>
      <c r="O1086">
        <v>42.76</v>
      </c>
      <c r="P1086">
        <v>32.68</v>
      </c>
      <c r="R1086">
        <v>11.3</v>
      </c>
      <c r="S1086">
        <v>9.73</v>
      </c>
      <c r="T1086" t="s">
        <v>4759</v>
      </c>
      <c r="U1086">
        <v>0.66</v>
      </c>
      <c r="V1086" t="s">
        <v>1440</v>
      </c>
      <c r="W1086" t="s">
        <v>13093</v>
      </c>
      <c r="Z1086" t="s">
        <v>14923</v>
      </c>
      <c r="AA1086">
        <v>1.61</v>
      </c>
      <c r="AB1086" t="s">
        <v>3314</v>
      </c>
      <c r="AC1086" t="s">
        <v>7301</v>
      </c>
      <c r="AE1086" t="s">
        <v>1206</v>
      </c>
      <c r="AF1086" t="s">
        <v>10006</v>
      </c>
      <c r="AG1086" t="s">
        <v>5587</v>
      </c>
      <c r="AH1086" t="s">
        <v>4549</v>
      </c>
      <c r="AI1086" t="s">
        <v>1609</v>
      </c>
      <c r="AJ1086" t="s">
        <v>2760</v>
      </c>
      <c r="AK1086" t="s">
        <v>14924</v>
      </c>
      <c r="AL1086">
        <v>8.7799999999999994</v>
      </c>
      <c r="AM1086">
        <v>7.62</v>
      </c>
      <c r="AN1086">
        <v>0</v>
      </c>
      <c r="AO1086" t="s">
        <v>14925</v>
      </c>
      <c r="AP1086" t="s">
        <v>11690</v>
      </c>
      <c r="AQ1086" t="s">
        <v>3427</v>
      </c>
      <c r="AR1086" t="s">
        <v>4800</v>
      </c>
      <c r="AS1086" t="s">
        <v>4710</v>
      </c>
      <c r="AT1086" t="s">
        <v>799</v>
      </c>
      <c r="AU1086" t="s">
        <v>3447</v>
      </c>
      <c r="AV1086" t="s">
        <v>1626</v>
      </c>
      <c r="AW1086" t="s">
        <v>5134</v>
      </c>
      <c r="AX1086" t="s">
        <v>4460</v>
      </c>
      <c r="AY1086" t="s">
        <v>5134</v>
      </c>
      <c r="AZ1086" t="s">
        <v>7593</v>
      </c>
      <c r="BA1086">
        <v>1</v>
      </c>
      <c r="BB1086">
        <v>53.77</v>
      </c>
      <c r="BC1086">
        <v>0.32</v>
      </c>
      <c r="BD1086">
        <v>68.55</v>
      </c>
      <c r="BE1086">
        <v>69.400000000000006</v>
      </c>
      <c r="BF1086">
        <v>68.94</v>
      </c>
      <c r="BG1086" t="s">
        <v>14926</v>
      </c>
      <c r="BH1086" t="s">
        <v>5134</v>
      </c>
      <c r="BI1086" t="s">
        <v>14927</v>
      </c>
      <c r="BJ1086" t="s">
        <v>101</v>
      </c>
      <c r="BK1086" t="s">
        <v>3186</v>
      </c>
      <c r="BL1086" t="s">
        <v>14928</v>
      </c>
      <c r="BM1086" t="s">
        <v>14929</v>
      </c>
      <c r="BN1086" t="s">
        <v>14623</v>
      </c>
    </row>
    <row r="1087" spans="1:66" x14ac:dyDescent="0.25">
      <c r="A1087" t="str">
        <f>HYPERLINK("https://elite.finviz.com/quote.ashx?t=EFSC&amp;ty=c&amp;p=d&amp;b=1", "EFSC")</f>
        <v>EFSC</v>
      </c>
      <c r="B1087">
        <v>6</v>
      </c>
      <c r="C1087">
        <v>127.03</v>
      </c>
      <c r="D1087">
        <v>44.82</v>
      </c>
      <c r="E1087" t="s">
        <v>14930</v>
      </c>
      <c r="F1087" t="s">
        <v>67</v>
      </c>
      <c r="G1087" t="s">
        <v>550</v>
      </c>
      <c r="H1087" t="s">
        <v>697</v>
      </c>
      <c r="I1087" t="s">
        <v>70</v>
      </c>
      <c r="J1087" t="s">
        <v>321</v>
      </c>
      <c r="K1087">
        <v>2171.37</v>
      </c>
      <c r="L1087">
        <v>58.71</v>
      </c>
      <c r="M1087" t="s">
        <v>183</v>
      </c>
      <c r="N1087">
        <v>19425</v>
      </c>
      <c r="O1087">
        <v>11.13</v>
      </c>
      <c r="P1087">
        <v>10.88</v>
      </c>
      <c r="Q1087">
        <v>2.37</v>
      </c>
      <c r="R1087">
        <v>2.2999999999999998</v>
      </c>
      <c r="S1087">
        <v>1.17</v>
      </c>
      <c r="T1087" t="s">
        <v>5263</v>
      </c>
      <c r="U1087">
        <v>1.18</v>
      </c>
      <c r="V1087" t="s">
        <v>3833</v>
      </c>
      <c r="W1087" t="s">
        <v>3601</v>
      </c>
      <c r="X1087" t="s">
        <v>2471</v>
      </c>
      <c r="Y1087" t="s">
        <v>4565</v>
      </c>
      <c r="Z1087" t="s">
        <v>1130</v>
      </c>
      <c r="AA1087">
        <v>5.28</v>
      </c>
      <c r="AB1087" t="s">
        <v>8535</v>
      </c>
      <c r="AC1087" t="s">
        <v>3053</v>
      </c>
      <c r="AD1087" t="s">
        <v>5370</v>
      </c>
      <c r="AE1087" t="s">
        <v>5210</v>
      </c>
      <c r="AF1087" t="s">
        <v>2189</v>
      </c>
      <c r="AG1087" t="s">
        <v>7294</v>
      </c>
      <c r="AH1087" t="s">
        <v>272</v>
      </c>
      <c r="AI1087" t="s">
        <v>11871</v>
      </c>
      <c r="AJ1087" t="s">
        <v>7646</v>
      </c>
      <c r="AK1087" t="s">
        <v>14931</v>
      </c>
      <c r="AL1087">
        <v>0.05</v>
      </c>
      <c r="AN1087">
        <v>0.34</v>
      </c>
      <c r="AP1087" t="s">
        <v>14932</v>
      </c>
      <c r="AQ1087" t="s">
        <v>5933</v>
      </c>
      <c r="AR1087" t="s">
        <v>5263</v>
      </c>
      <c r="AS1087" t="s">
        <v>5968</v>
      </c>
      <c r="AT1087" t="s">
        <v>4124</v>
      </c>
      <c r="AU1087" t="s">
        <v>4308</v>
      </c>
      <c r="AV1087" t="s">
        <v>5907</v>
      </c>
      <c r="AW1087" t="s">
        <v>2562</v>
      </c>
      <c r="AX1087" t="s">
        <v>14933</v>
      </c>
      <c r="AY1087" t="s">
        <v>3091</v>
      </c>
      <c r="AZ1087" t="s">
        <v>10712</v>
      </c>
      <c r="BA1087">
        <v>1.5</v>
      </c>
      <c r="BB1087">
        <v>171.27</v>
      </c>
      <c r="BC1087">
        <v>0.4</v>
      </c>
      <c r="BD1087">
        <v>58.62</v>
      </c>
      <c r="BE1087">
        <v>59.21</v>
      </c>
      <c r="BF1087">
        <v>58.83</v>
      </c>
      <c r="BG1087" t="s">
        <v>14934</v>
      </c>
      <c r="BH1087" t="s">
        <v>3091</v>
      </c>
      <c r="BI1087" t="s">
        <v>14935</v>
      </c>
      <c r="BJ1087" t="s">
        <v>101</v>
      </c>
      <c r="BK1087" t="s">
        <v>4428</v>
      </c>
      <c r="BL1087" t="s">
        <v>2174</v>
      </c>
      <c r="BM1087" t="s">
        <v>11482</v>
      </c>
      <c r="BN1087" t="s">
        <v>14623</v>
      </c>
    </row>
    <row r="1088" spans="1:66" x14ac:dyDescent="0.25">
      <c r="A1088" t="str">
        <f>HYPERLINK("https://elite.finviz.com/quote.ashx?t=MACI&amp;ty=c&amp;p=d&amp;b=1", "MACI")</f>
        <v>MACI</v>
      </c>
      <c r="B1088">
        <v>6</v>
      </c>
      <c r="C1088">
        <v>127.03</v>
      </c>
      <c r="D1088">
        <v>44.84</v>
      </c>
      <c r="E1088" t="s">
        <v>14936</v>
      </c>
      <c r="F1088" t="s">
        <v>107</v>
      </c>
      <c r="G1088" t="s">
        <v>550</v>
      </c>
      <c r="H1088" t="s">
        <v>2120</v>
      </c>
      <c r="I1088" t="s">
        <v>70</v>
      </c>
      <c r="J1088" t="s">
        <v>321</v>
      </c>
      <c r="K1088">
        <v>228.21</v>
      </c>
      <c r="L1088">
        <v>10.47</v>
      </c>
      <c r="M1088" t="s">
        <v>1648</v>
      </c>
      <c r="N1088">
        <v>11</v>
      </c>
      <c r="O1088">
        <v>31.19</v>
      </c>
      <c r="S1088">
        <v>1.4</v>
      </c>
      <c r="Z1088" t="s">
        <v>164</v>
      </c>
      <c r="AA1088">
        <v>0.34</v>
      </c>
      <c r="AJ1088" t="s">
        <v>164</v>
      </c>
      <c r="AK1088" t="s">
        <v>8827</v>
      </c>
      <c r="AL1088">
        <v>3.35</v>
      </c>
      <c r="AM1088">
        <v>3.35</v>
      </c>
      <c r="AN1088">
        <v>0</v>
      </c>
      <c r="AR1088" t="s">
        <v>164</v>
      </c>
      <c r="AS1088" t="s">
        <v>6156</v>
      </c>
      <c r="AT1088" t="s">
        <v>337</v>
      </c>
      <c r="AU1088" t="s">
        <v>1364</v>
      </c>
      <c r="AV1088" t="s">
        <v>4600</v>
      </c>
      <c r="AW1088" t="s">
        <v>9938</v>
      </c>
      <c r="AX1088" t="s">
        <v>2880</v>
      </c>
      <c r="AY1088" t="s">
        <v>799</v>
      </c>
      <c r="AZ1088" t="s">
        <v>3758</v>
      </c>
      <c r="BB1088">
        <v>72.89</v>
      </c>
      <c r="BC1088">
        <v>0</v>
      </c>
      <c r="BD1088">
        <v>10.49</v>
      </c>
      <c r="BE1088">
        <v>10.47</v>
      </c>
      <c r="BF1088">
        <v>10.47</v>
      </c>
      <c r="BG1088" t="s">
        <v>14937</v>
      </c>
      <c r="BH1088" t="s">
        <v>799</v>
      </c>
      <c r="BI1088" t="s">
        <v>3758</v>
      </c>
      <c r="BJ1088" t="s">
        <v>101</v>
      </c>
      <c r="BK1088" t="s">
        <v>5745</v>
      </c>
      <c r="BL1088" t="s">
        <v>1751</v>
      </c>
      <c r="BN1088" t="s">
        <v>14623</v>
      </c>
    </row>
    <row r="1089" spans="1:66" x14ac:dyDescent="0.25">
      <c r="A1089" t="str">
        <f>HYPERLINK("https://elite.finviz.com/quote.ashx?t=JLL&amp;ty=c&amp;p=d&amp;b=1", "JLL")</f>
        <v>JLL</v>
      </c>
      <c r="B1089">
        <v>6</v>
      </c>
      <c r="C1089">
        <v>127.03</v>
      </c>
      <c r="D1089">
        <v>44.87</v>
      </c>
      <c r="E1089" t="s">
        <v>14938</v>
      </c>
      <c r="F1089" t="s">
        <v>107</v>
      </c>
      <c r="G1089" t="s">
        <v>68</v>
      </c>
      <c r="H1089" t="s">
        <v>7494</v>
      </c>
      <c r="I1089" t="s">
        <v>70</v>
      </c>
      <c r="J1089" t="s">
        <v>71</v>
      </c>
      <c r="K1089">
        <v>14208.21</v>
      </c>
      <c r="L1089">
        <v>299.87</v>
      </c>
      <c r="M1089" t="s">
        <v>2003</v>
      </c>
      <c r="N1089">
        <v>64934</v>
      </c>
      <c r="O1089">
        <v>25.77</v>
      </c>
      <c r="P1089">
        <v>15.01</v>
      </c>
      <c r="Q1089">
        <v>1.5</v>
      </c>
      <c r="R1089">
        <v>0.57999999999999996</v>
      </c>
      <c r="S1089">
        <v>2.02</v>
      </c>
      <c r="V1089" t="s">
        <v>14939</v>
      </c>
      <c r="Z1089" t="s">
        <v>164</v>
      </c>
      <c r="AA1089">
        <v>11.63</v>
      </c>
      <c r="AB1089" t="s">
        <v>7443</v>
      </c>
      <c r="AC1089" t="s">
        <v>3169</v>
      </c>
      <c r="AD1089" t="s">
        <v>5564</v>
      </c>
      <c r="AE1089" t="s">
        <v>6740</v>
      </c>
      <c r="AF1089" t="s">
        <v>2124</v>
      </c>
      <c r="AG1089" t="s">
        <v>2123</v>
      </c>
      <c r="AH1089" t="s">
        <v>1652</v>
      </c>
      <c r="AI1089" t="s">
        <v>305</v>
      </c>
      <c r="AJ1089" t="s">
        <v>2745</v>
      </c>
      <c r="AK1089" t="s">
        <v>14940</v>
      </c>
      <c r="AL1089">
        <v>1.1000000000000001</v>
      </c>
      <c r="AM1089">
        <v>1.1000000000000001</v>
      </c>
      <c r="AN1089">
        <v>0.57999999999999996</v>
      </c>
      <c r="AO1089" t="s">
        <v>14941</v>
      </c>
      <c r="AP1089" t="s">
        <v>3334</v>
      </c>
      <c r="AQ1089" t="s">
        <v>679</v>
      </c>
      <c r="AR1089" t="s">
        <v>3832</v>
      </c>
      <c r="AS1089" t="s">
        <v>2202</v>
      </c>
      <c r="AT1089" t="s">
        <v>7907</v>
      </c>
      <c r="AU1089" t="s">
        <v>2742</v>
      </c>
      <c r="AV1089" t="s">
        <v>14942</v>
      </c>
      <c r="AW1089" t="s">
        <v>5612</v>
      </c>
      <c r="AX1089" t="s">
        <v>5933</v>
      </c>
      <c r="AY1089" t="s">
        <v>5612</v>
      </c>
      <c r="AZ1089" t="s">
        <v>880</v>
      </c>
      <c r="BA1089">
        <v>1.77</v>
      </c>
      <c r="BB1089">
        <v>447.02</v>
      </c>
      <c r="BC1089">
        <v>0.51</v>
      </c>
      <c r="BD1089">
        <v>300.73</v>
      </c>
      <c r="BE1089">
        <v>304.75</v>
      </c>
      <c r="BF1089">
        <v>300.27</v>
      </c>
      <c r="BG1089" t="s">
        <v>14943</v>
      </c>
      <c r="BH1089" t="s">
        <v>5612</v>
      </c>
      <c r="BI1089" t="s">
        <v>14944</v>
      </c>
      <c r="BJ1089" t="s">
        <v>101</v>
      </c>
      <c r="BK1089" t="s">
        <v>4532</v>
      </c>
      <c r="BL1089" t="s">
        <v>14945</v>
      </c>
      <c r="BM1089" t="s">
        <v>9187</v>
      </c>
      <c r="BN1089" t="s">
        <v>14623</v>
      </c>
    </row>
    <row r="1090" spans="1:66" x14ac:dyDescent="0.25">
      <c r="A1090" t="str">
        <f>HYPERLINK("https://elite.finviz.com/quote.ashx?t=OTTR&amp;ty=c&amp;p=d&amp;b=1", "OTTR")</f>
        <v>OTTR</v>
      </c>
      <c r="B1090">
        <v>6</v>
      </c>
      <c r="C1090">
        <v>127.03</v>
      </c>
      <c r="D1090">
        <v>44.9</v>
      </c>
      <c r="E1090" t="s">
        <v>14946</v>
      </c>
      <c r="F1090" t="s">
        <v>67</v>
      </c>
      <c r="G1090" t="s">
        <v>260</v>
      </c>
      <c r="H1090" t="s">
        <v>2508</v>
      </c>
      <c r="I1090" t="s">
        <v>70</v>
      </c>
      <c r="J1090" t="s">
        <v>321</v>
      </c>
      <c r="K1090">
        <v>3437.89</v>
      </c>
      <c r="L1090">
        <v>82.04</v>
      </c>
      <c r="M1090" t="s">
        <v>4539</v>
      </c>
      <c r="N1090">
        <v>27672</v>
      </c>
      <c r="O1090">
        <v>12.07</v>
      </c>
      <c r="P1090">
        <v>13.64</v>
      </c>
      <c r="R1090">
        <v>2.62</v>
      </c>
      <c r="S1090">
        <v>1.94</v>
      </c>
      <c r="T1090" t="s">
        <v>715</v>
      </c>
      <c r="U1090">
        <v>2.04</v>
      </c>
      <c r="V1090" t="s">
        <v>3046</v>
      </c>
      <c r="W1090" t="s">
        <v>6584</v>
      </c>
      <c r="X1090" t="s">
        <v>216</v>
      </c>
      <c r="Y1090" t="s">
        <v>1496</v>
      </c>
      <c r="Z1090" t="s">
        <v>12914</v>
      </c>
      <c r="AA1090">
        <v>6.8</v>
      </c>
      <c r="AB1090" t="s">
        <v>14947</v>
      </c>
      <c r="AC1090" t="s">
        <v>12489</v>
      </c>
      <c r="AD1090" t="s">
        <v>2226</v>
      </c>
      <c r="AE1090" t="s">
        <v>14948</v>
      </c>
      <c r="AF1090" t="s">
        <v>4956</v>
      </c>
      <c r="AG1090" t="s">
        <v>327</v>
      </c>
      <c r="AH1090" t="s">
        <v>72</v>
      </c>
      <c r="AI1090" t="s">
        <v>4850</v>
      </c>
      <c r="AJ1090" t="s">
        <v>164</v>
      </c>
      <c r="AK1090" t="s">
        <v>243</v>
      </c>
      <c r="AL1090">
        <v>3.31</v>
      </c>
      <c r="AM1090">
        <v>2.57</v>
      </c>
      <c r="AN1090">
        <v>0.59</v>
      </c>
      <c r="AO1090" t="s">
        <v>4300</v>
      </c>
      <c r="AP1090" t="s">
        <v>6350</v>
      </c>
      <c r="AQ1090" t="s">
        <v>14949</v>
      </c>
      <c r="AR1090" t="s">
        <v>5058</v>
      </c>
      <c r="AS1090" t="s">
        <v>2145</v>
      </c>
      <c r="AT1090" t="s">
        <v>3967</v>
      </c>
      <c r="AU1090" t="s">
        <v>3112</v>
      </c>
      <c r="AV1090" t="s">
        <v>891</v>
      </c>
      <c r="AW1090" t="s">
        <v>2329</v>
      </c>
      <c r="AX1090" t="s">
        <v>3648</v>
      </c>
      <c r="AY1090" t="s">
        <v>4635</v>
      </c>
      <c r="AZ1090" t="s">
        <v>3756</v>
      </c>
      <c r="BA1090">
        <v>2.33</v>
      </c>
      <c r="BB1090">
        <v>210.87</v>
      </c>
      <c r="BC1090">
        <v>0.46</v>
      </c>
      <c r="BD1090">
        <v>81.97</v>
      </c>
      <c r="BE1090">
        <v>82.36</v>
      </c>
      <c r="BF1090">
        <v>81.849999999999994</v>
      </c>
      <c r="BG1090" t="s">
        <v>14950</v>
      </c>
      <c r="BH1090" t="s">
        <v>14951</v>
      </c>
      <c r="BI1090" t="s">
        <v>14952</v>
      </c>
      <c r="BJ1090" t="s">
        <v>101</v>
      </c>
      <c r="BK1090" t="s">
        <v>2810</v>
      </c>
      <c r="BL1090" t="s">
        <v>4267</v>
      </c>
      <c r="BM1090" t="s">
        <v>5425</v>
      </c>
      <c r="BN1090" t="s">
        <v>14623</v>
      </c>
    </row>
    <row r="1091" spans="1:66" x14ac:dyDescent="0.25">
      <c r="A1091" t="str">
        <f>HYPERLINK("https://elite.finviz.com/quote.ashx?t=HIFS&amp;ty=c&amp;p=d&amp;b=1", "HIFS")</f>
        <v>HIFS</v>
      </c>
      <c r="B1091">
        <v>6</v>
      </c>
      <c r="C1091">
        <v>127.03</v>
      </c>
      <c r="D1091">
        <v>44.96</v>
      </c>
      <c r="E1091" t="s">
        <v>14953</v>
      </c>
      <c r="F1091" t="s">
        <v>67</v>
      </c>
      <c r="G1091" t="s">
        <v>550</v>
      </c>
      <c r="H1091" t="s">
        <v>697</v>
      </c>
      <c r="I1091" t="s">
        <v>70</v>
      </c>
      <c r="J1091" t="s">
        <v>321</v>
      </c>
      <c r="K1091">
        <v>584.07000000000005</v>
      </c>
      <c r="L1091">
        <v>267.89</v>
      </c>
      <c r="M1091" t="s">
        <v>4707</v>
      </c>
      <c r="N1091">
        <v>17689</v>
      </c>
      <c r="O1091">
        <v>17.46</v>
      </c>
      <c r="R1091">
        <v>2.69</v>
      </c>
      <c r="S1091">
        <v>1.31</v>
      </c>
      <c r="T1091" t="s">
        <v>2759</v>
      </c>
      <c r="U1091">
        <v>2.52</v>
      </c>
      <c r="V1091" t="s">
        <v>4827</v>
      </c>
      <c r="W1091" t="s">
        <v>164</v>
      </c>
      <c r="X1091" t="s">
        <v>8380</v>
      </c>
      <c r="Y1091" t="s">
        <v>4873</v>
      </c>
      <c r="Z1091" t="s">
        <v>11735</v>
      </c>
      <c r="AA1091">
        <v>15.34</v>
      </c>
      <c r="AB1091" t="s">
        <v>6617</v>
      </c>
      <c r="AC1091" t="s">
        <v>5857</v>
      </c>
      <c r="AE1091" t="s">
        <v>7935</v>
      </c>
      <c r="AF1091" t="s">
        <v>1062</v>
      </c>
      <c r="AG1091" t="s">
        <v>10403</v>
      </c>
      <c r="AH1091" t="s">
        <v>5045</v>
      </c>
      <c r="AK1091" t="s">
        <v>14954</v>
      </c>
      <c r="AL1091">
        <v>0.15</v>
      </c>
      <c r="AN1091">
        <v>3.53</v>
      </c>
      <c r="AP1091" t="s">
        <v>14013</v>
      </c>
      <c r="AQ1091" t="s">
        <v>913</v>
      </c>
      <c r="AR1091" t="s">
        <v>4323</v>
      </c>
      <c r="AS1091" t="s">
        <v>3244</v>
      </c>
      <c r="AT1091" t="s">
        <v>1149</v>
      </c>
      <c r="AU1091" t="s">
        <v>5055</v>
      </c>
      <c r="AV1091" t="s">
        <v>5591</v>
      </c>
      <c r="AW1091" t="s">
        <v>14955</v>
      </c>
      <c r="AX1091" t="s">
        <v>7301</v>
      </c>
      <c r="AY1091" t="s">
        <v>1323</v>
      </c>
      <c r="AZ1091" t="s">
        <v>10513</v>
      </c>
      <c r="BB1091">
        <v>56.79</v>
      </c>
      <c r="BC1091">
        <v>1.1100000000000001</v>
      </c>
      <c r="BD1091">
        <v>273</v>
      </c>
      <c r="BE1091">
        <v>276.11</v>
      </c>
      <c r="BF1091">
        <v>273.45</v>
      </c>
      <c r="BG1091" t="s">
        <v>14956</v>
      </c>
      <c r="BH1091" t="s">
        <v>14957</v>
      </c>
      <c r="BI1091" t="s">
        <v>14958</v>
      </c>
      <c r="BJ1091" t="s">
        <v>101</v>
      </c>
      <c r="BK1091" t="s">
        <v>2887</v>
      </c>
      <c r="BL1091" t="s">
        <v>2635</v>
      </c>
      <c r="BM1091" t="s">
        <v>3368</v>
      </c>
      <c r="BN1091" t="s">
        <v>14623</v>
      </c>
    </row>
    <row r="1092" spans="1:66" x14ac:dyDescent="0.25">
      <c r="A1092" t="str">
        <f>HYPERLINK("https://elite.finviz.com/quote.ashx?t=BRSP&amp;ty=c&amp;p=d&amp;b=1", "BRSP")</f>
        <v>BRSP</v>
      </c>
      <c r="B1092">
        <v>6</v>
      </c>
      <c r="C1092">
        <v>127.03</v>
      </c>
      <c r="D1092">
        <v>44.97</v>
      </c>
      <c r="E1092" t="s">
        <v>14959</v>
      </c>
      <c r="F1092" t="s">
        <v>67</v>
      </c>
      <c r="G1092" t="s">
        <v>68</v>
      </c>
      <c r="H1092" t="s">
        <v>5566</v>
      </c>
      <c r="I1092" t="s">
        <v>70</v>
      </c>
      <c r="J1092" t="s">
        <v>71</v>
      </c>
      <c r="K1092">
        <v>731.22</v>
      </c>
      <c r="L1092">
        <v>5.62</v>
      </c>
      <c r="M1092" t="s">
        <v>439</v>
      </c>
      <c r="N1092">
        <v>70671</v>
      </c>
      <c r="P1092">
        <v>8.06</v>
      </c>
      <c r="R1092">
        <v>2.17</v>
      </c>
      <c r="S1092">
        <v>0.74</v>
      </c>
      <c r="T1092" t="s">
        <v>8086</v>
      </c>
      <c r="U1092">
        <v>0.53</v>
      </c>
      <c r="V1092" t="s">
        <v>198</v>
      </c>
      <c r="W1092" t="s">
        <v>10731</v>
      </c>
      <c r="X1092" t="s">
        <v>8808</v>
      </c>
      <c r="Y1092" t="s">
        <v>7203</v>
      </c>
      <c r="AA1092">
        <v>-0.21</v>
      </c>
      <c r="AB1092" t="s">
        <v>14960</v>
      </c>
      <c r="AC1092" t="s">
        <v>5792</v>
      </c>
      <c r="AE1092" t="s">
        <v>14961</v>
      </c>
      <c r="AF1092" t="s">
        <v>262</v>
      </c>
      <c r="AG1092" t="s">
        <v>1537</v>
      </c>
      <c r="AH1092" t="s">
        <v>5355</v>
      </c>
      <c r="AI1092" t="s">
        <v>14962</v>
      </c>
      <c r="AJ1092" t="s">
        <v>164</v>
      </c>
      <c r="AK1092" t="s">
        <v>3876</v>
      </c>
      <c r="AL1092">
        <v>1.76</v>
      </c>
      <c r="AM1092">
        <v>1.76</v>
      </c>
      <c r="AN1092">
        <v>2.29</v>
      </c>
      <c r="AO1092" t="s">
        <v>14963</v>
      </c>
      <c r="AP1092" t="s">
        <v>5083</v>
      </c>
      <c r="AQ1092" t="s">
        <v>2467</v>
      </c>
      <c r="AR1092" t="s">
        <v>2720</v>
      </c>
      <c r="AS1092" t="s">
        <v>1952</v>
      </c>
      <c r="AT1092" t="s">
        <v>10469</v>
      </c>
      <c r="AU1092" t="s">
        <v>1303</v>
      </c>
      <c r="AV1092" t="s">
        <v>4800</v>
      </c>
      <c r="AW1092" t="s">
        <v>6755</v>
      </c>
      <c r="AX1092" t="s">
        <v>644</v>
      </c>
      <c r="AY1092" t="s">
        <v>6700</v>
      </c>
      <c r="AZ1092" t="s">
        <v>4871</v>
      </c>
      <c r="BA1092">
        <v>2.17</v>
      </c>
      <c r="BB1092">
        <v>724.39</v>
      </c>
      <c r="BC1092">
        <v>0.34</v>
      </c>
      <c r="BD1092">
        <v>5.61</v>
      </c>
      <c r="BE1092">
        <v>5.66</v>
      </c>
      <c r="BF1092">
        <v>5.6</v>
      </c>
      <c r="BG1092" t="s">
        <v>14964</v>
      </c>
      <c r="BH1092" t="s">
        <v>14965</v>
      </c>
      <c r="BI1092" t="s">
        <v>14966</v>
      </c>
      <c r="BJ1092" t="s">
        <v>101</v>
      </c>
      <c r="BK1092" t="s">
        <v>3745</v>
      </c>
      <c r="BL1092" t="s">
        <v>14569</v>
      </c>
      <c r="BM1092" t="s">
        <v>6541</v>
      </c>
      <c r="BN1092" t="s">
        <v>14623</v>
      </c>
    </row>
    <row r="1093" spans="1:66" x14ac:dyDescent="0.25">
      <c r="A1093" t="str">
        <f>HYPERLINK("https://elite.finviz.com/quote.ashx?t=SST&amp;ty=c&amp;p=d&amp;b=1", "SST")</f>
        <v>SST</v>
      </c>
      <c r="B1093">
        <v>6</v>
      </c>
      <c r="C1093">
        <v>127.03</v>
      </c>
      <c r="D1093">
        <v>44.99</v>
      </c>
      <c r="E1093" t="s">
        <v>14967</v>
      </c>
      <c r="F1093" t="s">
        <v>107</v>
      </c>
      <c r="G1093" t="s">
        <v>260</v>
      </c>
      <c r="H1093" t="s">
        <v>1077</v>
      </c>
      <c r="I1093" t="s">
        <v>70</v>
      </c>
      <c r="J1093" t="s">
        <v>71</v>
      </c>
      <c r="K1093">
        <v>72.37</v>
      </c>
      <c r="L1093">
        <v>7.3</v>
      </c>
      <c r="M1093" t="s">
        <v>1938</v>
      </c>
      <c r="N1093">
        <v>1734</v>
      </c>
      <c r="R1093">
        <v>0.23</v>
      </c>
      <c r="S1093">
        <v>1</v>
      </c>
      <c r="AA1093">
        <v>-9.66</v>
      </c>
      <c r="AC1093" t="s">
        <v>3004</v>
      </c>
      <c r="AE1093" t="s">
        <v>14968</v>
      </c>
      <c r="AF1093" t="s">
        <v>7274</v>
      </c>
      <c r="AH1093" t="s">
        <v>3515</v>
      </c>
      <c r="AI1093" t="s">
        <v>14969</v>
      </c>
      <c r="AJ1093" t="s">
        <v>6117</v>
      </c>
      <c r="AK1093" t="s">
        <v>2945</v>
      </c>
      <c r="AL1093">
        <v>1.18</v>
      </c>
      <c r="AM1093">
        <v>1.18</v>
      </c>
      <c r="AN1093">
        <v>4.59</v>
      </c>
      <c r="AO1093" t="s">
        <v>6204</v>
      </c>
      <c r="AP1093" t="s">
        <v>10021</v>
      </c>
      <c r="AQ1093" t="s">
        <v>14970</v>
      </c>
      <c r="AR1093" t="s">
        <v>2403</v>
      </c>
      <c r="AS1093" t="s">
        <v>864</v>
      </c>
      <c r="AT1093" t="s">
        <v>6735</v>
      </c>
      <c r="AU1093" t="s">
        <v>2742</v>
      </c>
      <c r="AV1093" t="s">
        <v>1814</v>
      </c>
      <c r="AW1093" t="s">
        <v>985</v>
      </c>
      <c r="AX1093" t="s">
        <v>14971</v>
      </c>
      <c r="AY1093" t="s">
        <v>9717</v>
      </c>
      <c r="AZ1093" t="s">
        <v>14972</v>
      </c>
      <c r="BA1093">
        <v>1</v>
      </c>
      <c r="BB1093">
        <v>77.19</v>
      </c>
      <c r="BC1093">
        <v>0.08</v>
      </c>
      <c r="BD1093">
        <v>7.34</v>
      </c>
      <c r="BE1093">
        <v>7.56</v>
      </c>
      <c r="BF1093">
        <v>7.2</v>
      </c>
      <c r="BG1093" t="s">
        <v>14973</v>
      </c>
      <c r="BH1093" t="s">
        <v>14974</v>
      </c>
      <c r="BI1093" t="s">
        <v>14972</v>
      </c>
      <c r="BJ1093" t="s">
        <v>101</v>
      </c>
      <c r="BK1093" t="s">
        <v>7617</v>
      </c>
      <c r="BL1093" t="s">
        <v>14975</v>
      </c>
      <c r="BM1093" t="s">
        <v>14976</v>
      </c>
      <c r="BN1093" t="s">
        <v>14623</v>
      </c>
    </row>
    <row r="1094" spans="1:66" x14ac:dyDescent="0.25">
      <c r="A1094" t="str">
        <f>HYPERLINK("https://elite.finviz.com/quote.ashx?t=HVT&amp;ty=c&amp;p=d&amp;b=1", "HVT")</f>
        <v>HVT</v>
      </c>
      <c r="B1094">
        <v>6</v>
      </c>
      <c r="C1094">
        <v>127.03</v>
      </c>
      <c r="D1094">
        <v>45.01</v>
      </c>
      <c r="E1094" t="s">
        <v>14977</v>
      </c>
      <c r="F1094" t="s">
        <v>67</v>
      </c>
      <c r="G1094" t="s">
        <v>813</v>
      </c>
      <c r="H1094" t="s">
        <v>4265</v>
      </c>
      <c r="I1094" t="s">
        <v>70</v>
      </c>
      <c r="J1094" t="s">
        <v>71</v>
      </c>
      <c r="K1094">
        <v>364.97</v>
      </c>
      <c r="L1094">
        <v>22.3</v>
      </c>
      <c r="M1094" t="s">
        <v>5549</v>
      </c>
      <c r="N1094">
        <v>10398</v>
      </c>
      <c r="O1094">
        <v>18.95</v>
      </c>
      <c r="P1094">
        <v>9.1199999999999992</v>
      </c>
      <c r="R1094">
        <v>0.5</v>
      </c>
      <c r="S1094">
        <v>1.19</v>
      </c>
      <c r="T1094" t="s">
        <v>3088</v>
      </c>
      <c r="U1094">
        <v>1.28</v>
      </c>
      <c r="V1094" t="s">
        <v>10943</v>
      </c>
      <c r="W1094" t="s">
        <v>11629</v>
      </c>
      <c r="X1094" t="s">
        <v>1775</v>
      </c>
      <c r="Y1094" t="s">
        <v>6573</v>
      </c>
      <c r="Z1094" t="s">
        <v>14978</v>
      </c>
      <c r="AA1094">
        <v>1.18</v>
      </c>
      <c r="AB1094" t="s">
        <v>8877</v>
      </c>
      <c r="AC1094" t="s">
        <v>4256</v>
      </c>
      <c r="AE1094" t="s">
        <v>12181</v>
      </c>
      <c r="AF1094" t="s">
        <v>411</v>
      </c>
      <c r="AG1094" t="s">
        <v>14331</v>
      </c>
      <c r="AH1094" t="s">
        <v>2185</v>
      </c>
      <c r="AI1094" t="s">
        <v>1492</v>
      </c>
      <c r="AJ1094" t="s">
        <v>525</v>
      </c>
      <c r="AK1094" t="s">
        <v>14979</v>
      </c>
      <c r="AL1094">
        <v>1.81</v>
      </c>
      <c r="AM1094">
        <v>1.0900000000000001</v>
      </c>
      <c r="AN1094">
        <v>0.71</v>
      </c>
      <c r="AO1094" t="s">
        <v>1248</v>
      </c>
      <c r="AP1094" t="s">
        <v>4945</v>
      </c>
      <c r="AQ1094" t="s">
        <v>2496</v>
      </c>
      <c r="AR1094" t="s">
        <v>4204</v>
      </c>
      <c r="AS1094" t="s">
        <v>2383</v>
      </c>
      <c r="AT1094" t="s">
        <v>345</v>
      </c>
      <c r="AU1094" t="s">
        <v>2638</v>
      </c>
      <c r="AV1094" t="s">
        <v>3119</v>
      </c>
      <c r="AW1094" t="s">
        <v>1537</v>
      </c>
      <c r="AX1094" t="s">
        <v>3789</v>
      </c>
      <c r="AY1094" t="s">
        <v>14980</v>
      </c>
      <c r="AZ1094" t="s">
        <v>14914</v>
      </c>
      <c r="BA1094">
        <v>1</v>
      </c>
      <c r="BB1094">
        <v>101.41</v>
      </c>
      <c r="BC1094">
        <v>0.36</v>
      </c>
      <c r="BD1094">
        <v>22.29</v>
      </c>
      <c r="BE1094">
        <v>22.46</v>
      </c>
      <c r="BF1094">
        <v>22.22</v>
      </c>
      <c r="BG1094" t="s">
        <v>14981</v>
      </c>
      <c r="BH1094" t="s">
        <v>5645</v>
      </c>
      <c r="BI1094" t="s">
        <v>14982</v>
      </c>
      <c r="BJ1094" t="s">
        <v>101</v>
      </c>
      <c r="BK1094" t="s">
        <v>9280</v>
      </c>
      <c r="BL1094" t="s">
        <v>7236</v>
      </c>
      <c r="BM1094" t="s">
        <v>9068</v>
      </c>
      <c r="BN1094" t="s">
        <v>14623</v>
      </c>
    </row>
    <row r="1095" spans="1:66" x14ac:dyDescent="0.25">
      <c r="A1095" t="str">
        <f>HYPERLINK("https://elite.finviz.com/quote.ashx?t=TPB&amp;ty=c&amp;p=d&amp;b=1", "TPB")</f>
        <v>TPB</v>
      </c>
      <c r="B1095">
        <v>6</v>
      </c>
      <c r="C1095">
        <v>127.03</v>
      </c>
      <c r="D1095">
        <v>45.02</v>
      </c>
      <c r="E1095" t="s">
        <v>14983</v>
      </c>
      <c r="F1095" t="s">
        <v>67</v>
      </c>
      <c r="G1095" t="s">
        <v>2244</v>
      </c>
      <c r="H1095" t="s">
        <v>7643</v>
      </c>
      <c r="I1095" t="s">
        <v>70</v>
      </c>
      <c r="J1095" t="s">
        <v>71</v>
      </c>
      <c r="K1095">
        <v>1742.37</v>
      </c>
      <c r="L1095">
        <v>96.67</v>
      </c>
      <c r="M1095" t="s">
        <v>1510</v>
      </c>
      <c r="N1095">
        <v>40280</v>
      </c>
      <c r="O1095">
        <v>40.409999999999997</v>
      </c>
      <c r="P1095">
        <v>26.23</v>
      </c>
      <c r="R1095">
        <v>4.13</v>
      </c>
      <c r="S1095">
        <v>7.97</v>
      </c>
      <c r="T1095" t="s">
        <v>698</v>
      </c>
      <c r="U1095">
        <v>0.28999999999999998</v>
      </c>
      <c r="V1095" t="s">
        <v>7552</v>
      </c>
      <c r="W1095" t="s">
        <v>2698</v>
      </c>
      <c r="X1095" t="s">
        <v>5700</v>
      </c>
      <c r="Y1095" t="s">
        <v>268</v>
      </c>
      <c r="Z1095" t="s">
        <v>3430</v>
      </c>
      <c r="AA1095">
        <v>2.39</v>
      </c>
      <c r="AB1095" t="s">
        <v>12259</v>
      </c>
      <c r="AC1095" t="s">
        <v>3747</v>
      </c>
      <c r="AE1095" t="s">
        <v>2810</v>
      </c>
      <c r="AF1095" t="s">
        <v>14672</v>
      </c>
      <c r="AG1095" t="s">
        <v>171</v>
      </c>
      <c r="AH1095" t="s">
        <v>1283</v>
      </c>
      <c r="AI1095" t="s">
        <v>267</v>
      </c>
      <c r="AJ1095" t="s">
        <v>6326</v>
      </c>
      <c r="AK1095" t="s">
        <v>14984</v>
      </c>
      <c r="AL1095">
        <v>4.22</v>
      </c>
      <c r="AM1095">
        <v>2.52</v>
      </c>
      <c r="AN1095">
        <v>1.39</v>
      </c>
      <c r="AO1095" t="s">
        <v>2535</v>
      </c>
      <c r="AP1095" t="s">
        <v>12927</v>
      </c>
      <c r="AQ1095" t="s">
        <v>4288</v>
      </c>
      <c r="AR1095" t="s">
        <v>1087</v>
      </c>
      <c r="AS1095" t="s">
        <v>4189</v>
      </c>
      <c r="AT1095" t="s">
        <v>608</v>
      </c>
      <c r="AU1095" t="s">
        <v>2361</v>
      </c>
      <c r="AV1095" t="s">
        <v>8682</v>
      </c>
      <c r="AW1095" t="s">
        <v>14985</v>
      </c>
      <c r="AX1095" t="s">
        <v>14986</v>
      </c>
      <c r="AY1095" t="s">
        <v>14985</v>
      </c>
      <c r="AZ1095" t="s">
        <v>14987</v>
      </c>
      <c r="BA1095">
        <v>1.4</v>
      </c>
      <c r="BB1095">
        <v>379.26</v>
      </c>
      <c r="BC1095">
        <v>0.37</v>
      </c>
      <c r="BD1095">
        <v>98.02</v>
      </c>
      <c r="BE1095">
        <v>98.29</v>
      </c>
      <c r="BF1095">
        <v>96.5</v>
      </c>
      <c r="BG1095" t="s">
        <v>14988</v>
      </c>
      <c r="BH1095" t="s">
        <v>14985</v>
      </c>
      <c r="BI1095" t="s">
        <v>14989</v>
      </c>
      <c r="BJ1095" t="s">
        <v>101</v>
      </c>
      <c r="BK1095" t="s">
        <v>13363</v>
      </c>
      <c r="BL1095" t="s">
        <v>7405</v>
      </c>
      <c r="BM1095" t="s">
        <v>14990</v>
      </c>
      <c r="BN1095" t="s">
        <v>14623</v>
      </c>
    </row>
    <row r="1096" spans="1:66" x14ac:dyDescent="0.25">
      <c r="A1096" t="str">
        <f>HYPERLINK("https://elite.finviz.com/quote.ashx?t=ILPT&amp;ty=c&amp;p=d&amp;b=1", "ILPT")</f>
        <v>ILPT</v>
      </c>
      <c r="B1096">
        <v>6</v>
      </c>
      <c r="C1096">
        <v>127.03</v>
      </c>
      <c r="D1096">
        <v>45.09</v>
      </c>
      <c r="E1096" t="s">
        <v>14991</v>
      </c>
      <c r="F1096" t="s">
        <v>67</v>
      </c>
      <c r="G1096" t="s">
        <v>68</v>
      </c>
      <c r="H1096" t="s">
        <v>6342</v>
      </c>
      <c r="I1096" t="s">
        <v>70</v>
      </c>
      <c r="J1096" t="s">
        <v>321</v>
      </c>
      <c r="K1096">
        <v>394.7</v>
      </c>
      <c r="L1096">
        <v>5.95</v>
      </c>
      <c r="M1096" t="s">
        <v>10852</v>
      </c>
      <c r="N1096">
        <v>54719</v>
      </c>
      <c r="R1096">
        <v>0.89</v>
      </c>
      <c r="S1096">
        <v>0.76</v>
      </c>
      <c r="T1096" t="s">
        <v>6692</v>
      </c>
      <c r="U1096">
        <v>0.08</v>
      </c>
      <c r="V1096" t="s">
        <v>6164</v>
      </c>
      <c r="W1096" t="s">
        <v>164</v>
      </c>
      <c r="X1096" t="s">
        <v>14992</v>
      </c>
      <c r="Y1096" t="s">
        <v>8636</v>
      </c>
      <c r="AA1096">
        <v>-1.4</v>
      </c>
      <c r="AE1096" t="s">
        <v>2642</v>
      </c>
      <c r="AF1096" t="s">
        <v>5690</v>
      </c>
      <c r="AG1096" t="s">
        <v>14993</v>
      </c>
      <c r="AH1096" t="s">
        <v>5692</v>
      </c>
      <c r="AI1096" t="s">
        <v>4168</v>
      </c>
      <c r="AJ1096" t="s">
        <v>4794</v>
      </c>
      <c r="AK1096" t="s">
        <v>3416</v>
      </c>
      <c r="AL1096">
        <v>19.22</v>
      </c>
      <c r="AM1096">
        <v>19.22</v>
      </c>
      <c r="AN1096">
        <v>8.1199999999999992</v>
      </c>
      <c r="AO1096" t="s">
        <v>7266</v>
      </c>
      <c r="AP1096" t="s">
        <v>7631</v>
      </c>
      <c r="AQ1096" t="s">
        <v>4695</v>
      </c>
      <c r="AR1096" t="s">
        <v>3454</v>
      </c>
      <c r="AS1096" t="s">
        <v>2700</v>
      </c>
      <c r="AT1096" t="s">
        <v>1904</v>
      </c>
      <c r="AU1096" t="s">
        <v>458</v>
      </c>
      <c r="AV1096" t="s">
        <v>3472</v>
      </c>
      <c r="AW1096" t="s">
        <v>13003</v>
      </c>
      <c r="AX1096" t="s">
        <v>2631</v>
      </c>
      <c r="AY1096" t="s">
        <v>13003</v>
      </c>
      <c r="AZ1096" t="s">
        <v>14994</v>
      </c>
      <c r="BA1096">
        <v>2</v>
      </c>
      <c r="BB1096">
        <v>514.89</v>
      </c>
      <c r="BC1096">
        <v>0.37</v>
      </c>
      <c r="BD1096">
        <v>6.03</v>
      </c>
      <c r="BE1096">
        <v>6.33</v>
      </c>
      <c r="BF1096">
        <v>5.94</v>
      </c>
      <c r="BG1096" t="s">
        <v>14995</v>
      </c>
      <c r="BH1096" t="s">
        <v>14996</v>
      </c>
      <c r="BI1096" t="s">
        <v>14997</v>
      </c>
      <c r="BJ1096" t="s">
        <v>101</v>
      </c>
      <c r="BK1096" t="s">
        <v>4524</v>
      </c>
      <c r="BL1096" t="s">
        <v>14998</v>
      </c>
      <c r="BM1096" t="s">
        <v>5192</v>
      </c>
      <c r="BN1096" t="s">
        <v>14623</v>
      </c>
    </row>
    <row r="1097" spans="1:66" x14ac:dyDescent="0.25">
      <c r="A1097" t="str">
        <f>HYPERLINK("https://elite.finviz.com/quote.ashx?t=IPGP&amp;ty=c&amp;p=d&amp;b=1", "IPGP")</f>
        <v>IPGP</v>
      </c>
      <c r="B1097">
        <v>6</v>
      </c>
      <c r="C1097">
        <v>127.03</v>
      </c>
      <c r="D1097">
        <v>45.15</v>
      </c>
      <c r="E1097" t="s">
        <v>14999</v>
      </c>
      <c r="F1097" t="s">
        <v>107</v>
      </c>
      <c r="G1097" t="s">
        <v>108</v>
      </c>
      <c r="H1097" t="s">
        <v>2097</v>
      </c>
      <c r="I1097" t="s">
        <v>70</v>
      </c>
      <c r="J1097" t="s">
        <v>321</v>
      </c>
      <c r="K1097">
        <v>3333.02</v>
      </c>
      <c r="L1097">
        <v>78.94</v>
      </c>
      <c r="M1097" t="s">
        <v>15000</v>
      </c>
      <c r="N1097">
        <v>22879</v>
      </c>
      <c r="P1097">
        <v>53.1</v>
      </c>
      <c r="R1097">
        <v>3.52</v>
      </c>
      <c r="S1097">
        <v>1.59</v>
      </c>
      <c r="V1097" t="s">
        <v>15001</v>
      </c>
      <c r="AA1097">
        <v>-4.9000000000000004</v>
      </c>
      <c r="AE1097" t="s">
        <v>7973</v>
      </c>
      <c r="AF1097" t="s">
        <v>15002</v>
      </c>
      <c r="AG1097" t="s">
        <v>7402</v>
      </c>
      <c r="AH1097" t="s">
        <v>4316</v>
      </c>
      <c r="AI1097" t="s">
        <v>15003</v>
      </c>
      <c r="AJ1097" t="s">
        <v>8357</v>
      </c>
      <c r="AK1097" t="s">
        <v>14388</v>
      </c>
      <c r="AL1097">
        <v>6.79</v>
      </c>
      <c r="AM1097">
        <v>5.39</v>
      </c>
      <c r="AN1097">
        <v>0.01</v>
      </c>
      <c r="AO1097" t="s">
        <v>15004</v>
      </c>
      <c r="AP1097" t="s">
        <v>4203</v>
      </c>
      <c r="AQ1097" t="s">
        <v>15005</v>
      </c>
      <c r="AR1097" t="s">
        <v>2522</v>
      </c>
      <c r="AS1097" t="s">
        <v>5780</v>
      </c>
      <c r="AT1097" t="s">
        <v>7742</v>
      </c>
      <c r="AU1097" t="s">
        <v>3890</v>
      </c>
      <c r="AV1097" t="s">
        <v>6598</v>
      </c>
      <c r="AW1097" t="s">
        <v>7557</v>
      </c>
      <c r="AX1097" t="s">
        <v>6573</v>
      </c>
      <c r="AY1097" t="s">
        <v>7794</v>
      </c>
      <c r="AZ1097" t="s">
        <v>15006</v>
      </c>
      <c r="BA1097">
        <v>2.82</v>
      </c>
      <c r="BB1097">
        <v>232.51</v>
      </c>
      <c r="BC1097">
        <v>0.35</v>
      </c>
      <c r="BD1097">
        <v>79.28</v>
      </c>
      <c r="BE1097">
        <v>79.75</v>
      </c>
      <c r="BF1097">
        <v>78.239999999999995</v>
      </c>
      <c r="BG1097" t="s">
        <v>15007</v>
      </c>
      <c r="BH1097" t="s">
        <v>3629</v>
      </c>
      <c r="BI1097" t="s">
        <v>15008</v>
      </c>
      <c r="BJ1097" t="s">
        <v>101</v>
      </c>
      <c r="BK1097" t="s">
        <v>11141</v>
      </c>
      <c r="BL1097" t="s">
        <v>9140</v>
      </c>
      <c r="BM1097" t="s">
        <v>5788</v>
      </c>
      <c r="BN1097" t="s">
        <v>14623</v>
      </c>
    </row>
    <row r="1098" spans="1:66" x14ac:dyDescent="0.25">
      <c r="A1098" t="str">
        <f>HYPERLINK("https://elite.finviz.com/quote.ashx?t=PGC&amp;ty=c&amp;p=d&amp;b=1", "PGC")</f>
        <v>PGC</v>
      </c>
      <c r="B1098">
        <v>6</v>
      </c>
      <c r="C1098">
        <v>127.03</v>
      </c>
      <c r="D1098">
        <v>45.15</v>
      </c>
      <c r="E1098" t="s">
        <v>15009</v>
      </c>
      <c r="F1098" t="s">
        <v>67</v>
      </c>
      <c r="G1098" t="s">
        <v>550</v>
      </c>
      <c r="H1098" t="s">
        <v>697</v>
      </c>
      <c r="I1098" t="s">
        <v>70</v>
      </c>
      <c r="J1098" t="s">
        <v>321</v>
      </c>
      <c r="K1098">
        <v>496.89</v>
      </c>
      <c r="L1098">
        <v>28.16</v>
      </c>
      <c r="M1098" t="s">
        <v>3486</v>
      </c>
      <c r="N1098">
        <v>7324</v>
      </c>
      <c r="O1098">
        <v>15.45</v>
      </c>
      <c r="P1098">
        <v>7.85</v>
      </c>
      <c r="Q1098">
        <v>0.5</v>
      </c>
      <c r="R1098">
        <v>1.17</v>
      </c>
      <c r="S1098">
        <v>0.79</v>
      </c>
      <c r="T1098" t="s">
        <v>4865</v>
      </c>
      <c r="U1098">
        <v>0.2</v>
      </c>
      <c r="V1098" t="s">
        <v>2420</v>
      </c>
      <c r="W1098" t="s">
        <v>164</v>
      </c>
      <c r="X1098" t="s">
        <v>164</v>
      </c>
      <c r="Y1098" t="s">
        <v>164</v>
      </c>
      <c r="Z1098" t="s">
        <v>7512</v>
      </c>
      <c r="AA1098">
        <v>1.82</v>
      </c>
      <c r="AB1098" t="s">
        <v>15010</v>
      </c>
      <c r="AC1098" t="s">
        <v>6693</v>
      </c>
      <c r="AD1098" t="s">
        <v>10693</v>
      </c>
      <c r="AE1098" t="s">
        <v>3745</v>
      </c>
      <c r="AF1098" t="s">
        <v>15011</v>
      </c>
      <c r="AG1098" t="s">
        <v>7510</v>
      </c>
      <c r="AH1098" t="s">
        <v>2085</v>
      </c>
      <c r="AI1098" t="s">
        <v>6727</v>
      </c>
      <c r="AJ1098" t="s">
        <v>2275</v>
      </c>
      <c r="AK1098" t="s">
        <v>15012</v>
      </c>
      <c r="AL1098">
        <v>0.13</v>
      </c>
      <c r="AN1098">
        <v>0.23</v>
      </c>
      <c r="AP1098" t="s">
        <v>3549</v>
      </c>
      <c r="AQ1098" t="s">
        <v>1771</v>
      </c>
      <c r="AR1098" t="s">
        <v>2361</v>
      </c>
      <c r="AS1098" t="s">
        <v>2876</v>
      </c>
      <c r="AT1098" t="s">
        <v>6276</v>
      </c>
      <c r="AU1098" t="s">
        <v>909</v>
      </c>
      <c r="AV1098" t="s">
        <v>3897</v>
      </c>
      <c r="AW1098" t="s">
        <v>15013</v>
      </c>
      <c r="AX1098" t="s">
        <v>11062</v>
      </c>
      <c r="AY1098" t="s">
        <v>11357</v>
      </c>
      <c r="AZ1098" t="s">
        <v>15014</v>
      </c>
      <c r="BA1098">
        <v>1</v>
      </c>
      <c r="BB1098">
        <v>109.9</v>
      </c>
      <c r="BC1098">
        <v>0.24</v>
      </c>
      <c r="BD1098">
        <v>28.28</v>
      </c>
      <c r="BE1098">
        <v>28.59</v>
      </c>
      <c r="BF1098">
        <v>28.22</v>
      </c>
      <c r="BG1098" t="s">
        <v>15015</v>
      </c>
      <c r="BH1098" t="s">
        <v>5407</v>
      </c>
      <c r="BI1098" t="s">
        <v>15016</v>
      </c>
      <c r="BJ1098" t="s">
        <v>101</v>
      </c>
      <c r="BK1098" t="s">
        <v>9925</v>
      </c>
      <c r="BL1098" t="s">
        <v>3905</v>
      </c>
      <c r="BM1098" t="s">
        <v>4824</v>
      </c>
      <c r="BN1098" t="s">
        <v>14623</v>
      </c>
    </row>
    <row r="1099" spans="1:66" x14ac:dyDescent="0.25">
      <c r="A1099" t="str">
        <f>HYPERLINK("https://elite.finviz.com/quote.ashx?t=MC&amp;ty=c&amp;p=d&amp;b=1", "MC")</f>
        <v>MC</v>
      </c>
      <c r="B1099">
        <v>6</v>
      </c>
      <c r="C1099">
        <v>127.03</v>
      </c>
      <c r="D1099">
        <v>45.18</v>
      </c>
      <c r="E1099" t="s">
        <v>15017</v>
      </c>
      <c r="F1099" t="s">
        <v>67</v>
      </c>
      <c r="G1099" t="s">
        <v>550</v>
      </c>
      <c r="H1099" t="s">
        <v>551</v>
      </c>
      <c r="I1099" t="s">
        <v>70</v>
      </c>
      <c r="J1099" t="s">
        <v>71</v>
      </c>
      <c r="K1099">
        <v>5797.76</v>
      </c>
      <c r="L1099">
        <v>71.83</v>
      </c>
      <c r="M1099" t="s">
        <v>2757</v>
      </c>
      <c r="N1099">
        <v>74873</v>
      </c>
      <c r="O1099">
        <v>28.3</v>
      </c>
      <c r="P1099">
        <v>21.26</v>
      </c>
      <c r="Q1099">
        <v>0.88</v>
      </c>
      <c r="R1099">
        <v>4.1900000000000004</v>
      </c>
      <c r="S1099">
        <v>10.33</v>
      </c>
      <c r="T1099" t="s">
        <v>1453</v>
      </c>
      <c r="U1099">
        <v>2.5499999999999998</v>
      </c>
      <c r="V1099" t="s">
        <v>4827</v>
      </c>
      <c r="W1099" t="s">
        <v>164</v>
      </c>
      <c r="X1099" t="s">
        <v>6829</v>
      </c>
      <c r="Y1099" t="s">
        <v>3482</v>
      </c>
      <c r="Z1099" t="s">
        <v>15018</v>
      </c>
      <c r="AA1099">
        <v>2.54</v>
      </c>
      <c r="AB1099" t="s">
        <v>15019</v>
      </c>
      <c r="AC1099" t="s">
        <v>6449</v>
      </c>
      <c r="AD1099" t="s">
        <v>2077</v>
      </c>
      <c r="AE1099" t="s">
        <v>3477</v>
      </c>
      <c r="AF1099" t="s">
        <v>7754</v>
      </c>
      <c r="AG1099" t="s">
        <v>1066</v>
      </c>
      <c r="AH1099" t="s">
        <v>14087</v>
      </c>
      <c r="AI1099" t="s">
        <v>15020</v>
      </c>
      <c r="AJ1099" t="s">
        <v>7568</v>
      </c>
      <c r="AK1099" t="s">
        <v>2994</v>
      </c>
      <c r="AL1099">
        <v>0.61</v>
      </c>
      <c r="AM1099">
        <v>0.61</v>
      </c>
      <c r="AN1099">
        <v>0.42</v>
      </c>
      <c r="AP1099" t="s">
        <v>2733</v>
      </c>
      <c r="AQ1099" t="s">
        <v>15021</v>
      </c>
      <c r="AR1099" t="s">
        <v>7154</v>
      </c>
      <c r="AS1099" t="s">
        <v>4154</v>
      </c>
      <c r="AT1099" t="s">
        <v>7036</v>
      </c>
      <c r="AU1099" t="s">
        <v>15000</v>
      </c>
      <c r="AV1099" t="s">
        <v>10610</v>
      </c>
      <c r="AW1099" t="s">
        <v>2587</v>
      </c>
      <c r="AX1099" t="s">
        <v>3100</v>
      </c>
      <c r="AY1099" t="s">
        <v>15022</v>
      </c>
      <c r="AZ1099" t="s">
        <v>15023</v>
      </c>
      <c r="BA1099">
        <v>2.71</v>
      </c>
      <c r="BB1099">
        <v>737.94</v>
      </c>
      <c r="BC1099">
        <v>0.36</v>
      </c>
      <c r="BD1099">
        <v>71.760000000000005</v>
      </c>
      <c r="BE1099">
        <v>72.98</v>
      </c>
      <c r="BF1099">
        <v>71.650000000000006</v>
      </c>
      <c r="BG1099" t="s">
        <v>15024</v>
      </c>
      <c r="BH1099" t="s">
        <v>15022</v>
      </c>
      <c r="BI1099" t="s">
        <v>15025</v>
      </c>
      <c r="BJ1099" t="s">
        <v>101</v>
      </c>
      <c r="BK1099" t="s">
        <v>7688</v>
      </c>
      <c r="BL1099" t="s">
        <v>8466</v>
      </c>
      <c r="BM1099" t="s">
        <v>2201</v>
      </c>
      <c r="BN1099" t="s">
        <v>14623</v>
      </c>
    </row>
    <row r="1100" spans="1:66" x14ac:dyDescent="0.25">
      <c r="A1100" t="str">
        <f>HYPERLINK("https://elite.finviz.com/quote.ashx?t=GRDN&amp;ty=c&amp;p=d&amp;b=1", "GRDN")</f>
        <v>GRDN</v>
      </c>
      <c r="B1100">
        <v>6</v>
      </c>
      <c r="C1100">
        <v>127.03</v>
      </c>
      <c r="D1100">
        <v>45.2</v>
      </c>
      <c r="E1100" t="s">
        <v>15026</v>
      </c>
      <c r="F1100" t="s">
        <v>67</v>
      </c>
      <c r="G1100" t="s">
        <v>428</v>
      </c>
      <c r="H1100" t="s">
        <v>3160</v>
      </c>
      <c r="I1100" t="s">
        <v>70</v>
      </c>
      <c r="J1100" t="s">
        <v>71</v>
      </c>
      <c r="K1100">
        <v>1617.21</v>
      </c>
      <c r="L1100">
        <v>25.55</v>
      </c>
      <c r="M1100" t="s">
        <v>6719</v>
      </c>
      <c r="N1100">
        <v>24016</v>
      </c>
      <c r="P1100">
        <v>24.57</v>
      </c>
      <c r="R1100">
        <v>1.22</v>
      </c>
      <c r="S1100">
        <v>9.5399999999999991</v>
      </c>
      <c r="AA1100">
        <v>-1.45</v>
      </c>
      <c r="AF1100" t="s">
        <v>13222</v>
      </c>
      <c r="AH1100" t="s">
        <v>800</v>
      </c>
      <c r="AI1100" t="s">
        <v>4599</v>
      </c>
      <c r="AJ1100" t="s">
        <v>15027</v>
      </c>
      <c r="AK1100" t="s">
        <v>3306</v>
      </c>
      <c r="AL1100">
        <v>1.18</v>
      </c>
      <c r="AM1100">
        <v>0.88</v>
      </c>
      <c r="AN1100">
        <v>0.2</v>
      </c>
      <c r="AO1100" t="s">
        <v>5950</v>
      </c>
      <c r="AP1100" t="s">
        <v>5742</v>
      </c>
      <c r="AQ1100" t="s">
        <v>1092</v>
      </c>
      <c r="AR1100" t="s">
        <v>10226</v>
      </c>
      <c r="AS1100" t="s">
        <v>2842</v>
      </c>
      <c r="AT1100" t="s">
        <v>1092</v>
      </c>
      <c r="AU1100" t="s">
        <v>2810</v>
      </c>
      <c r="AV1100" t="s">
        <v>5699</v>
      </c>
      <c r="AW1100" t="s">
        <v>6688</v>
      </c>
      <c r="AX1100" t="s">
        <v>3273</v>
      </c>
      <c r="AY1100" t="s">
        <v>6688</v>
      </c>
      <c r="AZ1100" t="s">
        <v>15028</v>
      </c>
      <c r="BA1100">
        <v>1.33</v>
      </c>
      <c r="BB1100">
        <v>292.38</v>
      </c>
      <c r="BC1100">
        <v>0.28999999999999998</v>
      </c>
      <c r="BD1100">
        <v>25.45</v>
      </c>
      <c r="BE1100">
        <v>26.08</v>
      </c>
      <c r="BF1100">
        <v>25.39</v>
      </c>
      <c r="BG1100" t="s">
        <v>15029</v>
      </c>
      <c r="BH1100" t="s">
        <v>6688</v>
      </c>
      <c r="BI1100" t="s">
        <v>15028</v>
      </c>
      <c r="BJ1100" t="s">
        <v>101</v>
      </c>
      <c r="BK1100" t="s">
        <v>9044</v>
      </c>
      <c r="BL1100" t="s">
        <v>10851</v>
      </c>
      <c r="BN1100" t="s">
        <v>14623</v>
      </c>
    </row>
    <row r="1101" spans="1:66" x14ac:dyDescent="0.25">
      <c r="A1101" t="str">
        <f>HYPERLINK("https://elite.finviz.com/quote.ashx?t=FHI&amp;ty=c&amp;p=d&amp;b=1", "FHI")</f>
        <v>FHI</v>
      </c>
      <c r="B1101">
        <v>6</v>
      </c>
      <c r="C1101">
        <v>127.03</v>
      </c>
      <c r="D1101">
        <v>45.2</v>
      </c>
      <c r="E1101" t="s">
        <v>15030</v>
      </c>
      <c r="F1101" t="s">
        <v>107</v>
      </c>
      <c r="G1101" t="s">
        <v>550</v>
      </c>
      <c r="H1101" t="s">
        <v>2597</v>
      </c>
      <c r="I1101" t="s">
        <v>70</v>
      </c>
      <c r="J1101" t="s">
        <v>71</v>
      </c>
      <c r="K1101">
        <v>4014.5</v>
      </c>
      <c r="L1101">
        <v>51.76</v>
      </c>
      <c r="M1101" t="s">
        <v>2646</v>
      </c>
      <c r="N1101">
        <v>49736</v>
      </c>
      <c r="O1101">
        <v>11.49</v>
      </c>
      <c r="P1101">
        <v>10.89</v>
      </c>
      <c r="Q1101">
        <v>0.63</v>
      </c>
      <c r="R1101">
        <v>2.38</v>
      </c>
      <c r="S1101">
        <v>3.6</v>
      </c>
      <c r="T1101" t="s">
        <v>90</v>
      </c>
      <c r="U1101">
        <v>1.3</v>
      </c>
      <c r="V1101" t="s">
        <v>1762</v>
      </c>
      <c r="W1101" t="s">
        <v>2849</v>
      </c>
      <c r="X1101" t="s">
        <v>7117</v>
      </c>
      <c r="Y1101" t="s">
        <v>7322</v>
      </c>
      <c r="Z1101" t="s">
        <v>12887</v>
      </c>
      <c r="AA1101">
        <v>4.5</v>
      </c>
      <c r="AB1101" t="s">
        <v>4995</v>
      </c>
      <c r="AC1101" t="s">
        <v>1100</v>
      </c>
      <c r="AD1101" t="s">
        <v>139</v>
      </c>
      <c r="AE1101" t="s">
        <v>351</v>
      </c>
      <c r="AF1101" t="s">
        <v>4512</v>
      </c>
      <c r="AG1101" t="s">
        <v>5672</v>
      </c>
      <c r="AH1101" t="s">
        <v>614</v>
      </c>
      <c r="AI1101" t="s">
        <v>2365</v>
      </c>
      <c r="AJ1101" t="s">
        <v>10808</v>
      </c>
      <c r="AK1101" t="s">
        <v>15031</v>
      </c>
      <c r="AL1101">
        <v>3.37</v>
      </c>
      <c r="AM1101">
        <v>3.37</v>
      </c>
      <c r="AN1101">
        <v>0.41</v>
      </c>
      <c r="AO1101" t="s">
        <v>118</v>
      </c>
      <c r="AP1101" t="s">
        <v>5484</v>
      </c>
      <c r="AQ1101" t="s">
        <v>10795</v>
      </c>
      <c r="AR1101" t="s">
        <v>3349</v>
      </c>
      <c r="AS1101" t="s">
        <v>2195</v>
      </c>
      <c r="AT1101" t="s">
        <v>6597</v>
      </c>
      <c r="AU1101" t="s">
        <v>4699</v>
      </c>
      <c r="AV1101" t="s">
        <v>4599</v>
      </c>
      <c r="AW1101" t="s">
        <v>4893</v>
      </c>
      <c r="AX1101" t="s">
        <v>9718</v>
      </c>
      <c r="AY1101" t="s">
        <v>4893</v>
      </c>
      <c r="AZ1101" t="s">
        <v>6618</v>
      </c>
      <c r="BA1101">
        <v>2.67</v>
      </c>
      <c r="BB1101">
        <v>647.92999999999995</v>
      </c>
      <c r="BC1101">
        <v>0.27</v>
      </c>
      <c r="BD1101">
        <v>51.61</v>
      </c>
      <c r="BE1101">
        <v>52.13</v>
      </c>
      <c r="BF1101">
        <v>51.7</v>
      </c>
      <c r="BG1101" t="s">
        <v>15032</v>
      </c>
      <c r="BH1101" t="s">
        <v>4893</v>
      </c>
      <c r="BI1101" t="s">
        <v>15033</v>
      </c>
      <c r="BJ1101" t="s">
        <v>101</v>
      </c>
      <c r="BK1101" t="s">
        <v>15034</v>
      </c>
      <c r="BL1101" t="s">
        <v>1715</v>
      </c>
      <c r="BM1101" t="s">
        <v>266</v>
      </c>
      <c r="BN1101" t="s">
        <v>14623</v>
      </c>
    </row>
    <row r="1102" spans="1:66" x14ac:dyDescent="0.25">
      <c r="A1102" t="str">
        <f>HYPERLINK("https://elite.finviz.com/quote.ashx?t=CIVB&amp;ty=c&amp;p=d&amp;b=1", "CIVB")</f>
        <v>CIVB</v>
      </c>
      <c r="B1102">
        <v>6</v>
      </c>
      <c r="C1102">
        <v>127.03</v>
      </c>
      <c r="D1102">
        <v>45.23</v>
      </c>
      <c r="E1102" t="s">
        <v>15035</v>
      </c>
      <c r="F1102" t="s">
        <v>67</v>
      </c>
      <c r="G1102" t="s">
        <v>550</v>
      </c>
      <c r="H1102" t="s">
        <v>697</v>
      </c>
      <c r="I1102" t="s">
        <v>70</v>
      </c>
      <c r="J1102" t="s">
        <v>321</v>
      </c>
      <c r="K1102">
        <v>396.3</v>
      </c>
      <c r="L1102">
        <v>20.52</v>
      </c>
      <c r="M1102" t="s">
        <v>9925</v>
      </c>
      <c r="N1102">
        <v>6824</v>
      </c>
      <c r="O1102">
        <v>8.1199999999999992</v>
      </c>
      <c r="P1102">
        <v>7.77</v>
      </c>
      <c r="R1102">
        <v>1.59</v>
      </c>
      <c r="S1102">
        <v>0.79</v>
      </c>
      <c r="T1102" t="s">
        <v>4189</v>
      </c>
      <c r="U1102">
        <v>0.67</v>
      </c>
      <c r="V1102" t="s">
        <v>6057</v>
      </c>
      <c r="W1102" t="s">
        <v>5102</v>
      </c>
      <c r="X1102" t="s">
        <v>3688</v>
      </c>
      <c r="Y1102" t="s">
        <v>5726</v>
      </c>
      <c r="Z1102" t="s">
        <v>15036</v>
      </c>
      <c r="AA1102">
        <v>2.5299999999999998</v>
      </c>
      <c r="AB1102" t="s">
        <v>15037</v>
      </c>
      <c r="AC1102" t="s">
        <v>629</v>
      </c>
      <c r="AE1102" t="s">
        <v>2777</v>
      </c>
      <c r="AF1102" t="s">
        <v>3537</v>
      </c>
      <c r="AG1102" t="s">
        <v>10303</v>
      </c>
      <c r="AH1102" t="s">
        <v>465</v>
      </c>
      <c r="AI1102" t="s">
        <v>909</v>
      </c>
      <c r="AJ1102" t="s">
        <v>2273</v>
      </c>
      <c r="AK1102" t="s">
        <v>15038</v>
      </c>
      <c r="AL1102">
        <v>0.06</v>
      </c>
      <c r="AN1102">
        <v>1.35</v>
      </c>
      <c r="AP1102" t="s">
        <v>11559</v>
      </c>
      <c r="AQ1102" t="s">
        <v>9175</v>
      </c>
      <c r="AR1102" t="s">
        <v>1599</v>
      </c>
      <c r="AS1102" t="s">
        <v>3916</v>
      </c>
      <c r="AT1102" t="s">
        <v>196</v>
      </c>
      <c r="AU1102" t="s">
        <v>2275</v>
      </c>
      <c r="AV1102" t="s">
        <v>10469</v>
      </c>
      <c r="AW1102" t="s">
        <v>3859</v>
      </c>
      <c r="AX1102" t="s">
        <v>5528</v>
      </c>
      <c r="AY1102" t="s">
        <v>157</v>
      </c>
      <c r="AZ1102" t="s">
        <v>1876</v>
      </c>
      <c r="BA1102">
        <v>2.2000000000000002</v>
      </c>
      <c r="BB1102">
        <v>110.65</v>
      </c>
      <c r="BC1102">
        <v>0.22</v>
      </c>
      <c r="BD1102">
        <v>20.59</v>
      </c>
      <c r="BE1102">
        <v>20.89</v>
      </c>
      <c r="BF1102">
        <v>20.58</v>
      </c>
      <c r="BG1102" t="s">
        <v>15039</v>
      </c>
      <c r="BH1102" t="s">
        <v>15040</v>
      </c>
      <c r="BI1102" t="s">
        <v>15041</v>
      </c>
      <c r="BJ1102" t="s">
        <v>101</v>
      </c>
      <c r="BK1102" t="s">
        <v>12206</v>
      </c>
      <c r="BL1102" t="s">
        <v>295</v>
      </c>
      <c r="BM1102" t="s">
        <v>6747</v>
      </c>
      <c r="BN1102" t="s">
        <v>14623</v>
      </c>
    </row>
    <row r="1103" spans="1:66" x14ac:dyDescent="0.25">
      <c r="A1103" t="str">
        <f>HYPERLINK("https://elite.finviz.com/quote.ashx?t=UCB&amp;ty=c&amp;p=d&amp;b=1", "UCB")</f>
        <v>UCB</v>
      </c>
      <c r="B1103">
        <v>6</v>
      </c>
      <c r="C1103">
        <v>127.03</v>
      </c>
      <c r="D1103">
        <v>45.33</v>
      </c>
      <c r="E1103" t="s">
        <v>15042</v>
      </c>
      <c r="F1103" t="s">
        <v>67</v>
      </c>
      <c r="G1103" t="s">
        <v>550</v>
      </c>
      <c r="H1103" t="s">
        <v>697</v>
      </c>
      <c r="I1103" t="s">
        <v>70</v>
      </c>
      <c r="J1103" t="s">
        <v>71</v>
      </c>
      <c r="K1103">
        <v>3835.18</v>
      </c>
      <c r="L1103">
        <v>31.57</v>
      </c>
      <c r="M1103" t="s">
        <v>4191</v>
      </c>
      <c r="N1103">
        <v>78992</v>
      </c>
      <c r="O1103">
        <v>14.33</v>
      </c>
      <c r="P1103">
        <v>11.14</v>
      </c>
      <c r="R1103">
        <v>2.59</v>
      </c>
      <c r="S1103">
        <v>1.0900000000000001</v>
      </c>
      <c r="T1103" t="s">
        <v>5188</v>
      </c>
      <c r="U1103">
        <v>0.97</v>
      </c>
      <c r="V1103" t="s">
        <v>3833</v>
      </c>
      <c r="W1103" t="s">
        <v>3916</v>
      </c>
      <c r="X1103" t="s">
        <v>4742</v>
      </c>
      <c r="Y1103" t="s">
        <v>8843</v>
      </c>
      <c r="Z1103" t="s">
        <v>15043</v>
      </c>
      <c r="AA1103">
        <v>2.2000000000000002</v>
      </c>
      <c r="AB1103" t="s">
        <v>879</v>
      </c>
      <c r="AC1103" t="s">
        <v>5195</v>
      </c>
      <c r="AE1103" t="s">
        <v>305</v>
      </c>
      <c r="AF1103" t="s">
        <v>5690</v>
      </c>
      <c r="AG1103" t="s">
        <v>7255</v>
      </c>
      <c r="AH1103" t="s">
        <v>1324</v>
      </c>
      <c r="AI1103" t="s">
        <v>3746</v>
      </c>
      <c r="AJ1103" t="s">
        <v>6871</v>
      </c>
      <c r="AK1103" t="s">
        <v>4359</v>
      </c>
      <c r="AL1103">
        <v>0.05</v>
      </c>
      <c r="AN1103">
        <v>0.04</v>
      </c>
      <c r="AP1103" t="s">
        <v>6843</v>
      </c>
      <c r="AQ1103" t="s">
        <v>15044</v>
      </c>
      <c r="AR1103" t="s">
        <v>1439</v>
      </c>
      <c r="AS1103" t="s">
        <v>3118</v>
      </c>
      <c r="AT1103" t="s">
        <v>5809</v>
      </c>
      <c r="AU1103" t="s">
        <v>1564</v>
      </c>
      <c r="AV1103" t="s">
        <v>122</v>
      </c>
      <c r="AW1103" t="s">
        <v>2616</v>
      </c>
      <c r="AX1103" t="s">
        <v>6225</v>
      </c>
      <c r="AY1103" t="s">
        <v>12495</v>
      </c>
      <c r="AZ1103" t="s">
        <v>15045</v>
      </c>
      <c r="BA1103">
        <v>2.14</v>
      </c>
      <c r="BB1103">
        <v>629.4</v>
      </c>
      <c r="BC1103">
        <v>0.44</v>
      </c>
      <c r="BD1103">
        <v>31.64</v>
      </c>
      <c r="BE1103">
        <v>31.98</v>
      </c>
      <c r="BF1103">
        <v>31.55</v>
      </c>
      <c r="BG1103" t="s">
        <v>15046</v>
      </c>
      <c r="BH1103" t="s">
        <v>11551</v>
      </c>
      <c r="BI1103" t="s">
        <v>15047</v>
      </c>
      <c r="BJ1103" t="s">
        <v>101</v>
      </c>
      <c r="BK1103" t="s">
        <v>6956</v>
      </c>
      <c r="BL1103" t="s">
        <v>2786</v>
      </c>
      <c r="BM1103" t="s">
        <v>10114</v>
      </c>
      <c r="BN1103" t="s">
        <v>14623</v>
      </c>
    </row>
    <row r="1104" spans="1:66" x14ac:dyDescent="0.25">
      <c r="A1104" t="str">
        <f>HYPERLINK("https://elite.finviz.com/quote.ashx?t=AVNS&amp;ty=c&amp;p=d&amp;b=1", "AVNS")</f>
        <v>AVNS</v>
      </c>
      <c r="B1104">
        <v>6</v>
      </c>
      <c r="C1104">
        <v>127.03</v>
      </c>
      <c r="D1104">
        <v>45.33</v>
      </c>
      <c r="E1104" t="s">
        <v>15048</v>
      </c>
      <c r="F1104" t="s">
        <v>67</v>
      </c>
      <c r="G1104" t="s">
        <v>428</v>
      </c>
      <c r="H1104" t="s">
        <v>2051</v>
      </c>
      <c r="I1104" t="s">
        <v>70</v>
      </c>
      <c r="J1104" t="s">
        <v>71</v>
      </c>
      <c r="K1104">
        <v>539.66</v>
      </c>
      <c r="L1104">
        <v>11.63</v>
      </c>
      <c r="M1104" t="s">
        <v>8179</v>
      </c>
      <c r="N1104">
        <v>47077</v>
      </c>
      <c r="P1104">
        <v>12.92</v>
      </c>
      <c r="R1104">
        <v>0.78</v>
      </c>
      <c r="S1104">
        <v>0.69</v>
      </c>
      <c r="AA1104">
        <v>-10.06</v>
      </c>
      <c r="AC1104" t="s">
        <v>15049</v>
      </c>
      <c r="AE1104" t="s">
        <v>5116</v>
      </c>
      <c r="AF1104" t="s">
        <v>1272</v>
      </c>
      <c r="AG1104" t="s">
        <v>4703</v>
      </c>
      <c r="AH1104" t="s">
        <v>3118</v>
      </c>
      <c r="AI1104" t="s">
        <v>485</v>
      </c>
      <c r="AJ1104" t="s">
        <v>3670</v>
      </c>
      <c r="AK1104" t="s">
        <v>4061</v>
      </c>
      <c r="AL1104">
        <v>2.64</v>
      </c>
      <c r="AM1104">
        <v>1.58</v>
      </c>
      <c r="AN1104">
        <v>0.18</v>
      </c>
      <c r="AO1104" t="s">
        <v>15050</v>
      </c>
      <c r="AP1104" t="s">
        <v>3229</v>
      </c>
      <c r="AQ1104" t="s">
        <v>15051</v>
      </c>
      <c r="AR1104" t="s">
        <v>3480</v>
      </c>
      <c r="AS1104" t="s">
        <v>3325</v>
      </c>
      <c r="AT1104" t="s">
        <v>15052</v>
      </c>
      <c r="AU1104" t="s">
        <v>2745</v>
      </c>
      <c r="AV1104" t="s">
        <v>15053</v>
      </c>
      <c r="AW1104" t="s">
        <v>1399</v>
      </c>
      <c r="AX1104" t="s">
        <v>11251</v>
      </c>
      <c r="AY1104" t="s">
        <v>15054</v>
      </c>
      <c r="AZ1104" t="s">
        <v>11251</v>
      </c>
      <c r="BA1104">
        <v>3</v>
      </c>
      <c r="BB1104">
        <v>616.85</v>
      </c>
      <c r="BC1104">
        <v>0.27</v>
      </c>
      <c r="BD1104">
        <v>11.55</v>
      </c>
      <c r="BE1104">
        <v>11.75</v>
      </c>
      <c r="BF1104">
        <v>11.53</v>
      </c>
      <c r="BG1104" t="s">
        <v>15055</v>
      </c>
      <c r="BH1104" t="s">
        <v>15056</v>
      </c>
      <c r="BI1104" t="s">
        <v>11251</v>
      </c>
      <c r="BJ1104" t="s">
        <v>101</v>
      </c>
      <c r="BK1104" t="s">
        <v>2076</v>
      </c>
      <c r="BL1104" t="s">
        <v>10632</v>
      </c>
      <c r="BM1104" t="s">
        <v>15057</v>
      </c>
      <c r="BN1104" t="s">
        <v>14623</v>
      </c>
    </row>
    <row r="1105" spans="1:66" x14ac:dyDescent="0.25">
      <c r="A1105" t="str">
        <f>HYPERLINK("https://elite.finviz.com/quote.ashx?t=WMS&amp;ty=c&amp;p=d&amp;b=1", "WMS")</f>
        <v>WMS</v>
      </c>
      <c r="B1105">
        <v>6</v>
      </c>
      <c r="C1105">
        <v>127.03</v>
      </c>
      <c r="D1105">
        <v>45.35</v>
      </c>
      <c r="E1105" t="s">
        <v>15058</v>
      </c>
      <c r="F1105" t="s">
        <v>107</v>
      </c>
      <c r="G1105" t="s">
        <v>260</v>
      </c>
      <c r="H1105" t="s">
        <v>3225</v>
      </c>
      <c r="I1105" t="s">
        <v>70</v>
      </c>
      <c r="J1105" t="s">
        <v>71</v>
      </c>
      <c r="K1105">
        <v>10629.94</v>
      </c>
      <c r="L1105">
        <v>136.71</v>
      </c>
      <c r="M1105" t="s">
        <v>4782</v>
      </c>
      <c r="N1105">
        <v>93260</v>
      </c>
      <c r="O1105">
        <v>24.68</v>
      </c>
      <c r="P1105">
        <v>21.41</v>
      </c>
      <c r="Q1105">
        <v>3.55</v>
      </c>
      <c r="R1105">
        <v>3.64</v>
      </c>
      <c r="S1105">
        <v>5.92</v>
      </c>
      <c r="T1105" t="s">
        <v>2362</v>
      </c>
      <c r="U1105">
        <v>0.68</v>
      </c>
      <c r="V1105" t="s">
        <v>4882</v>
      </c>
      <c r="W1105" t="s">
        <v>2169</v>
      </c>
      <c r="X1105" t="s">
        <v>5680</v>
      </c>
      <c r="Y1105" t="s">
        <v>563</v>
      </c>
      <c r="Z1105" t="s">
        <v>6408</v>
      </c>
      <c r="AA1105">
        <v>5.54</v>
      </c>
      <c r="AB1105" t="s">
        <v>12761</v>
      </c>
      <c r="AD1105" t="s">
        <v>9936</v>
      </c>
      <c r="AE1105" t="s">
        <v>6182</v>
      </c>
      <c r="AF1105" t="s">
        <v>1760</v>
      </c>
      <c r="AG1105" t="s">
        <v>8209</v>
      </c>
      <c r="AH1105" t="s">
        <v>1952</v>
      </c>
      <c r="AI1105" t="s">
        <v>12806</v>
      </c>
      <c r="AJ1105" t="s">
        <v>171</v>
      </c>
      <c r="AK1105" t="s">
        <v>1494</v>
      </c>
      <c r="AL1105">
        <v>3.22</v>
      </c>
      <c r="AM1105">
        <v>2.25</v>
      </c>
      <c r="AN1105">
        <v>0.81</v>
      </c>
      <c r="AO1105" t="s">
        <v>15059</v>
      </c>
      <c r="AP1105" t="s">
        <v>15060</v>
      </c>
      <c r="AQ1105" t="s">
        <v>10794</v>
      </c>
      <c r="AR1105" t="s">
        <v>5188</v>
      </c>
      <c r="AS1105" t="s">
        <v>3500</v>
      </c>
      <c r="AT1105" t="s">
        <v>5621</v>
      </c>
      <c r="AU1105" t="s">
        <v>6336</v>
      </c>
      <c r="AV1105" t="s">
        <v>73</v>
      </c>
      <c r="AW1105" t="s">
        <v>5480</v>
      </c>
      <c r="AX1105" t="s">
        <v>7790</v>
      </c>
      <c r="AY1105" t="s">
        <v>4960</v>
      </c>
      <c r="AZ1105" t="s">
        <v>12165</v>
      </c>
      <c r="BA1105">
        <v>1.55</v>
      </c>
      <c r="BB1105">
        <v>823.44</v>
      </c>
      <c r="BC1105">
        <v>0.4</v>
      </c>
      <c r="BD1105">
        <v>135.80000000000001</v>
      </c>
      <c r="BE1105">
        <v>137.16</v>
      </c>
      <c r="BF1105">
        <v>135</v>
      </c>
      <c r="BG1105" t="s">
        <v>15061</v>
      </c>
      <c r="BH1105" t="s">
        <v>2474</v>
      </c>
      <c r="BI1105" t="s">
        <v>15062</v>
      </c>
      <c r="BJ1105" t="s">
        <v>101</v>
      </c>
      <c r="BK1105" t="s">
        <v>1550</v>
      </c>
      <c r="BL1105" t="s">
        <v>3241</v>
      </c>
      <c r="BM1105" t="s">
        <v>2249</v>
      </c>
      <c r="BN1105" t="s">
        <v>14623</v>
      </c>
    </row>
    <row r="1106" spans="1:66" x14ac:dyDescent="0.25">
      <c r="A1106" t="str">
        <f>HYPERLINK("https://elite.finviz.com/quote.ashx?t=HI&amp;ty=c&amp;p=d&amp;b=1", "HI")</f>
        <v>HI</v>
      </c>
      <c r="B1106">
        <v>6</v>
      </c>
      <c r="C1106">
        <v>127.03</v>
      </c>
      <c r="D1106">
        <v>45.35</v>
      </c>
      <c r="E1106" t="s">
        <v>15063</v>
      </c>
      <c r="F1106" t="s">
        <v>67</v>
      </c>
      <c r="G1106" t="s">
        <v>260</v>
      </c>
      <c r="H1106" t="s">
        <v>261</v>
      </c>
      <c r="I1106" t="s">
        <v>70</v>
      </c>
      <c r="J1106" t="s">
        <v>71</v>
      </c>
      <c r="K1106">
        <v>1667.86</v>
      </c>
      <c r="L1106">
        <v>23.66</v>
      </c>
      <c r="M1106" t="s">
        <v>6829</v>
      </c>
      <c r="N1106">
        <v>171683</v>
      </c>
      <c r="P1106">
        <v>10.26</v>
      </c>
      <c r="R1106">
        <v>0.57999999999999996</v>
      </c>
      <c r="S1106">
        <v>1.27</v>
      </c>
      <c r="T1106" t="s">
        <v>756</v>
      </c>
      <c r="U1106">
        <v>0.9</v>
      </c>
      <c r="V1106" t="s">
        <v>3833</v>
      </c>
      <c r="W1106" t="s">
        <v>1279</v>
      </c>
      <c r="X1106" t="s">
        <v>1488</v>
      </c>
      <c r="Y1106" t="s">
        <v>5166</v>
      </c>
      <c r="AA1106">
        <v>-0.25</v>
      </c>
      <c r="AD1106" t="s">
        <v>6043</v>
      </c>
      <c r="AE1106" t="s">
        <v>4235</v>
      </c>
      <c r="AF1106" t="s">
        <v>3244</v>
      </c>
      <c r="AG1106" t="s">
        <v>3492</v>
      </c>
      <c r="AH1106" t="s">
        <v>426</v>
      </c>
      <c r="AI1106" t="s">
        <v>1439</v>
      </c>
      <c r="AJ1106" t="s">
        <v>164</v>
      </c>
      <c r="AK1106" t="s">
        <v>12103</v>
      </c>
      <c r="AL1106">
        <v>1.25</v>
      </c>
      <c r="AM1106">
        <v>0.87</v>
      </c>
      <c r="AN1106">
        <v>1.33</v>
      </c>
      <c r="AO1106" t="s">
        <v>3508</v>
      </c>
      <c r="AP1106" t="s">
        <v>5726</v>
      </c>
      <c r="AQ1106" t="s">
        <v>8374</v>
      </c>
      <c r="AR1106" t="s">
        <v>4323</v>
      </c>
      <c r="AS1106" t="s">
        <v>5592</v>
      </c>
      <c r="AT1106" t="s">
        <v>14635</v>
      </c>
      <c r="AU1106" t="s">
        <v>439</v>
      </c>
      <c r="AV1106" t="s">
        <v>2594</v>
      </c>
      <c r="AW1106" t="s">
        <v>11786</v>
      </c>
      <c r="AX1106" t="s">
        <v>3666</v>
      </c>
      <c r="AY1106" t="s">
        <v>6695</v>
      </c>
      <c r="AZ1106" t="s">
        <v>10395</v>
      </c>
      <c r="BA1106">
        <v>2.4</v>
      </c>
      <c r="BB1106">
        <v>559.24</v>
      </c>
      <c r="BC1106">
        <v>1.08</v>
      </c>
      <c r="BD1106">
        <v>23.33</v>
      </c>
      <c r="BE1106">
        <v>23.77</v>
      </c>
      <c r="BF1106">
        <v>23.33</v>
      </c>
      <c r="BG1106" t="s">
        <v>15064</v>
      </c>
      <c r="BH1106" t="s">
        <v>15065</v>
      </c>
      <c r="BI1106" t="s">
        <v>15066</v>
      </c>
      <c r="BJ1106" t="s">
        <v>101</v>
      </c>
      <c r="BK1106" t="s">
        <v>4846</v>
      </c>
      <c r="BL1106" t="s">
        <v>6757</v>
      </c>
      <c r="BM1106" t="s">
        <v>15067</v>
      </c>
      <c r="BN1106" t="s">
        <v>14623</v>
      </c>
    </row>
    <row r="1107" spans="1:66" x14ac:dyDescent="0.25">
      <c r="A1107" t="str">
        <f>HYPERLINK("https://elite.finviz.com/quote.ashx?t=SUNS&amp;ty=c&amp;p=d&amp;b=1", "SUNS")</f>
        <v>SUNS</v>
      </c>
      <c r="B1107">
        <v>6</v>
      </c>
      <c r="C1107">
        <v>127.03</v>
      </c>
      <c r="D1107">
        <v>45.46</v>
      </c>
      <c r="E1107" t="s">
        <v>15068</v>
      </c>
      <c r="F1107" t="s">
        <v>67</v>
      </c>
      <c r="G1107" t="s">
        <v>68</v>
      </c>
      <c r="H1107" t="s">
        <v>5566</v>
      </c>
      <c r="I1107" t="s">
        <v>70</v>
      </c>
      <c r="J1107" t="s">
        <v>321</v>
      </c>
      <c r="K1107">
        <v>144.68</v>
      </c>
      <c r="L1107">
        <v>10.78</v>
      </c>
      <c r="M1107" t="s">
        <v>2759</v>
      </c>
      <c r="N1107">
        <v>17449</v>
      </c>
      <c r="O1107">
        <v>10.220000000000001</v>
      </c>
      <c r="P1107">
        <v>8.0299999999999994</v>
      </c>
      <c r="Q1107">
        <v>1.1499999999999999</v>
      </c>
      <c r="R1107">
        <v>8.0399999999999991</v>
      </c>
      <c r="S1107">
        <v>0.78</v>
      </c>
      <c r="T1107" t="s">
        <v>8691</v>
      </c>
      <c r="U1107">
        <v>1.23</v>
      </c>
      <c r="V1107" t="s">
        <v>198</v>
      </c>
      <c r="Z1107" t="s">
        <v>15069</v>
      </c>
      <c r="AA1107">
        <v>1.05</v>
      </c>
      <c r="AD1107" t="s">
        <v>2000</v>
      </c>
      <c r="AH1107" t="s">
        <v>15070</v>
      </c>
      <c r="AI1107" t="s">
        <v>14902</v>
      </c>
      <c r="AJ1107" t="s">
        <v>2748</v>
      </c>
      <c r="AK1107" t="s">
        <v>9049</v>
      </c>
      <c r="AL1107">
        <v>1.28</v>
      </c>
      <c r="AM1107">
        <v>1.28</v>
      </c>
      <c r="AN1107">
        <v>0.35</v>
      </c>
      <c r="AP1107" t="s">
        <v>15071</v>
      </c>
      <c r="AQ1107" t="s">
        <v>10930</v>
      </c>
      <c r="AR1107" t="s">
        <v>1453</v>
      </c>
      <c r="AS1107" t="s">
        <v>2743</v>
      </c>
      <c r="AT1107" t="s">
        <v>4698</v>
      </c>
      <c r="AU1107" t="s">
        <v>3463</v>
      </c>
      <c r="AV1107" t="s">
        <v>842</v>
      </c>
      <c r="AW1107" t="s">
        <v>8562</v>
      </c>
      <c r="AX1107" t="s">
        <v>4903</v>
      </c>
      <c r="AY1107" t="s">
        <v>4469</v>
      </c>
      <c r="AZ1107" t="s">
        <v>13116</v>
      </c>
      <c r="BA1107">
        <v>1</v>
      </c>
      <c r="BB1107">
        <v>64.33</v>
      </c>
      <c r="BC1107">
        <v>0.96</v>
      </c>
      <c r="BD1107">
        <v>10.68</v>
      </c>
      <c r="BE1107">
        <v>10.99</v>
      </c>
      <c r="BF1107">
        <v>10.77</v>
      </c>
      <c r="BG1107" t="s">
        <v>15072</v>
      </c>
      <c r="BH1107" t="s">
        <v>4469</v>
      </c>
      <c r="BI1107" t="s">
        <v>13116</v>
      </c>
      <c r="BJ1107" t="s">
        <v>101</v>
      </c>
      <c r="BK1107" t="s">
        <v>5639</v>
      </c>
      <c r="BL1107" t="s">
        <v>5639</v>
      </c>
      <c r="BM1107" t="s">
        <v>12829</v>
      </c>
      <c r="BN1107" t="s">
        <v>14623</v>
      </c>
    </row>
    <row r="1108" spans="1:66" x14ac:dyDescent="0.25">
      <c r="A1108" t="str">
        <f>HYPERLINK("https://elite.finviz.com/quote.ashx?t=BBUC&amp;ty=c&amp;p=d&amp;b=1", "BBUC")</f>
        <v>BBUC</v>
      </c>
      <c r="B1108">
        <v>6</v>
      </c>
      <c r="C1108">
        <v>127.03</v>
      </c>
      <c r="D1108">
        <v>45.49</v>
      </c>
      <c r="E1108" t="s">
        <v>15073</v>
      </c>
      <c r="F1108" t="s">
        <v>67</v>
      </c>
      <c r="G1108" t="s">
        <v>550</v>
      </c>
      <c r="H1108" t="s">
        <v>2597</v>
      </c>
      <c r="I1108" t="s">
        <v>70</v>
      </c>
      <c r="J1108" t="s">
        <v>71</v>
      </c>
      <c r="K1108">
        <v>3200.99</v>
      </c>
      <c r="L1108">
        <v>33.14</v>
      </c>
      <c r="M1108" t="s">
        <v>2571</v>
      </c>
      <c r="N1108">
        <v>38125</v>
      </c>
      <c r="R1108">
        <v>0.39</v>
      </c>
      <c r="T1108" t="s">
        <v>6572</v>
      </c>
      <c r="U1108">
        <v>0.25</v>
      </c>
      <c r="V1108" t="s">
        <v>4882</v>
      </c>
      <c r="W1108" t="s">
        <v>164</v>
      </c>
      <c r="AA1108">
        <v>-10.56</v>
      </c>
      <c r="AC1108" t="s">
        <v>15074</v>
      </c>
      <c r="AE1108" t="s">
        <v>3321</v>
      </c>
      <c r="AF1108" t="s">
        <v>7621</v>
      </c>
      <c r="AG1108" t="s">
        <v>2893</v>
      </c>
      <c r="AH1108" t="s">
        <v>4927</v>
      </c>
      <c r="AJ1108" t="s">
        <v>164</v>
      </c>
      <c r="AK1108" t="s">
        <v>6439</v>
      </c>
      <c r="AL1108">
        <v>0.56000000000000005</v>
      </c>
      <c r="AM1108">
        <v>0.55000000000000004</v>
      </c>
      <c r="AO1108" t="s">
        <v>864</v>
      </c>
      <c r="AP1108" t="s">
        <v>8229</v>
      </c>
      <c r="AQ1108" t="s">
        <v>12945</v>
      </c>
      <c r="AR1108" t="s">
        <v>5554</v>
      </c>
      <c r="AS1108" t="s">
        <v>5369</v>
      </c>
      <c r="AT1108" t="s">
        <v>2204</v>
      </c>
      <c r="AU1108" t="s">
        <v>6478</v>
      </c>
      <c r="AV1108" t="s">
        <v>6131</v>
      </c>
      <c r="AW1108" t="s">
        <v>5059</v>
      </c>
      <c r="AX1108" t="s">
        <v>2360</v>
      </c>
      <c r="AY1108" t="s">
        <v>5059</v>
      </c>
      <c r="AZ1108" t="s">
        <v>6070</v>
      </c>
      <c r="BB1108">
        <v>110.23</v>
      </c>
      <c r="BC1108">
        <v>1.22</v>
      </c>
      <c r="BD1108">
        <v>32.950000000000003</v>
      </c>
      <c r="BE1108">
        <v>33.64</v>
      </c>
      <c r="BF1108">
        <v>32.96</v>
      </c>
      <c r="BG1108" t="s">
        <v>15075</v>
      </c>
      <c r="BH1108" t="s">
        <v>5059</v>
      </c>
      <c r="BI1108" t="s">
        <v>15076</v>
      </c>
      <c r="BJ1108" t="s">
        <v>101</v>
      </c>
      <c r="BK1108" t="s">
        <v>7938</v>
      </c>
      <c r="BL1108" t="s">
        <v>11036</v>
      </c>
      <c r="BM1108" t="s">
        <v>12574</v>
      </c>
      <c r="BN1108" t="s">
        <v>14623</v>
      </c>
    </row>
    <row r="1109" spans="1:66" x14ac:dyDescent="0.25">
      <c r="A1109" t="str">
        <f>HYPERLINK("https://elite.finviz.com/quote.ashx?t=STBA&amp;ty=c&amp;p=d&amp;b=1", "STBA")</f>
        <v>STBA</v>
      </c>
      <c r="B1109">
        <v>6</v>
      </c>
      <c r="C1109">
        <v>127.03</v>
      </c>
      <c r="D1109">
        <v>45.52</v>
      </c>
      <c r="E1109" t="s">
        <v>15077</v>
      </c>
      <c r="F1109" t="s">
        <v>67</v>
      </c>
      <c r="G1109" t="s">
        <v>550</v>
      </c>
      <c r="H1109" t="s">
        <v>697</v>
      </c>
      <c r="I1109" t="s">
        <v>70</v>
      </c>
      <c r="J1109" t="s">
        <v>321</v>
      </c>
      <c r="K1109">
        <v>1464.05</v>
      </c>
      <c r="L1109">
        <v>38.18</v>
      </c>
      <c r="M1109" t="s">
        <v>2760</v>
      </c>
      <c r="N1109">
        <v>19191</v>
      </c>
      <c r="O1109">
        <v>11.23</v>
      </c>
      <c r="P1109">
        <v>11.15</v>
      </c>
      <c r="R1109">
        <v>2.62</v>
      </c>
      <c r="S1109">
        <v>1.01</v>
      </c>
      <c r="T1109" t="s">
        <v>3244</v>
      </c>
      <c r="U1109">
        <v>1.36</v>
      </c>
      <c r="V1109" t="s">
        <v>2708</v>
      </c>
      <c r="W1109" t="s">
        <v>1932</v>
      </c>
      <c r="X1109" t="s">
        <v>3057</v>
      </c>
      <c r="Y1109" t="s">
        <v>2419</v>
      </c>
      <c r="Z1109" t="s">
        <v>412</v>
      </c>
      <c r="AA1109">
        <v>3.4</v>
      </c>
      <c r="AB1109" t="s">
        <v>1254</v>
      </c>
      <c r="AC1109" t="s">
        <v>1934</v>
      </c>
      <c r="AE1109" t="s">
        <v>3896</v>
      </c>
      <c r="AF1109" t="s">
        <v>1562</v>
      </c>
      <c r="AG1109" t="s">
        <v>191</v>
      </c>
      <c r="AH1109" t="s">
        <v>6182</v>
      </c>
      <c r="AI1109" t="s">
        <v>2543</v>
      </c>
      <c r="AJ1109" t="s">
        <v>2215</v>
      </c>
      <c r="AK1109" t="s">
        <v>1962</v>
      </c>
      <c r="AL1109">
        <v>0.04</v>
      </c>
      <c r="AN1109">
        <v>0.17</v>
      </c>
      <c r="AP1109" t="s">
        <v>15078</v>
      </c>
      <c r="AQ1109" t="s">
        <v>5464</v>
      </c>
      <c r="AR1109" t="s">
        <v>3544</v>
      </c>
      <c r="AS1109" t="s">
        <v>3916</v>
      </c>
      <c r="AT1109" t="s">
        <v>1313</v>
      </c>
      <c r="AU1109" t="s">
        <v>1998</v>
      </c>
      <c r="AV1109" t="s">
        <v>914</v>
      </c>
      <c r="AW1109" t="s">
        <v>8506</v>
      </c>
      <c r="AX1109" t="s">
        <v>10221</v>
      </c>
      <c r="AY1109" t="s">
        <v>6435</v>
      </c>
      <c r="AZ1109" t="s">
        <v>9752</v>
      </c>
      <c r="BA1109">
        <v>3</v>
      </c>
      <c r="BB1109">
        <v>133.46</v>
      </c>
      <c r="BC1109">
        <v>0.51</v>
      </c>
      <c r="BD1109">
        <v>38.270000000000003</v>
      </c>
      <c r="BE1109">
        <v>38.619999999999997</v>
      </c>
      <c r="BF1109">
        <v>38.1</v>
      </c>
      <c r="BG1109" t="s">
        <v>15079</v>
      </c>
      <c r="BH1109" t="s">
        <v>15080</v>
      </c>
      <c r="BI1109" t="s">
        <v>15081</v>
      </c>
      <c r="BJ1109" t="s">
        <v>101</v>
      </c>
      <c r="BK1109" t="s">
        <v>914</v>
      </c>
      <c r="BL1109" t="s">
        <v>4689</v>
      </c>
      <c r="BM1109" t="s">
        <v>5559</v>
      </c>
      <c r="BN1109" t="s">
        <v>14623</v>
      </c>
    </row>
    <row r="1110" spans="1:66" x14ac:dyDescent="0.25">
      <c r="A1110" t="str">
        <f>HYPERLINK("https://elite.finviz.com/quote.ashx?t=AAT&amp;ty=c&amp;p=d&amp;b=1", "AAT")</f>
        <v>AAT</v>
      </c>
      <c r="B1110">
        <v>6</v>
      </c>
      <c r="C1110">
        <v>127.03</v>
      </c>
      <c r="D1110">
        <v>45.56</v>
      </c>
      <c r="E1110" t="s">
        <v>15082</v>
      </c>
      <c r="F1110" t="s">
        <v>67</v>
      </c>
      <c r="G1110" t="s">
        <v>68</v>
      </c>
      <c r="H1110" t="s">
        <v>4656</v>
      </c>
      <c r="I1110" t="s">
        <v>70</v>
      </c>
      <c r="J1110" t="s">
        <v>71</v>
      </c>
      <c r="K1110">
        <v>1232.8399999999999</v>
      </c>
      <c r="L1110">
        <v>20.16</v>
      </c>
      <c r="M1110" t="s">
        <v>1083</v>
      </c>
      <c r="N1110">
        <v>30880</v>
      </c>
      <c r="O1110">
        <v>16.559999999999999</v>
      </c>
      <c r="P1110">
        <v>43.83</v>
      </c>
      <c r="R1110">
        <v>2.48</v>
      </c>
      <c r="S1110">
        <v>1.04</v>
      </c>
      <c r="T1110" t="s">
        <v>437</v>
      </c>
      <c r="U1110">
        <v>1.35</v>
      </c>
      <c r="V1110" t="s">
        <v>6223</v>
      </c>
      <c r="W1110" t="s">
        <v>3349</v>
      </c>
      <c r="X1110" t="s">
        <v>2385</v>
      </c>
      <c r="Y1110" t="s">
        <v>5593</v>
      </c>
      <c r="Z1110" t="s">
        <v>15083</v>
      </c>
      <c r="AA1110">
        <v>1.22</v>
      </c>
      <c r="AB1110" t="s">
        <v>15084</v>
      </c>
      <c r="AC1110" t="s">
        <v>633</v>
      </c>
      <c r="AD1110" t="s">
        <v>2775</v>
      </c>
      <c r="AE1110" t="s">
        <v>8530</v>
      </c>
      <c r="AF1110" t="s">
        <v>9703</v>
      </c>
      <c r="AG1110" t="s">
        <v>10226</v>
      </c>
      <c r="AH1110" t="s">
        <v>4131</v>
      </c>
      <c r="AI1110" t="s">
        <v>10731</v>
      </c>
      <c r="AJ1110" t="s">
        <v>164</v>
      </c>
      <c r="AK1110" t="s">
        <v>15085</v>
      </c>
      <c r="AL1110">
        <v>3.55</v>
      </c>
      <c r="AM1110">
        <v>3.55</v>
      </c>
      <c r="AN1110">
        <v>1.45</v>
      </c>
      <c r="AO1110" t="s">
        <v>2330</v>
      </c>
      <c r="AP1110" t="s">
        <v>14472</v>
      </c>
      <c r="AQ1110" t="s">
        <v>15086</v>
      </c>
      <c r="AR1110" t="s">
        <v>1303</v>
      </c>
      <c r="AS1110" t="s">
        <v>5258</v>
      </c>
      <c r="AT1110" t="s">
        <v>7176</v>
      </c>
      <c r="AU1110" t="s">
        <v>3000</v>
      </c>
      <c r="AV1110" t="s">
        <v>4121</v>
      </c>
      <c r="AW1110" t="s">
        <v>7392</v>
      </c>
      <c r="AX1110" t="s">
        <v>2984</v>
      </c>
      <c r="AY1110" t="s">
        <v>15087</v>
      </c>
      <c r="AZ1110" t="s">
        <v>12584</v>
      </c>
      <c r="BA1110">
        <v>3</v>
      </c>
      <c r="BB1110">
        <v>417.17</v>
      </c>
      <c r="BC1110">
        <v>0.26</v>
      </c>
      <c r="BD1110">
        <v>20.12</v>
      </c>
      <c r="BE1110">
        <v>20.329999999999998</v>
      </c>
      <c r="BF1110">
        <v>20.16</v>
      </c>
      <c r="BG1110" t="s">
        <v>15088</v>
      </c>
      <c r="BH1110" t="s">
        <v>6264</v>
      </c>
      <c r="BI1110" t="s">
        <v>15089</v>
      </c>
      <c r="BJ1110" t="s">
        <v>101</v>
      </c>
      <c r="BK1110" t="s">
        <v>192</v>
      </c>
      <c r="BL1110" t="s">
        <v>3486</v>
      </c>
      <c r="BM1110" t="s">
        <v>9069</v>
      </c>
      <c r="BN1110" t="s">
        <v>14623</v>
      </c>
    </row>
    <row r="1111" spans="1:66" x14ac:dyDescent="0.25">
      <c r="A1111" t="str">
        <f>HYPERLINK("https://elite.finviz.com/quote.ashx?t=AX&amp;ty=c&amp;p=d&amp;b=1", "AX")</f>
        <v>AX</v>
      </c>
      <c r="B1111">
        <v>6</v>
      </c>
      <c r="C1111">
        <v>127.03</v>
      </c>
      <c r="D1111">
        <v>45.61</v>
      </c>
      <c r="E1111" t="s">
        <v>15090</v>
      </c>
      <c r="F1111" t="s">
        <v>67</v>
      </c>
      <c r="G1111" t="s">
        <v>550</v>
      </c>
      <c r="H1111" t="s">
        <v>697</v>
      </c>
      <c r="I1111" t="s">
        <v>70</v>
      </c>
      <c r="J1111" t="s">
        <v>71</v>
      </c>
      <c r="K1111">
        <v>4948.47</v>
      </c>
      <c r="L1111">
        <v>87.61</v>
      </c>
      <c r="M1111" t="s">
        <v>2642</v>
      </c>
      <c r="N1111">
        <v>63686</v>
      </c>
      <c r="O1111">
        <v>11.74</v>
      </c>
      <c r="P1111">
        <v>9.77</v>
      </c>
      <c r="R1111">
        <v>2.54</v>
      </c>
      <c r="S1111">
        <v>1.85</v>
      </c>
      <c r="Z1111" t="s">
        <v>164</v>
      </c>
      <c r="AA1111">
        <v>7.46</v>
      </c>
      <c r="AB1111" t="s">
        <v>3749</v>
      </c>
      <c r="AC1111" t="s">
        <v>5719</v>
      </c>
      <c r="AE1111" t="s">
        <v>2887</v>
      </c>
      <c r="AF1111" t="s">
        <v>14088</v>
      </c>
      <c r="AG1111" t="s">
        <v>3533</v>
      </c>
      <c r="AH1111" t="s">
        <v>2717</v>
      </c>
      <c r="AI1111" t="s">
        <v>327</v>
      </c>
      <c r="AJ1111" t="s">
        <v>708</v>
      </c>
      <c r="AK1111" t="s">
        <v>11240</v>
      </c>
      <c r="AL1111">
        <v>0.56999999999999995</v>
      </c>
      <c r="AN1111">
        <v>0.21</v>
      </c>
      <c r="AP1111" t="s">
        <v>15091</v>
      </c>
      <c r="AQ1111" t="s">
        <v>12136</v>
      </c>
      <c r="AR1111" t="s">
        <v>4891</v>
      </c>
      <c r="AS1111" t="s">
        <v>2808</v>
      </c>
      <c r="AT1111" t="s">
        <v>4531</v>
      </c>
      <c r="AU1111" t="s">
        <v>6194</v>
      </c>
      <c r="AV1111" t="s">
        <v>10638</v>
      </c>
      <c r="AW1111" t="s">
        <v>10586</v>
      </c>
      <c r="AX1111" t="s">
        <v>3115</v>
      </c>
      <c r="AY1111" t="s">
        <v>10586</v>
      </c>
      <c r="AZ1111" t="s">
        <v>2569</v>
      </c>
      <c r="BA1111">
        <v>1.5</v>
      </c>
      <c r="BB1111">
        <v>362.71</v>
      </c>
      <c r="BC1111">
        <v>0.62</v>
      </c>
      <c r="BD1111">
        <v>87.29</v>
      </c>
      <c r="BE1111">
        <v>88.37</v>
      </c>
      <c r="BF1111">
        <v>87.29</v>
      </c>
      <c r="BG1111" t="s">
        <v>15092</v>
      </c>
      <c r="BH1111" t="s">
        <v>10586</v>
      </c>
      <c r="BI1111" t="s">
        <v>15093</v>
      </c>
      <c r="BJ1111" t="s">
        <v>101</v>
      </c>
      <c r="BK1111" t="s">
        <v>6748</v>
      </c>
      <c r="BL1111" t="s">
        <v>14713</v>
      </c>
      <c r="BM1111" t="s">
        <v>8430</v>
      </c>
      <c r="BN1111" t="s">
        <v>14623</v>
      </c>
    </row>
    <row r="1112" spans="1:66" x14ac:dyDescent="0.25">
      <c r="A1112" t="str">
        <f>HYPERLINK("https://elite.finviz.com/quote.ashx?t=UPLD&amp;ty=c&amp;p=d&amp;b=1", "UPLD")</f>
        <v>UPLD</v>
      </c>
      <c r="B1112">
        <v>6</v>
      </c>
      <c r="C1112">
        <v>127.03</v>
      </c>
      <c r="D1112">
        <v>45.66</v>
      </c>
      <c r="E1112" t="s">
        <v>15094</v>
      </c>
      <c r="F1112" t="s">
        <v>107</v>
      </c>
      <c r="G1112" t="s">
        <v>108</v>
      </c>
      <c r="H1112" t="s">
        <v>136</v>
      </c>
      <c r="I1112" t="s">
        <v>70</v>
      </c>
      <c r="J1112" t="s">
        <v>321</v>
      </c>
      <c r="K1112">
        <v>68.19</v>
      </c>
      <c r="L1112">
        <v>2.37</v>
      </c>
      <c r="M1112" t="s">
        <v>8929</v>
      </c>
      <c r="N1112">
        <v>51417</v>
      </c>
      <c r="P1112">
        <v>3.5</v>
      </c>
      <c r="R1112">
        <v>0.27</v>
      </c>
      <c r="AA1112">
        <v>-1.77</v>
      </c>
      <c r="AB1112" t="s">
        <v>15095</v>
      </c>
      <c r="AC1112" t="s">
        <v>4770</v>
      </c>
      <c r="AE1112" t="s">
        <v>9083</v>
      </c>
      <c r="AF1112" t="s">
        <v>7884</v>
      </c>
      <c r="AG1112" t="s">
        <v>3025</v>
      </c>
      <c r="AH1112" t="s">
        <v>15096</v>
      </c>
      <c r="AI1112" t="s">
        <v>15097</v>
      </c>
      <c r="AJ1112" t="s">
        <v>2906</v>
      </c>
      <c r="AK1112" t="s">
        <v>15098</v>
      </c>
      <c r="AL1112">
        <v>0.86</v>
      </c>
      <c r="AM1112">
        <v>0.86</v>
      </c>
      <c r="AO1112" t="s">
        <v>6806</v>
      </c>
      <c r="AP1112" t="s">
        <v>110</v>
      </c>
      <c r="AQ1112" t="s">
        <v>15099</v>
      </c>
      <c r="AR1112" t="s">
        <v>5395</v>
      </c>
      <c r="AS1112" t="s">
        <v>8808</v>
      </c>
      <c r="AT1112" t="s">
        <v>15100</v>
      </c>
      <c r="AU1112" t="s">
        <v>4552</v>
      </c>
      <c r="AV1112" t="s">
        <v>5570</v>
      </c>
      <c r="AW1112" t="s">
        <v>15101</v>
      </c>
      <c r="AX1112" t="s">
        <v>1948</v>
      </c>
      <c r="AY1112" t="s">
        <v>15102</v>
      </c>
      <c r="AZ1112" t="s">
        <v>15103</v>
      </c>
      <c r="BA1112">
        <v>1</v>
      </c>
      <c r="BB1112">
        <v>410.44</v>
      </c>
      <c r="BC1112">
        <v>0.45</v>
      </c>
      <c r="BD1112">
        <v>2.52</v>
      </c>
      <c r="BE1112">
        <v>2.52</v>
      </c>
      <c r="BF1112">
        <v>2.37</v>
      </c>
      <c r="BG1112" t="s">
        <v>15104</v>
      </c>
      <c r="BH1112" t="s">
        <v>15105</v>
      </c>
      <c r="BI1112" t="s">
        <v>15103</v>
      </c>
      <c r="BJ1112" t="s">
        <v>101</v>
      </c>
      <c r="BK1112" t="s">
        <v>7666</v>
      </c>
      <c r="BL1112" t="s">
        <v>15106</v>
      </c>
      <c r="BM1112" t="s">
        <v>15107</v>
      </c>
      <c r="BN1112" t="s">
        <v>14623</v>
      </c>
    </row>
    <row r="1113" spans="1:66" x14ac:dyDescent="0.25">
      <c r="A1113" t="str">
        <f>HYPERLINK("https://elite.finviz.com/quote.ashx?t=FSBW&amp;ty=c&amp;p=d&amp;b=1", "FSBW")</f>
        <v>FSBW</v>
      </c>
      <c r="B1113">
        <v>6</v>
      </c>
      <c r="C1113">
        <v>127.03</v>
      </c>
      <c r="D1113">
        <v>45.66</v>
      </c>
      <c r="E1113" t="s">
        <v>15108</v>
      </c>
      <c r="F1113" t="s">
        <v>67</v>
      </c>
      <c r="G1113" t="s">
        <v>550</v>
      </c>
      <c r="H1113" t="s">
        <v>697</v>
      </c>
      <c r="I1113" t="s">
        <v>70</v>
      </c>
      <c r="J1113" t="s">
        <v>321</v>
      </c>
      <c r="K1113">
        <v>309.48</v>
      </c>
      <c r="L1113">
        <v>40.74</v>
      </c>
      <c r="M1113" t="s">
        <v>1938</v>
      </c>
      <c r="N1113">
        <v>1415</v>
      </c>
      <c r="O1113">
        <v>9.69</v>
      </c>
      <c r="P1113">
        <v>8.92</v>
      </c>
      <c r="Q1113">
        <v>1.89</v>
      </c>
      <c r="R1113">
        <v>1.47</v>
      </c>
      <c r="S1113">
        <v>1.04</v>
      </c>
      <c r="T1113" t="s">
        <v>5593</v>
      </c>
      <c r="U1113">
        <v>1.1000000000000001</v>
      </c>
      <c r="V1113" t="s">
        <v>2420</v>
      </c>
      <c r="W1113" t="s">
        <v>3601</v>
      </c>
      <c r="X1113" t="s">
        <v>7139</v>
      </c>
      <c r="Y1113" t="s">
        <v>2340</v>
      </c>
      <c r="Z1113" t="s">
        <v>15109</v>
      </c>
      <c r="AA1113">
        <v>4.2</v>
      </c>
      <c r="AB1113" t="s">
        <v>3226</v>
      </c>
      <c r="AC1113" t="s">
        <v>1199</v>
      </c>
      <c r="AD1113" t="s">
        <v>2316</v>
      </c>
      <c r="AE1113" t="s">
        <v>1104</v>
      </c>
      <c r="AF1113" t="s">
        <v>1497</v>
      </c>
      <c r="AG1113" t="s">
        <v>6124</v>
      </c>
      <c r="AH1113" t="s">
        <v>4956</v>
      </c>
      <c r="AI1113" t="s">
        <v>92</v>
      </c>
      <c r="AJ1113" t="s">
        <v>9022</v>
      </c>
      <c r="AK1113" t="s">
        <v>15110</v>
      </c>
      <c r="AL1113">
        <v>0.02</v>
      </c>
      <c r="AN1113">
        <v>0.98</v>
      </c>
      <c r="AP1113" t="s">
        <v>15111</v>
      </c>
      <c r="AQ1113" t="s">
        <v>14549</v>
      </c>
      <c r="AR1113" t="s">
        <v>7322</v>
      </c>
      <c r="AS1113" t="s">
        <v>5968</v>
      </c>
      <c r="AT1113" t="s">
        <v>4595</v>
      </c>
      <c r="AU1113" t="s">
        <v>4703</v>
      </c>
      <c r="AV1113" t="s">
        <v>2582</v>
      </c>
      <c r="AW1113" t="s">
        <v>4215</v>
      </c>
      <c r="AX1113" t="s">
        <v>2514</v>
      </c>
      <c r="AY1113" t="s">
        <v>5410</v>
      </c>
      <c r="AZ1113" t="s">
        <v>11164</v>
      </c>
      <c r="BA1113">
        <v>2.33</v>
      </c>
      <c r="BB1113">
        <v>16.850000000000001</v>
      </c>
      <c r="BC1113">
        <v>0.3</v>
      </c>
      <c r="BD1113">
        <v>40.96</v>
      </c>
      <c r="BE1113">
        <v>40.96</v>
      </c>
      <c r="BF1113">
        <v>40.96</v>
      </c>
      <c r="BG1113" t="s">
        <v>15112</v>
      </c>
      <c r="BH1113" t="s">
        <v>5410</v>
      </c>
      <c r="BI1113" t="s">
        <v>15113</v>
      </c>
      <c r="BJ1113" t="s">
        <v>101</v>
      </c>
      <c r="BK1113" t="s">
        <v>3170</v>
      </c>
      <c r="BL1113" t="s">
        <v>8164</v>
      </c>
      <c r="BM1113" t="s">
        <v>2467</v>
      </c>
      <c r="BN1113" t="s">
        <v>14623</v>
      </c>
    </row>
    <row r="1114" spans="1:66" x14ac:dyDescent="0.25">
      <c r="A1114" t="str">
        <f>HYPERLINK("https://elite.finviz.com/quote.ashx?t=UVSP&amp;ty=c&amp;p=d&amp;b=1", "UVSP")</f>
        <v>UVSP</v>
      </c>
      <c r="B1114">
        <v>6</v>
      </c>
      <c r="C1114">
        <v>127.03</v>
      </c>
      <c r="D1114">
        <v>45.67</v>
      </c>
      <c r="E1114" t="s">
        <v>15114</v>
      </c>
      <c r="F1114" t="s">
        <v>67</v>
      </c>
      <c r="G1114" t="s">
        <v>550</v>
      </c>
      <c r="H1114" t="s">
        <v>697</v>
      </c>
      <c r="I1114" t="s">
        <v>70</v>
      </c>
      <c r="J1114" t="s">
        <v>321</v>
      </c>
      <c r="K1114">
        <v>877.12</v>
      </c>
      <c r="L1114">
        <v>30.45</v>
      </c>
      <c r="M1114" t="s">
        <v>2003</v>
      </c>
      <c r="N1114">
        <v>16094</v>
      </c>
      <c r="O1114">
        <v>11.13</v>
      </c>
      <c r="P1114">
        <v>10.1</v>
      </c>
      <c r="R1114">
        <v>1.73</v>
      </c>
      <c r="S1114">
        <v>0.96</v>
      </c>
      <c r="T1114" t="s">
        <v>2146</v>
      </c>
      <c r="U1114">
        <v>0.86</v>
      </c>
      <c r="V1114" t="s">
        <v>2859</v>
      </c>
      <c r="W1114" t="s">
        <v>164</v>
      </c>
      <c r="X1114" t="s">
        <v>3487</v>
      </c>
      <c r="Y1114" t="s">
        <v>5055</v>
      </c>
      <c r="Z1114" t="s">
        <v>15115</v>
      </c>
      <c r="AA1114">
        <v>2.74</v>
      </c>
      <c r="AB1114" t="s">
        <v>8506</v>
      </c>
      <c r="AC1114" t="s">
        <v>4892</v>
      </c>
      <c r="AE1114" t="s">
        <v>755</v>
      </c>
      <c r="AF1114" t="s">
        <v>5950</v>
      </c>
      <c r="AG1114" t="s">
        <v>4829</v>
      </c>
      <c r="AH1114" t="s">
        <v>2580</v>
      </c>
      <c r="AI1114" t="s">
        <v>5036</v>
      </c>
      <c r="AJ1114" t="s">
        <v>5257</v>
      </c>
      <c r="AK1114" t="s">
        <v>15116</v>
      </c>
      <c r="AL1114">
        <v>0.04</v>
      </c>
      <c r="AN1114">
        <v>0.42</v>
      </c>
      <c r="AP1114" t="s">
        <v>14442</v>
      </c>
      <c r="AQ1114" t="s">
        <v>4153</v>
      </c>
      <c r="AR1114" t="s">
        <v>2186</v>
      </c>
      <c r="AS1114" t="s">
        <v>2876</v>
      </c>
      <c r="AT1114" t="s">
        <v>1866</v>
      </c>
      <c r="AU1114" t="s">
        <v>7709</v>
      </c>
      <c r="AV1114" t="s">
        <v>2202</v>
      </c>
      <c r="AW1114" t="s">
        <v>6755</v>
      </c>
      <c r="AX1114" t="s">
        <v>9623</v>
      </c>
      <c r="AY1114" t="s">
        <v>14840</v>
      </c>
      <c r="AZ1114" t="s">
        <v>11811</v>
      </c>
      <c r="BA1114">
        <v>3</v>
      </c>
      <c r="BB1114">
        <v>109.54</v>
      </c>
      <c r="BC1114">
        <v>0.52</v>
      </c>
      <c r="BD1114">
        <v>30.54</v>
      </c>
      <c r="BE1114">
        <v>31.32</v>
      </c>
      <c r="BF1114">
        <v>30.5</v>
      </c>
      <c r="BG1114" t="s">
        <v>15117</v>
      </c>
      <c r="BH1114" t="s">
        <v>15118</v>
      </c>
      <c r="BI1114" t="s">
        <v>15119</v>
      </c>
      <c r="BJ1114" t="s">
        <v>101</v>
      </c>
      <c r="BK1114" t="s">
        <v>2103</v>
      </c>
      <c r="BL1114" t="s">
        <v>5164</v>
      </c>
      <c r="BM1114" t="s">
        <v>11337</v>
      </c>
      <c r="BN1114" t="s">
        <v>14623</v>
      </c>
    </row>
    <row r="1115" spans="1:66" x14ac:dyDescent="0.25">
      <c r="A1115" t="str">
        <f>HYPERLINK("https://elite.finviz.com/quote.ashx?t=WD&amp;ty=c&amp;p=d&amp;b=1", "WD")</f>
        <v>WD</v>
      </c>
      <c r="B1115">
        <v>6</v>
      </c>
      <c r="C1115">
        <v>127.03</v>
      </c>
      <c r="D1115">
        <v>45.69</v>
      </c>
      <c r="E1115" t="s">
        <v>15120</v>
      </c>
      <c r="F1115" t="s">
        <v>67</v>
      </c>
      <c r="G1115" t="s">
        <v>550</v>
      </c>
      <c r="H1115" t="s">
        <v>3699</v>
      </c>
      <c r="I1115" t="s">
        <v>70</v>
      </c>
      <c r="J1115" t="s">
        <v>71</v>
      </c>
      <c r="K1115">
        <v>2818.74</v>
      </c>
      <c r="L1115">
        <v>82.74</v>
      </c>
      <c r="M1115" t="s">
        <v>2571</v>
      </c>
      <c r="N1115">
        <v>18152</v>
      </c>
      <c r="O1115">
        <v>25.52</v>
      </c>
      <c r="P1115">
        <v>18.32</v>
      </c>
      <c r="Q1115">
        <v>1</v>
      </c>
      <c r="R1115">
        <v>2.42</v>
      </c>
      <c r="S1115">
        <v>1.58</v>
      </c>
      <c r="T1115" t="s">
        <v>203</v>
      </c>
      <c r="U1115">
        <v>2.66</v>
      </c>
      <c r="V1115" t="s">
        <v>5037</v>
      </c>
      <c r="W1115" t="s">
        <v>2356</v>
      </c>
      <c r="X1115" t="s">
        <v>1078</v>
      </c>
      <c r="Y1115" t="s">
        <v>1562</v>
      </c>
      <c r="Z1115" t="s">
        <v>15121</v>
      </c>
      <c r="AA1115">
        <v>3.24</v>
      </c>
      <c r="AB1115" t="s">
        <v>15122</v>
      </c>
      <c r="AC1115" t="s">
        <v>3048</v>
      </c>
      <c r="AD1115" t="s">
        <v>2334</v>
      </c>
      <c r="AE1115" t="s">
        <v>2399</v>
      </c>
      <c r="AF1115" t="s">
        <v>8216</v>
      </c>
      <c r="AG1115" t="s">
        <v>7090</v>
      </c>
      <c r="AH1115" t="s">
        <v>6201</v>
      </c>
      <c r="AI1115" t="s">
        <v>11241</v>
      </c>
      <c r="AJ1115" t="s">
        <v>8425</v>
      </c>
      <c r="AK1115" t="s">
        <v>15123</v>
      </c>
      <c r="AL1115">
        <v>0.64</v>
      </c>
      <c r="AM1115">
        <v>0.64</v>
      </c>
      <c r="AN1115">
        <v>1.23</v>
      </c>
      <c r="AO1115" t="s">
        <v>2791</v>
      </c>
      <c r="AP1115" t="s">
        <v>3190</v>
      </c>
      <c r="AQ1115" t="s">
        <v>10619</v>
      </c>
      <c r="AR1115" t="s">
        <v>1933</v>
      </c>
      <c r="AS1115" t="s">
        <v>4800</v>
      </c>
      <c r="AT1115" t="s">
        <v>7262</v>
      </c>
      <c r="AU1115" t="s">
        <v>5055</v>
      </c>
      <c r="AV1115" t="s">
        <v>4271</v>
      </c>
      <c r="AW1115" t="s">
        <v>8262</v>
      </c>
      <c r="AX1115" t="s">
        <v>5386</v>
      </c>
      <c r="AY1115" t="s">
        <v>6395</v>
      </c>
      <c r="AZ1115" t="s">
        <v>14240</v>
      </c>
      <c r="BA1115">
        <v>2.5</v>
      </c>
      <c r="BB1115">
        <v>278.14</v>
      </c>
      <c r="BC1115">
        <v>0.23</v>
      </c>
      <c r="BD1115">
        <v>82.26</v>
      </c>
      <c r="BE1115">
        <v>82.99</v>
      </c>
      <c r="BF1115">
        <v>81.94</v>
      </c>
      <c r="BG1115" t="s">
        <v>15124</v>
      </c>
      <c r="BH1115" t="s">
        <v>15125</v>
      </c>
      <c r="BI1115" t="s">
        <v>15126</v>
      </c>
      <c r="BJ1115" t="s">
        <v>101</v>
      </c>
      <c r="BK1115" t="s">
        <v>757</v>
      </c>
      <c r="BL1115" t="s">
        <v>13365</v>
      </c>
      <c r="BM1115" t="s">
        <v>15127</v>
      </c>
      <c r="BN1115" t="s">
        <v>14623</v>
      </c>
    </row>
    <row r="1116" spans="1:66" x14ac:dyDescent="0.25">
      <c r="A1116" t="str">
        <f>HYPERLINK("https://elite.finviz.com/quote.ashx?t=SERA&amp;ty=c&amp;p=d&amp;b=1", "SERA")</f>
        <v>SERA</v>
      </c>
      <c r="B1116">
        <v>6</v>
      </c>
      <c r="C1116">
        <v>127.03</v>
      </c>
      <c r="D1116">
        <v>45.7</v>
      </c>
      <c r="E1116" t="s">
        <v>15128</v>
      </c>
      <c r="F1116" t="s">
        <v>107</v>
      </c>
      <c r="G1116" t="s">
        <v>428</v>
      </c>
      <c r="H1116" t="s">
        <v>2051</v>
      </c>
      <c r="I1116" t="s">
        <v>70</v>
      </c>
      <c r="J1116" t="s">
        <v>321</v>
      </c>
      <c r="K1116">
        <v>111.14</v>
      </c>
      <c r="L1116">
        <v>2.92</v>
      </c>
      <c r="M1116" t="s">
        <v>1820</v>
      </c>
      <c r="N1116">
        <v>468</v>
      </c>
      <c r="R1116">
        <v>1010.35</v>
      </c>
      <c r="S1116">
        <v>1.26</v>
      </c>
      <c r="AA1116">
        <v>-0.85</v>
      </c>
      <c r="AB1116" t="s">
        <v>5554</v>
      </c>
      <c r="AC1116" t="s">
        <v>10885</v>
      </c>
      <c r="AD1116" t="s">
        <v>11578</v>
      </c>
      <c r="AE1116" t="s">
        <v>3761</v>
      </c>
      <c r="AF1116" t="s">
        <v>1313</v>
      </c>
      <c r="AG1116" t="s">
        <v>1150</v>
      </c>
      <c r="AH1116" t="s">
        <v>15129</v>
      </c>
      <c r="AI1116" t="s">
        <v>10395</v>
      </c>
      <c r="AJ1116" t="s">
        <v>5153</v>
      </c>
      <c r="AK1116" t="s">
        <v>14417</v>
      </c>
      <c r="AL1116">
        <v>1.73</v>
      </c>
      <c r="AM1116">
        <v>1.73</v>
      </c>
      <c r="AN1116">
        <v>0</v>
      </c>
      <c r="AO1116" t="s">
        <v>15130</v>
      </c>
      <c r="AP1116" t="s">
        <v>15131</v>
      </c>
      <c r="AQ1116" t="s">
        <v>15132</v>
      </c>
      <c r="AR1116" t="s">
        <v>7542</v>
      </c>
      <c r="AS1116" t="s">
        <v>5697</v>
      </c>
      <c r="AT1116" t="s">
        <v>8073</v>
      </c>
      <c r="AU1116" t="s">
        <v>3487</v>
      </c>
      <c r="AV1116" t="s">
        <v>14243</v>
      </c>
      <c r="AW1116" t="s">
        <v>6571</v>
      </c>
      <c r="AX1116" t="s">
        <v>15133</v>
      </c>
      <c r="AY1116" t="s">
        <v>15134</v>
      </c>
      <c r="AZ1116" t="s">
        <v>12516</v>
      </c>
      <c r="BA1116">
        <v>1.67</v>
      </c>
      <c r="BB1116">
        <v>280.8</v>
      </c>
      <c r="BC1116">
        <v>0.01</v>
      </c>
      <c r="BD1116">
        <v>2.95</v>
      </c>
      <c r="BE1116">
        <v>2.95</v>
      </c>
      <c r="BF1116">
        <v>2.93</v>
      </c>
      <c r="BG1116" t="s">
        <v>15135</v>
      </c>
      <c r="BH1116" t="s">
        <v>15136</v>
      </c>
      <c r="BI1116" t="s">
        <v>15137</v>
      </c>
      <c r="BJ1116" t="s">
        <v>101</v>
      </c>
      <c r="BK1116" t="s">
        <v>1429</v>
      </c>
      <c r="BL1116" t="s">
        <v>3395</v>
      </c>
      <c r="BM1116" t="s">
        <v>8846</v>
      </c>
      <c r="BN1116" t="s">
        <v>14623</v>
      </c>
    </row>
    <row r="1117" spans="1:66" x14ac:dyDescent="0.25">
      <c r="A1117" t="str">
        <f>HYPERLINK("https://elite.finviz.com/quote.ashx?t=KRMD&amp;ty=c&amp;p=d&amp;b=1", "KRMD")</f>
        <v>KRMD</v>
      </c>
      <c r="B1117">
        <v>6</v>
      </c>
      <c r="C1117">
        <v>127.03</v>
      </c>
      <c r="D1117">
        <v>45.73</v>
      </c>
      <c r="E1117" t="s">
        <v>15138</v>
      </c>
      <c r="F1117" t="s">
        <v>67</v>
      </c>
      <c r="G1117" t="s">
        <v>428</v>
      </c>
      <c r="H1117" t="s">
        <v>2161</v>
      </c>
      <c r="I1117" t="s">
        <v>70</v>
      </c>
      <c r="J1117" t="s">
        <v>321</v>
      </c>
      <c r="K1117">
        <v>181.24</v>
      </c>
      <c r="L1117">
        <v>3.92</v>
      </c>
      <c r="M1117" t="s">
        <v>164</v>
      </c>
      <c r="N1117">
        <v>12615</v>
      </c>
      <c r="R1117">
        <v>4.92</v>
      </c>
      <c r="S1117">
        <v>10.97</v>
      </c>
      <c r="AA1117">
        <v>-0.1</v>
      </c>
      <c r="AB1117" t="s">
        <v>9271</v>
      </c>
      <c r="AE1117" t="s">
        <v>12410</v>
      </c>
      <c r="AF1117" t="s">
        <v>1359</v>
      </c>
      <c r="AG1117" t="s">
        <v>7622</v>
      </c>
      <c r="AH1117" t="s">
        <v>7834</v>
      </c>
      <c r="AI1117" t="s">
        <v>15139</v>
      </c>
      <c r="AJ1117" t="s">
        <v>164</v>
      </c>
      <c r="AK1117" t="s">
        <v>15140</v>
      </c>
      <c r="AL1117">
        <v>2.91</v>
      </c>
      <c r="AM1117">
        <v>2.25</v>
      </c>
      <c r="AN1117">
        <v>0.21</v>
      </c>
      <c r="AO1117" t="s">
        <v>11227</v>
      </c>
      <c r="AP1117" t="s">
        <v>2982</v>
      </c>
      <c r="AQ1117" t="s">
        <v>15141</v>
      </c>
      <c r="AR1117" t="s">
        <v>1950</v>
      </c>
      <c r="AS1117" t="s">
        <v>2764</v>
      </c>
      <c r="AT1117" t="s">
        <v>7262</v>
      </c>
      <c r="AU1117" t="s">
        <v>8228</v>
      </c>
      <c r="AV1117" t="s">
        <v>2911</v>
      </c>
      <c r="AW1117" t="s">
        <v>5247</v>
      </c>
      <c r="AX1117" t="s">
        <v>3001</v>
      </c>
      <c r="AY1117" t="s">
        <v>10370</v>
      </c>
      <c r="AZ1117" t="s">
        <v>3691</v>
      </c>
      <c r="BA1117">
        <v>1.4</v>
      </c>
      <c r="BB1117">
        <v>205.46</v>
      </c>
      <c r="BC1117">
        <v>0.22</v>
      </c>
      <c r="BD1117">
        <v>3.92</v>
      </c>
      <c r="BE1117">
        <v>3.95</v>
      </c>
      <c r="BF1117">
        <v>3.91</v>
      </c>
      <c r="BG1117" t="s">
        <v>15142</v>
      </c>
      <c r="BH1117" t="s">
        <v>15143</v>
      </c>
      <c r="BI1117" t="s">
        <v>15144</v>
      </c>
      <c r="BJ1117" t="s">
        <v>101</v>
      </c>
      <c r="BK1117" t="s">
        <v>4293</v>
      </c>
      <c r="BL1117" t="s">
        <v>5366</v>
      </c>
      <c r="BM1117" t="s">
        <v>300</v>
      </c>
      <c r="BN1117" t="s">
        <v>14623</v>
      </c>
    </row>
    <row r="1118" spans="1:66" x14ac:dyDescent="0.25">
      <c r="A1118" t="str">
        <f>HYPERLINK("https://elite.finviz.com/quote.ashx?t=SYNA&amp;ty=c&amp;p=d&amp;b=1", "SYNA")</f>
        <v>SYNA</v>
      </c>
      <c r="B1118">
        <v>6</v>
      </c>
      <c r="C1118">
        <v>127.03</v>
      </c>
      <c r="D1118">
        <v>45.74</v>
      </c>
      <c r="E1118" t="s">
        <v>15145</v>
      </c>
      <c r="F1118" t="s">
        <v>67</v>
      </c>
      <c r="G1118" t="s">
        <v>108</v>
      </c>
      <c r="H1118" t="s">
        <v>1808</v>
      </c>
      <c r="I1118" t="s">
        <v>70</v>
      </c>
      <c r="J1118" t="s">
        <v>321</v>
      </c>
      <c r="K1118">
        <v>2651.45</v>
      </c>
      <c r="L1118">
        <v>68.59</v>
      </c>
      <c r="M1118" t="s">
        <v>4328</v>
      </c>
      <c r="N1118">
        <v>34555</v>
      </c>
      <c r="P1118">
        <v>12.84</v>
      </c>
      <c r="R1118">
        <v>2.4700000000000002</v>
      </c>
      <c r="S1118">
        <v>1.9</v>
      </c>
      <c r="Z1118" t="s">
        <v>164</v>
      </c>
      <c r="AA1118">
        <v>-1.22</v>
      </c>
      <c r="AD1118" t="s">
        <v>11563</v>
      </c>
      <c r="AE1118" t="s">
        <v>3492</v>
      </c>
      <c r="AF1118" t="s">
        <v>4729</v>
      </c>
      <c r="AG1118" t="s">
        <v>11675</v>
      </c>
      <c r="AH1118" t="s">
        <v>15021</v>
      </c>
      <c r="AI1118" t="s">
        <v>5253</v>
      </c>
      <c r="AJ1118" t="s">
        <v>164</v>
      </c>
      <c r="AK1118" t="s">
        <v>13574</v>
      </c>
      <c r="AL1118">
        <v>2.78</v>
      </c>
      <c r="AM1118">
        <v>2.2599999999999998</v>
      </c>
      <c r="AN1118">
        <v>0.63</v>
      </c>
      <c r="AO1118" t="s">
        <v>13369</v>
      </c>
      <c r="AP1118" t="s">
        <v>1200</v>
      </c>
      <c r="AQ1118" t="s">
        <v>8607</v>
      </c>
      <c r="AR1118" t="s">
        <v>5256</v>
      </c>
      <c r="AS1118" t="s">
        <v>5780</v>
      </c>
      <c r="AT1118" t="s">
        <v>6276</v>
      </c>
      <c r="AU1118" t="s">
        <v>84</v>
      </c>
      <c r="AV1118" t="s">
        <v>2609</v>
      </c>
      <c r="AW1118" t="s">
        <v>7996</v>
      </c>
      <c r="AX1118" t="s">
        <v>7406</v>
      </c>
      <c r="AY1118" t="s">
        <v>7339</v>
      </c>
      <c r="AZ1118" t="s">
        <v>15146</v>
      </c>
      <c r="BA1118">
        <v>1.58</v>
      </c>
      <c r="BB1118">
        <v>409.19</v>
      </c>
      <c r="BC1118">
        <v>0.3</v>
      </c>
      <c r="BD1118">
        <v>69.37</v>
      </c>
      <c r="BE1118">
        <v>69.92</v>
      </c>
      <c r="BF1118">
        <v>68.44</v>
      </c>
      <c r="BG1118" t="s">
        <v>15147</v>
      </c>
      <c r="BH1118" t="s">
        <v>15148</v>
      </c>
      <c r="BI1118" t="s">
        <v>15149</v>
      </c>
      <c r="BJ1118" t="s">
        <v>101</v>
      </c>
      <c r="BK1118" t="s">
        <v>4907</v>
      </c>
      <c r="BL1118" t="s">
        <v>3372</v>
      </c>
      <c r="BM1118" t="s">
        <v>15150</v>
      </c>
      <c r="BN1118" t="s">
        <v>14623</v>
      </c>
    </row>
    <row r="1119" spans="1:66" x14ac:dyDescent="0.25">
      <c r="A1119" t="str">
        <f>HYPERLINK("https://elite.finviz.com/quote.ashx?t=ALGS&amp;ty=c&amp;p=d&amp;b=1", "ALGS")</f>
        <v>ALGS</v>
      </c>
      <c r="B1119">
        <v>6</v>
      </c>
      <c r="C1119">
        <v>127.03</v>
      </c>
      <c r="D1119">
        <v>45.74</v>
      </c>
      <c r="E1119" t="s">
        <v>15151</v>
      </c>
      <c r="F1119" t="s">
        <v>107</v>
      </c>
      <c r="G1119" t="s">
        <v>428</v>
      </c>
      <c r="H1119" t="s">
        <v>429</v>
      </c>
      <c r="I1119" t="s">
        <v>70</v>
      </c>
      <c r="J1119" t="s">
        <v>321</v>
      </c>
      <c r="K1119">
        <v>57.33</v>
      </c>
      <c r="L1119">
        <v>9.32</v>
      </c>
      <c r="M1119" t="s">
        <v>7346</v>
      </c>
      <c r="N1119">
        <v>35819</v>
      </c>
      <c r="R1119">
        <v>18.09</v>
      </c>
      <c r="S1119">
        <v>0.56000000000000005</v>
      </c>
      <c r="AA1119">
        <v>-19.79</v>
      </c>
      <c r="AD1119" t="s">
        <v>7105</v>
      </c>
      <c r="AE1119" t="s">
        <v>15152</v>
      </c>
      <c r="AF1119" t="s">
        <v>3814</v>
      </c>
      <c r="AH1119" t="s">
        <v>15153</v>
      </c>
      <c r="AI1119" t="s">
        <v>10655</v>
      </c>
      <c r="AJ1119" t="s">
        <v>164</v>
      </c>
      <c r="AK1119" t="s">
        <v>15154</v>
      </c>
      <c r="AL1119">
        <v>6.31</v>
      </c>
      <c r="AM1119">
        <v>6.31</v>
      </c>
      <c r="AN1119">
        <v>7.0000000000000007E-2</v>
      </c>
      <c r="AO1119" t="s">
        <v>8546</v>
      </c>
      <c r="AP1119" t="s">
        <v>15155</v>
      </c>
      <c r="AQ1119" t="s">
        <v>15156</v>
      </c>
      <c r="AR1119" t="s">
        <v>2428</v>
      </c>
      <c r="AS1119" t="s">
        <v>3818</v>
      </c>
      <c r="AT1119" t="s">
        <v>15157</v>
      </c>
      <c r="AU1119" t="s">
        <v>1249</v>
      </c>
      <c r="AV1119" t="s">
        <v>10838</v>
      </c>
      <c r="AW1119" t="s">
        <v>15158</v>
      </c>
      <c r="AX1119" t="s">
        <v>15159</v>
      </c>
      <c r="AY1119" t="s">
        <v>764</v>
      </c>
      <c r="AZ1119" t="s">
        <v>15160</v>
      </c>
      <c r="BA1119">
        <v>1</v>
      </c>
      <c r="BB1119">
        <v>75.63</v>
      </c>
      <c r="BC1119">
        <v>1.68</v>
      </c>
      <c r="BD1119">
        <v>9.36</v>
      </c>
      <c r="BE1119">
        <v>9.4600000000000009</v>
      </c>
      <c r="BF1119">
        <v>8.93</v>
      </c>
      <c r="BG1119" t="s">
        <v>15161</v>
      </c>
      <c r="BH1119" t="s">
        <v>14264</v>
      </c>
      <c r="BI1119" t="s">
        <v>15160</v>
      </c>
      <c r="BJ1119" t="s">
        <v>101</v>
      </c>
      <c r="BK1119" t="s">
        <v>6129</v>
      </c>
      <c r="BL1119" t="s">
        <v>9254</v>
      </c>
      <c r="BM1119" t="s">
        <v>5662</v>
      </c>
      <c r="BN1119" t="s">
        <v>14623</v>
      </c>
    </row>
    <row r="1120" spans="1:66" x14ac:dyDescent="0.25">
      <c r="A1120" t="str">
        <f>HYPERLINK("https://elite.finviz.com/quote.ashx?t=WAFD&amp;ty=c&amp;p=d&amp;b=1", "WAFD")</f>
        <v>WAFD</v>
      </c>
      <c r="B1120">
        <v>6</v>
      </c>
      <c r="C1120">
        <v>127.03</v>
      </c>
      <c r="D1120">
        <v>45.75</v>
      </c>
      <c r="E1120" t="s">
        <v>15162</v>
      </c>
      <c r="F1120" t="s">
        <v>67</v>
      </c>
      <c r="G1120" t="s">
        <v>550</v>
      </c>
      <c r="H1120" t="s">
        <v>697</v>
      </c>
      <c r="I1120" t="s">
        <v>70</v>
      </c>
      <c r="J1120" t="s">
        <v>321</v>
      </c>
      <c r="K1120">
        <v>2426.11</v>
      </c>
      <c r="L1120">
        <v>30.79</v>
      </c>
      <c r="M1120" t="s">
        <v>2745</v>
      </c>
      <c r="N1120">
        <v>41577</v>
      </c>
      <c r="O1120">
        <v>11.75</v>
      </c>
      <c r="P1120">
        <v>9.77</v>
      </c>
      <c r="Q1120">
        <v>2.89</v>
      </c>
      <c r="R1120">
        <v>1.67</v>
      </c>
      <c r="S1120">
        <v>0.9</v>
      </c>
      <c r="T1120" t="s">
        <v>2941</v>
      </c>
      <c r="U1120">
        <v>1.07</v>
      </c>
      <c r="V1120" t="s">
        <v>4186</v>
      </c>
      <c r="W1120" t="s">
        <v>4795</v>
      </c>
      <c r="X1120" t="s">
        <v>6460</v>
      </c>
      <c r="Y1120" t="s">
        <v>3435</v>
      </c>
      <c r="Z1120" t="s">
        <v>10799</v>
      </c>
      <c r="AA1120">
        <v>2.62</v>
      </c>
      <c r="AB1120" t="s">
        <v>6829</v>
      </c>
      <c r="AC1120" t="s">
        <v>2374</v>
      </c>
      <c r="AD1120" t="s">
        <v>2419</v>
      </c>
      <c r="AE1120" t="s">
        <v>607</v>
      </c>
      <c r="AF1120" t="s">
        <v>6809</v>
      </c>
      <c r="AG1120" t="s">
        <v>7555</v>
      </c>
      <c r="AH1120" t="s">
        <v>8138</v>
      </c>
      <c r="AI1120" t="s">
        <v>6859</v>
      </c>
      <c r="AJ1120" t="s">
        <v>6192</v>
      </c>
      <c r="AK1120" t="s">
        <v>15163</v>
      </c>
      <c r="AL1120">
        <v>0.16</v>
      </c>
      <c r="AN1120">
        <v>0.66</v>
      </c>
      <c r="AP1120" t="s">
        <v>2710</v>
      </c>
      <c r="AQ1120" t="s">
        <v>1581</v>
      </c>
      <c r="AR1120" t="s">
        <v>2424</v>
      </c>
      <c r="AS1120" t="s">
        <v>2087</v>
      </c>
      <c r="AT1120" t="s">
        <v>5000</v>
      </c>
      <c r="AU1120" t="s">
        <v>1765</v>
      </c>
      <c r="AV1120" t="s">
        <v>1769</v>
      </c>
      <c r="AW1120" t="s">
        <v>15164</v>
      </c>
      <c r="AX1120" t="s">
        <v>4518</v>
      </c>
      <c r="AY1120" t="s">
        <v>15165</v>
      </c>
      <c r="AZ1120" t="s">
        <v>4581</v>
      </c>
      <c r="BA1120">
        <v>3</v>
      </c>
      <c r="BB1120">
        <v>488.22</v>
      </c>
      <c r="BC1120">
        <v>0.3</v>
      </c>
      <c r="BD1120">
        <v>30.81</v>
      </c>
      <c r="BE1120">
        <v>31.14</v>
      </c>
      <c r="BF1120">
        <v>30.74</v>
      </c>
      <c r="BG1120" t="s">
        <v>15166</v>
      </c>
      <c r="BH1120" t="s">
        <v>2588</v>
      </c>
      <c r="BI1120" t="s">
        <v>15167</v>
      </c>
      <c r="BJ1120" t="s">
        <v>101</v>
      </c>
      <c r="BK1120" t="s">
        <v>754</v>
      </c>
      <c r="BL1120" t="s">
        <v>5319</v>
      </c>
      <c r="BM1120" t="s">
        <v>10906</v>
      </c>
      <c r="BN1120" t="s">
        <v>14623</v>
      </c>
    </row>
    <row r="1121" spans="1:66" x14ac:dyDescent="0.25">
      <c r="A1121" t="str">
        <f>HYPERLINK("https://elite.finviz.com/quote.ashx?t=MEG&amp;ty=c&amp;p=d&amp;b=1", "MEG")</f>
        <v>MEG</v>
      </c>
      <c r="B1121">
        <v>6</v>
      </c>
      <c r="C1121">
        <v>127.03</v>
      </c>
      <c r="D1121">
        <v>45.82</v>
      </c>
      <c r="E1121" t="s">
        <v>15168</v>
      </c>
      <c r="F1121" t="s">
        <v>67</v>
      </c>
      <c r="G1121" t="s">
        <v>260</v>
      </c>
      <c r="H1121" t="s">
        <v>1573</v>
      </c>
      <c r="I1121" t="s">
        <v>70</v>
      </c>
      <c r="J1121" t="s">
        <v>71</v>
      </c>
      <c r="K1121">
        <v>980.61</v>
      </c>
      <c r="L1121">
        <v>27.79</v>
      </c>
      <c r="M1121" t="s">
        <v>3388</v>
      </c>
      <c r="N1121">
        <v>40826</v>
      </c>
      <c r="P1121">
        <v>234.85</v>
      </c>
      <c r="R1121">
        <v>1.26</v>
      </c>
      <c r="S1121">
        <v>2.08</v>
      </c>
      <c r="AA1121">
        <v>-1.54</v>
      </c>
      <c r="AB1121" t="s">
        <v>15169</v>
      </c>
      <c r="AC1121" t="s">
        <v>8690</v>
      </c>
      <c r="AD1121" t="s">
        <v>14892</v>
      </c>
      <c r="AE1121" t="s">
        <v>7072</v>
      </c>
      <c r="AF1121" t="s">
        <v>10714</v>
      </c>
      <c r="AG1121" t="s">
        <v>10618</v>
      </c>
      <c r="AH1121" t="s">
        <v>13010</v>
      </c>
      <c r="AI1121" t="s">
        <v>15170</v>
      </c>
      <c r="AJ1121" t="s">
        <v>2757</v>
      </c>
      <c r="AK1121" t="s">
        <v>15171</v>
      </c>
      <c r="AL1121">
        <v>1.78</v>
      </c>
      <c r="AM1121">
        <v>1.78</v>
      </c>
      <c r="AN1121">
        <v>0.66</v>
      </c>
      <c r="AO1121" t="s">
        <v>469</v>
      </c>
      <c r="AP1121" t="s">
        <v>1413</v>
      </c>
      <c r="AQ1121" t="s">
        <v>5857</v>
      </c>
      <c r="AR1121" t="s">
        <v>5164</v>
      </c>
      <c r="AS1121" t="s">
        <v>3521</v>
      </c>
      <c r="AT1121" t="s">
        <v>15172</v>
      </c>
      <c r="AU1121" t="s">
        <v>6770</v>
      </c>
      <c r="AV1121" t="s">
        <v>263</v>
      </c>
      <c r="AW1121" t="s">
        <v>2982</v>
      </c>
      <c r="AX1121" t="s">
        <v>15173</v>
      </c>
      <c r="AY1121" t="s">
        <v>2982</v>
      </c>
      <c r="AZ1121" t="s">
        <v>15174</v>
      </c>
      <c r="BA1121">
        <v>1.75</v>
      </c>
      <c r="BB1121">
        <v>454.5</v>
      </c>
      <c r="BC1121">
        <v>0.32</v>
      </c>
      <c r="BD1121">
        <v>27.9</v>
      </c>
      <c r="BE1121">
        <v>28.08</v>
      </c>
      <c r="BF1121">
        <v>27.69</v>
      </c>
      <c r="BG1121" t="s">
        <v>15175</v>
      </c>
      <c r="BH1121" t="s">
        <v>15176</v>
      </c>
      <c r="BI1121" t="s">
        <v>15174</v>
      </c>
      <c r="BJ1121" t="s">
        <v>101</v>
      </c>
      <c r="BK1121" t="s">
        <v>15177</v>
      </c>
      <c r="BL1121" t="s">
        <v>6377</v>
      </c>
      <c r="BM1121" t="s">
        <v>1202</v>
      </c>
      <c r="BN1121" t="s">
        <v>14623</v>
      </c>
    </row>
    <row r="1122" spans="1:66" x14ac:dyDescent="0.25">
      <c r="A1122" t="str">
        <f>HYPERLINK("https://elite.finviz.com/quote.ashx?t=MCB&amp;ty=c&amp;p=d&amp;b=1", "MCB")</f>
        <v>MCB</v>
      </c>
      <c r="B1122">
        <v>6</v>
      </c>
      <c r="C1122">
        <v>127.03</v>
      </c>
      <c r="D1122">
        <v>45.85</v>
      </c>
      <c r="E1122" t="s">
        <v>15178</v>
      </c>
      <c r="F1122" t="s">
        <v>67</v>
      </c>
      <c r="G1122" t="s">
        <v>550</v>
      </c>
      <c r="H1122" t="s">
        <v>697</v>
      </c>
      <c r="I1122" t="s">
        <v>70</v>
      </c>
      <c r="J1122" t="s">
        <v>71</v>
      </c>
      <c r="K1122">
        <v>792.33</v>
      </c>
      <c r="L1122">
        <v>76.03</v>
      </c>
      <c r="M1122" t="s">
        <v>406</v>
      </c>
      <c r="N1122">
        <v>6850</v>
      </c>
      <c r="O1122">
        <v>12.32</v>
      </c>
      <c r="P1122">
        <v>8.0299999999999994</v>
      </c>
      <c r="R1122">
        <v>1.58</v>
      </c>
      <c r="S1122">
        <v>1.1000000000000001</v>
      </c>
      <c r="T1122" t="s">
        <v>1083</v>
      </c>
      <c r="U1122">
        <v>0.15</v>
      </c>
      <c r="V1122" t="s">
        <v>15179</v>
      </c>
      <c r="Z1122" t="s">
        <v>164</v>
      </c>
      <c r="AA1122">
        <v>6.17</v>
      </c>
      <c r="AB1122" t="s">
        <v>9854</v>
      </c>
      <c r="AC1122" t="s">
        <v>249</v>
      </c>
      <c r="AE1122" t="s">
        <v>1064</v>
      </c>
      <c r="AF1122" t="s">
        <v>649</v>
      </c>
      <c r="AG1122" t="s">
        <v>15180</v>
      </c>
      <c r="AH1122" t="s">
        <v>463</v>
      </c>
      <c r="AI1122" t="s">
        <v>6336</v>
      </c>
      <c r="AJ1122" t="s">
        <v>4947</v>
      </c>
      <c r="AK1122" t="s">
        <v>15181</v>
      </c>
      <c r="AL1122">
        <v>0</v>
      </c>
      <c r="AN1122">
        <v>0.33</v>
      </c>
      <c r="AP1122" t="s">
        <v>2636</v>
      </c>
      <c r="AQ1122" t="s">
        <v>5609</v>
      </c>
      <c r="AR1122" t="s">
        <v>7088</v>
      </c>
      <c r="AS1122" t="s">
        <v>2892</v>
      </c>
      <c r="AT1122" t="s">
        <v>900</v>
      </c>
      <c r="AU1122" t="s">
        <v>7124</v>
      </c>
      <c r="AV1122" t="s">
        <v>6860</v>
      </c>
      <c r="AW1122" t="s">
        <v>4174</v>
      </c>
      <c r="AX1122" t="s">
        <v>5387</v>
      </c>
      <c r="AY1122" t="s">
        <v>4174</v>
      </c>
      <c r="AZ1122" t="s">
        <v>15182</v>
      </c>
      <c r="BA1122">
        <v>1</v>
      </c>
      <c r="BB1122">
        <v>97.08</v>
      </c>
      <c r="BC1122">
        <v>0.25</v>
      </c>
      <c r="BD1122">
        <v>76.02</v>
      </c>
      <c r="BE1122">
        <v>76.02</v>
      </c>
      <c r="BF1122">
        <v>75.83</v>
      </c>
      <c r="BG1122" t="s">
        <v>15183</v>
      </c>
      <c r="BH1122" t="s">
        <v>15184</v>
      </c>
      <c r="BI1122" t="s">
        <v>15185</v>
      </c>
      <c r="BJ1122" t="s">
        <v>101</v>
      </c>
      <c r="BK1122" t="s">
        <v>1252</v>
      </c>
      <c r="BL1122" t="s">
        <v>5655</v>
      </c>
      <c r="BM1122" t="s">
        <v>13751</v>
      </c>
      <c r="BN1122" t="s">
        <v>14623</v>
      </c>
    </row>
    <row r="1123" spans="1:66" x14ac:dyDescent="0.25">
      <c r="A1123" t="str">
        <f>HYPERLINK("https://elite.finviz.com/quote.ashx?t=DORM&amp;ty=c&amp;p=d&amp;b=1", "DORM")</f>
        <v>DORM</v>
      </c>
      <c r="B1123">
        <v>6</v>
      </c>
      <c r="C1123">
        <v>127.03</v>
      </c>
      <c r="D1123">
        <v>45.89</v>
      </c>
      <c r="E1123" t="s">
        <v>15186</v>
      </c>
      <c r="F1123" t="s">
        <v>67</v>
      </c>
      <c r="G1123" t="s">
        <v>813</v>
      </c>
      <c r="H1123" t="s">
        <v>814</v>
      </c>
      <c r="I1123" t="s">
        <v>70</v>
      </c>
      <c r="J1123" t="s">
        <v>321</v>
      </c>
      <c r="K1123">
        <v>4673.7299999999996</v>
      </c>
      <c r="L1123">
        <v>153.07</v>
      </c>
      <c r="M1123" t="s">
        <v>4308</v>
      </c>
      <c r="N1123">
        <v>17815</v>
      </c>
      <c r="O1123">
        <v>20.83</v>
      </c>
      <c r="P1123">
        <v>16.2</v>
      </c>
      <c r="Q1123">
        <v>1.6</v>
      </c>
      <c r="R1123">
        <v>2.2400000000000002</v>
      </c>
      <c r="S1123">
        <v>3.34</v>
      </c>
      <c r="V1123" t="s">
        <v>923</v>
      </c>
      <c r="Z1123" t="s">
        <v>164</v>
      </c>
      <c r="AA1123">
        <v>7.35</v>
      </c>
      <c r="AB1123" t="s">
        <v>15187</v>
      </c>
      <c r="AC1123" t="s">
        <v>11039</v>
      </c>
      <c r="AD1123" t="s">
        <v>1470</v>
      </c>
      <c r="AE1123" t="s">
        <v>4966</v>
      </c>
      <c r="AF1123" t="s">
        <v>15021</v>
      </c>
      <c r="AG1123" t="s">
        <v>2018</v>
      </c>
      <c r="AH1123" t="s">
        <v>2796</v>
      </c>
      <c r="AI1123" t="s">
        <v>5775</v>
      </c>
      <c r="AJ1123" t="s">
        <v>770</v>
      </c>
      <c r="AK1123" t="s">
        <v>15188</v>
      </c>
      <c r="AL1123">
        <v>2.74</v>
      </c>
      <c r="AM1123">
        <v>1.21</v>
      </c>
      <c r="AN1123">
        <v>0.4</v>
      </c>
      <c r="AO1123" t="s">
        <v>15189</v>
      </c>
      <c r="AP1123" t="s">
        <v>1784</v>
      </c>
      <c r="AQ1123" t="s">
        <v>5877</v>
      </c>
      <c r="AR1123" t="s">
        <v>2876</v>
      </c>
      <c r="AS1123" t="s">
        <v>2789</v>
      </c>
      <c r="AT1123" t="s">
        <v>2162</v>
      </c>
      <c r="AU1123" t="s">
        <v>1453</v>
      </c>
      <c r="AV1123" t="s">
        <v>639</v>
      </c>
      <c r="AW1123" t="s">
        <v>3869</v>
      </c>
      <c r="AX1123" t="s">
        <v>7026</v>
      </c>
      <c r="AY1123" t="s">
        <v>3869</v>
      </c>
      <c r="AZ1123" t="s">
        <v>12159</v>
      </c>
      <c r="BA1123">
        <v>1.38</v>
      </c>
      <c r="BB1123">
        <v>200.56</v>
      </c>
      <c r="BC1123">
        <v>0.31</v>
      </c>
      <c r="BD1123">
        <v>152.12</v>
      </c>
      <c r="BE1123">
        <v>155.01</v>
      </c>
      <c r="BF1123">
        <v>152.07</v>
      </c>
      <c r="BG1123" t="s">
        <v>15190</v>
      </c>
      <c r="BH1123" t="s">
        <v>3869</v>
      </c>
      <c r="BI1123" t="s">
        <v>15191</v>
      </c>
      <c r="BJ1123" t="s">
        <v>101</v>
      </c>
      <c r="BK1123" t="s">
        <v>1054</v>
      </c>
      <c r="BL1123" t="s">
        <v>15192</v>
      </c>
      <c r="BM1123" t="s">
        <v>15193</v>
      </c>
      <c r="BN1123" t="s">
        <v>14623</v>
      </c>
    </row>
    <row r="1124" spans="1:66" x14ac:dyDescent="0.25">
      <c r="A1124" t="str">
        <f>HYPERLINK("https://elite.finviz.com/quote.ashx?t=LOB&amp;ty=c&amp;p=d&amp;b=1", "LOB")</f>
        <v>LOB</v>
      </c>
      <c r="B1124">
        <v>6</v>
      </c>
      <c r="C1124">
        <v>127.03</v>
      </c>
      <c r="D1124">
        <v>45.92</v>
      </c>
      <c r="E1124" t="s">
        <v>15194</v>
      </c>
      <c r="F1124" t="s">
        <v>67</v>
      </c>
      <c r="G1124" t="s">
        <v>550</v>
      </c>
      <c r="H1124" t="s">
        <v>697</v>
      </c>
      <c r="I1124" t="s">
        <v>70</v>
      </c>
      <c r="J1124" t="s">
        <v>71</v>
      </c>
      <c r="K1124">
        <v>1632.09</v>
      </c>
      <c r="L1124">
        <v>35.69</v>
      </c>
      <c r="M1124" t="s">
        <v>1119</v>
      </c>
      <c r="N1124">
        <v>20464</v>
      </c>
      <c r="O1124">
        <v>29.21</v>
      </c>
      <c r="P1124">
        <v>11.02</v>
      </c>
      <c r="Q1124">
        <v>0.78</v>
      </c>
      <c r="R1124">
        <v>1.65</v>
      </c>
      <c r="S1124">
        <v>1.53</v>
      </c>
      <c r="T1124" t="s">
        <v>3736</v>
      </c>
      <c r="U1124">
        <v>0.12</v>
      </c>
      <c r="V1124" t="s">
        <v>2187</v>
      </c>
      <c r="W1124" t="s">
        <v>164</v>
      </c>
      <c r="X1124" t="s">
        <v>164</v>
      </c>
      <c r="Y1124" t="s">
        <v>164</v>
      </c>
      <c r="Z1124" t="s">
        <v>2697</v>
      </c>
      <c r="AA1124">
        <v>1.22</v>
      </c>
      <c r="AB1124" t="s">
        <v>15096</v>
      </c>
      <c r="AC1124" t="s">
        <v>15195</v>
      </c>
      <c r="AD1124" t="s">
        <v>15196</v>
      </c>
      <c r="AE1124" t="s">
        <v>9300</v>
      </c>
      <c r="AF1124" t="s">
        <v>7040</v>
      </c>
      <c r="AG1124" t="s">
        <v>10765</v>
      </c>
      <c r="AH1124" t="s">
        <v>5839</v>
      </c>
      <c r="AI1124" t="s">
        <v>1439</v>
      </c>
      <c r="AJ1124" t="s">
        <v>211</v>
      </c>
      <c r="AK1124" t="s">
        <v>14998</v>
      </c>
      <c r="AL1124">
        <v>1.92</v>
      </c>
      <c r="AN1124">
        <v>0.1</v>
      </c>
      <c r="AP1124" t="s">
        <v>11639</v>
      </c>
      <c r="AQ1124" t="s">
        <v>5659</v>
      </c>
      <c r="AR1124" t="s">
        <v>4154</v>
      </c>
      <c r="AS1124" t="s">
        <v>2619</v>
      </c>
      <c r="AT1124" t="s">
        <v>608</v>
      </c>
      <c r="AU1124" t="s">
        <v>5258</v>
      </c>
      <c r="AV1124" t="s">
        <v>6981</v>
      </c>
      <c r="AW1124" t="s">
        <v>4692</v>
      </c>
      <c r="AX1124" t="s">
        <v>15197</v>
      </c>
      <c r="AY1124" t="s">
        <v>1459</v>
      </c>
      <c r="AZ1124" t="s">
        <v>3194</v>
      </c>
      <c r="BA1124">
        <v>2.2000000000000002</v>
      </c>
      <c r="BB1124">
        <v>286.69</v>
      </c>
      <c r="BC1124">
        <v>0.25</v>
      </c>
      <c r="BD1124">
        <v>36.4</v>
      </c>
      <c r="BE1124">
        <v>36.6</v>
      </c>
      <c r="BF1124">
        <v>35.69</v>
      </c>
      <c r="BG1124" t="s">
        <v>15198</v>
      </c>
      <c r="BH1124" t="s">
        <v>7535</v>
      </c>
      <c r="BI1124" t="s">
        <v>15199</v>
      </c>
      <c r="BJ1124" t="s">
        <v>101</v>
      </c>
      <c r="BK1124" t="s">
        <v>5465</v>
      </c>
      <c r="BL1124" t="s">
        <v>10395</v>
      </c>
      <c r="BM1124" t="s">
        <v>15200</v>
      </c>
      <c r="BN1124" t="s">
        <v>14623</v>
      </c>
    </row>
    <row r="1125" spans="1:66" x14ac:dyDescent="0.25">
      <c r="A1125" t="str">
        <f>HYPERLINK("https://elite.finviz.com/quote.ashx?t=FNLC&amp;ty=c&amp;p=d&amp;b=1", "FNLC")</f>
        <v>FNLC</v>
      </c>
      <c r="B1125">
        <v>6</v>
      </c>
      <c r="C1125">
        <v>127.03</v>
      </c>
      <c r="D1125">
        <v>45.93</v>
      </c>
      <c r="E1125" t="s">
        <v>15201</v>
      </c>
      <c r="F1125" t="s">
        <v>67</v>
      </c>
      <c r="G1125" t="s">
        <v>550</v>
      </c>
      <c r="H1125" t="s">
        <v>697</v>
      </c>
      <c r="I1125" t="s">
        <v>70</v>
      </c>
      <c r="J1125" t="s">
        <v>321</v>
      </c>
      <c r="K1125">
        <v>295.39999999999998</v>
      </c>
      <c r="L1125">
        <v>26.35</v>
      </c>
      <c r="M1125" t="s">
        <v>2880</v>
      </c>
      <c r="N1125">
        <v>2419</v>
      </c>
      <c r="O1125">
        <v>10.17</v>
      </c>
      <c r="R1125">
        <v>1.71</v>
      </c>
      <c r="S1125">
        <v>1.1100000000000001</v>
      </c>
      <c r="T1125" t="s">
        <v>2370</v>
      </c>
      <c r="U1125">
        <v>1.45</v>
      </c>
      <c r="V1125" t="s">
        <v>15202</v>
      </c>
      <c r="W1125" t="s">
        <v>5425</v>
      </c>
      <c r="X1125" t="s">
        <v>926</v>
      </c>
      <c r="Y1125" t="s">
        <v>5592</v>
      </c>
      <c r="Z1125" t="s">
        <v>15203</v>
      </c>
      <c r="AA1125">
        <v>2.59</v>
      </c>
      <c r="AB1125" t="s">
        <v>5767</v>
      </c>
      <c r="AC1125" t="s">
        <v>4865</v>
      </c>
      <c r="AE1125" t="s">
        <v>4110</v>
      </c>
      <c r="AF1125" t="s">
        <v>12886</v>
      </c>
      <c r="AG1125" t="s">
        <v>302</v>
      </c>
      <c r="AH1125" t="s">
        <v>191</v>
      </c>
      <c r="AJ1125" t="s">
        <v>3226</v>
      </c>
      <c r="AK1125" t="s">
        <v>10305</v>
      </c>
      <c r="AL1125">
        <v>0.04</v>
      </c>
      <c r="AN1125">
        <v>0.74</v>
      </c>
      <c r="AP1125" t="s">
        <v>510</v>
      </c>
      <c r="AQ1125" t="s">
        <v>1005</v>
      </c>
      <c r="AR1125" t="s">
        <v>648</v>
      </c>
      <c r="AS1125" t="s">
        <v>6151</v>
      </c>
      <c r="AT1125" t="s">
        <v>1313</v>
      </c>
      <c r="AU1125" t="s">
        <v>164</v>
      </c>
      <c r="AV1125" t="s">
        <v>5188</v>
      </c>
      <c r="AW1125" t="s">
        <v>5264</v>
      </c>
      <c r="AX1125" t="s">
        <v>2922</v>
      </c>
      <c r="AY1125" t="s">
        <v>15204</v>
      </c>
      <c r="AZ1125" t="s">
        <v>955</v>
      </c>
      <c r="BB1125">
        <v>22.03</v>
      </c>
      <c r="BC1125">
        <v>0.39</v>
      </c>
      <c r="BD1125">
        <v>26.3</v>
      </c>
      <c r="BE1125">
        <v>26.4</v>
      </c>
      <c r="BF1125">
        <v>26.4</v>
      </c>
      <c r="BG1125" t="s">
        <v>15205</v>
      </c>
      <c r="BH1125" t="s">
        <v>15206</v>
      </c>
      <c r="BI1125" t="s">
        <v>15207</v>
      </c>
      <c r="BJ1125" t="s">
        <v>101</v>
      </c>
      <c r="BK1125" t="s">
        <v>4125</v>
      </c>
      <c r="BL1125" t="s">
        <v>161</v>
      </c>
      <c r="BM1125" t="s">
        <v>3226</v>
      </c>
      <c r="BN1125" t="s">
        <v>14623</v>
      </c>
    </row>
    <row r="1126" spans="1:66" x14ac:dyDescent="0.25">
      <c r="A1126" t="str">
        <f>HYPERLINK("https://elite.finviz.com/quote.ashx?t=ONL&amp;ty=c&amp;p=d&amp;b=1", "ONL")</f>
        <v>ONL</v>
      </c>
      <c r="B1126">
        <v>6</v>
      </c>
      <c r="C1126">
        <v>127.03</v>
      </c>
      <c r="D1126">
        <v>45.93</v>
      </c>
      <c r="E1126" t="s">
        <v>15208</v>
      </c>
      <c r="F1126" t="s">
        <v>107</v>
      </c>
      <c r="G1126" t="s">
        <v>68</v>
      </c>
      <c r="H1126" t="s">
        <v>69</v>
      </c>
      <c r="I1126" t="s">
        <v>70</v>
      </c>
      <c r="J1126" t="s">
        <v>71</v>
      </c>
      <c r="K1126">
        <v>154.87</v>
      </c>
      <c r="L1126">
        <v>2.75</v>
      </c>
      <c r="M1126" t="s">
        <v>1445</v>
      </c>
      <c r="N1126">
        <v>14969</v>
      </c>
      <c r="R1126">
        <v>1.01</v>
      </c>
      <c r="S1126">
        <v>0.21</v>
      </c>
      <c r="T1126" t="s">
        <v>6419</v>
      </c>
      <c r="U1126">
        <v>0.14000000000000001</v>
      </c>
      <c r="V1126" t="s">
        <v>198</v>
      </c>
      <c r="W1126" t="s">
        <v>164</v>
      </c>
      <c r="AA1126">
        <v>-1.38</v>
      </c>
      <c r="AB1126" t="s">
        <v>14237</v>
      </c>
      <c r="AE1126" t="s">
        <v>15204</v>
      </c>
      <c r="AF1126" t="s">
        <v>7115</v>
      </c>
      <c r="AH1126" t="s">
        <v>15209</v>
      </c>
      <c r="AJ1126" t="s">
        <v>4892</v>
      </c>
      <c r="AK1126" t="s">
        <v>15210</v>
      </c>
      <c r="AL1126">
        <v>1.4</v>
      </c>
      <c r="AM1126">
        <v>1.4</v>
      </c>
      <c r="AN1126">
        <v>0.69</v>
      </c>
      <c r="AO1126" t="s">
        <v>2715</v>
      </c>
      <c r="AP1126" t="s">
        <v>2768</v>
      </c>
      <c r="AQ1126" t="s">
        <v>3585</v>
      </c>
      <c r="AR1126" t="s">
        <v>4142</v>
      </c>
      <c r="AS1126" t="s">
        <v>2764</v>
      </c>
      <c r="AT1126" t="s">
        <v>1074</v>
      </c>
      <c r="AU1126" t="s">
        <v>1083</v>
      </c>
      <c r="AV1126" t="s">
        <v>2276</v>
      </c>
      <c r="AW1126" t="s">
        <v>9955</v>
      </c>
      <c r="AX1126" t="s">
        <v>5539</v>
      </c>
      <c r="AY1126" t="s">
        <v>9961</v>
      </c>
      <c r="AZ1126" t="s">
        <v>15211</v>
      </c>
      <c r="BA1126">
        <v>2</v>
      </c>
      <c r="BB1126">
        <v>500.4</v>
      </c>
      <c r="BC1126">
        <v>0.11</v>
      </c>
      <c r="BD1126">
        <v>2.76</v>
      </c>
      <c r="BE1126">
        <v>2.78</v>
      </c>
      <c r="BF1126">
        <v>2.75</v>
      </c>
      <c r="BG1126" t="s">
        <v>15212</v>
      </c>
      <c r="BH1126" t="s">
        <v>15213</v>
      </c>
      <c r="BI1126" t="s">
        <v>15211</v>
      </c>
      <c r="BJ1126" t="s">
        <v>101</v>
      </c>
      <c r="BK1126" t="s">
        <v>279</v>
      </c>
      <c r="BL1126" t="s">
        <v>13432</v>
      </c>
      <c r="BM1126" t="s">
        <v>14007</v>
      </c>
      <c r="BN1126" t="s">
        <v>14623</v>
      </c>
    </row>
    <row r="1127" spans="1:66" x14ac:dyDescent="0.25">
      <c r="A1127" t="str">
        <f>HYPERLINK("https://elite.finviz.com/quote.ashx?t=WASH&amp;ty=c&amp;p=d&amp;b=1", "WASH")</f>
        <v>WASH</v>
      </c>
      <c r="B1127">
        <v>6</v>
      </c>
      <c r="C1127">
        <v>127.03</v>
      </c>
      <c r="D1127">
        <v>45.96</v>
      </c>
      <c r="E1127" t="s">
        <v>15214</v>
      </c>
      <c r="F1127" t="s">
        <v>67</v>
      </c>
      <c r="G1127" t="s">
        <v>550</v>
      </c>
      <c r="H1127" t="s">
        <v>697</v>
      </c>
      <c r="I1127" t="s">
        <v>70</v>
      </c>
      <c r="J1127" t="s">
        <v>321</v>
      </c>
      <c r="K1127">
        <v>556.84</v>
      </c>
      <c r="L1127">
        <v>29.07</v>
      </c>
      <c r="M1127" t="s">
        <v>2468</v>
      </c>
      <c r="N1127">
        <v>15910</v>
      </c>
      <c r="P1127">
        <v>9.49</v>
      </c>
      <c r="R1127">
        <v>1.87</v>
      </c>
      <c r="S1127">
        <v>1.06</v>
      </c>
      <c r="T1127" t="s">
        <v>8155</v>
      </c>
      <c r="U1127">
        <v>2.2400000000000002</v>
      </c>
      <c r="V1127" t="s">
        <v>700</v>
      </c>
      <c r="W1127" t="s">
        <v>164</v>
      </c>
      <c r="X1127" t="s">
        <v>3916</v>
      </c>
      <c r="Y1127" t="s">
        <v>679</v>
      </c>
      <c r="AA1127">
        <v>-1.53</v>
      </c>
      <c r="AE1127" t="s">
        <v>15215</v>
      </c>
      <c r="AF1127" t="s">
        <v>5726</v>
      </c>
      <c r="AG1127" t="s">
        <v>4394</v>
      </c>
      <c r="AH1127" t="s">
        <v>15209</v>
      </c>
      <c r="AI1127" t="s">
        <v>3746</v>
      </c>
      <c r="AJ1127" t="s">
        <v>2201</v>
      </c>
      <c r="AK1127" t="s">
        <v>15216</v>
      </c>
      <c r="AL1127">
        <v>0.04</v>
      </c>
      <c r="AN1127">
        <v>2.0099999999999998</v>
      </c>
      <c r="AP1127" t="s">
        <v>15217</v>
      </c>
      <c r="AQ1127" t="s">
        <v>5509</v>
      </c>
      <c r="AR1127" t="s">
        <v>3832</v>
      </c>
      <c r="AS1127" t="s">
        <v>7322</v>
      </c>
      <c r="AT1127" t="s">
        <v>5444</v>
      </c>
      <c r="AU1127" t="s">
        <v>2734</v>
      </c>
      <c r="AV1127" t="s">
        <v>8985</v>
      </c>
      <c r="AW1127" t="s">
        <v>5748</v>
      </c>
      <c r="AX1127" t="s">
        <v>2661</v>
      </c>
      <c r="AY1127" t="s">
        <v>8011</v>
      </c>
      <c r="AZ1127" t="s">
        <v>980</v>
      </c>
      <c r="BA1127">
        <v>3</v>
      </c>
      <c r="BB1127">
        <v>144.41999999999999</v>
      </c>
      <c r="BC1127">
        <v>0.39</v>
      </c>
      <c r="BD1127">
        <v>29.13</v>
      </c>
      <c r="BE1127">
        <v>29.26</v>
      </c>
      <c r="BF1127">
        <v>29.05</v>
      </c>
      <c r="BG1127" t="s">
        <v>15218</v>
      </c>
      <c r="BH1127" t="s">
        <v>15219</v>
      </c>
      <c r="BI1127" t="s">
        <v>15220</v>
      </c>
      <c r="BJ1127" t="s">
        <v>101</v>
      </c>
      <c r="BK1127" t="s">
        <v>4687</v>
      </c>
      <c r="BL1127" t="s">
        <v>15221</v>
      </c>
      <c r="BM1127" t="s">
        <v>613</v>
      </c>
      <c r="BN1127" t="s">
        <v>14623</v>
      </c>
    </row>
    <row r="1128" spans="1:66" x14ac:dyDescent="0.25">
      <c r="A1128" t="str">
        <f>HYPERLINK("https://elite.finviz.com/quote.ashx?t=PLUS&amp;ty=c&amp;p=d&amp;b=1", "PLUS")</f>
        <v>PLUS</v>
      </c>
      <c r="B1128">
        <v>6</v>
      </c>
      <c r="C1128">
        <v>127.03</v>
      </c>
      <c r="D1128">
        <v>46.02</v>
      </c>
      <c r="E1128" t="s">
        <v>15222</v>
      </c>
      <c r="F1128" t="s">
        <v>67</v>
      </c>
      <c r="G1128" t="s">
        <v>108</v>
      </c>
      <c r="H1128" t="s">
        <v>136</v>
      </c>
      <c r="I1128" t="s">
        <v>70</v>
      </c>
      <c r="J1128" t="s">
        <v>321</v>
      </c>
      <c r="K1128">
        <v>1897.07</v>
      </c>
      <c r="L1128">
        <v>71.25</v>
      </c>
      <c r="M1128" t="s">
        <v>4623</v>
      </c>
      <c r="N1128">
        <v>27777</v>
      </c>
      <c r="O1128">
        <v>16.579999999999998</v>
      </c>
      <c r="P1128">
        <v>15.75</v>
      </c>
      <c r="R1128">
        <v>0.89</v>
      </c>
      <c r="S1128">
        <v>1.86</v>
      </c>
      <c r="T1128" t="s">
        <v>141</v>
      </c>
      <c r="U1128">
        <v>0.25</v>
      </c>
      <c r="V1128" t="s">
        <v>2882</v>
      </c>
      <c r="Z1128" t="s">
        <v>164</v>
      </c>
      <c r="AA1128">
        <v>4.3</v>
      </c>
      <c r="AB1128" t="s">
        <v>1457</v>
      </c>
      <c r="AC1128" t="s">
        <v>12048</v>
      </c>
      <c r="AE1128" t="s">
        <v>1225</v>
      </c>
      <c r="AF1128" t="s">
        <v>5331</v>
      </c>
      <c r="AG1128" t="s">
        <v>6956</v>
      </c>
      <c r="AH1128" t="s">
        <v>420</v>
      </c>
      <c r="AI1128" t="s">
        <v>6413</v>
      </c>
      <c r="AJ1128" t="s">
        <v>164</v>
      </c>
      <c r="AK1128" t="s">
        <v>8111</v>
      </c>
      <c r="AL1128">
        <v>1.94</v>
      </c>
      <c r="AM1128">
        <v>1.79</v>
      </c>
      <c r="AN1128">
        <v>0</v>
      </c>
      <c r="AO1128" t="s">
        <v>2897</v>
      </c>
      <c r="AP1128" t="s">
        <v>5859</v>
      </c>
      <c r="AQ1128" t="s">
        <v>4428</v>
      </c>
      <c r="AR1128" t="s">
        <v>7437</v>
      </c>
      <c r="AS1128" t="s">
        <v>205</v>
      </c>
      <c r="AT1128" t="s">
        <v>14331</v>
      </c>
      <c r="AU1128" t="s">
        <v>1837</v>
      </c>
      <c r="AV1128" t="s">
        <v>2789</v>
      </c>
      <c r="AW1128" t="s">
        <v>4875</v>
      </c>
      <c r="AX1128" t="s">
        <v>5082</v>
      </c>
      <c r="AY1128" t="s">
        <v>15223</v>
      </c>
      <c r="AZ1128" t="s">
        <v>15224</v>
      </c>
      <c r="BA1128">
        <v>1</v>
      </c>
      <c r="BB1128">
        <v>193.72</v>
      </c>
      <c r="BC1128">
        <v>0.51</v>
      </c>
      <c r="BD1128">
        <v>70.83</v>
      </c>
      <c r="BE1128">
        <v>71.28</v>
      </c>
      <c r="BF1128">
        <v>70.78</v>
      </c>
      <c r="BG1128" t="s">
        <v>15225</v>
      </c>
      <c r="BH1128" t="s">
        <v>15223</v>
      </c>
      <c r="BI1128" t="s">
        <v>15226</v>
      </c>
      <c r="BJ1128" t="s">
        <v>101</v>
      </c>
      <c r="BK1128" t="s">
        <v>7262</v>
      </c>
      <c r="BL1128" t="s">
        <v>4067</v>
      </c>
      <c r="BM1128" t="s">
        <v>15227</v>
      </c>
      <c r="BN1128" t="s">
        <v>14623</v>
      </c>
    </row>
    <row r="1129" spans="1:66" x14ac:dyDescent="0.25">
      <c r="A1129" t="str">
        <f>HYPERLINK("https://elite.finviz.com/quote.ashx?t=TRUE&amp;ty=c&amp;p=d&amp;b=1", "TRUE")</f>
        <v>TRUE</v>
      </c>
      <c r="B1129">
        <v>6</v>
      </c>
      <c r="C1129">
        <v>127.03</v>
      </c>
      <c r="D1129">
        <v>46.11</v>
      </c>
      <c r="E1129" t="s">
        <v>15228</v>
      </c>
      <c r="F1129" t="s">
        <v>67</v>
      </c>
      <c r="G1129" t="s">
        <v>598</v>
      </c>
      <c r="H1129" t="s">
        <v>599</v>
      </c>
      <c r="I1129" t="s">
        <v>70</v>
      </c>
      <c r="J1129" t="s">
        <v>321</v>
      </c>
      <c r="K1129">
        <v>181.75</v>
      </c>
      <c r="L1129">
        <v>2.06</v>
      </c>
      <c r="M1129" t="s">
        <v>6336</v>
      </c>
      <c r="N1129">
        <v>33473</v>
      </c>
      <c r="R1129">
        <v>0.98</v>
      </c>
      <c r="S1129">
        <v>1.71</v>
      </c>
      <c r="AA1129">
        <v>-0.33</v>
      </c>
      <c r="AB1129" t="s">
        <v>4104</v>
      </c>
      <c r="AC1129" t="s">
        <v>1114</v>
      </c>
      <c r="AE1129" t="s">
        <v>11151</v>
      </c>
      <c r="AF1129" t="s">
        <v>9271</v>
      </c>
      <c r="AG1129" t="s">
        <v>6977</v>
      </c>
      <c r="AH1129" t="s">
        <v>5405</v>
      </c>
      <c r="AI1129" t="s">
        <v>4851</v>
      </c>
      <c r="AJ1129" t="s">
        <v>164</v>
      </c>
      <c r="AK1129" t="s">
        <v>1566</v>
      </c>
      <c r="AL1129">
        <v>4.51</v>
      </c>
      <c r="AM1129">
        <v>4.51</v>
      </c>
      <c r="AN1129">
        <v>0.1</v>
      </c>
      <c r="AO1129" t="s">
        <v>15229</v>
      </c>
      <c r="AP1129" t="s">
        <v>15230</v>
      </c>
      <c r="AQ1129" t="s">
        <v>2126</v>
      </c>
      <c r="AR1129" t="s">
        <v>6075</v>
      </c>
      <c r="AS1129" t="s">
        <v>2450</v>
      </c>
      <c r="AT1129" t="s">
        <v>13822</v>
      </c>
      <c r="AU1129" t="s">
        <v>4840</v>
      </c>
      <c r="AV1129" t="s">
        <v>2236</v>
      </c>
      <c r="AW1129" t="s">
        <v>15231</v>
      </c>
      <c r="AX1129" t="s">
        <v>13210</v>
      </c>
      <c r="AY1129" t="s">
        <v>15232</v>
      </c>
      <c r="AZ1129" t="s">
        <v>11974</v>
      </c>
      <c r="BA1129">
        <v>2.6</v>
      </c>
      <c r="BB1129">
        <v>380.96</v>
      </c>
      <c r="BC1129">
        <v>0.31</v>
      </c>
      <c r="BD1129">
        <v>2.02</v>
      </c>
      <c r="BE1129">
        <v>2.0699999999999998</v>
      </c>
      <c r="BF1129">
        <v>2.02</v>
      </c>
      <c r="BG1129" t="s">
        <v>15233</v>
      </c>
      <c r="BH1129" t="s">
        <v>13191</v>
      </c>
      <c r="BI1129" t="s">
        <v>11974</v>
      </c>
      <c r="BJ1129" t="s">
        <v>101</v>
      </c>
      <c r="BK1129" t="s">
        <v>1449</v>
      </c>
      <c r="BL1129" t="s">
        <v>4925</v>
      </c>
      <c r="BM1129" t="s">
        <v>15234</v>
      </c>
      <c r="BN1129" t="s">
        <v>14623</v>
      </c>
    </row>
    <row r="1130" spans="1:66" x14ac:dyDescent="0.25">
      <c r="A1130" t="str">
        <f>HYPERLINK("https://elite.finviz.com/quote.ashx?t=IDXX&amp;ty=c&amp;p=d&amp;b=1", "IDXX")</f>
        <v>IDXX</v>
      </c>
      <c r="B1130">
        <v>6</v>
      </c>
      <c r="C1130">
        <v>127.03</v>
      </c>
      <c r="D1130">
        <v>46.11</v>
      </c>
      <c r="E1130" t="s">
        <v>15235</v>
      </c>
      <c r="F1130" t="s">
        <v>319</v>
      </c>
      <c r="G1130" t="s">
        <v>428</v>
      </c>
      <c r="H1130" t="s">
        <v>4202</v>
      </c>
      <c r="I1130" t="s">
        <v>70</v>
      </c>
      <c r="J1130" t="s">
        <v>321</v>
      </c>
      <c r="K1130">
        <v>50174.55</v>
      </c>
      <c r="L1130">
        <v>627.15</v>
      </c>
      <c r="M1130" t="s">
        <v>907</v>
      </c>
      <c r="N1130">
        <v>99238</v>
      </c>
      <c r="O1130">
        <v>52.2</v>
      </c>
      <c r="P1130">
        <v>44.31</v>
      </c>
      <c r="Q1130">
        <v>3.57</v>
      </c>
      <c r="R1130">
        <v>12.43</v>
      </c>
      <c r="S1130">
        <v>34.46</v>
      </c>
      <c r="Z1130" t="s">
        <v>164</v>
      </c>
      <c r="AA1130">
        <v>12.01</v>
      </c>
      <c r="AB1130" t="s">
        <v>699</v>
      </c>
      <c r="AC1130" t="s">
        <v>3199</v>
      </c>
      <c r="AD1130" t="s">
        <v>11140</v>
      </c>
      <c r="AE1130" t="s">
        <v>1160</v>
      </c>
      <c r="AF1130" t="s">
        <v>6106</v>
      </c>
      <c r="AG1130" t="s">
        <v>3099</v>
      </c>
      <c r="AH1130" t="s">
        <v>3071</v>
      </c>
      <c r="AI1130" t="s">
        <v>1491</v>
      </c>
      <c r="AJ1130" t="s">
        <v>4921</v>
      </c>
      <c r="AK1130" t="s">
        <v>15236</v>
      </c>
      <c r="AL1130">
        <v>1.06</v>
      </c>
      <c r="AM1130">
        <v>0.74</v>
      </c>
      <c r="AN1130">
        <v>0.85</v>
      </c>
      <c r="AO1130" t="s">
        <v>15237</v>
      </c>
      <c r="AP1130" t="s">
        <v>6771</v>
      </c>
      <c r="AQ1130" t="s">
        <v>5113</v>
      </c>
      <c r="AR1130" t="s">
        <v>5660</v>
      </c>
      <c r="AS1130" t="s">
        <v>633</v>
      </c>
      <c r="AT1130" t="s">
        <v>5809</v>
      </c>
      <c r="AU1130" t="s">
        <v>8179</v>
      </c>
      <c r="AV1130" t="s">
        <v>6720</v>
      </c>
      <c r="AW1130" t="s">
        <v>4692</v>
      </c>
      <c r="AX1130" t="s">
        <v>13278</v>
      </c>
      <c r="AY1130" t="s">
        <v>4692</v>
      </c>
      <c r="AZ1130" t="s">
        <v>15238</v>
      </c>
      <c r="BA1130">
        <v>2.06</v>
      </c>
      <c r="BB1130">
        <v>557.71</v>
      </c>
      <c r="BC1130">
        <v>0.63</v>
      </c>
      <c r="BD1130">
        <v>618.16999999999996</v>
      </c>
      <c r="BE1130">
        <v>627.47</v>
      </c>
      <c r="BF1130">
        <v>617.51</v>
      </c>
      <c r="BG1130" t="s">
        <v>15239</v>
      </c>
      <c r="BH1130" t="s">
        <v>5498</v>
      </c>
      <c r="BI1130" t="s">
        <v>15240</v>
      </c>
      <c r="BJ1130" t="s">
        <v>101</v>
      </c>
      <c r="BK1130" t="s">
        <v>1843</v>
      </c>
      <c r="BL1130" t="s">
        <v>15241</v>
      </c>
      <c r="BM1130" t="s">
        <v>10008</v>
      </c>
      <c r="BN1130" t="s">
        <v>14623</v>
      </c>
    </row>
    <row r="1131" spans="1:66" x14ac:dyDescent="0.25">
      <c r="A1131" t="str">
        <f>HYPERLINK("https://elite.finviz.com/quote.ashx?t=IDN&amp;ty=c&amp;p=d&amp;b=1", "IDN")</f>
        <v>IDN</v>
      </c>
      <c r="B1131">
        <v>6</v>
      </c>
      <c r="C1131">
        <v>127.03</v>
      </c>
      <c r="D1131">
        <v>46.14</v>
      </c>
      <c r="E1131" t="s">
        <v>15242</v>
      </c>
      <c r="F1131" t="s">
        <v>107</v>
      </c>
      <c r="G1131" t="s">
        <v>108</v>
      </c>
      <c r="H1131" t="s">
        <v>136</v>
      </c>
      <c r="I1131" t="s">
        <v>70</v>
      </c>
      <c r="J1131" t="s">
        <v>321</v>
      </c>
      <c r="K1131">
        <v>105.6</v>
      </c>
      <c r="L1131">
        <v>5.27</v>
      </c>
      <c r="M1131" t="s">
        <v>2176</v>
      </c>
      <c r="N1131">
        <v>34100</v>
      </c>
      <c r="P1131">
        <v>197.6</v>
      </c>
      <c r="R1131">
        <v>5.1100000000000003</v>
      </c>
      <c r="S1131">
        <v>5.86</v>
      </c>
      <c r="AA1131">
        <v>-0.05</v>
      </c>
      <c r="AB1131" t="s">
        <v>13636</v>
      </c>
      <c r="AC1131" t="s">
        <v>3522</v>
      </c>
      <c r="AE1131" t="s">
        <v>234</v>
      </c>
      <c r="AF1131" t="s">
        <v>8276</v>
      </c>
      <c r="AG1131" t="s">
        <v>4466</v>
      </c>
      <c r="AH1131" t="s">
        <v>3305</v>
      </c>
      <c r="AI1131" t="s">
        <v>1882</v>
      </c>
      <c r="AJ1131" t="s">
        <v>1727</v>
      </c>
      <c r="AK1131" t="s">
        <v>15243</v>
      </c>
      <c r="AL1131">
        <v>2.4</v>
      </c>
      <c r="AM1131">
        <v>2.4</v>
      </c>
      <c r="AN1131">
        <v>0</v>
      </c>
      <c r="AO1131" t="s">
        <v>15244</v>
      </c>
      <c r="AP1131" t="s">
        <v>1052</v>
      </c>
      <c r="AQ1131" t="s">
        <v>15245</v>
      </c>
      <c r="AR1131" t="s">
        <v>322</v>
      </c>
      <c r="AS1131" t="s">
        <v>247</v>
      </c>
      <c r="AT1131" t="s">
        <v>9087</v>
      </c>
      <c r="AU1131" t="s">
        <v>629</v>
      </c>
      <c r="AV1131" t="s">
        <v>15246</v>
      </c>
      <c r="AW1131" t="s">
        <v>8023</v>
      </c>
      <c r="AX1131" t="s">
        <v>3525</v>
      </c>
      <c r="AY1131" t="s">
        <v>15231</v>
      </c>
      <c r="AZ1131" t="s">
        <v>15247</v>
      </c>
      <c r="BA1131">
        <v>1.5</v>
      </c>
      <c r="BB1131">
        <v>191.06</v>
      </c>
      <c r="BC1131">
        <v>0.63</v>
      </c>
      <c r="BD1131">
        <v>5.34</v>
      </c>
      <c r="BE1131">
        <v>5.39</v>
      </c>
      <c r="BF1131">
        <v>5.32</v>
      </c>
      <c r="BG1131" t="s">
        <v>15248</v>
      </c>
      <c r="BH1131" t="s">
        <v>15249</v>
      </c>
      <c r="BI1131" t="s">
        <v>15250</v>
      </c>
      <c r="BJ1131" t="s">
        <v>101</v>
      </c>
      <c r="BK1131" t="s">
        <v>331</v>
      </c>
      <c r="BL1131" t="s">
        <v>15251</v>
      </c>
      <c r="BM1131" t="s">
        <v>5170</v>
      </c>
      <c r="BN1131" t="s">
        <v>14623</v>
      </c>
    </row>
    <row r="1132" spans="1:66" x14ac:dyDescent="0.25">
      <c r="A1132" t="str">
        <f>HYPERLINK("https://elite.finviz.com/quote.ashx?t=CATY&amp;ty=c&amp;p=d&amp;b=1", "CATY")</f>
        <v>CATY</v>
      </c>
      <c r="B1132">
        <v>6</v>
      </c>
      <c r="C1132">
        <v>127.03</v>
      </c>
      <c r="D1132">
        <v>46.15</v>
      </c>
      <c r="E1132" t="s">
        <v>15252</v>
      </c>
      <c r="F1132" t="s">
        <v>67</v>
      </c>
      <c r="G1132" t="s">
        <v>550</v>
      </c>
      <c r="H1132" t="s">
        <v>697</v>
      </c>
      <c r="I1132" t="s">
        <v>70</v>
      </c>
      <c r="J1132" t="s">
        <v>321</v>
      </c>
      <c r="K1132">
        <v>3333.07</v>
      </c>
      <c r="L1132">
        <v>48.24</v>
      </c>
      <c r="M1132" t="s">
        <v>8425</v>
      </c>
      <c r="N1132">
        <v>42607</v>
      </c>
      <c r="O1132">
        <v>11.64</v>
      </c>
      <c r="P1132">
        <v>9.66</v>
      </c>
      <c r="Q1132">
        <v>0.78</v>
      </c>
      <c r="R1132">
        <v>2.42</v>
      </c>
      <c r="S1132">
        <v>1.1599999999999999</v>
      </c>
      <c r="T1132" t="s">
        <v>465</v>
      </c>
      <c r="U1132">
        <v>1.36</v>
      </c>
      <c r="V1132" t="s">
        <v>6765</v>
      </c>
      <c r="W1132" t="s">
        <v>164</v>
      </c>
      <c r="X1132" t="s">
        <v>4255</v>
      </c>
      <c r="Y1132" t="s">
        <v>2219</v>
      </c>
      <c r="Z1132" t="s">
        <v>9479</v>
      </c>
      <c r="AA1132">
        <v>4.1500000000000004</v>
      </c>
      <c r="AB1132" t="s">
        <v>4280</v>
      </c>
      <c r="AC1132" t="s">
        <v>2742</v>
      </c>
      <c r="AD1132" t="s">
        <v>3774</v>
      </c>
      <c r="AE1132" t="s">
        <v>1554</v>
      </c>
      <c r="AF1132" t="s">
        <v>10618</v>
      </c>
      <c r="AG1132" t="s">
        <v>9718</v>
      </c>
      <c r="AH1132" t="s">
        <v>181</v>
      </c>
      <c r="AI1132" t="s">
        <v>1837</v>
      </c>
      <c r="AJ1132" t="s">
        <v>770</v>
      </c>
      <c r="AK1132" t="s">
        <v>15253</v>
      </c>
      <c r="AL1132">
        <v>0.15</v>
      </c>
      <c r="AN1132">
        <v>0.2</v>
      </c>
      <c r="AP1132" t="s">
        <v>10467</v>
      </c>
      <c r="AQ1132" t="s">
        <v>6414</v>
      </c>
      <c r="AR1132" t="s">
        <v>909</v>
      </c>
      <c r="AS1132" t="s">
        <v>2307</v>
      </c>
      <c r="AT1132" t="s">
        <v>1866</v>
      </c>
      <c r="AU1132" t="s">
        <v>2642</v>
      </c>
      <c r="AV1132" t="s">
        <v>5591</v>
      </c>
      <c r="AW1132" t="s">
        <v>2604</v>
      </c>
      <c r="AX1132" t="s">
        <v>4996</v>
      </c>
      <c r="AY1132" t="s">
        <v>998</v>
      </c>
      <c r="AZ1132" t="s">
        <v>11392</v>
      </c>
      <c r="BA1132">
        <v>2.6</v>
      </c>
      <c r="BB1132">
        <v>421.12</v>
      </c>
      <c r="BC1132">
        <v>0.36</v>
      </c>
      <c r="BD1132">
        <v>48.37</v>
      </c>
      <c r="BE1132">
        <v>48.78</v>
      </c>
      <c r="BF1132">
        <v>48.19</v>
      </c>
      <c r="BG1132" t="s">
        <v>15254</v>
      </c>
      <c r="BH1132" t="s">
        <v>998</v>
      </c>
      <c r="BI1132" t="s">
        <v>15255</v>
      </c>
      <c r="BJ1132" t="s">
        <v>101</v>
      </c>
      <c r="BK1132" t="s">
        <v>3983</v>
      </c>
      <c r="BL1132" t="s">
        <v>847</v>
      </c>
      <c r="BM1132" t="s">
        <v>5756</v>
      </c>
      <c r="BN1132" t="s">
        <v>14623</v>
      </c>
    </row>
    <row r="1133" spans="1:66" x14ac:dyDescent="0.25">
      <c r="A1133" t="str">
        <f>HYPERLINK("https://elite.finviz.com/quote.ashx?t=VICR&amp;ty=c&amp;p=d&amp;b=1", "VICR")</f>
        <v>VICR</v>
      </c>
      <c r="B1133">
        <v>6</v>
      </c>
      <c r="C1133">
        <v>127.03</v>
      </c>
      <c r="D1133">
        <v>46.16</v>
      </c>
      <c r="E1133" t="s">
        <v>15256</v>
      </c>
      <c r="F1133" t="s">
        <v>67</v>
      </c>
      <c r="G1133" t="s">
        <v>108</v>
      </c>
      <c r="H1133" t="s">
        <v>3346</v>
      </c>
      <c r="I1133" t="s">
        <v>70</v>
      </c>
      <c r="J1133" t="s">
        <v>321</v>
      </c>
      <c r="K1133">
        <v>2254.9499999999998</v>
      </c>
      <c r="L1133">
        <v>50.2</v>
      </c>
      <c r="M1133" t="s">
        <v>4289</v>
      </c>
      <c r="N1133">
        <v>71436</v>
      </c>
      <c r="O1133">
        <v>34.58</v>
      </c>
      <c r="P1133">
        <v>35.6</v>
      </c>
      <c r="R1133">
        <v>5.94</v>
      </c>
      <c r="S1133">
        <v>3.7</v>
      </c>
      <c r="V1133" t="s">
        <v>15257</v>
      </c>
      <c r="Z1133" t="s">
        <v>164</v>
      </c>
      <c r="AA1133">
        <v>1.45</v>
      </c>
      <c r="AB1133" t="s">
        <v>15258</v>
      </c>
      <c r="AC1133" t="s">
        <v>12026</v>
      </c>
      <c r="AE1133" t="s">
        <v>4547</v>
      </c>
      <c r="AF1133" t="s">
        <v>3598</v>
      </c>
      <c r="AG1133" t="s">
        <v>8286</v>
      </c>
      <c r="AH1133" t="s">
        <v>4079</v>
      </c>
      <c r="AI1133" t="s">
        <v>15259</v>
      </c>
      <c r="AJ1133" t="s">
        <v>3598</v>
      </c>
      <c r="AK1133" t="s">
        <v>15260</v>
      </c>
      <c r="AL1133">
        <v>6.97</v>
      </c>
      <c r="AM1133">
        <v>5.68</v>
      </c>
      <c r="AN1133">
        <v>0.01</v>
      </c>
      <c r="AO1133" t="s">
        <v>7162</v>
      </c>
      <c r="AP1133" t="s">
        <v>316</v>
      </c>
      <c r="AQ1133" t="s">
        <v>3103</v>
      </c>
      <c r="AR1133" t="s">
        <v>203</v>
      </c>
      <c r="AS1133" t="s">
        <v>295</v>
      </c>
      <c r="AT1133" t="s">
        <v>997</v>
      </c>
      <c r="AU1133" t="s">
        <v>910</v>
      </c>
      <c r="AV1133" t="s">
        <v>4800</v>
      </c>
      <c r="AW1133" t="s">
        <v>15261</v>
      </c>
      <c r="AX1133" t="s">
        <v>12922</v>
      </c>
      <c r="AY1133" t="s">
        <v>12039</v>
      </c>
      <c r="AZ1133" t="s">
        <v>5484</v>
      </c>
      <c r="BA1133">
        <v>2.33</v>
      </c>
      <c r="BB1133">
        <v>361</v>
      </c>
      <c r="BC1133">
        <v>0.7</v>
      </c>
      <c r="BD1133">
        <v>52.13</v>
      </c>
      <c r="BE1133">
        <v>52.57</v>
      </c>
      <c r="BF1133">
        <v>50.28</v>
      </c>
      <c r="BG1133" t="s">
        <v>15262</v>
      </c>
      <c r="BH1133" t="s">
        <v>15263</v>
      </c>
      <c r="BI1133" t="s">
        <v>15264</v>
      </c>
      <c r="BJ1133" t="s">
        <v>101</v>
      </c>
      <c r="BK1133" t="s">
        <v>2351</v>
      </c>
      <c r="BL1133" t="s">
        <v>530</v>
      </c>
      <c r="BM1133" t="s">
        <v>4798</v>
      </c>
      <c r="BN1133" t="s">
        <v>14623</v>
      </c>
    </row>
    <row r="1134" spans="1:66" x14ac:dyDescent="0.25">
      <c r="A1134" t="str">
        <f>HYPERLINK("https://elite.finviz.com/quote.ashx?t=ADAM&amp;ty=c&amp;p=d&amp;b=1", "ADAM")</f>
        <v>ADAM</v>
      </c>
      <c r="B1134">
        <v>6</v>
      </c>
      <c r="C1134">
        <v>127.03</v>
      </c>
      <c r="D1134">
        <v>46.17</v>
      </c>
      <c r="E1134" t="s">
        <v>15265</v>
      </c>
      <c r="F1134" t="s">
        <v>67</v>
      </c>
      <c r="G1134" t="s">
        <v>68</v>
      </c>
      <c r="H1134" t="s">
        <v>5566</v>
      </c>
      <c r="I1134" t="s">
        <v>70</v>
      </c>
      <c r="J1134" t="s">
        <v>321</v>
      </c>
      <c r="K1134">
        <v>639.5</v>
      </c>
      <c r="L1134">
        <v>7.08</v>
      </c>
      <c r="M1134" t="s">
        <v>183</v>
      </c>
      <c r="N1134">
        <v>84144</v>
      </c>
      <c r="O1134">
        <v>37.31</v>
      </c>
      <c r="P1134">
        <v>8.11</v>
      </c>
      <c r="R1134">
        <v>1.1000000000000001</v>
      </c>
      <c r="S1134">
        <v>0.76</v>
      </c>
      <c r="T1134" t="s">
        <v>9187</v>
      </c>
      <c r="U1134">
        <v>0.83</v>
      </c>
      <c r="V1134" t="s">
        <v>2651</v>
      </c>
      <c r="W1134" t="s">
        <v>8887</v>
      </c>
      <c r="X1134" t="s">
        <v>1197</v>
      </c>
      <c r="Y1134" t="s">
        <v>9579</v>
      </c>
      <c r="AA1134">
        <v>0.19</v>
      </c>
      <c r="AE1134" t="s">
        <v>5800</v>
      </c>
      <c r="AF1134" t="s">
        <v>12178</v>
      </c>
      <c r="AG1134" t="s">
        <v>11775</v>
      </c>
      <c r="AH1134" t="s">
        <v>5867</v>
      </c>
      <c r="AI1134" t="s">
        <v>15266</v>
      </c>
      <c r="AJ1134" t="s">
        <v>164</v>
      </c>
      <c r="AK1134" t="s">
        <v>15267</v>
      </c>
      <c r="AL1134">
        <v>7.0000000000000007E-2</v>
      </c>
      <c r="AM1134">
        <v>7.0000000000000007E-2</v>
      </c>
      <c r="AN1134">
        <v>6.46</v>
      </c>
      <c r="AO1134" t="s">
        <v>4141</v>
      </c>
      <c r="AP1134" t="s">
        <v>15268</v>
      </c>
      <c r="AQ1134" t="s">
        <v>304</v>
      </c>
      <c r="AR1134" t="s">
        <v>5263</v>
      </c>
      <c r="AS1134" t="s">
        <v>679</v>
      </c>
      <c r="AT1134" t="s">
        <v>91</v>
      </c>
      <c r="AU1134" t="s">
        <v>2144</v>
      </c>
      <c r="AV1134" t="s">
        <v>466</v>
      </c>
      <c r="AW1134" t="s">
        <v>2220</v>
      </c>
      <c r="AX1134" t="s">
        <v>3774</v>
      </c>
      <c r="AY1134" t="s">
        <v>2220</v>
      </c>
      <c r="AZ1134" t="s">
        <v>3472</v>
      </c>
      <c r="BA1134">
        <v>2</v>
      </c>
      <c r="BB1134">
        <v>677.75</v>
      </c>
      <c r="BC1134">
        <v>0.44</v>
      </c>
      <c r="BD1134">
        <v>7.07</v>
      </c>
      <c r="BE1134">
        <v>7.1</v>
      </c>
      <c r="BF1134">
        <v>7.03</v>
      </c>
      <c r="BG1134" t="s">
        <v>15269</v>
      </c>
      <c r="BH1134" t="s">
        <v>15270</v>
      </c>
      <c r="BI1134" t="s">
        <v>15271</v>
      </c>
      <c r="BJ1134" t="s">
        <v>101</v>
      </c>
      <c r="BK1134" t="s">
        <v>2398</v>
      </c>
      <c r="BL1134" t="s">
        <v>2398</v>
      </c>
      <c r="BM1134" t="s">
        <v>3733</v>
      </c>
      <c r="BN1134" t="s">
        <v>14623</v>
      </c>
    </row>
    <row r="1135" spans="1:66" x14ac:dyDescent="0.25">
      <c r="A1135" t="str">
        <f>HYPERLINK("https://elite.finviz.com/quote.ashx?t=TPST&amp;ty=c&amp;p=d&amp;b=1", "TPST")</f>
        <v>TPST</v>
      </c>
      <c r="B1135">
        <v>6</v>
      </c>
      <c r="C1135">
        <v>127.03</v>
      </c>
      <c r="D1135">
        <v>46.24</v>
      </c>
      <c r="E1135" t="s">
        <v>15272</v>
      </c>
      <c r="F1135" t="s">
        <v>107</v>
      </c>
      <c r="G1135" t="s">
        <v>428</v>
      </c>
      <c r="H1135" t="s">
        <v>429</v>
      </c>
      <c r="I1135" t="s">
        <v>70</v>
      </c>
      <c r="J1135" t="s">
        <v>321</v>
      </c>
      <c r="K1135">
        <v>41.3</v>
      </c>
      <c r="L1135">
        <v>9.3000000000000007</v>
      </c>
      <c r="M1135" t="s">
        <v>4699</v>
      </c>
      <c r="N1135">
        <v>3938</v>
      </c>
      <c r="S1135">
        <v>4.22</v>
      </c>
      <c r="AA1135">
        <v>-14.63</v>
      </c>
      <c r="AB1135" t="s">
        <v>666</v>
      </c>
      <c r="AC1135" t="s">
        <v>11171</v>
      </c>
      <c r="AI1135" t="s">
        <v>950</v>
      </c>
      <c r="AJ1135" t="s">
        <v>164</v>
      </c>
      <c r="AK1135" t="s">
        <v>11732</v>
      </c>
      <c r="AL1135">
        <v>2.11</v>
      </c>
      <c r="AM1135">
        <v>2.11</v>
      </c>
      <c r="AN1135">
        <v>0.89</v>
      </c>
      <c r="AR1135" t="s">
        <v>4641</v>
      </c>
      <c r="AS1135" t="s">
        <v>3601</v>
      </c>
      <c r="AT1135" t="s">
        <v>5134</v>
      </c>
      <c r="AU1135" t="s">
        <v>1391</v>
      </c>
      <c r="AV1135" t="s">
        <v>1303</v>
      </c>
      <c r="AW1135" t="s">
        <v>5570</v>
      </c>
      <c r="AX1135" t="s">
        <v>14843</v>
      </c>
      <c r="AY1135" t="s">
        <v>15273</v>
      </c>
      <c r="AZ1135" t="s">
        <v>6889</v>
      </c>
      <c r="BA1135">
        <v>3</v>
      </c>
      <c r="BB1135">
        <v>76.05</v>
      </c>
      <c r="BC1135">
        <v>0.18</v>
      </c>
      <c r="BD1135">
        <v>9.31</v>
      </c>
      <c r="BE1135">
        <v>9.3800000000000008</v>
      </c>
      <c r="BF1135">
        <v>9.1999999999999993</v>
      </c>
      <c r="BG1135" t="s">
        <v>15274</v>
      </c>
      <c r="BH1135" t="s">
        <v>3320</v>
      </c>
      <c r="BI1135" t="s">
        <v>15275</v>
      </c>
      <c r="BJ1135" t="s">
        <v>101</v>
      </c>
      <c r="BK1135" t="s">
        <v>9534</v>
      </c>
      <c r="BL1135" t="s">
        <v>4729</v>
      </c>
      <c r="BM1135" t="s">
        <v>8026</v>
      </c>
      <c r="BN1135" t="s">
        <v>14623</v>
      </c>
    </row>
    <row r="1136" spans="1:66" x14ac:dyDescent="0.25">
      <c r="A1136" t="str">
        <f>HYPERLINK("https://elite.finviz.com/quote.ashx?t=IIPR&amp;ty=c&amp;p=d&amp;b=1", "IIPR")</f>
        <v>IIPR</v>
      </c>
      <c r="B1136">
        <v>6</v>
      </c>
      <c r="C1136">
        <v>127.03</v>
      </c>
      <c r="D1136">
        <v>46.25</v>
      </c>
      <c r="E1136" t="s">
        <v>15276</v>
      </c>
      <c r="F1136" t="s">
        <v>67</v>
      </c>
      <c r="G1136" t="s">
        <v>68</v>
      </c>
      <c r="H1136" t="s">
        <v>6342</v>
      </c>
      <c r="I1136" t="s">
        <v>70</v>
      </c>
      <c r="J1136" t="s">
        <v>71</v>
      </c>
      <c r="K1136">
        <v>1536.26</v>
      </c>
      <c r="L1136">
        <v>54.82</v>
      </c>
      <c r="M1136" t="s">
        <v>193</v>
      </c>
      <c r="N1136">
        <v>69151</v>
      </c>
      <c r="O1136">
        <v>11.86</v>
      </c>
      <c r="P1136">
        <v>13.6</v>
      </c>
      <c r="R1136">
        <v>5.34</v>
      </c>
      <c r="S1136">
        <v>0.83</v>
      </c>
      <c r="T1136" t="s">
        <v>6779</v>
      </c>
      <c r="U1136">
        <v>7.6</v>
      </c>
      <c r="V1136" t="s">
        <v>198</v>
      </c>
      <c r="W1136" t="s">
        <v>4690</v>
      </c>
      <c r="X1136" t="s">
        <v>4248</v>
      </c>
      <c r="Y1136" t="s">
        <v>6437</v>
      </c>
      <c r="Z1136" t="s">
        <v>15277</v>
      </c>
      <c r="AA1136">
        <v>4.62</v>
      </c>
      <c r="AB1136" t="s">
        <v>6330</v>
      </c>
      <c r="AC1136" t="s">
        <v>7726</v>
      </c>
      <c r="AE1136" t="s">
        <v>5197</v>
      </c>
      <c r="AF1136" t="s">
        <v>10918</v>
      </c>
      <c r="AG1136" t="s">
        <v>11891</v>
      </c>
      <c r="AH1136" t="s">
        <v>619</v>
      </c>
      <c r="AI1136" t="s">
        <v>2220</v>
      </c>
      <c r="AJ1136" t="s">
        <v>164</v>
      </c>
      <c r="AK1136" t="s">
        <v>15278</v>
      </c>
      <c r="AL1136">
        <v>1</v>
      </c>
      <c r="AM1136">
        <v>1</v>
      </c>
      <c r="AN1136">
        <v>0.15</v>
      </c>
      <c r="AO1136" t="s">
        <v>15279</v>
      </c>
      <c r="AP1136" t="s">
        <v>2664</v>
      </c>
      <c r="AQ1136" t="s">
        <v>15280</v>
      </c>
      <c r="AR1136" t="s">
        <v>901</v>
      </c>
      <c r="AS1136" t="s">
        <v>2742</v>
      </c>
      <c r="AT1136" t="s">
        <v>4516</v>
      </c>
      <c r="AU1136" t="s">
        <v>1559</v>
      </c>
      <c r="AV1136" t="s">
        <v>15281</v>
      </c>
      <c r="AW1136" t="s">
        <v>10533</v>
      </c>
      <c r="AX1136" t="s">
        <v>14660</v>
      </c>
      <c r="AY1136" t="s">
        <v>15282</v>
      </c>
      <c r="AZ1136" t="s">
        <v>15283</v>
      </c>
      <c r="BA1136">
        <v>3.33</v>
      </c>
      <c r="BB1136">
        <v>311.31</v>
      </c>
      <c r="BC1136">
        <v>0.78</v>
      </c>
      <c r="BD1136">
        <v>54.67</v>
      </c>
      <c r="BE1136">
        <v>55.1</v>
      </c>
      <c r="BF1136">
        <v>54.47</v>
      </c>
      <c r="BG1136" t="s">
        <v>15284</v>
      </c>
      <c r="BH1136" t="s">
        <v>15285</v>
      </c>
      <c r="BI1136" t="s">
        <v>15286</v>
      </c>
      <c r="BJ1136" t="s">
        <v>101</v>
      </c>
      <c r="BK1136" t="s">
        <v>1373</v>
      </c>
      <c r="BL1136" t="s">
        <v>3728</v>
      </c>
      <c r="BM1136" t="s">
        <v>15287</v>
      </c>
      <c r="BN1136" t="s">
        <v>14623</v>
      </c>
    </row>
    <row r="1137" spans="1:66" x14ac:dyDescent="0.25">
      <c r="A1137" t="str">
        <f>HYPERLINK("https://elite.finviz.com/quote.ashx?t=HLLY&amp;ty=c&amp;p=d&amp;b=1", "HLLY")</f>
        <v>HLLY</v>
      </c>
      <c r="B1137">
        <v>6</v>
      </c>
      <c r="C1137">
        <v>127.03</v>
      </c>
      <c r="D1137">
        <v>46.27</v>
      </c>
      <c r="E1137" t="s">
        <v>15288</v>
      </c>
      <c r="F1137" t="s">
        <v>67</v>
      </c>
      <c r="G1137" t="s">
        <v>813</v>
      </c>
      <c r="H1137" t="s">
        <v>814</v>
      </c>
      <c r="I1137" t="s">
        <v>70</v>
      </c>
      <c r="J1137" t="s">
        <v>71</v>
      </c>
      <c r="K1137">
        <v>389.82</v>
      </c>
      <c r="L1137">
        <v>3.23</v>
      </c>
      <c r="M1137" t="s">
        <v>581</v>
      </c>
      <c r="N1137">
        <v>78433</v>
      </c>
      <c r="P1137">
        <v>8.9499999999999993</v>
      </c>
      <c r="R1137">
        <v>0.66</v>
      </c>
      <c r="S1137">
        <v>0.88</v>
      </c>
      <c r="AA1137">
        <v>-0.26</v>
      </c>
      <c r="AB1137" t="s">
        <v>1055</v>
      </c>
      <c r="AD1137" t="s">
        <v>5167</v>
      </c>
      <c r="AE1137" t="s">
        <v>9240</v>
      </c>
      <c r="AF1137" t="s">
        <v>7392</v>
      </c>
      <c r="AG1137" t="s">
        <v>5914</v>
      </c>
      <c r="AH1137" t="s">
        <v>5000</v>
      </c>
      <c r="AI1137" t="s">
        <v>746</v>
      </c>
      <c r="AJ1137" t="s">
        <v>15289</v>
      </c>
      <c r="AK1137" t="s">
        <v>15290</v>
      </c>
      <c r="AL1137">
        <v>2.93</v>
      </c>
      <c r="AM1137">
        <v>1.18</v>
      </c>
      <c r="AN1137">
        <v>1.34</v>
      </c>
      <c r="AO1137" t="s">
        <v>15291</v>
      </c>
      <c r="AP1137" t="s">
        <v>6748</v>
      </c>
      <c r="AQ1137" t="s">
        <v>4540</v>
      </c>
      <c r="AR1137" t="s">
        <v>1452</v>
      </c>
      <c r="AS1137" t="s">
        <v>3530</v>
      </c>
      <c r="AT1137" t="s">
        <v>4517</v>
      </c>
      <c r="AU1137" t="s">
        <v>1438</v>
      </c>
      <c r="AV1137" t="s">
        <v>6022</v>
      </c>
      <c r="AW1137" t="s">
        <v>10636</v>
      </c>
      <c r="AX1137" t="s">
        <v>15292</v>
      </c>
      <c r="AY1137" t="s">
        <v>10636</v>
      </c>
      <c r="AZ1137" t="s">
        <v>4152</v>
      </c>
      <c r="BA1137">
        <v>1.62</v>
      </c>
      <c r="BB1137">
        <v>865.51</v>
      </c>
      <c r="BC1137">
        <v>0.32</v>
      </c>
      <c r="BD1137">
        <v>3.2</v>
      </c>
      <c r="BE1137">
        <v>3.25</v>
      </c>
      <c r="BF1137">
        <v>3.18</v>
      </c>
      <c r="BG1137" t="s">
        <v>15293</v>
      </c>
      <c r="BH1137" t="s">
        <v>15294</v>
      </c>
      <c r="BI1137" t="s">
        <v>4152</v>
      </c>
      <c r="BJ1137" t="s">
        <v>101</v>
      </c>
      <c r="BK1137" t="s">
        <v>15295</v>
      </c>
      <c r="BL1137" t="s">
        <v>13206</v>
      </c>
      <c r="BM1137" t="s">
        <v>7541</v>
      </c>
      <c r="BN1137" t="s">
        <v>14623</v>
      </c>
    </row>
    <row r="1138" spans="1:66" x14ac:dyDescent="0.25">
      <c r="A1138" t="str">
        <f>HYPERLINK("https://elite.finviz.com/quote.ashx?t=OPRT&amp;ty=c&amp;p=d&amp;b=1", "OPRT")</f>
        <v>OPRT</v>
      </c>
      <c r="B1138">
        <v>6</v>
      </c>
      <c r="C1138">
        <v>127.03</v>
      </c>
      <c r="D1138">
        <v>46.27</v>
      </c>
      <c r="E1138" t="s">
        <v>15296</v>
      </c>
      <c r="F1138" t="s">
        <v>67</v>
      </c>
      <c r="G1138" t="s">
        <v>550</v>
      </c>
      <c r="H1138" t="s">
        <v>3744</v>
      </c>
      <c r="I1138" t="s">
        <v>70</v>
      </c>
      <c r="J1138" t="s">
        <v>321</v>
      </c>
      <c r="K1138">
        <v>283.01</v>
      </c>
      <c r="L1138">
        <v>6.43</v>
      </c>
      <c r="M1138" t="s">
        <v>406</v>
      </c>
      <c r="N1138">
        <v>81354</v>
      </c>
      <c r="P1138">
        <v>4.01</v>
      </c>
      <c r="R1138">
        <v>0.28999999999999998</v>
      </c>
      <c r="S1138">
        <v>0.75</v>
      </c>
      <c r="AA1138">
        <v>-0.2</v>
      </c>
      <c r="AD1138" t="s">
        <v>9049</v>
      </c>
      <c r="AE1138" t="s">
        <v>8654</v>
      </c>
      <c r="AF1138" t="s">
        <v>5473</v>
      </c>
      <c r="AG1138" t="s">
        <v>3614</v>
      </c>
      <c r="AH1138" t="s">
        <v>9629</v>
      </c>
      <c r="AI1138" t="s">
        <v>15297</v>
      </c>
      <c r="AJ1138" t="s">
        <v>2745</v>
      </c>
      <c r="AK1138" t="s">
        <v>15298</v>
      </c>
      <c r="AL1138">
        <v>4.24</v>
      </c>
      <c r="AN1138">
        <v>7.35</v>
      </c>
      <c r="AP1138" t="s">
        <v>4634</v>
      </c>
      <c r="AQ1138" t="s">
        <v>2426</v>
      </c>
      <c r="AR1138" t="s">
        <v>2235</v>
      </c>
      <c r="AS1138" t="s">
        <v>4269</v>
      </c>
      <c r="AT1138" t="s">
        <v>4920</v>
      </c>
      <c r="AU1138" t="s">
        <v>1279</v>
      </c>
      <c r="AV1138" t="s">
        <v>1110</v>
      </c>
      <c r="AW1138" t="s">
        <v>15299</v>
      </c>
      <c r="AX1138" t="s">
        <v>6064</v>
      </c>
      <c r="AY1138" t="s">
        <v>8503</v>
      </c>
      <c r="AZ1138" t="s">
        <v>15300</v>
      </c>
      <c r="BA1138">
        <v>1.86</v>
      </c>
      <c r="BB1138">
        <v>698.64</v>
      </c>
      <c r="BC1138">
        <v>0.41</v>
      </c>
      <c r="BD1138">
        <v>6.43</v>
      </c>
      <c r="BE1138">
        <v>6.5</v>
      </c>
      <c r="BF1138">
        <v>6.37</v>
      </c>
      <c r="BG1138" t="s">
        <v>15301</v>
      </c>
      <c r="BH1138" t="s">
        <v>15302</v>
      </c>
      <c r="BI1138" t="s">
        <v>15303</v>
      </c>
      <c r="BJ1138" t="s">
        <v>101</v>
      </c>
      <c r="BK1138" t="s">
        <v>15304</v>
      </c>
      <c r="BL1138" t="s">
        <v>2066</v>
      </c>
      <c r="BM1138" t="s">
        <v>15305</v>
      </c>
      <c r="BN1138" t="s">
        <v>14623</v>
      </c>
    </row>
    <row r="1139" spans="1:66" x14ac:dyDescent="0.25">
      <c r="A1139" t="str">
        <f>HYPERLINK("https://elite.finviz.com/quote.ashx?t=CLYM&amp;ty=c&amp;p=d&amp;b=1", "CLYM")</f>
        <v>CLYM</v>
      </c>
      <c r="B1139">
        <v>6</v>
      </c>
      <c r="C1139">
        <v>127.03</v>
      </c>
      <c r="D1139">
        <v>46.32</v>
      </c>
      <c r="E1139" t="s">
        <v>15306</v>
      </c>
      <c r="F1139" t="s">
        <v>107</v>
      </c>
      <c r="G1139" t="s">
        <v>428</v>
      </c>
      <c r="H1139" t="s">
        <v>429</v>
      </c>
      <c r="I1139" t="s">
        <v>70</v>
      </c>
      <c r="J1139" t="s">
        <v>321</v>
      </c>
      <c r="K1139">
        <v>141.1</v>
      </c>
      <c r="L1139">
        <v>2.08</v>
      </c>
      <c r="M1139" t="s">
        <v>5424</v>
      </c>
      <c r="N1139">
        <v>204229</v>
      </c>
      <c r="S1139">
        <v>0.76</v>
      </c>
      <c r="AA1139">
        <v>-0.69</v>
      </c>
      <c r="AB1139" t="s">
        <v>2861</v>
      </c>
      <c r="AC1139" t="s">
        <v>15307</v>
      </c>
      <c r="AD1139" t="s">
        <v>2169</v>
      </c>
      <c r="AI1139" t="s">
        <v>14644</v>
      </c>
      <c r="AJ1139" t="s">
        <v>2760</v>
      </c>
      <c r="AK1139" t="s">
        <v>13918</v>
      </c>
      <c r="AL1139">
        <v>14.08</v>
      </c>
      <c r="AM1139">
        <v>14.08</v>
      </c>
      <c r="AN1139">
        <v>0</v>
      </c>
      <c r="AR1139" t="s">
        <v>8843</v>
      </c>
      <c r="AS1139" t="s">
        <v>1243</v>
      </c>
      <c r="AT1139" t="s">
        <v>7449</v>
      </c>
      <c r="AU1139" t="s">
        <v>10926</v>
      </c>
      <c r="AV1139" t="s">
        <v>9973</v>
      </c>
      <c r="AW1139" t="s">
        <v>15308</v>
      </c>
      <c r="AX1139" t="s">
        <v>4457</v>
      </c>
      <c r="AY1139" t="s">
        <v>15309</v>
      </c>
      <c r="AZ1139" t="s">
        <v>15310</v>
      </c>
      <c r="BA1139">
        <v>1.25</v>
      </c>
      <c r="BB1139">
        <v>539.47</v>
      </c>
      <c r="BC1139">
        <v>1.33</v>
      </c>
      <c r="BD1139">
        <v>2.1</v>
      </c>
      <c r="BE1139">
        <v>2.21</v>
      </c>
      <c r="BF1139">
        <v>2.02</v>
      </c>
      <c r="BG1139" t="s">
        <v>15311</v>
      </c>
      <c r="BH1139" t="s">
        <v>15312</v>
      </c>
      <c r="BI1139" t="s">
        <v>15310</v>
      </c>
      <c r="BJ1139" t="s">
        <v>101</v>
      </c>
      <c r="BK1139" t="s">
        <v>11118</v>
      </c>
      <c r="BL1139" t="s">
        <v>2798</v>
      </c>
      <c r="BM1139" t="s">
        <v>15313</v>
      </c>
      <c r="BN1139" t="s">
        <v>14623</v>
      </c>
    </row>
    <row r="1140" spans="1:66" x14ac:dyDescent="0.25">
      <c r="A1140" t="str">
        <f>HYPERLINK("https://elite.finviz.com/quote.ashx?t=TBHC&amp;ty=c&amp;p=d&amp;b=1", "TBHC")</f>
        <v>TBHC</v>
      </c>
      <c r="B1140">
        <v>6</v>
      </c>
      <c r="C1140">
        <v>127.03</v>
      </c>
      <c r="D1140">
        <v>46.38</v>
      </c>
      <c r="E1140" t="s">
        <v>15314</v>
      </c>
      <c r="F1140" t="s">
        <v>107</v>
      </c>
      <c r="G1140" t="s">
        <v>813</v>
      </c>
      <c r="H1140" t="s">
        <v>4265</v>
      </c>
      <c r="I1140" t="s">
        <v>70</v>
      </c>
      <c r="J1140" t="s">
        <v>321</v>
      </c>
      <c r="K1140">
        <v>37.28</v>
      </c>
      <c r="L1140">
        <v>1.66</v>
      </c>
      <c r="M1140" t="s">
        <v>1690</v>
      </c>
      <c r="N1140">
        <v>53307</v>
      </c>
      <c r="R1140">
        <v>0.09</v>
      </c>
      <c r="AA1140">
        <v>-1.51</v>
      </c>
      <c r="AC1140" t="s">
        <v>5840</v>
      </c>
      <c r="AE1140" t="s">
        <v>5741</v>
      </c>
      <c r="AF1140" t="s">
        <v>6757</v>
      </c>
      <c r="AG1140" t="s">
        <v>9412</v>
      </c>
      <c r="AH1140" t="s">
        <v>15315</v>
      </c>
      <c r="AI1140" t="s">
        <v>15316</v>
      </c>
      <c r="AJ1140" t="s">
        <v>164</v>
      </c>
      <c r="AK1140" t="s">
        <v>9614</v>
      </c>
      <c r="AL1140">
        <v>0.78</v>
      </c>
      <c r="AM1140">
        <v>0.09</v>
      </c>
      <c r="AO1140" t="s">
        <v>262</v>
      </c>
      <c r="AP1140" t="s">
        <v>3321</v>
      </c>
      <c r="AQ1140" t="s">
        <v>4259</v>
      </c>
      <c r="AR1140" t="s">
        <v>4999</v>
      </c>
      <c r="AS1140" t="s">
        <v>5841</v>
      </c>
      <c r="AT1140" t="s">
        <v>11693</v>
      </c>
      <c r="AU1140" t="s">
        <v>5497</v>
      </c>
      <c r="AV1140" t="s">
        <v>7874</v>
      </c>
      <c r="AW1140" t="s">
        <v>14488</v>
      </c>
      <c r="AX1140" t="s">
        <v>15317</v>
      </c>
      <c r="AY1140" t="s">
        <v>15318</v>
      </c>
      <c r="AZ1140" t="s">
        <v>15319</v>
      </c>
      <c r="BA1140">
        <v>3</v>
      </c>
      <c r="BB1140">
        <v>353.36</v>
      </c>
      <c r="BC1140">
        <v>0.54</v>
      </c>
      <c r="BD1140">
        <v>1.7</v>
      </c>
      <c r="BE1140">
        <v>1.77</v>
      </c>
      <c r="BF1140">
        <v>1.66</v>
      </c>
      <c r="BG1140" t="s">
        <v>15320</v>
      </c>
      <c r="BH1140" t="s">
        <v>15321</v>
      </c>
      <c r="BI1140" t="s">
        <v>15322</v>
      </c>
      <c r="BJ1140" t="s">
        <v>101</v>
      </c>
      <c r="BK1140" t="s">
        <v>5709</v>
      </c>
      <c r="BL1140" t="s">
        <v>4847</v>
      </c>
      <c r="BM1140" t="s">
        <v>15323</v>
      </c>
      <c r="BN1140" t="s">
        <v>14623</v>
      </c>
    </row>
    <row r="1141" spans="1:66" x14ac:dyDescent="0.25">
      <c r="A1141" t="str">
        <f>HYPERLINK("https://elite.finviz.com/quote.ashx?t=TRS&amp;ty=c&amp;p=d&amp;b=1", "TRS")</f>
        <v>TRS</v>
      </c>
      <c r="B1141">
        <v>6</v>
      </c>
      <c r="C1141">
        <v>127.03</v>
      </c>
      <c r="D1141">
        <v>46.38</v>
      </c>
      <c r="E1141" t="s">
        <v>15324</v>
      </c>
      <c r="F1141" t="s">
        <v>67</v>
      </c>
      <c r="G1141" t="s">
        <v>813</v>
      </c>
      <c r="H1141" t="s">
        <v>7355</v>
      </c>
      <c r="I1141" t="s">
        <v>70</v>
      </c>
      <c r="J1141" t="s">
        <v>321</v>
      </c>
      <c r="K1141">
        <v>1538.54</v>
      </c>
      <c r="L1141">
        <v>37.85</v>
      </c>
      <c r="M1141" t="s">
        <v>4538</v>
      </c>
      <c r="N1141">
        <v>71364</v>
      </c>
      <c r="O1141">
        <v>41.54</v>
      </c>
      <c r="P1141">
        <v>15.95</v>
      </c>
      <c r="R1141">
        <v>1.58</v>
      </c>
      <c r="S1141">
        <v>2.15</v>
      </c>
      <c r="T1141" t="s">
        <v>1409</v>
      </c>
      <c r="U1141">
        <v>0.16</v>
      </c>
      <c r="V1141" t="s">
        <v>6057</v>
      </c>
      <c r="W1141" t="s">
        <v>164</v>
      </c>
      <c r="X1141" t="s">
        <v>8149</v>
      </c>
      <c r="Z1141" t="s">
        <v>4943</v>
      </c>
      <c r="AA1141">
        <v>0.91</v>
      </c>
      <c r="AB1141" t="s">
        <v>12039</v>
      </c>
      <c r="AC1141" t="s">
        <v>15325</v>
      </c>
      <c r="AE1141" t="s">
        <v>8855</v>
      </c>
      <c r="AF1141" t="s">
        <v>248</v>
      </c>
      <c r="AG1141" t="s">
        <v>2429</v>
      </c>
      <c r="AH1141" t="s">
        <v>15187</v>
      </c>
      <c r="AI1141" t="s">
        <v>11443</v>
      </c>
      <c r="AJ1141" t="s">
        <v>9196</v>
      </c>
      <c r="AK1141" t="s">
        <v>6261</v>
      </c>
      <c r="AL1141">
        <v>2.59</v>
      </c>
      <c r="AM1141">
        <v>1.44</v>
      </c>
      <c r="AN1141">
        <v>0.66</v>
      </c>
      <c r="AO1141" t="s">
        <v>4424</v>
      </c>
      <c r="AP1141" t="s">
        <v>616</v>
      </c>
      <c r="AQ1141" t="s">
        <v>323</v>
      </c>
      <c r="AR1141" t="s">
        <v>6430</v>
      </c>
      <c r="AS1141" t="s">
        <v>3208</v>
      </c>
      <c r="AT1141" t="s">
        <v>4257</v>
      </c>
      <c r="AU1141" t="s">
        <v>5132</v>
      </c>
      <c r="AV1141" t="s">
        <v>15173</v>
      </c>
      <c r="AW1141" t="s">
        <v>6775</v>
      </c>
      <c r="AX1141" t="s">
        <v>3529</v>
      </c>
      <c r="AY1141" t="s">
        <v>6775</v>
      </c>
      <c r="AZ1141" t="s">
        <v>15326</v>
      </c>
      <c r="BA1141">
        <v>1.33</v>
      </c>
      <c r="BB1141">
        <v>505.64</v>
      </c>
      <c r="BC1141">
        <v>0.5</v>
      </c>
      <c r="BD1141">
        <v>37.94</v>
      </c>
      <c r="BE1141">
        <v>38.119999999999997</v>
      </c>
      <c r="BF1141">
        <v>37.71</v>
      </c>
      <c r="BG1141" t="s">
        <v>15327</v>
      </c>
      <c r="BH1141" t="s">
        <v>6775</v>
      </c>
      <c r="BI1141" t="s">
        <v>15328</v>
      </c>
      <c r="BJ1141" t="s">
        <v>101</v>
      </c>
      <c r="BK1141" t="s">
        <v>8682</v>
      </c>
      <c r="BL1141" t="s">
        <v>15329</v>
      </c>
      <c r="BM1141" t="s">
        <v>15330</v>
      </c>
      <c r="BN1141" t="s">
        <v>14623</v>
      </c>
    </row>
    <row r="1142" spans="1:66" x14ac:dyDescent="0.25">
      <c r="A1142" t="str">
        <f>HYPERLINK("https://elite.finviz.com/quote.ashx?t=GCO&amp;ty=c&amp;p=d&amp;b=1", "GCO")</f>
        <v>GCO</v>
      </c>
      <c r="B1142">
        <v>6</v>
      </c>
      <c r="C1142">
        <v>127.03</v>
      </c>
      <c r="D1142">
        <v>46.47</v>
      </c>
      <c r="E1142" t="s">
        <v>15331</v>
      </c>
      <c r="F1142" t="s">
        <v>67</v>
      </c>
      <c r="G1142" t="s">
        <v>813</v>
      </c>
      <c r="H1142" t="s">
        <v>4488</v>
      </c>
      <c r="I1142" t="s">
        <v>70</v>
      </c>
      <c r="J1142" t="s">
        <v>71</v>
      </c>
      <c r="K1142">
        <v>329.1</v>
      </c>
      <c r="L1142">
        <v>30.49</v>
      </c>
      <c r="M1142" t="s">
        <v>9084</v>
      </c>
      <c r="N1142">
        <v>13368</v>
      </c>
      <c r="P1142">
        <v>13.75</v>
      </c>
      <c r="R1142">
        <v>0.14000000000000001</v>
      </c>
      <c r="S1142">
        <v>0.65</v>
      </c>
      <c r="AA1142">
        <v>-2.4500000000000002</v>
      </c>
      <c r="AD1142" t="s">
        <v>4441</v>
      </c>
      <c r="AE1142" t="s">
        <v>89</v>
      </c>
      <c r="AF1142" t="s">
        <v>1787</v>
      </c>
      <c r="AG1142" t="s">
        <v>1279</v>
      </c>
      <c r="AH1142" t="s">
        <v>6475</v>
      </c>
      <c r="AI1142" t="s">
        <v>2053</v>
      </c>
      <c r="AJ1142" t="s">
        <v>3586</v>
      </c>
      <c r="AK1142" t="s">
        <v>15332</v>
      </c>
      <c r="AL1142">
        <v>1.56</v>
      </c>
      <c r="AM1142">
        <v>0.35</v>
      </c>
      <c r="AN1142">
        <v>1.1599999999999999</v>
      </c>
      <c r="AO1142" t="s">
        <v>15333</v>
      </c>
      <c r="AP1142" t="s">
        <v>5253</v>
      </c>
      <c r="AQ1142" t="s">
        <v>7137</v>
      </c>
      <c r="AR1142" t="s">
        <v>5554</v>
      </c>
      <c r="AS1142" t="s">
        <v>4172</v>
      </c>
      <c r="AT1142" t="s">
        <v>9091</v>
      </c>
      <c r="AU1142" t="s">
        <v>10237</v>
      </c>
      <c r="AV1142" t="s">
        <v>3036</v>
      </c>
      <c r="AW1142" t="s">
        <v>15334</v>
      </c>
      <c r="AX1142" t="s">
        <v>15335</v>
      </c>
      <c r="AY1142" t="s">
        <v>15336</v>
      </c>
      <c r="AZ1142" t="s">
        <v>15337</v>
      </c>
      <c r="BA1142">
        <v>2.33</v>
      </c>
      <c r="BB1142">
        <v>198.03</v>
      </c>
      <c r="BC1142">
        <v>0.24</v>
      </c>
      <c r="BD1142">
        <v>30.71</v>
      </c>
      <c r="BE1142">
        <v>30.85</v>
      </c>
      <c r="BF1142">
        <v>30.51</v>
      </c>
      <c r="BG1142" t="s">
        <v>15338</v>
      </c>
      <c r="BH1142" t="s">
        <v>15339</v>
      </c>
      <c r="BI1142" t="s">
        <v>15340</v>
      </c>
      <c r="BJ1142" t="s">
        <v>101</v>
      </c>
      <c r="BK1142" t="s">
        <v>15341</v>
      </c>
      <c r="BL1142" t="s">
        <v>15342</v>
      </c>
      <c r="BM1142" t="s">
        <v>485</v>
      </c>
      <c r="BN1142" t="s">
        <v>14623</v>
      </c>
    </row>
    <row r="1143" spans="1:66" x14ac:dyDescent="0.25">
      <c r="A1143" t="str">
        <f>HYPERLINK("https://elite.finviz.com/quote.ashx?t=CCBG&amp;ty=c&amp;p=d&amp;b=1", "CCBG")</f>
        <v>CCBG</v>
      </c>
      <c r="B1143">
        <v>6</v>
      </c>
      <c r="C1143">
        <v>127.03</v>
      </c>
      <c r="D1143">
        <v>46.55</v>
      </c>
      <c r="E1143" t="s">
        <v>15343</v>
      </c>
      <c r="F1143" t="s">
        <v>67</v>
      </c>
      <c r="G1143" t="s">
        <v>550</v>
      </c>
      <c r="H1143" t="s">
        <v>697</v>
      </c>
      <c r="I1143" t="s">
        <v>70</v>
      </c>
      <c r="J1143" t="s">
        <v>321</v>
      </c>
      <c r="K1143">
        <v>722.77</v>
      </c>
      <c r="L1143">
        <v>42.35</v>
      </c>
      <c r="M1143" t="s">
        <v>1564</v>
      </c>
      <c r="N1143">
        <v>5412</v>
      </c>
      <c r="O1143">
        <v>12.41</v>
      </c>
      <c r="P1143">
        <v>12.26</v>
      </c>
      <c r="R1143">
        <v>2.54</v>
      </c>
      <c r="S1143">
        <v>1.37</v>
      </c>
      <c r="T1143" t="s">
        <v>6003</v>
      </c>
      <c r="U1143">
        <v>0.97</v>
      </c>
      <c r="V1143" t="s">
        <v>9611</v>
      </c>
      <c r="W1143" t="s">
        <v>3238</v>
      </c>
      <c r="X1143" t="s">
        <v>511</v>
      </c>
      <c r="Y1143" t="s">
        <v>1369</v>
      </c>
      <c r="Z1143" t="s">
        <v>13125</v>
      </c>
      <c r="AA1143">
        <v>3.41</v>
      </c>
      <c r="AB1143" t="s">
        <v>11856</v>
      </c>
      <c r="AC1143" t="s">
        <v>3920</v>
      </c>
      <c r="AE1143" t="s">
        <v>2438</v>
      </c>
      <c r="AF1143" t="s">
        <v>5999</v>
      </c>
      <c r="AG1143" t="s">
        <v>6981</v>
      </c>
      <c r="AH1143" t="s">
        <v>3303</v>
      </c>
      <c r="AI1143" t="s">
        <v>6751</v>
      </c>
      <c r="AJ1143" t="s">
        <v>2760</v>
      </c>
      <c r="AK1143" t="s">
        <v>15344</v>
      </c>
      <c r="AL1143">
        <v>0.35</v>
      </c>
      <c r="AN1143">
        <v>0.2</v>
      </c>
      <c r="AP1143" t="s">
        <v>14932</v>
      </c>
      <c r="AQ1143" t="s">
        <v>3735</v>
      </c>
      <c r="AR1143" t="s">
        <v>3925</v>
      </c>
      <c r="AS1143" t="s">
        <v>2424</v>
      </c>
      <c r="AT1143" t="s">
        <v>9500</v>
      </c>
      <c r="AU1143" t="s">
        <v>5610</v>
      </c>
      <c r="AV1143" t="s">
        <v>7361</v>
      </c>
      <c r="AW1143" t="s">
        <v>10228</v>
      </c>
      <c r="AX1143" t="s">
        <v>7654</v>
      </c>
      <c r="AY1143" t="s">
        <v>10228</v>
      </c>
      <c r="AZ1143" t="s">
        <v>10379</v>
      </c>
      <c r="BA1143">
        <v>1.67</v>
      </c>
      <c r="BB1143">
        <v>43.05</v>
      </c>
      <c r="BC1143">
        <v>0.45</v>
      </c>
      <c r="BD1143">
        <v>42.51</v>
      </c>
      <c r="BE1143">
        <v>42.95</v>
      </c>
      <c r="BF1143">
        <v>42.43</v>
      </c>
      <c r="BG1143" t="s">
        <v>15345</v>
      </c>
      <c r="BH1143" t="s">
        <v>10228</v>
      </c>
      <c r="BI1143" t="s">
        <v>15346</v>
      </c>
      <c r="BJ1143" t="s">
        <v>101</v>
      </c>
      <c r="BK1143" t="s">
        <v>5389</v>
      </c>
      <c r="BL1143" t="s">
        <v>5408</v>
      </c>
      <c r="BM1143" t="s">
        <v>7501</v>
      </c>
      <c r="BN1143" t="s">
        <v>14623</v>
      </c>
    </row>
    <row r="1144" spans="1:66" x14ac:dyDescent="0.25">
      <c r="A1144" t="str">
        <f>HYPERLINK("https://elite.finviz.com/quote.ashx?t=LFUS&amp;ty=c&amp;p=d&amp;b=1", "LFUS")</f>
        <v>LFUS</v>
      </c>
      <c r="B1144">
        <v>6</v>
      </c>
      <c r="C1144">
        <v>127.03</v>
      </c>
      <c r="D1144">
        <v>46.6</v>
      </c>
      <c r="E1144" t="s">
        <v>15347</v>
      </c>
      <c r="F1144" t="s">
        <v>107</v>
      </c>
      <c r="G1144" t="s">
        <v>108</v>
      </c>
      <c r="H1144" t="s">
        <v>3346</v>
      </c>
      <c r="I1144" t="s">
        <v>70</v>
      </c>
      <c r="J1144" t="s">
        <v>321</v>
      </c>
      <c r="K1144">
        <v>6357.59</v>
      </c>
      <c r="L1144">
        <v>256.55</v>
      </c>
      <c r="M1144" t="s">
        <v>2426</v>
      </c>
      <c r="N1144">
        <v>14640</v>
      </c>
      <c r="O1144">
        <v>53.47</v>
      </c>
      <c r="P1144">
        <v>20.69</v>
      </c>
      <c r="Q1144">
        <v>2.58</v>
      </c>
      <c r="R1144">
        <v>2.81</v>
      </c>
      <c r="S1144">
        <v>2.4500000000000002</v>
      </c>
      <c r="T1144" t="s">
        <v>3047</v>
      </c>
      <c r="U1144">
        <v>2.85</v>
      </c>
      <c r="V1144" t="s">
        <v>5037</v>
      </c>
      <c r="W1144" t="s">
        <v>238</v>
      </c>
      <c r="X1144" t="s">
        <v>10793</v>
      </c>
      <c r="Y1144" t="s">
        <v>6348</v>
      </c>
      <c r="Z1144" t="s">
        <v>15348</v>
      </c>
      <c r="AA1144">
        <v>4.8</v>
      </c>
      <c r="AB1144" t="s">
        <v>14017</v>
      </c>
      <c r="AC1144" t="s">
        <v>4174</v>
      </c>
      <c r="AD1144" t="s">
        <v>15349</v>
      </c>
      <c r="AE1144" t="s">
        <v>2185</v>
      </c>
      <c r="AF1144" t="s">
        <v>4946</v>
      </c>
      <c r="AG1144" t="s">
        <v>2515</v>
      </c>
      <c r="AH1144" t="s">
        <v>3335</v>
      </c>
      <c r="AI1144" t="s">
        <v>10829</v>
      </c>
      <c r="AJ1144" t="s">
        <v>10731</v>
      </c>
      <c r="AK1144" t="s">
        <v>15350</v>
      </c>
      <c r="AL1144">
        <v>4.0599999999999996</v>
      </c>
      <c r="AM1144">
        <v>2.98</v>
      </c>
      <c r="AN1144">
        <v>0.35</v>
      </c>
      <c r="AO1144" t="s">
        <v>13840</v>
      </c>
      <c r="AP1144" t="s">
        <v>4315</v>
      </c>
      <c r="AQ1144" t="s">
        <v>4172</v>
      </c>
      <c r="AR1144" t="s">
        <v>3671</v>
      </c>
      <c r="AS1144" t="s">
        <v>633</v>
      </c>
      <c r="AT1144" t="s">
        <v>6152</v>
      </c>
      <c r="AU1144" t="s">
        <v>5055</v>
      </c>
      <c r="AV1144" t="s">
        <v>15351</v>
      </c>
      <c r="AW1144" t="s">
        <v>10364</v>
      </c>
      <c r="AX1144" t="s">
        <v>1455</v>
      </c>
      <c r="AY1144" t="s">
        <v>10364</v>
      </c>
      <c r="AZ1144" t="s">
        <v>15352</v>
      </c>
      <c r="BA1144">
        <v>2.5</v>
      </c>
      <c r="BB1144">
        <v>170.78</v>
      </c>
      <c r="BC1144">
        <v>0.3</v>
      </c>
      <c r="BD1144">
        <v>257.75</v>
      </c>
      <c r="BE1144">
        <v>259.27999999999997</v>
      </c>
      <c r="BF1144">
        <v>256.79000000000002</v>
      </c>
      <c r="BG1144" t="s">
        <v>15353</v>
      </c>
      <c r="BH1144" t="s">
        <v>8548</v>
      </c>
      <c r="BI1144" t="s">
        <v>15354</v>
      </c>
      <c r="BJ1144" t="s">
        <v>101</v>
      </c>
      <c r="BK1144" t="s">
        <v>7575</v>
      </c>
      <c r="BL1144" t="s">
        <v>6022</v>
      </c>
      <c r="BM1144" t="s">
        <v>2826</v>
      </c>
      <c r="BN1144" t="s">
        <v>14623</v>
      </c>
    </row>
    <row r="1145" spans="1:66" x14ac:dyDescent="0.25">
      <c r="A1145" t="str">
        <f>HYPERLINK("https://elite.finviz.com/quote.ashx?t=TLSI&amp;ty=c&amp;p=d&amp;b=1", "TLSI")</f>
        <v>TLSI</v>
      </c>
      <c r="B1145">
        <v>6</v>
      </c>
      <c r="C1145">
        <v>127.03</v>
      </c>
      <c r="D1145">
        <v>46.62</v>
      </c>
      <c r="E1145" t="s">
        <v>15355</v>
      </c>
      <c r="F1145" t="s">
        <v>67</v>
      </c>
      <c r="G1145" t="s">
        <v>428</v>
      </c>
      <c r="H1145" t="s">
        <v>2051</v>
      </c>
      <c r="I1145" t="s">
        <v>70</v>
      </c>
      <c r="J1145" t="s">
        <v>321</v>
      </c>
      <c r="K1145">
        <v>234.13</v>
      </c>
      <c r="L1145">
        <v>4.7</v>
      </c>
      <c r="M1145" t="s">
        <v>8789</v>
      </c>
      <c r="N1145">
        <v>6195</v>
      </c>
      <c r="R1145">
        <v>6.51</v>
      </c>
      <c r="AA1145">
        <v>-1.18</v>
      </c>
      <c r="AC1145" t="s">
        <v>15356</v>
      </c>
      <c r="AE1145" t="s">
        <v>12322</v>
      </c>
      <c r="AH1145" t="s">
        <v>12358</v>
      </c>
      <c r="AI1145" t="s">
        <v>15357</v>
      </c>
      <c r="AJ1145" t="s">
        <v>171</v>
      </c>
      <c r="AK1145" t="s">
        <v>8735</v>
      </c>
      <c r="AL1145">
        <v>4.08</v>
      </c>
      <c r="AM1145">
        <v>3.68</v>
      </c>
      <c r="AO1145" t="s">
        <v>8827</v>
      </c>
      <c r="AP1145" t="s">
        <v>15358</v>
      </c>
      <c r="AQ1145" t="s">
        <v>15359</v>
      </c>
      <c r="AR1145" t="s">
        <v>2035</v>
      </c>
      <c r="AS1145" t="s">
        <v>7210</v>
      </c>
      <c r="AT1145" t="s">
        <v>9087</v>
      </c>
      <c r="AU1145" t="s">
        <v>6990</v>
      </c>
      <c r="AV1145" t="s">
        <v>94</v>
      </c>
      <c r="AW1145" t="s">
        <v>7200</v>
      </c>
      <c r="AX1145" t="s">
        <v>15360</v>
      </c>
      <c r="AY1145" t="s">
        <v>10719</v>
      </c>
      <c r="AZ1145" t="s">
        <v>15360</v>
      </c>
      <c r="BA1145">
        <v>1</v>
      </c>
      <c r="BB1145">
        <v>122.58</v>
      </c>
      <c r="BC1145">
        <v>0.18</v>
      </c>
      <c r="BD1145">
        <v>4.76</v>
      </c>
      <c r="BE1145">
        <v>4.75</v>
      </c>
      <c r="BF1145">
        <v>4.7</v>
      </c>
      <c r="BG1145" t="s">
        <v>15361</v>
      </c>
      <c r="BH1145" t="s">
        <v>6454</v>
      </c>
      <c r="BI1145" t="s">
        <v>13270</v>
      </c>
      <c r="BJ1145" t="s">
        <v>101</v>
      </c>
      <c r="BK1145" t="s">
        <v>15362</v>
      </c>
      <c r="BL1145" t="s">
        <v>13342</v>
      </c>
      <c r="BM1145" t="s">
        <v>1680</v>
      </c>
      <c r="BN1145" t="s">
        <v>14623</v>
      </c>
    </row>
    <row r="1146" spans="1:66" x14ac:dyDescent="0.25">
      <c r="A1146" t="str">
        <f>HYPERLINK("https://elite.finviz.com/quote.ashx?t=MSS&amp;ty=c&amp;p=d&amp;b=1", "MSS")</f>
        <v>MSS</v>
      </c>
      <c r="B1146">
        <v>6</v>
      </c>
      <c r="C1146">
        <v>127.03</v>
      </c>
      <c r="D1146">
        <v>46.78</v>
      </c>
      <c r="E1146" t="s">
        <v>15363</v>
      </c>
      <c r="F1146" t="s">
        <v>107</v>
      </c>
      <c r="G1146" t="s">
        <v>2244</v>
      </c>
      <c r="H1146" t="s">
        <v>14712</v>
      </c>
      <c r="I1146" t="s">
        <v>70</v>
      </c>
      <c r="J1146" t="s">
        <v>321</v>
      </c>
      <c r="K1146">
        <v>15.97</v>
      </c>
      <c r="L1146">
        <v>0.92</v>
      </c>
      <c r="M1146" t="s">
        <v>5742</v>
      </c>
      <c r="N1146">
        <v>87623</v>
      </c>
      <c r="P1146">
        <v>7.63</v>
      </c>
      <c r="R1146">
        <v>0.13</v>
      </c>
      <c r="S1146">
        <v>1.58</v>
      </c>
      <c r="Z1146" t="s">
        <v>164</v>
      </c>
      <c r="AA1146">
        <v>-0.03</v>
      </c>
      <c r="AC1146" t="s">
        <v>4395</v>
      </c>
      <c r="AE1146" t="s">
        <v>15364</v>
      </c>
      <c r="AF1146" t="s">
        <v>15365</v>
      </c>
      <c r="AG1146" t="s">
        <v>3778</v>
      </c>
      <c r="AH1146" t="s">
        <v>15366</v>
      </c>
      <c r="AJ1146" t="s">
        <v>164</v>
      </c>
      <c r="AK1146" t="s">
        <v>6430</v>
      </c>
      <c r="AL1146">
        <v>0.57999999999999996</v>
      </c>
      <c r="AM1146">
        <v>0.32</v>
      </c>
      <c r="AN1146">
        <v>4.7699999999999996</v>
      </c>
      <c r="AO1146" t="s">
        <v>3413</v>
      </c>
      <c r="AP1146" t="s">
        <v>3811</v>
      </c>
      <c r="AQ1146" t="s">
        <v>4886</v>
      </c>
      <c r="AR1146" t="s">
        <v>2376</v>
      </c>
      <c r="AS1146" t="s">
        <v>536</v>
      </c>
      <c r="AT1146" t="s">
        <v>4235</v>
      </c>
      <c r="AU1146" t="s">
        <v>5777</v>
      </c>
      <c r="AV1146" t="s">
        <v>14502</v>
      </c>
      <c r="AW1146" t="s">
        <v>15367</v>
      </c>
      <c r="AX1146" t="s">
        <v>2660</v>
      </c>
      <c r="AY1146" t="s">
        <v>15368</v>
      </c>
      <c r="AZ1146" t="s">
        <v>2660</v>
      </c>
      <c r="BA1146">
        <v>1</v>
      </c>
      <c r="BB1146">
        <v>305.54000000000002</v>
      </c>
      <c r="BC1146">
        <v>1.01</v>
      </c>
      <c r="BD1146">
        <v>0.96</v>
      </c>
      <c r="BE1146">
        <v>0.95</v>
      </c>
      <c r="BF1146">
        <v>0.91</v>
      </c>
      <c r="BG1146" t="s">
        <v>15369</v>
      </c>
      <c r="BH1146" t="s">
        <v>15370</v>
      </c>
      <c r="BI1146" t="s">
        <v>11673</v>
      </c>
      <c r="BJ1146" t="s">
        <v>101</v>
      </c>
      <c r="BK1146" t="s">
        <v>1932</v>
      </c>
      <c r="BL1146" t="s">
        <v>11872</v>
      </c>
      <c r="BM1146" t="s">
        <v>6639</v>
      </c>
      <c r="BN1146" t="s">
        <v>14623</v>
      </c>
    </row>
    <row r="1147" spans="1:66" x14ac:dyDescent="0.25">
      <c r="A1147" t="str">
        <f>HYPERLINK("https://elite.finviz.com/quote.ashx?t=UMBF&amp;ty=c&amp;p=d&amp;b=1", "UMBF")</f>
        <v>UMBF</v>
      </c>
      <c r="B1147">
        <v>6</v>
      </c>
      <c r="C1147">
        <v>127.03</v>
      </c>
      <c r="D1147">
        <v>46.81</v>
      </c>
      <c r="E1147" t="s">
        <v>15371</v>
      </c>
      <c r="F1147" t="s">
        <v>67</v>
      </c>
      <c r="G1147" t="s">
        <v>550</v>
      </c>
      <c r="H1147" t="s">
        <v>697</v>
      </c>
      <c r="I1147" t="s">
        <v>70</v>
      </c>
      <c r="J1147" t="s">
        <v>321</v>
      </c>
      <c r="K1147">
        <v>8995.43</v>
      </c>
      <c r="L1147">
        <v>118.47</v>
      </c>
      <c r="M1147" t="s">
        <v>4703</v>
      </c>
      <c r="N1147">
        <v>56097</v>
      </c>
      <c r="O1147">
        <v>13.6</v>
      </c>
      <c r="P1147">
        <v>10.3</v>
      </c>
      <c r="Q1147">
        <v>1.37</v>
      </c>
      <c r="R1147">
        <v>2.65</v>
      </c>
      <c r="S1147">
        <v>1.31</v>
      </c>
      <c r="T1147" t="s">
        <v>4280</v>
      </c>
      <c r="U1147">
        <v>1.6</v>
      </c>
      <c r="V1147" t="s">
        <v>5717</v>
      </c>
      <c r="W1147" t="s">
        <v>451</v>
      </c>
      <c r="X1147" t="s">
        <v>5026</v>
      </c>
      <c r="Y1147" t="s">
        <v>3957</v>
      </c>
      <c r="Z1147" t="s">
        <v>15372</v>
      </c>
      <c r="AA1147">
        <v>8.7100000000000009</v>
      </c>
      <c r="AB1147" t="s">
        <v>2193</v>
      </c>
      <c r="AC1147" t="s">
        <v>11871</v>
      </c>
      <c r="AD1147" t="s">
        <v>12974</v>
      </c>
      <c r="AE1147" t="s">
        <v>15373</v>
      </c>
      <c r="AF1147" t="s">
        <v>2525</v>
      </c>
      <c r="AG1147" t="s">
        <v>12266</v>
      </c>
      <c r="AH1147" t="s">
        <v>7485</v>
      </c>
      <c r="AI1147" t="s">
        <v>15374</v>
      </c>
      <c r="AJ1147" t="s">
        <v>3634</v>
      </c>
      <c r="AK1147" t="s">
        <v>15375</v>
      </c>
      <c r="AL1147">
        <v>0.57999999999999996</v>
      </c>
      <c r="AN1147">
        <v>0.49</v>
      </c>
      <c r="AP1147" t="s">
        <v>7001</v>
      </c>
      <c r="AQ1147" t="s">
        <v>6497</v>
      </c>
      <c r="AR1147" t="s">
        <v>3671</v>
      </c>
      <c r="AS1147" t="s">
        <v>2582</v>
      </c>
      <c r="AT1147" t="s">
        <v>10819</v>
      </c>
      <c r="AU1147" t="s">
        <v>2195</v>
      </c>
      <c r="AV1147" t="s">
        <v>4815</v>
      </c>
      <c r="AW1147" t="s">
        <v>9412</v>
      </c>
      <c r="AX1147" t="s">
        <v>7221</v>
      </c>
      <c r="AY1147" t="s">
        <v>9271</v>
      </c>
      <c r="AZ1147" t="s">
        <v>12490</v>
      </c>
      <c r="BA1147">
        <v>1.58</v>
      </c>
      <c r="BB1147">
        <v>568.23</v>
      </c>
      <c r="BC1147">
        <v>0.35</v>
      </c>
      <c r="BD1147">
        <v>118.8</v>
      </c>
      <c r="BE1147">
        <v>120.33</v>
      </c>
      <c r="BF1147">
        <v>118.18</v>
      </c>
      <c r="BG1147" t="s">
        <v>15376</v>
      </c>
      <c r="BH1147" t="s">
        <v>9271</v>
      </c>
      <c r="BI1147" t="s">
        <v>15377</v>
      </c>
      <c r="BJ1147" t="s">
        <v>101</v>
      </c>
      <c r="BK1147" t="s">
        <v>11337</v>
      </c>
      <c r="BL1147" t="s">
        <v>4250</v>
      </c>
      <c r="BM1147" t="s">
        <v>8345</v>
      </c>
      <c r="BN1147" t="s">
        <v>14623</v>
      </c>
    </row>
    <row r="1148" spans="1:66" x14ac:dyDescent="0.25">
      <c r="A1148" t="str">
        <f>HYPERLINK("https://elite.finviz.com/quote.ashx?t=NVR&amp;ty=c&amp;p=d&amp;b=1", "NVR")</f>
        <v>NVR</v>
      </c>
      <c r="B1148">
        <v>6</v>
      </c>
      <c r="C1148">
        <v>127.03</v>
      </c>
      <c r="D1148">
        <v>46.83</v>
      </c>
      <c r="E1148" t="s">
        <v>15378</v>
      </c>
      <c r="F1148" t="s">
        <v>195</v>
      </c>
      <c r="G1148" t="s">
        <v>813</v>
      </c>
      <c r="H1148" t="s">
        <v>5054</v>
      </c>
      <c r="I1148" t="s">
        <v>70</v>
      </c>
      <c r="J1148" t="s">
        <v>71</v>
      </c>
      <c r="K1148">
        <v>23031.599999999999</v>
      </c>
      <c r="L1148">
        <v>8025.5</v>
      </c>
      <c r="M1148" t="s">
        <v>4780</v>
      </c>
      <c r="N1148">
        <v>2311</v>
      </c>
      <c r="O1148">
        <v>16.940000000000001</v>
      </c>
      <c r="P1148">
        <v>17.91</v>
      </c>
      <c r="Q1148">
        <v>10.52</v>
      </c>
      <c r="R1148">
        <v>2.23</v>
      </c>
      <c r="S1148">
        <v>5.8</v>
      </c>
      <c r="Z1148" t="s">
        <v>164</v>
      </c>
      <c r="AA1148">
        <v>473.8</v>
      </c>
      <c r="AB1148" t="s">
        <v>2963</v>
      </c>
      <c r="AC1148" t="s">
        <v>1843</v>
      </c>
      <c r="AD1148" t="s">
        <v>6990</v>
      </c>
      <c r="AE1148" t="s">
        <v>2408</v>
      </c>
      <c r="AF1148" t="s">
        <v>3983</v>
      </c>
      <c r="AG1148" t="s">
        <v>578</v>
      </c>
      <c r="AH1148" t="s">
        <v>406</v>
      </c>
      <c r="AI1148" t="s">
        <v>2876</v>
      </c>
      <c r="AJ1148" t="s">
        <v>9084</v>
      </c>
      <c r="AK1148" t="s">
        <v>1797</v>
      </c>
      <c r="AL1148">
        <v>3.79</v>
      </c>
      <c r="AM1148">
        <v>1.76</v>
      </c>
      <c r="AN1148">
        <v>0.27</v>
      </c>
      <c r="AO1148" t="s">
        <v>8712</v>
      </c>
      <c r="AP1148" t="s">
        <v>7617</v>
      </c>
      <c r="AQ1148" t="s">
        <v>683</v>
      </c>
      <c r="AR1148" t="s">
        <v>5084</v>
      </c>
      <c r="AS1148" t="s">
        <v>5263</v>
      </c>
      <c r="AT1148" t="s">
        <v>8985</v>
      </c>
      <c r="AU1148" t="s">
        <v>1842</v>
      </c>
      <c r="AV1148" t="s">
        <v>754</v>
      </c>
      <c r="AW1148" t="s">
        <v>7782</v>
      </c>
      <c r="AX1148" t="s">
        <v>5460</v>
      </c>
      <c r="AY1148" t="s">
        <v>15379</v>
      </c>
      <c r="AZ1148" t="s">
        <v>12761</v>
      </c>
      <c r="BA1148">
        <v>2.6</v>
      </c>
      <c r="BB1148">
        <v>18.61</v>
      </c>
      <c r="BC1148">
        <v>0.44</v>
      </c>
      <c r="BD1148">
        <v>7906.69</v>
      </c>
      <c r="BE1148">
        <v>8042</v>
      </c>
      <c r="BF1148">
        <v>7921.69</v>
      </c>
      <c r="BG1148" t="s">
        <v>15380</v>
      </c>
      <c r="BH1148" t="s">
        <v>15379</v>
      </c>
      <c r="BI1148" t="s">
        <v>15381</v>
      </c>
      <c r="BJ1148" t="s">
        <v>101</v>
      </c>
      <c r="BK1148" t="s">
        <v>7781</v>
      </c>
      <c r="BL1148" t="s">
        <v>3581</v>
      </c>
      <c r="BM1148" t="s">
        <v>9567</v>
      </c>
      <c r="BN1148" t="s">
        <v>14623</v>
      </c>
    </row>
    <row r="1149" spans="1:66" x14ac:dyDescent="0.25">
      <c r="A1149" t="str">
        <f>HYPERLINK("https://elite.finviz.com/quote.ashx?t=IRTC&amp;ty=c&amp;p=d&amp;b=1", "IRTC")</f>
        <v>IRTC</v>
      </c>
      <c r="B1149">
        <v>6</v>
      </c>
      <c r="C1149">
        <v>127.03</v>
      </c>
      <c r="D1149">
        <v>46.85</v>
      </c>
      <c r="E1149" t="s">
        <v>15382</v>
      </c>
      <c r="F1149" t="s">
        <v>67</v>
      </c>
      <c r="G1149" t="s">
        <v>428</v>
      </c>
      <c r="H1149" t="s">
        <v>2051</v>
      </c>
      <c r="I1149" t="s">
        <v>70</v>
      </c>
      <c r="J1149" t="s">
        <v>321</v>
      </c>
      <c r="K1149">
        <v>5453.3</v>
      </c>
      <c r="L1149">
        <v>169.74</v>
      </c>
      <c r="M1149" t="s">
        <v>3634</v>
      </c>
      <c r="N1149">
        <v>17807</v>
      </c>
      <c r="R1149">
        <v>8.3000000000000007</v>
      </c>
      <c r="S1149">
        <v>52.57</v>
      </c>
      <c r="AA1149">
        <v>-2.94</v>
      </c>
      <c r="AB1149" t="s">
        <v>5000</v>
      </c>
      <c r="AC1149" t="s">
        <v>9631</v>
      </c>
      <c r="AE1149" t="s">
        <v>2825</v>
      </c>
      <c r="AF1149" t="s">
        <v>1819</v>
      </c>
      <c r="AG1149" t="s">
        <v>8712</v>
      </c>
      <c r="AH1149" t="s">
        <v>97</v>
      </c>
      <c r="AI1149" t="s">
        <v>2559</v>
      </c>
      <c r="AJ1149" t="s">
        <v>11333</v>
      </c>
      <c r="AK1149" t="s">
        <v>15383</v>
      </c>
      <c r="AL1149">
        <v>5.0199999999999996</v>
      </c>
      <c r="AM1149">
        <v>4.88</v>
      </c>
      <c r="AN1149">
        <v>7.09</v>
      </c>
      <c r="AO1149" t="s">
        <v>13517</v>
      </c>
      <c r="AP1149" t="s">
        <v>14249</v>
      </c>
      <c r="AQ1149" t="s">
        <v>4866</v>
      </c>
      <c r="AR1149" t="s">
        <v>316</v>
      </c>
      <c r="AS1149" t="s">
        <v>6118</v>
      </c>
      <c r="AT1149" t="s">
        <v>2012</v>
      </c>
      <c r="AU1149" t="s">
        <v>2493</v>
      </c>
      <c r="AV1149" t="s">
        <v>3174</v>
      </c>
      <c r="AW1149" t="s">
        <v>8382</v>
      </c>
      <c r="AX1149" t="s">
        <v>9386</v>
      </c>
      <c r="AY1149" t="s">
        <v>8382</v>
      </c>
      <c r="AZ1149" t="s">
        <v>15384</v>
      </c>
      <c r="BA1149">
        <v>1.33</v>
      </c>
      <c r="BB1149">
        <v>463.24</v>
      </c>
      <c r="BC1149">
        <v>0.14000000000000001</v>
      </c>
      <c r="BD1149">
        <v>171.38</v>
      </c>
      <c r="BE1149">
        <v>172.34</v>
      </c>
      <c r="BF1149">
        <v>170.1</v>
      </c>
      <c r="BG1149" t="s">
        <v>15385</v>
      </c>
      <c r="BH1149" t="s">
        <v>15386</v>
      </c>
      <c r="BI1149" t="s">
        <v>15387</v>
      </c>
      <c r="BJ1149" t="s">
        <v>101</v>
      </c>
      <c r="BK1149" t="s">
        <v>2499</v>
      </c>
      <c r="BL1149" t="s">
        <v>10406</v>
      </c>
      <c r="BM1149" t="s">
        <v>15388</v>
      </c>
      <c r="BN1149" t="s">
        <v>14623</v>
      </c>
    </row>
    <row r="1150" spans="1:66" x14ac:dyDescent="0.25">
      <c r="A1150" t="str">
        <f>HYPERLINK("https://elite.finviz.com/quote.ashx?t=BRC&amp;ty=c&amp;p=d&amp;b=1", "BRC")</f>
        <v>BRC</v>
      </c>
      <c r="B1150">
        <v>6</v>
      </c>
      <c r="C1150">
        <v>127.03</v>
      </c>
      <c r="D1150">
        <v>46.86</v>
      </c>
      <c r="E1150" t="s">
        <v>15389</v>
      </c>
      <c r="F1150" t="s">
        <v>107</v>
      </c>
      <c r="G1150" t="s">
        <v>260</v>
      </c>
      <c r="H1150" t="s">
        <v>4162</v>
      </c>
      <c r="I1150" t="s">
        <v>70</v>
      </c>
      <c r="J1150" t="s">
        <v>71</v>
      </c>
      <c r="K1150">
        <v>3628.63</v>
      </c>
      <c r="L1150">
        <v>77.05</v>
      </c>
      <c r="M1150" t="s">
        <v>182</v>
      </c>
      <c r="N1150">
        <v>13536</v>
      </c>
      <c r="O1150">
        <v>19.57</v>
      </c>
      <c r="P1150">
        <v>14.22</v>
      </c>
      <c r="R1150">
        <v>2.4</v>
      </c>
      <c r="S1150">
        <v>3.04</v>
      </c>
      <c r="T1150" t="s">
        <v>3350</v>
      </c>
      <c r="U1150">
        <v>0.96</v>
      </c>
      <c r="V1150" t="s">
        <v>5056</v>
      </c>
      <c r="W1150" t="s">
        <v>212</v>
      </c>
      <c r="X1150" t="s">
        <v>3916</v>
      </c>
      <c r="Y1150" t="s">
        <v>3856</v>
      </c>
      <c r="Z1150" t="s">
        <v>10618</v>
      </c>
      <c r="AA1150">
        <v>3.94</v>
      </c>
      <c r="AB1150" t="s">
        <v>7419</v>
      </c>
      <c r="AC1150" t="s">
        <v>6946</v>
      </c>
      <c r="AE1150" t="s">
        <v>3798</v>
      </c>
      <c r="AF1150" t="s">
        <v>6527</v>
      </c>
      <c r="AG1150" t="s">
        <v>9936</v>
      </c>
      <c r="AH1150" t="s">
        <v>4834</v>
      </c>
      <c r="AI1150" t="s">
        <v>6692</v>
      </c>
      <c r="AJ1150" t="s">
        <v>3896</v>
      </c>
      <c r="AK1150" t="s">
        <v>15066</v>
      </c>
      <c r="AL1150">
        <v>1.88</v>
      </c>
      <c r="AM1150">
        <v>1.27</v>
      </c>
      <c r="AN1150">
        <v>0.13</v>
      </c>
      <c r="AO1150" t="s">
        <v>15390</v>
      </c>
      <c r="AP1150" t="s">
        <v>15391</v>
      </c>
      <c r="AQ1150" t="s">
        <v>6206</v>
      </c>
      <c r="AR1150" t="s">
        <v>714</v>
      </c>
      <c r="AS1150" t="s">
        <v>3635</v>
      </c>
      <c r="AT1150" t="s">
        <v>10469</v>
      </c>
      <c r="AU1150" t="s">
        <v>5256</v>
      </c>
      <c r="AV1150" t="s">
        <v>6106</v>
      </c>
      <c r="AW1150" t="s">
        <v>11528</v>
      </c>
      <c r="AX1150" t="s">
        <v>6598</v>
      </c>
      <c r="AY1150" t="s">
        <v>11528</v>
      </c>
      <c r="AZ1150" t="s">
        <v>9151</v>
      </c>
      <c r="BA1150">
        <v>1</v>
      </c>
      <c r="BB1150">
        <v>185.06</v>
      </c>
      <c r="BC1150">
        <v>0.26</v>
      </c>
      <c r="BD1150">
        <v>76.849999999999994</v>
      </c>
      <c r="BE1150">
        <v>77.819999999999993</v>
      </c>
      <c r="BF1150">
        <v>76.66</v>
      </c>
      <c r="BG1150" t="s">
        <v>15392</v>
      </c>
      <c r="BH1150" t="s">
        <v>11528</v>
      </c>
      <c r="BI1150" t="s">
        <v>15393</v>
      </c>
      <c r="BJ1150" t="s">
        <v>101</v>
      </c>
      <c r="BK1150" t="s">
        <v>3188</v>
      </c>
      <c r="BL1150" t="s">
        <v>267</v>
      </c>
      <c r="BM1150" t="s">
        <v>6829</v>
      </c>
      <c r="BN1150" t="s">
        <v>14623</v>
      </c>
    </row>
    <row r="1151" spans="1:66" x14ac:dyDescent="0.25">
      <c r="A1151" t="str">
        <f>HYPERLINK("https://elite.finviz.com/quote.ashx?t=NGVT&amp;ty=c&amp;p=d&amp;b=1", "NGVT")</f>
        <v>NGVT</v>
      </c>
      <c r="B1151">
        <v>6</v>
      </c>
      <c r="C1151">
        <v>127.03</v>
      </c>
      <c r="D1151">
        <v>46.9</v>
      </c>
      <c r="E1151" t="s">
        <v>15394</v>
      </c>
      <c r="F1151" t="s">
        <v>67</v>
      </c>
      <c r="G1151" t="s">
        <v>355</v>
      </c>
      <c r="H1151" t="s">
        <v>1147</v>
      </c>
      <c r="I1151" t="s">
        <v>70</v>
      </c>
      <c r="J1151" t="s">
        <v>71</v>
      </c>
      <c r="K1151">
        <v>2010</v>
      </c>
      <c r="L1151">
        <v>55.12</v>
      </c>
      <c r="M1151" t="s">
        <v>7780</v>
      </c>
      <c r="N1151">
        <v>16120</v>
      </c>
      <c r="P1151">
        <v>11.25</v>
      </c>
      <c r="R1151">
        <v>1.52</v>
      </c>
      <c r="S1151">
        <v>16.649999999999999</v>
      </c>
      <c r="AA1151">
        <v>-5.95</v>
      </c>
      <c r="AD1151" t="s">
        <v>5038</v>
      </c>
      <c r="AE1151" t="s">
        <v>15395</v>
      </c>
      <c r="AF1151" t="s">
        <v>141</v>
      </c>
      <c r="AG1151" t="s">
        <v>908</v>
      </c>
      <c r="AH1151" t="s">
        <v>798</v>
      </c>
      <c r="AI1151" t="s">
        <v>12410</v>
      </c>
      <c r="AJ1151" t="s">
        <v>164</v>
      </c>
      <c r="AK1151" t="s">
        <v>10764</v>
      </c>
      <c r="AL1151">
        <v>1.36</v>
      </c>
      <c r="AM1151">
        <v>0.8</v>
      </c>
      <c r="AN1151">
        <v>11.4</v>
      </c>
      <c r="AO1151" t="s">
        <v>15396</v>
      </c>
      <c r="AP1151" t="s">
        <v>4664</v>
      </c>
      <c r="AQ1151" t="s">
        <v>15397</v>
      </c>
      <c r="AR1151" t="s">
        <v>203</v>
      </c>
      <c r="AS1151" t="s">
        <v>2892</v>
      </c>
      <c r="AT1151" t="s">
        <v>2969</v>
      </c>
      <c r="AU1151" t="s">
        <v>6726</v>
      </c>
      <c r="AV1151" t="s">
        <v>5326</v>
      </c>
      <c r="AW1151" t="s">
        <v>2753</v>
      </c>
      <c r="AX1151" t="s">
        <v>13650</v>
      </c>
      <c r="AY1151" t="s">
        <v>2753</v>
      </c>
      <c r="AZ1151" t="s">
        <v>15398</v>
      </c>
      <c r="BA1151">
        <v>1.5</v>
      </c>
      <c r="BB1151">
        <v>267.8</v>
      </c>
      <c r="BC1151">
        <v>0.21</v>
      </c>
      <c r="BD1151">
        <v>54.36</v>
      </c>
      <c r="BE1151">
        <v>55.04</v>
      </c>
      <c r="BF1151">
        <v>54.41</v>
      </c>
      <c r="BG1151" t="s">
        <v>15399</v>
      </c>
      <c r="BH1151" t="s">
        <v>8431</v>
      </c>
      <c r="BI1151" t="s">
        <v>15400</v>
      </c>
      <c r="BJ1151" t="s">
        <v>101</v>
      </c>
      <c r="BK1151" t="s">
        <v>15401</v>
      </c>
      <c r="BL1151" t="s">
        <v>266</v>
      </c>
      <c r="BM1151" t="s">
        <v>11128</v>
      </c>
      <c r="BN1151" t="s">
        <v>14623</v>
      </c>
    </row>
    <row r="1152" spans="1:66" x14ac:dyDescent="0.25">
      <c r="A1152" t="str">
        <f>HYPERLINK("https://elite.finviz.com/quote.ashx?t=EQBK&amp;ty=c&amp;p=d&amp;b=1", "EQBK")</f>
        <v>EQBK</v>
      </c>
      <c r="B1152">
        <v>6</v>
      </c>
      <c r="C1152">
        <v>127.03</v>
      </c>
      <c r="D1152">
        <v>46.92</v>
      </c>
      <c r="E1152" t="s">
        <v>15402</v>
      </c>
      <c r="F1152" t="s">
        <v>67</v>
      </c>
      <c r="G1152" t="s">
        <v>550</v>
      </c>
      <c r="H1152" t="s">
        <v>697</v>
      </c>
      <c r="I1152" t="s">
        <v>70</v>
      </c>
      <c r="J1152" t="s">
        <v>71</v>
      </c>
      <c r="K1152">
        <v>781.67</v>
      </c>
      <c r="L1152">
        <v>40.67</v>
      </c>
      <c r="M1152" t="s">
        <v>174</v>
      </c>
      <c r="N1152">
        <v>7765</v>
      </c>
      <c r="O1152">
        <v>10.050000000000001</v>
      </c>
      <c r="P1152">
        <v>8.2200000000000006</v>
      </c>
      <c r="Q1152">
        <v>0.87</v>
      </c>
      <c r="R1152">
        <v>2.29</v>
      </c>
      <c r="S1152">
        <v>1.1200000000000001</v>
      </c>
      <c r="T1152" t="s">
        <v>2145</v>
      </c>
      <c r="U1152">
        <v>0.6</v>
      </c>
      <c r="V1152" t="s">
        <v>198</v>
      </c>
      <c r="W1152" t="s">
        <v>15403</v>
      </c>
      <c r="X1152" t="s">
        <v>1882</v>
      </c>
      <c r="Z1152" t="s">
        <v>9614</v>
      </c>
      <c r="AA1152">
        <v>4.05</v>
      </c>
      <c r="AB1152" t="s">
        <v>2293</v>
      </c>
      <c r="AC1152" t="s">
        <v>9349</v>
      </c>
      <c r="AD1152" t="s">
        <v>7510</v>
      </c>
      <c r="AE1152" t="s">
        <v>15404</v>
      </c>
      <c r="AF1152" t="s">
        <v>2956</v>
      </c>
      <c r="AG1152" t="s">
        <v>11641</v>
      </c>
      <c r="AH1152" t="s">
        <v>6257</v>
      </c>
      <c r="AI1152" t="s">
        <v>3640</v>
      </c>
      <c r="AJ1152" t="s">
        <v>6192</v>
      </c>
      <c r="AK1152" t="s">
        <v>15405</v>
      </c>
      <c r="AL1152">
        <v>0.16</v>
      </c>
      <c r="AN1152">
        <v>0.73</v>
      </c>
      <c r="AP1152" t="s">
        <v>7007</v>
      </c>
      <c r="AQ1152" t="s">
        <v>4876</v>
      </c>
      <c r="AR1152" t="s">
        <v>4276</v>
      </c>
      <c r="AS1152" t="s">
        <v>92</v>
      </c>
      <c r="AT1152" t="s">
        <v>1313</v>
      </c>
      <c r="AU1152" t="s">
        <v>5084</v>
      </c>
      <c r="AV1152" t="s">
        <v>4699</v>
      </c>
      <c r="AW1152" t="s">
        <v>5359</v>
      </c>
      <c r="AX1152" t="s">
        <v>2337</v>
      </c>
      <c r="AY1152" t="s">
        <v>2914</v>
      </c>
      <c r="AZ1152" t="s">
        <v>8464</v>
      </c>
      <c r="BA1152">
        <v>2.2000000000000002</v>
      </c>
      <c r="BB1152">
        <v>96</v>
      </c>
      <c r="BC1152">
        <v>0.28999999999999998</v>
      </c>
      <c r="BD1152">
        <v>41</v>
      </c>
      <c r="BE1152">
        <v>41.24</v>
      </c>
      <c r="BF1152">
        <v>40.5</v>
      </c>
      <c r="BG1152" t="s">
        <v>15406</v>
      </c>
      <c r="BH1152" t="s">
        <v>2914</v>
      </c>
      <c r="BI1152" t="s">
        <v>15407</v>
      </c>
      <c r="BJ1152" t="s">
        <v>101</v>
      </c>
      <c r="BK1152" t="s">
        <v>7598</v>
      </c>
      <c r="BL1152" t="s">
        <v>5036</v>
      </c>
      <c r="BM1152" t="s">
        <v>3466</v>
      </c>
      <c r="BN1152" t="s">
        <v>14623</v>
      </c>
    </row>
    <row r="1153" spans="1:66" x14ac:dyDescent="0.25">
      <c r="A1153" t="str">
        <f>HYPERLINK("https://elite.finviz.com/quote.ashx?t=TEX&amp;ty=c&amp;p=d&amp;b=1", "TEX")</f>
        <v>TEX</v>
      </c>
      <c r="B1153">
        <v>6</v>
      </c>
      <c r="C1153">
        <v>127.03</v>
      </c>
      <c r="D1153">
        <v>46.96</v>
      </c>
      <c r="E1153" t="s">
        <v>15408</v>
      </c>
      <c r="F1153" t="s">
        <v>67</v>
      </c>
      <c r="G1153" t="s">
        <v>260</v>
      </c>
      <c r="H1153" t="s">
        <v>320</v>
      </c>
      <c r="I1153" t="s">
        <v>70</v>
      </c>
      <c r="J1153" t="s">
        <v>71</v>
      </c>
      <c r="K1153">
        <v>3345.6</v>
      </c>
      <c r="L1153">
        <v>51</v>
      </c>
      <c r="M1153" t="s">
        <v>5036</v>
      </c>
      <c r="N1153">
        <v>50328</v>
      </c>
      <c r="O1153">
        <v>19.010000000000002</v>
      </c>
      <c r="P1153">
        <v>9.07</v>
      </c>
      <c r="Q1153">
        <v>6.51</v>
      </c>
      <c r="R1153">
        <v>0.65</v>
      </c>
      <c r="S1153">
        <v>1.68</v>
      </c>
      <c r="T1153" t="s">
        <v>5692</v>
      </c>
      <c r="U1153">
        <v>0.68</v>
      </c>
      <c r="V1153" t="s">
        <v>893</v>
      </c>
      <c r="W1153" t="s">
        <v>229</v>
      </c>
      <c r="X1153" t="s">
        <v>7655</v>
      </c>
      <c r="Y1153" t="s">
        <v>9623</v>
      </c>
      <c r="Z1153" t="s">
        <v>5587</v>
      </c>
      <c r="AA1153">
        <v>2.68</v>
      </c>
      <c r="AB1153" t="s">
        <v>15409</v>
      </c>
      <c r="AC1153" t="s">
        <v>14587</v>
      </c>
      <c r="AD1153" t="s">
        <v>6937</v>
      </c>
      <c r="AE1153" t="s">
        <v>2263</v>
      </c>
      <c r="AF1153" t="s">
        <v>236</v>
      </c>
      <c r="AG1153" t="s">
        <v>4189</v>
      </c>
      <c r="AH1153" t="s">
        <v>417</v>
      </c>
      <c r="AI1153" t="s">
        <v>2066</v>
      </c>
      <c r="AJ1153" t="s">
        <v>1938</v>
      </c>
      <c r="AK1153" t="s">
        <v>15410</v>
      </c>
      <c r="AL1153">
        <v>2.08</v>
      </c>
      <c r="AM1153">
        <v>1.1100000000000001</v>
      </c>
      <c r="AN1153">
        <v>1.32</v>
      </c>
      <c r="AO1153" t="s">
        <v>6834</v>
      </c>
      <c r="AP1153" t="s">
        <v>1653</v>
      </c>
      <c r="AQ1153" t="s">
        <v>4394</v>
      </c>
      <c r="AR1153" t="s">
        <v>3173</v>
      </c>
      <c r="AS1153" t="s">
        <v>1769</v>
      </c>
      <c r="AT1153" t="s">
        <v>1413</v>
      </c>
      <c r="AU1153" t="s">
        <v>5242</v>
      </c>
      <c r="AV1153" t="s">
        <v>1199</v>
      </c>
      <c r="AW1153" t="s">
        <v>440</v>
      </c>
      <c r="AX1153" t="s">
        <v>3746</v>
      </c>
      <c r="AY1153" t="s">
        <v>779</v>
      </c>
      <c r="AZ1153" t="s">
        <v>983</v>
      </c>
      <c r="BA1153">
        <v>2.85</v>
      </c>
      <c r="BB1153">
        <v>788.74</v>
      </c>
      <c r="BC1153">
        <v>0.22</v>
      </c>
      <c r="BD1153">
        <v>50.63</v>
      </c>
      <c r="BE1153">
        <v>51.36</v>
      </c>
      <c r="BF1153">
        <v>50.62</v>
      </c>
      <c r="BG1153" t="s">
        <v>15411</v>
      </c>
      <c r="BH1153" t="s">
        <v>15412</v>
      </c>
      <c r="BI1153" t="s">
        <v>15413</v>
      </c>
      <c r="BJ1153" t="s">
        <v>101</v>
      </c>
      <c r="BK1153" t="s">
        <v>3181</v>
      </c>
      <c r="BL1153" t="s">
        <v>2815</v>
      </c>
      <c r="BM1153" t="s">
        <v>2012</v>
      </c>
      <c r="BN1153" t="s">
        <v>14623</v>
      </c>
    </row>
    <row r="1154" spans="1:66" x14ac:dyDescent="0.25">
      <c r="A1154" t="str">
        <f>HYPERLINK("https://elite.finviz.com/quote.ashx?t=FBNC&amp;ty=c&amp;p=d&amp;b=1", "FBNC")</f>
        <v>FBNC</v>
      </c>
      <c r="B1154">
        <v>6</v>
      </c>
      <c r="C1154">
        <v>127.03</v>
      </c>
      <c r="D1154">
        <v>46.99</v>
      </c>
      <c r="E1154" t="s">
        <v>15414</v>
      </c>
      <c r="F1154" t="s">
        <v>67</v>
      </c>
      <c r="G1154" t="s">
        <v>550</v>
      </c>
      <c r="H1154" t="s">
        <v>697</v>
      </c>
      <c r="I1154" t="s">
        <v>70</v>
      </c>
      <c r="J1154" t="s">
        <v>321</v>
      </c>
      <c r="K1154">
        <v>2192.12</v>
      </c>
      <c r="L1154">
        <v>52.87</v>
      </c>
      <c r="M1154" t="s">
        <v>1547</v>
      </c>
      <c r="N1154">
        <v>18524</v>
      </c>
      <c r="O1154">
        <v>22.52</v>
      </c>
      <c r="P1154">
        <v>13.21</v>
      </c>
      <c r="R1154">
        <v>3.97</v>
      </c>
      <c r="S1154">
        <v>1.41</v>
      </c>
      <c r="T1154" t="s">
        <v>3257</v>
      </c>
      <c r="U1154">
        <v>0.89</v>
      </c>
      <c r="V1154" t="s">
        <v>198</v>
      </c>
      <c r="W1154" t="s">
        <v>164</v>
      </c>
      <c r="X1154" t="s">
        <v>5187</v>
      </c>
      <c r="Y1154" t="s">
        <v>4835</v>
      </c>
      <c r="Z1154" t="s">
        <v>15415</v>
      </c>
      <c r="AA1154">
        <v>2.35</v>
      </c>
      <c r="AB1154" t="s">
        <v>4997</v>
      </c>
      <c r="AC1154" t="s">
        <v>5640</v>
      </c>
      <c r="AE1154" t="s">
        <v>4150</v>
      </c>
      <c r="AF1154" t="s">
        <v>1383</v>
      </c>
      <c r="AG1154" t="s">
        <v>1089</v>
      </c>
      <c r="AH1154" t="s">
        <v>4172</v>
      </c>
      <c r="AI1154" t="s">
        <v>5114</v>
      </c>
      <c r="AJ1154" t="s">
        <v>3227</v>
      </c>
      <c r="AK1154" t="s">
        <v>15416</v>
      </c>
      <c r="AL1154">
        <v>0.08</v>
      </c>
      <c r="AN1154">
        <v>7.0000000000000007E-2</v>
      </c>
      <c r="AP1154" t="s">
        <v>3308</v>
      </c>
      <c r="AQ1154" t="s">
        <v>7874</v>
      </c>
      <c r="AR1154" t="s">
        <v>3257</v>
      </c>
      <c r="AS1154" t="s">
        <v>5263</v>
      </c>
      <c r="AT1154" t="s">
        <v>6002</v>
      </c>
      <c r="AU1154" t="s">
        <v>1417</v>
      </c>
      <c r="AV1154" t="s">
        <v>15417</v>
      </c>
      <c r="AW1154" t="s">
        <v>5857</v>
      </c>
      <c r="AX1154" t="s">
        <v>9972</v>
      </c>
      <c r="AY1154" t="s">
        <v>5857</v>
      </c>
      <c r="AZ1154" t="s">
        <v>15418</v>
      </c>
      <c r="BA1154">
        <v>2.2000000000000002</v>
      </c>
      <c r="BB1154">
        <v>281.63</v>
      </c>
      <c r="BC1154">
        <v>0.23</v>
      </c>
      <c r="BD1154">
        <v>52.91</v>
      </c>
      <c r="BE1154">
        <v>53.47</v>
      </c>
      <c r="BF1154">
        <v>52.82</v>
      </c>
      <c r="BG1154" t="s">
        <v>15419</v>
      </c>
      <c r="BH1154" t="s">
        <v>5857</v>
      </c>
      <c r="BI1154" t="s">
        <v>15420</v>
      </c>
      <c r="BJ1154" t="s">
        <v>101</v>
      </c>
      <c r="BK1154" t="s">
        <v>9003</v>
      </c>
      <c r="BL1154" t="s">
        <v>6517</v>
      </c>
      <c r="BM1154" t="s">
        <v>15421</v>
      </c>
      <c r="BN1154" t="s">
        <v>14623</v>
      </c>
    </row>
    <row r="1155" spans="1:66" x14ac:dyDescent="0.25">
      <c r="A1155" t="str">
        <f>HYPERLINK("https://elite.finviz.com/quote.ashx?t=KPLT&amp;ty=c&amp;p=d&amp;b=1", "KPLT")</f>
        <v>KPLT</v>
      </c>
      <c r="B1155">
        <v>6</v>
      </c>
      <c r="C1155">
        <v>127.03</v>
      </c>
      <c r="D1155">
        <v>47.02</v>
      </c>
      <c r="E1155" t="s">
        <v>15422</v>
      </c>
      <c r="F1155" t="s">
        <v>107</v>
      </c>
      <c r="G1155" t="s">
        <v>108</v>
      </c>
      <c r="H1155" t="s">
        <v>109</v>
      </c>
      <c r="I1155" t="s">
        <v>70</v>
      </c>
      <c r="J1155" t="s">
        <v>321</v>
      </c>
      <c r="K1155">
        <v>78.959999999999994</v>
      </c>
      <c r="L1155">
        <v>17.28</v>
      </c>
      <c r="M1155" t="s">
        <v>1765</v>
      </c>
      <c r="N1155">
        <v>9100</v>
      </c>
      <c r="R1155">
        <v>0.3</v>
      </c>
      <c r="AA1155">
        <v>-7.03</v>
      </c>
      <c r="AC1155" t="s">
        <v>6891</v>
      </c>
      <c r="AE1155" t="s">
        <v>2709</v>
      </c>
      <c r="AF1155" t="s">
        <v>137</v>
      </c>
      <c r="AH1155" t="s">
        <v>7501</v>
      </c>
      <c r="AI1155" t="s">
        <v>1770</v>
      </c>
      <c r="AJ1155" t="s">
        <v>164</v>
      </c>
      <c r="AK1155" t="s">
        <v>2797</v>
      </c>
      <c r="AL1155">
        <v>0.61</v>
      </c>
      <c r="AM1155">
        <v>0.61</v>
      </c>
      <c r="AO1155" t="s">
        <v>3861</v>
      </c>
      <c r="AP1155" t="s">
        <v>1886</v>
      </c>
      <c r="AQ1155" t="s">
        <v>15423</v>
      </c>
      <c r="AR1155" t="s">
        <v>848</v>
      </c>
      <c r="AS1155" t="s">
        <v>6068</v>
      </c>
      <c r="AT1155" t="s">
        <v>12939</v>
      </c>
      <c r="AU1155" t="s">
        <v>3793</v>
      </c>
      <c r="AV1155" t="s">
        <v>15424</v>
      </c>
      <c r="AW1155" t="s">
        <v>15425</v>
      </c>
      <c r="AX1155" t="s">
        <v>9885</v>
      </c>
      <c r="AY1155" t="s">
        <v>15425</v>
      </c>
      <c r="AZ1155" t="s">
        <v>15426</v>
      </c>
      <c r="BA1155">
        <v>3</v>
      </c>
      <c r="BB1155">
        <v>57.08</v>
      </c>
      <c r="BC1155">
        <v>0.56999999999999995</v>
      </c>
      <c r="BD1155">
        <v>17.21</v>
      </c>
      <c r="BE1155">
        <v>17.489999999999998</v>
      </c>
      <c r="BF1155">
        <v>17.03</v>
      </c>
      <c r="BG1155" t="s">
        <v>15427</v>
      </c>
      <c r="BH1155" t="s">
        <v>15428</v>
      </c>
      <c r="BI1155" t="s">
        <v>15426</v>
      </c>
      <c r="BJ1155" t="s">
        <v>101</v>
      </c>
      <c r="BK1155" t="s">
        <v>15429</v>
      </c>
      <c r="BL1155" t="s">
        <v>8208</v>
      </c>
      <c r="BM1155" t="s">
        <v>12423</v>
      </c>
      <c r="BN1155" t="s">
        <v>14623</v>
      </c>
    </row>
    <row r="1156" spans="1:66" x14ac:dyDescent="0.25">
      <c r="A1156" t="str">
        <f>HYPERLINK("https://elite.finviz.com/quote.ashx?t=UBSI&amp;ty=c&amp;p=d&amp;b=1", "UBSI")</f>
        <v>UBSI</v>
      </c>
      <c r="B1156">
        <v>6</v>
      </c>
      <c r="C1156">
        <v>127.03</v>
      </c>
      <c r="D1156">
        <v>47.03</v>
      </c>
      <c r="E1156" t="s">
        <v>15430</v>
      </c>
      <c r="F1156" t="s">
        <v>67</v>
      </c>
      <c r="G1156" t="s">
        <v>550</v>
      </c>
      <c r="H1156" t="s">
        <v>697</v>
      </c>
      <c r="I1156" t="s">
        <v>70</v>
      </c>
      <c r="J1156" t="s">
        <v>321</v>
      </c>
      <c r="K1156">
        <v>5271.16</v>
      </c>
      <c r="L1156">
        <v>37.21</v>
      </c>
      <c r="M1156" t="s">
        <v>2003</v>
      </c>
      <c r="N1156">
        <v>80150</v>
      </c>
      <c r="O1156">
        <v>13.15</v>
      </c>
      <c r="P1156">
        <v>11.39</v>
      </c>
      <c r="R1156">
        <v>3.09</v>
      </c>
      <c r="S1156">
        <v>0.98</v>
      </c>
      <c r="T1156" t="s">
        <v>2821</v>
      </c>
      <c r="U1156">
        <v>1.48</v>
      </c>
      <c r="V1156" t="s">
        <v>2620</v>
      </c>
      <c r="W1156" t="s">
        <v>4276</v>
      </c>
      <c r="X1156" t="s">
        <v>7423</v>
      </c>
      <c r="Y1156" t="s">
        <v>192</v>
      </c>
      <c r="Z1156" t="s">
        <v>13077</v>
      </c>
      <c r="AA1156">
        <v>2.83</v>
      </c>
      <c r="AB1156" t="s">
        <v>5721</v>
      </c>
      <c r="AC1156" t="s">
        <v>192</v>
      </c>
      <c r="AE1156" t="s">
        <v>5319</v>
      </c>
      <c r="AF1156" t="s">
        <v>3015</v>
      </c>
      <c r="AG1156" t="s">
        <v>2365</v>
      </c>
      <c r="AH1156" t="s">
        <v>2392</v>
      </c>
      <c r="AI1156" t="s">
        <v>1675</v>
      </c>
      <c r="AJ1156" t="s">
        <v>164</v>
      </c>
      <c r="AK1156" t="s">
        <v>15431</v>
      </c>
      <c r="AL1156">
        <v>0.12</v>
      </c>
      <c r="AN1156">
        <v>0.15</v>
      </c>
      <c r="AP1156" t="s">
        <v>8079</v>
      </c>
      <c r="AQ1156" t="s">
        <v>5326</v>
      </c>
      <c r="AR1156" t="s">
        <v>4780</v>
      </c>
      <c r="AS1156" t="s">
        <v>2274</v>
      </c>
      <c r="AT1156" t="s">
        <v>11260</v>
      </c>
      <c r="AU1156" t="s">
        <v>2757</v>
      </c>
      <c r="AV1156" t="s">
        <v>4946</v>
      </c>
      <c r="AW1156" t="s">
        <v>2329</v>
      </c>
      <c r="AX1156" t="s">
        <v>3837</v>
      </c>
      <c r="AY1156" t="s">
        <v>7844</v>
      </c>
      <c r="AZ1156" t="s">
        <v>15060</v>
      </c>
      <c r="BA1156">
        <v>2.83</v>
      </c>
      <c r="BB1156">
        <v>727.63</v>
      </c>
      <c r="BC1156">
        <v>0.39</v>
      </c>
      <c r="BD1156">
        <v>37.32</v>
      </c>
      <c r="BE1156">
        <v>37.700000000000003</v>
      </c>
      <c r="BF1156">
        <v>37.200000000000003</v>
      </c>
      <c r="BG1156" t="s">
        <v>15432</v>
      </c>
      <c r="BH1156" t="s">
        <v>15433</v>
      </c>
      <c r="BI1156" t="s">
        <v>15434</v>
      </c>
      <c r="BJ1156" t="s">
        <v>101</v>
      </c>
      <c r="BK1156" t="s">
        <v>2430</v>
      </c>
      <c r="BL1156" t="s">
        <v>437</v>
      </c>
      <c r="BM1156" t="s">
        <v>3013</v>
      </c>
      <c r="BN1156" t="s">
        <v>14623</v>
      </c>
    </row>
    <row r="1157" spans="1:66" x14ac:dyDescent="0.25">
      <c r="A1157" t="str">
        <f>HYPERLINK("https://elite.finviz.com/quote.ashx?t=GBIO&amp;ty=c&amp;p=d&amp;b=1", "GBIO")</f>
        <v>GBIO</v>
      </c>
      <c r="B1157">
        <v>6</v>
      </c>
      <c r="C1157">
        <v>127.03</v>
      </c>
      <c r="D1157">
        <v>47.09</v>
      </c>
      <c r="E1157" t="s">
        <v>15435</v>
      </c>
      <c r="F1157" t="s">
        <v>107</v>
      </c>
      <c r="G1157" t="s">
        <v>428</v>
      </c>
      <c r="H1157" t="s">
        <v>429</v>
      </c>
      <c r="I1157" t="s">
        <v>70</v>
      </c>
      <c r="J1157" t="s">
        <v>321</v>
      </c>
      <c r="K1157">
        <v>37.82</v>
      </c>
      <c r="L1157">
        <v>5.61</v>
      </c>
      <c r="M1157" t="s">
        <v>9618</v>
      </c>
      <c r="N1157">
        <v>20503</v>
      </c>
      <c r="R1157">
        <v>1.78</v>
      </c>
      <c r="S1157">
        <v>0.7</v>
      </c>
      <c r="AA1157">
        <v>-10.83</v>
      </c>
      <c r="AB1157" t="s">
        <v>1599</v>
      </c>
      <c r="AC1157" t="s">
        <v>1571</v>
      </c>
      <c r="AD1157" t="s">
        <v>12412</v>
      </c>
      <c r="AE1157" t="s">
        <v>13429</v>
      </c>
      <c r="AH1157" t="s">
        <v>15436</v>
      </c>
      <c r="AI1157" t="s">
        <v>15437</v>
      </c>
      <c r="AJ1157" t="s">
        <v>164</v>
      </c>
      <c r="AK1157" t="s">
        <v>15438</v>
      </c>
      <c r="AL1157">
        <v>7.51</v>
      </c>
      <c r="AM1157">
        <v>7.51</v>
      </c>
      <c r="AN1157">
        <v>1.58</v>
      </c>
      <c r="AO1157" t="s">
        <v>15439</v>
      </c>
      <c r="AP1157" t="s">
        <v>15440</v>
      </c>
      <c r="AQ1157" t="s">
        <v>15441</v>
      </c>
      <c r="AR1157" t="s">
        <v>2647</v>
      </c>
      <c r="AS1157" t="s">
        <v>3948</v>
      </c>
      <c r="AT1157" t="s">
        <v>818</v>
      </c>
      <c r="AU1157" t="s">
        <v>903</v>
      </c>
      <c r="AV1157" t="s">
        <v>5928</v>
      </c>
      <c r="AW1157" t="s">
        <v>15442</v>
      </c>
      <c r="AX1157" t="s">
        <v>9944</v>
      </c>
      <c r="AY1157" t="s">
        <v>6187</v>
      </c>
      <c r="AZ1157" t="s">
        <v>15443</v>
      </c>
      <c r="BA1157">
        <v>2</v>
      </c>
      <c r="BB1157">
        <v>355.44</v>
      </c>
      <c r="BC1157">
        <v>0.2</v>
      </c>
      <c r="BD1157">
        <v>5.72</v>
      </c>
      <c r="BE1157">
        <v>5.7</v>
      </c>
      <c r="BF1157">
        <v>5.57</v>
      </c>
      <c r="BG1157" t="s">
        <v>15444</v>
      </c>
      <c r="BH1157" t="s">
        <v>15445</v>
      </c>
      <c r="BI1157" t="s">
        <v>15443</v>
      </c>
      <c r="BJ1157" t="s">
        <v>101</v>
      </c>
      <c r="BK1157" t="s">
        <v>15443</v>
      </c>
      <c r="BL1157" t="s">
        <v>9151</v>
      </c>
      <c r="BM1157" t="s">
        <v>15446</v>
      </c>
      <c r="BN1157" t="s">
        <v>14623</v>
      </c>
    </row>
    <row r="1158" spans="1:66" x14ac:dyDescent="0.25">
      <c r="A1158" t="str">
        <f>HYPERLINK("https://elite.finviz.com/quote.ashx?t=TCBX&amp;ty=c&amp;p=d&amp;b=1", "TCBX")</f>
        <v>TCBX</v>
      </c>
      <c r="B1158">
        <v>6</v>
      </c>
      <c r="C1158">
        <v>127.03</v>
      </c>
      <c r="D1158">
        <v>47.09</v>
      </c>
      <c r="E1158" t="s">
        <v>15447</v>
      </c>
      <c r="F1158" t="s">
        <v>67</v>
      </c>
      <c r="G1158" t="s">
        <v>550</v>
      </c>
      <c r="H1158" t="s">
        <v>697</v>
      </c>
      <c r="I1158" t="s">
        <v>70</v>
      </c>
      <c r="J1158" t="s">
        <v>321</v>
      </c>
      <c r="K1158">
        <v>540.86</v>
      </c>
      <c r="L1158">
        <v>39.020000000000003</v>
      </c>
      <c r="M1158" t="s">
        <v>5549</v>
      </c>
      <c r="N1158">
        <v>7025</v>
      </c>
      <c r="O1158">
        <v>13</v>
      </c>
      <c r="P1158">
        <v>10.82</v>
      </c>
      <c r="R1158">
        <v>1.55</v>
      </c>
      <c r="S1158">
        <v>1.0900000000000001</v>
      </c>
      <c r="Z1158" t="s">
        <v>164</v>
      </c>
      <c r="AA1158">
        <v>3</v>
      </c>
      <c r="AB1158" t="s">
        <v>12021</v>
      </c>
      <c r="AC1158" t="s">
        <v>15448</v>
      </c>
      <c r="AE1158" t="s">
        <v>9841</v>
      </c>
      <c r="AF1158" t="s">
        <v>8730</v>
      </c>
      <c r="AG1158" t="s">
        <v>2865</v>
      </c>
      <c r="AH1158" t="s">
        <v>776</v>
      </c>
      <c r="AI1158" t="s">
        <v>12993</v>
      </c>
      <c r="AJ1158" t="s">
        <v>4865</v>
      </c>
      <c r="AK1158" t="s">
        <v>15449</v>
      </c>
      <c r="AL1158">
        <v>0.04</v>
      </c>
      <c r="AN1158">
        <v>0.27</v>
      </c>
      <c r="AP1158" t="s">
        <v>6974</v>
      </c>
      <c r="AQ1158" t="s">
        <v>3180</v>
      </c>
      <c r="AR1158" t="s">
        <v>2361</v>
      </c>
      <c r="AS1158" t="s">
        <v>4547</v>
      </c>
      <c r="AT1158" t="s">
        <v>6597</v>
      </c>
      <c r="AU1158" t="s">
        <v>5380</v>
      </c>
      <c r="AV1158" t="s">
        <v>5680</v>
      </c>
      <c r="AW1158" t="s">
        <v>9148</v>
      </c>
      <c r="AX1158" t="s">
        <v>3180</v>
      </c>
      <c r="AY1158" t="s">
        <v>9148</v>
      </c>
      <c r="AZ1158" t="s">
        <v>15450</v>
      </c>
      <c r="BA1158">
        <v>2.5</v>
      </c>
      <c r="BB1158">
        <v>75.959999999999994</v>
      </c>
      <c r="BC1158">
        <v>0.33</v>
      </c>
      <c r="BD1158">
        <v>39.01</v>
      </c>
      <c r="BE1158">
        <v>39.65</v>
      </c>
      <c r="BF1158">
        <v>39.01</v>
      </c>
      <c r="BG1158" t="s">
        <v>15451</v>
      </c>
      <c r="BH1158" t="s">
        <v>9148</v>
      </c>
      <c r="BI1158" t="s">
        <v>15452</v>
      </c>
      <c r="BJ1158" t="s">
        <v>101</v>
      </c>
      <c r="BK1158" t="s">
        <v>5758</v>
      </c>
      <c r="BL1158" t="s">
        <v>1549</v>
      </c>
      <c r="BM1158" t="s">
        <v>3301</v>
      </c>
      <c r="BN1158" t="s">
        <v>14623</v>
      </c>
    </row>
    <row r="1159" spans="1:66" x14ac:dyDescent="0.25">
      <c r="A1159" t="str">
        <f>HYPERLINK("https://elite.finviz.com/quote.ashx?t=LASR&amp;ty=c&amp;p=d&amp;b=1", "LASR")</f>
        <v>LASR</v>
      </c>
      <c r="B1159">
        <v>6</v>
      </c>
      <c r="C1159">
        <v>127.03</v>
      </c>
      <c r="D1159">
        <v>47.13</v>
      </c>
      <c r="E1159" t="s">
        <v>15453</v>
      </c>
      <c r="F1159" t="s">
        <v>67</v>
      </c>
      <c r="G1159" t="s">
        <v>108</v>
      </c>
      <c r="H1159" t="s">
        <v>1808</v>
      </c>
      <c r="I1159" t="s">
        <v>70</v>
      </c>
      <c r="J1159" t="s">
        <v>321</v>
      </c>
      <c r="K1159">
        <v>1393.69</v>
      </c>
      <c r="L1159">
        <v>27.93</v>
      </c>
      <c r="M1159" t="s">
        <v>3388</v>
      </c>
      <c r="N1159">
        <v>257282</v>
      </c>
      <c r="P1159">
        <v>512.57000000000005</v>
      </c>
      <c r="R1159">
        <v>6.43</v>
      </c>
      <c r="S1159">
        <v>6.45</v>
      </c>
      <c r="AA1159">
        <v>-0.97</v>
      </c>
      <c r="AB1159" t="s">
        <v>15454</v>
      </c>
      <c r="AC1159" t="s">
        <v>15455</v>
      </c>
      <c r="AE1159" t="s">
        <v>1558</v>
      </c>
      <c r="AF1159" t="s">
        <v>11333</v>
      </c>
      <c r="AG1159" t="s">
        <v>4600</v>
      </c>
      <c r="AH1159" t="s">
        <v>10317</v>
      </c>
      <c r="AI1159" t="s">
        <v>15456</v>
      </c>
      <c r="AJ1159" t="s">
        <v>15457</v>
      </c>
      <c r="AK1159" t="s">
        <v>3730</v>
      </c>
      <c r="AL1159">
        <v>5.63</v>
      </c>
      <c r="AM1159">
        <v>4.41</v>
      </c>
      <c r="AN1159">
        <v>0.15</v>
      </c>
      <c r="AO1159" t="s">
        <v>4847</v>
      </c>
      <c r="AP1159" t="s">
        <v>881</v>
      </c>
      <c r="AQ1159" t="s">
        <v>13478</v>
      </c>
      <c r="AR1159" t="s">
        <v>1449</v>
      </c>
      <c r="AS1159" t="s">
        <v>6459</v>
      </c>
      <c r="AT1159" t="s">
        <v>4121</v>
      </c>
      <c r="AU1159" t="s">
        <v>2967</v>
      </c>
      <c r="AV1159" t="s">
        <v>15458</v>
      </c>
      <c r="AW1159" t="s">
        <v>11925</v>
      </c>
      <c r="AX1159" t="s">
        <v>15459</v>
      </c>
      <c r="AY1159" t="s">
        <v>11925</v>
      </c>
      <c r="AZ1159" t="s">
        <v>15460</v>
      </c>
      <c r="BA1159">
        <v>1.29</v>
      </c>
      <c r="BB1159">
        <v>891.89</v>
      </c>
      <c r="BC1159">
        <v>1.02</v>
      </c>
      <c r="BD1159">
        <v>28.04</v>
      </c>
      <c r="BE1159">
        <v>28.46</v>
      </c>
      <c r="BF1159">
        <v>27.82</v>
      </c>
      <c r="BG1159" t="s">
        <v>15461</v>
      </c>
      <c r="BH1159" t="s">
        <v>15462</v>
      </c>
      <c r="BI1159" t="s">
        <v>15460</v>
      </c>
      <c r="BJ1159" t="s">
        <v>101</v>
      </c>
      <c r="BK1159" t="s">
        <v>1513</v>
      </c>
      <c r="BL1159" t="s">
        <v>15463</v>
      </c>
      <c r="BM1159" t="s">
        <v>15464</v>
      </c>
      <c r="BN1159" t="s">
        <v>14623</v>
      </c>
    </row>
    <row r="1160" spans="1:66" x14ac:dyDescent="0.25">
      <c r="A1160" t="str">
        <f>HYPERLINK("https://elite.finviz.com/quote.ashx?t=KW&amp;ty=c&amp;p=d&amp;b=1", "KW")</f>
        <v>KW</v>
      </c>
      <c r="B1160">
        <v>6</v>
      </c>
      <c r="C1160">
        <v>127.03</v>
      </c>
      <c r="D1160">
        <v>47.13</v>
      </c>
      <c r="E1160" t="s">
        <v>15465</v>
      </c>
      <c r="F1160" t="s">
        <v>67</v>
      </c>
      <c r="G1160" t="s">
        <v>68</v>
      </c>
      <c r="H1160" t="s">
        <v>7494</v>
      </c>
      <c r="I1160" t="s">
        <v>70</v>
      </c>
      <c r="J1160" t="s">
        <v>71</v>
      </c>
      <c r="K1160">
        <v>1154.22</v>
      </c>
      <c r="L1160">
        <v>8.3699999999999992</v>
      </c>
      <c r="M1160" t="s">
        <v>907</v>
      </c>
      <c r="N1160">
        <v>166650</v>
      </c>
      <c r="R1160">
        <v>2.19</v>
      </c>
      <c r="S1160">
        <v>1.49</v>
      </c>
      <c r="T1160" t="s">
        <v>4641</v>
      </c>
      <c r="U1160">
        <v>0.48</v>
      </c>
      <c r="V1160" t="s">
        <v>198</v>
      </c>
      <c r="W1160" t="s">
        <v>11041</v>
      </c>
      <c r="X1160" t="s">
        <v>15466</v>
      </c>
      <c r="Y1160" t="s">
        <v>10896</v>
      </c>
      <c r="AA1160">
        <v>-0.67</v>
      </c>
      <c r="AE1160" t="s">
        <v>15052</v>
      </c>
      <c r="AF1160" t="s">
        <v>6956</v>
      </c>
      <c r="AG1160" t="s">
        <v>1510</v>
      </c>
      <c r="AH1160" t="s">
        <v>3173</v>
      </c>
      <c r="AJ1160" t="s">
        <v>1279</v>
      </c>
      <c r="AK1160" t="s">
        <v>15467</v>
      </c>
      <c r="AL1160">
        <v>0.85</v>
      </c>
      <c r="AM1160">
        <v>0.85</v>
      </c>
      <c r="AN1160">
        <v>2.96</v>
      </c>
      <c r="AO1160" t="s">
        <v>7739</v>
      </c>
      <c r="AP1160" t="s">
        <v>4455</v>
      </c>
      <c r="AQ1160" t="s">
        <v>15468</v>
      </c>
      <c r="AR1160" t="s">
        <v>295</v>
      </c>
      <c r="AS1160" t="s">
        <v>7437</v>
      </c>
      <c r="AT1160" t="s">
        <v>14948</v>
      </c>
      <c r="AU1160" t="s">
        <v>1776</v>
      </c>
      <c r="AV1160" t="s">
        <v>2543</v>
      </c>
      <c r="AW1160" t="s">
        <v>15469</v>
      </c>
      <c r="AX1160" t="s">
        <v>233</v>
      </c>
      <c r="AY1160" t="s">
        <v>15470</v>
      </c>
      <c r="AZ1160" t="s">
        <v>11964</v>
      </c>
      <c r="BA1160">
        <v>3.33</v>
      </c>
      <c r="BB1160">
        <v>868.19</v>
      </c>
      <c r="BC1160">
        <v>0.68</v>
      </c>
      <c r="BD1160">
        <v>8.25</v>
      </c>
      <c r="BE1160">
        <v>8.3800000000000008</v>
      </c>
      <c r="BF1160">
        <v>8.2100000000000009</v>
      </c>
      <c r="BG1160" t="s">
        <v>15471</v>
      </c>
      <c r="BH1160" t="s">
        <v>15472</v>
      </c>
      <c r="BI1160" t="s">
        <v>11964</v>
      </c>
      <c r="BJ1160" t="s">
        <v>101</v>
      </c>
      <c r="BK1160" t="s">
        <v>13206</v>
      </c>
      <c r="BL1160" t="s">
        <v>6092</v>
      </c>
      <c r="BM1160" t="s">
        <v>15473</v>
      </c>
      <c r="BN1160" t="s">
        <v>14623</v>
      </c>
    </row>
    <row r="1161" spans="1:66" x14ac:dyDescent="0.25">
      <c r="A1161" t="str">
        <f>HYPERLINK("https://elite.finviz.com/quote.ashx?t=YEXT&amp;ty=c&amp;p=d&amp;b=1", "YEXT")</f>
        <v>YEXT</v>
      </c>
      <c r="B1161">
        <v>6</v>
      </c>
      <c r="C1161">
        <v>127.03</v>
      </c>
      <c r="D1161">
        <v>47.13</v>
      </c>
      <c r="E1161" t="s">
        <v>15474</v>
      </c>
      <c r="F1161" t="s">
        <v>67</v>
      </c>
      <c r="G1161" t="s">
        <v>108</v>
      </c>
      <c r="H1161" t="s">
        <v>109</v>
      </c>
      <c r="I1161" t="s">
        <v>70</v>
      </c>
      <c r="J1161" t="s">
        <v>71</v>
      </c>
      <c r="K1161">
        <v>1064.1500000000001</v>
      </c>
      <c r="L1161">
        <v>8.64</v>
      </c>
      <c r="M1161" t="s">
        <v>1554</v>
      </c>
      <c r="N1161">
        <v>85747</v>
      </c>
      <c r="P1161">
        <v>14.39</v>
      </c>
      <c r="R1161">
        <v>2.37</v>
      </c>
      <c r="S1161">
        <v>6.97</v>
      </c>
      <c r="AA1161">
        <v>-0.13</v>
      </c>
      <c r="AB1161" t="s">
        <v>10113</v>
      </c>
      <c r="AC1161" t="s">
        <v>2520</v>
      </c>
      <c r="AD1161" t="s">
        <v>6238</v>
      </c>
      <c r="AE1161" t="s">
        <v>9614</v>
      </c>
      <c r="AF1161" t="s">
        <v>1776</v>
      </c>
      <c r="AG1161" t="s">
        <v>906</v>
      </c>
      <c r="AH1161" t="s">
        <v>5262</v>
      </c>
      <c r="AI1161" t="s">
        <v>164</v>
      </c>
      <c r="AJ1161" t="s">
        <v>1554</v>
      </c>
      <c r="AK1161" t="s">
        <v>15475</v>
      </c>
      <c r="AL1161">
        <v>0.99</v>
      </c>
      <c r="AM1161">
        <v>0.99</v>
      </c>
      <c r="AN1161">
        <v>1.21</v>
      </c>
      <c r="AO1161" t="s">
        <v>15476</v>
      </c>
      <c r="AP1161" t="s">
        <v>3025</v>
      </c>
      <c r="AQ1161" t="s">
        <v>3494</v>
      </c>
      <c r="AR1161" t="s">
        <v>5968</v>
      </c>
      <c r="AS1161" t="s">
        <v>1438</v>
      </c>
      <c r="AT1161" t="s">
        <v>3559</v>
      </c>
      <c r="AU1161" t="s">
        <v>458</v>
      </c>
      <c r="AV1161" t="s">
        <v>3548</v>
      </c>
      <c r="AW1161" t="s">
        <v>6985</v>
      </c>
      <c r="AX1161" t="s">
        <v>2819</v>
      </c>
      <c r="AY1161" t="s">
        <v>6985</v>
      </c>
      <c r="AZ1161" t="s">
        <v>11487</v>
      </c>
      <c r="BA1161">
        <v>1.5</v>
      </c>
      <c r="BB1161">
        <v>953.38</v>
      </c>
      <c r="BC1161">
        <v>0.32</v>
      </c>
      <c r="BD1161">
        <v>8.65</v>
      </c>
      <c r="BE1161">
        <v>8.67</v>
      </c>
      <c r="BF1161">
        <v>8.61</v>
      </c>
      <c r="BG1161" t="s">
        <v>15477</v>
      </c>
      <c r="BH1161" t="s">
        <v>15478</v>
      </c>
      <c r="BI1161" t="s">
        <v>15479</v>
      </c>
      <c r="BJ1161" t="s">
        <v>101</v>
      </c>
      <c r="BK1161" t="s">
        <v>2449</v>
      </c>
      <c r="BL1161" t="s">
        <v>8430</v>
      </c>
      <c r="BM1161" t="s">
        <v>6988</v>
      </c>
      <c r="BN1161" t="s">
        <v>14623</v>
      </c>
    </row>
    <row r="1162" spans="1:66" x14ac:dyDescent="0.25">
      <c r="A1162" t="str">
        <f>HYPERLINK("https://elite.finviz.com/quote.ashx?t=GLDD&amp;ty=c&amp;p=d&amp;b=1", "GLDD")</f>
        <v>GLDD</v>
      </c>
      <c r="B1162">
        <v>6</v>
      </c>
      <c r="C1162">
        <v>127.03</v>
      </c>
      <c r="D1162">
        <v>47.13</v>
      </c>
      <c r="E1162" t="s">
        <v>15480</v>
      </c>
      <c r="F1162" t="s">
        <v>67</v>
      </c>
      <c r="G1162" t="s">
        <v>260</v>
      </c>
      <c r="H1162" t="s">
        <v>2944</v>
      </c>
      <c r="I1162" t="s">
        <v>70</v>
      </c>
      <c r="J1162" t="s">
        <v>321</v>
      </c>
      <c r="K1162">
        <v>799.62</v>
      </c>
      <c r="L1162">
        <v>11.76</v>
      </c>
      <c r="M1162" t="s">
        <v>164</v>
      </c>
      <c r="N1162">
        <v>41221</v>
      </c>
      <c r="O1162">
        <v>11.17</v>
      </c>
      <c r="P1162">
        <v>11.81</v>
      </c>
      <c r="R1162">
        <v>0.96</v>
      </c>
      <c r="S1162">
        <v>1.63</v>
      </c>
      <c r="V1162" t="s">
        <v>15001</v>
      </c>
      <c r="Z1162" t="s">
        <v>164</v>
      </c>
      <c r="AA1162">
        <v>1.05</v>
      </c>
      <c r="AB1162" t="s">
        <v>6460</v>
      </c>
      <c r="AC1162" t="s">
        <v>1837</v>
      </c>
      <c r="AE1162" t="s">
        <v>15481</v>
      </c>
      <c r="AF1162" t="s">
        <v>2175</v>
      </c>
      <c r="AG1162" t="s">
        <v>7780</v>
      </c>
      <c r="AH1162" t="s">
        <v>10380</v>
      </c>
      <c r="AI1162" t="s">
        <v>15482</v>
      </c>
      <c r="AJ1162" t="s">
        <v>5621</v>
      </c>
      <c r="AK1162" t="s">
        <v>15483</v>
      </c>
      <c r="AL1162">
        <v>1.1100000000000001</v>
      </c>
      <c r="AM1162">
        <v>0.97</v>
      </c>
      <c r="AN1162">
        <v>1.03</v>
      </c>
      <c r="AO1162" t="s">
        <v>7479</v>
      </c>
      <c r="AP1162" t="s">
        <v>11319</v>
      </c>
      <c r="AQ1162" t="s">
        <v>5864</v>
      </c>
      <c r="AR1162" t="s">
        <v>205</v>
      </c>
      <c r="AS1162" t="s">
        <v>2333</v>
      </c>
      <c r="AT1162" t="s">
        <v>525</v>
      </c>
      <c r="AU1162" t="s">
        <v>6155</v>
      </c>
      <c r="AV1162" t="s">
        <v>1468</v>
      </c>
      <c r="AW1162" t="s">
        <v>2354</v>
      </c>
      <c r="AX1162" t="s">
        <v>4558</v>
      </c>
      <c r="AY1162" t="s">
        <v>7972</v>
      </c>
      <c r="AZ1162" t="s">
        <v>2803</v>
      </c>
      <c r="BA1162">
        <v>1</v>
      </c>
      <c r="BB1162">
        <v>437.57</v>
      </c>
      <c r="BC1162">
        <v>0.33</v>
      </c>
      <c r="BD1162">
        <v>11.76</v>
      </c>
      <c r="BE1162">
        <v>11.87</v>
      </c>
      <c r="BF1162">
        <v>11.74</v>
      </c>
      <c r="BG1162" t="s">
        <v>15484</v>
      </c>
      <c r="BH1162" t="s">
        <v>15485</v>
      </c>
      <c r="BI1162" t="s">
        <v>15486</v>
      </c>
      <c r="BJ1162" t="s">
        <v>101</v>
      </c>
      <c r="BK1162" t="s">
        <v>308</v>
      </c>
      <c r="BL1162" t="s">
        <v>15487</v>
      </c>
      <c r="BM1162" t="s">
        <v>1133</v>
      </c>
      <c r="BN1162" t="s">
        <v>14623</v>
      </c>
    </row>
    <row r="1163" spans="1:66" x14ac:dyDescent="0.25">
      <c r="A1163" t="str">
        <f>HYPERLINK("https://elite.finviz.com/quote.ashx?t=SKT&amp;ty=c&amp;p=d&amp;b=1", "SKT")</f>
        <v>SKT</v>
      </c>
      <c r="B1163">
        <v>6</v>
      </c>
      <c r="C1163">
        <v>127.03</v>
      </c>
      <c r="D1163">
        <v>47.14</v>
      </c>
      <c r="E1163" t="s">
        <v>15488</v>
      </c>
      <c r="F1163" t="s">
        <v>67</v>
      </c>
      <c r="G1163" t="s">
        <v>68</v>
      </c>
      <c r="H1163" t="s">
        <v>160</v>
      </c>
      <c r="I1163" t="s">
        <v>70</v>
      </c>
      <c r="J1163" t="s">
        <v>71</v>
      </c>
      <c r="K1163">
        <v>3758.51</v>
      </c>
      <c r="L1163">
        <v>33.21</v>
      </c>
      <c r="M1163" t="s">
        <v>914</v>
      </c>
      <c r="N1163">
        <v>73463</v>
      </c>
      <c r="O1163">
        <v>37.6</v>
      </c>
      <c r="P1163">
        <v>31.75</v>
      </c>
      <c r="Q1163">
        <v>4.93</v>
      </c>
      <c r="R1163">
        <v>6.84</v>
      </c>
      <c r="S1163">
        <v>5.92</v>
      </c>
      <c r="T1163" t="s">
        <v>903</v>
      </c>
      <c r="U1163">
        <v>1.1299999999999999</v>
      </c>
      <c r="V1163" t="s">
        <v>5604</v>
      </c>
      <c r="W1163" t="s">
        <v>2661</v>
      </c>
      <c r="X1163" t="s">
        <v>2058</v>
      </c>
      <c r="Y1163" t="s">
        <v>4073</v>
      </c>
      <c r="Z1163" t="s">
        <v>15489</v>
      </c>
      <c r="AA1163">
        <v>0.88</v>
      </c>
      <c r="AB1163" t="s">
        <v>15490</v>
      </c>
      <c r="AC1163" t="s">
        <v>8402</v>
      </c>
      <c r="AD1163" t="s">
        <v>267</v>
      </c>
      <c r="AE1163" t="s">
        <v>237</v>
      </c>
      <c r="AF1163" t="s">
        <v>4999</v>
      </c>
      <c r="AG1163" t="s">
        <v>2201</v>
      </c>
      <c r="AH1163" t="s">
        <v>9623</v>
      </c>
      <c r="AI1163" t="s">
        <v>3546</v>
      </c>
      <c r="AJ1163" t="s">
        <v>10808</v>
      </c>
      <c r="AK1163" t="s">
        <v>15491</v>
      </c>
      <c r="AL1163">
        <v>0.56000000000000005</v>
      </c>
      <c r="AM1163">
        <v>0.56000000000000005</v>
      </c>
      <c r="AN1163">
        <v>2.5299999999999998</v>
      </c>
      <c r="AO1163" t="s">
        <v>1278</v>
      </c>
      <c r="AP1163" t="s">
        <v>15492</v>
      </c>
      <c r="AQ1163" t="s">
        <v>6736</v>
      </c>
      <c r="AR1163" t="s">
        <v>3349</v>
      </c>
      <c r="AS1163" t="s">
        <v>2274</v>
      </c>
      <c r="AT1163" t="s">
        <v>4431</v>
      </c>
      <c r="AU1163" t="s">
        <v>4881</v>
      </c>
      <c r="AV1163" t="s">
        <v>2640</v>
      </c>
      <c r="AW1163" t="s">
        <v>9814</v>
      </c>
      <c r="AX1163" t="s">
        <v>9843</v>
      </c>
      <c r="AY1163" t="s">
        <v>15493</v>
      </c>
      <c r="AZ1163" t="s">
        <v>13222</v>
      </c>
      <c r="BA1163">
        <v>2</v>
      </c>
      <c r="BB1163">
        <v>935.95</v>
      </c>
      <c r="BC1163">
        <v>0.28000000000000003</v>
      </c>
      <c r="BD1163">
        <v>33.06</v>
      </c>
      <c r="BE1163">
        <v>33.44</v>
      </c>
      <c r="BF1163">
        <v>33.01</v>
      </c>
      <c r="BG1163" t="s">
        <v>15494</v>
      </c>
      <c r="BH1163" t="s">
        <v>15495</v>
      </c>
      <c r="BI1163" t="s">
        <v>15496</v>
      </c>
      <c r="BJ1163" t="s">
        <v>101</v>
      </c>
      <c r="BK1163" t="s">
        <v>1700</v>
      </c>
      <c r="BL1163" t="s">
        <v>2644</v>
      </c>
      <c r="BM1163" t="s">
        <v>4600</v>
      </c>
      <c r="BN1163" t="s">
        <v>14623</v>
      </c>
    </row>
    <row r="1164" spans="1:66" x14ac:dyDescent="0.25">
      <c r="A1164" t="str">
        <f>HYPERLINK("https://elite.finviz.com/quote.ashx?t=RAVE&amp;ty=c&amp;p=d&amp;b=1", "RAVE")</f>
        <v>RAVE</v>
      </c>
      <c r="B1164">
        <v>6</v>
      </c>
      <c r="C1164">
        <v>127.03</v>
      </c>
      <c r="D1164">
        <v>47.17</v>
      </c>
      <c r="E1164" t="s">
        <v>15497</v>
      </c>
      <c r="F1164" t="s">
        <v>107</v>
      </c>
      <c r="G1164" t="s">
        <v>813</v>
      </c>
      <c r="H1164" t="s">
        <v>2285</v>
      </c>
      <c r="I1164" t="s">
        <v>70</v>
      </c>
      <c r="J1164" t="s">
        <v>321</v>
      </c>
      <c r="K1164">
        <v>46.87</v>
      </c>
      <c r="L1164">
        <v>3.3</v>
      </c>
      <c r="M1164" t="s">
        <v>4281</v>
      </c>
      <c r="N1164">
        <v>10778</v>
      </c>
      <c r="O1164">
        <v>17.72</v>
      </c>
      <c r="R1164">
        <v>3.89</v>
      </c>
      <c r="S1164">
        <v>3.31</v>
      </c>
      <c r="Z1164" t="s">
        <v>164</v>
      </c>
      <c r="AA1164">
        <v>0.19</v>
      </c>
      <c r="AB1164" t="s">
        <v>12215</v>
      </c>
      <c r="AE1164" t="s">
        <v>4953</v>
      </c>
      <c r="AF1164" t="s">
        <v>926</v>
      </c>
      <c r="AG1164" t="s">
        <v>1050</v>
      </c>
      <c r="AH1164" t="s">
        <v>2206</v>
      </c>
      <c r="AJ1164" t="s">
        <v>164</v>
      </c>
      <c r="AK1164" t="s">
        <v>3667</v>
      </c>
      <c r="AL1164">
        <v>6.59</v>
      </c>
      <c r="AM1164">
        <v>6.59</v>
      </c>
      <c r="AN1164">
        <v>0.04</v>
      </c>
      <c r="AO1164" t="s">
        <v>15498</v>
      </c>
      <c r="AP1164" t="s">
        <v>7092</v>
      </c>
      <c r="AQ1164" t="s">
        <v>886</v>
      </c>
      <c r="AR1164" t="s">
        <v>3958</v>
      </c>
      <c r="AS1164" t="s">
        <v>7210</v>
      </c>
      <c r="AT1164" t="s">
        <v>5621</v>
      </c>
      <c r="AU1164" t="s">
        <v>4393</v>
      </c>
      <c r="AV1164" t="s">
        <v>10797</v>
      </c>
      <c r="AW1164" t="s">
        <v>2813</v>
      </c>
      <c r="AX1164" t="s">
        <v>11880</v>
      </c>
      <c r="AY1164" t="s">
        <v>2813</v>
      </c>
      <c r="AZ1164" t="s">
        <v>15499</v>
      </c>
      <c r="BA1164">
        <v>3</v>
      </c>
      <c r="BB1164">
        <v>33.700000000000003</v>
      </c>
      <c r="BC1164">
        <v>1.1399999999999999</v>
      </c>
      <c r="BD1164">
        <v>3.41</v>
      </c>
      <c r="BE1164">
        <v>3.42</v>
      </c>
      <c r="BF1164">
        <v>3.22</v>
      </c>
      <c r="BG1164" t="s">
        <v>15500</v>
      </c>
      <c r="BH1164" t="s">
        <v>15501</v>
      </c>
      <c r="BI1164" t="s">
        <v>15502</v>
      </c>
      <c r="BJ1164" t="s">
        <v>101</v>
      </c>
      <c r="BK1164" t="s">
        <v>11880</v>
      </c>
      <c r="BL1164" t="s">
        <v>8922</v>
      </c>
      <c r="BM1164" t="s">
        <v>15503</v>
      </c>
      <c r="BN1164" t="s">
        <v>14623</v>
      </c>
    </row>
    <row r="1165" spans="1:66" x14ac:dyDescent="0.25">
      <c r="A1165" t="str">
        <f>HYPERLINK("https://elite.finviz.com/quote.ashx?t=OOMA&amp;ty=c&amp;p=d&amp;b=1", "OOMA")</f>
        <v>OOMA</v>
      </c>
      <c r="B1165">
        <v>6</v>
      </c>
      <c r="C1165">
        <v>127.03</v>
      </c>
      <c r="D1165">
        <v>47.18</v>
      </c>
      <c r="E1165" t="s">
        <v>15504</v>
      </c>
      <c r="F1165" t="s">
        <v>67</v>
      </c>
      <c r="G1165" t="s">
        <v>108</v>
      </c>
      <c r="H1165" t="s">
        <v>136</v>
      </c>
      <c r="I1165" t="s">
        <v>70</v>
      </c>
      <c r="J1165" t="s">
        <v>71</v>
      </c>
      <c r="K1165">
        <v>342.79</v>
      </c>
      <c r="L1165">
        <v>12.42</v>
      </c>
      <c r="M1165" t="s">
        <v>1547</v>
      </c>
      <c r="N1165">
        <v>19690</v>
      </c>
      <c r="P1165">
        <v>13.14</v>
      </c>
      <c r="R1165">
        <v>1.31</v>
      </c>
      <c r="S1165">
        <v>3.89</v>
      </c>
      <c r="AA1165">
        <v>-0.06</v>
      </c>
      <c r="AB1165" t="s">
        <v>3378</v>
      </c>
      <c r="AC1165" t="s">
        <v>480</v>
      </c>
      <c r="AD1165" t="s">
        <v>15403</v>
      </c>
      <c r="AE1165" t="s">
        <v>6956</v>
      </c>
      <c r="AF1165" t="s">
        <v>9300</v>
      </c>
      <c r="AG1165" t="s">
        <v>6408</v>
      </c>
      <c r="AH1165" t="s">
        <v>4093</v>
      </c>
      <c r="AI1165" t="s">
        <v>6413</v>
      </c>
      <c r="AJ1165" t="s">
        <v>2978</v>
      </c>
      <c r="AK1165" t="s">
        <v>15505</v>
      </c>
      <c r="AL1165">
        <v>1</v>
      </c>
      <c r="AM1165">
        <v>0.71</v>
      </c>
      <c r="AN1165">
        <v>0.18</v>
      </c>
      <c r="AO1165" t="s">
        <v>12904</v>
      </c>
      <c r="AP1165" t="s">
        <v>6192</v>
      </c>
      <c r="AQ1165" t="s">
        <v>1086</v>
      </c>
      <c r="AR1165" t="s">
        <v>3638</v>
      </c>
      <c r="AS1165" t="s">
        <v>4204</v>
      </c>
      <c r="AT1165" t="s">
        <v>5245</v>
      </c>
      <c r="AU1165" t="s">
        <v>714</v>
      </c>
      <c r="AV1165" t="s">
        <v>15506</v>
      </c>
      <c r="AW1165" t="s">
        <v>5963</v>
      </c>
      <c r="AX1165" t="s">
        <v>562</v>
      </c>
      <c r="AY1165" t="s">
        <v>14535</v>
      </c>
      <c r="AZ1165" t="s">
        <v>6087</v>
      </c>
      <c r="BA1165">
        <v>1.33</v>
      </c>
      <c r="BB1165">
        <v>178.4</v>
      </c>
      <c r="BC1165">
        <v>0.39</v>
      </c>
      <c r="BD1165">
        <v>12.43</v>
      </c>
      <c r="BE1165">
        <v>12.43</v>
      </c>
      <c r="BF1165">
        <v>12.38</v>
      </c>
      <c r="BG1165" t="s">
        <v>15507</v>
      </c>
      <c r="BH1165" t="s">
        <v>15508</v>
      </c>
      <c r="BI1165" t="s">
        <v>15509</v>
      </c>
      <c r="BJ1165" t="s">
        <v>101</v>
      </c>
      <c r="BK1165" t="s">
        <v>4879</v>
      </c>
      <c r="BL1165" t="s">
        <v>14985</v>
      </c>
      <c r="BM1165" t="s">
        <v>702</v>
      </c>
      <c r="BN1165" t="s">
        <v>14623</v>
      </c>
    </row>
    <row r="1166" spans="1:66" x14ac:dyDescent="0.25">
      <c r="A1166" t="str">
        <f>HYPERLINK("https://elite.finviz.com/quote.ashx?t=PLAG&amp;ty=c&amp;p=d&amp;b=1", "PLAG")</f>
        <v>PLAG</v>
      </c>
      <c r="B1166">
        <v>6</v>
      </c>
      <c r="C1166">
        <v>127.03</v>
      </c>
      <c r="D1166">
        <v>47.19</v>
      </c>
      <c r="E1166" t="s">
        <v>15510</v>
      </c>
      <c r="F1166" t="s">
        <v>107</v>
      </c>
      <c r="G1166" t="s">
        <v>260</v>
      </c>
      <c r="H1166" t="s">
        <v>2508</v>
      </c>
      <c r="I1166" t="s">
        <v>70</v>
      </c>
      <c r="J1166" t="s">
        <v>383</v>
      </c>
      <c r="K1166">
        <v>12.59</v>
      </c>
      <c r="L1166">
        <v>1.73</v>
      </c>
      <c r="M1166" t="s">
        <v>5789</v>
      </c>
      <c r="N1166">
        <v>3806</v>
      </c>
      <c r="R1166">
        <v>2.52</v>
      </c>
      <c r="S1166">
        <v>1.25</v>
      </c>
      <c r="AA1166">
        <v>-0.84</v>
      </c>
      <c r="AB1166" t="s">
        <v>6794</v>
      </c>
      <c r="AE1166" t="s">
        <v>15511</v>
      </c>
      <c r="AF1166" t="s">
        <v>15512</v>
      </c>
      <c r="AG1166" t="s">
        <v>15513</v>
      </c>
      <c r="AH1166" t="s">
        <v>15514</v>
      </c>
      <c r="AJ1166" t="s">
        <v>164</v>
      </c>
      <c r="AK1166" t="s">
        <v>2734</v>
      </c>
      <c r="AL1166">
        <v>0.57999999999999996</v>
      </c>
      <c r="AM1166">
        <v>0.41</v>
      </c>
      <c r="AN1166">
        <v>0.5</v>
      </c>
      <c r="AO1166" t="s">
        <v>3982</v>
      </c>
      <c r="AP1166" t="s">
        <v>15515</v>
      </c>
      <c r="AQ1166" t="s">
        <v>15516</v>
      </c>
      <c r="AR1166" t="s">
        <v>2000</v>
      </c>
      <c r="AS1166" t="s">
        <v>2237</v>
      </c>
      <c r="AT1166" t="s">
        <v>405</v>
      </c>
      <c r="AU1166" t="s">
        <v>13117</v>
      </c>
      <c r="AV1166" t="s">
        <v>1821</v>
      </c>
      <c r="AW1166" t="s">
        <v>15517</v>
      </c>
      <c r="AX1166" t="s">
        <v>12624</v>
      </c>
      <c r="AY1166" t="s">
        <v>15518</v>
      </c>
      <c r="AZ1166" t="s">
        <v>15519</v>
      </c>
      <c r="BB1166">
        <v>116.41</v>
      </c>
      <c r="BC1166">
        <v>0.12</v>
      </c>
      <c r="BD1166">
        <v>1.75</v>
      </c>
      <c r="BE1166">
        <v>1.83</v>
      </c>
      <c r="BF1166">
        <v>1.73</v>
      </c>
      <c r="BG1166" t="s">
        <v>15520</v>
      </c>
      <c r="BH1166" t="s">
        <v>3265</v>
      </c>
      <c r="BI1166" t="s">
        <v>15519</v>
      </c>
      <c r="BJ1166" t="s">
        <v>101</v>
      </c>
      <c r="BK1166" t="s">
        <v>1288</v>
      </c>
      <c r="BL1166" t="s">
        <v>15521</v>
      </c>
      <c r="BM1166" t="s">
        <v>4961</v>
      </c>
      <c r="BN1166" t="s">
        <v>14623</v>
      </c>
    </row>
    <row r="1167" spans="1:66" x14ac:dyDescent="0.25">
      <c r="A1167" t="str">
        <f>HYPERLINK("https://elite.finviz.com/quote.ashx?t=MITT&amp;ty=c&amp;p=d&amp;b=1", "MITT")</f>
        <v>MITT</v>
      </c>
      <c r="B1167">
        <v>6</v>
      </c>
      <c r="C1167">
        <v>127.03</v>
      </c>
      <c r="D1167">
        <v>47.19</v>
      </c>
      <c r="E1167" t="s">
        <v>15522</v>
      </c>
      <c r="F1167" t="s">
        <v>67</v>
      </c>
      <c r="G1167" t="s">
        <v>68</v>
      </c>
      <c r="H1167" t="s">
        <v>5566</v>
      </c>
      <c r="I1167" t="s">
        <v>70</v>
      </c>
      <c r="J1167" t="s">
        <v>71</v>
      </c>
      <c r="K1167">
        <v>241.48</v>
      </c>
      <c r="L1167">
        <v>7.61</v>
      </c>
      <c r="M1167" t="s">
        <v>148</v>
      </c>
      <c r="N1167">
        <v>47508</v>
      </c>
      <c r="O1167">
        <v>8.81</v>
      </c>
      <c r="P1167">
        <v>7.53</v>
      </c>
      <c r="Q1167">
        <v>0.5</v>
      </c>
      <c r="R1167">
        <v>0.56000000000000005</v>
      </c>
      <c r="S1167">
        <v>0.72</v>
      </c>
      <c r="T1167" t="s">
        <v>7361</v>
      </c>
      <c r="U1167">
        <v>0.79</v>
      </c>
      <c r="V1167" t="s">
        <v>198</v>
      </c>
      <c r="W1167" t="s">
        <v>2841</v>
      </c>
      <c r="X1167" t="s">
        <v>6204</v>
      </c>
      <c r="Y1167" t="s">
        <v>15523</v>
      </c>
      <c r="Z1167" t="s">
        <v>15524</v>
      </c>
      <c r="AA1167">
        <v>0.86</v>
      </c>
      <c r="AB1167" t="s">
        <v>15525</v>
      </c>
      <c r="AC1167" t="s">
        <v>10125</v>
      </c>
      <c r="AD1167" t="s">
        <v>7379</v>
      </c>
      <c r="AE1167" t="s">
        <v>15526</v>
      </c>
      <c r="AF1167" t="s">
        <v>7764</v>
      </c>
      <c r="AG1167" t="s">
        <v>4412</v>
      </c>
      <c r="AH1167" t="s">
        <v>162</v>
      </c>
      <c r="AI1167" t="s">
        <v>150</v>
      </c>
      <c r="AJ1167" t="s">
        <v>164</v>
      </c>
      <c r="AK1167" t="s">
        <v>2476</v>
      </c>
      <c r="AL1167">
        <v>0.17</v>
      </c>
      <c r="AM1167">
        <v>0.16</v>
      </c>
      <c r="AN1167">
        <v>12.82</v>
      </c>
      <c r="AO1167" t="s">
        <v>15527</v>
      </c>
      <c r="AP1167" t="s">
        <v>15528</v>
      </c>
      <c r="AQ1167" t="s">
        <v>2196</v>
      </c>
      <c r="AR1167" t="s">
        <v>3208</v>
      </c>
      <c r="AS1167" t="s">
        <v>2609</v>
      </c>
      <c r="AT1167" t="s">
        <v>6265</v>
      </c>
      <c r="AU1167" t="s">
        <v>7464</v>
      </c>
      <c r="AV1167" t="s">
        <v>5527</v>
      </c>
      <c r="AW1167" t="s">
        <v>5189</v>
      </c>
      <c r="AX1167" t="s">
        <v>9108</v>
      </c>
      <c r="AY1167" t="s">
        <v>5189</v>
      </c>
      <c r="AZ1167" t="s">
        <v>6596</v>
      </c>
      <c r="BA1167">
        <v>1.8</v>
      </c>
      <c r="BB1167">
        <v>190.9</v>
      </c>
      <c r="BC1167">
        <v>0.88</v>
      </c>
      <c r="BD1167">
        <v>7.65</v>
      </c>
      <c r="BE1167">
        <v>7.68</v>
      </c>
      <c r="BF1167">
        <v>7.61</v>
      </c>
      <c r="BG1167" t="s">
        <v>15529</v>
      </c>
      <c r="BH1167" t="s">
        <v>15530</v>
      </c>
      <c r="BI1167" t="s">
        <v>15531</v>
      </c>
      <c r="BJ1167" t="s">
        <v>101</v>
      </c>
      <c r="BK1167" t="s">
        <v>2012</v>
      </c>
      <c r="BL1167" t="s">
        <v>3388</v>
      </c>
      <c r="BM1167" t="s">
        <v>6597</v>
      </c>
      <c r="BN1167" t="s">
        <v>14623</v>
      </c>
    </row>
    <row r="1168" spans="1:66" x14ac:dyDescent="0.25">
      <c r="A1168" t="str">
        <f>HYPERLINK("https://elite.finviz.com/quote.ashx?t=OFIX&amp;ty=c&amp;p=d&amp;b=1", "OFIX")</f>
        <v>OFIX</v>
      </c>
      <c r="B1168">
        <v>6</v>
      </c>
      <c r="C1168">
        <v>127.03</v>
      </c>
      <c r="D1168">
        <v>47.2</v>
      </c>
      <c r="E1168" t="s">
        <v>15532</v>
      </c>
      <c r="F1168" t="s">
        <v>67</v>
      </c>
      <c r="G1168" t="s">
        <v>428</v>
      </c>
      <c r="H1168" t="s">
        <v>2051</v>
      </c>
      <c r="I1168" t="s">
        <v>70</v>
      </c>
      <c r="J1168" t="s">
        <v>321</v>
      </c>
      <c r="K1168">
        <v>562.99</v>
      </c>
      <c r="L1168">
        <v>14.26</v>
      </c>
      <c r="M1168" t="s">
        <v>2899</v>
      </c>
      <c r="N1168">
        <v>21946</v>
      </c>
      <c r="R1168">
        <v>0.7</v>
      </c>
      <c r="S1168">
        <v>1.23</v>
      </c>
      <c r="AA1168">
        <v>-3.18</v>
      </c>
      <c r="AB1168" t="s">
        <v>14218</v>
      </c>
      <c r="AC1168" t="s">
        <v>10629</v>
      </c>
      <c r="AD1168" t="s">
        <v>15533</v>
      </c>
      <c r="AE1168" t="s">
        <v>5969</v>
      </c>
      <c r="AF1168" t="s">
        <v>8627</v>
      </c>
      <c r="AG1168" t="s">
        <v>1297</v>
      </c>
      <c r="AH1168" t="s">
        <v>6003</v>
      </c>
      <c r="AI1168" t="s">
        <v>3861</v>
      </c>
      <c r="AJ1168" t="s">
        <v>5262</v>
      </c>
      <c r="AK1168" t="s">
        <v>15534</v>
      </c>
      <c r="AL1168">
        <v>2.67</v>
      </c>
      <c r="AM1168">
        <v>1.5</v>
      </c>
      <c r="AN1168">
        <v>0.45</v>
      </c>
      <c r="AO1168" t="s">
        <v>15535</v>
      </c>
      <c r="AP1168" t="s">
        <v>12738</v>
      </c>
      <c r="AQ1168" t="s">
        <v>10847</v>
      </c>
      <c r="AR1168" t="s">
        <v>4956</v>
      </c>
      <c r="AS1168" t="s">
        <v>3636</v>
      </c>
      <c r="AT1168" t="s">
        <v>12575</v>
      </c>
      <c r="AU1168" t="s">
        <v>275</v>
      </c>
      <c r="AV1168" t="s">
        <v>10568</v>
      </c>
      <c r="AW1168" t="s">
        <v>4397</v>
      </c>
      <c r="AX1168" t="s">
        <v>1818</v>
      </c>
      <c r="AY1168" t="s">
        <v>15536</v>
      </c>
      <c r="AZ1168" t="s">
        <v>7140</v>
      </c>
      <c r="BA1168">
        <v>1.5</v>
      </c>
      <c r="BB1168">
        <v>400.6</v>
      </c>
      <c r="BC1168">
        <v>0.19</v>
      </c>
      <c r="BD1168">
        <v>14.38</v>
      </c>
      <c r="BE1168">
        <v>14.58</v>
      </c>
      <c r="BF1168">
        <v>14.3</v>
      </c>
      <c r="BG1168" t="s">
        <v>15537</v>
      </c>
      <c r="BH1168" t="s">
        <v>8200</v>
      </c>
      <c r="BI1168" t="s">
        <v>15538</v>
      </c>
      <c r="BJ1168" t="s">
        <v>101</v>
      </c>
      <c r="BK1168" t="s">
        <v>15539</v>
      </c>
      <c r="BL1168" t="s">
        <v>15540</v>
      </c>
      <c r="BM1168" t="s">
        <v>15541</v>
      </c>
      <c r="BN1168" t="s">
        <v>14623</v>
      </c>
    </row>
    <row r="1169" spans="1:66" x14ac:dyDescent="0.25">
      <c r="A1169" t="str">
        <f>HYPERLINK("https://elite.finviz.com/quote.ashx?t=NMIH&amp;ty=c&amp;p=d&amp;b=1", "NMIH")</f>
        <v>NMIH</v>
      </c>
      <c r="B1169">
        <v>6</v>
      </c>
      <c r="C1169">
        <v>127.03</v>
      </c>
      <c r="D1169">
        <v>47.24</v>
      </c>
      <c r="E1169" t="s">
        <v>15542</v>
      </c>
      <c r="F1169" t="s">
        <v>67</v>
      </c>
      <c r="G1169" t="s">
        <v>550</v>
      </c>
      <c r="H1169" t="s">
        <v>4675</v>
      </c>
      <c r="I1169" t="s">
        <v>70</v>
      </c>
      <c r="J1169" t="s">
        <v>321</v>
      </c>
      <c r="K1169">
        <v>3024.52</v>
      </c>
      <c r="L1169">
        <v>38.99</v>
      </c>
      <c r="M1169" t="s">
        <v>337</v>
      </c>
      <c r="N1169">
        <v>41302</v>
      </c>
      <c r="O1169">
        <v>8.2799999999999994</v>
      </c>
      <c r="P1169">
        <v>7.71</v>
      </c>
      <c r="Q1169">
        <v>1.39</v>
      </c>
      <c r="R1169">
        <v>4.45</v>
      </c>
      <c r="S1169">
        <v>1.25</v>
      </c>
      <c r="Z1169" t="s">
        <v>164</v>
      </c>
      <c r="AA1169">
        <v>4.71</v>
      </c>
      <c r="AB1169" t="s">
        <v>9887</v>
      </c>
      <c r="AC1169" t="s">
        <v>2946</v>
      </c>
      <c r="AD1169" t="s">
        <v>1496</v>
      </c>
      <c r="AE1169" t="s">
        <v>6448</v>
      </c>
      <c r="AF1169" t="s">
        <v>2579</v>
      </c>
      <c r="AG1169" t="s">
        <v>15543</v>
      </c>
      <c r="AH1169" t="s">
        <v>3432</v>
      </c>
      <c r="AI1169" t="s">
        <v>1025</v>
      </c>
      <c r="AJ1169" t="s">
        <v>5707</v>
      </c>
      <c r="AK1169" t="s">
        <v>15544</v>
      </c>
      <c r="AL1169">
        <v>6.09</v>
      </c>
      <c r="AN1169">
        <v>0.17</v>
      </c>
      <c r="AP1169" t="s">
        <v>11133</v>
      </c>
      <c r="AQ1169" t="s">
        <v>10314</v>
      </c>
      <c r="AR1169" t="s">
        <v>5258</v>
      </c>
      <c r="AS1169" t="s">
        <v>5258</v>
      </c>
      <c r="AT1169" t="s">
        <v>7568</v>
      </c>
      <c r="AU1169" t="s">
        <v>4237</v>
      </c>
      <c r="AV1169" t="s">
        <v>4093</v>
      </c>
      <c r="AW1169" t="s">
        <v>13981</v>
      </c>
      <c r="AX1169" t="s">
        <v>2398</v>
      </c>
      <c r="AY1169" t="s">
        <v>501</v>
      </c>
      <c r="AZ1169" t="s">
        <v>10317</v>
      </c>
      <c r="BA1169">
        <v>1.75</v>
      </c>
      <c r="BB1169">
        <v>427.59</v>
      </c>
      <c r="BC1169">
        <v>0.34</v>
      </c>
      <c r="BD1169">
        <v>39.15</v>
      </c>
      <c r="BE1169">
        <v>39.590000000000003</v>
      </c>
      <c r="BF1169">
        <v>39.01</v>
      </c>
      <c r="BG1169" t="s">
        <v>15545</v>
      </c>
      <c r="BH1169" t="s">
        <v>501</v>
      </c>
      <c r="BI1169" t="s">
        <v>15546</v>
      </c>
      <c r="BJ1169" t="s">
        <v>101</v>
      </c>
      <c r="BK1169" t="s">
        <v>5781</v>
      </c>
      <c r="BL1169" t="s">
        <v>2945</v>
      </c>
      <c r="BM1169" t="s">
        <v>1074</v>
      </c>
      <c r="BN1169" t="s">
        <v>14623</v>
      </c>
    </row>
    <row r="1170" spans="1:66" x14ac:dyDescent="0.25">
      <c r="A1170" t="str">
        <f>HYPERLINK("https://elite.finviz.com/quote.ashx?t=LWAC&amp;ty=c&amp;p=d&amp;b=1", "LWAC")</f>
        <v>LWAC</v>
      </c>
      <c r="B1170">
        <v>6</v>
      </c>
      <c r="C1170">
        <v>127.03</v>
      </c>
      <c r="D1170">
        <v>47.26</v>
      </c>
      <c r="E1170" t="s">
        <v>15547</v>
      </c>
      <c r="F1170" t="s">
        <v>107</v>
      </c>
      <c r="G1170" t="s">
        <v>550</v>
      </c>
      <c r="H1170" t="s">
        <v>2120</v>
      </c>
      <c r="I1170" t="s">
        <v>70</v>
      </c>
      <c r="J1170" t="s">
        <v>321</v>
      </c>
      <c r="K1170">
        <v>261.01</v>
      </c>
      <c r="L1170">
        <v>9.9700000000000006</v>
      </c>
      <c r="M1170" t="s">
        <v>164</v>
      </c>
      <c r="N1170">
        <v>14</v>
      </c>
      <c r="S1170">
        <v>1.43</v>
      </c>
      <c r="AI1170" t="s">
        <v>822</v>
      </c>
      <c r="AJ1170" t="s">
        <v>164</v>
      </c>
      <c r="AK1170" t="s">
        <v>3481</v>
      </c>
      <c r="AL1170">
        <v>6.7</v>
      </c>
      <c r="AM1170">
        <v>6.7</v>
      </c>
      <c r="AN1170">
        <v>0</v>
      </c>
      <c r="AR1170" t="s">
        <v>629</v>
      </c>
      <c r="AS1170" t="s">
        <v>2880</v>
      </c>
      <c r="AT1170" t="s">
        <v>2215</v>
      </c>
      <c r="AU1170" t="s">
        <v>406</v>
      </c>
      <c r="AV1170" t="s">
        <v>406</v>
      </c>
      <c r="AW1170" t="s">
        <v>2197</v>
      </c>
      <c r="AX1170" t="s">
        <v>3494</v>
      </c>
      <c r="AY1170" t="s">
        <v>2197</v>
      </c>
      <c r="AZ1170" t="s">
        <v>3494</v>
      </c>
      <c r="BB1170">
        <v>86.22</v>
      </c>
      <c r="BC1170">
        <v>0</v>
      </c>
      <c r="BD1170">
        <v>9.9700000000000006</v>
      </c>
      <c r="BE1170">
        <v>9.9700000000000006</v>
      </c>
      <c r="BF1170">
        <v>9.9700000000000006</v>
      </c>
      <c r="BG1170" t="s">
        <v>15548</v>
      </c>
      <c r="BH1170" t="s">
        <v>2197</v>
      </c>
      <c r="BI1170" t="s">
        <v>3494</v>
      </c>
      <c r="BJ1170" t="s">
        <v>101</v>
      </c>
      <c r="BN1170" t="s">
        <v>14623</v>
      </c>
    </row>
    <row r="1171" spans="1:66" x14ac:dyDescent="0.25">
      <c r="A1171" t="str">
        <f>HYPERLINK("https://elite.finviz.com/quote.ashx?t=AORT&amp;ty=c&amp;p=d&amp;b=1", "AORT")</f>
        <v>AORT</v>
      </c>
      <c r="B1171">
        <v>6</v>
      </c>
      <c r="C1171">
        <v>127.03</v>
      </c>
      <c r="D1171">
        <v>47.28</v>
      </c>
      <c r="E1171" t="s">
        <v>15549</v>
      </c>
      <c r="F1171" t="s">
        <v>67</v>
      </c>
      <c r="G1171" t="s">
        <v>428</v>
      </c>
      <c r="H1171" t="s">
        <v>2051</v>
      </c>
      <c r="I1171" t="s">
        <v>70</v>
      </c>
      <c r="J1171" t="s">
        <v>71</v>
      </c>
      <c r="K1171">
        <v>1904.81</v>
      </c>
      <c r="L1171">
        <v>40.369999999999997</v>
      </c>
      <c r="M1171" t="s">
        <v>1998</v>
      </c>
      <c r="N1171">
        <v>58170</v>
      </c>
      <c r="P1171">
        <v>100.57</v>
      </c>
      <c r="R1171">
        <v>4.7</v>
      </c>
      <c r="S1171">
        <v>4.53</v>
      </c>
      <c r="V1171" t="s">
        <v>15550</v>
      </c>
      <c r="AA1171">
        <v>-0.43</v>
      </c>
      <c r="AB1171" t="s">
        <v>3602</v>
      </c>
      <c r="AE1171" t="s">
        <v>3746</v>
      </c>
      <c r="AF1171" t="s">
        <v>1078</v>
      </c>
      <c r="AG1171" t="s">
        <v>2869</v>
      </c>
      <c r="AH1171" t="s">
        <v>1788</v>
      </c>
      <c r="AI1171" t="s">
        <v>15551</v>
      </c>
      <c r="AJ1171" t="s">
        <v>5748</v>
      </c>
      <c r="AK1171" t="s">
        <v>3262</v>
      </c>
      <c r="AL1171">
        <v>3.99</v>
      </c>
      <c r="AM1171">
        <v>2.69</v>
      </c>
      <c r="AN1171">
        <v>0.63</v>
      </c>
      <c r="AO1171" t="s">
        <v>15552</v>
      </c>
      <c r="AP1171" t="s">
        <v>5642</v>
      </c>
      <c r="AQ1171" t="s">
        <v>2827</v>
      </c>
      <c r="AR1171" t="s">
        <v>1439</v>
      </c>
      <c r="AS1171" t="s">
        <v>2361</v>
      </c>
      <c r="AT1171" t="s">
        <v>7907</v>
      </c>
      <c r="AU1171" t="s">
        <v>4569</v>
      </c>
      <c r="AV1171" t="s">
        <v>10872</v>
      </c>
      <c r="AW1171" t="s">
        <v>15553</v>
      </c>
      <c r="AX1171" t="s">
        <v>2359</v>
      </c>
      <c r="AY1171" t="s">
        <v>15553</v>
      </c>
      <c r="AZ1171" t="s">
        <v>15554</v>
      </c>
      <c r="BA1171">
        <v>1.29</v>
      </c>
      <c r="BB1171">
        <v>460.3</v>
      </c>
      <c r="BC1171">
        <v>0.45</v>
      </c>
      <c r="BD1171">
        <v>40.43</v>
      </c>
      <c r="BE1171">
        <v>40.89</v>
      </c>
      <c r="BF1171">
        <v>40.32</v>
      </c>
      <c r="BG1171" t="s">
        <v>15555</v>
      </c>
      <c r="BH1171" t="s">
        <v>15553</v>
      </c>
      <c r="BI1171" t="s">
        <v>15556</v>
      </c>
      <c r="BJ1171" t="s">
        <v>101</v>
      </c>
      <c r="BK1171" t="s">
        <v>9007</v>
      </c>
      <c r="BL1171" t="s">
        <v>15557</v>
      </c>
      <c r="BM1171" t="s">
        <v>15558</v>
      </c>
      <c r="BN1171" t="s">
        <v>14623</v>
      </c>
    </row>
    <row r="1172" spans="1:66" x14ac:dyDescent="0.25">
      <c r="A1172" t="str">
        <f>HYPERLINK("https://elite.finviz.com/quote.ashx?t=LRHC&amp;ty=c&amp;p=d&amp;b=1", "LRHC")</f>
        <v>LRHC</v>
      </c>
      <c r="B1172">
        <v>6</v>
      </c>
      <c r="C1172">
        <v>127.03</v>
      </c>
      <c r="D1172">
        <v>47.28</v>
      </c>
      <c r="E1172" t="s">
        <v>15559</v>
      </c>
      <c r="F1172" t="s">
        <v>107</v>
      </c>
      <c r="G1172" t="s">
        <v>68</v>
      </c>
      <c r="H1172" t="s">
        <v>7494</v>
      </c>
      <c r="I1172" t="s">
        <v>70</v>
      </c>
      <c r="J1172" t="s">
        <v>321</v>
      </c>
      <c r="K1172">
        <v>8.31</v>
      </c>
      <c r="L1172">
        <v>6.79</v>
      </c>
      <c r="M1172" t="s">
        <v>5745</v>
      </c>
      <c r="N1172">
        <v>2725</v>
      </c>
      <c r="R1172">
        <v>0.11</v>
      </c>
      <c r="S1172">
        <v>1.44</v>
      </c>
      <c r="AA1172">
        <v>-490.03</v>
      </c>
      <c r="AE1172" t="s">
        <v>15560</v>
      </c>
      <c r="AF1172" t="s">
        <v>4200</v>
      </c>
      <c r="AG1172" t="s">
        <v>4686</v>
      </c>
      <c r="AH1172" t="s">
        <v>4771</v>
      </c>
      <c r="AJ1172" t="s">
        <v>553</v>
      </c>
      <c r="AK1172" t="s">
        <v>3013</v>
      </c>
      <c r="AL1172">
        <v>2.12</v>
      </c>
      <c r="AM1172">
        <v>2.12</v>
      </c>
      <c r="AN1172">
        <v>2.91</v>
      </c>
      <c r="AO1172" t="s">
        <v>3688</v>
      </c>
      <c r="AP1172" t="s">
        <v>15561</v>
      </c>
      <c r="AQ1172" t="s">
        <v>15562</v>
      </c>
      <c r="AR1172" t="s">
        <v>2386</v>
      </c>
      <c r="AS1172" t="s">
        <v>7669</v>
      </c>
      <c r="AT1172" t="s">
        <v>4446</v>
      </c>
      <c r="AU1172" t="s">
        <v>5907</v>
      </c>
      <c r="AV1172" t="s">
        <v>15563</v>
      </c>
      <c r="AW1172" t="s">
        <v>15564</v>
      </c>
      <c r="AX1172" t="s">
        <v>15565</v>
      </c>
      <c r="AY1172" t="s">
        <v>15566</v>
      </c>
      <c r="AZ1172" t="s">
        <v>15565</v>
      </c>
      <c r="BB1172">
        <v>293.75</v>
      </c>
      <c r="BC1172">
        <v>0.03</v>
      </c>
      <c r="BD1172">
        <v>6.7</v>
      </c>
      <c r="BE1172">
        <v>6.79</v>
      </c>
      <c r="BF1172">
        <v>6.5</v>
      </c>
      <c r="BG1172" t="s">
        <v>15567</v>
      </c>
      <c r="BH1172" t="s">
        <v>15568</v>
      </c>
      <c r="BI1172" t="s">
        <v>15565</v>
      </c>
      <c r="BJ1172" t="s">
        <v>101</v>
      </c>
      <c r="BK1172" t="s">
        <v>513</v>
      </c>
      <c r="BL1172" t="s">
        <v>15569</v>
      </c>
      <c r="BM1172" t="s">
        <v>15570</v>
      </c>
      <c r="BN1172" t="s">
        <v>14623</v>
      </c>
    </row>
    <row r="1173" spans="1:66" x14ac:dyDescent="0.25">
      <c r="A1173" t="str">
        <f>HYPERLINK("https://elite.finviz.com/quote.ashx?t=MCFT&amp;ty=c&amp;p=d&amp;b=1", "MCFT")</f>
        <v>MCFT</v>
      </c>
      <c r="B1173">
        <v>6</v>
      </c>
      <c r="C1173">
        <v>127.03</v>
      </c>
      <c r="D1173">
        <v>47.34</v>
      </c>
      <c r="E1173" t="s">
        <v>15571</v>
      </c>
      <c r="F1173" t="s">
        <v>67</v>
      </c>
      <c r="G1173" t="s">
        <v>813</v>
      </c>
      <c r="H1173" t="s">
        <v>5716</v>
      </c>
      <c r="I1173" t="s">
        <v>70</v>
      </c>
      <c r="J1173" t="s">
        <v>321</v>
      </c>
      <c r="K1173">
        <v>350.64</v>
      </c>
      <c r="L1173">
        <v>21.52</v>
      </c>
      <c r="M1173" t="s">
        <v>15000</v>
      </c>
      <c r="N1173">
        <v>19636</v>
      </c>
      <c r="O1173">
        <v>70.14</v>
      </c>
      <c r="P1173">
        <v>13.84</v>
      </c>
      <c r="R1173">
        <v>1.23</v>
      </c>
      <c r="S1173">
        <v>1.93</v>
      </c>
      <c r="V1173" t="s">
        <v>15572</v>
      </c>
      <c r="Z1173" t="s">
        <v>164</v>
      </c>
      <c r="AA1173">
        <v>0.31</v>
      </c>
      <c r="AB1173" t="s">
        <v>8968</v>
      </c>
      <c r="AE1173" t="s">
        <v>5447</v>
      </c>
      <c r="AF1173" t="s">
        <v>742</v>
      </c>
      <c r="AG1173" t="s">
        <v>11628</v>
      </c>
      <c r="AH1173" t="s">
        <v>555</v>
      </c>
      <c r="AI1173" t="s">
        <v>1389</v>
      </c>
      <c r="AJ1173" t="s">
        <v>8558</v>
      </c>
      <c r="AK1173" t="s">
        <v>15573</v>
      </c>
      <c r="AL1173">
        <v>1.86</v>
      </c>
      <c r="AM1173">
        <v>1.39</v>
      </c>
      <c r="AN1173">
        <v>0</v>
      </c>
      <c r="AO1173" t="s">
        <v>8212</v>
      </c>
      <c r="AP1173" t="s">
        <v>5467</v>
      </c>
      <c r="AQ1173" t="s">
        <v>3757</v>
      </c>
      <c r="AR1173" t="s">
        <v>2361</v>
      </c>
      <c r="AS1173" t="s">
        <v>4125</v>
      </c>
      <c r="AT1173" t="s">
        <v>5725</v>
      </c>
      <c r="AU1173" t="s">
        <v>617</v>
      </c>
      <c r="AV1173" t="s">
        <v>683</v>
      </c>
      <c r="AW1173" t="s">
        <v>4048</v>
      </c>
      <c r="AX1173" t="s">
        <v>15574</v>
      </c>
      <c r="AY1173" t="s">
        <v>4048</v>
      </c>
      <c r="AZ1173" t="s">
        <v>10159</v>
      </c>
      <c r="BA1173">
        <v>2.83</v>
      </c>
      <c r="BB1173">
        <v>133.09</v>
      </c>
      <c r="BC1173">
        <v>0.52</v>
      </c>
      <c r="BD1173">
        <v>21.61</v>
      </c>
      <c r="BE1173">
        <v>21.87</v>
      </c>
      <c r="BF1173">
        <v>21.47</v>
      </c>
      <c r="BG1173" t="s">
        <v>15575</v>
      </c>
      <c r="BH1173" t="s">
        <v>15576</v>
      </c>
      <c r="BI1173" t="s">
        <v>15577</v>
      </c>
      <c r="BJ1173" t="s">
        <v>101</v>
      </c>
      <c r="BK1173" t="s">
        <v>5840</v>
      </c>
      <c r="BL1173" t="s">
        <v>442</v>
      </c>
      <c r="BM1173" t="s">
        <v>2636</v>
      </c>
      <c r="BN1173" t="s">
        <v>14623</v>
      </c>
    </row>
    <row r="1174" spans="1:66" x14ac:dyDescent="0.25">
      <c r="A1174" t="str">
        <f>HYPERLINK("https://elite.finviz.com/quote.ashx?t=THFF&amp;ty=c&amp;p=d&amp;b=1", "THFF")</f>
        <v>THFF</v>
      </c>
      <c r="B1174">
        <v>6</v>
      </c>
      <c r="C1174">
        <v>127.03</v>
      </c>
      <c r="D1174">
        <v>47.36</v>
      </c>
      <c r="E1174" t="s">
        <v>15578</v>
      </c>
      <c r="F1174" t="s">
        <v>67</v>
      </c>
      <c r="G1174" t="s">
        <v>550</v>
      </c>
      <c r="H1174" t="s">
        <v>697</v>
      </c>
      <c r="I1174" t="s">
        <v>70</v>
      </c>
      <c r="J1174" t="s">
        <v>321</v>
      </c>
      <c r="K1174">
        <v>680.35</v>
      </c>
      <c r="L1174">
        <v>57.41</v>
      </c>
      <c r="M1174" t="s">
        <v>1445</v>
      </c>
      <c r="N1174">
        <v>5705</v>
      </c>
      <c r="O1174">
        <v>10.96</v>
      </c>
      <c r="P1174">
        <v>9.15</v>
      </c>
      <c r="R1174">
        <v>2.02</v>
      </c>
      <c r="S1174">
        <v>1.1599999999999999</v>
      </c>
      <c r="T1174" t="s">
        <v>2234</v>
      </c>
      <c r="U1174">
        <v>1.98</v>
      </c>
      <c r="V1174" t="s">
        <v>700</v>
      </c>
      <c r="W1174" t="s">
        <v>15579</v>
      </c>
      <c r="X1174" t="s">
        <v>4607</v>
      </c>
      <c r="Y1174" t="s">
        <v>2365</v>
      </c>
      <c r="Z1174" t="s">
        <v>9427</v>
      </c>
      <c r="AA1174">
        <v>5.24</v>
      </c>
      <c r="AB1174" t="s">
        <v>2717</v>
      </c>
      <c r="AC1174" t="s">
        <v>3447</v>
      </c>
      <c r="AE1174" t="s">
        <v>11176</v>
      </c>
      <c r="AF1174" t="s">
        <v>949</v>
      </c>
      <c r="AG1174" t="s">
        <v>6981</v>
      </c>
      <c r="AH1174" t="s">
        <v>15580</v>
      </c>
      <c r="AI1174" t="s">
        <v>6528</v>
      </c>
      <c r="AJ1174" t="s">
        <v>183</v>
      </c>
      <c r="AK1174" t="s">
        <v>5902</v>
      </c>
      <c r="AL1174">
        <v>0.11</v>
      </c>
      <c r="AN1174">
        <v>0.48</v>
      </c>
      <c r="AP1174" t="s">
        <v>5382</v>
      </c>
      <c r="AQ1174" t="s">
        <v>5240</v>
      </c>
      <c r="AR1174" t="s">
        <v>909</v>
      </c>
      <c r="AS1174" t="s">
        <v>4256</v>
      </c>
      <c r="AT1174" t="s">
        <v>6359</v>
      </c>
      <c r="AU1174" t="s">
        <v>5158</v>
      </c>
      <c r="AV1174" t="s">
        <v>5656</v>
      </c>
      <c r="AW1174" t="s">
        <v>7256</v>
      </c>
      <c r="AX1174" t="s">
        <v>237</v>
      </c>
      <c r="AY1174" t="s">
        <v>7256</v>
      </c>
      <c r="AZ1174" t="s">
        <v>15581</v>
      </c>
      <c r="BA1174">
        <v>2.33</v>
      </c>
      <c r="BB1174">
        <v>55.31</v>
      </c>
      <c r="BC1174">
        <v>0.37</v>
      </c>
      <c r="BD1174">
        <v>57.62</v>
      </c>
      <c r="BE1174">
        <v>58.05</v>
      </c>
      <c r="BF1174">
        <v>57.68</v>
      </c>
      <c r="BG1174" t="s">
        <v>15582</v>
      </c>
      <c r="BH1174" t="s">
        <v>7256</v>
      </c>
      <c r="BI1174" t="s">
        <v>15583</v>
      </c>
      <c r="BJ1174" t="s">
        <v>101</v>
      </c>
      <c r="BK1174" t="s">
        <v>4254</v>
      </c>
      <c r="BL1174" t="s">
        <v>3756</v>
      </c>
      <c r="BM1174" t="s">
        <v>3971</v>
      </c>
      <c r="BN1174" t="s">
        <v>14623</v>
      </c>
    </row>
    <row r="1175" spans="1:66" x14ac:dyDescent="0.25">
      <c r="A1175" t="str">
        <f>HYPERLINK("https://elite.finviz.com/quote.ashx?t=OCFC&amp;ty=c&amp;p=d&amp;b=1", "OCFC")</f>
        <v>OCFC</v>
      </c>
      <c r="B1175">
        <v>6</v>
      </c>
      <c r="C1175">
        <v>127.03</v>
      </c>
      <c r="D1175">
        <v>47.36</v>
      </c>
      <c r="E1175" t="s">
        <v>15584</v>
      </c>
      <c r="F1175" t="s">
        <v>67</v>
      </c>
      <c r="G1175" t="s">
        <v>550</v>
      </c>
      <c r="H1175" t="s">
        <v>697</v>
      </c>
      <c r="I1175" t="s">
        <v>70</v>
      </c>
      <c r="J1175" t="s">
        <v>321</v>
      </c>
      <c r="K1175">
        <v>1022.61</v>
      </c>
      <c r="L1175">
        <v>17.82</v>
      </c>
      <c r="M1175" t="s">
        <v>5777</v>
      </c>
      <c r="N1175">
        <v>29296</v>
      </c>
      <c r="O1175">
        <v>12.65</v>
      </c>
      <c r="P1175">
        <v>9.89</v>
      </c>
      <c r="Q1175">
        <v>1.1599999999999999</v>
      </c>
      <c r="R1175">
        <v>1.5</v>
      </c>
      <c r="S1175">
        <v>0.62</v>
      </c>
      <c r="T1175" t="s">
        <v>1091</v>
      </c>
      <c r="U1175">
        <v>0.8</v>
      </c>
      <c r="V1175" t="s">
        <v>4827</v>
      </c>
      <c r="W1175" t="s">
        <v>164</v>
      </c>
      <c r="X1175" t="s">
        <v>4697</v>
      </c>
      <c r="Y1175" t="s">
        <v>3636</v>
      </c>
      <c r="Z1175" t="s">
        <v>15585</v>
      </c>
      <c r="AA1175">
        <v>1.41</v>
      </c>
      <c r="AB1175" t="s">
        <v>9938</v>
      </c>
      <c r="AC1175" t="s">
        <v>4312</v>
      </c>
      <c r="AD1175" t="s">
        <v>5248</v>
      </c>
      <c r="AE1175" t="s">
        <v>2374</v>
      </c>
      <c r="AF1175" t="s">
        <v>948</v>
      </c>
      <c r="AG1175" t="s">
        <v>2867</v>
      </c>
      <c r="AH1175" t="s">
        <v>8293</v>
      </c>
      <c r="AI1175" t="s">
        <v>269</v>
      </c>
      <c r="AJ1175" t="s">
        <v>164</v>
      </c>
      <c r="AK1175" t="s">
        <v>15586</v>
      </c>
      <c r="AL1175">
        <v>0.03</v>
      </c>
      <c r="AN1175">
        <v>0.74</v>
      </c>
      <c r="AP1175" t="s">
        <v>8735</v>
      </c>
      <c r="AQ1175" t="s">
        <v>4068</v>
      </c>
      <c r="AR1175" t="s">
        <v>5968</v>
      </c>
      <c r="AS1175" t="s">
        <v>2273</v>
      </c>
      <c r="AT1175" t="s">
        <v>14607</v>
      </c>
      <c r="AU1175" t="s">
        <v>5036</v>
      </c>
      <c r="AV1175" t="s">
        <v>2449</v>
      </c>
      <c r="AW1175" t="s">
        <v>1571</v>
      </c>
      <c r="AX1175" t="s">
        <v>177</v>
      </c>
      <c r="AY1175" t="s">
        <v>15587</v>
      </c>
      <c r="AZ1175" t="s">
        <v>3931</v>
      </c>
      <c r="BA1175">
        <v>2</v>
      </c>
      <c r="BB1175">
        <v>292.86</v>
      </c>
      <c r="BC1175">
        <v>0.35</v>
      </c>
      <c r="BD1175">
        <v>17.91</v>
      </c>
      <c r="BE1175">
        <v>18.03</v>
      </c>
      <c r="BF1175">
        <v>17.559999999999999</v>
      </c>
      <c r="BG1175" t="s">
        <v>15588</v>
      </c>
      <c r="BH1175" t="s">
        <v>15589</v>
      </c>
      <c r="BI1175" t="s">
        <v>15590</v>
      </c>
      <c r="BJ1175" t="s">
        <v>101</v>
      </c>
      <c r="BK1175" t="s">
        <v>6842</v>
      </c>
      <c r="BL1175" t="s">
        <v>3636</v>
      </c>
      <c r="BM1175" t="s">
        <v>5777</v>
      </c>
      <c r="BN1175" t="s">
        <v>14623</v>
      </c>
    </row>
    <row r="1176" spans="1:66" x14ac:dyDescent="0.25">
      <c r="A1176" t="str">
        <f>HYPERLINK("https://elite.finviz.com/quote.ashx?t=FCF&amp;ty=c&amp;p=d&amp;b=1", "FCF")</f>
        <v>FCF</v>
      </c>
      <c r="B1176">
        <v>6</v>
      </c>
      <c r="C1176">
        <v>127.03</v>
      </c>
      <c r="D1176">
        <v>47.44</v>
      </c>
      <c r="E1176" t="s">
        <v>15591</v>
      </c>
      <c r="F1176" t="s">
        <v>67</v>
      </c>
      <c r="G1176" t="s">
        <v>550</v>
      </c>
      <c r="H1176" t="s">
        <v>697</v>
      </c>
      <c r="I1176" t="s">
        <v>70</v>
      </c>
      <c r="J1176" t="s">
        <v>71</v>
      </c>
      <c r="K1176">
        <v>1805.9</v>
      </c>
      <c r="L1176">
        <v>17.27</v>
      </c>
      <c r="M1176" t="s">
        <v>1364</v>
      </c>
      <c r="N1176">
        <v>66934</v>
      </c>
      <c r="O1176">
        <v>13.22</v>
      </c>
      <c r="P1176">
        <v>9.76</v>
      </c>
      <c r="R1176">
        <v>2.5499999999999998</v>
      </c>
      <c r="S1176">
        <v>1.19</v>
      </c>
      <c r="T1176" t="s">
        <v>5779</v>
      </c>
      <c r="U1176">
        <v>0.53</v>
      </c>
      <c r="V1176" t="s">
        <v>1762</v>
      </c>
      <c r="W1176" t="s">
        <v>2174</v>
      </c>
      <c r="X1176" t="s">
        <v>2841</v>
      </c>
      <c r="Y1176" t="s">
        <v>896</v>
      </c>
      <c r="Z1176" t="s">
        <v>4560</v>
      </c>
      <c r="AA1176">
        <v>1.31</v>
      </c>
      <c r="AB1176" t="s">
        <v>3940</v>
      </c>
      <c r="AC1176" t="s">
        <v>7682</v>
      </c>
      <c r="AE1176" t="s">
        <v>247</v>
      </c>
      <c r="AF1176" t="s">
        <v>10795</v>
      </c>
      <c r="AG1176" t="s">
        <v>6293</v>
      </c>
      <c r="AH1176" t="s">
        <v>5163</v>
      </c>
      <c r="AI1176" t="s">
        <v>13468</v>
      </c>
      <c r="AJ1176" t="s">
        <v>193</v>
      </c>
      <c r="AK1176" t="s">
        <v>15592</v>
      </c>
      <c r="AL1176">
        <v>0.04</v>
      </c>
      <c r="AN1176">
        <v>0.35</v>
      </c>
      <c r="AP1176" t="s">
        <v>5157</v>
      </c>
      <c r="AQ1176" t="s">
        <v>15593</v>
      </c>
      <c r="AR1176" t="s">
        <v>5084</v>
      </c>
      <c r="AS1176" t="s">
        <v>2219</v>
      </c>
      <c r="AT1176" t="s">
        <v>2741</v>
      </c>
      <c r="AU1176" t="s">
        <v>3552</v>
      </c>
      <c r="AV1176" t="s">
        <v>5659</v>
      </c>
      <c r="AW1176" t="s">
        <v>15594</v>
      </c>
      <c r="AX1176" t="s">
        <v>2967</v>
      </c>
      <c r="AY1176" t="s">
        <v>14274</v>
      </c>
      <c r="AZ1176" t="s">
        <v>8844</v>
      </c>
      <c r="BA1176">
        <v>2</v>
      </c>
      <c r="BB1176">
        <v>616.35</v>
      </c>
      <c r="BC1176">
        <v>0.38</v>
      </c>
      <c r="BD1176">
        <v>17.34</v>
      </c>
      <c r="BE1176">
        <v>17.5</v>
      </c>
      <c r="BF1176">
        <v>17.260000000000002</v>
      </c>
      <c r="BG1176" t="s">
        <v>15595</v>
      </c>
      <c r="BH1176" t="s">
        <v>14274</v>
      </c>
      <c r="BI1176" t="s">
        <v>15596</v>
      </c>
      <c r="BJ1176" t="s">
        <v>101</v>
      </c>
      <c r="BK1176" t="s">
        <v>5210</v>
      </c>
      <c r="BL1176" t="s">
        <v>2438</v>
      </c>
      <c r="BM1176" t="s">
        <v>7088</v>
      </c>
      <c r="BN1176" t="s">
        <v>14623</v>
      </c>
    </row>
    <row r="1177" spans="1:66" x14ac:dyDescent="0.25">
      <c r="A1177" t="str">
        <f>HYPERLINK("https://elite.finviz.com/quote.ashx?t=BRT&amp;ty=c&amp;p=d&amp;b=1", "BRT")</f>
        <v>BRT</v>
      </c>
      <c r="B1177">
        <v>6</v>
      </c>
      <c r="C1177">
        <v>127.03</v>
      </c>
      <c r="D1177">
        <v>47.44</v>
      </c>
      <c r="E1177" t="s">
        <v>15597</v>
      </c>
      <c r="F1177" t="s">
        <v>67</v>
      </c>
      <c r="G1177" t="s">
        <v>68</v>
      </c>
      <c r="H1177" t="s">
        <v>5671</v>
      </c>
      <c r="I1177" t="s">
        <v>70</v>
      </c>
      <c r="J1177" t="s">
        <v>71</v>
      </c>
      <c r="K1177">
        <v>298.27999999999997</v>
      </c>
      <c r="L1177">
        <v>15.78</v>
      </c>
      <c r="M1177" t="s">
        <v>914</v>
      </c>
      <c r="N1177">
        <v>3627</v>
      </c>
      <c r="R1177">
        <v>3.09</v>
      </c>
      <c r="S1177">
        <v>1.48</v>
      </c>
      <c r="T1177" t="s">
        <v>2065</v>
      </c>
      <c r="U1177">
        <v>1</v>
      </c>
      <c r="V1177" t="s">
        <v>13483</v>
      </c>
      <c r="W1177" t="s">
        <v>164</v>
      </c>
      <c r="X1177" t="s">
        <v>975</v>
      </c>
      <c r="Y1177" t="s">
        <v>2234</v>
      </c>
      <c r="AA1177">
        <v>-0.5</v>
      </c>
      <c r="AE1177" t="s">
        <v>714</v>
      </c>
      <c r="AF1177" t="s">
        <v>4030</v>
      </c>
      <c r="AG1177" t="s">
        <v>2389</v>
      </c>
      <c r="AH1177" t="s">
        <v>7780</v>
      </c>
      <c r="AI1177" t="s">
        <v>4760</v>
      </c>
      <c r="AJ1177" t="s">
        <v>4495</v>
      </c>
      <c r="AK1177" t="s">
        <v>3508</v>
      </c>
      <c r="AL1177">
        <v>1.05</v>
      </c>
      <c r="AM1177">
        <v>1.05</v>
      </c>
      <c r="AN1177">
        <v>2.5099999999999998</v>
      </c>
      <c r="AO1177" t="s">
        <v>12397</v>
      </c>
      <c r="AP1177" t="s">
        <v>6923</v>
      </c>
      <c r="AQ1177" t="s">
        <v>2753</v>
      </c>
      <c r="AR1177" t="s">
        <v>5121</v>
      </c>
      <c r="AS1177" t="s">
        <v>248</v>
      </c>
      <c r="AT1177" t="s">
        <v>6257</v>
      </c>
      <c r="AU1177" t="s">
        <v>6155</v>
      </c>
      <c r="AV1177" t="s">
        <v>6123</v>
      </c>
      <c r="AW1177" t="s">
        <v>9738</v>
      </c>
      <c r="AX1177" t="s">
        <v>6528</v>
      </c>
      <c r="AY1177" t="s">
        <v>15598</v>
      </c>
      <c r="AZ1177" t="s">
        <v>6528</v>
      </c>
      <c r="BA1177">
        <v>2</v>
      </c>
      <c r="BB1177">
        <v>30.89</v>
      </c>
      <c r="BC1177">
        <v>0.41</v>
      </c>
      <c r="BD1177">
        <v>15.71</v>
      </c>
      <c r="BE1177">
        <v>15.94</v>
      </c>
      <c r="BF1177">
        <v>15.76</v>
      </c>
      <c r="BG1177" t="s">
        <v>15599</v>
      </c>
      <c r="BH1177" t="s">
        <v>15600</v>
      </c>
      <c r="BI1177" t="s">
        <v>15601</v>
      </c>
      <c r="BJ1177" t="s">
        <v>101</v>
      </c>
      <c r="BK1177" t="s">
        <v>164</v>
      </c>
      <c r="BL1177" t="s">
        <v>14960</v>
      </c>
      <c r="BM1177" t="s">
        <v>7707</v>
      </c>
      <c r="BN1177" t="s">
        <v>14623</v>
      </c>
    </row>
    <row r="1178" spans="1:66" x14ac:dyDescent="0.25">
      <c r="A1178" t="str">
        <f>HYPERLINK("https://elite.finviz.com/quote.ashx?t=BKU&amp;ty=c&amp;p=d&amp;b=1", "BKU")</f>
        <v>BKU</v>
      </c>
      <c r="B1178">
        <v>6</v>
      </c>
      <c r="C1178">
        <v>127.03</v>
      </c>
      <c r="D1178">
        <v>47.46</v>
      </c>
      <c r="E1178" t="s">
        <v>15602</v>
      </c>
      <c r="F1178" t="s">
        <v>67</v>
      </c>
      <c r="G1178" t="s">
        <v>550</v>
      </c>
      <c r="H1178" t="s">
        <v>697</v>
      </c>
      <c r="I1178" t="s">
        <v>70</v>
      </c>
      <c r="J1178" t="s">
        <v>71</v>
      </c>
      <c r="K1178">
        <v>2863.22</v>
      </c>
      <c r="L1178">
        <v>38.07</v>
      </c>
      <c r="M1178" t="s">
        <v>5242</v>
      </c>
      <c r="N1178">
        <v>40710</v>
      </c>
      <c r="O1178">
        <v>11.18</v>
      </c>
      <c r="P1178">
        <v>10.5</v>
      </c>
      <c r="Q1178">
        <v>1.2</v>
      </c>
      <c r="R1178">
        <v>1.46</v>
      </c>
      <c r="S1178">
        <v>0.97</v>
      </c>
      <c r="T1178" t="s">
        <v>4204</v>
      </c>
      <c r="U1178">
        <v>1.2</v>
      </c>
      <c r="V1178" t="s">
        <v>5056</v>
      </c>
      <c r="W1178" t="s">
        <v>2816</v>
      </c>
      <c r="X1178" t="s">
        <v>8727</v>
      </c>
      <c r="Y1178" t="s">
        <v>4760</v>
      </c>
      <c r="Z1178" t="s">
        <v>3352</v>
      </c>
      <c r="AA1178">
        <v>3.41</v>
      </c>
      <c r="AB1178" t="s">
        <v>12912</v>
      </c>
      <c r="AC1178" t="s">
        <v>386</v>
      </c>
      <c r="AD1178" t="s">
        <v>6945</v>
      </c>
      <c r="AE1178" t="s">
        <v>4646</v>
      </c>
      <c r="AF1178" t="s">
        <v>4988</v>
      </c>
      <c r="AG1178" t="s">
        <v>1653</v>
      </c>
      <c r="AH1178" t="s">
        <v>10194</v>
      </c>
      <c r="AI1178" t="s">
        <v>11062</v>
      </c>
      <c r="AJ1178" t="s">
        <v>8534</v>
      </c>
      <c r="AK1178" t="s">
        <v>15603</v>
      </c>
      <c r="AL1178">
        <v>0.05</v>
      </c>
      <c r="AN1178">
        <v>1</v>
      </c>
      <c r="AP1178" t="s">
        <v>3834</v>
      </c>
      <c r="AQ1178" t="s">
        <v>1925</v>
      </c>
      <c r="AR1178" t="s">
        <v>2808</v>
      </c>
      <c r="AS1178" t="s">
        <v>180</v>
      </c>
      <c r="AT1178" t="s">
        <v>5895</v>
      </c>
      <c r="AU1178" t="s">
        <v>182</v>
      </c>
      <c r="AV1178" t="s">
        <v>3433</v>
      </c>
      <c r="AW1178" t="s">
        <v>3622</v>
      </c>
      <c r="AX1178" t="s">
        <v>10557</v>
      </c>
      <c r="AY1178" t="s">
        <v>4521</v>
      </c>
      <c r="AZ1178" t="s">
        <v>10576</v>
      </c>
      <c r="BA1178">
        <v>2.64</v>
      </c>
      <c r="BB1178">
        <v>760.71</v>
      </c>
      <c r="BC1178">
        <v>0.19</v>
      </c>
      <c r="BD1178">
        <v>38.07</v>
      </c>
      <c r="BE1178">
        <v>38.58</v>
      </c>
      <c r="BF1178">
        <v>37.9</v>
      </c>
      <c r="BG1178" t="s">
        <v>15604</v>
      </c>
      <c r="BH1178" t="s">
        <v>15605</v>
      </c>
      <c r="BI1178" t="s">
        <v>15606</v>
      </c>
      <c r="BJ1178" t="s">
        <v>101</v>
      </c>
      <c r="BK1178" t="s">
        <v>5642</v>
      </c>
      <c r="BL1178" t="s">
        <v>2492</v>
      </c>
      <c r="BM1178" t="s">
        <v>5969</v>
      </c>
      <c r="BN1178" t="s">
        <v>14623</v>
      </c>
    </row>
    <row r="1179" spans="1:66" x14ac:dyDescent="0.25">
      <c r="A1179" t="str">
        <f>HYPERLINK("https://elite.finviz.com/quote.ashx?t=CELZ&amp;ty=c&amp;p=d&amp;b=1", "CELZ")</f>
        <v>CELZ</v>
      </c>
      <c r="B1179">
        <v>6</v>
      </c>
      <c r="C1179">
        <v>127.03</v>
      </c>
      <c r="D1179">
        <v>47.49</v>
      </c>
      <c r="E1179" t="s">
        <v>15607</v>
      </c>
      <c r="F1179" t="s">
        <v>107</v>
      </c>
      <c r="G1179" t="s">
        <v>428</v>
      </c>
      <c r="H1179" t="s">
        <v>429</v>
      </c>
      <c r="I1179" t="s">
        <v>70</v>
      </c>
      <c r="J1179" t="s">
        <v>321</v>
      </c>
      <c r="K1179">
        <v>8.4</v>
      </c>
      <c r="L1179">
        <v>3.26</v>
      </c>
      <c r="M1179" t="s">
        <v>183</v>
      </c>
      <c r="N1179">
        <v>2894</v>
      </c>
      <c r="R1179">
        <v>840.29</v>
      </c>
      <c r="S1179">
        <v>1.23</v>
      </c>
      <c r="AA1179">
        <v>-3.17</v>
      </c>
      <c r="AC1179" t="s">
        <v>9730</v>
      </c>
      <c r="AE1179" t="s">
        <v>15608</v>
      </c>
      <c r="AF1179" t="s">
        <v>2466</v>
      </c>
      <c r="AG1179" t="s">
        <v>15609</v>
      </c>
      <c r="AH1179" t="s">
        <v>579</v>
      </c>
      <c r="AI1179" t="s">
        <v>15610</v>
      </c>
      <c r="AJ1179" t="s">
        <v>164</v>
      </c>
      <c r="AK1179" t="s">
        <v>2496</v>
      </c>
      <c r="AL1179">
        <v>23.89</v>
      </c>
      <c r="AM1179">
        <v>23.89</v>
      </c>
      <c r="AN1179">
        <v>0</v>
      </c>
      <c r="AO1179" t="s">
        <v>15611</v>
      </c>
      <c r="AP1179" t="s">
        <v>15612</v>
      </c>
      <c r="AQ1179" t="s">
        <v>15613</v>
      </c>
      <c r="AR1179" t="s">
        <v>7210</v>
      </c>
      <c r="AS1179" t="s">
        <v>2429</v>
      </c>
      <c r="AT1179" t="s">
        <v>12014</v>
      </c>
      <c r="AU1179" t="s">
        <v>901</v>
      </c>
      <c r="AV1179" t="s">
        <v>7688</v>
      </c>
      <c r="AW1179" t="s">
        <v>14241</v>
      </c>
      <c r="AX1179" t="s">
        <v>12682</v>
      </c>
      <c r="AY1179" t="s">
        <v>15614</v>
      </c>
      <c r="AZ1179" t="s">
        <v>15615</v>
      </c>
      <c r="BA1179">
        <v>1</v>
      </c>
      <c r="BB1179">
        <v>137.11000000000001</v>
      </c>
      <c r="BC1179">
        <v>0.08</v>
      </c>
      <c r="BD1179">
        <v>3.25</v>
      </c>
      <c r="BE1179">
        <v>3.27</v>
      </c>
      <c r="BF1179">
        <v>3.22</v>
      </c>
      <c r="BG1179" t="s">
        <v>15616</v>
      </c>
      <c r="BH1179" t="s">
        <v>579</v>
      </c>
      <c r="BI1179" t="s">
        <v>15615</v>
      </c>
      <c r="BJ1179" t="s">
        <v>101</v>
      </c>
      <c r="BK1179" t="s">
        <v>2769</v>
      </c>
      <c r="BL1179" t="s">
        <v>4768</v>
      </c>
      <c r="BM1179" t="s">
        <v>3054</v>
      </c>
      <c r="BN1179" t="s">
        <v>14623</v>
      </c>
    </row>
    <row r="1180" spans="1:66" x14ac:dyDescent="0.25">
      <c r="A1180" t="str">
        <f>HYPERLINK("https://elite.finviz.com/quote.ashx?t=CCII&amp;ty=c&amp;p=d&amp;b=1", "CCII")</f>
        <v>CCII</v>
      </c>
      <c r="B1180">
        <v>6</v>
      </c>
      <c r="C1180">
        <v>127.03</v>
      </c>
      <c r="D1180">
        <v>47.51</v>
      </c>
      <c r="E1180" t="s">
        <v>15617</v>
      </c>
      <c r="F1180" t="s">
        <v>107</v>
      </c>
      <c r="G1180" t="s">
        <v>550</v>
      </c>
      <c r="H1180" t="s">
        <v>2120</v>
      </c>
      <c r="I1180" t="s">
        <v>70</v>
      </c>
      <c r="J1180" t="s">
        <v>321</v>
      </c>
      <c r="K1180">
        <v>351.06</v>
      </c>
      <c r="L1180">
        <v>10.119999999999999</v>
      </c>
      <c r="M1180" t="s">
        <v>2638</v>
      </c>
      <c r="N1180">
        <v>12219</v>
      </c>
      <c r="AJ1180" t="s">
        <v>164</v>
      </c>
      <c r="AK1180" t="s">
        <v>9227</v>
      </c>
      <c r="AL1180">
        <v>0.04</v>
      </c>
      <c r="AM1180">
        <v>0.04</v>
      </c>
      <c r="AR1180" t="s">
        <v>2641</v>
      </c>
      <c r="AS1180" t="s">
        <v>497</v>
      </c>
      <c r="AT1180" t="s">
        <v>6156</v>
      </c>
      <c r="AU1180" t="s">
        <v>3358</v>
      </c>
      <c r="AV1180" t="s">
        <v>3358</v>
      </c>
      <c r="AW1180" t="s">
        <v>241</v>
      </c>
      <c r="AX1180" t="s">
        <v>3336</v>
      </c>
      <c r="AY1180" t="s">
        <v>241</v>
      </c>
      <c r="AZ1180" t="s">
        <v>3336</v>
      </c>
      <c r="BB1180">
        <v>160.81</v>
      </c>
      <c r="BC1180">
        <v>0.27</v>
      </c>
      <c r="BD1180">
        <v>10.130000000000001</v>
      </c>
      <c r="BE1180">
        <v>10.119999999999999</v>
      </c>
      <c r="BF1180">
        <v>10.119999999999999</v>
      </c>
      <c r="BG1180" t="s">
        <v>15618</v>
      </c>
      <c r="BH1180" t="s">
        <v>241</v>
      </c>
      <c r="BI1180" t="s">
        <v>3336</v>
      </c>
      <c r="BJ1180" t="s">
        <v>101</v>
      </c>
      <c r="BN1180" t="s">
        <v>14623</v>
      </c>
    </row>
    <row r="1181" spans="1:66" x14ac:dyDescent="0.25">
      <c r="A1181" t="str">
        <f>HYPERLINK("https://elite.finviz.com/quote.ashx?t=UPB&amp;ty=c&amp;p=d&amp;b=1", "UPB")</f>
        <v>UPB</v>
      </c>
      <c r="B1181">
        <v>6</v>
      </c>
      <c r="C1181">
        <v>127.03</v>
      </c>
      <c r="D1181">
        <v>47.55</v>
      </c>
      <c r="E1181" t="s">
        <v>15619</v>
      </c>
      <c r="F1181" t="s">
        <v>67</v>
      </c>
      <c r="G1181" t="s">
        <v>428</v>
      </c>
      <c r="H1181" t="s">
        <v>429</v>
      </c>
      <c r="I1181" t="s">
        <v>70</v>
      </c>
      <c r="J1181" t="s">
        <v>321</v>
      </c>
      <c r="K1181">
        <v>893.82</v>
      </c>
      <c r="L1181">
        <v>16.579999999999998</v>
      </c>
      <c r="M1181" t="s">
        <v>3494</v>
      </c>
      <c r="N1181">
        <v>21504</v>
      </c>
      <c r="R1181">
        <v>328.61</v>
      </c>
      <c r="S1181">
        <v>2.1800000000000002</v>
      </c>
      <c r="AA1181">
        <v>-2.0499999999999998</v>
      </c>
      <c r="AB1181" t="s">
        <v>15620</v>
      </c>
      <c r="AD1181" t="s">
        <v>13872</v>
      </c>
      <c r="AF1181" t="s">
        <v>15621</v>
      </c>
      <c r="AI1181" t="s">
        <v>14673</v>
      </c>
      <c r="AJ1181" t="s">
        <v>164</v>
      </c>
      <c r="AK1181" t="s">
        <v>11683</v>
      </c>
      <c r="AL1181">
        <v>38.270000000000003</v>
      </c>
      <c r="AM1181">
        <v>38.270000000000003</v>
      </c>
      <c r="AN1181">
        <v>0</v>
      </c>
      <c r="AO1181" t="s">
        <v>15622</v>
      </c>
      <c r="AP1181" t="s">
        <v>15623</v>
      </c>
      <c r="AQ1181" t="s">
        <v>15624</v>
      </c>
      <c r="AR1181" t="s">
        <v>1452</v>
      </c>
      <c r="AS1181" t="s">
        <v>2816</v>
      </c>
      <c r="AT1181" t="s">
        <v>703</v>
      </c>
      <c r="AU1181" t="s">
        <v>84</v>
      </c>
      <c r="AV1181" t="s">
        <v>15625</v>
      </c>
      <c r="AW1181" t="s">
        <v>15626</v>
      </c>
      <c r="AX1181" t="s">
        <v>8502</v>
      </c>
      <c r="AY1181" t="s">
        <v>15627</v>
      </c>
      <c r="AZ1181" t="s">
        <v>15628</v>
      </c>
      <c r="BA1181">
        <v>1</v>
      </c>
      <c r="BB1181">
        <v>525.34</v>
      </c>
      <c r="BC1181">
        <v>0.14000000000000001</v>
      </c>
      <c r="BD1181">
        <v>16.309999999999999</v>
      </c>
      <c r="BE1181">
        <v>16.98</v>
      </c>
      <c r="BF1181">
        <v>16.3</v>
      </c>
      <c r="BG1181" t="s">
        <v>15629</v>
      </c>
      <c r="BH1181" t="s">
        <v>15627</v>
      </c>
      <c r="BI1181" t="s">
        <v>15628</v>
      </c>
      <c r="BJ1181" t="s">
        <v>101</v>
      </c>
      <c r="BK1181" t="s">
        <v>8769</v>
      </c>
      <c r="BL1181" t="s">
        <v>15630</v>
      </c>
      <c r="BN1181" t="s">
        <v>14623</v>
      </c>
    </row>
    <row r="1182" spans="1:66" x14ac:dyDescent="0.25">
      <c r="A1182" t="str">
        <f>HYPERLINK("https://elite.finviz.com/quote.ashx?t=PCRX&amp;ty=c&amp;p=d&amp;b=1", "PCRX")</f>
        <v>PCRX</v>
      </c>
      <c r="B1182">
        <v>6</v>
      </c>
      <c r="C1182">
        <v>127.03</v>
      </c>
      <c r="D1182">
        <v>47.6</v>
      </c>
      <c r="E1182" t="s">
        <v>15631</v>
      </c>
      <c r="F1182" t="s">
        <v>67</v>
      </c>
      <c r="G1182" t="s">
        <v>428</v>
      </c>
      <c r="H1182" t="s">
        <v>1296</v>
      </c>
      <c r="I1182" t="s">
        <v>70</v>
      </c>
      <c r="J1182" t="s">
        <v>321</v>
      </c>
      <c r="K1182">
        <v>1159.71</v>
      </c>
      <c r="L1182">
        <v>25.81</v>
      </c>
      <c r="M1182" t="s">
        <v>4308</v>
      </c>
      <c r="N1182">
        <v>59829</v>
      </c>
      <c r="P1182">
        <v>7.91</v>
      </c>
      <c r="R1182">
        <v>1.64</v>
      </c>
      <c r="S1182">
        <v>1.53</v>
      </c>
      <c r="AA1182">
        <v>-2.79</v>
      </c>
      <c r="AC1182" t="s">
        <v>15632</v>
      </c>
      <c r="AD1182" t="s">
        <v>5591</v>
      </c>
      <c r="AE1182" t="s">
        <v>8016</v>
      </c>
      <c r="AF1182" t="s">
        <v>7567</v>
      </c>
      <c r="AG1182" t="s">
        <v>249</v>
      </c>
      <c r="AH1182" t="s">
        <v>6336</v>
      </c>
      <c r="AI1182" t="s">
        <v>1302</v>
      </c>
      <c r="AJ1182" t="s">
        <v>3753</v>
      </c>
      <c r="AK1182" t="s">
        <v>15633</v>
      </c>
      <c r="AL1182">
        <v>2.38</v>
      </c>
      <c r="AM1182">
        <v>1.91</v>
      </c>
      <c r="AN1182">
        <v>0.83</v>
      </c>
      <c r="AO1182" t="s">
        <v>9321</v>
      </c>
      <c r="AP1182" t="s">
        <v>2849</v>
      </c>
      <c r="AQ1182" t="s">
        <v>15634</v>
      </c>
      <c r="AR1182" t="s">
        <v>2640</v>
      </c>
      <c r="AS1182" t="s">
        <v>7284</v>
      </c>
      <c r="AT1182" t="s">
        <v>6276</v>
      </c>
      <c r="AU1182" t="s">
        <v>2764</v>
      </c>
      <c r="AV1182" t="s">
        <v>5642</v>
      </c>
      <c r="AW1182" t="s">
        <v>15635</v>
      </c>
      <c r="AX1182" t="s">
        <v>11308</v>
      </c>
      <c r="AY1182" t="s">
        <v>15635</v>
      </c>
      <c r="AZ1182" t="s">
        <v>15636</v>
      </c>
      <c r="BA1182">
        <v>2.33</v>
      </c>
      <c r="BB1182">
        <v>661.52</v>
      </c>
      <c r="BC1182">
        <v>0.32</v>
      </c>
      <c r="BD1182">
        <v>25.65</v>
      </c>
      <c r="BE1182">
        <v>25.99</v>
      </c>
      <c r="BF1182">
        <v>25.83</v>
      </c>
      <c r="BG1182" t="s">
        <v>15637</v>
      </c>
      <c r="BH1182" t="s">
        <v>15638</v>
      </c>
      <c r="BI1182" t="s">
        <v>15639</v>
      </c>
      <c r="BJ1182" t="s">
        <v>101</v>
      </c>
      <c r="BK1182" t="s">
        <v>230</v>
      </c>
      <c r="BL1182" t="s">
        <v>6692</v>
      </c>
      <c r="BM1182" t="s">
        <v>15640</v>
      </c>
      <c r="BN1182" t="s">
        <v>14623</v>
      </c>
    </row>
    <row r="1183" spans="1:66" x14ac:dyDescent="0.25">
      <c r="A1183" t="str">
        <f>HYPERLINK("https://elite.finviz.com/quote.ashx?t=PANL&amp;ty=c&amp;p=d&amp;b=1", "PANL")</f>
        <v>PANL</v>
      </c>
      <c r="B1183">
        <v>6</v>
      </c>
      <c r="C1183">
        <v>127.03</v>
      </c>
      <c r="D1183">
        <v>47.61</v>
      </c>
      <c r="E1183" t="s">
        <v>15641</v>
      </c>
      <c r="F1183" t="s">
        <v>67</v>
      </c>
      <c r="G1183" t="s">
        <v>260</v>
      </c>
      <c r="H1183" t="s">
        <v>2696</v>
      </c>
      <c r="I1183" t="s">
        <v>70</v>
      </c>
      <c r="J1183" t="s">
        <v>321</v>
      </c>
      <c r="K1183">
        <v>346.43</v>
      </c>
      <c r="L1183">
        <v>5.31</v>
      </c>
      <c r="M1183" t="s">
        <v>164</v>
      </c>
      <c r="N1183">
        <v>31063</v>
      </c>
      <c r="O1183">
        <v>24.3</v>
      </c>
      <c r="P1183">
        <v>10.029999999999999</v>
      </c>
      <c r="Q1183">
        <v>1.69</v>
      </c>
      <c r="R1183">
        <v>0.6</v>
      </c>
      <c r="S1183">
        <v>0.84</v>
      </c>
      <c r="T1183" t="s">
        <v>1100</v>
      </c>
      <c r="U1183">
        <v>0.3</v>
      </c>
      <c r="V1183" t="s">
        <v>2187</v>
      </c>
      <c r="W1183" t="s">
        <v>164</v>
      </c>
      <c r="X1183" t="s">
        <v>2238</v>
      </c>
      <c r="Y1183" t="s">
        <v>7463</v>
      </c>
      <c r="Z1183" t="s">
        <v>10785</v>
      </c>
      <c r="AA1183">
        <v>0.22</v>
      </c>
      <c r="AB1183" t="s">
        <v>15642</v>
      </c>
      <c r="AC1183" t="s">
        <v>7273</v>
      </c>
      <c r="AD1183" t="s">
        <v>2867</v>
      </c>
      <c r="AE1183" t="s">
        <v>8078</v>
      </c>
      <c r="AF1183" t="s">
        <v>7439</v>
      </c>
      <c r="AG1183" t="s">
        <v>3602</v>
      </c>
      <c r="AH1183" t="s">
        <v>1645</v>
      </c>
      <c r="AI1183" t="s">
        <v>2712</v>
      </c>
      <c r="AJ1183" t="s">
        <v>1952</v>
      </c>
      <c r="AK1183" t="s">
        <v>5601</v>
      </c>
      <c r="AL1183">
        <v>1.46</v>
      </c>
      <c r="AM1183">
        <v>1.1399999999999999</v>
      </c>
      <c r="AN1183">
        <v>0.91</v>
      </c>
      <c r="AO1183" t="s">
        <v>4067</v>
      </c>
      <c r="AP1183" t="s">
        <v>414</v>
      </c>
      <c r="AQ1183" t="s">
        <v>3349</v>
      </c>
      <c r="AR1183" t="s">
        <v>2493</v>
      </c>
      <c r="AS1183" t="s">
        <v>4204</v>
      </c>
      <c r="AT1183" t="s">
        <v>3753</v>
      </c>
      <c r="AU1183" t="s">
        <v>3842</v>
      </c>
      <c r="AV1183" t="s">
        <v>11629</v>
      </c>
      <c r="AW1183" t="s">
        <v>468</v>
      </c>
      <c r="AX1183" t="s">
        <v>8576</v>
      </c>
      <c r="AY1183" t="s">
        <v>6282</v>
      </c>
      <c r="AZ1183" t="s">
        <v>7703</v>
      </c>
      <c r="BA1183">
        <v>1</v>
      </c>
      <c r="BB1183">
        <v>213.96</v>
      </c>
      <c r="BC1183">
        <v>0.51</v>
      </c>
      <c r="BD1183">
        <v>5.31</v>
      </c>
      <c r="BE1183">
        <v>5.36</v>
      </c>
      <c r="BF1183">
        <v>5.32</v>
      </c>
      <c r="BG1183" t="s">
        <v>15643</v>
      </c>
      <c r="BH1183" t="s">
        <v>15644</v>
      </c>
      <c r="BI1183" t="s">
        <v>15645</v>
      </c>
      <c r="BJ1183" t="s">
        <v>101</v>
      </c>
      <c r="BK1183" t="s">
        <v>12974</v>
      </c>
      <c r="BL1183" t="s">
        <v>4697</v>
      </c>
      <c r="BM1183" t="s">
        <v>15646</v>
      </c>
      <c r="BN1183" t="s">
        <v>14623</v>
      </c>
    </row>
    <row r="1184" spans="1:66" x14ac:dyDescent="0.25">
      <c r="A1184" t="str">
        <f>HYPERLINK("https://elite.finviz.com/quote.ashx?t=FRBA&amp;ty=c&amp;p=d&amp;b=1", "FRBA")</f>
        <v>FRBA</v>
      </c>
      <c r="B1184">
        <v>6</v>
      </c>
      <c r="C1184">
        <v>127.03</v>
      </c>
      <c r="D1184">
        <v>47.62</v>
      </c>
      <c r="E1184" t="s">
        <v>15647</v>
      </c>
      <c r="F1184" t="s">
        <v>67</v>
      </c>
      <c r="G1184" t="s">
        <v>550</v>
      </c>
      <c r="H1184" t="s">
        <v>697</v>
      </c>
      <c r="I1184" t="s">
        <v>70</v>
      </c>
      <c r="J1184" t="s">
        <v>321</v>
      </c>
      <c r="K1184">
        <v>411.2</v>
      </c>
      <c r="L1184">
        <v>16.36</v>
      </c>
      <c r="M1184" t="s">
        <v>4273</v>
      </c>
      <c r="N1184">
        <v>18124</v>
      </c>
      <c r="O1184">
        <v>10.81</v>
      </c>
      <c r="P1184">
        <v>8.67</v>
      </c>
      <c r="R1184">
        <v>1.75</v>
      </c>
      <c r="S1184">
        <v>0.96</v>
      </c>
      <c r="T1184" t="s">
        <v>2145</v>
      </c>
      <c r="U1184">
        <v>0.24</v>
      </c>
      <c r="V1184" t="s">
        <v>1762</v>
      </c>
      <c r="W1184" t="s">
        <v>164</v>
      </c>
      <c r="X1184" t="s">
        <v>1115</v>
      </c>
      <c r="Y1184" t="s">
        <v>1561</v>
      </c>
      <c r="Z1184" t="s">
        <v>5662</v>
      </c>
      <c r="AA1184">
        <v>1.51</v>
      </c>
      <c r="AB1184" t="s">
        <v>3811</v>
      </c>
      <c r="AC1184" t="s">
        <v>14659</v>
      </c>
      <c r="AE1184" t="s">
        <v>2399</v>
      </c>
      <c r="AF1184" t="s">
        <v>15648</v>
      </c>
      <c r="AG1184" t="s">
        <v>1367</v>
      </c>
      <c r="AH1184" t="s">
        <v>3099</v>
      </c>
      <c r="AI1184" t="s">
        <v>10819</v>
      </c>
      <c r="AK1184" t="s">
        <v>5508</v>
      </c>
      <c r="AL1184">
        <v>0.15</v>
      </c>
      <c r="AN1184">
        <v>0.95</v>
      </c>
      <c r="AP1184" t="s">
        <v>10270</v>
      </c>
      <c r="AQ1184" t="s">
        <v>1999</v>
      </c>
      <c r="AR1184" t="s">
        <v>744</v>
      </c>
      <c r="AS1184" t="s">
        <v>4891</v>
      </c>
      <c r="AT1184" t="s">
        <v>9618</v>
      </c>
      <c r="AU1184" t="s">
        <v>5968</v>
      </c>
      <c r="AV1184" t="s">
        <v>2849</v>
      </c>
      <c r="AW1184" t="s">
        <v>15649</v>
      </c>
      <c r="AX1184" t="s">
        <v>4648</v>
      </c>
      <c r="AY1184" t="s">
        <v>15649</v>
      </c>
      <c r="AZ1184" t="s">
        <v>15650</v>
      </c>
      <c r="BA1184">
        <v>1</v>
      </c>
      <c r="BB1184">
        <v>50.28</v>
      </c>
      <c r="BC1184">
        <v>1.27</v>
      </c>
      <c r="BD1184">
        <v>16.440000000000001</v>
      </c>
      <c r="BE1184">
        <v>16.53</v>
      </c>
      <c r="BF1184">
        <v>16.36</v>
      </c>
      <c r="BG1184" t="s">
        <v>15651</v>
      </c>
      <c r="BH1184" t="s">
        <v>15649</v>
      </c>
      <c r="BI1184" t="s">
        <v>15652</v>
      </c>
      <c r="BJ1184" t="s">
        <v>101</v>
      </c>
      <c r="BK1184" t="s">
        <v>3530</v>
      </c>
      <c r="BL1184" t="s">
        <v>3526</v>
      </c>
      <c r="BM1184" t="s">
        <v>2193</v>
      </c>
      <c r="BN1184" t="s">
        <v>14623</v>
      </c>
    </row>
    <row r="1185" spans="1:66" x14ac:dyDescent="0.25">
      <c r="A1185" t="str">
        <f>HYPERLINK("https://elite.finviz.com/quote.ashx?t=LADR&amp;ty=c&amp;p=d&amp;b=1", "LADR")</f>
        <v>LADR</v>
      </c>
      <c r="B1185">
        <v>6</v>
      </c>
      <c r="C1185">
        <v>127.03</v>
      </c>
      <c r="D1185">
        <v>47.66</v>
      </c>
      <c r="E1185" t="s">
        <v>15653</v>
      </c>
      <c r="F1185" t="s">
        <v>67</v>
      </c>
      <c r="G1185" t="s">
        <v>68</v>
      </c>
      <c r="H1185" t="s">
        <v>5566</v>
      </c>
      <c r="I1185" t="s">
        <v>70</v>
      </c>
      <c r="J1185" t="s">
        <v>71</v>
      </c>
      <c r="K1185">
        <v>1447.96</v>
      </c>
      <c r="L1185">
        <v>11.36</v>
      </c>
      <c r="M1185" t="s">
        <v>4865</v>
      </c>
      <c r="N1185">
        <v>97616</v>
      </c>
      <c r="O1185">
        <v>16.190000000000001</v>
      </c>
      <c r="P1185">
        <v>9.4</v>
      </c>
      <c r="R1185">
        <v>3.29</v>
      </c>
      <c r="S1185">
        <v>0.96</v>
      </c>
      <c r="T1185" t="s">
        <v>418</v>
      </c>
      <c r="U1185">
        <v>0.85</v>
      </c>
      <c r="V1185" t="s">
        <v>198</v>
      </c>
      <c r="W1185" t="s">
        <v>164</v>
      </c>
      <c r="X1185" t="s">
        <v>161</v>
      </c>
      <c r="Y1185" t="s">
        <v>5138</v>
      </c>
      <c r="Z1185" t="s">
        <v>15654</v>
      </c>
      <c r="AA1185">
        <v>0.7</v>
      </c>
      <c r="AB1185" t="s">
        <v>8957</v>
      </c>
      <c r="AC1185" t="s">
        <v>4234</v>
      </c>
      <c r="AE1185" t="s">
        <v>3010</v>
      </c>
      <c r="AF1185" t="s">
        <v>920</v>
      </c>
      <c r="AG1185" t="s">
        <v>3000</v>
      </c>
      <c r="AH1185" t="s">
        <v>2747</v>
      </c>
      <c r="AI1185" t="s">
        <v>2233</v>
      </c>
      <c r="AJ1185" t="s">
        <v>7270</v>
      </c>
      <c r="AK1185" t="s">
        <v>3391</v>
      </c>
      <c r="AL1185">
        <v>0.25</v>
      </c>
      <c r="AM1185">
        <v>0.25</v>
      </c>
      <c r="AN1185">
        <v>1.86</v>
      </c>
      <c r="AO1185" t="s">
        <v>15655</v>
      </c>
      <c r="AP1185" t="s">
        <v>13569</v>
      </c>
      <c r="AQ1185" t="s">
        <v>7290</v>
      </c>
      <c r="AR1185" t="s">
        <v>458</v>
      </c>
      <c r="AS1185" t="s">
        <v>5380</v>
      </c>
      <c r="AT1185" t="s">
        <v>1787</v>
      </c>
      <c r="AU1185" t="s">
        <v>3336</v>
      </c>
      <c r="AV1185" t="s">
        <v>352</v>
      </c>
      <c r="AW1185" t="s">
        <v>14635</v>
      </c>
      <c r="AX1185" t="s">
        <v>6419</v>
      </c>
      <c r="AY1185" t="s">
        <v>2593</v>
      </c>
      <c r="AZ1185" t="s">
        <v>4314</v>
      </c>
      <c r="BA1185">
        <v>1.33</v>
      </c>
      <c r="BB1185">
        <v>713.78</v>
      </c>
      <c r="BC1185">
        <v>0.48</v>
      </c>
      <c r="BD1185">
        <v>11.28</v>
      </c>
      <c r="BE1185">
        <v>11.38</v>
      </c>
      <c r="BF1185">
        <v>11.28</v>
      </c>
      <c r="BG1185" t="s">
        <v>15656</v>
      </c>
      <c r="BH1185" t="s">
        <v>3370</v>
      </c>
      <c r="BI1185" t="s">
        <v>15657</v>
      </c>
      <c r="BJ1185" t="s">
        <v>101</v>
      </c>
      <c r="BK1185" t="s">
        <v>1091</v>
      </c>
      <c r="BL1185" t="s">
        <v>14607</v>
      </c>
      <c r="BM1185" t="s">
        <v>93</v>
      </c>
      <c r="BN1185" t="s">
        <v>14623</v>
      </c>
    </row>
    <row r="1186" spans="1:66" x14ac:dyDescent="0.25">
      <c r="A1186" t="str">
        <f>HYPERLINK("https://elite.finviz.com/quote.ashx?t=AXSM&amp;ty=c&amp;p=d&amp;b=1", "AXSM")</f>
        <v>AXSM</v>
      </c>
      <c r="B1186">
        <v>6</v>
      </c>
      <c r="C1186">
        <v>127.03</v>
      </c>
      <c r="D1186">
        <v>47.66</v>
      </c>
      <c r="E1186" t="s">
        <v>15658</v>
      </c>
      <c r="F1186" t="s">
        <v>67</v>
      </c>
      <c r="G1186" t="s">
        <v>428</v>
      </c>
      <c r="H1186" t="s">
        <v>429</v>
      </c>
      <c r="I1186" t="s">
        <v>70</v>
      </c>
      <c r="J1186" t="s">
        <v>321</v>
      </c>
      <c r="K1186">
        <v>5803.39</v>
      </c>
      <c r="L1186">
        <v>116.3</v>
      </c>
      <c r="M1186" t="s">
        <v>4266</v>
      </c>
      <c r="N1186">
        <v>66465</v>
      </c>
      <c r="P1186">
        <v>106.16</v>
      </c>
      <c r="R1186">
        <v>11.72</v>
      </c>
      <c r="S1186">
        <v>79.28</v>
      </c>
      <c r="AA1186">
        <v>-5.07</v>
      </c>
      <c r="AB1186" t="s">
        <v>12223</v>
      </c>
      <c r="AC1186" t="s">
        <v>15659</v>
      </c>
      <c r="AE1186" t="s">
        <v>15660</v>
      </c>
      <c r="AH1186" t="s">
        <v>4434</v>
      </c>
      <c r="AI1186" t="s">
        <v>2407</v>
      </c>
      <c r="AJ1186" t="s">
        <v>308</v>
      </c>
      <c r="AK1186" t="s">
        <v>15661</v>
      </c>
      <c r="AL1186">
        <v>1.57</v>
      </c>
      <c r="AM1186">
        <v>1.51</v>
      </c>
      <c r="AN1186">
        <v>3.06</v>
      </c>
      <c r="AO1186" t="s">
        <v>15662</v>
      </c>
      <c r="AP1186" t="s">
        <v>15663</v>
      </c>
      <c r="AQ1186" t="s">
        <v>15664</v>
      </c>
      <c r="AR1186" t="s">
        <v>2643</v>
      </c>
      <c r="AS1186" t="s">
        <v>4873</v>
      </c>
      <c r="AT1186" t="s">
        <v>2149</v>
      </c>
      <c r="AU1186" t="s">
        <v>4216</v>
      </c>
      <c r="AV1186" t="s">
        <v>3429</v>
      </c>
      <c r="AW1186" t="s">
        <v>1399</v>
      </c>
      <c r="AX1186" t="s">
        <v>10851</v>
      </c>
      <c r="AY1186" t="s">
        <v>2528</v>
      </c>
      <c r="AZ1186" t="s">
        <v>15665</v>
      </c>
      <c r="BA1186">
        <v>1.05</v>
      </c>
      <c r="BB1186">
        <v>600.92999999999995</v>
      </c>
      <c r="BC1186">
        <v>0.39</v>
      </c>
      <c r="BD1186">
        <v>116.01</v>
      </c>
      <c r="BE1186">
        <v>117.82</v>
      </c>
      <c r="BF1186">
        <v>116.15</v>
      </c>
      <c r="BG1186" t="s">
        <v>15666</v>
      </c>
      <c r="BH1186" t="s">
        <v>2528</v>
      </c>
      <c r="BI1186" t="s">
        <v>15667</v>
      </c>
      <c r="BJ1186" t="s">
        <v>101</v>
      </c>
      <c r="BK1186" t="s">
        <v>13198</v>
      </c>
      <c r="BL1186" t="s">
        <v>3622</v>
      </c>
      <c r="BM1186" t="s">
        <v>7578</v>
      </c>
      <c r="BN1186" t="s">
        <v>14623</v>
      </c>
    </row>
    <row r="1187" spans="1:66" x14ac:dyDescent="0.25">
      <c r="A1187" t="str">
        <f>HYPERLINK("https://elite.finviz.com/quote.ashx?t=NTIP&amp;ty=c&amp;p=d&amp;b=1", "NTIP")</f>
        <v>NTIP</v>
      </c>
      <c r="B1187">
        <v>6</v>
      </c>
      <c r="C1187">
        <v>127.03</v>
      </c>
      <c r="D1187">
        <v>47.67</v>
      </c>
      <c r="E1187" t="s">
        <v>15668</v>
      </c>
      <c r="F1187" t="s">
        <v>107</v>
      </c>
      <c r="G1187" t="s">
        <v>260</v>
      </c>
      <c r="H1187" t="s">
        <v>1077</v>
      </c>
      <c r="I1187" t="s">
        <v>70</v>
      </c>
      <c r="J1187" t="s">
        <v>383</v>
      </c>
      <c r="K1187">
        <v>34.450000000000003</v>
      </c>
      <c r="L1187">
        <v>1.51</v>
      </c>
      <c r="M1187" t="s">
        <v>1324</v>
      </c>
      <c r="N1187">
        <v>5922</v>
      </c>
      <c r="R1187">
        <v>229.66</v>
      </c>
      <c r="S1187">
        <v>0.82</v>
      </c>
      <c r="T1187" t="s">
        <v>6106</v>
      </c>
      <c r="U1187">
        <v>0.1</v>
      </c>
      <c r="V1187" t="s">
        <v>7552</v>
      </c>
      <c r="W1187" t="s">
        <v>164</v>
      </c>
      <c r="X1187" t="s">
        <v>164</v>
      </c>
      <c r="Y1187" t="s">
        <v>164</v>
      </c>
      <c r="AA1187">
        <v>-0.1</v>
      </c>
      <c r="AC1187" t="s">
        <v>7672</v>
      </c>
      <c r="AE1187" t="s">
        <v>15669</v>
      </c>
      <c r="AF1187" t="s">
        <v>15670</v>
      </c>
      <c r="AG1187" t="s">
        <v>15671</v>
      </c>
      <c r="AH1187" t="s">
        <v>579</v>
      </c>
      <c r="AJ1187" t="s">
        <v>164</v>
      </c>
      <c r="AK1187" t="s">
        <v>12584</v>
      </c>
      <c r="AL1187">
        <v>102.56</v>
      </c>
      <c r="AM1187">
        <v>102.56</v>
      </c>
      <c r="AN1187">
        <v>0</v>
      </c>
      <c r="AO1187" t="s">
        <v>15054</v>
      </c>
      <c r="AP1187" t="s">
        <v>15672</v>
      </c>
      <c r="AQ1187" t="s">
        <v>15673</v>
      </c>
      <c r="AR1187" t="s">
        <v>3481</v>
      </c>
      <c r="AS1187" t="s">
        <v>5100</v>
      </c>
      <c r="AT1187" t="s">
        <v>5264</v>
      </c>
      <c r="AU1187" t="s">
        <v>3550</v>
      </c>
      <c r="AV1187" t="s">
        <v>3327</v>
      </c>
      <c r="AW1187" t="s">
        <v>15674</v>
      </c>
      <c r="AX1187" t="s">
        <v>14918</v>
      </c>
      <c r="AY1187" t="s">
        <v>15674</v>
      </c>
      <c r="AZ1187" t="s">
        <v>2242</v>
      </c>
      <c r="BB1187">
        <v>45.86</v>
      </c>
      <c r="BC1187">
        <v>0.46</v>
      </c>
      <c r="BD1187">
        <v>1.51</v>
      </c>
      <c r="BE1187">
        <v>1.52</v>
      </c>
      <c r="BF1187">
        <v>1.5</v>
      </c>
      <c r="BG1187" t="s">
        <v>15675</v>
      </c>
      <c r="BH1187" t="s">
        <v>15676</v>
      </c>
      <c r="BJ1187" t="s">
        <v>101</v>
      </c>
      <c r="BK1187" t="s">
        <v>2242</v>
      </c>
      <c r="BL1187" t="s">
        <v>2230</v>
      </c>
      <c r="BM1187" t="s">
        <v>5929</v>
      </c>
      <c r="BN1187" t="s">
        <v>14623</v>
      </c>
    </row>
    <row r="1188" spans="1:66" x14ac:dyDescent="0.25">
      <c r="A1188" t="str">
        <f>HYPERLINK("https://elite.finviz.com/quote.ashx?t=RYI&amp;ty=c&amp;p=d&amp;b=1", "RYI")</f>
        <v>RYI</v>
      </c>
      <c r="B1188">
        <v>6</v>
      </c>
      <c r="C1188">
        <v>127.03</v>
      </c>
      <c r="D1188">
        <v>47.67</v>
      </c>
      <c r="E1188" t="s">
        <v>15677</v>
      </c>
      <c r="F1188" t="s">
        <v>67</v>
      </c>
      <c r="G1188" t="s">
        <v>260</v>
      </c>
      <c r="H1188" t="s">
        <v>2223</v>
      </c>
      <c r="I1188" t="s">
        <v>70</v>
      </c>
      <c r="J1188" t="s">
        <v>71</v>
      </c>
      <c r="K1188">
        <v>718.68</v>
      </c>
      <c r="L1188">
        <v>22.32</v>
      </c>
      <c r="M1188" t="s">
        <v>430</v>
      </c>
      <c r="N1188">
        <v>10974</v>
      </c>
      <c r="P1188">
        <v>15.13</v>
      </c>
      <c r="R1188">
        <v>0.16</v>
      </c>
      <c r="S1188">
        <v>0.89</v>
      </c>
      <c r="T1188" t="s">
        <v>3454</v>
      </c>
      <c r="U1188">
        <v>0.75</v>
      </c>
      <c r="V1188" t="s">
        <v>6223</v>
      </c>
      <c r="W1188" t="s">
        <v>2841</v>
      </c>
      <c r="X1188" t="s">
        <v>7893</v>
      </c>
      <c r="AA1188">
        <v>-0.45</v>
      </c>
      <c r="AE1188" t="s">
        <v>6157</v>
      </c>
      <c r="AF1188" t="s">
        <v>9471</v>
      </c>
      <c r="AG1188" t="s">
        <v>7464</v>
      </c>
      <c r="AH1188" t="s">
        <v>9070</v>
      </c>
      <c r="AI1188" t="s">
        <v>15678</v>
      </c>
      <c r="AJ1188" t="s">
        <v>770</v>
      </c>
      <c r="AK1188" t="s">
        <v>15679</v>
      </c>
      <c r="AL1188">
        <v>2.0299999999999998</v>
      </c>
      <c r="AM1188">
        <v>1</v>
      </c>
      <c r="AN1188">
        <v>1.08</v>
      </c>
      <c r="AO1188" t="s">
        <v>9194</v>
      </c>
      <c r="AP1188" t="s">
        <v>3358</v>
      </c>
      <c r="AQ1188" t="s">
        <v>124</v>
      </c>
      <c r="AR1188" t="s">
        <v>2736</v>
      </c>
      <c r="AS1188" t="s">
        <v>4204</v>
      </c>
      <c r="AT1188" t="s">
        <v>5159</v>
      </c>
      <c r="AU1188" t="s">
        <v>164</v>
      </c>
      <c r="AV1188" t="s">
        <v>5158</v>
      </c>
      <c r="AW1188" t="s">
        <v>2701</v>
      </c>
      <c r="AX1188" t="s">
        <v>1794</v>
      </c>
      <c r="AY1188" t="s">
        <v>8135</v>
      </c>
      <c r="AZ1188" t="s">
        <v>15680</v>
      </c>
      <c r="BA1188">
        <v>3</v>
      </c>
      <c r="BB1188">
        <v>246.71</v>
      </c>
      <c r="BC1188">
        <v>0.16</v>
      </c>
      <c r="BD1188">
        <v>22.27</v>
      </c>
      <c r="BE1188">
        <v>22.43</v>
      </c>
      <c r="BF1188">
        <v>22.21</v>
      </c>
      <c r="BG1188" t="s">
        <v>15681</v>
      </c>
      <c r="BH1188" t="s">
        <v>3195</v>
      </c>
      <c r="BI1188" t="s">
        <v>15682</v>
      </c>
      <c r="BJ1188" t="s">
        <v>101</v>
      </c>
      <c r="BK1188" t="s">
        <v>1457</v>
      </c>
      <c r="BL1188" t="s">
        <v>972</v>
      </c>
      <c r="BM1188" t="s">
        <v>683</v>
      </c>
      <c r="BN1188" t="s">
        <v>14623</v>
      </c>
    </row>
    <row r="1189" spans="1:66" x14ac:dyDescent="0.25">
      <c r="A1189" t="str">
        <f>HYPERLINK("https://elite.finviz.com/quote.ashx?t=GSBC&amp;ty=c&amp;p=d&amp;b=1", "GSBC")</f>
        <v>GSBC</v>
      </c>
      <c r="B1189">
        <v>6</v>
      </c>
      <c r="C1189">
        <v>127.03</v>
      </c>
      <c r="D1189">
        <v>47.75</v>
      </c>
      <c r="E1189" t="s">
        <v>15683</v>
      </c>
      <c r="F1189" t="s">
        <v>67</v>
      </c>
      <c r="G1189" t="s">
        <v>550</v>
      </c>
      <c r="H1189" t="s">
        <v>697</v>
      </c>
      <c r="I1189" t="s">
        <v>70</v>
      </c>
      <c r="J1189" t="s">
        <v>321</v>
      </c>
      <c r="K1189">
        <v>700.77</v>
      </c>
      <c r="L1189">
        <v>61.86</v>
      </c>
      <c r="M1189" t="s">
        <v>1998</v>
      </c>
      <c r="N1189">
        <v>2949</v>
      </c>
      <c r="O1189">
        <v>10.55</v>
      </c>
      <c r="P1189">
        <v>11.55</v>
      </c>
      <c r="R1189">
        <v>1.96</v>
      </c>
      <c r="S1189">
        <v>1.1299999999999999</v>
      </c>
      <c r="T1189" t="s">
        <v>90</v>
      </c>
      <c r="U1189">
        <v>1.6</v>
      </c>
      <c r="V1189" t="s">
        <v>2598</v>
      </c>
      <c r="W1189" t="s">
        <v>164</v>
      </c>
      <c r="X1189" t="s">
        <v>4104</v>
      </c>
      <c r="Y1189" t="s">
        <v>4395</v>
      </c>
      <c r="Z1189" t="s">
        <v>4724</v>
      </c>
      <c r="AA1189">
        <v>5.86</v>
      </c>
      <c r="AB1189" t="s">
        <v>2007</v>
      </c>
      <c r="AC1189" t="s">
        <v>149</v>
      </c>
      <c r="AE1189" t="s">
        <v>4104</v>
      </c>
      <c r="AF1189" t="s">
        <v>3405</v>
      </c>
      <c r="AG1189" t="s">
        <v>351</v>
      </c>
      <c r="AH1189" t="s">
        <v>181</v>
      </c>
      <c r="AI1189" t="s">
        <v>1873</v>
      </c>
      <c r="AJ1189" t="s">
        <v>164</v>
      </c>
      <c r="AK1189" t="s">
        <v>4205</v>
      </c>
      <c r="AL1189">
        <v>0.21</v>
      </c>
      <c r="AN1189">
        <v>0.73</v>
      </c>
      <c r="AP1189" t="s">
        <v>9562</v>
      </c>
      <c r="AQ1189" t="s">
        <v>11039</v>
      </c>
      <c r="AR1189" t="s">
        <v>3487</v>
      </c>
      <c r="AS1189" t="s">
        <v>2175</v>
      </c>
      <c r="AT1189" t="s">
        <v>789</v>
      </c>
      <c r="AU1189" t="s">
        <v>2175</v>
      </c>
      <c r="AV1189" t="s">
        <v>3948</v>
      </c>
      <c r="AW1189" t="s">
        <v>15684</v>
      </c>
      <c r="AX1189" t="s">
        <v>3003</v>
      </c>
      <c r="AY1189" t="s">
        <v>15153</v>
      </c>
      <c r="AZ1189" t="s">
        <v>15685</v>
      </c>
      <c r="BA1189">
        <v>3</v>
      </c>
      <c r="BB1189">
        <v>55.14</v>
      </c>
      <c r="BC1189">
        <v>0.19</v>
      </c>
      <c r="BD1189">
        <v>61.95</v>
      </c>
      <c r="BE1189">
        <v>62.4</v>
      </c>
      <c r="BF1189">
        <v>62.18</v>
      </c>
      <c r="BG1189" t="s">
        <v>15686</v>
      </c>
      <c r="BH1189" t="s">
        <v>15153</v>
      </c>
      <c r="BI1189" t="s">
        <v>15687</v>
      </c>
      <c r="BJ1189" t="s">
        <v>101</v>
      </c>
      <c r="BK1189" t="s">
        <v>353</v>
      </c>
      <c r="BL1189" t="s">
        <v>3952</v>
      </c>
      <c r="BM1189" t="s">
        <v>2945</v>
      </c>
      <c r="BN1189" t="s">
        <v>14623</v>
      </c>
    </row>
    <row r="1190" spans="1:66" x14ac:dyDescent="0.25">
      <c r="A1190" t="str">
        <f>HYPERLINK("https://elite.finviz.com/quote.ashx?t=HTBK&amp;ty=c&amp;p=d&amp;b=1", "HTBK")</f>
        <v>HTBK</v>
      </c>
      <c r="B1190">
        <v>6</v>
      </c>
      <c r="C1190">
        <v>127.03</v>
      </c>
      <c r="D1190">
        <v>47.75</v>
      </c>
      <c r="E1190" t="s">
        <v>15688</v>
      </c>
      <c r="F1190" t="s">
        <v>67</v>
      </c>
      <c r="G1190" t="s">
        <v>550</v>
      </c>
      <c r="H1190" t="s">
        <v>697</v>
      </c>
      <c r="I1190" t="s">
        <v>70</v>
      </c>
      <c r="J1190" t="s">
        <v>321</v>
      </c>
      <c r="K1190">
        <v>617.54</v>
      </c>
      <c r="L1190">
        <v>10.050000000000001</v>
      </c>
      <c r="M1190" t="s">
        <v>164</v>
      </c>
      <c r="N1190">
        <v>27478</v>
      </c>
      <c r="O1190">
        <v>15.83</v>
      </c>
      <c r="P1190">
        <v>11.53</v>
      </c>
      <c r="R1190">
        <v>2.37</v>
      </c>
      <c r="S1190">
        <v>0.89</v>
      </c>
      <c r="T1190" t="s">
        <v>4393</v>
      </c>
      <c r="U1190">
        <v>0.52</v>
      </c>
      <c r="V1190" t="s">
        <v>2420</v>
      </c>
      <c r="W1190" t="s">
        <v>164</v>
      </c>
      <c r="X1190" t="s">
        <v>164</v>
      </c>
      <c r="Y1190" t="s">
        <v>6990</v>
      </c>
      <c r="Z1190" t="s">
        <v>1136</v>
      </c>
      <c r="AA1190">
        <v>0.64</v>
      </c>
      <c r="AB1190" t="s">
        <v>2677</v>
      </c>
      <c r="AC1190" t="s">
        <v>2329</v>
      </c>
      <c r="AE1190" t="s">
        <v>7935</v>
      </c>
      <c r="AF1190" t="s">
        <v>328</v>
      </c>
      <c r="AG1190" t="s">
        <v>6122</v>
      </c>
      <c r="AH1190" t="s">
        <v>4498</v>
      </c>
      <c r="AI1190" t="s">
        <v>15689</v>
      </c>
      <c r="AJ1190" t="s">
        <v>2418</v>
      </c>
      <c r="AK1190" t="s">
        <v>10126</v>
      </c>
      <c r="AL1190">
        <v>0.21</v>
      </c>
      <c r="AN1190">
        <v>0.1</v>
      </c>
      <c r="AP1190" t="s">
        <v>3373</v>
      </c>
      <c r="AQ1190" t="s">
        <v>3270</v>
      </c>
      <c r="AR1190" t="s">
        <v>2720</v>
      </c>
      <c r="AS1190" t="s">
        <v>1952</v>
      </c>
      <c r="AT1190" t="s">
        <v>7598</v>
      </c>
      <c r="AU1190" t="s">
        <v>1338</v>
      </c>
      <c r="AV1190" t="s">
        <v>3670</v>
      </c>
      <c r="AW1190" t="s">
        <v>842</v>
      </c>
      <c r="AX1190" t="s">
        <v>1532</v>
      </c>
      <c r="AY1190" t="s">
        <v>15690</v>
      </c>
      <c r="AZ1190" t="s">
        <v>15691</v>
      </c>
      <c r="BA1190">
        <v>1.2</v>
      </c>
      <c r="BB1190">
        <v>527</v>
      </c>
      <c r="BC1190">
        <v>0.18</v>
      </c>
      <c r="BD1190">
        <v>10.050000000000001</v>
      </c>
      <c r="BE1190">
        <v>10.15</v>
      </c>
      <c r="BF1190">
        <v>10.050000000000001</v>
      </c>
      <c r="BG1190" t="s">
        <v>15692</v>
      </c>
      <c r="BH1190" t="s">
        <v>7674</v>
      </c>
      <c r="BI1190" t="s">
        <v>15693</v>
      </c>
      <c r="BJ1190" t="s">
        <v>101</v>
      </c>
      <c r="BK1190" t="s">
        <v>89</v>
      </c>
      <c r="BL1190" t="s">
        <v>6121</v>
      </c>
      <c r="BM1190" t="s">
        <v>2785</v>
      </c>
      <c r="BN1190" t="s">
        <v>14623</v>
      </c>
    </row>
    <row r="1191" spans="1:66" x14ac:dyDescent="0.25">
      <c r="A1191" t="str">
        <f>HYPERLINK("https://elite.finviz.com/quote.ashx?t=CZNC&amp;ty=c&amp;p=d&amp;b=1", "CZNC")</f>
        <v>CZNC</v>
      </c>
      <c r="B1191">
        <v>6</v>
      </c>
      <c r="C1191">
        <v>127.03</v>
      </c>
      <c r="D1191">
        <v>47.76</v>
      </c>
      <c r="E1191" t="s">
        <v>15694</v>
      </c>
      <c r="F1191" t="s">
        <v>67</v>
      </c>
      <c r="G1191" t="s">
        <v>550</v>
      </c>
      <c r="H1191" t="s">
        <v>697</v>
      </c>
      <c r="I1191" t="s">
        <v>70</v>
      </c>
      <c r="J1191" t="s">
        <v>321</v>
      </c>
      <c r="K1191">
        <v>306.89</v>
      </c>
      <c r="L1191">
        <v>19.78</v>
      </c>
      <c r="M1191" t="s">
        <v>164</v>
      </c>
      <c r="N1191">
        <v>8471</v>
      </c>
      <c r="O1191">
        <v>11.37</v>
      </c>
      <c r="P1191">
        <v>8.99</v>
      </c>
      <c r="R1191">
        <v>1.91</v>
      </c>
      <c r="S1191">
        <v>1.07</v>
      </c>
      <c r="T1191" t="s">
        <v>5210</v>
      </c>
      <c r="U1191">
        <v>1.1200000000000001</v>
      </c>
      <c r="V1191" t="s">
        <v>4827</v>
      </c>
      <c r="W1191" t="s">
        <v>164</v>
      </c>
      <c r="X1191" t="s">
        <v>2641</v>
      </c>
      <c r="Y1191" t="s">
        <v>5036</v>
      </c>
      <c r="Z1191" t="s">
        <v>15695</v>
      </c>
      <c r="AA1191">
        <v>1.74</v>
      </c>
      <c r="AB1191" t="s">
        <v>818</v>
      </c>
      <c r="AC1191" t="s">
        <v>304</v>
      </c>
      <c r="AE1191" t="s">
        <v>7616</v>
      </c>
      <c r="AF1191" t="s">
        <v>3918</v>
      </c>
      <c r="AG1191" t="s">
        <v>3924</v>
      </c>
      <c r="AH1191" t="s">
        <v>4956</v>
      </c>
      <c r="AI1191" t="s">
        <v>11579</v>
      </c>
      <c r="AJ1191" t="s">
        <v>4801</v>
      </c>
      <c r="AK1191" t="s">
        <v>9441</v>
      </c>
      <c r="AL1191">
        <v>0.2</v>
      </c>
      <c r="AN1191">
        <v>0.64</v>
      </c>
      <c r="AP1191" t="s">
        <v>3065</v>
      </c>
      <c r="AQ1191" t="s">
        <v>685</v>
      </c>
      <c r="AR1191" t="s">
        <v>2202</v>
      </c>
      <c r="AS1191" t="s">
        <v>3916</v>
      </c>
      <c r="AT1191" t="s">
        <v>13117</v>
      </c>
      <c r="AU1191" t="s">
        <v>6245</v>
      </c>
      <c r="AV1191" t="s">
        <v>3169</v>
      </c>
      <c r="AW1191" t="s">
        <v>15245</v>
      </c>
      <c r="AX1191" t="s">
        <v>5460</v>
      </c>
      <c r="AY1191" t="s">
        <v>13240</v>
      </c>
      <c r="AZ1191" t="s">
        <v>7361</v>
      </c>
      <c r="BA1191">
        <v>3</v>
      </c>
      <c r="BB1191">
        <v>37.700000000000003</v>
      </c>
      <c r="BC1191">
        <v>0.79</v>
      </c>
      <c r="BD1191">
        <v>19.78</v>
      </c>
      <c r="BE1191">
        <v>19.78</v>
      </c>
      <c r="BF1191">
        <v>19.82</v>
      </c>
      <c r="BG1191" t="s">
        <v>15696</v>
      </c>
      <c r="BH1191" t="s">
        <v>15697</v>
      </c>
      <c r="BI1191" t="s">
        <v>15698</v>
      </c>
      <c r="BJ1191" t="s">
        <v>101</v>
      </c>
      <c r="BK1191" t="s">
        <v>4204</v>
      </c>
      <c r="BL1191" t="s">
        <v>2969</v>
      </c>
      <c r="BM1191" t="s">
        <v>240</v>
      </c>
      <c r="BN1191" t="s">
        <v>14623</v>
      </c>
    </row>
    <row r="1192" spans="1:66" x14ac:dyDescent="0.25">
      <c r="A1192" t="str">
        <f>HYPERLINK("https://elite.finviz.com/quote.ashx?t=OKUR&amp;ty=c&amp;p=d&amp;b=1", "OKUR")</f>
        <v>OKUR</v>
      </c>
      <c r="B1192">
        <v>6</v>
      </c>
      <c r="C1192">
        <v>127.03</v>
      </c>
      <c r="D1192">
        <v>47.78</v>
      </c>
      <c r="E1192" t="s">
        <v>15699</v>
      </c>
      <c r="F1192" t="s">
        <v>107</v>
      </c>
      <c r="G1192" t="s">
        <v>428</v>
      </c>
      <c r="H1192" t="s">
        <v>429</v>
      </c>
      <c r="I1192" t="s">
        <v>70</v>
      </c>
      <c r="J1192" t="s">
        <v>321</v>
      </c>
      <c r="K1192">
        <v>33.9</v>
      </c>
      <c r="L1192">
        <v>2.5099999999999998</v>
      </c>
      <c r="M1192" t="s">
        <v>1510</v>
      </c>
      <c r="N1192">
        <v>12073</v>
      </c>
      <c r="S1192">
        <v>0.43</v>
      </c>
      <c r="AA1192">
        <v>-5.37</v>
      </c>
      <c r="AB1192" t="s">
        <v>15700</v>
      </c>
      <c r="AC1192" t="s">
        <v>7699</v>
      </c>
      <c r="AD1192" t="s">
        <v>15701</v>
      </c>
      <c r="AI1192" t="s">
        <v>1341</v>
      </c>
      <c r="AJ1192" t="s">
        <v>7557</v>
      </c>
      <c r="AK1192" t="s">
        <v>5442</v>
      </c>
      <c r="AL1192">
        <v>11.13</v>
      </c>
      <c r="AM1192">
        <v>11.13</v>
      </c>
      <c r="AN1192">
        <v>0.01</v>
      </c>
      <c r="AR1192" t="s">
        <v>5642</v>
      </c>
      <c r="AS1192" t="s">
        <v>9936</v>
      </c>
      <c r="AT1192" t="s">
        <v>6002</v>
      </c>
      <c r="AU1192" t="s">
        <v>4280</v>
      </c>
      <c r="AV1192" t="s">
        <v>14353</v>
      </c>
      <c r="AW1192" t="s">
        <v>15702</v>
      </c>
      <c r="AX1192" t="s">
        <v>3762</v>
      </c>
      <c r="AY1192" t="s">
        <v>15703</v>
      </c>
      <c r="AZ1192" t="s">
        <v>15704</v>
      </c>
      <c r="BA1192">
        <v>1</v>
      </c>
      <c r="BB1192">
        <v>82.2</v>
      </c>
      <c r="BC1192">
        <v>0.52</v>
      </c>
      <c r="BD1192">
        <v>2.54</v>
      </c>
      <c r="BE1192">
        <v>2.54</v>
      </c>
      <c r="BF1192">
        <v>2.44</v>
      </c>
      <c r="BG1192" t="s">
        <v>15705</v>
      </c>
      <c r="BH1192" t="s">
        <v>15706</v>
      </c>
      <c r="BI1192" t="s">
        <v>15704</v>
      </c>
      <c r="BJ1192" t="s">
        <v>101</v>
      </c>
      <c r="BK1192" t="s">
        <v>3020</v>
      </c>
      <c r="BL1192" t="s">
        <v>15707</v>
      </c>
      <c r="BM1192" t="s">
        <v>14556</v>
      </c>
      <c r="BN1192" t="s">
        <v>14623</v>
      </c>
    </row>
    <row r="1193" spans="1:66" x14ac:dyDescent="0.25">
      <c r="A1193" t="str">
        <f>HYPERLINK("https://elite.finviz.com/quote.ashx?t=VC&amp;ty=c&amp;p=d&amp;b=1", "VC")</f>
        <v>VC</v>
      </c>
      <c r="B1193">
        <v>6</v>
      </c>
      <c r="C1193">
        <v>127.03</v>
      </c>
      <c r="D1193">
        <v>47.8</v>
      </c>
      <c r="E1193" t="s">
        <v>15708</v>
      </c>
      <c r="F1193" t="s">
        <v>67</v>
      </c>
      <c r="G1193" t="s">
        <v>813</v>
      </c>
      <c r="H1193" t="s">
        <v>814</v>
      </c>
      <c r="I1193" t="s">
        <v>70</v>
      </c>
      <c r="J1193" t="s">
        <v>321</v>
      </c>
      <c r="K1193">
        <v>3326.08</v>
      </c>
      <c r="L1193">
        <v>121.94</v>
      </c>
      <c r="M1193" t="s">
        <v>2610</v>
      </c>
      <c r="N1193">
        <v>37294</v>
      </c>
      <c r="O1193">
        <v>11.63</v>
      </c>
      <c r="P1193">
        <v>12.67</v>
      </c>
      <c r="R1193">
        <v>0.87</v>
      </c>
      <c r="S1193">
        <v>2.34</v>
      </c>
      <c r="T1193" t="s">
        <v>2642</v>
      </c>
      <c r="U1193">
        <v>0.28000000000000003</v>
      </c>
      <c r="V1193" t="s">
        <v>1440</v>
      </c>
      <c r="Z1193" t="s">
        <v>164</v>
      </c>
      <c r="AA1193">
        <v>10.49</v>
      </c>
      <c r="AB1193" t="s">
        <v>15709</v>
      </c>
      <c r="AC1193" t="s">
        <v>15710</v>
      </c>
      <c r="AD1193" t="s">
        <v>1510</v>
      </c>
      <c r="AE1193" t="s">
        <v>4920</v>
      </c>
      <c r="AF1193" t="s">
        <v>2629</v>
      </c>
      <c r="AG1193" t="s">
        <v>334</v>
      </c>
      <c r="AH1193" t="s">
        <v>15245</v>
      </c>
      <c r="AI1193" t="s">
        <v>5096</v>
      </c>
      <c r="AJ1193" t="s">
        <v>4396</v>
      </c>
      <c r="AK1193" t="s">
        <v>6628</v>
      </c>
      <c r="AL1193">
        <v>1.87</v>
      </c>
      <c r="AM1193">
        <v>1.55</v>
      </c>
      <c r="AN1193">
        <v>0.31</v>
      </c>
      <c r="AO1193" t="s">
        <v>3490</v>
      </c>
      <c r="AP1193" t="s">
        <v>5911</v>
      </c>
      <c r="AQ1193" t="s">
        <v>438</v>
      </c>
      <c r="AR1193" t="s">
        <v>2146</v>
      </c>
      <c r="AS1193" t="s">
        <v>715</v>
      </c>
      <c r="AT1193" t="s">
        <v>9500</v>
      </c>
      <c r="AU1193" t="s">
        <v>2145</v>
      </c>
      <c r="AV1193" t="s">
        <v>3819</v>
      </c>
      <c r="AW1193" t="s">
        <v>5301</v>
      </c>
      <c r="AX1193" t="s">
        <v>1161</v>
      </c>
      <c r="AY1193" t="s">
        <v>5301</v>
      </c>
      <c r="AZ1193" t="s">
        <v>15711</v>
      </c>
      <c r="BA1193">
        <v>1.94</v>
      </c>
      <c r="BB1193">
        <v>395.78</v>
      </c>
      <c r="BC1193">
        <v>0.33</v>
      </c>
      <c r="BD1193">
        <v>120.69</v>
      </c>
      <c r="BE1193">
        <v>121.89</v>
      </c>
      <c r="BF1193">
        <v>120.69</v>
      </c>
      <c r="BG1193" t="s">
        <v>15712</v>
      </c>
      <c r="BH1193" t="s">
        <v>3329</v>
      </c>
      <c r="BI1193" t="s">
        <v>15713</v>
      </c>
      <c r="BJ1193" t="s">
        <v>101</v>
      </c>
      <c r="BK1193" t="s">
        <v>4609</v>
      </c>
      <c r="BL1193" t="s">
        <v>7870</v>
      </c>
      <c r="BM1193" t="s">
        <v>664</v>
      </c>
      <c r="BN1193" t="s">
        <v>14623</v>
      </c>
    </row>
    <row r="1194" spans="1:66" x14ac:dyDescent="0.25">
      <c r="A1194" t="str">
        <f>HYPERLINK("https://elite.finviz.com/quote.ashx?t=SSSS&amp;ty=c&amp;p=d&amp;b=1", "SSSS")</f>
        <v>SSSS</v>
      </c>
      <c r="B1194">
        <v>6</v>
      </c>
      <c r="C1194">
        <v>127.03</v>
      </c>
      <c r="D1194">
        <v>47.83</v>
      </c>
      <c r="E1194" t="s">
        <v>15714</v>
      </c>
      <c r="F1194" t="s">
        <v>107</v>
      </c>
      <c r="G1194" t="s">
        <v>550</v>
      </c>
      <c r="H1194" t="s">
        <v>2597</v>
      </c>
      <c r="I1194" t="s">
        <v>70</v>
      </c>
      <c r="J1194" t="s">
        <v>321</v>
      </c>
      <c r="K1194">
        <v>210.85</v>
      </c>
      <c r="L1194">
        <v>8.83</v>
      </c>
      <c r="M1194" t="s">
        <v>3484</v>
      </c>
      <c r="N1194">
        <v>57979</v>
      </c>
      <c r="O1194">
        <v>4.4800000000000004</v>
      </c>
      <c r="R1194">
        <v>75.73</v>
      </c>
      <c r="S1194">
        <v>0.96</v>
      </c>
      <c r="T1194" t="s">
        <v>7437</v>
      </c>
      <c r="U1194">
        <v>0.25</v>
      </c>
      <c r="V1194" t="s">
        <v>6164</v>
      </c>
      <c r="W1194" t="s">
        <v>15715</v>
      </c>
      <c r="X1194" t="s">
        <v>15716</v>
      </c>
      <c r="AA1194">
        <v>1.97</v>
      </c>
      <c r="AH1194" t="s">
        <v>15717</v>
      </c>
      <c r="AI1194" t="s">
        <v>15718</v>
      </c>
      <c r="AJ1194" t="s">
        <v>1417</v>
      </c>
      <c r="AK1194" t="s">
        <v>2511</v>
      </c>
      <c r="AR1194" t="s">
        <v>2543</v>
      </c>
      <c r="AS1194" t="s">
        <v>1599</v>
      </c>
      <c r="AT1194" t="s">
        <v>8402</v>
      </c>
      <c r="AU1194" t="s">
        <v>4881</v>
      </c>
      <c r="AV1194" t="s">
        <v>15719</v>
      </c>
      <c r="AW1194" t="s">
        <v>440</v>
      </c>
      <c r="AX1194" t="s">
        <v>11728</v>
      </c>
      <c r="AY1194" t="s">
        <v>440</v>
      </c>
      <c r="AZ1194" t="s">
        <v>15720</v>
      </c>
      <c r="BB1194">
        <v>209.49</v>
      </c>
      <c r="BC1194">
        <v>0.98</v>
      </c>
      <c r="BD1194">
        <v>8.94</v>
      </c>
      <c r="BE1194">
        <v>8.99</v>
      </c>
      <c r="BF1194">
        <v>8.8000000000000007</v>
      </c>
      <c r="BG1194" t="s">
        <v>15721</v>
      </c>
      <c r="BH1194" t="s">
        <v>15722</v>
      </c>
      <c r="BI1194" t="s">
        <v>15723</v>
      </c>
      <c r="BJ1194" t="s">
        <v>101</v>
      </c>
      <c r="BK1194" t="s">
        <v>418</v>
      </c>
      <c r="BL1194" t="s">
        <v>15724</v>
      </c>
      <c r="BM1194" t="s">
        <v>6846</v>
      </c>
      <c r="BN1194" t="s">
        <v>14623</v>
      </c>
    </row>
    <row r="1195" spans="1:66" x14ac:dyDescent="0.25">
      <c r="A1195" t="str">
        <f>HYPERLINK("https://elite.finviz.com/quote.ashx?t=UFCS&amp;ty=c&amp;p=d&amp;b=1", "UFCS")</f>
        <v>UFCS</v>
      </c>
      <c r="B1195">
        <v>6</v>
      </c>
      <c r="C1195">
        <v>127.03</v>
      </c>
      <c r="D1195">
        <v>47.84</v>
      </c>
      <c r="E1195" t="s">
        <v>15725</v>
      </c>
      <c r="F1195" t="s">
        <v>67</v>
      </c>
      <c r="G1195" t="s">
        <v>550</v>
      </c>
      <c r="H1195" t="s">
        <v>4407</v>
      </c>
      <c r="I1195" t="s">
        <v>70</v>
      </c>
      <c r="J1195" t="s">
        <v>321</v>
      </c>
      <c r="K1195">
        <v>780.82</v>
      </c>
      <c r="L1195">
        <v>30.63</v>
      </c>
      <c r="M1195" t="s">
        <v>2290</v>
      </c>
      <c r="N1195">
        <v>9927</v>
      </c>
      <c r="O1195">
        <v>8.7100000000000009</v>
      </c>
      <c r="P1195">
        <v>9.99</v>
      </c>
      <c r="Q1195">
        <v>0.79</v>
      </c>
      <c r="R1195">
        <v>0.59</v>
      </c>
      <c r="S1195">
        <v>0.92</v>
      </c>
      <c r="T1195" t="s">
        <v>3671</v>
      </c>
      <c r="U1195">
        <v>0.64</v>
      </c>
      <c r="V1195" t="s">
        <v>4882</v>
      </c>
      <c r="W1195" t="s">
        <v>164</v>
      </c>
      <c r="X1195" t="s">
        <v>3916</v>
      </c>
      <c r="Y1195" t="s">
        <v>851</v>
      </c>
      <c r="Z1195" t="s">
        <v>4112</v>
      </c>
      <c r="AA1195">
        <v>3.52</v>
      </c>
      <c r="AB1195" t="s">
        <v>11932</v>
      </c>
      <c r="AC1195" t="s">
        <v>11835</v>
      </c>
      <c r="AD1195" t="s">
        <v>602</v>
      </c>
      <c r="AE1195" t="s">
        <v>4683</v>
      </c>
      <c r="AF1195" t="s">
        <v>1871</v>
      </c>
      <c r="AG1195" t="s">
        <v>3013</v>
      </c>
      <c r="AH1195" t="s">
        <v>1199</v>
      </c>
      <c r="AI1195" t="s">
        <v>15726</v>
      </c>
      <c r="AJ1195" t="s">
        <v>3752</v>
      </c>
      <c r="AK1195" t="s">
        <v>15727</v>
      </c>
      <c r="AL1195">
        <v>0.48</v>
      </c>
      <c r="AN1195">
        <v>0.14000000000000001</v>
      </c>
      <c r="AP1195" t="s">
        <v>1533</v>
      </c>
      <c r="AQ1195" t="s">
        <v>1955</v>
      </c>
      <c r="AR1195" t="s">
        <v>179</v>
      </c>
      <c r="AS1195" t="s">
        <v>352</v>
      </c>
      <c r="AT1195" t="s">
        <v>5257</v>
      </c>
      <c r="AU1195" t="s">
        <v>387</v>
      </c>
      <c r="AV1195" t="s">
        <v>6421</v>
      </c>
      <c r="AW1195" t="s">
        <v>2206</v>
      </c>
      <c r="AX1195" t="s">
        <v>7625</v>
      </c>
      <c r="AY1195" t="s">
        <v>2206</v>
      </c>
      <c r="AZ1195" t="s">
        <v>4624</v>
      </c>
      <c r="BA1195">
        <v>2.33</v>
      </c>
      <c r="BB1195">
        <v>130.04</v>
      </c>
      <c r="BC1195">
        <v>0.27</v>
      </c>
      <c r="BD1195">
        <v>30.53</v>
      </c>
      <c r="BE1195">
        <v>30.89</v>
      </c>
      <c r="BF1195">
        <v>30.59</v>
      </c>
      <c r="BG1195" t="s">
        <v>15728</v>
      </c>
      <c r="BH1195" t="s">
        <v>15729</v>
      </c>
      <c r="BI1195" t="s">
        <v>15730</v>
      </c>
      <c r="BJ1195" t="s">
        <v>101</v>
      </c>
      <c r="BK1195" t="s">
        <v>8808</v>
      </c>
      <c r="BL1195" t="s">
        <v>2473</v>
      </c>
      <c r="BM1195" t="s">
        <v>15731</v>
      </c>
      <c r="BN1195" t="s">
        <v>14623</v>
      </c>
    </row>
    <row r="1196" spans="1:66" x14ac:dyDescent="0.25">
      <c r="A1196" t="str">
        <f>HYPERLINK("https://elite.finviz.com/quote.ashx?t=RGP&amp;ty=c&amp;p=d&amp;b=1", "RGP")</f>
        <v>RGP</v>
      </c>
      <c r="B1196">
        <v>6</v>
      </c>
      <c r="C1196">
        <v>127.03</v>
      </c>
      <c r="D1196">
        <v>47.85</v>
      </c>
      <c r="E1196" t="s">
        <v>15732</v>
      </c>
      <c r="F1196" t="s">
        <v>67</v>
      </c>
      <c r="G1196" t="s">
        <v>260</v>
      </c>
      <c r="H1196" t="s">
        <v>2879</v>
      </c>
      <c r="I1196" t="s">
        <v>70</v>
      </c>
      <c r="J1196" t="s">
        <v>321</v>
      </c>
      <c r="K1196">
        <v>168.52</v>
      </c>
      <c r="L1196">
        <v>5.05</v>
      </c>
      <c r="M1196" t="s">
        <v>164</v>
      </c>
      <c r="N1196">
        <v>64054</v>
      </c>
      <c r="P1196">
        <v>17.41</v>
      </c>
      <c r="R1196">
        <v>0.31</v>
      </c>
      <c r="S1196">
        <v>0.81</v>
      </c>
      <c r="T1196" t="s">
        <v>4437</v>
      </c>
      <c r="U1196">
        <v>0.42</v>
      </c>
      <c r="V1196" t="s">
        <v>4882</v>
      </c>
      <c r="W1196" t="s">
        <v>1579</v>
      </c>
      <c r="X1196" t="s">
        <v>4210</v>
      </c>
      <c r="Y1196" t="s">
        <v>3328</v>
      </c>
      <c r="AA1196">
        <v>-5.82</v>
      </c>
      <c r="AE1196" t="s">
        <v>8294</v>
      </c>
      <c r="AF1196" t="s">
        <v>6349</v>
      </c>
      <c r="AG1196" t="s">
        <v>2076</v>
      </c>
      <c r="AH1196" t="s">
        <v>15649</v>
      </c>
      <c r="AI1196" t="s">
        <v>15733</v>
      </c>
      <c r="AJ1196" t="s">
        <v>4323</v>
      </c>
      <c r="AK1196" t="s">
        <v>15734</v>
      </c>
      <c r="AL1196">
        <v>2.7</v>
      </c>
      <c r="AM1196">
        <v>2.7</v>
      </c>
      <c r="AN1196">
        <v>0.12</v>
      </c>
      <c r="AO1196" t="s">
        <v>15735</v>
      </c>
      <c r="AP1196" t="s">
        <v>3344</v>
      </c>
      <c r="AQ1196" t="s">
        <v>15736</v>
      </c>
      <c r="AR1196" t="s">
        <v>4052</v>
      </c>
      <c r="AS1196" t="s">
        <v>5592</v>
      </c>
      <c r="AT1196" t="s">
        <v>1225</v>
      </c>
      <c r="AU1196" t="s">
        <v>6245</v>
      </c>
      <c r="AV1196" t="s">
        <v>15737</v>
      </c>
      <c r="AW1196" t="s">
        <v>9632</v>
      </c>
      <c r="AX1196" t="s">
        <v>14309</v>
      </c>
      <c r="AY1196" t="s">
        <v>8283</v>
      </c>
      <c r="AZ1196" t="s">
        <v>14309</v>
      </c>
      <c r="BA1196">
        <v>2.5</v>
      </c>
      <c r="BB1196">
        <v>284.8</v>
      </c>
      <c r="BC1196">
        <v>0.79</v>
      </c>
      <c r="BD1196">
        <v>5.05</v>
      </c>
      <c r="BE1196">
        <v>5.18</v>
      </c>
      <c r="BF1196">
        <v>5.05</v>
      </c>
      <c r="BG1196" t="s">
        <v>15738</v>
      </c>
      <c r="BH1196" t="s">
        <v>7459</v>
      </c>
      <c r="BI1196" t="s">
        <v>14309</v>
      </c>
      <c r="BJ1196" t="s">
        <v>101</v>
      </c>
      <c r="BK1196" t="s">
        <v>14732</v>
      </c>
      <c r="BL1196" t="s">
        <v>15642</v>
      </c>
      <c r="BM1196" t="s">
        <v>9053</v>
      </c>
      <c r="BN1196" t="s">
        <v>14623</v>
      </c>
    </row>
    <row r="1197" spans="1:66" x14ac:dyDescent="0.25">
      <c r="A1197" t="str">
        <f>HYPERLINK("https://elite.finviz.com/quote.ashx?t=DHX&amp;ty=c&amp;p=d&amp;b=1", "DHX")</f>
        <v>DHX</v>
      </c>
      <c r="B1197">
        <v>6</v>
      </c>
      <c r="C1197">
        <v>127.03</v>
      </c>
      <c r="D1197">
        <v>47.9</v>
      </c>
      <c r="E1197" t="s">
        <v>15739</v>
      </c>
      <c r="F1197" t="s">
        <v>107</v>
      </c>
      <c r="G1197" t="s">
        <v>108</v>
      </c>
      <c r="H1197" t="s">
        <v>136</v>
      </c>
      <c r="I1197" t="s">
        <v>70</v>
      </c>
      <c r="J1197" t="s">
        <v>71</v>
      </c>
      <c r="K1197">
        <v>133.63999999999999</v>
      </c>
      <c r="L1197">
        <v>2.78</v>
      </c>
      <c r="M1197" t="s">
        <v>4688</v>
      </c>
      <c r="N1197">
        <v>29263</v>
      </c>
      <c r="P1197">
        <v>21.98</v>
      </c>
      <c r="R1197">
        <v>0.99</v>
      </c>
      <c r="S1197">
        <v>1.31</v>
      </c>
      <c r="Z1197" t="s">
        <v>164</v>
      </c>
      <c r="AA1197">
        <v>-0.21</v>
      </c>
      <c r="AB1197" t="s">
        <v>12239</v>
      </c>
      <c r="AC1197" t="s">
        <v>15740</v>
      </c>
      <c r="AE1197" t="s">
        <v>11528</v>
      </c>
      <c r="AF1197" t="s">
        <v>636</v>
      </c>
      <c r="AG1197" t="s">
        <v>1820</v>
      </c>
      <c r="AH1197" t="s">
        <v>4802</v>
      </c>
      <c r="AI1197" t="s">
        <v>15741</v>
      </c>
      <c r="AJ1197" t="s">
        <v>164</v>
      </c>
      <c r="AK1197" t="s">
        <v>15742</v>
      </c>
      <c r="AL1197">
        <v>0.42</v>
      </c>
      <c r="AM1197">
        <v>0.42</v>
      </c>
      <c r="AN1197">
        <v>0.39</v>
      </c>
      <c r="AO1197" t="s">
        <v>15743</v>
      </c>
      <c r="AP1197" t="s">
        <v>5027</v>
      </c>
      <c r="AQ1197" t="s">
        <v>4236</v>
      </c>
      <c r="AR1197" t="s">
        <v>755</v>
      </c>
      <c r="AS1197" t="s">
        <v>2777</v>
      </c>
      <c r="AT1197" t="s">
        <v>8109</v>
      </c>
      <c r="AU1197" t="s">
        <v>679</v>
      </c>
      <c r="AV1197" t="s">
        <v>7869</v>
      </c>
      <c r="AW1197" t="s">
        <v>13331</v>
      </c>
      <c r="AX1197" t="s">
        <v>9262</v>
      </c>
      <c r="AY1197" t="s">
        <v>5866</v>
      </c>
      <c r="AZ1197" t="s">
        <v>15744</v>
      </c>
      <c r="BA1197">
        <v>1.67</v>
      </c>
      <c r="BB1197">
        <v>137.05000000000001</v>
      </c>
      <c r="BC1197">
        <v>0.76</v>
      </c>
      <c r="BD1197">
        <v>2.85</v>
      </c>
      <c r="BE1197">
        <v>2.9</v>
      </c>
      <c r="BF1197">
        <v>2.77</v>
      </c>
      <c r="BG1197" t="s">
        <v>15745</v>
      </c>
      <c r="BH1197" t="s">
        <v>15746</v>
      </c>
      <c r="BI1197" t="s">
        <v>15744</v>
      </c>
      <c r="BJ1197" t="s">
        <v>101</v>
      </c>
      <c r="BK1197" t="s">
        <v>4120</v>
      </c>
      <c r="BL1197" t="s">
        <v>15747</v>
      </c>
      <c r="BM1197" t="s">
        <v>4573</v>
      </c>
      <c r="BN1197" t="s">
        <v>14623</v>
      </c>
    </row>
    <row r="1198" spans="1:66" x14ac:dyDescent="0.25">
      <c r="A1198" t="str">
        <f>HYPERLINK("https://elite.finviz.com/quote.ashx?t=OSUR&amp;ty=c&amp;p=d&amp;b=1", "OSUR")</f>
        <v>OSUR</v>
      </c>
      <c r="B1198">
        <v>6</v>
      </c>
      <c r="C1198">
        <v>127.03</v>
      </c>
      <c r="D1198">
        <v>47.91</v>
      </c>
      <c r="E1198" t="s">
        <v>15748</v>
      </c>
      <c r="F1198" t="s">
        <v>67</v>
      </c>
      <c r="G1198" t="s">
        <v>428</v>
      </c>
      <c r="H1198" t="s">
        <v>2161</v>
      </c>
      <c r="I1198" t="s">
        <v>70</v>
      </c>
      <c r="J1198" t="s">
        <v>321</v>
      </c>
      <c r="K1198">
        <v>232.64</v>
      </c>
      <c r="L1198">
        <v>3.18</v>
      </c>
      <c r="M1198" t="s">
        <v>2003</v>
      </c>
      <c r="N1198">
        <v>83288</v>
      </c>
      <c r="R1198">
        <v>1.68</v>
      </c>
      <c r="S1198">
        <v>0.62</v>
      </c>
      <c r="AA1198">
        <v>-0.68</v>
      </c>
      <c r="AB1198" t="s">
        <v>7542</v>
      </c>
      <c r="AE1198" t="s">
        <v>1411</v>
      </c>
      <c r="AF1198" t="s">
        <v>11592</v>
      </c>
      <c r="AG1198" t="s">
        <v>749</v>
      </c>
      <c r="AH1198" t="s">
        <v>15749</v>
      </c>
      <c r="AI1198" t="s">
        <v>13783</v>
      </c>
      <c r="AJ1198" t="s">
        <v>164</v>
      </c>
      <c r="AK1198" t="s">
        <v>15750</v>
      </c>
      <c r="AL1198">
        <v>7.12</v>
      </c>
      <c r="AM1198">
        <v>6.33</v>
      </c>
      <c r="AN1198">
        <v>0.04</v>
      </c>
      <c r="AO1198" t="s">
        <v>3392</v>
      </c>
      <c r="AP1198" t="s">
        <v>15751</v>
      </c>
      <c r="AQ1198" t="s">
        <v>15752</v>
      </c>
      <c r="AR1198" t="s">
        <v>4765</v>
      </c>
      <c r="AS1198" t="s">
        <v>3170</v>
      </c>
      <c r="AT1198" t="s">
        <v>7193</v>
      </c>
      <c r="AU1198" t="s">
        <v>3447</v>
      </c>
      <c r="AV1198" t="s">
        <v>7391</v>
      </c>
      <c r="AW1198" t="s">
        <v>11042</v>
      </c>
      <c r="AX1198" t="s">
        <v>12631</v>
      </c>
      <c r="AY1198" t="s">
        <v>15753</v>
      </c>
      <c r="AZ1198" t="s">
        <v>9534</v>
      </c>
      <c r="BA1198">
        <v>1.67</v>
      </c>
      <c r="BB1198">
        <v>633.13</v>
      </c>
      <c r="BC1198">
        <v>0.46</v>
      </c>
      <c r="BD1198">
        <v>3.19</v>
      </c>
      <c r="BE1198">
        <v>3.19</v>
      </c>
      <c r="BF1198">
        <v>3.16</v>
      </c>
      <c r="BG1198" t="s">
        <v>15754</v>
      </c>
      <c r="BH1198" t="s">
        <v>15755</v>
      </c>
      <c r="BI1198" t="s">
        <v>15756</v>
      </c>
      <c r="BJ1198" t="s">
        <v>101</v>
      </c>
      <c r="BK1198" t="s">
        <v>7118</v>
      </c>
      <c r="BL1198" t="s">
        <v>4692</v>
      </c>
      <c r="BM1198" t="s">
        <v>2068</v>
      </c>
      <c r="BN1198" t="s">
        <v>14623</v>
      </c>
    </row>
    <row r="1199" spans="1:66" x14ac:dyDescent="0.25">
      <c r="A1199" t="str">
        <f>HYPERLINK("https://elite.finviz.com/quote.ashx?t=TMP&amp;ty=c&amp;p=d&amp;b=1", "TMP")</f>
        <v>TMP</v>
      </c>
      <c r="B1199">
        <v>6</v>
      </c>
      <c r="C1199">
        <v>127.03</v>
      </c>
      <c r="D1199">
        <v>47.92</v>
      </c>
      <c r="E1199" t="s">
        <v>15757</v>
      </c>
      <c r="F1199" t="s">
        <v>67</v>
      </c>
      <c r="G1199" t="s">
        <v>550</v>
      </c>
      <c r="H1199" t="s">
        <v>697</v>
      </c>
      <c r="I1199" t="s">
        <v>70</v>
      </c>
      <c r="J1199" t="s">
        <v>383</v>
      </c>
      <c r="K1199">
        <v>984.09</v>
      </c>
      <c r="L1199">
        <v>68.19</v>
      </c>
      <c r="M1199" t="s">
        <v>4191</v>
      </c>
      <c r="N1199">
        <v>5605</v>
      </c>
      <c r="O1199">
        <v>12.28</v>
      </c>
      <c r="P1199">
        <v>10.09</v>
      </c>
      <c r="R1199">
        <v>2.16</v>
      </c>
      <c r="S1199">
        <v>1.29</v>
      </c>
      <c r="T1199" t="s">
        <v>891</v>
      </c>
      <c r="U1199">
        <v>2.48</v>
      </c>
      <c r="V1199" t="s">
        <v>1762</v>
      </c>
      <c r="W1199" t="s">
        <v>2082</v>
      </c>
      <c r="X1199" t="s">
        <v>9130</v>
      </c>
      <c r="Y1199" t="s">
        <v>4324</v>
      </c>
      <c r="Z1199" t="s">
        <v>3677</v>
      </c>
      <c r="AA1199">
        <v>5.55</v>
      </c>
      <c r="AB1199" t="s">
        <v>4888</v>
      </c>
      <c r="AC1199" t="s">
        <v>5895</v>
      </c>
      <c r="AE1199" t="s">
        <v>9305</v>
      </c>
      <c r="AF1199" t="s">
        <v>7512</v>
      </c>
      <c r="AG1199" t="s">
        <v>4172</v>
      </c>
      <c r="AH1199" t="s">
        <v>5607</v>
      </c>
      <c r="AI1199" t="s">
        <v>246</v>
      </c>
      <c r="AJ1199" t="s">
        <v>164</v>
      </c>
      <c r="AK1199" t="s">
        <v>15758</v>
      </c>
      <c r="AL1199">
        <v>0.09</v>
      </c>
      <c r="AN1199">
        <v>1.05</v>
      </c>
      <c r="AP1199" t="s">
        <v>9051</v>
      </c>
      <c r="AQ1199" t="s">
        <v>3390</v>
      </c>
      <c r="AR1199" t="s">
        <v>1129</v>
      </c>
      <c r="AS1199" t="s">
        <v>6975</v>
      </c>
      <c r="AT1199" t="s">
        <v>2741</v>
      </c>
      <c r="AU1199" t="s">
        <v>5692</v>
      </c>
      <c r="AV1199" t="s">
        <v>2170</v>
      </c>
      <c r="AW1199" t="s">
        <v>4500</v>
      </c>
      <c r="AX1199" t="s">
        <v>7605</v>
      </c>
      <c r="AY1199" t="s">
        <v>15759</v>
      </c>
      <c r="AZ1199" t="s">
        <v>9107</v>
      </c>
      <c r="BA1199">
        <v>1</v>
      </c>
      <c r="BB1199">
        <v>49.34</v>
      </c>
      <c r="BC1199">
        <v>0.4</v>
      </c>
      <c r="BD1199">
        <v>68.34</v>
      </c>
      <c r="BE1199">
        <v>68.28</v>
      </c>
      <c r="BF1199">
        <v>67.989999999999995</v>
      </c>
      <c r="BG1199" t="s">
        <v>15760</v>
      </c>
      <c r="BH1199" t="s">
        <v>15761</v>
      </c>
      <c r="BI1199" t="s">
        <v>15762</v>
      </c>
      <c r="BJ1199" t="s">
        <v>101</v>
      </c>
      <c r="BK1199" t="s">
        <v>234</v>
      </c>
      <c r="BL1199" t="s">
        <v>892</v>
      </c>
      <c r="BM1199" t="s">
        <v>685</v>
      </c>
      <c r="BN1199" t="s">
        <v>14623</v>
      </c>
    </row>
    <row r="1200" spans="1:66" x14ac:dyDescent="0.25">
      <c r="A1200" t="str">
        <f>HYPERLINK("https://elite.finviz.com/quote.ashx?t=FTHM&amp;ty=c&amp;p=d&amp;b=1", "FTHM")</f>
        <v>FTHM</v>
      </c>
      <c r="B1200">
        <v>6</v>
      </c>
      <c r="C1200">
        <v>127.03</v>
      </c>
      <c r="D1200">
        <v>47.92</v>
      </c>
      <c r="E1200" t="s">
        <v>15763</v>
      </c>
      <c r="F1200" t="s">
        <v>107</v>
      </c>
      <c r="G1200" t="s">
        <v>68</v>
      </c>
      <c r="H1200" t="s">
        <v>7494</v>
      </c>
      <c r="I1200" t="s">
        <v>70</v>
      </c>
      <c r="J1200" t="s">
        <v>321</v>
      </c>
      <c r="K1200">
        <v>61.88</v>
      </c>
      <c r="L1200">
        <v>1.97</v>
      </c>
      <c r="M1200" t="s">
        <v>3704</v>
      </c>
      <c r="N1200">
        <v>204739</v>
      </c>
      <c r="P1200">
        <v>49.25</v>
      </c>
      <c r="R1200">
        <v>0.16</v>
      </c>
      <c r="S1200">
        <v>1.36</v>
      </c>
      <c r="AA1200">
        <v>-1.06</v>
      </c>
      <c r="AB1200" t="s">
        <v>15764</v>
      </c>
      <c r="AC1200" t="s">
        <v>15765</v>
      </c>
      <c r="AE1200" t="s">
        <v>1645</v>
      </c>
      <c r="AF1200" t="s">
        <v>3336</v>
      </c>
      <c r="AG1200" t="s">
        <v>15766</v>
      </c>
      <c r="AH1200" t="s">
        <v>7783</v>
      </c>
      <c r="AI1200" t="s">
        <v>15767</v>
      </c>
      <c r="AJ1200" t="s">
        <v>609</v>
      </c>
      <c r="AK1200" t="s">
        <v>9342</v>
      </c>
      <c r="AL1200">
        <v>1.2</v>
      </c>
      <c r="AM1200">
        <v>1.2</v>
      </c>
      <c r="AN1200">
        <v>0.56999999999999995</v>
      </c>
      <c r="AO1200" t="s">
        <v>7935</v>
      </c>
      <c r="AP1200" t="s">
        <v>8534</v>
      </c>
      <c r="AQ1200" t="s">
        <v>2951</v>
      </c>
      <c r="AR1200" t="s">
        <v>292</v>
      </c>
      <c r="AS1200" t="s">
        <v>685</v>
      </c>
      <c r="AT1200" t="s">
        <v>3070</v>
      </c>
      <c r="AU1200" t="s">
        <v>4390</v>
      </c>
      <c r="AV1200" t="s">
        <v>15459</v>
      </c>
      <c r="AW1200" t="s">
        <v>15768</v>
      </c>
      <c r="AX1200" t="s">
        <v>15769</v>
      </c>
      <c r="AY1200" t="s">
        <v>15768</v>
      </c>
      <c r="AZ1200" t="s">
        <v>9290</v>
      </c>
      <c r="BA1200">
        <v>1</v>
      </c>
      <c r="BB1200">
        <v>688.28</v>
      </c>
      <c r="BC1200">
        <v>1.06</v>
      </c>
      <c r="BD1200">
        <v>2.08</v>
      </c>
      <c r="BE1200">
        <v>2.12</v>
      </c>
      <c r="BF1200">
        <v>1.96</v>
      </c>
      <c r="BG1200" t="s">
        <v>15770</v>
      </c>
      <c r="BH1200" t="s">
        <v>6866</v>
      </c>
      <c r="BI1200" t="s">
        <v>9290</v>
      </c>
      <c r="BJ1200" t="s">
        <v>101</v>
      </c>
      <c r="BK1200" t="s">
        <v>5806</v>
      </c>
      <c r="BL1200" t="s">
        <v>15771</v>
      </c>
      <c r="BM1200" t="s">
        <v>12547</v>
      </c>
      <c r="BN1200" t="s">
        <v>14623</v>
      </c>
    </row>
    <row r="1201" spans="1:66" x14ac:dyDescent="0.25">
      <c r="A1201" t="str">
        <f>HYPERLINK("https://elite.finviz.com/quote.ashx?t=HBNC&amp;ty=c&amp;p=d&amp;b=1", "HBNC")</f>
        <v>HBNC</v>
      </c>
      <c r="B1201">
        <v>6</v>
      </c>
      <c r="C1201">
        <v>127.03</v>
      </c>
      <c r="D1201">
        <v>47.92</v>
      </c>
      <c r="E1201" t="s">
        <v>15772</v>
      </c>
      <c r="F1201" t="s">
        <v>67</v>
      </c>
      <c r="G1201" t="s">
        <v>550</v>
      </c>
      <c r="H1201" t="s">
        <v>697</v>
      </c>
      <c r="I1201" t="s">
        <v>70</v>
      </c>
      <c r="J1201" t="s">
        <v>321</v>
      </c>
      <c r="K1201">
        <v>827.69</v>
      </c>
      <c r="L1201">
        <v>16.149999999999999</v>
      </c>
      <c r="M1201" t="s">
        <v>193</v>
      </c>
      <c r="N1201">
        <v>27822</v>
      </c>
      <c r="O1201">
        <v>13.73</v>
      </c>
      <c r="P1201">
        <v>8.1199999999999992</v>
      </c>
      <c r="R1201">
        <v>2.21</v>
      </c>
      <c r="S1201">
        <v>0.9</v>
      </c>
      <c r="T1201" t="s">
        <v>4323</v>
      </c>
      <c r="U1201">
        <v>0.64</v>
      </c>
      <c r="V1201" t="s">
        <v>4105</v>
      </c>
      <c r="W1201" t="s">
        <v>164</v>
      </c>
      <c r="X1201" t="s">
        <v>4104</v>
      </c>
      <c r="Y1201" t="s">
        <v>7150</v>
      </c>
      <c r="Z1201" t="s">
        <v>15773</v>
      </c>
      <c r="AA1201">
        <v>1.18</v>
      </c>
      <c r="AB1201" t="s">
        <v>15774</v>
      </c>
      <c r="AC1201" t="s">
        <v>15775</v>
      </c>
      <c r="AE1201" t="s">
        <v>1090</v>
      </c>
      <c r="AF1201" t="s">
        <v>13198</v>
      </c>
      <c r="AG1201" t="s">
        <v>699</v>
      </c>
      <c r="AH1201" t="s">
        <v>5395</v>
      </c>
      <c r="AI1201" t="s">
        <v>297</v>
      </c>
      <c r="AJ1201" t="s">
        <v>3552</v>
      </c>
      <c r="AK1201" t="s">
        <v>14507</v>
      </c>
      <c r="AL1201">
        <v>0.16</v>
      </c>
      <c r="AN1201">
        <v>1.38</v>
      </c>
      <c r="AP1201" t="s">
        <v>4109</v>
      </c>
      <c r="AQ1201" t="s">
        <v>340</v>
      </c>
      <c r="AR1201" t="s">
        <v>4256</v>
      </c>
      <c r="AS1201" t="s">
        <v>1761</v>
      </c>
      <c r="AT1201" t="s">
        <v>123</v>
      </c>
      <c r="AU1201" t="s">
        <v>6245</v>
      </c>
      <c r="AV1201" t="s">
        <v>4216</v>
      </c>
      <c r="AW1201" t="s">
        <v>8690</v>
      </c>
      <c r="AX1201" t="s">
        <v>660</v>
      </c>
      <c r="AY1201" t="s">
        <v>13762</v>
      </c>
      <c r="AZ1201" t="s">
        <v>9223</v>
      </c>
      <c r="BA1201">
        <v>1.67</v>
      </c>
      <c r="BB1201">
        <v>318.24</v>
      </c>
      <c r="BC1201">
        <v>0.31</v>
      </c>
      <c r="BD1201">
        <v>16.11</v>
      </c>
      <c r="BE1201">
        <v>16.3</v>
      </c>
      <c r="BF1201">
        <v>16.149999999999999</v>
      </c>
      <c r="BG1201" t="s">
        <v>15776</v>
      </c>
      <c r="BH1201" t="s">
        <v>2686</v>
      </c>
      <c r="BI1201" t="s">
        <v>15777</v>
      </c>
      <c r="BJ1201" t="s">
        <v>101</v>
      </c>
      <c r="BK1201" t="s">
        <v>5672</v>
      </c>
      <c r="BL1201" t="s">
        <v>9651</v>
      </c>
      <c r="BM1201" t="s">
        <v>1087</v>
      </c>
      <c r="BN1201" t="s">
        <v>14623</v>
      </c>
    </row>
    <row r="1202" spans="1:66" x14ac:dyDescent="0.25">
      <c r="A1202" t="str">
        <f>HYPERLINK("https://elite.finviz.com/quote.ashx?t=ALCO&amp;ty=c&amp;p=d&amp;b=1", "ALCO")</f>
        <v>ALCO</v>
      </c>
      <c r="B1202">
        <v>6</v>
      </c>
      <c r="C1202">
        <v>127.03</v>
      </c>
      <c r="D1202">
        <v>47.94</v>
      </c>
      <c r="E1202" t="s">
        <v>15778</v>
      </c>
      <c r="F1202" t="s">
        <v>67</v>
      </c>
      <c r="G1202" t="s">
        <v>2244</v>
      </c>
      <c r="H1202" t="s">
        <v>5735</v>
      </c>
      <c r="I1202" t="s">
        <v>70</v>
      </c>
      <c r="J1202" t="s">
        <v>321</v>
      </c>
      <c r="K1202">
        <v>255.62</v>
      </c>
      <c r="L1202">
        <v>33.44</v>
      </c>
      <c r="M1202" t="s">
        <v>1998</v>
      </c>
      <c r="N1202">
        <v>2452</v>
      </c>
      <c r="R1202">
        <v>5.78</v>
      </c>
      <c r="S1202">
        <v>2.29</v>
      </c>
      <c r="T1202" t="s">
        <v>1763</v>
      </c>
      <c r="U1202">
        <v>0.2</v>
      </c>
      <c r="V1202" t="s">
        <v>4741</v>
      </c>
      <c r="W1202" t="s">
        <v>164</v>
      </c>
      <c r="X1202" t="s">
        <v>15125</v>
      </c>
      <c r="Y1202" t="s">
        <v>4927</v>
      </c>
      <c r="Z1202" t="s">
        <v>442</v>
      </c>
      <c r="AA1202">
        <v>-20.56</v>
      </c>
      <c r="AB1202" t="s">
        <v>15779</v>
      </c>
      <c r="AC1202" t="s">
        <v>15780</v>
      </c>
      <c r="AE1202" t="s">
        <v>3780</v>
      </c>
      <c r="AF1202" t="s">
        <v>15781</v>
      </c>
      <c r="AG1202" t="s">
        <v>11181</v>
      </c>
      <c r="AH1202" t="s">
        <v>15525</v>
      </c>
      <c r="AI1202" t="s">
        <v>15782</v>
      </c>
      <c r="AJ1202" t="s">
        <v>4763</v>
      </c>
      <c r="AK1202" t="s">
        <v>15783</v>
      </c>
      <c r="AL1202">
        <v>9.3699999999999992</v>
      </c>
      <c r="AM1202">
        <v>8.8699999999999992</v>
      </c>
      <c r="AN1202">
        <v>0.76</v>
      </c>
      <c r="AO1202" t="s">
        <v>15784</v>
      </c>
      <c r="AP1202" t="s">
        <v>15785</v>
      </c>
      <c r="AQ1202" t="s">
        <v>15786</v>
      </c>
      <c r="AR1202" t="s">
        <v>3118</v>
      </c>
      <c r="AS1202" t="s">
        <v>2219</v>
      </c>
      <c r="AT1202" t="s">
        <v>3027</v>
      </c>
      <c r="AU1202" t="s">
        <v>2362</v>
      </c>
      <c r="AV1202" t="s">
        <v>5912</v>
      </c>
      <c r="AW1202" t="s">
        <v>3622</v>
      </c>
      <c r="AX1202" t="s">
        <v>272</v>
      </c>
      <c r="AY1202" t="s">
        <v>3622</v>
      </c>
      <c r="AZ1202" t="s">
        <v>14719</v>
      </c>
      <c r="BA1202">
        <v>2</v>
      </c>
      <c r="BB1202">
        <v>28.98</v>
      </c>
      <c r="BC1202">
        <v>0.3</v>
      </c>
      <c r="BD1202">
        <v>33.49</v>
      </c>
      <c r="BE1202">
        <v>33.56</v>
      </c>
      <c r="BF1202">
        <v>33.450000000000003</v>
      </c>
      <c r="BG1202" t="s">
        <v>15787</v>
      </c>
      <c r="BH1202" t="s">
        <v>15788</v>
      </c>
      <c r="BI1202" t="s">
        <v>15789</v>
      </c>
      <c r="BJ1202" t="s">
        <v>101</v>
      </c>
      <c r="BK1202" t="s">
        <v>4393</v>
      </c>
      <c r="BL1202" t="s">
        <v>8041</v>
      </c>
      <c r="BM1202" t="s">
        <v>11578</v>
      </c>
      <c r="BN1202" t="s">
        <v>14623</v>
      </c>
    </row>
    <row r="1203" spans="1:66" x14ac:dyDescent="0.25">
      <c r="A1203" t="str">
        <f>HYPERLINK("https://elite.finviz.com/quote.ashx?t=AN&amp;ty=c&amp;p=d&amp;b=1", "AN")</f>
        <v>AN</v>
      </c>
      <c r="B1203">
        <v>6</v>
      </c>
      <c r="C1203">
        <v>127.03</v>
      </c>
      <c r="D1203">
        <v>47.96</v>
      </c>
      <c r="E1203" t="s">
        <v>15790</v>
      </c>
      <c r="F1203" t="s">
        <v>107</v>
      </c>
      <c r="G1203" t="s">
        <v>813</v>
      </c>
      <c r="H1203" t="s">
        <v>5888</v>
      </c>
      <c r="I1203" t="s">
        <v>70</v>
      </c>
      <c r="J1203" t="s">
        <v>71</v>
      </c>
      <c r="K1203">
        <v>8172.03</v>
      </c>
      <c r="L1203">
        <v>216.73</v>
      </c>
      <c r="M1203" t="s">
        <v>3446</v>
      </c>
      <c r="N1203">
        <v>56752</v>
      </c>
      <c r="O1203">
        <v>13.58</v>
      </c>
      <c r="P1203">
        <v>10.199999999999999</v>
      </c>
      <c r="Q1203">
        <v>1.35</v>
      </c>
      <c r="R1203">
        <v>0.3</v>
      </c>
      <c r="S1203">
        <v>3.31</v>
      </c>
      <c r="Z1203" t="s">
        <v>164</v>
      </c>
      <c r="AA1203">
        <v>15.96</v>
      </c>
      <c r="AB1203" t="s">
        <v>7193</v>
      </c>
      <c r="AC1203" t="s">
        <v>5931</v>
      </c>
      <c r="AD1203" t="s">
        <v>8441</v>
      </c>
      <c r="AE1203" t="s">
        <v>5779</v>
      </c>
      <c r="AF1203" t="s">
        <v>6732</v>
      </c>
      <c r="AG1203" t="s">
        <v>5685</v>
      </c>
      <c r="AH1203" t="s">
        <v>417</v>
      </c>
      <c r="AI1203" t="s">
        <v>6814</v>
      </c>
      <c r="AJ1203" t="s">
        <v>770</v>
      </c>
      <c r="AK1203" t="s">
        <v>2860</v>
      </c>
      <c r="AL1203">
        <v>0.81</v>
      </c>
      <c r="AM1203">
        <v>0.21</v>
      </c>
      <c r="AN1203">
        <v>3.77</v>
      </c>
      <c r="AO1203" t="s">
        <v>8383</v>
      </c>
      <c r="AP1203" t="s">
        <v>4526</v>
      </c>
      <c r="AQ1203" t="s">
        <v>4255</v>
      </c>
      <c r="AR1203" t="s">
        <v>2307</v>
      </c>
      <c r="AS1203" t="s">
        <v>909</v>
      </c>
      <c r="AT1203" t="s">
        <v>4155</v>
      </c>
      <c r="AU1203" t="s">
        <v>3173</v>
      </c>
      <c r="AV1203" t="s">
        <v>1625</v>
      </c>
      <c r="AW1203" t="s">
        <v>6345</v>
      </c>
      <c r="AX1203" t="s">
        <v>8078</v>
      </c>
      <c r="AY1203" t="s">
        <v>6345</v>
      </c>
      <c r="AZ1203" t="s">
        <v>4612</v>
      </c>
      <c r="BA1203">
        <v>2.0699999999999998</v>
      </c>
      <c r="BB1203">
        <v>468.05</v>
      </c>
      <c r="BC1203">
        <v>0.43</v>
      </c>
      <c r="BD1203">
        <v>216.04</v>
      </c>
      <c r="BE1203">
        <v>218.32</v>
      </c>
      <c r="BF1203">
        <v>216.18</v>
      </c>
      <c r="BG1203" t="s">
        <v>15791</v>
      </c>
      <c r="BH1203" t="s">
        <v>6345</v>
      </c>
      <c r="BI1203" t="s">
        <v>15792</v>
      </c>
      <c r="BJ1203" t="s">
        <v>101</v>
      </c>
      <c r="BK1203" t="s">
        <v>6272</v>
      </c>
      <c r="BL1203" t="s">
        <v>15793</v>
      </c>
      <c r="BM1203" t="s">
        <v>15794</v>
      </c>
      <c r="BN1203" t="s">
        <v>14623</v>
      </c>
    </row>
    <row r="1204" spans="1:66" x14ac:dyDescent="0.25">
      <c r="A1204" t="str">
        <f>HYPERLINK("https://elite.finviz.com/quote.ashx?t=CHCI&amp;ty=c&amp;p=d&amp;b=1", "CHCI")</f>
        <v>CHCI</v>
      </c>
      <c r="B1204">
        <v>6</v>
      </c>
      <c r="C1204">
        <v>127.03</v>
      </c>
      <c r="D1204">
        <v>47.96</v>
      </c>
      <c r="E1204" t="s">
        <v>15795</v>
      </c>
      <c r="F1204" t="s">
        <v>107</v>
      </c>
      <c r="G1204" t="s">
        <v>68</v>
      </c>
      <c r="H1204" t="s">
        <v>7494</v>
      </c>
      <c r="I1204" t="s">
        <v>70</v>
      </c>
      <c r="J1204" t="s">
        <v>321</v>
      </c>
      <c r="K1204">
        <v>157.18</v>
      </c>
      <c r="L1204">
        <v>15.61</v>
      </c>
      <c r="M1204" t="s">
        <v>969</v>
      </c>
      <c r="N1204">
        <v>2928</v>
      </c>
      <c r="O1204">
        <v>9.98</v>
      </c>
      <c r="R1204">
        <v>2.83</v>
      </c>
      <c r="S1204">
        <v>2.83</v>
      </c>
      <c r="Z1204" t="s">
        <v>164</v>
      </c>
      <c r="AA1204">
        <v>1.56</v>
      </c>
      <c r="AB1204" t="s">
        <v>1225</v>
      </c>
      <c r="AC1204" t="s">
        <v>3626</v>
      </c>
      <c r="AE1204" t="s">
        <v>5240</v>
      </c>
      <c r="AF1204" t="s">
        <v>2738</v>
      </c>
      <c r="AG1204" t="s">
        <v>5386</v>
      </c>
      <c r="AH1204" t="s">
        <v>10795</v>
      </c>
      <c r="AJ1204" t="s">
        <v>8932</v>
      </c>
      <c r="AK1204" t="s">
        <v>6607</v>
      </c>
      <c r="AL1204">
        <v>9.32</v>
      </c>
      <c r="AM1204">
        <v>9.32</v>
      </c>
      <c r="AN1204">
        <v>0.1</v>
      </c>
      <c r="AO1204" t="s">
        <v>8539</v>
      </c>
      <c r="AP1204" t="s">
        <v>1531</v>
      </c>
      <c r="AQ1204" t="s">
        <v>6641</v>
      </c>
      <c r="AR1204" t="s">
        <v>8855</v>
      </c>
      <c r="AS1204" t="s">
        <v>707</v>
      </c>
      <c r="AT1204" t="s">
        <v>2604</v>
      </c>
      <c r="AU1204" t="s">
        <v>289</v>
      </c>
      <c r="AV1204" t="s">
        <v>15796</v>
      </c>
      <c r="AW1204" t="s">
        <v>1029</v>
      </c>
      <c r="AX1204" t="s">
        <v>15797</v>
      </c>
      <c r="AY1204" t="s">
        <v>1029</v>
      </c>
      <c r="AZ1204" t="s">
        <v>15798</v>
      </c>
      <c r="BB1204">
        <v>27.03</v>
      </c>
      <c r="BC1204">
        <v>0.38</v>
      </c>
      <c r="BD1204">
        <v>15.48</v>
      </c>
      <c r="BE1204">
        <v>15.7</v>
      </c>
      <c r="BF1204">
        <v>15.15</v>
      </c>
      <c r="BG1204" t="s">
        <v>15799</v>
      </c>
      <c r="BH1204" t="s">
        <v>14326</v>
      </c>
      <c r="BI1204" t="s">
        <v>15800</v>
      </c>
      <c r="BJ1204" t="s">
        <v>101</v>
      </c>
      <c r="BK1204" t="s">
        <v>15801</v>
      </c>
      <c r="BL1204" t="s">
        <v>15802</v>
      </c>
      <c r="BM1204" t="s">
        <v>15803</v>
      </c>
      <c r="BN1204" t="s">
        <v>14623</v>
      </c>
    </row>
    <row r="1205" spans="1:66" x14ac:dyDescent="0.25">
      <c r="A1205" t="str">
        <f>HYPERLINK("https://elite.finviz.com/quote.ashx?t=CTNT&amp;ty=c&amp;p=d&amp;b=1", "CTNT")</f>
        <v>CTNT</v>
      </c>
      <c r="B1205">
        <v>6</v>
      </c>
      <c r="C1205">
        <v>127.03</v>
      </c>
      <c r="D1205">
        <v>48.02</v>
      </c>
      <c r="E1205" t="s">
        <v>15804</v>
      </c>
      <c r="F1205" t="s">
        <v>107</v>
      </c>
      <c r="G1205" t="s">
        <v>260</v>
      </c>
      <c r="H1205" t="s">
        <v>7853</v>
      </c>
      <c r="I1205" t="s">
        <v>70</v>
      </c>
      <c r="J1205" t="s">
        <v>321</v>
      </c>
      <c r="K1205">
        <v>5.6</v>
      </c>
      <c r="L1205">
        <v>1.74</v>
      </c>
      <c r="M1205" t="s">
        <v>2372</v>
      </c>
      <c r="N1205">
        <v>11903</v>
      </c>
      <c r="R1205">
        <v>0.73</v>
      </c>
      <c r="S1205">
        <v>0.49</v>
      </c>
      <c r="AA1205">
        <v>-2.0499999999999998</v>
      </c>
      <c r="AF1205" t="s">
        <v>15805</v>
      </c>
      <c r="AH1205" t="s">
        <v>15806</v>
      </c>
      <c r="AI1205" t="s">
        <v>1472</v>
      </c>
      <c r="AJ1205" t="s">
        <v>164</v>
      </c>
      <c r="AK1205" t="s">
        <v>1933</v>
      </c>
      <c r="AL1205">
        <v>10.15</v>
      </c>
      <c r="AM1205">
        <v>10.15</v>
      </c>
      <c r="AN1205">
        <v>0.19</v>
      </c>
      <c r="AO1205" t="s">
        <v>2783</v>
      </c>
      <c r="AP1205" t="s">
        <v>15807</v>
      </c>
      <c r="AQ1205" t="s">
        <v>8140</v>
      </c>
      <c r="AR1205" t="s">
        <v>4839</v>
      </c>
      <c r="AS1205" t="s">
        <v>215</v>
      </c>
      <c r="AT1205" t="s">
        <v>9085</v>
      </c>
      <c r="AU1205" t="s">
        <v>1453</v>
      </c>
      <c r="AV1205" t="s">
        <v>4665</v>
      </c>
      <c r="AW1205" t="s">
        <v>5863</v>
      </c>
      <c r="AX1205" t="s">
        <v>4461</v>
      </c>
      <c r="AY1205" t="s">
        <v>15808</v>
      </c>
      <c r="AZ1205" t="s">
        <v>15809</v>
      </c>
      <c r="BA1205">
        <v>1</v>
      </c>
      <c r="BB1205">
        <v>32.47</v>
      </c>
      <c r="BC1205">
        <v>1.3</v>
      </c>
      <c r="BD1205">
        <v>1.77</v>
      </c>
      <c r="BE1205">
        <v>1.77</v>
      </c>
      <c r="BF1205">
        <v>1.73</v>
      </c>
      <c r="BG1205" t="s">
        <v>15810</v>
      </c>
      <c r="BH1205" t="s">
        <v>12709</v>
      </c>
      <c r="BI1205" t="s">
        <v>15809</v>
      </c>
      <c r="BJ1205" t="s">
        <v>101</v>
      </c>
      <c r="BK1205" t="s">
        <v>10813</v>
      </c>
      <c r="BL1205" t="s">
        <v>7361</v>
      </c>
      <c r="BM1205" t="s">
        <v>14783</v>
      </c>
      <c r="BN1205" t="s">
        <v>14623</v>
      </c>
    </row>
    <row r="1206" spans="1:66" x14ac:dyDescent="0.25">
      <c r="A1206" t="str">
        <f>HYPERLINK("https://elite.finviz.com/quote.ashx?t=SMA&amp;ty=c&amp;p=d&amp;b=1", "SMA")</f>
        <v>SMA</v>
      </c>
      <c r="B1206">
        <v>6</v>
      </c>
      <c r="C1206">
        <v>127.03</v>
      </c>
      <c r="D1206">
        <v>48.02</v>
      </c>
      <c r="E1206" t="s">
        <v>15811</v>
      </c>
      <c r="F1206" t="s">
        <v>67</v>
      </c>
      <c r="G1206" t="s">
        <v>68</v>
      </c>
      <c r="H1206" t="s">
        <v>6342</v>
      </c>
      <c r="I1206" t="s">
        <v>70</v>
      </c>
      <c r="J1206" t="s">
        <v>71</v>
      </c>
      <c r="K1206">
        <v>1458</v>
      </c>
      <c r="L1206">
        <v>36.82</v>
      </c>
      <c r="M1206" t="s">
        <v>2554</v>
      </c>
      <c r="N1206">
        <v>95258</v>
      </c>
      <c r="P1206">
        <v>101.04</v>
      </c>
      <c r="R1206">
        <v>5.76</v>
      </c>
      <c r="S1206">
        <v>1.68</v>
      </c>
      <c r="T1206" t="s">
        <v>6378</v>
      </c>
      <c r="U1206">
        <v>0.67</v>
      </c>
      <c r="V1206" t="s">
        <v>198</v>
      </c>
      <c r="AA1206">
        <v>-0.5</v>
      </c>
      <c r="AB1206" t="s">
        <v>2290</v>
      </c>
      <c r="AC1206" t="s">
        <v>2892</v>
      </c>
      <c r="AE1206" t="s">
        <v>716</v>
      </c>
      <c r="AF1206" t="s">
        <v>3492</v>
      </c>
      <c r="AG1206" t="s">
        <v>8697</v>
      </c>
      <c r="AH1206" t="s">
        <v>12293</v>
      </c>
      <c r="AI1206" t="s">
        <v>15812</v>
      </c>
      <c r="AJ1206" t="s">
        <v>4794</v>
      </c>
      <c r="AK1206" t="s">
        <v>15813</v>
      </c>
      <c r="AL1206">
        <v>0.99</v>
      </c>
      <c r="AM1206">
        <v>0.99</v>
      </c>
      <c r="AN1206">
        <v>0.78</v>
      </c>
      <c r="AO1206" t="s">
        <v>1816</v>
      </c>
      <c r="AP1206" t="s">
        <v>2999</v>
      </c>
      <c r="AQ1206" t="s">
        <v>4284</v>
      </c>
      <c r="AR1206" t="s">
        <v>4216</v>
      </c>
      <c r="AS1206" t="s">
        <v>1761</v>
      </c>
      <c r="AT1206" t="s">
        <v>9511</v>
      </c>
      <c r="AU1206" t="s">
        <v>3551</v>
      </c>
      <c r="AV1206" t="s">
        <v>862</v>
      </c>
      <c r="AW1206" t="s">
        <v>502</v>
      </c>
      <c r="AX1206" t="s">
        <v>3327</v>
      </c>
      <c r="AY1206" t="s">
        <v>502</v>
      </c>
      <c r="AZ1206" t="s">
        <v>15814</v>
      </c>
      <c r="BA1206">
        <v>1.1000000000000001</v>
      </c>
      <c r="BB1206">
        <v>601.25</v>
      </c>
      <c r="BC1206">
        <v>0.56000000000000005</v>
      </c>
      <c r="BD1206">
        <v>36.31</v>
      </c>
      <c r="BE1206">
        <v>36.9</v>
      </c>
      <c r="BF1206">
        <v>36</v>
      </c>
      <c r="BG1206" t="s">
        <v>15815</v>
      </c>
      <c r="BH1206" t="s">
        <v>502</v>
      </c>
      <c r="BI1206" t="s">
        <v>15814</v>
      </c>
      <c r="BJ1206" t="s">
        <v>101</v>
      </c>
      <c r="BK1206" t="s">
        <v>4891</v>
      </c>
      <c r="BN1206" t="s">
        <v>14623</v>
      </c>
    </row>
    <row r="1207" spans="1:66" x14ac:dyDescent="0.25">
      <c r="A1207" t="str">
        <f>HYPERLINK("https://elite.finviz.com/quote.ashx?t=MGRX&amp;ty=c&amp;p=d&amp;b=1", "MGRX")</f>
        <v>MGRX</v>
      </c>
      <c r="B1207">
        <v>6</v>
      </c>
      <c r="C1207">
        <v>127.03</v>
      </c>
      <c r="D1207">
        <v>48.03</v>
      </c>
      <c r="E1207" t="s">
        <v>15816</v>
      </c>
      <c r="F1207" t="s">
        <v>107</v>
      </c>
      <c r="G1207" t="s">
        <v>428</v>
      </c>
      <c r="H1207" t="s">
        <v>2075</v>
      </c>
      <c r="I1207" t="s">
        <v>70</v>
      </c>
      <c r="J1207" t="s">
        <v>321</v>
      </c>
      <c r="K1207">
        <v>21.87</v>
      </c>
      <c r="L1207">
        <v>2.08</v>
      </c>
      <c r="M1207" t="s">
        <v>2393</v>
      </c>
      <c r="N1207">
        <v>50690</v>
      </c>
      <c r="R1207">
        <v>42.05</v>
      </c>
      <c r="S1207">
        <v>1.1299999999999999</v>
      </c>
      <c r="AA1207">
        <v>-3.19</v>
      </c>
      <c r="AB1207" t="s">
        <v>15817</v>
      </c>
      <c r="AE1207" t="s">
        <v>15818</v>
      </c>
      <c r="AH1207" t="s">
        <v>2735</v>
      </c>
      <c r="AJ1207" t="s">
        <v>164</v>
      </c>
      <c r="AK1207" t="s">
        <v>5256</v>
      </c>
      <c r="AL1207">
        <v>7.0000000000000007E-2</v>
      </c>
      <c r="AM1207">
        <v>7.0000000000000007E-2</v>
      </c>
      <c r="AN1207">
        <v>0.03</v>
      </c>
      <c r="AO1207" t="s">
        <v>15819</v>
      </c>
      <c r="AP1207" t="s">
        <v>15820</v>
      </c>
      <c r="AQ1207" t="s">
        <v>15821</v>
      </c>
      <c r="AR1207" t="s">
        <v>3734</v>
      </c>
      <c r="AS1207" t="s">
        <v>6598</v>
      </c>
      <c r="AT1207" t="s">
        <v>5211</v>
      </c>
      <c r="AU1207" t="s">
        <v>5151</v>
      </c>
      <c r="AV1207" t="s">
        <v>11166</v>
      </c>
      <c r="AW1207" t="s">
        <v>15822</v>
      </c>
      <c r="AX1207" t="s">
        <v>5483</v>
      </c>
      <c r="AY1207" t="s">
        <v>8044</v>
      </c>
      <c r="AZ1207" t="s">
        <v>6642</v>
      </c>
      <c r="BB1207">
        <v>155.66</v>
      </c>
      <c r="BC1207">
        <v>1.1499999999999999</v>
      </c>
      <c r="BD1207">
        <v>2.25</v>
      </c>
      <c r="BE1207">
        <v>2.25</v>
      </c>
      <c r="BF1207">
        <v>2.04</v>
      </c>
      <c r="BG1207" t="s">
        <v>15823</v>
      </c>
      <c r="BH1207" t="s">
        <v>15824</v>
      </c>
      <c r="BI1207" t="s">
        <v>6642</v>
      </c>
      <c r="BJ1207" t="s">
        <v>101</v>
      </c>
      <c r="BK1207" t="s">
        <v>10912</v>
      </c>
      <c r="BL1207" t="s">
        <v>6012</v>
      </c>
      <c r="BM1207" t="s">
        <v>15825</v>
      </c>
      <c r="BN1207" t="s">
        <v>14623</v>
      </c>
    </row>
    <row r="1208" spans="1:66" x14ac:dyDescent="0.25">
      <c r="A1208" t="str">
        <f>HYPERLINK("https://elite.finviz.com/quote.ashx?t=LPG&amp;ty=c&amp;p=d&amp;b=1", "LPG")</f>
        <v>LPG</v>
      </c>
      <c r="B1208">
        <v>6</v>
      </c>
      <c r="C1208">
        <v>127.03</v>
      </c>
      <c r="D1208">
        <v>48.04</v>
      </c>
      <c r="E1208" t="s">
        <v>15826</v>
      </c>
      <c r="F1208" t="s">
        <v>67</v>
      </c>
      <c r="G1208" t="s">
        <v>1048</v>
      </c>
      <c r="H1208" t="s">
        <v>3915</v>
      </c>
      <c r="I1208" t="s">
        <v>70</v>
      </c>
      <c r="J1208" t="s">
        <v>71</v>
      </c>
      <c r="K1208">
        <v>1326.77</v>
      </c>
      <c r="L1208">
        <v>31.11</v>
      </c>
      <c r="M1208" t="s">
        <v>5789</v>
      </c>
      <c r="N1208">
        <v>48335</v>
      </c>
      <c r="O1208">
        <v>27.07</v>
      </c>
      <c r="P1208">
        <v>9.69</v>
      </c>
      <c r="R1208">
        <v>4.1100000000000003</v>
      </c>
      <c r="S1208">
        <v>1.28</v>
      </c>
      <c r="T1208" t="s">
        <v>5864</v>
      </c>
      <c r="V1208" t="s">
        <v>7906</v>
      </c>
      <c r="Z1208" t="s">
        <v>164</v>
      </c>
      <c r="AA1208">
        <v>1.1499999999999999</v>
      </c>
      <c r="AB1208" t="s">
        <v>8925</v>
      </c>
      <c r="AC1208" t="s">
        <v>227</v>
      </c>
      <c r="AD1208" t="s">
        <v>1052</v>
      </c>
      <c r="AE1208" t="s">
        <v>15827</v>
      </c>
      <c r="AF1208" t="s">
        <v>1822</v>
      </c>
      <c r="AG1208" t="s">
        <v>6732</v>
      </c>
      <c r="AH1208" t="s">
        <v>15828</v>
      </c>
      <c r="AI1208" t="s">
        <v>15829</v>
      </c>
      <c r="AJ1208" t="s">
        <v>3752</v>
      </c>
      <c r="AK1208" t="s">
        <v>10043</v>
      </c>
      <c r="AL1208">
        <v>3.32</v>
      </c>
      <c r="AM1208">
        <v>3.3</v>
      </c>
      <c r="AN1208">
        <v>0.67</v>
      </c>
      <c r="AO1208" t="s">
        <v>8751</v>
      </c>
      <c r="AP1208" t="s">
        <v>5679</v>
      </c>
      <c r="AQ1208" t="s">
        <v>6721</v>
      </c>
      <c r="AR1208" t="s">
        <v>5420</v>
      </c>
      <c r="AS1208" t="s">
        <v>7322</v>
      </c>
      <c r="AT1208" t="s">
        <v>2950</v>
      </c>
      <c r="AU1208" t="s">
        <v>2087</v>
      </c>
      <c r="AV1208" t="s">
        <v>6877</v>
      </c>
      <c r="AW1208" t="s">
        <v>4540</v>
      </c>
      <c r="AX1208" t="s">
        <v>4602</v>
      </c>
      <c r="AY1208" t="s">
        <v>94</v>
      </c>
      <c r="AZ1208" t="s">
        <v>15830</v>
      </c>
      <c r="BA1208">
        <v>1.29</v>
      </c>
      <c r="BB1208">
        <v>587.55999999999995</v>
      </c>
      <c r="BC1208">
        <v>0.28999999999999998</v>
      </c>
      <c r="BD1208">
        <v>31.47</v>
      </c>
      <c r="BE1208">
        <v>31.58</v>
      </c>
      <c r="BF1208">
        <v>31.09</v>
      </c>
      <c r="BG1208" t="s">
        <v>15831</v>
      </c>
      <c r="BH1208" t="s">
        <v>15832</v>
      </c>
      <c r="BI1208" t="s">
        <v>15833</v>
      </c>
      <c r="BJ1208" t="s">
        <v>101</v>
      </c>
      <c r="BK1208" t="s">
        <v>4859</v>
      </c>
      <c r="BL1208" t="s">
        <v>8072</v>
      </c>
      <c r="BM1208" t="s">
        <v>11369</v>
      </c>
      <c r="BN1208" t="s">
        <v>14623</v>
      </c>
    </row>
    <row r="1209" spans="1:66" x14ac:dyDescent="0.25">
      <c r="A1209" t="str">
        <f>HYPERLINK("https://elite.finviz.com/quote.ashx?t=AOSL&amp;ty=c&amp;p=d&amp;b=1", "AOSL")</f>
        <v>AOSL</v>
      </c>
      <c r="B1209">
        <v>6</v>
      </c>
      <c r="C1209">
        <v>127.03</v>
      </c>
      <c r="D1209">
        <v>48.06</v>
      </c>
      <c r="E1209" t="s">
        <v>15834</v>
      </c>
      <c r="F1209" t="s">
        <v>67</v>
      </c>
      <c r="G1209" t="s">
        <v>108</v>
      </c>
      <c r="H1209" t="s">
        <v>1808</v>
      </c>
      <c r="I1209" t="s">
        <v>70</v>
      </c>
      <c r="J1209" t="s">
        <v>321</v>
      </c>
      <c r="K1209">
        <v>845.14</v>
      </c>
      <c r="L1209">
        <v>28.16</v>
      </c>
      <c r="M1209" t="s">
        <v>14331</v>
      </c>
      <c r="N1209">
        <v>28709</v>
      </c>
      <c r="P1209">
        <v>42.24</v>
      </c>
      <c r="R1209">
        <v>1.21</v>
      </c>
      <c r="S1209">
        <v>1.03</v>
      </c>
      <c r="AA1209">
        <v>-3.25</v>
      </c>
      <c r="AC1209" t="s">
        <v>15835</v>
      </c>
      <c r="AE1209" t="s">
        <v>351</v>
      </c>
      <c r="AF1209" t="s">
        <v>5725</v>
      </c>
      <c r="AG1209" t="s">
        <v>6456</v>
      </c>
      <c r="AH1209" t="s">
        <v>10557</v>
      </c>
      <c r="AI1209" t="s">
        <v>1441</v>
      </c>
      <c r="AJ1209" t="s">
        <v>3598</v>
      </c>
      <c r="AK1209" t="s">
        <v>15836</v>
      </c>
      <c r="AL1209">
        <v>2.56</v>
      </c>
      <c r="AM1209">
        <v>1.29</v>
      </c>
      <c r="AN1209">
        <v>0.06</v>
      </c>
      <c r="AO1209" t="s">
        <v>10300</v>
      </c>
      <c r="AP1209" t="s">
        <v>4078</v>
      </c>
      <c r="AQ1209" t="s">
        <v>9071</v>
      </c>
      <c r="AR1209" t="s">
        <v>5336</v>
      </c>
      <c r="AS1209" t="s">
        <v>3520</v>
      </c>
      <c r="AT1209" t="s">
        <v>2190</v>
      </c>
      <c r="AU1209" t="s">
        <v>6155</v>
      </c>
      <c r="AV1209" t="s">
        <v>4150</v>
      </c>
      <c r="AW1209" t="s">
        <v>2249</v>
      </c>
      <c r="AX1209" t="s">
        <v>15837</v>
      </c>
      <c r="AY1209" t="s">
        <v>15838</v>
      </c>
      <c r="AZ1209" t="s">
        <v>12449</v>
      </c>
      <c r="BA1209">
        <v>1.67</v>
      </c>
      <c r="BB1209">
        <v>231.01</v>
      </c>
      <c r="BC1209">
        <v>0.44</v>
      </c>
      <c r="BD1209">
        <v>28.75</v>
      </c>
      <c r="BE1209">
        <v>28.8</v>
      </c>
      <c r="BF1209">
        <v>28.03</v>
      </c>
      <c r="BG1209" t="s">
        <v>15839</v>
      </c>
      <c r="BH1209" t="s">
        <v>15840</v>
      </c>
      <c r="BI1209" t="s">
        <v>15841</v>
      </c>
      <c r="BJ1209" t="s">
        <v>101</v>
      </c>
      <c r="BK1209" t="s">
        <v>9570</v>
      </c>
      <c r="BL1209" t="s">
        <v>4428</v>
      </c>
      <c r="BM1209" t="s">
        <v>12766</v>
      </c>
      <c r="BN1209" t="s">
        <v>14623</v>
      </c>
    </row>
    <row r="1210" spans="1:66" x14ac:dyDescent="0.25">
      <c r="A1210" t="str">
        <f>HYPERLINK("https://elite.finviz.com/quote.ashx?t=TCBK&amp;ty=c&amp;p=d&amp;b=1", "TCBK")</f>
        <v>TCBK</v>
      </c>
      <c r="B1210">
        <v>6</v>
      </c>
      <c r="C1210">
        <v>127.03</v>
      </c>
      <c r="D1210">
        <v>48.06</v>
      </c>
      <c r="E1210" t="s">
        <v>15842</v>
      </c>
      <c r="F1210" t="s">
        <v>67</v>
      </c>
      <c r="G1210" t="s">
        <v>550</v>
      </c>
      <c r="H1210" t="s">
        <v>697</v>
      </c>
      <c r="I1210" t="s">
        <v>70</v>
      </c>
      <c r="J1210" t="s">
        <v>321</v>
      </c>
      <c r="K1210">
        <v>1448.22</v>
      </c>
      <c r="L1210">
        <v>44.48</v>
      </c>
      <c r="M1210" t="s">
        <v>4809</v>
      </c>
      <c r="N1210">
        <v>10519</v>
      </c>
      <c r="O1210">
        <v>13.14</v>
      </c>
      <c r="P1210">
        <v>11.81</v>
      </c>
      <c r="Q1210">
        <v>3.74</v>
      </c>
      <c r="R1210">
        <v>2.73</v>
      </c>
      <c r="S1210">
        <v>1.1399999999999999</v>
      </c>
      <c r="T1210" t="s">
        <v>295</v>
      </c>
      <c r="U1210">
        <v>1.35</v>
      </c>
      <c r="V1210" t="s">
        <v>4548</v>
      </c>
      <c r="W1210" t="s">
        <v>3962</v>
      </c>
      <c r="X1210" t="s">
        <v>2635</v>
      </c>
      <c r="Y1210" t="s">
        <v>6448</v>
      </c>
      <c r="Z1210" t="s">
        <v>9333</v>
      </c>
      <c r="AA1210">
        <v>3.38</v>
      </c>
      <c r="AB1210" t="s">
        <v>2814</v>
      </c>
      <c r="AC1210" t="s">
        <v>2080</v>
      </c>
      <c r="AD1210" t="s">
        <v>1926</v>
      </c>
      <c r="AE1210" t="s">
        <v>1488</v>
      </c>
      <c r="AF1210" t="s">
        <v>6746</v>
      </c>
      <c r="AG1210" t="s">
        <v>2794</v>
      </c>
      <c r="AH1210" t="s">
        <v>1409</v>
      </c>
      <c r="AI1210" t="s">
        <v>205</v>
      </c>
      <c r="AJ1210" t="s">
        <v>164</v>
      </c>
      <c r="AK1210" t="s">
        <v>15843</v>
      </c>
      <c r="AL1210">
        <v>0.08</v>
      </c>
      <c r="AN1210">
        <v>0.11</v>
      </c>
      <c r="AP1210" t="s">
        <v>8851</v>
      </c>
      <c r="AQ1210" t="s">
        <v>711</v>
      </c>
      <c r="AR1210" t="s">
        <v>1439</v>
      </c>
      <c r="AS1210" t="s">
        <v>4255</v>
      </c>
      <c r="AT1210" t="s">
        <v>789</v>
      </c>
      <c r="AU1210" t="s">
        <v>2424</v>
      </c>
      <c r="AV1210" t="s">
        <v>892</v>
      </c>
      <c r="AW1210" t="s">
        <v>8358</v>
      </c>
      <c r="AX1210" t="s">
        <v>8209</v>
      </c>
      <c r="AY1210" t="s">
        <v>4214</v>
      </c>
      <c r="AZ1210" t="s">
        <v>12475</v>
      </c>
      <c r="BA1210">
        <v>2.17</v>
      </c>
      <c r="BB1210">
        <v>93.51</v>
      </c>
      <c r="BC1210">
        <v>0.4</v>
      </c>
      <c r="BD1210">
        <v>44.71</v>
      </c>
      <c r="BE1210">
        <v>44.98</v>
      </c>
      <c r="BF1210">
        <v>44.7</v>
      </c>
      <c r="BG1210" t="s">
        <v>15844</v>
      </c>
      <c r="BH1210" t="s">
        <v>15845</v>
      </c>
      <c r="BI1210" t="s">
        <v>15846</v>
      </c>
      <c r="BJ1210" t="s">
        <v>101</v>
      </c>
      <c r="BK1210" t="s">
        <v>2446</v>
      </c>
      <c r="BL1210" t="s">
        <v>716</v>
      </c>
      <c r="BM1210" t="s">
        <v>6527</v>
      </c>
      <c r="BN1210" t="s">
        <v>14623</v>
      </c>
    </row>
    <row r="1211" spans="1:66" x14ac:dyDescent="0.25">
      <c r="A1211" t="str">
        <f>HYPERLINK("https://elite.finviz.com/quote.ashx?t=SAM&amp;ty=c&amp;p=d&amp;b=1", "SAM")</f>
        <v>SAM</v>
      </c>
      <c r="B1211">
        <v>6</v>
      </c>
      <c r="C1211">
        <v>127.03</v>
      </c>
      <c r="D1211">
        <v>48.06</v>
      </c>
      <c r="E1211" t="s">
        <v>15847</v>
      </c>
      <c r="F1211" t="s">
        <v>107</v>
      </c>
      <c r="G1211" t="s">
        <v>2244</v>
      </c>
      <c r="H1211" t="s">
        <v>15848</v>
      </c>
      <c r="I1211" t="s">
        <v>70</v>
      </c>
      <c r="J1211" t="s">
        <v>71</v>
      </c>
      <c r="K1211">
        <v>2361.6</v>
      </c>
      <c r="L1211">
        <v>216.89</v>
      </c>
      <c r="M1211" t="s">
        <v>273</v>
      </c>
      <c r="N1211">
        <v>13991</v>
      </c>
      <c r="O1211">
        <v>30.54</v>
      </c>
      <c r="P1211">
        <v>20.239999999999998</v>
      </c>
      <c r="Q1211">
        <v>3.26</v>
      </c>
      <c r="R1211">
        <v>1.1499999999999999</v>
      </c>
      <c r="S1211">
        <v>2.6</v>
      </c>
      <c r="Z1211" t="s">
        <v>164</v>
      </c>
      <c r="AA1211">
        <v>7.1</v>
      </c>
      <c r="AB1211" t="s">
        <v>740</v>
      </c>
      <c r="AC1211" t="s">
        <v>15849</v>
      </c>
      <c r="AD1211" t="s">
        <v>827</v>
      </c>
      <c r="AE1211" t="s">
        <v>4547</v>
      </c>
      <c r="AF1211" t="s">
        <v>9084</v>
      </c>
      <c r="AG1211" t="s">
        <v>3962</v>
      </c>
      <c r="AH1211" t="s">
        <v>6056</v>
      </c>
      <c r="AI1211" t="s">
        <v>15850</v>
      </c>
      <c r="AJ1211" t="s">
        <v>7709</v>
      </c>
      <c r="AK1211" t="s">
        <v>15851</v>
      </c>
      <c r="AL1211">
        <v>1.76</v>
      </c>
      <c r="AM1211">
        <v>1.25</v>
      </c>
      <c r="AN1211">
        <v>0.05</v>
      </c>
      <c r="AO1211" t="s">
        <v>15852</v>
      </c>
      <c r="AP1211" t="s">
        <v>5460</v>
      </c>
      <c r="AQ1211" t="s">
        <v>2384</v>
      </c>
      <c r="AR1211" t="s">
        <v>648</v>
      </c>
      <c r="AS1211" t="s">
        <v>248</v>
      </c>
      <c r="AT1211" t="s">
        <v>2856</v>
      </c>
      <c r="AU1211" t="s">
        <v>2275</v>
      </c>
      <c r="AV1211" t="s">
        <v>1613</v>
      </c>
      <c r="AW1211" t="s">
        <v>3401</v>
      </c>
      <c r="AX1211" t="s">
        <v>3490</v>
      </c>
      <c r="AY1211" t="s">
        <v>10363</v>
      </c>
      <c r="AZ1211" t="s">
        <v>5046</v>
      </c>
      <c r="BA1211">
        <v>2.88</v>
      </c>
      <c r="BB1211">
        <v>265.17</v>
      </c>
      <c r="BC1211">
        <v>0.19</v>
      </c>
      <c r="BD1211">
        <v>214.46</v>
      </c>
      <c r="BE1211">
        <v>217.1</v>
      </c>
      <c r="BF1211">
        <v>215.17</v>
      </c>
      <c r="BG1211" t="s">
        <v>15853</v>
      </c>
      <c r="BH1211" t="s">
        <v>15854</v>
      </c>
      <c r="BI1211" t="s">
        <v>15855</v>
      </c>
      <c r="BJ1211" t="s">
        <v>101</v>
      </c>
      <c r="BK1211" t="s">
        <v>14993</v>
      </c>
      <c r="BL1211" t="s">
        <v>15856</v>
      </c>
      <c r="BM1211" t="s">
        <v>15857</v>
      </c>
      <c r="BN1211" t="s">
        <v>14623</v>
      </c>
    </row>
    <row r="1212" spans="1:66" x14ac:dyDescent="0.25">
      <c r="A1212" t="str">
        <f>HYPERLINK("https://elite.finviz.com/quote.ashx?t=DCOM&amp;ty=c&amp;p=d&amp;b=1", "DCOM")</f>
        <v>DCOM</v>
      </c>
      <c r="B1212">
        <v>6</v>
      </c>
      <c r="C1212">
        <v>127.03</v>
      </c>
      <c r="D1212">
        <v>48.06</v>
      </c>
      <c r="E1212" t="s">
        <v>15858</v>
      </c>
      <c r="F1212" t="s">
        <v>67</v>
      </c>
      <c r="G1212" t="s">
        <v>550</v>
      </c>
      <c r="H1212" t="s">
        <v>697</v>
      </c>
      <c r="I1212" t="s">
        <v>70</v>
      </c>
      <c r="J1212" t="s">
        <v>321</v>
      </c>
      <c r="K1212">
        <v>1320.68</v>
      </c>
      <c r="L1212">
        <v>30.09</v>
      </c>
      <c r="M1212" t="s">
        <v>3890</v>
      </c>
      <c r="N1212">
        <v>21243</v>
      </c>
      <c r="O1212">
        <v>35.65</v>
      </c>
      <c r="P1212">
        <v>8.17</v>
      </c>
      <c r="R1212">
        <v>2.02</v>
      </c>
      <c r="S1212">
        <v>1</v>
      </c>
      <c r="T1212" t="s">
        <v>4677</v>
      </c>
      <c r="U1212">
        <v>1</v>
      </c>
      <c r="V1212" t="s">
        <v>3662</v>
      </c>
      <c r="W1212" t="s">
        <v>4689</v>
      </c>
      <c r="X1212" t="s">
        <v>4856</v>
      </c>
      <c r="Y1212" t="s">
        <v>2217</v>
      </c>
      <c r="Z1212" t="s">
        <v>15859</v>
      </c>
      <c r="AA1212">
        <v>0.84</v>
      </c>
      <c r="AB1212" t="s">
        <v>15860</v>
      </c>
      <c r="AC1212" t="s">
        <v>15861</v>
      </c>
      <c r="AE1212" t="s">
        <v>6161</v>
      </c>
      <c r="AF1212" t="s">
        <v>10498</v>
      </c>
      <c r="AG1212" t="s">
        <v>7855</v>
      </c>
      <c r="AH1212" t="s">
        <v>2523</v>
      </c>
      <c r="AI1212" t="s">
        <v>1933</v>
      </c>
      <c r="AJ1212" t="s">
        <v>7270</v>
      </c>
      <c r="AK1212" t="s">
        <v>8964</v>
      </c>
      <c r="AL1212">
        <v>0.32</v>
      </c>
      <c r="AN1212">
        <v>0.57999999999999996</v>
      </c>
      <c r="AP1212" t="s">
        <v>845</v>
      </c>
      <c r="AQ1212" t="s">
        <v>1871</v>
      </c>
      <c r="AR1212" t="s">
        <v>4255</v>
      </c>
      <c r="AS1212" t="s">
        <v>352</v>
      </c>
      <c r="AT1212" t="s">
        <v>1119</v>
      </c>
      <c r="AU1212" t="s">
        <v>206</v>
      </c>
      <c r="AV1212" t="s">
        <v>2721</v>
      </c>
      <c r="AW1212" t="s">
        <v>8004</v>
      </c>
      <c r="AX1212" t="s">
        <v>2337</v>
      </c>
      <c r="AY1212" t="s">
        <v>15862</v>
      </c>
      <c r="AZ1212" t="s">
        <v>5184</v>
      </c>
      <c r="BA1212">
        <v>1</v>
      </c>
      <c r="BB1212">
        <v>236.51</v>
      </c>
      <c r="BC1212">
        <v>0.32</v>
      </c>
      <c r="BD1212">
        <v>30.18</v>
      </c>
      <c r="BE1212">
        <v>30.65</v>
      </c>
      <c r="BF1212">
        <v>29.97</v>
      </c>
      <c r="BG1212" t="s">
        <v>15863</v>
      </c>
      <c r="BH1212" t="s">
        <v>8914</v>
      </c>
      <c r="BI1212" t="s">
        <v>15864</v>
      </c>
      <c r="BJ1212" t="s">
        <v>101</v>
      </c>
      <c r="BK1212" t="s">
        <v>4835</v>
      </c>
      <c r="BL1212" t="s">
        <v>6075</v>
      </c>
      <c r="BM1212" t="s">
        <v>2967</v>
      </c>
      <c r="BN1212" t="s">
        <v>14623</v>
      </c>
    </row>
    <row r="1213" spans="1:66" x14ac:dyDescent="0.25">
      <c r="A1213" t="str">
        <f>HYPERLINK("https://elite.finviz.com/quote.ashx?t=FFBC&amp;ty=c&amp;p=d&amp;b=1", "FFBC")</f>
        <v>FFBC</v>
      </c>
      <c r="B1213">
        <v>6</v>
      </c>
      <c r="C1213">
        <v>127.03</v>
      </c>
      <c r="D1213">
        <v>48.08</v>
      </c>
      <c r="E1213" t="s">
        <v>15865</v>
      </c>
      <c r="F1213" t="s">
        <v>67</v>
      </c>
      <c r="G1213" t="s">
        <v>550</v>
      </c>
      <c r="H1213" t="s">
        <v>697</v>
      </c>
      <c r="I1213" t="s">
        <v>70</v>
      </c>
      <c r="J1213" t="s">
        <v>321</v>
      </c>
      <c r="K1213">
        <v>2459.92</v>
      </c>
      <c r="L1213">
        <v>25.69</v>
      </c>
      <c r="M1213" t="s">
        <v>1358</v>
      </c>
      <c r="N1213">
        <v>45878</v>
      </c>
      <c r="O1213">
        <v>10.29</v>
      </c>
      <c r="P1213">
        <v>8.1999999999999993</v>
      </c>
      <c r="R1213">
        <v>2</v>
      </c>
      <c r="S1213">
        <v>0.96</v>
      </c>
      <c r="T1213" t="s">
        <v>756</v>
      </c>
      <c r="U1213">
        <v>0.97</v>
      </c>
      <c r="V1213" t="s">
        <v>2187</v>
      </c>
      <c r="W1213" t="s">
        <v>3916</v>
      </c>
      <c r="X1213" t="s">
        <v>3871</v>
      </c>
      <c r="Y1213" t="s">
        <v>6117</v>
      </c>
      <c r="Z1213" t="s">
        <v>15866</v>
      </c>
      <c r="AA1213">
        <v>2.5</v>
      </c>
      <c r="AB1213" t="s">
        <v>2384</v>
      </c>
      <c r="AC1213" t="s">
        <v>2494</v>
      </c>
      <c r="AE1213" t="s">
        <v>4659</v>
      </c>
      <c r="AF1213" t="s">
        <v>5437</v>
      </c>
      <c r="AG1213" t="s">
        <v>5193</v>
      </c>
      <c r="AH1213" t="s">
        <v>2638</v>
      </c>
      <c r="AI1213" t="s">
        <v>5552</v>
      </c>
      <c r="AJ1213" t="s">
        <v>10958</v>
      </c>
      <c r="AK1213" t="s">
        <v>9657</v>
      </c>
      <c r="AL1213">
        <v>0.12</v>
      </c>
      <c r="AN1213">
        <v>0.42</v>
      </c>
      <c r="AP1213" t="s">
        <v>6973</v>
      </c>
      <c r="AQ1213" t="s">
        <v>13652</v>
      </c>
      <c r="AR1213" t="s">
        <v>2339</v>
      </c>
      <c r="AS1213" t="s">
        <v>1129</v>
      </c>
      <c r="AT1213" t="s">
        <v>4938</v>
      </c>
      <c r="AU1213" t="s">
        <v>3024</v>
      </c>
      <c r="AV1213" t="s">
        <v>3344</v>
      </c>
      <c r="AW1213" t="s">
        <v>4500</v>
      </c>
      <c r="AX1213" t="s">
        <v>3335</v>
      </c>
      <c r="AY1213" t="s">
        <v>5208</v>
      </c>
      <c r="AZ1213" t="s">
        <v>3860</v>
      </c>
      <c r="BA1213">
        <v>2.33</v>
      </c>
      <c r="BB1213">
        <v>465.78</v>
      </c>
      <c r="BC1213">
        <v>0.35</v>
      </c>
      <c r="BD1213">
        <v>25.81</v>
      </c>
      <c r="BE1213">
        <v>26.03</v>
      </c>
      <c r="BF1213">
        <v>25.68</v>
      </c>
      <c r="BG1213" t="s">
        <v>15867</v>
      </c>
      <c r="BH1213" t="s">
        <v>742</v>
      </c>
      <c r="BI1213" t="s">
        <v>15868</v>
      </c>
      <c r="BJ1213" t="s">
        <v>101</v>
      </c>
      <c r="BK1213" t="s">
        <v>2370</v>
      </c>
      <c r="BL1213" t="s">
        <v>4275</v>
      </c>
      <c r="BM1213" t="s">
        <v>2868</v>
      </c>
      <c r="BN1213" t="s">
        <v>14623</v>
      </c>
    </row>
    <row r="1214" spans="1:66" x14ac:dyDescent="0.25">
      <c r="A1214" t="str">
        <f>HYPERLINK("https://elite.finviz.com/quote.ashx?t=INV&amp;ty=c&amp;p=d&amp;b=1", "INV")</f>
        <v>INV</v>
      </c>
      <c r="B1214">
        <v>6</v>
      </c>
      <c r="C1214">
        <v>127.03</v>
      </c>
      <c r="D1214">
        <v>48.08</v>
      </c>
      <c r="E1214" t="s">
        <v>15869</v>
      </c>
      <c r="F1214" t="s">
        <v>107</v>
      </c>
      <c r="G1214" t="s">
        <v>550</v>
      </c>
      <c r="H1214" t="s">
        <v>2597</v>
      </c>
      <c r="I1214" t="s">
        <v>70</v>
      </c>
      <c r="J1214" t="s">
        <v>321</v>
      </c>
      <c r="K1214">
        <v>307.02</v>
      </c>
      <c r="L1214">
        <v>5.48</v>
      </c>
      <c r="M1214" t="s">
        <v>9500</v>
      </c>
      <c r="N1214">
        <v>30316</v>
      </c>
      <c r="R1214">
        <v>159.9</v>
      </c>
      <c r="S1214">
        <v>1.38</v>
      </c>
      <c r="AA1214">
        <v>-6.33</v>
      </c>
      <c r="AI1214" t="s">
        <v>15870</v>
      </c>
      <c r="AJ1214" t="s">
        <v>164</v>
      </c>
      <c r="AK1214" t="s">
        <v>4847</v>
      </c>
      <c r="AL1214">
        <v>0.28999999999999998</v>
      </c>
      <c r="AM1214">
        <v>0.2</v>
      </c>
      <c r="AN1214">
        <v>0.21</v>
      </c>
      <c r="AO1214" t="s">
        <v>15871</v>
      </c>
      <c r="AP1214" t="s">
        <v>15872</v>
      </c>
      <c r="AQ1214" t="s">
        <v>15873</v>
      </c>
      <c r="AR1214" t="s">
        <v>3171</v>
      </c>
      <c r="AS1214" t="s">
        <v>9280</v>
      </c>
      <c r="AT1214" t="s">
        <v>12333</v>
      </c>
      <c r="AU1214" t="s">
        <v>6075</v>
      </c>
      <c r="AV1214" t="s">
        <v>14402</v>
      </c>
      <c r="AW1214" t="s">
        <v>14451</v>
      </c>
      <c r="AX1214" t="s">
        <v>15874</v>
      </c>
      <c r="AY1214" t="s">
        <v>15875</v>
      </c>
      <c r="AZ1214" t="s">
        <v>15876</v>
      </c>
      <c r="BA1214">
        <v>1</v>
      </c>
      <c r="BB1214">
        <v>204.44</v>
      </c>
      <c r="BC1214">
        <v>0.53</v>
      </c>
      <c r="BD1214">
        <v>5.6</v>
      </c>
      <c r="BE1214">
        <v>5.8</v>
      </c>
      <c r="BF1214">
        <v>5.49</v>
      </c>
      <c r="BG1214" t="s">
        <v>15877</v>
      </c>
      <c r="BH1214" t="s">
        <v>15875</v>
      </c>
      <c r="BI1214" t="s">
        <v>15876</v>
      </c>
      <c r="BJ1214" t="s">
        <v>101</v>
      </c>
      <c r="BK1214" t="s">
        <v>6166</v>
      </c>
      <c r="BL1214" t="s">
        <v>13464</v>
      </c>
      <c r="BM1214" t="s">
        <v>1304</v>
      </c>
      <c r="BN1214" t="s">
        <v>14623</v>
      </c>
    </row>
    <row r="1215" spans="1:66" x14ac:dyDescent="0.25">
      <c r="A1215" t="str">
        <f>HYPERLINK("https://elite.finviz.com/quote.ashx?t=LPBB&amp;ty=c&amp;p=d&amp;b=1", "LPBB")</f>
        <v>LPBB</v>
      </c>
      <c r="B1215">
        <v>6</v>
      </c>
      <c r="C1215">
        <v>127.03</v>
      </c>
      <c r="D1215">
        <v>48.08</v>
      </c>
      <c r="E1215" t="s">
        <v>15878</v>
      </c>
      <c r="F1215" t="s">
        <v>107</v>
      </c>
      <c r="G1215" t="s">
        <v>550</v>
      </c>
      <c r="H1215" t="s">
        <v>2120</v>
      </c>
      <c r="I1215" t="s">
        <v>70</v>
      </c>
      <c r="J1215" t="s">
        <v>321</v>
      </c>
      <c r="K1215">
        <v>299.58</v>
      </c>
      <c r="L1215">
        <v>10.42</v>
      </c>
      <c r="M1215" t="s">
        <v>164</v>
      </c>
      <c r="N1215">
        <v>0</v>
      </c>
      <c r="O1215">
        <v>43.82</v>
      </c>
      <c r="S1215">
        <v>1.31</v>
      </c>
      <c r="Z1215" t="s">
        <v>164</v>
      </c>
      <c r="AA1215">
        <v>0.24</v>
      </c>
      <c r="AJ1215" t="s">
        <v>164</v>
      </c>
      <c r="AK1215" t="s">
        <v>15879</v>
      </c>
      <c r="AL1215">
        <v>9.69</v>
      </c>
      <c r="AM1215">
        <v>9.69</v>
      </c>
      <c r="AN1215">
        <v>0</v>
      </c>
      <c r="AR1215" t="s">
        <v>4237</v>
      </c>
      <c r="AS1215" t="s">
        <v>580</v>
      </c>
      <c r="AT1215" t="s">
        <v>5242</v>
      </c>
      <c r="AU1215" t="s">
        <v>3227</v>
      </c>
      <c r="AV1215" t="s">
        <v>2202</v>
      </c>
      <c r="AW1215" t="s">
        <v>2003</v>
      </c>
      <c r="AX1215" t="s">
        <v>6719</v>
      </c>
      <c r="AY1215" t="s">
        <v>2934</v>
      </c>
      <c r="AZ1215" t="s">
        <v>3066</v>
      </c>
      <c r="BB1215">
        <v>35.119999999999997</v>
      </c>
      <c r="BC1215">
        <v>0</v>
      </c>
      <c r="BD1215">
        <v>10.42</v>
      </c>
      <c r="BE1215">
        <v>10.42</v>
      </c>
      <c r="BF1215">
        <v>10.42</v>
      </c>
      <c r="BG1215" t="s">
        <v>15880</v>
      </c>
      <c r="BH1215" t="s">
        <v>2934</v>
      </c>
      <c r="BI1215" t="s">
        <v>3066</v>
      </c>
      <c r="BJ1215" t="s">
        <v>101</v>
      </c>
      <c r="BK1215" t="s">
        <v>3752</v>
      </c>
      <c r="BL1215" t="s">
        <v>162</v>
      </c>
      <c r="BN1215" t="s">
        <v>14623</v>
      </c>
    </row>
    <row r="1216" spans="1:66" x14ac:dyDescent="0.25">
      <c r="A1216" t="str">
        <f>HYPERLINK("https://elite.finviz.com/quote.ashx?t=MITK&amp;ty=c&amp;p=d&amp;b=1", "MITK")</f>
        <v>MITK</v>
      </c>
      <c r="B1216">
        <v>6</v>
      </c>
      <c r="C1216">
        <v>127.03</v>
      </c>
      <c r="D1216">
        <v>48.1</v>
      </c>
      <c r="E1216" t="s">
        <v>15881</v>
      </c>
      <c r="F1216" t="s">
        <v>67</v>
      </c>
      <c r="G1216" t="s">
        <v>108</v>
      </c>
      <c r="H1216" t="s">
        <v>136</v>
      </c>
      <c r="I1216" t="s">
        <v>70</v>
      </c>
      <c r="J1216" t="s">
        <v>321</v>
      </c>
      <c r="K1216">
        <v>453.76</v>
      </c>
      <c r="L1216">
        <v>9.94</v>
      </c>
      <c r="M1216" t="s">
        <v>406</v>
      </c>
      <c r="N1216">
        <v>79009</v>
      </c>
      <c r="O1216">
        <v>30.17</v>
      </c>
      <c r="P1216">
        <v>9.26</v>
      </c>
      <c r="Q1216">
        <v>6.08</v>
      </c>
      <c r="R1216">
        <v>2.5499999999999998</v>
      </c>
      <c r="S1216">
        <v>1.91</v>
      </c>
      <c r="Z1216" t="s">
        <v>164</v>
      </c>
      <c r="AA1216">
        <v>0.33</v>
      </c>
      <c r="AB1216" t="s">
        <v>6563</v>
      </c>
      <c r="AD1216" t="s">
        <v>4678</v>
      </c>
      <c r="AE1216" t="s">
        <v>9751</v>
      </c>
      <c r="AF1216" t="s">
        <v>8928</v>
      </c>
      <c r="AG1216" t="s">
        <v>1788</v>
      </c>
      <c r="AH1216" t="s">
        <v>2082</v>
      </c>
      <c r="AI1216" t="s">
        <v>4601</v>
      </c>
      <c r="AJ1216" t="s">
        <v>4396</v>
      </c>
      <c r="AK1216" t="s">
        <v>15882</v>
      </c>
      <c r="AL1216">
        <v>1.1399999999999999</v>
      </c>
      <c r="AM1216">
        <v>1.1399999999999999</v>
      </c>
      <c r="AN1216">
        <v>0.65</v>
      </c>
      <c r="AO1216" t="s">
        <v>13180</v>
      </c>
      <c r="AP1216" t="s">
        <v>11151</v>
      </c>
      <c r="AQ1216" t="s">
        <v>4867</v>
      </c>
      <c r="AR1216" t="s">
        <v>5780</v>
      </c>
      <c r="AS1216" t="s">
        <v>2146</v>
      </c>
      <c r="AT1216" t="s">
        <v>2899</v>
      </c>
      <c r="AU1216" t="s">
        <v>5692</v>
      </c>
      <c r="AV1216" t="s">
        <v>749</v>
      </c>
      <c r="AW1216" t="s">
        <v>7557</v>
      </c>
      <c r="AX1216" t="s">
        <v>7650</v>
      </c>
      <c r="AY1216" t="s">
        <v>6247</v>
      </c>
      <c r="AZ1216" t="s">
        <v>13183</v>
      </c>
      <c r="BA1216">
        <v>1.33</v>
      </c>
      <c r="BB1216">
        <v>402.93</v>
      </c>
      <c r="BC1216">
        <v>0.69</v>
      </c>
      <c r="BD1216">
        <v>9.94</v>
      </c>
      <c r="BE1216">
        <v>10.029999999999999</v>
      </c>
      <c r="BF1216">
        <v>9.91</v>
      </c>
      <c r="BG1216" t="s">
        <v>15883</v>
      </c>
      <c r="BH1216" t="s">
        <v>15884</v>
      </c>
      <c r="BI1216" t="s">
        <v>15885</v>
      </c>
      <c r="BJ1216" t="s">
        <v>101</v>
      </c>
      <c r="BK1216" t="s">
        <v>2864</v>
      </c>
      <c r="BL1216" t="s">
        <v>13765</v>
      </c>
      <c r="BM1216" t="s">
        <v>2733</v>
      </c>
      <c r="BN1216" t="s">
        <v>14623</v>
      </c>
    </row>
    <row r="1217" spans="1:66" x14ac:dyDescent="0.25">
      <c r="A1217" t="str">
        <f>HYPERLINK("https://elite.finviz.com/quote.ashx?t=JOB&amp;ty=c&amp;p=d&amp;b=1", "JOB")</f>
        <v>JOB</v>
      </c>
      <c r="B1217">
        <v>6</v>
      </c>
      <c r="C1217">
        <v>127.03</v>
      </c>
      <c r="D1217">
        <v>48.1</v>
      </c>
      <c r="E1217" t="s">
        <v>15886</v>
      </c>
      <c r="F1217" t="s">
        <v>107</v>
      </c>
      <c r="G1217" t="s">
        <v>260</v>
      </c>
      <c r="H1217" t="s">
        <v>8693</v>
      </c>
      <c r="I1217" t="s">
        <v>70</v>
      </c>
      <c r="J1217" t="s">
        <v>383</v>
      </c>
      <c r="K1217">
        <v>21.89</v>
      </c>
      <c r="L1217">
        <v>0.2</v>
      </c>
      <c r="M1217" t="s">
        <v>3937</v>
      </c>
      <c r="N1217">
        <v>50321</v>
      </c>
      <c r="R1217">
        <v>0.21</v>
      </c>
      <c r="S1217">
        <v>0.43</v>
      </c>
      <c r="V1217" t="s">
        <v>15887</v>
      </c>
      <c r="AA1217">
        <v>-0.33</v>
      </c>
      <c r="AC1217" t="s">
        <v>5457</v>
      </c>
      <c r="AE1217" t="s">
        <v>457</v>
      </c>
      <c r="AF1217" t="s">
        <v>2086</v>
      </c>
      <c r="AG1217" t="s">
        <v>11567</v>
      </c>
      <c r="AH1217" t="s">
        <v>8144</v>
      </c>
      <c r="AJ1217" t="s">
        <v>164</v>
      </c>
      <c r="AK1217" t="s">
        <v>11392</v>
      </c>
      <c r="AL1217">
        <v>4.1900000000000004</v>
      </c>
      <c r="AM1217">
        <v>4.1900000000000004</v>
      </c>
      <c r="AN1217">
        <v>7.0000000000000007E-2</v>
      </c>
      <c r="AO1217" t="s">
        <v>9001</v>
      </c>
      <c r="AP1217" t="s">
        <v>5309</v>
      </c>
      <c r="AQ1217" t="s">
        <v>12054</v>
      </c>
      <c r="AR1217" t="s">
        <v>4907</v>
      </c>
      <c r="AS1217" t="s">
        <v>165</v>
      </c>
      <c r="AT1217" t="s">
        <v>4507</v>
      </c>
      <c r="AU1217" t="s">
        <v>4150</v>
      </c>
      <c r="AV1217" t="s">
        <v>7468</v>
      </c>
      <c r="AW1217" t="s">
        <v>15888</v>
      </c>
      <c r="AX1217" t="s">
        <v>3054</v>
      </c>
      <c r="AY1217" t="s">
        <v>15889</v>
      </c>
      <c r="AZ1217" t="s">
        <v>1552</v>
      </c>
      <c r="BA1217">
        <v>1</v>
      </c>
      <c r="BB1217">
        <v>192.67</v>
      </c>
      <c r="BC1217">
        <v>0.92</v>
      </c>
      <c r="BD1217">
        <v>0.2</v>
      </c>
      <c r="BE1217">
        <v>0.21</v>
      </c>
      <c r="BF1217">
        <v>0.2</v>
      </c>
      <c r="BG1217" t="s">
        <v>15890</v>
      </c>
      <c r="BH1217" t="s">
        <v>1432</v>
      </c>
      <c r="BI1217" t="s">
        <v>3128</v>
      </c>
      <c r="BJ1217" t="s">
        <v>101</v>
      </c>
      <c r="BK1217" t="s">
        <v>13522</v>
      </c>
      <c r="BL1217" t="s">
        <v>4237</v>
      </c>
      <c r="BM1217" t="s">
        <v>7960</v>
      </c>
      <c r="BN1217" t="s">
        <v>14623</v>
      </c>
    </row>
    <row r="1218" spans="1:66" x14ac:dyDescent="0.25">
      <c r="A1218" t="str">
        <f>HYPERLINK("https://elite.finviz.com/quote.ashx?t=PBBK&amp;ty=c&amp;p=d&amp;b=1", "PBBK")</f>
        <v>PBBK</v>
      </c>
      <c r="B1218">
        <v>6</v>
      </c>
      <c r="C1218">
        <v>127.03</v>
      </c>
      <c r="D1218">
        <v>48.11</v>
      </c>
      <c r="E1218" t="s">
        <v>15891</v>
      </c>
      <c r="F1218" t="s">
        <v>107</v>
      </c>
      <c r="G1218" t="s">
        <v>550</v>
      </c>
      <c r="H1218" t="s">
        <v>697</v>
      </c>
      <c r="I1218" t="s">
        <v>70</v>
      </c>
      <c r="J1218" t="s">
        <v>321</v>
      </c>
      <c r="K1218">
        <v>49.52</v>
      </c>
      <c r="L1218">
        <v>19.27</v>
      </c>
      <c r="M1218" t="s">
        <v>4828</v>
      </c>
      <c r="N1218">
        <v>503</v>
      </c>
      <c r="O1218">
        <v>20.57</v>
      </c>
      <c r="R1218">
        <v>1.97</v>
      </c>
      <c r="S1218">
        <v>0.91</v>
      </c>
      <c r="Z1218" t="s">
        <v>164</v>
      </c>
      <c r="AA1218">
        <v>0.94</v>
      </c>
      <c r="AB1218" t="s">
        <v>5908</v>
      </c>
      <c r="AC1218" t="s">
        <v>11147</v>
      </c>
      <c r="AE1218" t="s">
        <v>177</v>
      </c>
      <c r="AF1218" t="s">
        <v>7097</v>
      </c>
      <c r="AG1218" t="s">
        <v>10797</v>
      </c>
      <c r="AH1218" t="s">
        <v>7150</v>
      </c>
      <c r="AJ1218" t="s">
        <v>149</v>
      </c>
      <c r="AK1218" t="s">
        <v>12847</v>
      </c>
      <c r="AL1218">
        <v>38.25</v>
      </c>
      <c r="AN1218">
        <v>0.87</v>
      </c>
      <c r="AP1218" t="s">
        <v>1775</v>
      </c>
      <c r="AQ1218" t="s">
        <v>776</v>
      </c>
      <c r="AR1218" t="s">
        <v>908</v>
      </c>
      <c r="AS1218" t="s">
        <v>2195</v>
      </c>
      <c r="AT1218" t="s">
        <v>6265</v>
      </c>
      <c r="AU1218" t="s">
        <v>5116</v>
      </c>
      <c r="AV1218" t="s">
        <v>10359</v>
      </c>
      <c r="AW1218" t="s">
        <v>552</v>
      </c>
      <c r="AX1218" t="s">
        <v>3745</v>
      </c>
      <c r="AY1218" t="s">
        <v>552</v>
      </c>
      <c r="AZ1218" t="s">
        <v>6379</v>
      </c>
      <c r="BB1218">
        <v>17.2</v>
      </c>
      <c r="BC1218">
        <v>0.1</v>
      </c>
      <c r="BD1218">
        <v>19.489999999999998</v>
      </c>
      <c r="BE1218">
        <v>19.55</v>
      </c>
      <c r="BF1218">
        <v>19.55</v>
      </c>
      <c r="BG1218" t="s">
        <v>15892</v>
      </c>
      <c r="BH1218" t="s">
        <v>552</v>
      </c>
      <c r="BI1218" t="s">
        <v>15893</v>
      </c>
      <c r="BJ1218" t="s">
        <v>101</v>
      </c>
      <c r="BK1218" t="s">
        <v>2869</v>
      </c>
      <c r="BL1218" t="s">
        <v>3390</v>
      </c>
      <c r="BM1218" t="s">
        <v>15894</v>
      </c>
      <c r="BN1218" t="s">
        <v>14623</v>
      </c>
    </row>
    <row r="1219" spans="1:66" x14ac:dyDescent="0.25">
      <c r="A1219" t="str">
        <f>HYPERLINK("https://elite.finviz.com/quote.ashx?t=SAFX&amp;ty=c&amp;p=d&amp;b=1", "SAFX")</f>
        <v>SAFX</v>
      </c>
      <c r="B1219">
        <v>6</v>
      </c>
      <c r="C1219">
        <v>127.03</v>
      </c>
      <c r="D1219">
        <v>48.11</v>
      </c>
      <c r="E1219" t="s">
        <v>15895</v>
      </c>
      <c r="F1219" t="s">
        <v>67</v>
      </c>
      <c r="G1219" t="s">
        <v>287</v>
      </c>
      <c r="H1219" t="s">
        <v>288</v>
      </c>
      <c r="I1219" t="s">
        <v>70</v>
      </c>
      <c r="J1219" t="s">
        <v>321</v>
      </c>
      <c r="K1219">
        <v>207.48</v>
      </c>
      <c r="L1219">
        <v>1.39</v>
      </c>
      <c r="M1219" t="s">
        <v>7154</v>
      </c>
      <c r="N1219">
        <v>67534</v>
      </c>
      <c r="S1219">
        <v>2.34</v>
      </c>
      <c r="AA1219">
        <v>-0.56999999999999995</v>
      </c>
      <c r="AJ1219" t="s">
        <v>164</v>
      </c>
      <c r="AK1219" t="s">
        <v>3551</v>
      </c>
      <c r="AL1219">
        <v>0</v>
      </c>
      <c r="AM1219">
        <v>0</v>
      </c>
      <c r="AN1219">
        <v>0.28999999999999998</v>
      </c>
      <c r="AR1219" t="s">
        <v>6956</v>
      </c>
      <c r="AS1219" t="s">
        <v>4913</v>
      </c>
      <c r="AT1219" t="s">
        <v>2424</v>
      </c>
      <c r="AU1219" t="s">
        <v>8979</v>
      </c>
      <c r="AV1219" t="s">
        <v>15896</v>
      </c>
      <c r="AW1219" t="s">
        <v>11357</v>
      </c>
      <c r="AX1219" t="s">
        <v>2387</v>
      </c>
      <c r="AY1219" t="s">
        <v>15897</v>
      </c>
      <c r="AZ1219" t="s">
        <v>2387</v>
      </c>
      <c r="BB1219">
        <v>2735.62</v>
      </c>
      <c r="BC1219">
        <v>0.09</v>
      </c>
      <c r="BD1219">
        <v>1.35</v>
      </c>
      <c r="BE1219">
        <v>1.43</v>
      </c>
      <c r="BF1219">
        <v>1.38</v>
      </c>
      <c r="BG1219" t="s">
        <v>15898</v>
      </c>
      <c r="BH1219" t="s">
        <v>15897</v>
      </c>
      <c r="BI1219" t="s">
        <v>2387</v>
      </c>
      <c r="BJ1219" t="s">
        <v>101</v>
      </c>
      <c r="BK1219" t="s">
        <v>15899</v>
      </c>
      <c r="BL1219" t="s">
        <v>15900</v>
      </c>
      <c r="BM1219" t="s">
        <v>15901</v>
      </c>
      <c r="BN1219" t="s">
        <v>15902</v>
      </c>
    </row>
    <row r="1220" spans="1:66" x14ac:dyDescent="0.25">
      <c r="A1220" t="str">
        <f>HYPERLINK("https://elite.finviz.com/quote.ashx?t=FMAO&amp;ty=c&amp;p=d&amp;b=1", "FMAO")</f>
        <v>FMAO</v>
      </c>
      <c r="B1220">
        <v>6</v>
      </c>
      <c r="C1220">
        <v>127.03</v>
      </c>
      <c r="D1220">
        <v>48.12</v>
      </c>
      <c r="E1220" t="s">
        <v>15903</v>
      </c>
      <c r="F1220" t="s">
        <v>67</v>
      </c>
      <c r="G1220" t="s">
        <v>550</v>
      </c>
      <c r="H1220" t="s">
        <v>697</v>
      </c>
      <c r="I1220" t="s">
        <v>70</v>
      </c>
      <c r="J1220" t="s">
        <v>321</v>
      </c>
      <c r="K1220">
        <v>352.64</v>
      </c>
      <c r="L1220">
        <v>25.69</v>
      </c>
      <c r="M1220" t="s">
        <v>2638</v>
      </c>
      <c r="N1220">
        <v>2972</v>
      </c>
      <c r="O1220">
        <v>12.03</v>
      </c>
      <c r="P1220">
        <v>10.55</v>
      </c>
      <c r="R1220">
        <v>1.92</v>
      </c>
      <c r="S1220">
        <v>1.01</v>
      </c>
      <c r="T1220" t="s">
        <v>4394</v>
      </c>
      <c r="U1220">
        <v>0.88</v>
      </c>
      <c r="V1220" t="s">
        <v>15904</v>
      </c>
      <c r="W1220" t="s">
        <v>2822</v>
      </c>
      <c r="X1220" t="s">
        <v>699</v>
      </c>
      <c r="Y1220" t="s">
        <v>929</v>
      </c>
      <c r="Z1220" t="s">
        <v>10754</v>
      </c>
      <c r="AA1220">
        <v>2.14</v>
      </c>
      <c r="AB1220" t="s">
        <v>3559</v>
      </c>
      <c r="AC1220" t="s">
        <v>4658</v>
      </c>
      <c r="AE1220" t="s">
        <v>863</v>
      </c>
      <c r="AF1220" t="s">
        <v>4467</v>
      </c>
      <c r="AG1220" t="s">
        <v>7082</v>
      </c>
      <c r="AH1220" t="s">
        <v>3496</v>
      </c>
      <c r="AI1220" t="s">
        <v>1009</v>
      </c>
      <c r="AJ1220" t="s">
        <v>2215</v>
      </c>
      <c r="AK1220" t="s">
        <v>15905</v>
      </c>
      <c r="AL1220">
        <v>7.0000000000000007E-2</v>
      </c>
      <c r="AN1220">
        <v>0.72</v>
      </c>
      <c r="AP1220" t="s">
        <v>10384</v>
      </c>
      <c r="AQ1220" t="s">
        <v>9860</v>
      </c>
      <c r="AR1220" t="s">
        <v>4687</v>
      </c>
      <c r="AS1220" t="s">
        <v>7088</v>
      </c>
      <c r="AT1220" t="s">
        <v>1864</v>
      </c>
      <c r="AU1220" t="s">
        <v>4794</v>
      </c>
      <c r="AV1220" t="s">
        <v>6719</v>
      </c>
      <c r="AW1220" t="s">
        <v>3509</v>
      </c>
      <c r="AX1220" t="s">
        <v>6068</v>
      </c>
      <c r="AY1220" t="s">
        <v>15906</v>
      </c>
      <c r="AZ1220" t="s">
        <v>15907</v>
      </c>
      <c r="BA1220">
        <v>3</v>
      </c>
      <c r="BB1220">
        <v>23.45</v>
      </c>
      <c r="BC1220">
        <v>0.45</v>
      </c>
      <c r="BD1220">
        <v>25.72</v>
      </c>
      <c r="BE1220">
        <v>25.06</v>
      </c>
      <c r="BF1220">
        <v>25.06</v>
      </c>
      <c r="BG1220" t="s">
        <v>15908</v>
      </c>
      <c r="BH1220" t="s">
        <v>6442</v>
      </c>
      <c r="BI1220" t="s">
        <v>15909</v>
      </c>
      <c r="BJ1220" t="s">
        <v>101</v>
      </c>
      <c r="BK1220" t="s">
        <v>5116</v>
      </c>
      <c r="BL1220" t="s">
        <v>3519</v>
      </c>
      <c r="BM1220" t="s">
        <v>5567</v>
      </c>
      <c r="BN1220" t="s">
        <v>14623</v>
      </c>
    </row>
    <row r="1221" spans="1:66" x14ac:dyDescent="0.25">
      <c r="A1221" t="str">
        <f>HYPERLINK("https://elite.finviz.com/quote.ashx?t=FMNB&amp;ty=c&amp;p=d&amp;b=1", "FMNB")</f>
        <v>FMNB</v>
      </c>
      <c r="B1221">
        <v>6</v>
      </c>
      <c r="C1221">
        <v>127.03</v>
      </c>
      <c r="D1221">
        <v>48.13</v>
      </c>
      <c r="E1221" t="s">
        <v>15910</v>
      </c>
      <c r="F1221" t="s">
        <v>67</v>
      </c>
      <c r="G1221" t="s">
        <v>550</v>
      </c>
      <c r="H1221" t="s">
        <v>697</v>
      </c>
      <c r="I1221" t="s">
        <v>70</v>
      </c>
      <c r="J1221" t="s">
        <v>321</v>
      </c>
      <c r="K1221">
        <v>548.51</v>
      </c>
      <c r="L1221">
        <v>14.57</v>
      </c>
      <c r="M1221" t="s">
        <v>2468</v>
      </c>
      <c r="N1221">
        <v>12137</v>
      </c>
      <c r="O1221">
        <v>10.87</v>
      </c>
      <c r="P1221">
        <v>8.42</v>
      </c>
      <c r="R1221">
        <v>1.98</v>
      </c>
      <c r="S1221">
        <v>1.25</v>
      </c>
      <c r="T1221" t="s">
        <v>5907</v>
      </c>
      <c r="U1221">
        <v>0.68</v>
      </c>
      <c r="V1221" t="s">
        <v>2620</v>
      </c>
      <c r="W1221" t="s">
        <v>164</v>
      </c>
      <c r="X1221" t="s">
        <v>6202</v>
      </c>
      <c r="Y1221" t="s">
        <v>9736</v>
      </c>
      <c r="Z1221" t="s">
        <v>15911</v>
      </c>
      <c r="AA1221">
        <v>1.34</v>
      </c>
      <c r="AB1221" t="s">
        <v>10222</v>
      </c>
      <c r="AC1221" t="s">
        <v>3027</v>
      </c>
      <c r="AE1221" t="s">
        <v>4686</v>
      </c>
      <c r="AF1221" t="s">
        <v>7381</v>
      </c>
      <c r="AG1221" t="s">
        <v>6875</v>
      </c>
      <c r="AH1221" t="s">
        <v>3887</v>
      </c>
      <c r="AI1221" t="s">
        <v>4856</v>
      </c>
      <c r="AJ1221" t="s">
        <v>406</v>
      </c>
      <c r="AK1221" t="s">
        <v>4895</v>
      </c>
      <c r="AL1221">
        <v>0.08</v>
      </c>
      <c r="AN1221">
        <v>0.68</v>
      </c>
      <c r="AP1221" t="s">
        <v>4771</v>
      </c>
      <c r="AQ1221" t="s">
        <v>4084</v>
      </c>
      <c r="AR1221" t="s">
        <v>2202</v>
      </c>
      <c r="AS1221" t="s">
        <v>3118</v>
      </c>
      <c r="AT1221" t="s">
        <v>9498</v>
      </c>
      <c r="AU1221" t="s">
        <v>1760</v>
      </c>
      <c r="AV1221" t="s">
        <v>5659</v>
      </c>
      <c r="AW1221" t="s">
        <v>8156</v>
      </c>
      <c r="AX1221" t="s">
        <v>2656</v>
      </c>
      <c r="AY1221" t="s">
        <v>7151</v>
      </c>
      <c r="AZ1221" t="s">
        <v>10360</v>
      </c>
      <c r="BA1221">
        <v>2.5</v>
      </c>
      <c r="BB1221">
        <v>102.4</v>
      </c>
      <c r="BC1221">
        <v>0.42</v>
      </c>
      <c r="BD1221">
        <v>14.6</v>
      </c>
      <c r="BE1221">
        <v>14.69</v>
      </c>
      <c r="BF1221">
        <v>14.53</v>
      </c>
      <c r="BG1221" t="s">
        <v>15912</v>
      </c>
      <c r="BH1221" t="s">
        <v>15913</v>
      </c>
      <c r="BI1221" t="s">
        <v>15914</v>
      </c>
      <c r="BJ1221" t="s">
        <v>101</v>
      </c>
      <c r="BK1221" t="s">
        <v>2174</v>
      </c>
      <c r="BL1221" t="s">
        <v>9718</v>
      </c>
      <c r="BM1221" t="s">
        <v>9085</v>
      </c>
      <c r="BN1221" t="s">
        <v>14623</v>
      </c>
    </row>
    <row r="1222" spans="1:66" x14ac:dyDescent="0.25">
      <c r="A1222" t="str">
        <f>HYPERLINK("https://elite.finviz.com/quote.ashx?t=THRM&amp;ty=c&amp;p=d&amp;b=1", "THRM")</f>
        <v>THRM</v>
      </c>
      <c r="B1222">
        <v>6</v>
      </c>
      <c r="C1222">
        <v>127.03</v>
      </c>
      <c r="D1222">
        <v>48.15</v>
      </c>
      <c r="E1222" t="s">
        <v>15915</v>
      </c>
      <c r="F1222" t="s">
        <v>67</v>
      </c>
      <c r="G1222" t="s">
        <v>813</v>
      </c>
      <c r="H1222" t="s">
        <v>814</v>
      </c>
      <c r="I1222" t="s">
        <v>70</v>
      </c>
      <c r="J1222" t="s">
        <v>321</v>
      </c>
      <c r="K1222">
        <v>1065.67</v>
      </c>
      <c r="L1222">
        <v>34.92</v>
      </c>
      <c r="M1222" t="s">
        <v>698</v>
      </c>
      <c r="N1222">
        <v>19560</v>
      </c>
      <c r="O1222">
        <v>34.44</v>
      </c>
      <c r="P1222">
        <v>13.53</v>
      </c>
      <c r="R1222">
        <v>0.73</v>
      </c>
      <c r="S1222">
        <v>1.52</v>
      </c>
      <c r="Z1222" t="s">
        <v>164</v>
      </c>
      <c r="AA1222">
        <v>1.01</v>
      </c>
      <c r="AB1222" t="s">
        <v>119</v>
      </c>
      <c r="AC1222" t="s">
        <v>8852</v>
      </c>
      <c r="AE1222" t="s">
        <v>241</v>
      </c>
      <c r="AF1222" t="s">
        <v>8209</v>
      </c>
      <c r="AG1222" t="s">
        <v>418</v>
      </c>
      <c r="AH1222" t="s">
        <v>4955</v>
      </c>
      <c r="AI1222" t="s">
        <v>7230</v>
      </c>
      <c r="AJ1222" t="s">
        <v>7388</v>
      </c>
      <c r="AK1222" t="s">
        <v>15916</v>
      </c>
      <c r="AL1222">
        <v>2.0099999999999998</v>
      </c>
      <c r="AM1222">
        <v>1.35</v>
      </c>
      <c r="AN1222">
        <v>0.39</v>
      </c>
      <c r="AO1222" t="s">
        <v>15917</v>
      </c>
      <c r="AP1222" t="s">
        <v>417</v>
      </c>
      <c r="AQ1222" t="s">
        <v>3544</v>
      </c>
      <c r="AR1222" t="s">
        <v>2822</v>
      </c>
      <c r="AS1222" t="s">
        <v>6118</v>
      </c>
      <c r="AT1222" t="s">
        <v>6597</v>
      </c>
      <c r="AU1222" t="s">
        <v>3013</v>
      </c>
      <c r="AV1222" t="s">
        <v>417</v>
      </c>
      <c r="AW1222" t="s">
        <v>15918</v>
      </c>
      <c r="AX1222" t="s">
        <v>6387</v>
      </c>
      <c r="AY1222" t="s">
        <v>15919</v>
      </c>
      <c r="AZ1222" t="s">
        <v>5541</v>
      </c>
      <c r="BA1222">
        <v>2</v>
      </c>
      <c r="BB1222">
        <v>263.95999999999998</v>
      </c>
      <c r="BC1222">
        <v>0.26</v>
      </c>
      <c r="BD1222">
        <v>34.81</v>
      </c>
      <c r="BE1222">
        <v>35.119999999999997</v>
      </c>
      <c r="BF1222">
        <v>34.58</v>
      </c>
      <c r="BG1222" t="s">
        <v>15920</v>
      </c>
      <c r="BH1222" t="s">
        <v>15921</v>
      </c>
      <c r="BI1222" t="s">
        <v>15922</v>
      </c>
      <c r="BJ1222" t="s">
        <v>101</v>
      </c>
      <c r="BK1222" t="s">
        <v>11147</v>
      </c>
      <c r="BL1222" t="s">
        <v>8239</v>
      </c>
      <c r="BM1222" t="s">
        <v>8011</v>
      </c>
      <c r="BN1222" t="s">
        <v>14623</v>
      </c>
    </row>
    <row r="1223" spans="1:66" x14ac:dyDescent="0.25">
      <c r="A1223" t="str">
        <f>HYPERLINK("https://elite.finviz.com/quote.ashx?t=CUBI&amp;ty=c&amp;p=d&amp;b=1", "CUBI")</f>
        <v>CUBI</v>
      </c>
      <c r="B1223">
        <v>6</v>
      </c>
      <c r="C1223">
        <v>127.03</v>
      </c>
      <c r="D1223">
        <v>48.15</v>
      </c>
      <c r="E1223" t="s">
        <v>15923</v>
      </c>
      <c r="F1223" t="s">
        <v>67</v>
      </c>
      <c r="G1223" t="s">
        <v>550</v>
      </c>
      <c r="H1223" t="s">
        <v>697</v>
      </c>
      <c r="I1223" t="s">
        <v>70</v>
      </c>
      <c r="J1223" t="s">
        <v>71</v>
      </c>
      <c r="K1223">
        <v>2255.15</v>
      </c>
      <c r="L1223">
        <v>66.680000000000007</v>
      </c>
      <c r="M1223" t="s">
        <v>2294</v>
      </c>
      <c r="N1223">
        <v>48111</v>
      </c>
      <c r="O1223">
        <v>16.489999999999998</v>
      </c>
      <c r="P1223">
        <v>8.89</v>
      </c>
      <c r="R1223">
        <v>1.65</v>
      </c>
      <c r="S1223">
        <v>1.18</v>
      </c>
      <c r="Z1223" t="s">
        <v>164</v>
      </c>
      <c r="AA1223">
        <v>4.04</v>
      </c>
      <c r="AB1223" t="s">
        <v>4789</v>
      </c>
      <c r="AC1223" t="s">
        <v>8241</v>
      </c>
      <c r="AE1223" t="s">
        <v>11163</v>
      </c>
      <c r="AF1223" t="s">
        <v>7399</v>
      </c>
      <c r="AG1223" t="s">
        <v>10006</v>
      </c>
      <c r="AH1223" t="s">
        <v>8985</v>
      </c>
      <c r="AI1223" t="s">
        <v>9097</v>
      </c>
      <c r="AJ1223" t="s">
        <v>164</v>
      </c>
      <c r="AK1223" t="s">
        <v>8075</v>
      </c>
      <c r="AL1223">
        <v>0.33</v>
      </c>
      <c r="AN1223">
        <v>0.81</v>
      </c>
      <c r="AP1223" t="s">
        <v>2163</v>
      </c>
      <c r="AQ1223" t="s">
        <v>3230</v>
      </c>
      <c r="AR1223" t="s">
        <v>4976</v>
      </c>
      <c r="AS1223" t="s">
        <v>715</v>
      </c>
      <c r="AT1223" t="s">
        <v>4431</v>
      </c>
      <c r="AU1223" t="s">
        <v>227</v>
      </c>
      <c r="AV1223" t="s">
        <v>7913</v>
      </c>
      <c r="AW1223" t="s">
        <v>8251</v>
      </c>
      <c r="AX1223" t="s">
        <v>2019</v>
      </c>
      <c r="AY1223" t="s">
        <v>8251</v>
      </c>
      <c r="AZ1223" t="s">
        <v>3572</v>
      </c>
      <c r="BA1223">
        <v>1.75</v>
      </c>
      <c r="BB1223">
        <v>380.14</v>
      </c>
      <c r="BC1223">
        <v>0.45</v>
      </c>
      <c r="BD1223">
        <v>66.83</v>
      </c>
      <c r="BE1223">
        <v>67</v>
      </c>
      <c r="BF1223">
        <v>66.67</v>
      </c>
      <c r="BG1223" t="s">
        <v>15924</v>
      </c>
      <c r="BH1223" t="s">
        <v>14774</v>
      </c>
      <c r="BI1223" t="s">
        <v>15925</v>
      </c>
      <c r="BJ1223" t="s">
        <v>101</v>
      </c>
      <c r="BK1223" t="s">
        <v>7883</v>
      </c>
      <c r="BL1223" t="s">
        <v>8003</v>
      </c>
      <c r="BM1223" t="s">
        <v>15926</v>
      </c>
      <c r="BN1223" t="s">
        <v>14623</v>
      </c>
    </row>
    <row r="1224" spans="1:66" x14ac:dyDescent="0.25">
      <c r="A1224" t="str">
        <f>HYPERLINK("https://elite.finviz.com/quote.ashx?t=BODI&amp;ty=c&amp;p=d&amp;b=1", "BODI")</f>
        <v>BODI</v>
      </c>
      <c r="B1224">
        <v>6</v>
      </c>
      <c r="C1224">
        <v>127.03</v>
      </c>
      <c r="D1224">
        <v>48.17</v>
      </c>
      <c r="E1224" t="s">
        <v>15927</v>
      </c>
      <c r="F1224" t="s">
        <v>107</v>
      </c>
      <c r="G1224" t="s">
        <v>598</v>
      </c>
      <c r="H1224" t="s">
        <v>599</v>
      </c>
      <c r="I1224" t="s">
        <v>70</v>
      </c>
      <c r="J1224" t="s">
        <v>321</v>
      </c>
      <c r="K1224">
        <v>41.49</v>
      </c>
      <c r="L1224">
        <v>5.87</v>
      </c>
      <c r="M1224" t="s">
        <v>4809</v>
      </c>
      <c r="N1224">
        <v>1853</v>
      </c>
      <c r="R1224">
        <v>0.13</v>
      </c>
      <c r="S1224">
        <v>2.06</v>
      </c>
      <c r="AA1224">
        <v>-8.48</v>
      </c>
      <c r="AB1224" t="s">
        <v>10344</v>
      </c>
      <c r="AC1224" t="s">
        <v>7726</v>
      </c>
      <c r="AE1224" t="s">
        <v>15928</v>
      </c>
      <c r="AF1224" t="s">
        <v>2930</v>
      </c>
      <c r="AG1224" t="s">
        <v>6816</v>
      </c>
      <c r="AH1224" t="s">
        <v>9942</v>
      </c>
      <c r="AI1224" t="s">
        <v>3857</v>
      </c>
      <c r="AJ1224" t="s">
        <v>164</v>
      </c>
      <c r="AK1224" t="s">
        <v>2825</v>
      </c>
      <c r="AL1224">
        <v>0.51</v>
      </c>
      <c r="AM1224">
        <v>0.39</v>
      </c>
      <c r="AN1224">
        <v>1.29</v>
      </c>
      <c r="AO1224" t="s">
        <v>5515</v>
      </c>
      <c r="AP1224" t="s">
        <v>468</v>
      </c>
      <c r="AQ1224" t="s">
        <v>15929</v>
      </c>
      <c r="AR1224" t="s">
        <v>2492</v>
      </c>
      <c r="AS1224" t="s">
        <v>3818</v>
      </c>
      <c r="AT1224" t="s">
        <v>1465</v>
      </c>
      <c r="AU1224" t="s">
        <v>9123</v>
      </c>
      <c r="AV1224" t="s">
        <v>3949</v>
      </c>
      <c r="AW1224" t="s">
        <v>7793</v>
      </c>
      <c r="AX1224" t="s">
        <v>11765</v>
      </c>
      <c r="AY1224" t="s">
        <v>3567</v>
      </c>
      <c r="AZ1224" t="s">
        <v>5047</v>
      </c>
      <c r="BA1224">
        <v>2</v>
      </c>
      <c r="BB1224">
        <v>19.97</v>
      </c>
      <c r="BC1224">
        <v>0.33</v>
      </c>
      <c r="BD1224">
        <v>5.9</v>
      </c>
      <c r="BE1224">
        <v>5.99</v>
      </c>
      <c r="BF1224">
        <v>5.85</v>
      </c>
      <c r="BG1224" t="s">
        <v>15930</v>
      </c>
      <c r="BH1224" t="s">
        <v>2550</v>
      </c>
      <c r="BI1224" t="s">
        <v>5047</v>
      </c>
      <c r="BJ1224" t="s">
        <v>101</v>
      </c>
      <c r="BK1224" t="s">
        <v>15931</v>
      </c>
      <c r="BL1224" t="s">
        <v>15932</v>
      </c>
      <c r="BM1224" t="s">
        <v>1444</v>
      </c>
      <c r="BN1224" t="s">
        <v>14623</v>
      </c>
    </row>
    <row r="1225" spans="1:66" x14ac:dyDescent="0.25">
      <c r="A1225" t="str">
        <f>HYPERLINK("https://elite.finviz.com/quote.ashx?t=FFWM&amp;ty=c&amp;p=d&amp;b=1", "FFWM")</f>
        <v>FFWM</v>
      </c>
      <c r="B1225">
        <v>6</v>
      </c>
      <c r="C1225">
        <v>127.03</v>
      </c>
      <c r="D1225">
        <v>48.22</v>
      </c>
      <c r="E1225" t="s">
        <v>15933</v>
      </c>
      <c r="F1225" t="s">
        <v>67</v>
      </c>
      <c r="G1225" t="s">
        <v>550</v>
      </c>
      <c r="H1225" t="s">
        <v>697</v>
      </c>
      <c r="I1225" t="s">
        <v>70</v>
      </c>
      <c r="J1225" t="s">
        <v>71</v>
      </c>
      <c r="K1225">
        <v>472.38</v>
      </c>
      <c r="L1225">
        <v>5.73</v>
      </c>
      <c r="M1225" t="s">
        <v>5789</v>
      </c>
      <c r="N1225">
        <v>61521</v>
      </c>
      <c r="P1225">
        <v>18.260000000000002</v>
      </c>
      <c r="R1225">
        <v>0.74</v>
      </c>
      <c r="S1225">
        <v>0.49</v>
      </c>
      <c r="T1225" t="s">
        <v>2646</v>
      </c>
      <c r="V1225" t="s">
        <v>15934</v>
      </c>
      <c r="AA1225">
        <v>-1.41</v>
      </c>
      <c r="AE1225" t="s">
        <v>1783</v>
      </c>
      <c r="AF1225" t="s">
        <v>12245</v>
      </c>
      <c r="AG1225" t="s">
        <v>339</v>
      </c>
      <c r="AH1225" t="s">
        <v>15935</v>
      </c>
      <c r="AI1225" t="s">
        <v>15936</v>
      </c>
      <c r="AJ1225" t="s">
        <v>164</v>
      </c>
      <c r="AK1225" t="s">
        <v>10762</v>
      </c>
      <c r="AL1225">
        <v>0.23</v>
      </c>
      <c r="AN1225">
        <v>1.75</v>
      </c>
      <c r="AP1225" t="s">
        <v>7149</v>
      </c>
      <c r="AQ1225" t="s">
        <v>7203</v>
      </c>
      <c r="AR1225" t="s">
        <v>648</v>
      </c>
      <c r="AS1225" t="s">
        <v>3173</v>
      </c>
      <c r="AT1225" t="s">
        <v>4113</v>
      </c>
      <c r="AU1225" t="s">
        <v>9130</v>
      </c>
      <c r="AV1225" t="s">
        <v>3602</v>
      </c>
      <c r="AW1225" t="s">
        <v>6730</v>
      </c>
      <c r="AX1225" t="s">
        <v>5157</v>
      </c>
      <c r="AY1225" t="s">
        <v>15937</v>
      </c>
      <c r="AZ1225" t="s">
        <v>7026</v>
      </c>
      <c r="BA1225">
        <v>2.2000000000000002</v>
      </c>
      <c r="BB1225">
        <v>794.64</v>
      </c>
      <c r="BC1225">
        <v>0.27</v>
      </c>
      <c r="BD1225">
        <v>5.8</v>
      </c>
      <c r="BE1225">
        <v>5.83</v>
      </c>
      <c r="BF1225">
        <v>5.74</v>
      </c>
      <c r="BG1225" t="s">
        <v>15938</v>
      </c>
      <c r="BH1225" t="s">
        <v>15939</v>
      </c>
      <c r="BI1225" t="s">
        <v>15940</v>
      </c>
      <c r="BJ1225" t="s">
        <v>101</v>
      </c>
      <c r="BK1225" t="s">
        <v>582</v>
      </c>
      <c r="BL1225" t="s">
        <v>15941</v>
      </c>
      <c r="BM1225" t="s">
        <v>10064</v>
      </c>
      <c r="BN1225" t="s">
        <v>14623</v>
      </c>
    </row>
    <row r="1226" spans="1:66" x14ac:dyDescent="0.25">
      <c r="A1226" t="str">
        <f>HYPERLINK("https://elite.finviz.com/quote.ashx?t=TRN&amp;ty=c&amp;p=d&amp;b=1", "TRN")</f>
        <v>TRN</v>
      </c>
      <c r="B1226">
        <v>6</v>
      </c>
      <c r="C1226">
        <v>127.03</v>
      </c>
      <c r="D1226">
        <v>48.22</v>
      </c>
      <c r="E1226" t="s">
        <v>15942</v>
      </c>
      <c r="F1226" t="s">
        <v>67</v>
      </c>
      <c r="G1226" t="s">
        <v>260</v>
      </c>
      <c r="H1226" t="s">
        <v>10167</v>
      </c>
      <c r="I1226" t="s">
        <v>70</v>
      </c>
      <c r="J1226" t="s">
        <v>71</v>
      </c>
      <c r="K1226">
        <v>2252.5300000000002</v>
      </c>
      <c r="L1226">
        <v>27.86</v>
      </c>
      <c r="M1226" t="s">
        <v>822</v>
      </c>
      <c r="N1226">
        <v>34884</v>
      </c>
      <c r="O1226">
        <v>24.25</v>
      </c>
      <c r="P1226">
        <v>14.67</v>
      </c>
      <c r="R1226">
        <v>0.89</v>
      </c>
      <c r="S1226">
        <v>2.23</v>
      </c>
      <c r="T1226" t="s">
        <v>7699</v>
      </c>
      <c r="U1226">
        <v>1.18</v>
      </c>
      <c r="V1226" t="s">
        <v>7373</v>
      </c>
      <c r="W1226" t="s">
        <v>2922</v>
      </c>
      <c r="X1226" t="s">
        <v>2877</v>
      </c>
      <c r="Y1226" t="s">
        <v>8401</v>
      </c>
      <c r="Z1226" t="s">
        <v>15943</v>
      </c>
      <c r="AA1226">
        <v>1.1499999999999999</v>
      </c>
      <c r="AB1226" t="s">
        <v>6677</v>
      </c>
      <c r="AC1226" t="s">
        <v>2984</v>
      </c>
      <c r="AE1226" t="s">
        <v>13413</v>
      </c>
      <c r="AF1226" t="s">
        <v>15944</v>
      </c>
      <c r="AG1226" t="s">
        <v>1657</v>
      </c>
      <c r="AH1226" t="s">
        <v>15945</v>
      </c>
      <c r="AI1226" t="s">
        <v>15946</v>
      </c>
      <c r="AJ1226" t="s">
        <v>164</v>
      </c>
      <c r="AK1226" t="s">
        <v>15947</v>
      </c>
      <c r="AL1226">
        <v>2.2999999999999998</v>
      </c>
      <c r="AM1226">
        <v>1.36</v>
      </c>
      <c r="AN1226">
        <v>5.8</v>
      </c>
      <c r="AO1226" t="s">
        <v>15948</v>
      </c>
      <c r="AP1226" t="s">
        <v>310</v>
      </c>
      <c r="AQ1226" t="s">
        <v>323</v>
      </c>
      <c r="AR1226" t="s">
        <v>179</v>
      </c>
      <c r="AS1226" t="s">
        <v>2640</v>
      </c>
      <c r="AT1226" t="s">
        <v>8402</v>
      </c>
      <c r="AU1226" t="s">
        <v>5058</v>
      </c>
      <c r="AV1226" t="s">
        <v>15949</v>
      </c>
      <c r="AW1226" t="s">
        <v>4665</v>
      </c>
      <c r="AX1226" t="s">
        <v>15950</v>
      </c>
      <c r="AY1226" t="s">
        <v>15951</v>
      </c>
      <c r="AZ1226" t="s">
        <v>15950</v>
      </c>
      <c r="BA1226">
        <v>3</v>
      </c>
      <c r="BB1226">
        <v>719.29</v>
      </c>
      <c r="BC1226">
        <v>0.17</v>
      </c>
      <c r="BD1226">
        <v>27.8</v>
      </c>
      <c r="BE1226">
        <v>28.13</v>
      </c>
      <c r="BF1226">
        <v>27.77</v>
      </c>
      <c r="BG1226" t="s">
        <v>15952</v>
      </c>
      <c r="BH1226" t="s">
        <v>15951</v>
      </c>
      <c r="BI1226" t="s">
        <v>15953</v>
      </c>
      <c r="BJ1226" t="s">
        <v>101</v>
      </c>
      <c r="BK1226" t="s">
        <v>7284</v>
      </c>
      <c r="BL1226" t="s">
        <v>6739</v>
      </c>
      <c r="BM1226" t="s">
        <v>1210</v>
      </c>
      <c r="BN1226" t="s">
        <v>14623</v>
      </c>
    </row>
    <row r="1227" spans="1:66" x14ac:dyDescent="0.25">
      <c r="A1227" t="str">
        <f>HYPERLINK("https://elite.finviz.com/quote.ashx?t=MHO&amp;ty=c&amp;p=d&amp;b=1", "MHO")</f>
        <v>MHO</v>
      </c>
      <c r="B1227">
        <v>6</v>
      </c>
      <c r="C1227">
        <v>127.03</v>
      </c>
      <c r="D1227">
        <v>48.23</v>
      </c>
      <c r="E1227" t="s">
        <v>15954</v>
      </c>
      <c r="F1227" t="s">
        <v>67</v>
      </c>
      <c r="G1227" t="s">
        <v>813</v>
      </c>
      <c r="H1227" t="s">
        <v>5054</v>
      </c>
      <c r="I1227" t="s">
        <v>70</v>
      </c>
      <c r="J1227" t="s">
        <v>71</v>
      </c>
      <c r="K1227">
        <v>3825.02</v>
      </c>
      <c r="L1227">
        <v>144.94</v>
      </c>
      <c r="M1227" t="s">
        <v>2644</v>
      </c>
      <c r="N1227">
        <v>16160</v>
      </c>
      <c r="O1227">
        <v>7.96</v>
      </c>
      <c r="P1227">
        <v>7.9</v>
      </c>
      <c r="Q1227">
        <v>3.72</v>
      </c>
      <c r="R1227">
        <v>0.85</v>
      </c>
      <c r="S1227">
        <v>1.24</v>
      </c>
      <c r="V1227" t="s">
        <v>15955</v>
      </c>
      <c r="Z1227" t="s">
        <v>164</v>
      </c>
      <c r="AA1227">
        <v>18.22</v>
      </c>
      <c r="AB1227" t="s">
        <v>2626</v>
      </c>
      <c r="AC1227" t="s">
        <v>15956</v>
      </c>
      <c r="AD1227" t="s">
        <v>4891</v>
      </c>
      <c r="AE1227" t="s">
        <v>5739</v>
      </c>
      <c r="AF1227" t="s">
        <v>3777</v>
      </c>
      <c r="AG1227" t="s">
        <v>6206</v>
      </c>
      <c r="AH1227" t="s">
        <v>7699</v>
      </c>
      <c r="AI1227" t="s">
        <v>3890</v>
      </c>
      <c r="AJ1227" t="s">
        <v>9018</v>
      </c>
      <c r="AK1227" t="s">
        <v>10641</v>
      </c>
      <c r="AL1227">
        <v>7.12</v>
      </c>
      <c r="AM1227">
        <v>1.76</v>
      </c>
      <c r="AN1227">
        <v>0.34</v>
      </c>
      <c r="AO1227" t="s">
        <v>1371</v>
      </c>
      <c r="AP1227" t="s">
        <v>15187</v>
      </c>
      <c r="AQ1227" t="s">
        <v>3647</v>
      </c>
      <c r="AR1227" t="s">
        <v>295</v>
      </c>
      <c r="AS1227" t="s">
        <v>3173</v>
      </c>
      <c r="AT1227" t="s">
        <v>2204</v>
      </c>
      <c r="AU1227" t="s">
        <v>2821</v>
      </c>
      <c r="AV1227" t="s">
        <v>5046</v>
      </c>
      <c r="AW1227" t="s">
        <v>4397</v>
      </c>
      <c r="AX1227" t="s">
        <v>11467</v>
      </c>
      <c r="AY1227" t="s">
        <v>3527</v>
      </c>
      <c r="AZ1227" t="s">
        <v>10700</v>
      </c>
      <c r="BA1227">
        <v>1.33</v>
      </c>
      <c r="BB1227">
        <v>308.13</v>
      </c>
      <c r="BC1227">
        <v>0.18</v>
      </c>
      <c r="BD1227">
        <v>143.4</v>
      </c>
      <c r="BE1227">
        <v>145.68</v>
      </c>
      <c r="BF1227">
        <v>143.51</v>
      </c>
      <c r="BG1227" t="s">
        <v>15957</v>
      </c>
      <c r="BH1227" t="s">
        <v>3527</v>
      </c>
      <c r="BI1227" t="s">
        <v>15958</v>
      </c>
      <c r="BJ1227" t="s">
        <v>101</v>
      </c>
      <c r="BK1227" t="s">
        <v>6374</v>
      </c>
      <c r="BL1227" t="s">
        <v>3078</v>
      </c>
      <c r="BM1227" t="s">
        <v>117</v>
      </c>
      <c r="BN1227" t="s">
        <v>14623</v>
      </c>
    </row>
    <row r="1228" spans="1:66" x14ac:dyDescent="0.25">
      <c r="A1228" t="str">
        <f>HYPERLINK("https://elite.finviz.com/quote.ashx?t=BY&amp;ty=c&amp;p=d&amp;b=1", "BY")</f>
        <v>BY</v>
      </c>
      <c r="B1228">
        <v>6</v>
      </c>
      <c r="C1228">
        <v>127.03</v>
      </c>
      <c r="D1228">
        <v>48.24</v>
      </c>
      <c r="E1228" t="s">
        <v>15959</v>
      </c>
      <c r="F1228" t="s">
        <v>67</v>
      </c>
      <c r="G1228" t="s">
        <v>550</v>
      </c>
      <c r="H1228" t="s">
        <v>697</v>
      </c>
      <c r="I1228" t="s">
        <v>70</v>
      </c>
      <c r="J1228" t="s">
        <v>71</v>
      </c>
      <c r="K1228">
        <v>1296.25</v>
      </c>
      <c r="L1228">
        <v>28.26</v>
      </c>
      <c r="M1228" t="s">
        <v>337</v>
      </c>
      <c r="N1228">
        <v>17148</v>
      </c>
      <c r="O1228">
        <v>10.56</v>
      </c>
      <c r="P1228">
        <v>9.85</v>
      </c>
      <c r="R1228">
        <v>2.09</v>
      </c>
      <c r="S1228">
        <v>1.0900000000000001</v>
      </c>
      <c r="T1228" t="s">
        <v>3019</v>
      </c>
      <c r="U1228">
        <v>0.39</v>
      </c>
      <c r="V1228" t="s">
        <v>6057</v>
      </c>
      <c r="W1228" t="s">
        <v>164</v>
      </c>
      <c r="X1228" t="s">
        <v>6593</v>
      </c>
      <c r="Y1228" t="s">
        <v>14009</v>
      </c>
      <c r="Z1228" t="s">
        <v>4109</v>
      </c>
      <c r="AA1228">
        <v>2.68</v>
      </c>
      <c r="AB1228" t="s">
        <v>372</v>
      </c>
      <c r="AC1228" t="s">
        <v>2863</v>
      </c>
      <c r="AE1228" t="s">
        <v>2868</v>
      </c>
      <c r="AF1228" t="s">
        <v>2524</v>
      </c>
      <c r="AG1228" t="s">
        <v>5662</v>
      </c>
      <c r="AH1228" t="s">
        <v>6692</v>
      </c>
      <c r="AI1228" t="s">
        <v>302</v>
      </c>
      <c r="AJ1228" t="s">
        <v>4794</v>
      </c>
      <c r="AK1228" t="s">
        <v>15960</v>
      </c>
      <c r="AL1228">
        <v>0.04</v>
      </c>
      <c r="AN1228">
        <v>0.48</v>
      </c>
      <c r="AP1228" t="s">
        <v>553</v>
      </c>
      <c r="AQ1228" t="s">
        <v>955</v>
      </c>
      <c r="AR1228" t="s">
        <v>909</v>
      </c>
      <c r="AS1228" t="s">
        <v>1439</v>
      </c>
      <c r="AT1228" t="s">
        <v>2950</v>
      </c>
      <c r="AU1228" t="s">
        <v>5610</v>
      </c>
      <c r="AV1228" t="s">
        <v>305</v>
      </c>
      <c r="AW1228" t="s">
        <v>3998</v>
      </c>
      <c r="AX1228" t="s">
        <v>4903</v>
      </c>
      <c r="AY1228" t="s">
        <v>14901</v>
      </c>
      <c r="AZ1228" t="s">
        <v>7995</v>
      </c>
      <c r="BA1228">
        <v>2</v>
      </c>
      <c r="BB1228">
        <v>236.3</v>
      </c>
      <c r="BC1228">
        <v>0.26</v>
      </c>
      <c r="BD1228">
        <v>28.38</v>
      </c>
      <c r="BE1228">
        <v>28.68</v>
      </c>
      <c r="BF1228">
        <v>28.26</v>
      </c>
      <c r="BG1228" t="s">
        <v>15961</v>
      </c>
      <c r="BH1228" t="s">
        <v>14901</v>
      </c>
      <c r="BI1228" t="s">
        <v>15962</v>
      </c>
      <c r="BJ1228" t="s">
        <v>101</v>
      </c>
      <c r="BK1228" t="s">
        <v>2370</v>
      </c>
      <c r="BL1228" t="s">
        <v>3981</v>
      </c>
      <c r="BM1228" t="s">
        <v>2945</v>
      </c>
      <c r="BN1228" t="s">
        <v>14623</v>
      </c>
    </row>
    <row r="1229" spans="1:66" x14ac:dyDescent="0.25">
      <c r="A1229" t="str">
        <f>HYPERLINK("https://elite.finviz.com/quote.ashx?t=WTFC&amp;ty=c&amp;p=d&amp;b=1", "WTFC")</f>
        <v>WTFC</v>
      </c>
      <c r="B1229">
        <v>6</v>
      </c>
      <c r="C1229">
        <v>127.03</v>
      </c>
      <c r="D1229">
        <v>48.27</v>
      </c>
      <c r="E1229" t="s">
        <v>15963</v>
      </c>
      <c r="F1229" t="s">
        <v>107</v>
      </c>
      <c r="G1229" t="s">
        <v>550</v>
      </c>
      <c r="H1229" t="s">
        <v>697</v>
      </c>
      <c r="I1229" t="s">
        <v>70</v>
      </c>
      <c r="J1229" t="s">
        <v>321</v>
      </c>
      <c r="K1229">
        <v>8922.49</v>
      </c>
      <c r="L1229">
        <v>133.27000000000001</v>
      </c>
      <c r="M1229" t="s">
        <v>4538</v>
      </c>
      <c r="N1229">
        <v>32214</v>
      </c>
      <c r="O1229">
        <v>12.6</v>
      </c>
      <c r="P1229">
        <v>11.48</v>
      </c>
      <c r="Q1229">
        <v>1.55</v>
      </c>
      <c r="R1229">
        <v>2.17</v>
      </c>
      <c r="S1229">
        <v>1.4</v>
      </c>
      <c r="T1229" t="s">
        <v>5610</v>
      </c>
      <c r="U1229">
        <v>1.95</v>
      </c>
      <c r="V1229" t="s">
        <v>2420</v>
      </c>
      <c r="W1229" t="s">
        <v>6206</v>
      </c>
      <c r="X1229" t="s">
        <v>2709</v>
      </c>
      <c r="Y1229" t="s">
        <v>9861</v>
      </c>
      <c r="Z1229" t="s">
        <v>15372</v>
      </c>
      <c r="AA1229">
        <v>10.58</v>
      </c>
      <c r="AB1229" t="s">
        <v>2824</v>
      </c>
      <c r="AC1229" t="s">
        <v>4565</v>
      </c>
      <c r="AD1229" t="s">
        <v>15964</v>
      </c>
      <c r="AE1229" t="s">
        <v>215</v>
      </c>
      <c r="AF1229" t="s">
        <v>6932</v>
      </c>
      <c r="AG1229" t="s">
        <v>3348</v>
      </c>
      <c r="AH1229" t="s">
        <v>3100</v>
      </c>
      <c r="AI1229" t="s">
        <v>7150</v>
      </c>
      <c r="AJ1229" t="s">
        <v>655</v>
      </c>
      <c r="AK1229" t="s">
        <v>12517</v>
      </c>
      <c r="AL1229">
        <v>0.12</v>
      </c>
      <c r="AN1229">
        <v>0.6</v>
      </c>
      <c r="AP1229" t="s">
        <v>4714</v>
      </c>
      <c r="AQ1229" t="s">
        <v>420</v>
      </c>
      <c r="AR1229" t="s">
        <v>744</v>
      </c>
      <c r="AS1229" t="s">
        <v>5968</v>
      </c>
      <c r="AT1229" t="s">
        <v>11830</v>
      </c>
      <c r="AU1229" t="s">
        <v>747</v>
      </c>
      <c r="AV1229" t="s">
        <v>1771</v>
      </c>
      <c r="AW1229" t="s">
        <v>8929</v>
      </c>
      <c r="AX1229" t="s">
        <v>3147</v>
      </c>
      <c r="AY1229" t="s">
        <v>6775</v>
      </c>
      <c r="AZ1229" t="s">
        <v>13368</v>
      </c>
      <c r="BA1229">
        <v>1.33</v>
      </c>
      <c r="BB1229">
        <v>424.73</v>
      </c>
      <c r="BC1229">
        <v>0.27</v>
      </c>
      <c r="BD1229">
        <v>133.6</v>
      </c>
      <c r="BE1229">
        <v>135.18</v>
      </c>
      <c r="BF1229">
        <v>133.13</v>
      </c>
      <c r="BG1229" t="s">
        <v>15965</v>
      </c>
      <c r="BH1229" t="s">
        <v>6775</v>
      </c>
      <c r="BI1229" t="s">
        <v>15966</v>
      </c>
      <c r="BJ1229" t="s">
        <v>101</v>
      </c>
      <c r="BK1229" t="s">
        <v>2407</v>
      </c>
      <c r="BL1229" t="s">
        <v>4096</v>
      </c>
      <c r="BM1229" t="s">
        <v>8957</v>
      </c>
      <c r="BN1229" t="s">
        <v>14623</v>
      </c>
    </row>
    <row r="1230" spans="1:66" x14ac:dyDescent="0.25">
      <c r="A1230" t="str">
        <f>HYPERLINK("https://elite.finviz.com/quote.ashx?t=ORRF&amp;ty=c&amp;p=d&amp;b=1", "ORRF")</f>
        <v>ORRF</v>
      </c>
      <c r="B1230">
        <v>6</v>
      </c>
      <c r="C1230">
        <v>127.03</v>
      </c>
      <c r="D1230">
        <v>48.28</v>
      </c>
      <c r="E1230" t="s">
        <v>15967</v>
      </c>
      <c r="F1230" t="s">
        <v>67</v>
      </c>
      <c r="G1230" t="s">
        <v>550</v>
      </c>
      <c r="H1230" t="s">
        <v>697</v>
      </c>
      <c r="I1230" t="s">
        <v>70</v>
      </c>
      <c r="J1230" t="s">
        <v>321</v>
      </c>
      <c r="K1230">
        <v>672.64</v>
      </c>
      <c r="L1230">
        <v>34.51</v>
      </c>
      <c r="M1230" t="s">
        <v>2294</v>
      </c>
      <c r="N1230">
        <v>8767</v>
      </c>
      <c r="O1230">
        <v>15.44</v>
      </c>
      <c r="P1230">
        <v>8</v>
      </c>
      <c r="R1230">
        <v>1.86</v>
      </c>
      <c r="S1230">
        <v>1.23</v>
      </c>
      <c r="T1230" t="s">
        <v>2473</v>
      </c>
      <c r="U1230">
        <v>1.02</v>
      </c>
      <c r="V1230" t="s">
        <v>6057</v>
      </c>
      <c r="W1230" t="s">
        <v>2967</v>
      </c>
      <c r="X1230" t="s">
        <v>2316</v>
      </c>
      <c r="Y1230" t="s">
        <v>8808</v>
      </c>
      <c r="Z1230" t="s">
        <v>7524</v>
      </c>
      <c r="AA1230">
        <v>2.23</v>
      </c>
      <c r="AB1230" t="s">
        <v>15968</v>
      </c>
      <c r="AC1230" t="s">
        <v>123</v>
      </c>
      <c r="AE1230" t="s">
        <v>15969</v>
      </c>
      <c r="AF1230" t="s">
        <v>15970</v>
      </c>
      <c r="AG1230" t="s">
        <v>13570</v>
      </c>
      <c r="AH1230" t="s">
        <v>11438</v>
      </c>
      <c r="AI1230" t="s">
        <v>2065</v>
      </c>
      <c r="AJ1230" t="s">
        <v>6182</v>
      </c>
      <c r="AK1230" t="s">
        <v>6656</v>
      </c>
      <c r="AL1230">
        <v>0.18</v>
      </c>
      <c r="AN1230">
        <v>0.46</v>
      </c>
      <c r="AP1230" t="s">
        <v>11563</v>
      </c>
      <c r="AQ1230" t="s">
        <v>8594</v>
      </c>
      <c r="AR1230" t="s">
        <v>192</v>
      </c>
      <c r="AS1230" t="s">
        <v>2195</v>
      </c>
      <c r="AT1230" t="s">
        <v>2176</v>
      </c>
      <c r="AU1230" t="s">
        <v>4902</v>
      </c>
      <c r="AV1230" t="s">
        <v>4428</v>
      </c>
      <c r="AW1230" t="s">
        <v>15469</v>
      </c>
      <c r="AX1230" t="s">
        <v>9570</v>
      </c>
      <c r="AY1230" t="s">
        <v>1029</v>
      </c>
      <c r="AZ1230" t="s">
        <v>1298</v>
      </c>
      <c r="BA1230">
        <v>1.2</v>
      </c>
      <c r="BB1230">
        <v>147.97</v>
      </c>
      <c r="BC1230">
        <v>0.21</v>
      </c>
      <c r="BD1230">
        <v>34.590000000000003</v>
      </c>
      <c r="BE1230">
        <v>34.83</v>
      </c>
      <c r="BF1230">
        <v>34.5</v>
      </c>
      <c r="BG1230" t="s">
        <v>15971</v>
      </c>
      <c r="BH1230" t="s">
        <v>14823</v>
      </c>
      <c r="BI1230" t="s">
        <v>15972</v>
      </c>
      <c r="BJ1230" t="s">
        <v>101</v>
      </c>
      <c r="BK1230" t="s">
        <v>1515</v>
      </c>
      <c r="BL1230" t="s">
        <v>2947</v>
      </c>
      <c r="BM1230" t="s">
        <v>2149</v>
      </c>
      <c r="BN1230" t="s">
        <v>14623</v>
      </c>
    </row>
    <row r="1231" spans="1:66" x14ac:dyDescent="0.25">
      <c r="A1231" t="str">
        <f>HYPERLINK("https://elite.finviz.com/quote.ashx?t=BANF&amp;ty=c&amp;p=d&amp;b=1", "BANF")</f>
        <v>BANF</v>
      </c>
      <c r="B1231">
        <v>6</v>
      </c>
      <c r="C1231">
        <v>127.03</v>
      </c>
      <c r="D1231">
        <v>48.29</v>
      </c>
      <c r="E1231" t="s">
        <v>15973</v>
      </c>
      <c r="F1231" t="s">
        <v>67</v>
      </c>
      <c r="G1231" t="s">
        <v>550</v>
      </c>
      <c r="H1231" t="s">
        <v>697</v>
      </c>
      <c r="I1231" t="s">
        <v>70</v>
      </c>
      <c r="J1231" t="s">
        <v>321</v>
      </c>
      <c r="K1231">
        <v>4341.2</v>
      </c>
      <c r="L1231">
        <v>130.33000000000001</v>
      </c>
      <c r="M1231" t="s">
        <v>3752</v>
      </c>
      <c r="N1231">
        <v>18299</v>
      </c>
      <c r="O1231">
        <v>18.809999999999999</v>
      </c>
      <c r="P1231">
        <v>18.350000000000001</v>
      </c>
      <c r="R1231">
        <v>4.71</v>
      </c>
      <c r="S1231">
        <v>2.5099999999999998</v>
      </c>
      <c r="T1231" t="s">
        <v>6829</v>
      </c>
      <c r="U1231">
        <v>1.84</v>
      </c>
      <c r="V1231" t="s">
        <v>198</v>
      </c>
      <c r="W1231" t="s">
        <v>297</v>
      </c>
      <c r="X1231" t="s">
        <v>5658</v>
      </c>
      <c r="Y1231" t="s">
        <v>2967</v>
      </c>
      <c r="Z1231" t="s">
        <v>11359</v>
      </c>
      <c r="AA1231">
        <v>6.93</v>
      </c>
      <c r="AB1231" t="s">
        <v>637</v>
      </c>
      <c r="AC1231" t="s">
        <v>3581</v>
      </c>
      <c r="AE1231" t="s">
        <v>3230</v>
      </c>
      <c r="AF1231" t="s">
        <v>13484</v>
      </c>
      <c r="AG1231" t="s">
        <v>562</v>
      </c>
      <c r="AH1231" t="s">
        <v>3036</v>
      </c>
      <c r="AI1231" t="s">
        <v>11924</v>
      </c>
      <c r="AJ1231" t="s">
        <v>4699</v>
      </c>
      <c r="AK1231" t="s">
        <v>15974</v>
      </c>
      <c r="AL1231">
        <v>0.44</v>
      </c>
      <c r="AN1231">
        <v>0.05</v>
      </c>
      <c r="AP1231" t="s">
        <v>15975</v>
      </c>
      <c r="AQ1231" t="s">
        <v>9399</v>
      </c>
      <c r="AR1231" t="s">
        <v>2202</v>
      </c>
      <c r="AS1231" t="s">
        <v>4256</v>
      </c>
      <c r="AT1231" t="s">
        <v>196</v>
      </c>
      <c r="AU1231" t="s">
        <v>3344</v>
      </c>
      <c r="AV1231" t="s">
        <v>296</v>
      </c>
      <c r="AW1231" t="s">
        <v>9412</v>
      </c>
      <c r="AX1231" t="s">
        <v>2000</v>
      </c>
      <c r="AY1231" t="s">
        <v>9412</v>
      </c>
      <c r="AZ1231" t="s">
        <v>1311</v>
      </c>
      <c r="BA1231">
        <v>3</v>
      </c>
      <c r="BB1231">
        <v>137.24</v>
      </c>
      <c r="BC1231">
        <v>0.47</v>
      </c>
      <c r="BD1231">
        <v>130.4</v>
      </c>
      <c r="BE1231">
        <v>132.16999999999999</v>
      </c>
      <c r="BF1231">
        <v>130.26</v>
      </c>
      <c r="BG1231" t="s">
        <v>15976</v>
      </c>
      <c r="BH1231" t="s">
        <v>9412</v>
      </c>
      <c r="BI1231" t="s">
        <v>15977</v>
      </c>
      <c r="BJ1231" t="s">
        <v>101</v>
      </c>
      <c r="BK1231" t="s">
        <v>165</v>
      </c>
      <c r="BL1231" t="s">
        <v>6815</v>
      </c>
      <c r="BM1231" t="s">
        <v>7352</v>
      </c>
      <c r="BN1231" t="s">
        <v>14623</v>
      </c>
    </row>
    <row r="1232" spans="1:66" x14ac:dyDescent="0.25">
      <c r="A1232" t="str">
        <f>HYPERLINK("https://elite.finviz.com/quote.ashx?t=QCRH&amp;ty=c&amp;p=d&amp;b=1", "QCRH")</f>
        <v>QCRH</v>
      </c>
      <c r="B1232">
        <v>6</v>
      </c>
      <c r="C1232">
        <v>127.03</v>
      </c>
      <c r="D1232">
        <v>48.29</v>
      </c>
      <c r="E1232" t="s">
        <v>15978</v>
      </c>
      <c r="F1232" t="s">
        <v>67</v>
      </c>
      <c r="G1232" t="s">
        <v>550</v>
      </c>
      <c r="H1232" t="s">
        <v>697</v>
      </c>
      <c r="I1232" t="s">
        <v>70</v>
      </c>
      <c r="J1232" t="s">
        <v>321</v>
      </c>
      <c r="K1232">
        <v>1304.19</v>
      </c>
      <c r="L1232">
        <v>76.98</v>
      </c>
      <c r="M1232" t="s">
        <v>4879</v>
      </c>
      <c r="N1232">
        <v>21640</v>
      </c>
      <c r="O1232">
        <v>11.6</v>
      </c>
      <c r="P1232">
        <v>10.61</v>
      </c>
      <c r="Q1232">
        <v>5.66</v>
      </c>
      <c r="R1232">
        <v>2.23</v>
      </c>
      <c r="S1232">
        <v>1.24</v>
      </c>
      <c r="T1232" t="s">
        <v>698</v>
      </c>
      <c r="U1232">
        <v>0.24</v>
      </c>
      <c r="V1232" t="s">
        <v>8236</v>
      </c>
      <c r="W1232" t="s">
        <v>164</v>
      </c>
      <c r="X1232" t="s">
        <v>164</v>
      </c>
      <c r="Y1232" t="s">
        <v>164</v>
      </c>
      <c r="Z1232" t="s">
        <v>3244</v>
      </c>
      <c r="AA1232">
        <v>6.63</v>
      </c>
      <c r="AB1232" t="s">
        <v>4216</v>
      </c>
      <c r="AC1232" t="s">
        <v>5680</v>
      </c>
      <c r="AD1232" t="s">
        <v>6151</v>
      </c>
      <c r="AE1232" t="s">
        <v>10808</v>
      </c>
      <c r="AF1232" t="s">
        <v>2001</v>
      </c>
      <c r="AG1232" t="s">
        <v>3766</v>
      </c>
      <c r="AH1232" t="s">
        <v>15506</v>
      </c>
      <c r="AI1232" t="s">
        <v>7781</v>
      </c>
      <c r="AJ1232" t="s">
        <v>3752</v>
      </c>
      <c r="AK1232" t="s">
        <v>3489</v>
      </c>
      <c r="AL1232">
        <v>0.06</v>
      </c>
      <c r="AN1232">
        <v>0.48</v>
      </c>
      <c r="AP1232" t="s">
        <v>7295</v>
      </c>
      <c r="AQ1232" t="s">
        <v>8694</v>
      </c>
      <c r="AR1232" t="s">
        <v>5263</v>
      </c>
      <c r="AS1232" t="s">
        <v>1438</v>
      </c>
      <c r="AT1232" t="s">
        <v>5153</v>
      </c>
      <c r="AU1232" t="s">
        <v>3551</v>
      </c>
      <c r="AV1232" t="s">
        <v>2842</v>
      </c>
      <c r="AW1232" t="s">
        <v>10228</v>
      </c>
      <c r="AX1232" t="s">
        <v>6234</v>
      </c>
      <c r="AY1232" t="s">
        <v>15979</v>
      </c>
      <c r="AZ1232" t="s">
        <v>15980</v>
      </c>
      <c r="BA1232">
        <v>1.2</v>
      </c>
      <c r="BB1232">
        <v>112.28</v>
      </c>
      <c r="BC1232">
        <v>0.68</v>
      </c>
      <c r="BD1232">
        <v>77.91</v>
      </c>
      <c r="BE1232">
        <v>78.58</v>
      </c>
      <c r="BF1232">
        <v>77.02</v>
      </c>
      <c r="BG1232" t="s">
        <v>15981</v>
      </c>
      <c r="BH1232" t="s">
        <v>15979</v>
      </c>
      <c r="BI1232" t="s">
        <v>15982</v>
      </c>
      <c r="BJ1232" t="s">
        <v>101</v>
      </c>
      <c r="BK1232" t="s">
        <v>6946</v>
      </c>
      <c r="BL1232" t="s">
        <v>275</v>
      </c>
      <c r="BM1232" t="s">
        <v>756</v>
      </c>
      <c r="BN1232" t="s">
        <v>14623</v>
      </c>
    </row>
    <row r="1233" spans="1:66" x14ac:dyDescent="0.25">
      <c r="A1233" t="str">
        <f>HYPERLINK("https://elite.finviz.com/quote.ashx?t=TBCH&amp;ty=c&amp;p=d&amp;b=1", "TBCH")</f>
        <v>TBCH</v>
      </c>
      <c r="B1233">
        <v>6</v>
      </c>
      <c r="C1233">
        <v>127.03</v>
      </c>
      <c r="D1233">
        <v>48.3</v>
      </c>
      <c r="E1233" t="s">
        <v>15983</v>
      </c>
      <c r="F1233" t="s">
        <v>67</v>
      </c>
      <c r="G1233" t="s">
        <v>108</v>
      </c>
      <c r="H1233" t="s">
        <v>994</v>
      </c>
      <c r="I1233" t="s">
        <v>70</v>
      </c>
      <c r="J1233" t="s">
        <v>321</v>
      </c>
      <c r="K1233">
        <v>300.47000000000003</v>
      </c>
      <c r="L1233">
        <v>15.17</v>
      </c>
      <c r="M1233" t="s">
        <v>11260</v>
      </c>
      <c r="N1233">
        <v>40009</v>
      </c>
      <c r="O1233">
        <v>16.18</v>
      </c>
      <c r="P1233">
        <v>12.66</v>
      </c>
      <c r="Q1233">
        <v>0.84</v>
      </c>
      <c r="R1233">
        <v>0.83</v>
      </c>
      <c r="S1233">
        <v>2.57</v>
      </c>
      <c r="Z1233" t="s">
        <v>164</v>
      </c>
      <c r="AA1233">
        <v>0.94</v>
      </c>
      <c r="AB1233" t="s">
        <v>4317</v>
      </c>
      <c r="AC1233" t="s">
        <v>3859</v>
      </c>
      <c r="AD1233" t="s">
        <v>3470</v>
      </c>
      <c r="AE1233" t="s">
        <v>930</v>
      </c>
      <c r="AF1233" t="s">
        <v>2571</v>
      </c>
      <c r="AG1233" t="s">
        <v>2635</v>
      </c>
      <c r="AH1233" t="s">
        <v>15984</v>
      </c>
      <c r="AI1233" t="s">
        <v>15985</v>
      </c>
      <c r="AJ1233" t="s">
        <v>5964</v>
      </c>
      <c r="AK1233" t="s">
        <v>12427</v>
      </c>
      <c r="AL1233">
        <v>1.83</v>
      </c>
      <c r="AM1233">
        <v>0.81</v>
      </c>
      <c r="AN1233">
        <v>0.53</v>
      </c>
      <c r="AO1233" t="s">
        <v>7409</v>
      </c>
      <c r="AP1233" t="s">
        <v>1495</v>
      </c>
      <c r="AQ1233" t="s">
        <v>5336</v>
      </c>
      <c r="AR1233" t="s">
        <v>3500</v>
      </c>
      <c r="AS1233" t="s">
        <v>3638</v>
      </c>
      <c r="AT1233" t="s">
        <v>2965</v>
      </c>
      <c r="AU1233" t="s">
        <v>4308</v>
      </c>
      <c r="AV1233" t="s">
        <v>1926</v>
      </c>
      <c r="AW1233" t="s">
        <v>11400</v>
      </c>
      <c r="AX1233" t="s">
        <v>5564</v>
      </c>
      <c r="AY1233" t="s">
        <v>6686</v>
      </c>
      <c r="AZ1233" t="s">
        <v>2048</v>
      </c>
      <c r="BA1233">
        <v>1.4</v>
      </c>
      <c r="BB1233">
        <v>230.51</v>
      </c>
      <c r="BC1233">
        <v>0.61</v>
      </c>
      <c r="BD1233">
        <v>15.36</v>
      </c>
      <c r="BE1233">
        <v>15.46</v>
      </c>
      <c r="BF1233">
        <v>15.13</v>
      </c>
      <c r="BG1233" t="s">
        <v>15986</v>
      </c>
      <c r="BH1233" t="s">
        <v>15987</v>
      </c>
      <c r="BI1233" t="s">
        <v>15988</v>
      </c>
      <c r="BJ1233" t="s">
        <v>101</v>
      </c>
      <c r="BK1233" t="s">
        <v>7019</v>
      </c>
      <c r="BL1233" t="s">
        <v>2170</v>
      </c>
      <c r="BM1233" t="s">
        <v>4659</v>
      </c>
      <c r="BN1233" t="s">
        <v>14623</v>
      </c>
    </row>
    <row r="1234" spans="1:66" x14ac:dyDescent="0.25">
      <c r="A1234" t="str">
        <f>HYPERLINK("https://elite.finviz.com/quote.ashx?t=LCNB&amp;ty=c&amp;p=d&amp;b=1", "LCNB")</f>
        <v>LCNB</v>
      </c>
      <c r="B1234">
        <v>6</v>
      </c>
      <c r="C1234">
        <v>127.03</v>
      </c>
      <c r="D1234">
        <v>48.3</v>
      </c>
      <c r="E1234" t="s">
        <v>15989</v>
      </c>
      <c r="F1234" t="s">
        <v>67</v>
      </c>
      <c r="G1234" t="s">
        <v>550</v>
      </c>
      <c r="H1234" t="s">
        <v>697</v>
      </c>
      <c r="I1234" t="s">
        <v>70</v>
      </c>
      <c r="J1234" t="s">
        <v>321</v>
      </c>
      <c r="K1234">
        <v>221.86</v>
      </c>
      <c r="L1234">
        <v>15.65</v>
      </c>
      <c r="M1234" t="s">
        <v>2880</v>
      </c>
      <c r="N1234">
        <v>2821</v>
      </c>
      <c r="O1234">
        <v>10.47</v>
      </c>
      <c r="P1234">
        <v>9.4</v>
      </c>
      <c r="R1234">
        <v>1.74</v>
      </c>
      <c r="S1234">
        <v>0.84</v>
      </c>
      <c r="T1234" t="s">
        <v>3949</v>
      </c>
      <c r="U1234">
        <v>0.88</v>
      </c>
      <c r="V1234" t="s">
        <v>2187</v>
      </c>
      <c r="W1234" t="s">
        <v>2822</v>
      </c>
      <c r="X1234" t="s">
        <v>4104</v>
      </c>
      <c r="Y1234" t="s">
        <v>4824</v>
      </c>
      <c r="Z1234" t="s">
        <v>15990</v>
      </c>
      <c r="AA1234">
        <v>1.49</v>
      </c>
      <c r="AB1234" t="s">
        <v>5453</v>
      </c>
      <c r="AC1234" t="s">
        <v>4259</v>
      </c>
      <c r="AE1234" t="s">
        <v>2269</v>
      </c>
      <c r="AF1234" t="s">
        <v>1422</v>
      </c>
      <c r="AG1234" t="s">
        <v>2085</v>
      </c>
      <c r="AH1234" t="s">
        <v>8228</v>
      </c>
      <c r="AI1234" t="s">
        <v>2678</v>
      </c>
      <c r="AJ1234" t="s">
        <v>3358</v>
      </c>
      <c r="AK1234" t="s">
        <v>9093</v>
      </c>
      <c r="AL1234">
        <v>0.04</v>
      </c>
      <c r="AN1234">
        <v>0.42</v>
      </c>
      <c r="AP1234" t="s">
        <v>8466</v>
      </c>
      <c r="AQ1234" t="s">
        <v>6860</v>
      </c>
      <c r="AR1234" t="s">
        <v>295</v>
      </c>
      <c r="AS1234" t="s">
        <v>2333</v>
      </c>
      <c r="AT1234" t="s">
        <v>9075</v>
      </c>
      <c r="AU1234" t="s">
        <v>2759</v>
      </c>
      <c r="AV1234" t="s">
        <v>3481</v>
      </c>
      <c r="AW1234" t="s">
        <v>8121</v>
      </c>
      <c r="AX1234" t="s">
        <v>6085</v>
      </c>
      <c r="AY1234" t="s">
        <v>2988</v>
      </c>
      <c r="AZ1234" t="s">
        <v>4314</v>
      </c>
      <c r="BA1234">
        <v>3</v>
      </c>
      <c r="BB1234">
        <v>22.24</v>
      </c>
      <c r="BC1234">
        <v>0.45</v>
      </c>
      <c r="BD1234">
        <v>15.62</v>
      </c>
      <c r="BE1234">
        <v>15.69</v>
      </c>
      <c r="BF1234">
        <v>15.69</v>
      </c>
      <c r="BG1234" t="s">
        <v>15991</v>
      </c>
      <c r="BH1234" t="s">
        <v>15992</v>
      </c>
      <c r="BI1234" t="s">
        <v>15993</v>
      </c>
      <c r="BJ1234" t="s">
        <v>101</v>
      </c>
      <c r="BK1234" t="s">
        <v>3389</v>
      </c>
      <c r="BL1234" t="s">
        <v>5497</v>
      </c>
      <c r="BM1234" t="s">
        <v>3636</v>
      </c>
      <c r="BN1234" t="s">
        <v>14623</v>
      </c>
    </row>
    <row r="1235" spans="1:66" x14ac:dyDescent="0.25">
      <c r="A1235" t="str">
        <f>HYPERLINK("https://elite.finviz.com/quote.ashx?t=MIRM&amp;ty=c&amp;p=d&amp;b=1", "MIRM")</f>
        <v>MIRM</v>
      </c>
      <c r="B1235">
        <v>6</v>
      </c>
      <c r="C1235">
        <v>127.03</v>
      </c>
      <c r="D1235">
        <v>48.3</v>
      </c>
      <c r="E1235" t="s">
        <v>15994</v>
      </c>
      <c r="F1235" t="s">
        <v>67</v>
      </c>
      <c r="G1235" t="s">
        <v>428</v>
      </c>
      <c r="H1235" t="s">
        <v>429</v>
      </c>
      <c r="I1235" t="s">
        <v>70</v>
      </c>
      <c r="J1235" t="s">
        <v>321</v>
      </c>
      <c r="K1235">
        <v>3584.95</v>
      </c>
      <c r="L1235">
        <v>71.36</v>
      </c>
      <c r="M1235" t="s">
        <v>6130</v>
      </c>
      <c r="N1235">
        <v>116721</v>
      </c>
      <c r="P1235">
        <v>514.41999999999996</v>
      </c>
      <c r="R1235">
        <v>8.35</v>
      </c>
      <c r="S1235">
        <v>14</v>
      </c>
      <c r="AA1235">
        <v>-1.21</v>
      </c>
      <c r="AB1235" t="s">
        <v>3921</v>
      </c>
      <c r="AC1235" t="s">
        <v>2484</v>
      </c>
      <c r="AE1235" t="s">
        <v>13984</v>
      </c>
      <c r="AF1235" t="s">
        <v>15995</v>
      </c>
      <c r="AH1235" t="s">
        <v>15146</v>
      </c>
      <c r="AI1235" t="s">
        <v>15996</v>
      </c>
      <c r="AJ1235" t="s">
        <v>10852</v>
      </c>
      <c r="AK1235" t="s">
        <v>8104</v>
      </c>
      <c r="AL1235">
        <v>3.13</v>
      </c>
      <c r="AM1235">
        <v>2.97</v>
      </c>
      <c r="AN1235">
        <v>1.25</v>
      </c>
      <c r="AO1235" t="s">
        <v>15997</v>
      </c>
      <c r="AP1235" t="s">
        <v>12901</v>
      </c>
      <c r="AQ1235" t="s">
        <v>4863</v>
      </c>
      <c r="AR1235" t="s">
        <v>3842</v>
      </c>
      <c r="AS1235" t="s">
        <v>2383</v>
      </c>
      <c r="AT1235" t="s">
        <v>8109</v>
      </c>
      <c r="AU1235" t="s">
        <v>707</v>
      </c>
      <c r="AV1235" t="s">
        <v>15874</v>
      </c>
      <c r="AW1235" t="s">
        <v>6735</v>
      </c>
      <c r="AX1235" t="s">
        <v>15998</v>
      </c>
      <c r="AY1235" t="s">
        <v>6735</v>
      </c>
      <c r="AZ1235" t="s">
        <v>15999</v>
      </c>
      <c r="BA1235">
        <v>1.0900000000000001</v>
      </c>
      <c r="BB1235">
        <v>676.98</v>
      </c>
      <c r="BC1235">
        <v>0.61</v>
      </c>
      <c r="BD1235">
        <v>73.569999999999993</v>
      </c>
      <c r="BE1235">
        <v>74.42</v>
      </c>
      <c r="BF1235">
        <v>71.39</v>
      </c>
      <c r="BG1235" t="s">
        <v>16000</v>
      </c>
      <c r="BH1235" t="s">
        <v>6735</v>
      </c>
      <c r="BI1235" t="s">
        <v>16001</v>
      </c>
      <c r="BJ1235" t="s">
        <v>101</v>
      </c>
      <c r="BK1235" t="s">
        <v>16002</v>
      </c>
      <c r="BL1235" t="s">
        <v>16003</v>
      </c>
      <c r="BM1235" t="s">
        <v>16004</v>
      </c>
      <c r="BN1235" t="s">
        <v>14623</v>
      </c>
    </row>
    <row r="1236" spans="1:66" x14ac:dyDescent="0.25">
      <c r="A1236" t="str">
        <f>HYPERLINK("https://elite.finviz.com/quote.ashx?t=APPF&amp;ty=c&amp;p=d&amp;b=1", "APPF")</f>
        <v>APPF</v>
      </c>
      <c r="B1236">
        <v>6</v>
      </c>
      <c r="C1236">
        <v>127.03</v>
      </c>
      <c r="D1236">
        <v>48.31</v>
      </c>
      <c r="E1236" t="s">
        <v>16005</v>
      </c>
      <c r="F1236" t="s">
        <v>107</v>
      </c>
      <c r="G1236" t="s">
        <v>108</v>
      </c>
      <c r="H1236" t="s">
        <v>136</v>
      </c>
      <c r="I1236" t="s">
        <v>70</v>
      </c>
      <c r="J1236" t="s">
        <v>321</v>
      </c>
      <c r="K1236">
        <v>9891.76</v>
      </c>
      <c r="L1236">
        <v>275.89999999999998</v>
      </c>
      <c r="M1236" t="s">
        <v>3598</v>
      </c>
      <c r="N1236">
        <v>17781</v>
      </c>
      <c r="O1236">
        <v>49.79</v>
      </c>
      <c r="P1236">
        <v>43.46</v>
      </c>
      <c r="Q1236">
        <v>2.2999999999999998</v>
      </c>
      <c r="R1236">
        <v>11.47</v>
      </c>
      <c r="S1236">
        <v>21.71</v>
      </c>
      <c r="Z1236" t="s">
        <v>164</v>
      </c>
      <c r="AA1236">
        <v>5.54</v>
      </c>
      <c r="AB1236" t="s">
        <v>16006</v>
      </c>
      <c r="AC1236" t="s">
        <v>4706</v>
      </c>
      <c r="AD1236" t="s">
        <v>16007</v>
      </c>
      <c r="AE1236" t="s">
        <v>5886</v>
      </c>
      <c r="AF1236" t="s">
        <v>11737</v>
      </c>
      <c r="AG1236" t="s">
        <v>11880</v>
      </c>
      <c r="AH1236" t="s">
        <v>16008</v>
      </c>
      <c r="AI1236" t="s">
        <v>1495</v>
      </c>
      <c r="AJ1236" t="s">
        <v>2203</v>
      </c>
      <c r="AK1236" t="s">
        <v>9369</v>
      </c>
      <c r="AL1236">
        <v>2.78</v>
      </c>
      <c r="AM1236">
        <v>2.78</v>
      </c>
      <c r="AN1236">
        <v>0.09</v>
      </c>
      <c r="AO1236" t="s">
        <v>11401</v>
      </c>
      <c r="AP1236" t="s">
        <v>5012</v>
      </c>
      <c r="AQ1236" t="s">
        <v>7125</v>
      </c>
      <c r="AR1236" t="s">
        <v>2307</v>
      </c>
      <c r="AS1236" t="s">
        <v>2421</v>
      </c>
      <c r="AT1236" t="s">
        <v>655</v>
      </c>
      <c r="AU1236" t="s">
        <v>8425</v>
      </c>
      <c r="AV1236" t="s">
        <v>7724</v>
      </c>
      <c r="AW1236" t="s">
        <v>5104</v>
      </c>
      <c r="AX1236" t="s">
        <v>7605</v>
      </c>
      <c r="AY1236" t="s">
        <v>5104</v>
      </c>
      <c r="AZ1236" t="s">
        <v>16009</v>
      </c>
      <c r="BA1236">
        <v>1.75</v>
      </c>
      <c r="BB1236">
        <v>299.58</v>
      </c>
      <c r="BC1236">
        <v>0.21</v>
      </c>
      <c r="BD1236">
        <v>275.97000000000003</v>
      </c>
      <c r="BE1236">
        <v>276.45</v>
      </c>
      <c r="BF1236">
        <v>275.77</v>
      </c>
      <c r="BG1236" t="s">
        <v>16010</v>
      </c>
      <c r="BH1236" t="s">
        <v>5104</v>
      </c>
      <c r="BI1236" t="s">
        <v>16011</v>
      </c>
      <c r="BJ1236" t="s">
        <v>101</v>
      </c>
      <c r="BK1236" t="s">
        <v>16012</v>
      </c>
      <c r="BL1236" t="s">
        <v>16013</v>
      </c>
      <c r="BM1236" t="s">
        <v>5408</v>
      </c>
      <c r="BN1236" t="s">
        <v>14623</v>
      </c>
    </row>
    <row r="1237" spans="1:66" x14ac:dyDescent="0.25">
      <c r="A1237" t="str">
        <f>HYPERLINK("https://elite.finviz.com/quote.ashx?t=MSM&amp;ty=c&amp;p=d&amp;b=1", "MSM")</f>
        <v>MSM</v>
      </c>
      <c r="B1237">
        <v>6</v>
      </c>
      <c r="C1237">
        <v>127.03</v>
      </c>
      <c r="D1237">
        <v>48.32</v>
      </c>
      <c r="E1237" t="s">
        <v>16014</v>
      </c>
      <c r="F1237" t="s">
        <v>107</v>
      </c>
      <c r="G1237" t="s">
        <v>260</v>
      </c>
      <c r="H1237" t="s">
        <v>8107</v>
      </c>
      <c r="I1237" t="s">
        <v>70</v>
      </c>
      <c r="J1237" t="s">
        <v>71</v>
      </c>
      <c r="K1237">
        <v>5007.87</v>
      </c>
      <c r="L1237">
        <v>89.95</v>
      </c>
      <c r="M1237" t="s">
        <v>7124</v>
      </c>
      <c r="N1237">
        <v>101249</v>
      </c>
      <c r="O1237">
        <v>25.37</v>
      </c>
      <c r="P1237">
        <v>21.77</v>
      </c>
      <c r="R1237">
        <v>1.34</v>
      </c>
      <c r="S1237">
        <v>3.66</v>
      </c>
      <c r="T1237" t="s">
        <v>122</v>
      </c>
      <c r="U1237">
        <v>3.4</v>
      </c>
      <c r="V1237" t="s">
        <v>5381</v>
      </c>
      <c r="W1237" t="s">
        <v>2744</v>
      </c>
      <c r="X1237" t="s">
        <v>5736</v>
      </c>
      <c r="Y1237" t="s">
        <v>2523</v>
      </c>
      <c r="Z1237" t="s">
        <v>16015</v>
      </c>
      <c r="AA1237">
        <v>3.55</v>
      </c>
      <c r="AB1237" t="s">
        <v>12712</v>
      </c>
      <c r="AC1237" t="s">
        <v>9938</v>
      </c>
      <c r="AD1237" t="s">
        <v>7646</v>
      </c>
      <c r="AE1237" t="s">
        <v>5650</v>
      </c>
      <c r="AF1237" t="s">
        <v>3949</v>
      </c>
      <c r="AG1237" t="s">
        <v>2619</v>
      </c>
      <c r="AH1237" t="s">
        <v>5424</v>
      </c>
      <c r="AI1237" t="s">
        <v>4872</v>
      </c>
      <c r="AJ1237" t="s">
        <v>5116</v>
      </c>
      <c r="AK1237" t="s">
        <v>16016</v>
      </c>
      <c r="AL1237">
        <v>1.92</v>
      </c>
      <c r="AM1237">
        <v>0.91</v>
      </c>
      <c r="AN1237">
        <v>0.42</v>
      </c>
      <c r="AO1237" t="s">
        <v>6473</v>
      </c>
      <c r="AP1237" t="s">
        <v>1736</v>
      </c>
      <c r="AQ1237" t="s">
        <v>4172</v>
      </c>
      <c r="AR1237" t="s">
        <v>2876</v>
      </c>
      <c r="AS1237" t="s">
        <v>2307</v>
      </c>
      <c r="AT1237" t="s">
        <v>10852</v>
      </c>
      <c r="AU1237" t="s">
        <v>2644</v>
      </c>
      <c r="AV1237" t="s">
        <v>8662</v>
      </c>
      <c r="AW1237" t="s">
        <v>4430</v>
      </c>
      <c r="AX1237" t="s">
        <v>234</v>
      </c>
      <c r="AY1237" t="s">
        <v>4430</v>
      </c>
      <c r="AZ1237" t="s">
        <v>5927</v>
      </c>
      <c r="BA1237">
        <v>2.73</v>
      </c>
      <c r="BB1237">
        <v>603.07000000000005</v>
      </c>
      <c r="BC1237">
        <v>0.59</v>
      </c>
      <c r="BD1237">
        <v>89.2</v>
      </c>
      <c r="BE1237">
        <v>90.66</v>
      </c>
      <c r="BF1237">
        <v>89.27</v>
      </c>
      <c r="BG1237" t="s">
        <v>16017</v>
      </c>
      <c r="BH1237" t="s">
        <v>10404</v>
      </c>
      <c r="BI1237" t="s">
        <v>16018</v>
      </c>
      <c r="BJ1237" t="s">
        <v>101</v>
      </c>
      <c r="BK1237" t="s">
        <v>3758</v>
      </c>
      <c r="BL1237" t="s">
        <v>1199</v>
      </c>
      <c r="BM1237" t="s">
        <v>169</v>
      </c>
      <c r="BN1237" t="s">
        <v>14623</v>
      </c>
    </row>
    <row r="1238" spans="1:66" x14ac:dyDescent="0.25">
      <c r="A1238" t="str">
        <f>HYPERLINK("https://elite.finviz.com/quote.ashx?t=CRCT&amp;ty=c&amp;p=d&amp;b=1", "CRCT")</f>
        <v>CRCT</v>
      </c>
      <c r="B1238">
        <v>6</v>
      </c>
      <c r="C1238">
        <v>127.03</v>
      </c>
      <c r="D1238">
        <v>48.35</v>
      </c>
      <c r="E1238" t="s">
        <v>16019</v>
      </c>
      <c r="F1238" t="s">
        <v>67</v>
      </c>
      <c r="G1238" t="s">
        <v>108</v>
      </c>
      <c r="H1238" t="s">
        <v>496</v>
      </c>
      <c r="I1238" t="s">
        <v>70</v>
      </c>
      <c r="J1238" t="s">
        <v>321</v>
      </c>
      <c r="K1238">
        <v>1320.48</v>
      </c>
      <c r="L1238">
        <v>6.22</v>
      </c>
      <c r="M1238" t="s">
        <v>4086</v>
      </c>
      <c r="N1238">
        <v>108683</v>
      </c>
      <c r="O1238">
        <v>18.57</v>
      </c>
      <c r="P1238">
        <v>24.96</v>
      </c>
      <c r="R1238">
        <v>1.85</v>
      </c>
      <c r="S1238">
        <v>4.2699999999999996</v>
      </c>
      <c r="T1238" t="s">
        <v>2470</v>
      </c>
      <c r="U1238">
        <v>0.19</v>
      </c>
      <c r="V1238" t="s">
        <v>15904</v>
      </c>
      <c r="Z1238" t="s">
        <v>16020</v>
      </c>
      <c r="AA1238">
        <v>0.33</v>
      </c>
      <c r="AB1238" t="s">
        <v>11363</v>
      </c>
      <c r="AC1238" t="s">
        <v>16021</v>
      </c>
      <c r="AD1238" t="s">
        <v>2132</v>
      </c>
      <c r="AE1238" t="s">
        <v>552</v>
      </c>
      <c r="AF1238" t="s">
        <v>6589</v>
      </c>
      <c r="AG1238" t="s">
        <v>3837</v>
      </c>
      <c r="AH1238" t="s">
        <v>3635</v>
      </c>
      <c r="AI1238" t="s">
        <v>16022</v>
      </c>
      <c r="AJ1238" t="s">
        <v>1226</v>
      </c>
      <c r="AK1238" t="s">
        <v>7777</v>
      </c>
      <c r="AL1238">
        <v>1.52</v>
      </c>
      <c r="AM1238">
        <v>1.21</v>
      </c>
      <c r="AN1238">
        <v>0.04</v>
      </c>
      <c r="AO1238" t="s">
        <v>6665</v>
      </c>
      <c r="AP1238" t="s">
        <v>2820</v>
      </c>
      <c r="AQ1238" t="s">
        <v>2085</v>
      </c>
      <c r="AR1238" t="s">
        <v>9651</v>
      </c>
      <c r="AS1238" t="s">
        <v>749</v>
      </c>
      <c r="AT1238" t="s">
        <v>1356</v>
      </c>
      <c r="AU1238" t="s">
        <v>506</v>
      </c>
      <c r="AV1238" t="s">
        <v>5046</v>
      </c>
      <c r="AW1238" t="s">
        <v>5773</v>
      </c>
      <c r="AX1238" t="s">
        <v>11183</v>
      </c>
      <c r="AY1238" t="s">
        <v>5773</v>
      </c>
      <c r="AZ1238" t="s">
        <v>6919</v>
      </c>
      <c r="BA1238">
        <v>4.5</v>
      </c>
      <c r="BB1238">
        <v>720.54</v>
      </c>
      <c r="BC1238">
        <v>0.53</v>
      </c>
      <c r="BD1238">
        <v>6.26</v>
      </c>
      <c r="BE1238">
        <v>6.29</v>
      </c>
      <c r="BF1238">
        <v>6.2</v>
      </c>
      <c r="BG1238" t="s">
        <v>16023</v>
      </c>
      <c r="BH1238" t="s">
        <v>16024</v>
      </c>
      <c r="BI1238" t="s">
        <v>6919</v>
      </c>
      <c r="BJ1238" t="s">
        <v>101</v>
      </c>
      <c r="BK1238" t="s">
        <v>2150</v>
      </c>
      <c r="BL1238" t="s">
        <v>12154</v>
      </c>
      <c r="BM1238" t="s">
        <v>4526</v>
      </c>
      <c r="BN1238" t="s">
        <v>14623</v>
      </c>
    </row>
    <row r="1239" spans="1:66" x14ac:dyDescent="0.25">
      <c r="A1239" t="str">
        <f>HYPERLINK("https://elite.finviz.com/quote.ashx?t=MFIN&amp;ty=c&amp;p=d&amp;b=1", "MFIN")</f>
        <v>MFIN</v>
      </c>
      <c r="B1239">
        <v>6</v>
      </c>
      <c r="C1239">
        <v>127.03</v>
      </c>
      <c r="D1239">
        <v>48.36</v>
      </c>
      <c r="E1239" t="s">
        <v>16025</v>
      </c>
      <c r="F1239" t="s">
        <v>67</v>
      </c>
      <c r="G1239" t="s">
        <v>550</v>
      </c>
      <c r="H1239" t="s">
        <v>3744</v>
      </c>
      <c r="I1239" t="s">
        <v>70</v>
      </c>
      <c r="J1239" t="s">
        <v>321</v>
      </c>
      <c r="K1239">
        <v>242.46</v>
      </c>
      <c r="L1239">
        <v>10.43</v>
      </c>
      <c r="M1239" t="s">
        <v>3495</v>
      </c>
      <c r="N1239">
        <v>5302</v>
      </c>
      <c r="O1239">
        <v>5.96</v>
      </c>
      <c r="P1239">
        <v>9.31</v>
      </c>
      <c r="R1239">
        <v>0.73</v>
      </c>
      <c r="S1239">
        <v>0.6</v>
      </c>
      <c r="T1239" t="s">
        <v>7699</v>
      </c>
      <c r="U1239">
        <v>0.46</v>
      </c>
      <c r="V1239" t="s">
        <v>3046</v>
      </c>
      <c r="W1239" t="s">
        <v>1531</v>
      </c>
      <c r="Z1239" t="s">
        <v>7139</v>
      </c>
      <c r="AA1239">
        <v>1.75</v>
      </c>
      <c r="AC1239" t="s">
        <v>15503</v>
      </c>
      <c r="AG1239" t="s">
        <v>5775</v>
      </c>
      <c r="AH1239" t="s">
        <v>8290</v>
      </c>
      <c r="AI1239" t="s">
        <v>3979</v>
      </c>
      <c r="AJ1239" t="s">
        <v>164</v>
      </c>
      <c r="AK1239" t="s">
        <v>725</v>
      </c>
      <c r="AL1239">
        <v>22.1</v>
      </c>
      <c r="AM1239">
        <v>1.5</v>
      </c>
      <c r="AN1239">
        <v>5.9</v>
      </c>
      <c r="AO1239" t="s">
        <v>16026</v>
      </c>
      <c r="AP1239" t="s">
        <v>16027</v>
      </c>
      <c r="AQ1239" t="s">
        <v>14731</v>
      </c>
      <c r="AR1239" t="s">
        <v>387</v>
      </c>
      <c r="AS1239" t="s">
        <v>3208</v>
      </c>
      <c r="AT1239" t="s">
        <v>7598</v>
      </c>
      <c r="AU1239" t="s">
        <v>2864</v>
      </c>
      <c r="AV1239" t="s">
        <v>6587</v>
      </c>
      <c r="AW1239" t="s">
        <v>4215</v>
      </c>
      <c r="AX1239" t="s">
        <v>2392</v>
      </c>
      <c r="AY1239" t="s">
        <v>4215</v>
      </c>
      <c r="AZ1239" t="s">
        <v>16028</v>
      </c>
      <c r="BB1239">
        <v>59.71</v>
      </c>
      <c r="BC1239">
        <v>0.32</v>
      </c>
      <c r="BD1239">
        <v>10.5</v>
      </c>
      <c r="BE1239">
        <v>10.65</v>
      </c>
      <c r="BF1239">
        <v>10.47</v>
      </c>
      <c r="BG1239" t="s">
        <v>16029</v>
      </c>
      <c r="BH1239" t="s">
        <v>16030</v>
      </c>
      <c r="BI1239" t="s">
        <v>16031</v>
      </c>
      <c r="BJ1239" t="s">
        <v>101</v>
      </c>
      <c r="BK1239" t="s">
        <v>6392</v>
      </c>
      <c r="BL1239" t="s">
        <v>16032</v>
      </c>
      <c r="BM1239" t="s">
        <v>5669</v>
      </c>
      <c r="BN1239" t="s">
        <v>14623</v>
      </c>
    </row>
    <row r="1240" spans="1:66" x14ac:dyDescent="0.25">
      <c r="A1240" t="str">
        <f>HYPERLINK("https://elite.finviz.com/quote.ashx?t=CRAQ&amp;ty=c&amp;p=d&amp;b=1", "CRAQ")</f>
        <v>CRAQ</v>
      </c>
      <c r="B1240">
        <v>6</v>
      </c>
      <c r="C1240">
        <v>127.03</v>
      </c>
      <c r="D1240">
        <v>48.36</v>
      </c>
      <c r="E1240" t="s">
        <v>16033</v>
      </c>
      <c r="F1240" t="s">
        <v>107</v>
      </c>
      <c r="G1240" t="s">
        <v>550</v>
      </c>
      <c r="H1240" t="s">
        <v>2120</v>
      </c>
      <c r="I1240" t="s">
        <v>70</v>
      </c>
      <c r="J1240" t="s">
        <v>321</v>
      </c>
      <c r="K1240">
        <v>313.14</v>
      </c>
      <c r="L1240">
        <v>9.99</v>
      </c>
      <c r="M1240" t="s">
        <v>164</v>
      </c>
      <c r="N1240">
        <v>0</v>
      </c>
      <c r="S1240">
        <v>1.4</v>
      </c>
      <c r="AJ1240" t="s">
        <v>164</v>
      </c>
      <c r="AK1240" t="s">
        <v>6283</v>
      </c>
      <c r="AL1240">
        <v>12.3</v>
      </c>
      <c r="AM1240">
        <v>12.3</v>
      </c>
      <c r="AN1240">
        <v>0</v>
      </c>
      <c r="AR1240" t="s">
        <v>4539</v>
      </c>
      <c r="AS1240" t="s">
        <v>1324</v>
      </c>
      <c r="AT1240" t="s">
        <v>4699</v>
      </c>
      <c r="AU1240" t="s">
        <v>629</v>
      </c>
      <c r="AV1240" t="s">
        <v>629</v>
      </c>
      <c r="AW1240" t="s">
        <v>818</v>
      </c>
      <c r="AX1240" t="s">
        <v>6245</v>
      </c>
      <c r="AY1240" t="s">
        <v>818</v>
      </c>
      <c r="AZ1240" t="s">
        <v>6245</v>
      </c>
      <c r="BB1240">
        <v>96.27</v>
      </c>
      <c r="BC1240">
        <v>0</v>
      </c>
      <c r="BD1240">
        <v>9.99</v>
      </c>
      <c r="BE1240">
        <v>9.99</v>
      </c>
      <c r="BF1240">
        <v>9.99</v>
      </c>
      <c r="BG1240" t="s">
        <v>16034</v>
      </c>
      <c r="BH1240" t="s">
        <v>818</v>
      </c>
      <c r="BI1240" t="s">
        <v>6245</v>
      </c>
      <c r="BJ1240" t="s">
        <v>101</v>
      </c>
      <c r="BN1240" t="s">
        <v>14623</v>
      </c>
    </row>
    <row r="1241" spans="1:66" x14ac:dyDescent="0.25">
      <c r="A1241" t="str">
        <f>HYPERLINK("https://elite.finviz.com/quote.ashx?t=ODC&amp;ty=c&amp;p=d&amp;b=1", "ODC")</f>
        <v>ODC</v>
      </c>
      <c r="B1241">
        <v>6</v>
      </c>
      <c r="C1241">
        <v>127.03</v>
      </c>
      <c r="D1241">
        <v>48.37</v>
      </c>
      <c r="E1241" t="s">
        <v>16035</v>
      </c>
      <c r="F1241" t="s">
        <v>67</v>
      </c>
      <c r="G1241" t="s">
        <v>355</v>
      </c>
      <c r="H1241" t="s">
        <v>1147</v>
      </c>
      <c r="I1241" t="s">
        <v>70</v>
      </c>
      <c r="J1241" t="s">
        <v>71</v>
      </c>
      <c r="K1241">
        <v>852.44</v>
      </c>
      <c r="L1241">
        <v>62.81</v>
      </c>
      <c r="M1241" t="s">
        <v>3358</v>
      </c>
      <c r="N1241">
        <v>2692</v>
      </c>
      <c r="O1241">
        <v>18.23</v>
      </c>
      <c r="R1241">
        <v>1.8</v>
      </c>
      <c r="S1241">
        <v>3.45</v>
      </c>
      <c r="T1241" t="s">
        <v>2144</v>
      </c>
      <c r="U1241">
        <v>0.65</v>
      </c>
      <c r="V1241" t="s">
        <v>1762</v>
      </c>
      <c r="W1241" t="s">
        <v>5027</v>
      </c>
      <c r="X1241" t="s">
        <v>5111</v>
      </c>
      <c r="Y1241" t="s">
        <v>3521</v>
      </c>
      <c r="Z1241" t="s">
        <v>15794</v>
      </c>
      <c r="AA1241">
        <v>3.45</v>
      </c>
      <c r="AB1241" t="s">
        <v>16036</v>
      </c>
      <c r="AC1241" t="s">
        <v>15905</v>
      </c>
      <c r="AE1241" t="s">
        <v>230</v>
      </c>
      <c r="AF1241" t="s">
        <v>1489</v>
      </c>
      <c r="AG1241" t="s">
        <v>4223</v>
      </c>
      <c r="AH1241" t="s">
        <v>7511</v>
      </c>
      <c r="AJ1241" t="s">
        <v>4538</v>
      </c>
      <c r="AK1241" t="s">
        <v>16037</v>
      </c>
      <c r="AL1241">
        <v>2.83</v>
      </c>
      <c r="AM1241">
        <v>1.85</v>
      </c>
      <c r="AN1241">
        <v>0.23</v>
      </c>
      <c r="AO1241" t="s">
        <v>6996</v>
      </c>
      <c r="AP1241" t="s">
        <v>2626</v>
      </c>
      <c r="AQ1241" t="s">
        <v>1491</v>
      </c>
      <c r="AR1241" t="s">
        <v>7484</v>
      </c>
      <c r="AS1241" t="s">
        <v>2742</v>
      </c>
      <c r="AT1241" t="s">
        <v>132</v>
      </c>
      <c r="AU1241" t="s">
        <v>7154</v>
      </c>
      <c r="AV1241" t="s">
        <v>10651</v>
      </c>
      <c r="AW1241" t="s">
        <v>8829</v>
      </c>
      <c r="AX1241" t="s">
        <v>4747</v>
      </c>
      <c r="AY1241" t="s">
        <v>8829</v>
      </c>
      <c r="AZ1241" t="s">
        <v>16038</v>
      </c>
      <c r="BB1241">
        <v>73.569999999999993</v>
      </c>
      <c r="BC1241">
        <v>0.13</v>
      </c>
      <c r="BD1241">
        <v>62.73</v>
      </c>
      <c r="BE1241">
        <v>62.81</v>
      </c>
      <c r="BF1241">
        <v>62.62</v>
      </c>
      <c r="BG1241" t="s">
        <v>16039</v>
      </c>
      <c r="BH1241" t="s">
        <v>8829</v>
      </c>
      <c r="BI1241" t="s">
        <v>16040</v>
      </c>
      <c r="BJ1241" t="s">
        <v>101</v>
      </c>
      <c r="BK1241" t="s">
        <v>863</v>
      </c>
      <c r="BL1241" t="s">
        <v>643</v>
      </c>
      <c r="BM1241" t="s">
        <v>16041</v>
      </c>
      <c r="BN1241" t="s">
        <v>14623</v>
      </c>
    </row>
    <row r="1242" spans="1:66" x14ac:dyDescent="0.25">
      <c r="A1242" t="str">
        <f>HYPERLINK("https://elite.finviz.com/quote.ashx?t=RYM&amp;ty=c&amp;p=d&amp;b=1", "RYM")</f>
        <v>RYM</v>
      </c>
      <c r="B1242">
        <v>6</v>
      </c>
      <c r="C1242">
        <v>127.03</v>
      </c>
      <c r="D1242">
        <v>48.39</v>
      </c>
      <c r="E1242" t="s">
        <v>16042</v>
      </c>
      <c r="F1242" t="s">
        <v>107</v>
      </c>
      <c r="G1242" t="s">
        <v>260</v>
      </c>
      <c r="H1242" t="s">
        <v>320</v>
      </c>
      <c r="I1242" t="s">
        <v>70</v>
      </c>
      <c r="J1242" t="s">
        <v>321</v>
      </c>
      <c r="K1242">
        <v>72.16</v>
      </c>
      <c r="L1242">
        <v>36.04</v>
      </c>
      <c r="M1242" t="s">
        <v>4953</v>
      </c>
      <c r="N1242">
        <v>714</v>
      </c>
      <c r="R1242">
        <v>10.82</v>
      </c>
      <c r="S1242">
        <v>3.44</v>
      </c>
      <c r="AA1242">
        <v>-30.08</v>
      </c>
      <c r="AB1242" t="s">
        <v>12985</v>
      </c>
      <c r="AC1242" t="s">
        <v>9467</v>
      </c>
      <c r="AE1242" t="s">
        <v>10814</v>
      </c>
      <c r="AF1242" t="s">
        <v>15576</v>
      </c>
      <c r="AG1242" t="s">
        <v>7211</v>
      </c>
      <c r="AH1242" t="s">
        <v>16043</v>
      </c>
      <c r="AJ1242" t="s">
        <v>337</v>
      </c>
      <c r="AK1242" t="s">
        <v>3530</v>
      </c>
      <c r="AL1242">
        <v>2.64</v>
      </c>
      <c r="AM1242">
        <v>2.52</v>
      </c>
      <c r="AN1242">
        <v>1.94</v>
      </c>
      <c r="AO1242" t="s">
        <v>3916</v>
      </c>
      <c r="AP1242" t="s">
        <v>16044</v>
      </c>
      <c r="AQ1242" t="s">
        <v>16045</v>
      </c>
      <c r="AR1242" t="s">
        <v>7403</v>
      </c>
      <c r="AS1242" t="s">
        <v>6573</v>
      </c>
      <c r="AT1242" t="s">
        <v>4868</v>
      </c>
      <c r="AU1242" t="s">
        <v>531</v>
      </c>
      <c r="AV1242" t="s">
        <v>16046</v>
      </c>
      <c r="AW1242" t="s">
        <v>13104</v>
      </c>
      <c r="AX1242" t="s">
        <v>16047</v>
      </c>
      <c r="AY1242" t="s">
        <v>15884</v>
      </c>
      <c r="AZ1242" t="s">
        <v>16048</v>
      </c>
      <c r="BA1242">
        <v>1</v>
      </c>
      <c r="BB1242">
        <v>21.22</v>
      </c>
      <c r="BC1242">
        <v>0.12</v>
      </c>
      <c r="BD1242">
        <v>36.51</v>
      </c>
      <c r="BE1242">
        <v>36.409999999999997</v>
      </c>
      <c r="BF1242">
        <v>36.409999999999997</v>
      </c>
      <c r="BG1242" t="s">
        <v>16049</v>
      </c>
      <c r="BH1242" t="s">
        <v>5233</v>
      </c>
      <c r="BI1242" t="s">
        <v>16048</v>
      </c>
      <c r="BJ1242" t="s">
        <v>101</v>
      </c>
      <c r="BK1242" t="s">
        <v>16050</v>
      </c>
      <c r="BL1242" t="s">
        <v>16051</v>
      </c>
      <c r="BM1242" t="s">
        <v>16052</v>
      </c>
      <c r="BN1242" t="s">
        <v>14623</v>
      </c>
    </row>
    <row r="1243" spans="1:66" x14ac:dyDescent="0.25">
      <c r="A1243" t="str">
        <f>HYPERLINK("https://elite.finviz.com/quote.ashx?t=CFFI&amp;ty=c&amp;p=d&amp;b=1", "CFFI")</f>
        <v>CFFI</v>
      </c>
      <c r="B1243">
        <v>6</v>
      </c>
      <c r="C1243">
        <v>127.03</v>
      </c>
      <c r="D1243">
        <v>48.42</v>
      </c>
      <c r="E1243" t="s">
        <v>16053</v>
      </c>
      <c r="F1243" t="s">
        <v>67</v>
      </c>
      <c r="G1243" t="s">
        <v>550</v>
      </c>
      <c r="H1243" t="s">
        <v>697</v>
      </c>
      <c r="I1243" t="s">
        <v>70</v>
      </c>
      <c r="J1243" t="s">
        <v>321</v>
      </c>
      <c r="K1243">
        <v>224.16</v>
      </c>
      <c r="L1243">
        <v>69.22</v>
      </c>
      <c r="M1243" t="s">
        <v>4865</v>
      </c>
      <c r="N1243">
        <v>835</v>
      </c>
      <c r="O1243">
        <v>9.16</v>
      </c>
      <c r="R1243">
        <v>1.25</v>
      </c>
      <c r="S1243">
        <v>0.93</v>
      </c>
      <c r="T1243" t="s">
        <v>2643</v>
      </c>
      <c r="U1243">
        <v>1.82</v>
      </c>
      <c r="V1243" t="s">
        <v>3833</v>
      </c>
      <c r="W1243" t="s">
        <v>164</v>
      </c>
      <c r="X1243" t="s">
        <v>2494</v>
      </c>
      <c r="Y1243" t="s">
        <v>4569</v>
      </c>
      <c r="Z1243" t="s">
        <v>16054</v>
      </c>
      <c r="AA1243">
        <v>7.55</v>
      </c>
      <c r="AB1243" t="s">
        <v>12282</v>
      </c>
      <c r="AC1243" t="s">
        <v>3118</v>
      </c>
      <c r="AE1243" t="s">
        <v>2629</v>
      </c>
      <c r="AF1243" t="s">
        <v>351</v>
      </c>
      <c r="AG1243" t="s">
        <v>1826</v>
      </c>
      <c r="AH1243" t="s">
        <v>7775</v>
      </c>
      <c r="AI1243" t="s">
        <v>164</v>
      </c>
      <c r="AJ1243" t="s">
        <v>2132</v>
      </c>
      <c r="AK1243" t="s">
        <v>16055</v>
      </c>
      <c r="AL1243">
        <v>0.15</v>
      </c>
      <c r="AN1243">
        <v>0.61</v>
      </c>
      <c r="AP1243" t="s">
        <v>12266</v>
      </c>
      <c r="AQ1243" t="s">
        <v>5096</v>
      </c>
      <c r="AR1243" t="s">
        <v>3349</v>
      </c>
      <c r="AS1243" t="s">
        <v>4891</v>
      </c>
      <c r="AT1243" t="s">
        <v>7039</v>
      </c>
      <c r="AU1243" t="s">
        <v>1457</v>
      </c>
      <c r="AV1243" t="s">
        <v>171</v>
      </c>
      <c r="AW1243" t="s">
        <v>16056</v>
      </c>
      <c r="AX1243" t="s">
        <v>1609</v>
      </c>
      <c r="AY1243" t="s">
        <v>16057</v>
      </c>
      <c r="AZ1243" t="s">
        <v>16058</v>
      </c>
      <c r="BB1243">
        <v>19.63</v>
      </c>
      <c r="BC1243">
        <v>0.15</v>
      </c>
      <c r="BD1243">
        <v>68.73</v>
      </c>
      <c r="BE1243">
        <v>68.73</v>
      </c>
      <c r="BF1243">
        <v>68.73</v>
      </c>
      <c r="BG1243" t="s">
        <v>16059</v>
      </c>
      <c r="BH1243" t="s">
        <v>16057</v>
      </c>
      <c r="BI1243" t="s">
        <v>16060</v>
      </c>
      <c r="BJ1243" t="s">
        <v>101</v>
      </c>
      <c r="BK1243" t="s">
        <v>330</v>
      </c>
      <c r="BL1243" t="s">
        <v>9600</v>
      </c>
      <c r="BM1243" t="s">
        <v>11024</v>
      </c>
      <c r="BN1243" t="s">
        <v>14623</v>
      </c>
    </row>
    <row r="1244" spans="1:66" x14ac:dyDescent="0.25">
      <c r="A1244" t="str">
        <f>HYPERLINK("https://elite.finviz.com/quote.ashx?t=ALGT&amp;ty=c&amp;p=d&amp;b=1", "ALGT")</f>
        <v>ALGT</v>
      </c>
      <c r="B1244">
        <v>6</v>
      </c>
      <c r="C1244">
        <v>127.03</v>
      </c>
      <c r="D1244">
        <v>48.43</v>
      </c>
      <c r="E1244" t="s">
        <v>16061</v>
      </c>
      <c r="F1244" t="s">
        <v>67</v>
      </c>
      <c r="G1244" t="s">
        <v>260</v>
      </c>
      <c r="H1244" t="s">
        <v>5362</v>
      </c>
      <c r="I1244" t="s">
        <v>70</v>
      </c>
      <c r="J1244" t="s">
        <v>321</v>
      </c>
      <c r="K1244">
        <v>1105.96</v>
      </c>
      <c r="L1244">
        <v>60.27</v>
      </c>
      <c r="M1244" t="s">
        <v>908</v>
      </c>
      <c r="N1244">
        <v>36977</v>
      </c>
      <c r="P1244">
        <v>10.27</v>
      </c>
      <c r="R1244">
        <v>0.43</v>
      </c>
      <c r="S1244">
        <v>1.05</v>
      </c>
      <c r="V1244" t="s">
        <v>16062</v>
      </c>
      <c r="AA1244">
        <v>-15.94</v>
      </c>
      <c r="AD1244" t="s">
        <v>780</v>
      </c>
      <c r="AE1244" t="s">
        <v>2356</v>
      </c>
      <c r="AF1244" t="s">
        <v>10137</v>
      </c>
      <c r="AG1244" t="s">
        <v>4742</v>
      </c>
      <c r="AH1244" t="s">
        <v>2941</v>
      </c>
      <c r="AI1244" t="s">
        <v>2318</v>
      </c>
      <c r="AJ1244" t="s">
        <v>2745</v>
      </c>
      <c r="AK1244" t="s">
        <v>15326</v>
      </c>
      <c r="AL1244">
        <v>1.1000000000000001</v>
      </c>
      <c r="AM1244">
        <v>1.07</v>
      </c>
      <c r="AN1244">
        <v>1.93</v>
      </c>
      <c r="AO1244" t="s">
        <v>9123</v>
      </c>
      <c r="AP1244" t="s">
        <v>7767</v>
      </c>
      <c r="AQ1244" t="s">
        <v>12908</v>
      </c>
      <c r="AR1244" t="s">
        <v>4659</v>
      </c>
      <c r="AS1244" t="s">
        <v>5969</v>
      </c>
      <c r="AT1244" t="s">
        <v>11661</v>
      </c>
      <c r="AU1244" t="s">
        <v>247</v>
      </c>
      <c r="AV1244" t="s">
        <v>10533</v>
      </c>
      <c r="AW1244" t="s">
        <v>5853</v>
      </c>
      <c r="AX1244" t="s">
        <v>9343</v>
      </c>
      <c r="AY1244" t="s">
        <v>13644</v>
      </c>
      <c r="AZ1244" t="s">
        <v>8010</v>
      </c>
      <c r="BA1244">
        <v>2.62</v>
      </c>
      <c r="BB1244">
        <v>432.82</v>
      </c>
      <c r="BC1244">
        <v>0.3</v>
      </c>
      <c r="BD1244">
        <v>59.26</v>
      </c>
      <c r="BE1244">
        <v>60.55</v>
      </c>
      <c r="BF1244">
        <v>59.37</v>
      </c>
      <c r="BG1244" t="s">
        <v>16063</v>
      </c>
      <c r="BH1244" t="s">
        <v>16064</v>
      </c>
      <c r="BI1244" t="s">
        <v>16065</v>
      </c>
      <c r="BJ1244" t="s">
        <v>101</v>
      </c>
      <c r="BK1244" t="s">
        <v>3672</v>
      </c>
      <c r="BL1244" t="s">
        <v>5653</v>
      </c>
      <c r="BM1244" t="s">
        <v>10651</v>
      </c>
      <c r="BN1244" t="s">
        <v>14623</v>
      </c>
    </row>
    <row r="1245" spans="1:66" x14ac:dyDescent="0.25">
      <c r="A1245" t="str">
        <f>HYPERLINK("https://elite.finviz.com/quote.ashx?t=CISO&amp;ty=c&amp;p=d&amp;b=1", "CISO")</f>
        <v>CISO</v>
      </c>
      <c r="B1245">
        <v>6</v>
      </c>
      <c r="C1245">
        <v>127.03</v>
      </c>
      <c r="D1245">
        <v>48.47</v>
      </c>
      <c r="E1245" t="s">
        <v>16066</v>
      </c>
      <c r="F1245" t="s">
        <v>107</v>
      </c>
      <c r="G1245" t="s">
        <v>108</v>
      </c>
      <c r="H1245" t="s">
        <v>109</v>
      </c>
      <c r="I1245" t="s">
        <v>70</v>
      </c>
      <c r="J1245" t="s">
        <v>321</v>
      </c>
      <c r="K1245">
        <v>36.090000000000003</v>
      </c>
      <c r="L1245">
        <v>1.08</v>
      </c>
      <c r="M1245" t="s">
        <v>6597</v>
      </c>
      <c r="N1245">
        <v>121808</v>
      </c>
      <c r="R1245">
        <v>1.25</v>
      </c>
      <c r="S1245">
        <v>4.67</v>
      </c>
      <c r="AA1245">
        <v>-1.27</v>
      </c>
      <c r="AB1245" t="s">
        <v>2270</v>
      </c>
      <c r="AC1245" t="s">
        <v>13345</v>
      </c>
      <c r="AE1245" t="s">
        <v>16067</v>
      </c>
      <c r="AF1245" t="s">
        <v>10099</v>
      </c>
      <c r="AG1245" t="s">
        <v>16068</v>
      </c>
      <c r="AH1245" t="s">
        <v>831</v>
      </c>
      <c r="AI1245" t="s">
        <v>8826</v>
      </c>
      <c r="AJ1245" t="s">
        <v>164</v>
      </c>
      <c r="AK1245" t="s">
        <v>2838</v>
      </c>
      <c r="AL1245">
        <v>0.18</v>
      </c>
      <c r="AM1245">
        <v>0.18</v>
      </c>
      <c r="AN1245">
        <v>1.38</v>
      </c>
      <c r="AO1245" t="s">
        <v>4664</v>
      </c>
      <c r="AP1245" t="s">
        <v>16069</v>
      </c>
      <c r="AQ1245" t="s">
        <v>16070</v>
      </c>
      <c r="AR1245" t="s">
        <v>5439</v>
      </c>
      <c r="AS1245" t="s">
        <v>6408</v>
      </c>
      <c r="AT1245" t="s">
        <v>6130</v>
      </c>
      <c r="AU1245" t="s">
        <v>9651</v>
      </c>
      <c r="AV1245" t="s">
        <v>2880</v>
      </c>
      <c r="AW1245" t="s">
        <v>6511</v>
      </c>
      <c r="AX1245" t="s">
        <v>7939</v>
      </c>
      <c r="AY1245" t="s">
        <v>16071</v>
      </c>
      <c r="AZ1245" t="s">
        <v>16072</v>
      </c>
      <c r="BA1245">
        <v>1</v>
      </c>
      <c r="BB1245">
        <v>723.31</v>
      </c>
      <c r="BC1245">
        <v>0.59</v>
      </c>
      <c r="BD1245">
        <v>1.1000000000000001</v>
      </c>
      <c r="BE1245">
        <v>1.1399999999999999</v>
      </c>
      <c r="BF1245">
        <v>1.08</v>
      </c>
      <c r="BG1245" t="s">
        <v>16073</v>
      </c>
      <c r="BH1245" t="s">
        <v>3590</v>
      </c>
      <c r="BI1245" t="s">
        <v>16074</v>
      </c>
      <c r="BJ1245" t="s">
        <v>101</v>
      </c>
      <c r="BK1245" t="s">
        <v>5354</v>
      </c>
      <c r="BL1245" t="s">
        <v>11818</v>
      </c>
      <c r="BM1245" t="s">
        <v>10423</v>
      </c>
      <c r="BN1245" t="s">
        <v>14623</v>
      </c>
    </row>
    <row r="1246" spans="1:66" x14ac:dyDescent="0.25">
      <c r="A1246" t="str">
        <f>HYPERLINK("https://elite.finviz.com/quote.ashx?t=LECO&amp;ty=c&amp;p=d&amp;b=1", "LECO")</f>
        <v>LECO</v>
      </c>
      <c r="B1246">
        <v>6</v>
      </c>
      <c r="C1246">
        <v>127.03</v>
      </c>
      <c r="D1246">
        <v>48.48</v>
      </c>
      <c r="E1246" t="s">
        <v>16075</v>
      </c>
      <c r="F1246" t="s">
        <v>107</v>
      </c>
      <c r="G1246" t="s">
        <v>260</v>
      </c>
      <c r="H1246" t="s">
        <v>16076</v>
      </c>
      <c r="I1246" t="s">
        <v>70</v>
      </c>
      <c r="J1246" t="s">
        <v>321</v>
      </c>
      <c r="K1246">
        <v>13091</v>
      </c>
      <c r="L1246">
        <v>237.21</v>
      </c>
      <c r="M1246" t="s">
        <v>3226</v>
      </c>
      <c r="N1246">
        <v>55955</v>
      </c>
      <c r="O1246">
        <v>26.68</v>
      </c>
      <c r="P1246">
        <v>22.28</v>
      </c>
      <c r="Q1246">
        <v>3.65</v>
      </c>
      <c r="R1246">
        <v>3.19</v>
      </c>
      <c r="S1246">
        <v>9.49</v>
      </c>
      <c r="T1246" t="s">
        <v>5745</v>
      </c>
      <c r="U1246">
        <v>2.96</v>
      </c>
      <c r="V1246" t="s">
        <v>198</v>
      </c>
      <c r="W1246" t="s">
        <v>2200</v>
      </c>
      <c r="X1246" t="s">
        <v>12058</v>
      </c>
      <c r="Y1246" t="s">
        <v>2428</v>
      </c>
      <c r="Z1246" t="s">
        <v>9524</v>
      </c>
      <c r="AA1246">
        <v>8.89</v>
      </c>
      <c r="AB1246" t="s">
        <v>16077</v>
      </c>
      <c r="AC1246" t="s">
        <v>11337</v>
      </c>
      <c r="AD1246" t="s">
        <v>3181</v>
      </c>
      <c r="AE1246" t="s">
        <v>6182</v>
      </c>
      <c r="AF1246" t="s">
        <v>3228</v>
      </c>
      <c r="AG1246" t="s">
        <v>1496</v>
      </c>
      <c r="AH1246" t="s">
        <v>8960</v>
      </c>
      <c r="AI1246" t="s">
        <v>7760</v>
      </c>
      <c r="AJ1246" t="s">
        <v>1080</v>
      </c>
      <c r="AK1246" t="s">
        <v>15640</v>
      </c>
      <c r="AL1246">
        <v>1.68</v>
      </c>
      <c r="AM1246">
        <v>1.08</v>
      </c>
      <c r="AN1246">
        <v>0.95</v>
      </c>
      <c r="AO1246" t="s">
        <v>16078</v>
      </c>
      <c r="AP1246" t="s">
        <v>3272</v>
      </c>
      <c r="AQ1246" t="s">
        <v>10221</v>
      </c>
      <c r="AR1246" t="s">
        <v>633</v>
      </c>
      <c r="AS1246" t="s">
        <v>3544</v>
      </c>
      <c r="AT1246" t="s">
        <v>530</v>
      </c>
      <c r="AU1246" t="s">
        <v>2760</v>
      </c>
      <c r="AV1246" t="s">
        <v>1561</v>
      </c>
      <c r="AW1246" t="s">
        <v>2498</v>
      </c>
      <c r="AX1246" t="s">
        <v>2192</v>
      </c>
      <c r="AY1246" t="s">
        <v>2498</v>
      </c>
      <c r="AZ1246" t="s">
        <v>16079</v>
      </c>
      <c r="BA1246">
        <v>2.36</v>
      </c>
      <c r="BB1246">
        <v>349.46</v>
      </c>
      <c r="BC1246">
        <v>0.56000000000000005</v>
      </c>
      <c r="BD1246">
        <v>236.31</v>
      </c>
      <c r="BE1246">
        <v>239.42</v>
      </c>
      <c r="BF1246">
        <v>235.38</v>
      </c>
      <c r="BG1246" t="s">
        <v>16080</v>
      </c>
      <c r="BH1246" t="s">
        <v>843</v>
      </c>
      <c r="BI1246" t="s">
        <v>16081</v>
      </c>
      <c r="BJ1246" t="s">
        <v>101</v>
      </c>
      <c r="BK1246" t="s">
        <v>1777</v>
      </c>
      <c r="BL1246" t="s">
        <v>3375</v>
      </c>
      <c r="BM1246" t="s">
        <v>3192</v>
      </c>
      <c r="BN1246" t="s">
        <v>14623</v>
      </c>
    </row>
    <row r="1247" spans="1:66" x14ac:dyDescent="0.25">
      <c r="A1247" t="str">
        <f>HYPERLINK("https://elite.finviz.com/quote.ashx?t=ACNB&amp;ty=c&amp;p=d&amp;b=1", "ACNB")</f>
        <v>ACNB</v>
      </c>
      <c r="B1247">
        <v>6</v>
      </c>
      <c r="C1247">
        <v>127.03</v>
      </c>
      <c r="D1247">
        <v>48.53</v>
      </c>
      <c r="E1247" t="s">
        <v>16082</v>
      </c>
      <c r="F1247" t="s">
        <v>67</v>
      </c>
      <c r="G1247" t="s">
        <v>550</v>
      </c>
      <c r="H1247" t="s">
        <v>697</v>
      </c>
      <c r="I1247" t="s">
        <v>70</v>
      </c>
      <c r="J1247" t="s">
        <v>321</v>
      </c>
      <c r="K1247">
        <v>466.22</v>
      </c>
      <c r="L1247">
        <v>44.54</v>
      </c>
      <c r="M1247" t="s">
        <v>2215</v>
      </c>
      <c r="N1247">
        <v>2295</v>
      </c>
      <c r="O1247">
        <v>16.510000000000002</v>
      </c>
      <c r="P1247">
        <v>9.57</v>
      </c>
      <c r="R1247">
        <v>2.9</v>
      </c>
      <c r="S1247">
        <v>1.18</v>
      </c>
      <c r="T1247" t="s">
        <v>295</v>
      </c>
      <c r="U1247">
        <v>1.32</v>
      </c>
      <c r="V1247" t="s">
        <v>4882</v>
      </c>
      <c r="W1247" t="s">
        <v>11544</v>
      </c>
      <c r="X1247" t="s">
        <v>1771</v>
      </c>
      <c r="Y1247" t="s">
        <v>6527</v>
      </c>
      <c r="Z1247" t="s">
        <v>6042</v>
      </c>
      <c r="AA1247">
        <v>2.7</v>
      </c>
      <c r="AB1247" t="s">
        <v>5611</v>
      </c>
      <c r="AC1247" t="s">
        <v>5420</v>
      </c>
      <c r="AE1247" t="s">
        <v>9147</v>
      </c>
      <c r="AF1247" t="s">
        <v>3147</v>
      </c>
      <c r="AG1247" t="s">
        <v>637</v>
      </c>
      <c r="AH1247" t="s">
        <v>10486</v>
      </c>
      <c r="AI1247" t="s">
        <v>14948</v>
      </c>
      <c r="AJ1247" t="s">
        <v>580</v>
      </c>
      <c r="AK1247" t="s">
        <v>8403</v>
      </c>
      <c r="AL1247">
        <v>0.05</v>
      </c>
      <c r="AN1247">
        <v>0.77</v>
      </c>
      <c r="AP1247" t="s">
        <v>2520</v>
      </c>
      <c r="AQ1247" t="s">
        <v>9175</v>
      </c>
      <c r="AR1247" t="s">
        <v>2274</v>
      </c>
      <c r="AS1247" t="s">
        <v>3925</v>
      </c>
      <c r="AT1247" t="s">
        <v>1067</v>
      </c>
      <c r="AU1247" t="s">
        <v>969</v>
      </c>
      <c r="AV1247" t="s">
        <v>7971</v>
      </c>
      <c r="AW1247" t="s">
        <v>93</v>
      </c>
      <c r="AX1247" t="s">
        <v>1423</v>
      </c>
      <c r="AY1247" t="s">
        <v>8792</v>
      </c>
      <c r="AZ1247" t="s">
        <v>16083</v>
      </c>
      <c r="BA1247">
        <v>1.25</v>
      </c>
      <c r="BB1247">
        <v>24.44</v>
      </c>
      <c r="BC1247">
        <v>0.33</v>
      </c>
      <c r="BD1247">
        <v>44.53</v>
      </c>
      <c r="BE1247">
        <v>44.65</v>
      </c>
      <c r="BF1247">
        <v>44.65</v>
      </c>
      <c r="BG1247" t="s">
        <v>16084</v>
      </c>
      <c r="BH1247" t="s">
        <v>8792</v>
      </c>
      <c r="BI1247" t="s">
        <v>16085</v>
      </c>
      <c r="BJ1247" t="s">
        <v>101</v>
      </c>
      <c r="BK1247" t="s">
        <v>3244</v>
      </c>
      <c r="BL1247" t="s">
        <v>2124</v>
      </c>
      <c r="BM1247" t="s">
        <v>1932</v>
      </c>
      <c r="BN1247" t="s">
        <v>14623</v>
      </c>
    </row>
    <row r="1248" spans="1:66" x14ac:dyDescent="0.25">
      <c r="A1248" t="str">
        <f>HYPERLINK("https://elite.finviz.com/quote.ashx?t=FVCB&amp;ty=c&amp;p=d&amp;b=1", "FVCB")</f>
        <v>FVCB</v>
      </c>
      <c r="B1248">
        <v>6</v>
      </c>
      <c r="C1248">
        <v>127.03</v>
      </c>
      <c r="D1248">
        <v>48.54</v>
      </c>
      <c r="E1248" t="s">
        <v>16086</v>
      </c>
      <c r="F1248" t="s">
        <v>67</v>
      </c>
      <c r="G1248" t="s">
        <v>550</v>
      </c>
      <c r="H1248" t="s">
        <v>697</v>
      </c>
      <c r="I1248" t="s">
        <v>70</v>
      </c>
      <c r="J1248" t="s">
        <v>321</v>
      </c>
      <c r="K1248">
        <v>239.37</v>
      </c>
      <c r="L1248">
        <v>13.26</v>
      </c>
      <c r="M1248" t="s">
        <v>3890</v>
      </c>
      <c r="N1248">
        <v>4049</v>
      </c>
      <c r="O1248">
        <v>11.96</v>
      </c>
      <c r="P1248">
        <v>10.28</v>
      </c>
      <c r="R1248">
        <v>2</v>
      </c>
      <c r="S1248">
        <v>0.98</v>
      </c>
      <c r="T1248" t="s">
        <v>3493</v>
      </c>
      <c r="U1248">
        <v>0.06</v>
      </c>
      <c r="V1248" t="s">
        <v>15179</v>
      </c>
      <c r="Z1248" t="s">
        <v>164</v>
      </c>
      <c r="AA1248">
        <v>1.1100000000000001</v>
      </c>
      <c r="AB1248" t="s">
        <v>2813</v>
      </c>
      <c r="AC1248" t="s">
        <v>5424</v>
      </c>
      <c r="AE1248" t="s">
        <v>1550</v>
      </c>
      <c r="AF1248" t="s">
        <v>685</v>
      </c>
      <c r="AG1248" t="s">
        <v>5877</v>
      </c>
      <c r="AH1248" t="s">
        <v>5336</v>
      </c>
      <c r="AI1248" t="s">
        <v>5114</v>
      </c>
      <c r="AJ1248" t="s">
        <v>5312</v>
      </c>
      <c r="AK1248" t="s">
        <v>16087</v>
      </c>
      <c r="AL1248">
        <v>0.37</v>
      </c>
      <c r="AN1248">
        <v>0.31</v>
      </c>
      <c r="AP1248" t="s">
        <v>11963</v>
      </c>
      <c r="AQ1248" t="s">
        <v>10763</v>
      </c>
      <c r="AR1248" t="s">
        <v>2582</v>
      </c>
      <c r="AS1248" t="s">
        <v>1599</v>
      </c>
      <c r="AT1248" t="s">
        <v>3940</v>
      </c>
      <c r="AU1248" t="s">
        <v>1763</v>
      </c>
      <c r="AV1248" t="s">
        <v>797</v>
      </c>
      <c r="AW1248" t="s">
        <v>3321</v>
      </c>
      <c r="AX1248" t="s">
        <v>3100</v>
      </c>
      <c r="AY1248" t="s">
        <v>8970</v>
      </c>
      <c r="AZ1248" t="s">
        <v>15291</v>
      </c>
      <c r="BA1248">
        <v>2</v>
      </c>
      <c r="BB1248">
        <v>45.56</v>
      </c>
      <c r="BC1248">
        <v>0.32</v>
      </c>
      <c r="BD1248">
        <v>13.3</v>
      </c>
      <c r="BE1248">
        <v>13.54</v>
      </c>
      <c r="BF1248">
        <v>13.33</v>
      </c>
      <c r="BG1248" t="s">
        <v>16088</v>
      </c>
      <c r="BH1248" t="s">
        <v>8717</v>
      </c>
      <c r="BI1248" t="s">
        <v>16089</v>
      </c>
      <c r="BJ1248" t="s">
        <v>101</v>
      </c>
      <c r="BK1248" t="s">
        <v>4450</v>
      </c>
      <c r="BL1248" t="s">
        <v>9215</v>
      </c>
      <c r="BM1248" t="s">
        <v>2421</v>
      </c>
      <c r="BN1248" t="s">
        <v>14623</v>
      </c>
    </row>
    <row r="1249" spans="1:66" x14ac:dyDescent="0.25">
      <c r="A1249" t="str">
        <f>HYPERLINK("https://elite.finviz.com/quote.ashx?t=HOPE&amp;ty=c&amp;p=d&amp;b=1", "HOPE")</f>
        <v>HOPE</v>
      </c>
      <c r="B1249">
        <v>6</v>
      </c>
      <c r="C1249">
        <v>127.03</v>
      </c>
      <c r="D1249">
        <v>48.54</v>
      </c>
      <c r="E1249" t="s">
        <v>16090</v>
      </c>
      <c r="F1249" t="s">
        <v>67</v>
      </c>
      <c r="G1249" t="s">
        <v>550</v>
      </c>
      <c r="H1249" t="s">
        <v>697</v>
      </c>
      <c r="I1249" t="s">
        <v>70</v>
      </c>
      <c r="J1249" t="s">
        <v>321</v>
      </c>
      <c r="K1249">
        <v>1387.55</v>
      </c>
      <c r="L1249">
        <v>10.82</v>
      </c>
      <c r="M1249" t="s">
        <v>770</v>
      </c>
      <c r="N1249">
        <v>58870</v>
      </c>
      <c r="O1249">
        <v>30.42</v>
      </c>
      <c r="P1249">
        <v>9</v>
      </c>
      <c r="R1249">
        <v>1.46</v>
      </c>
      <c r="S1249">
        <v>0.62</v>
      </c>
      <c r="T1249" t="s">
        <v>4393</v>
      </c>
      <c r="U1249">
        <v>0.56000000000000005</v>
      </c>
      <c r="V1249" t="s">
        <v>4066</v>
      </c>
      <c r="W1249" t="s">
        <v>164</v>
      </c>
      <c r="X1249" t="s">
        <v>164</v>
      </c>
      <c r="Y1249" t="s">
        <v>164</v>
      </c>
      <c r="Z1249" t="s">
        <v>16091</v>
      </c>
      <c r="AA1249">
        <v>0.36</v>
      </c>
      <c r="AB1249" t="s">
        <v>16092</v>
      </c>
      <c r="AC1249" t="s">
        <v>16093</v>
      </c>
      <c r="AE1249" t="s">
        <v>15002</v>
      </c>
      <c r="AF1249" t="s">
        <v>6574</v>
      </c>
      <c r="AG1249" t="s">
        <v>1254</v>
      </c>
      <c r="AH1249" t="s">
        <v>2705</v>
      </c>
      <c r="AI1249" t="s">
        <v>16094</v>
      </c>
      <c r="AJ1249" t="s">
        <v>4699</v>
      </c>
      <c r="AK1249" t="s">
        <v>16095</v>
      </c>
      <c r="AL1249">
        <v>0.05</v>
      </c>
      <c r="AN1249">
        <v>0.09</v>
      </c>
      <c r="AP1249" t="s">
        <v>5212</v>
      </c>
      <c r="AQ1249" t="s">
        <v>615</v>
      </c>
      <c r="AR1249" t="s">
        <v>1129</v>
      </c>
      <c r="AS1249" t="s">
        <v>4276</v>
      </c>
      <c r="AT1249" t="s">
        <v>3286</v>
      </c>
      <c r="AU1249" t="s">
        <v>2185</v>
      </c>
      <c r="AV1249" t="s">
        <v>3388</v>
      </c>
      <c r="AW1249" t="s">
        <v>4764</v>
      </c>
      <c r="AX1249" t="s">
        <v>6184</v>
      </c>
      <c r="AY1249" t="s">
        <v>16096</v>
      </c>
      <c r="AZ1249" t="s">
        <v>361</v>
      </c>
      <c r="BA1249">
        <v>2.5</v>
      </c>
      <c r="BB1249">
        <v>870.2</v>
      </c>
      <c r="BC1249">
        <v>0.24</v>
      </c>
      <c r="BD1249">
        <v>10.84</v>
      </c>
      <c r="BE1249">
        <v>10.99</v>
      </c>
      <c r="BF1249">
        <v>10.81</v>
      </c>
      <c r="BG1249" t="s">
        <v>16097</v>
      </c>
      <c r="BH1249" t="s">
        <v>16098</v>
      </c>
      <c r="BI1249" t="s">
        <v>16099</v>
      </c>
      <c r="BJ1249" t="s">
        <v>101</v>
      </c>
      <c r="BK1249" t="s">
        <v>822</v>
      </c>
      <c r="BL1249" t="s">
        <v>2195</v>
      </c>
      <c r="BM1249" t="s">
        <v>13705</v>
      </c>
      <c r="BN1249" t="s">
        <v>14623</v>
      </c>
    </row>
    <row r="1250" spans="1:66" x14ac:dyDescent="0.25">
      <c r="A1250" t="str">
        <f>HYPERLINK("https://elite.finviz.com/quote.ashx?t=JILL&amp;ty=c&amp;p=d&amp;b=1", "JILL")</f>
        <v>JILL</v>
      </c>
      <c r="B1250">
        <v>6</v>
      </c>
      <c r="C1250">
        <v>127.03</v>
      </c>
      <c r="D1250">
        <v>48.57</v>
      </c>
      <c r="E1250" t="s">
        <v>16100</v>
      </c>
      <c r="F1250" t="s">
        <v>67</v>
      </c>
      <c r="G1250" t="s">
        <v>813</v>
      </c>
      <c r="H1250" t="s">
        <v>4488</v>
      </c>
      <c r="I1250" t="s">
        <v>70</v>
      </c>
      <c r="J1250" t="s">
        <v>71</v>
      </c>
      <c r="K1250">
        <v>263.56</v>
      </c>
      <c r="L1250">
        <v>17.309999999999999</v>
      </c>
      <c r="M1250" t="s">
        <v>4431</v>
      </c>
      <c r="N1250">
        <v>9308</v>
      </c>
      <c r="O1250">
        <v>7.25</v>
      </c>
      <c r="P1250">
        <v>6</v>
      </c>
      <c r="R1250">
        <v>0.44</v>
      </c>
      <c r="S1250">
        <v>2.17</v>
      </c>
      <c r="T1250" t="s">
        <v>4267</v>
      </c>
      <c r="U1250">
        <v>0.31</v>
      </c>
      <c r="V1250" t="s">
        <v>5673</v>
      </c>
      <c r="Z1250" t="s">
        <v>484</v>
      </c>
      <c r="AA1250">
        <v>2.39</v>
      </c>
      <c r="AE1250" t="s">
        <v>8937</v>
      </c>
      <c r="AF1250" t="s">
        <v>3551</v>
      </c>
      <c r="AG1250" t="s">
        <v>7332</v>
      </c>
      <c r="AH1250" t="s">
        <v>5312</v>
      </c>
      <c r="AI1250" t="s">
        <v>4378</v>
      </c>
      <c r="AJ1250" t="s">
        <v>164</v>
      </c>
      <c r="AK1250" t="s">
        <v>13135</v>
      </c>
      <c r="AL1250">
        <v>1.0900000000000001</v>
      </c>
      <c r="AM1250">
        <v>0.62</v>
      </c>
      <c r="AN1250">
        <v>1.83</v>
      </c>
      <c r="AO1250" t="s">
        <v>16101</v>
      </c>
      <c r="AP1250" t="s">
        <v>4857</v>
      </c>
      <c r="AQ1250" t="s">
        <v>2174</v>
      </c>
      <c r="AR1250" t="s">
        <v>289</v>
      </c>
      <c r="AS1250" t="s">
        <v>2472</v>
      </c>
      <c r="AT1250" t="s">
        <v>4367</v>
      </c>
      <c r="AU1250" t="s">
        <v>3454</v>
      </c>
      <c r="AV1250" t="s">
        <v>626</v>
      </c>
      <c r="AW1250" t="s">
        <v>8073</v>
      </c>
      <c r="AX1250" t="s">
        <v>10809</v>
      </c>
      <c r="AY1250" t="s">
        <v>16102</v>
      </c>
      <c r="AZ1250" t="s">
        <v>14244</v>
      </c>
      <c r="BA1250">
        <v>1.8</v>
      </c>
      <c r="BB1250">
        <v>98.38</v>
      </c>
      <c r="BC1250">
        <v>0.34</v>
      </c>
      <c r="BD1250">
        <v>17.66</v>
      </c>
      <c r="BE1250">
        <v>17.670000000000002</v>
      </c>
      <c r="BF1250">
        <v>17.3</v>
      </c>
      <c r="BG1250" t="s">
        <v>16103</v>
      </c>
      <c r="BH1250" t="s">
        <v>7102</v>
      </c>
      <c r="BI1250" t="s">
        <v>16104</v>
      </c>
      <c r="BJ1250" t="s">
        <v>101</v>
      </c>
      <c r="BK1250" t="s">
        <v>1680</v>
      </c>
      <c r="BL1250" t="s">
        <v>4218</v>
      </c>
      <c r="BM1250" t="s">
        <v>16105</v>
      </c>
      <c r="BN1250" t="s">
        <v>14623</v>
      </c>
    </row>
    <row r="1251" spans="1:66" x14ac:dyDescent="0.25">
      <c r="A1251" t="str">
        <f>HYPERLINK("https://elite.finviz.com/quote.ashx?t=AWRE&amp;ty=c&amp;p=d&amp;b=1", "AWRE")</f>
        <v>AWRE</v>
      </c>
      <c r="B1251">
        <v>6</v>
      </c>
      <c r="C1251">
        <v>127.03</v>
      </c>
      <c r="D1251">
        <v>48.58</v>
      </c>
      <c r="E1251" t="s">
        <v>16106</v>
      </c>
      <c r="F1251" t="s">
        <v>107</v>
      </c>
      <c r="G1251" t="s">
        <v>108</v>
      </c>
      <c r="H1251" t="s">
        <v>136</v>
      </c>
      <c r="I1251" t="s">
        <v>70</v>
      </c>
      <c r="J1251" t="s">
        <v>321</v>
      </c>
      <c r="K1251">
        <v>53.5</v>
      </c>
      <c r="L1251">
        <v>2.5099999999999998</v>
      </c>
      <c r="M1251" t="s">
        <v>1050</v>
      </c>
      <c r="N1251">
        <v>15615</v>
      </c>
      <c r="R1251">
        <v>3.31</v>
      </c>
      <c r="S1251">
        <v>1.89</v>
      </c>
      <c r="V1251" t="s">
        <v>16107</v>
      </c>
      <c r="AA1251">
        <v>-0.27</v>
      </c>
      <c r="AB1251" t="s">
        <v>1282</v>
      </c>
      <c r="AC1251" t="s">
        <v>7216</v>
      </c>
      <c r="AE1251" t="s">
        <v>251</v>
      </c>
      <c r="AF1251" t="s">
        <v>3447</v>
      </c>
      <c r="AG1251" t="s">
        <v>2884</v>
      </c>
      <c r="AH1251" t="s">
        <v>13200</v>
      </c>
      <c r="AJ1251" t="s">
        <v>4271</v>
      </c>
      <c r="AK1251" t="s">
        <v>2387</v>
      </c>
      <c r="AL1251">
        <v>4.59</v>
      </c>
      <c r="AM1251">
        <v>4.59</v>
      </c>
      <c r="AN1251">
        <v>0.15</v>
      </c>
      <c r="AO1251" t="s">
        <v>16108</v>
      </c>
      <c r="AP1251" t="s">
        <v>13538</v>
      </c>
      <c r="AQ1251" t="s">
        <v>6180</v>
      </c>
      <c r="AR1251" t="s">
        <v>8535</v>
      </c>
      <c r="AS1251" t="s">
        <v>4293</v>
      </c>
      <c r="AT1251" t="s">
        <v>1081</v>
      </c>
      <c r="AU1251" t="s">
        <v>2522</v>
      </c>
      <c r="AV1251" t="s">
        <v>8981</v>
      </c>
      <c r="AW1251" t="s">
        <v>14455</v>
      </c>
      <c r="AX1251" t="s">
        <v>6973</v>
      </c>
      <c r="AY1251" t="s">
        <v>14455</v>
      </c>
      <c r="AZ1251" t="s">
        <v>16109</v>
      </c>
      <c r="BA1251">
        <v>1</v>
      </c>
      <c r="BB1251">
        <v>46.35</v>
      </c>
      <c r="BC1251">
        <v>1.2</v>
      </c>
      <c r="BD1251">
        <v>2.42</v>
      </c>
      <c r="BE1251">
        <v>2.65</v>
      </c>
      <c r="BF1251">
        <v>2.44</v>
      </c>
      <c r="BG1251" t="s">
        <v>16110</v>
      </c>
      <c r="BH1251" t="s">
        <v>16111</v>
      </c>
      <c r="BI1251" t="s">
        <v>16112</v>
      </c>
      <c r="BJ1251" t="s">
        <v>101</v>
      </c>
      <c r="BK1251" t="s">
        <v>6561</v>
      </c>
      <c r="BL1251" t="s">
        <v>16113</v>
      </c>
      <c r="BM1251" t="s">
        <v>11952</v>
      </c>
      <c r="BN1251" t="s">
        <v>14623</v>
      </c>
    </row>
    <row r="1252" spans="1:66" x14ac:dyDescent="0.25">
      <c r="A1252" t="str">
        <f>HYPERLINK("https://elite.finviz.com/quote.ashx?t=BVFL&amp;ty=c&amp;p=d&amp;b=1", "BVFL")</f>
        <v>BVFL</v>
      </c>
      <c r="B1252">
        <v>6</v>
      </c>
      <c r="C1252">
        <v>127.03</v>
      </c>
      <c r="D1252">
        <v>48.59</v>
      </c>
      <c r="E1252" t="s">
        <v>16114</v>
      </c>
      <c r="F1252" t="s">
        <v>67</v>
      </c>
      <c r="G1252" t="s">
        <v>550</v>
      </c>
      <c r="H1252" t="s">
        <v>697</v>
      </c>
      <c r="I1252" t="s">
        <v>70</v>
      </c>
      <c r="J1252" t="s">
        <v>321</v>
      </c>
      <c r="K1252">
        <v>164.1</v>
      </c>
      <c r="L1252">
        <v>16.510000000000002</v>
      </c>
      <c r="M1252" t="s">
        <v>2906</v>
      </c>
      <c r="N1252">
        <v>5062</v>
      </c>
      <c r="O1252">
        <v>15.96</v>
      </c>
      <c r="R1252">
        <v>3.23</v>
      </c>
      <c r="S1252">
        <v>0.86</v>
      </c>
      <c r="V1252" t="s">
        <v>16115</v>
      </c>
      <c r="Z1252" t="s">
        <v>164</v>
      </c>
      <c r="AA1252">
        <v>1.03</v>
      </c>
      <c r="AB1252" t="s">
        <v>5748</v>
      </c>
      <c r="AC1252" t="s">
        <v>16116</v>
      </c>
      <c r="AE1252" t="s">
        <v>3855</v>
      </c>
      <c r="AF1252" t="s">
        <v>1497</v>
      </c>
      <c r="AG1252" t="s">
        <v>1565</v>
      </c>
      <c r="AH1252" t="s">
        <v>4476</v>
      </c>
      <c r="AJ1252" t="s">
        <v>6204</v>
      </c>
      <c r="AK1252" t="s">
        <v>6618</v>
      </c>
      <c r="AL1252">
        <v>0.14000000000000001</v>
      </c>
      <c r="AN1252">
        <v>0.18</v>
      </c>
      <c r="AP1252" t="s">
        <v>5708</v>
      </c>
      <c r="AQ1252" t="s">
        <v>245</v>
      </c>
      <c r="AR1252" t="s">
        <v>4780</v>
      </c>
      <c r="AS1252" t="s">
        <v>5745</v>
      </c>
      <c r="AT1252" t="s">
        <v>5721</v>
      </c>
      <c r="AU1252" t="s">
        <v>5745</v>
      </c>
      <c r="AV1252" t="s">
        <v>6459</v>
      </c>
      <c r="AW1252" t="s">
        <v>9022</v>
      </c>
      <c r="AX1252" t="s">
        <v>3245</v>
      </c>
      <c r="AY1252" t="s">
        <v>4229</v>
      </c>
      <c r="AZ1252" t="s">
        <v>7303</v>
      </c>
      <c r="BB1252">
        <v>61.53</v>
      </c>
      <c r="BC1252">
        <v>0.28999999999999998</v>
      </c>
      <c r="BD1252">
        <v>16.54</v>
      </c>
      <c r="BE1252">
        <v>16.61</v>
      </c>
      <c r="BF1252">
        <v>16.5</v>
      </c>
      <c r="BG1252" t="s">
        <v>16117</v>
      </c>
      <c r="BH1252" t="s">
        <v>15614</v>
      </c>
      <c r="BI1252" t="s">
        <v>16118</v>
      </c>
      <c r="BJ1252" t="s">
        <v>101</v>
      </c>
      <c r="BK1252" t="s">
        <v>1252</v>
      </c>
      <c r="BL1252" t="s">
        <v>2776</v>
      </c>
      <c r="BM1252" t="s">
        <v>10610</v>
      </c>
      <c r="BN1252" t="s">
        <v>14623</v>
      </c>
    </row>
    <row r="1253" spans="1:66" x14ac:dyDescent="0.25">
      <c r="A1253" t="str">
        <f>HYPERLINK("https://elite.finviz.com/quote.ashx?t=RMBI&amp;ty=c&amp;p=d&amp;b=1", "RMBI")</f>
        <v>RMBI</v>
      </c>
      <c r="B1253">
        <v>6</v>
      </c>
      <c r="C1253">
        <v>127.03</v>
      </c>
      <c r="D1253">
        <v>48.65</v>
      </c>
      <c r="E1253" t="s">
        <v>16119</v>
      </c>
      <c r="F1253" t="s">
        <v>67</v>
      </c>
      <c r="G1253" t="s">
        <v>550</v>
      </c>
      <c r="H1253" t="s">
        <v>697</v>
      </c>
      <c r="I1253" t="s">
        <v>70</v>
      </c>
      <c r="J1253" t="s">
        <v>321</v>
      </c>
      <c r="K1253">
        <v>150.13</v>
      </c>
      <c r="L1253">
        <v>14.4</v>
      </c>
      <c r="M1253" t="s">
        <v>5263</v>
      </c>
      <c r="N1253">
        <v>2707</v>
      </c>
      <c r="O1253">
        <v>15.27</v>
      </c>
      <c r="R1253">
        <v>1.71</v>
      </c>
      <c r="S1253">
        <v>1.05</v>
      </c>
      <c r="T1253" t="s">
        <v>2647</v>
      </c>
      <c r="U1253">
        <v>0.59</v>
      </c>
      <c r="V1253" t="s">
        <v>6223</v>
      </c>
      <c r="W1253" t="s">
        <v>164</v>
      </c>
      <c r="X1253" t="s">
        <v>3397</v>
      </c>
      <c r="Z1253" t="s">
        <v>16120</v>
      </c>
      <c r="AA1253">
        <v>0.94</v>
      </c>
      <c r="AB1253" t="s">
        <v>4763</v>
      </c>
      <c r="AE1253" t="s">
        <v>2635</v>
      </c>
      <c r="AF1253" t="s">
        <v>5240</v>
      </c>
      <c r="AG1253" t="s">
        <v>4558</v>
      </c>
      <c r="AH1253" t="s">
        <v>4133</v>
      </c>
      <c r="AJ1253" t="s">
        <v>164</v>
      </c>
      <c r="AK1253" t="s">
        <v>15060</v>
      </c>
      <c r="AL1253">
        <v>0.31</v>
      </c>
      <c r="AN1253">
        <v>2.02</v>
      </c>
      <c r="AP1253" t="s">
        <v>14731</v>
      </c>
      <c r="AQ1253" t="s">
        <v>5877</v>
      </c>
      <c r="AR1253" t="s">
        <v>3545</v>
      </c>
      <c r="AS1253" t="s">
        <v>1932</v>
      </c>
      <c r="AT1253" t="s">
        <v>6449</v>
      </c>
      <c r="AU1253" t="s">
        <v>193</v>
      </c>
      <c r="AV1253" t="s">
        <v>5027</v>
      </c>
      <c r="AW1253" t="s">
        <v>7532</v>
      </c>
      <c r="AX1253" t="s">
        <v>7567</v>
      </c>
      <c r="AY1253" t="s">
        <v>7532</v>
      </c>
      <c r="AZ1253" t="s">
        <v>13359</v>
      </c>
      <c r="BB1253">
        <v>41.86</v>
      </c>
      <c r="BC1253">
        <v>0.23</v>
      </c>
      <c r="BD1253">
        <v>14.11</v>
      </c>
      <c r="BE1253">
        <v>14.43</v>
      </c>
      <c r="BF1253">
        <v>14.15</v>
      </c>
      <c r="BG1253" t="s">
        <v>16121</v>
      </c>
      <c r="BH1253" t="s">
        <v>10627</v>
      </c>
      <c r="BI1253" t="s">
        <v>16122</v>
      </c>
      <c r="BJ1253" t="s">
        <v>101</v>
      </c>
      <c r="BK1253" t="s">
        <v>5999</v>
      </c>
      <c r="BL1253" t="s">
        <v>2559</v>
      </c>
      <c r="BM1253" t="s">
        <v>435</v>
      </c>
      <c r="BN1253" t="s">
        <v>14623</v>
      </c>
    </row>
    <row r="1254" spans="1:66" x14ac:dyDescent="0.25">
      <c r="A1254" t="str">
        <f>HYPERLINK("https://elite.finviz.com/quote.ashx?t=AWI&amp;ty=c&amp;p=d&amp;b=1", "AWI")</f>
        <v>AWI</v>
      </c>
      <c r="B1254">
        <v>6</v>
      </c>
      <c r="C1254">
        <v>127.03</v>
      </c>
      <c r="D1254">
        <v>48.65</v>
      </c>
      <c r="E1254" t="s">
        <v>16123</v>
      </c>
      <c r="F1254" t="s">
        <v>107</v>
      </c>
      <c r="G1254" t="s">
        <v>260</v>
      </c>
      <c r="H1254" t="s">
        <v>3225</v>
      </c>
      <c r="I1254" t="s">
        <v>70</v>
      </c>
      <c r="J1254" t="s">
        <v>71</v>
      </c>
      <c r="K1254">
        <v>8358.32</v>
      </c>
      <c r="L1254">
        <v>193.22</v>
      </c>
      <c r="M1254" t="s">
        <v>2418</v>
      </c>
      <c r="N1254">
        <v>15169</v>
      </c>
      <c r="O1254">
        <v>28.6</v>
      </c>
      <c r="P1254">
        <v>23.34</v>
      </c>
      <c r="Q1254">
        <v>2.13</v>
      </c>
      <c r="R1254">
        <v>5.35</v>
      </c>
      <c r="S1254">
        <v>9.99</v>
      </c>
      <c r="T1254" t="s">
        <v>3463</v>
      </c>
      <c r="U1254">
        <v>1.23</v>
      </c>
      <c r="V1254" t="s">
        <v>2420</v>
      </c>
      <c r="W1254" t="s">
        <v>2786</v>
      </c>
      <c r="X1254" t="s">
        <v>3171</v>
      </c>
      <c r="Y1254" t="s">
        <v>801</v>
      </c>
      <c r="Z1254" t="s">
        <v>4874</v>
      </c>
      <c r="AA1254">
        <v>6.76</v>
      </c>
      <c r="AB1254" t="s">
        <v>2163</v>
      </c>
      <c r="AC1254" t="s">
        <v>2472</v>
      </c>
      <c r="AD1254" t="s">
        <v>3002</v>
      </c>
      <c r="AE1254" t="s">
        <v>6875</v>
      </c>
      <c r="AF1254" t="s">
        <v>6945</v>
      </c>
      <c r="AG1254" t="s">
        <v>8276</v>
      </c>
      <c r="AH1254" t="s">
        <v>5060</v>
      </c>
      <c r="AI1254" t="s">
        <v>2976</v>
      </c>
      <c r="AJ1254" t="s">
        <v>7709</v>
      </c>
      <c r="AK1254" t="s">
        <v>11759</v>
      </c>
      <c r="AL1254">
        <v>1.61</v>
      </c>
      <c r="AM1254">
        <v>1.1100000000000001</v>
      </c>
      <c r="AN1254">
        <v>0.67</v>
      </c>
      <c r="AO1254" t="s">
        <v>2540</v>
      </c>
      <c r="AP1254" t="s">
        <v>9217</v>
      </c>
      <c r="AQ1254" t="s">
        <v>12736</v>
      </c>
      <c r="AR1254" t="s">
        <v>2175</v>
      </c>
      <c r="AS1254" t="s">
        <v>3487</v>
      </c>
      <c r="AT1254" t="s">
        <v>1864</v>
      </c>
      <c r="AU1254" t="s">
        <v>1760</v>
      </c>
      <c r="AV1254" t="s">
        <v>7294</v>
      </c>
      <c r="AW1254" t="s">
        <v>8380</v>
      </c>
      <c r="AX1254" t="s">
        <v>1325</v>
      </c>
      <c r="AY1254" t="s">
        <v>8380</v>
      </c>
      <c r="AZ1254" t="s">
        <v>5583</v>
      </c>
      <c r="BA1254">
        <v>2.2000000000000002</v>
      </c>
      <c r="BB1254">
        <v>366.54</v>
      </c>
      <c r="BC1254">
        <v>0.15</v>
      </c>
      <c r="BD1254">
        <v>192.17</v>
      </c>
      <c r="BE1254">
        <v>192.17</v>
      </c>
      <c r="BF1254">
        <v>193.14</v>
      </c>
      <c r="BG1254" t="s">
        <v>16124</v>
      </c>
      <c r="BH1254" t="s">
        <v>8380</v>
      </c>
      <c r="BI1254" t="s">
        <v>16125</v>
      </c>
      <c r="BJ1254" t="s">
        <v>101</v>
      </c>
      <c r="BK1254" t="s">
        <v>9865</v>
      </c>
      <c r="BL1254" t="s">
        <v>16126</v>
      </c>
      <c r="BM1254" t="s">
        <v>16127</v>
      </c>
      <c r="BN1254" t="s">
        <v>14623</v>
      </c>
    </row>
    <row r="1255" spans="1:66" x14ac:dyDescent="0.25">
      <c r="A1255" t="str">
        <f>HYPERLINK("https://elite.finviz.com/quote.ashx?t=VALU&amp;ty=c&amp;p=d&amp;b=1", "VALU")</f>
        <v>VALU</v>
      </c>
      <c r="B1255">
        <v>6</v>
      </c>
      <c r="C1255">
        <v>127.03</v>
      </c>
      <c r="D1255">
        <v>48.69</v>
      </c>
      <c r="E1255" t="s">
        <v>16128</v>
      </c>
      <c r="F1255" t="s">
        <v>67</v>
      </c>
      <c r="G1255" t="s">
        <v>550</v>
      </c>
      <c r="H1255" t="s">
        <v>16129</v>
      </c>
      <c r="I1255" t="s">
        <v>70</v>
      </c>
      <c r="J1255" t="s">
        <v>321</v>
      </c>
      <c r="K1255">
        <v>356.56</v>
      </c>
      <c r="L1255">
        <v>37.9</v>
      </c>
      <c r="M1255" t="s">
        <v>6182</v>
      </c>
      <c r="N1255">
        <v>244</v>
      </c>
      <c r="O1255">
        <v>16.79</v>
      </c>
      <c r="R1255">
        <v>10.25</v>
      </c>
      <c r="S1255">
        <v>3.46</v>
      </c>
      <c r="T1255" t="s">
        <v>3636</v>
      </c>
      <c r="U1255">
        <v>1.25</v>
      </c>
      <c r="V1255" t="s">
        <v>15179</v>
      </c>
      <c r="W1255" t="s">
        <v>2678</v>
      </c>
      <c r="X1255" t="s">
        <v>326</v>
      </c>
      <c r="Y1255" t="s">
        <v>4867</v>
      </c>
      <c r="Z1255" t="s">
        <v>9367</v>
      </c>
      <c r="AA1255">
        <v>2.2599999999999998</v>
      </c>
      <c r="AB1255" t="s">
        <v>2969</v>
      </c>
      <c r="AC1255" t="s">
        <v>1653</v>
      </c>
      <c r="AE1255" t="s">
        <v>10175</v>
      </c>
      <c r="AF1255" t="s">
        <v>14635</v>
      </c>
      <c r="AG1255" t="s">
        <v>9085</v>
      </c>
      <c r="AH1255" t="s">
        <v>7907</v>
      </c>
      <c r="AJ1255" t="s">
        <v>164</v>
      </c>
      <c r="AK1255" t="s">
        <v>3983</v>
      </c>
      <c r="AL1255">
        <v>3.52</v>
      </c>
      <c r="AM1255">
        <v>3.52</v>
      </c>
      <c r="AN1255">
        <v>0.03</v>
      </c>
      <c r="AO1255" t="s">
        <v>16130</v>
      </c>
      <c r="AP1255" t="s">
        <v>6501</v>
      </c>
      <c r="AQ1255" t="s">
        <v>1307</v>
      </c>
      <c r="AR1255" t="s">
        <v>1129</v>
      </c>
      <c r="AS1255" t="s">
        <v>4276</v>
      </c>
      <c r="AT1255" t="s">
        <v>2263</v>
      </c>
      <c r="AU1255" t="s">
        <v>8374</v>
      </c>
      <c r="AV1255" t="s">
        <v>15635</v>
      </c>
      <c r="AW1255" t="s">
        <v>9019</v>
      </c>
      <c r="AX1255" t="s">
        <v>3948</v>
      </c>
      <c r="AY1255" t="s">
        <v>16131</v>
      </c>
      <c r="AZ1255" t="s">
        <v>11493</v>
      </c>
      <c r="BB1255">
        <v>4.8</v>
      </c>
      <c r="BC1255">
        <v>0.18</v>
      </c>
      <c r="BD1255">
        <v>37.81</v>
      </c>
      <c r="BE1255">
        <v>37.81</v>
      </c>
      <c r="BF1255">
        <v>37.81</v>
      </c>
      <c r="BG1255" t="s">
        <v>16132</v>
      </c>
      <c r="BH1255" t="s">
        <v>16133</v>
      </c>
      <c r="BI1255" t="s">
        <v>16134</v>
      </c>
      <c r="BJ1255" t="s">
        <v>101</v>
      </c>
      <c r="BK1255" t="s">
        <v>5721</v>
      </c>
      <c r="BL1255" t="s">
        <v>4953</v>
      </c>
      <c r="BM1255" t="s">
        <v>16135</v>
      </c>
      <c r="BN1255" t="s">
        <v>14623</v>
      </c>
    </row>
    <row r="1256" spans="1:66" x14ac:dyDescent="0.25">
      <c r="A1256" t="str">
        <f>HYPERLINK("https://elite.finviz.com/quote.ashx?t=AEI&amp;ty=c&amp;p=d&amp;b=1", "AEI")</f>
        <v>AEI</v>
      </c>
      <c r="B1256">
        <v>6</v>
      </c>
      <c r="C1256">
        <v>127.03</v>
      </c>
      <c r="D1256">
        <v>48.72</v>
      </c>
      <c r="E1256" t="s">
        <v>16136</v>
      </c>
      <c r="F1256" t="s">
        <v>107</v>
      </c>
      <c r="G1256" t="s">
        <v>68</v>
      </c>
      <c r="H1256" t="s">
        <v>11109</v>
      </c>
      <c r="I1256" t="s">
        <v>70</v>
      </c>
      <c r="J1256" t="s">
        <v>321</v>
      </c>
      <c r="K1256">
        <v>91.38</v>
      </c>
      <c r="L1256">
        <v>2.33</v>
      </c>
      <c r="M1256" t="s">
        <v>2467</v>
      </c>
      <c r="N1256">
        <v>81536</v>
      </c>
      <c r="R1256">
        <v>5.69</v>
      </c>
      <c r="S1256">
        <v>0.37</v>
      </c>
      <c r="AA1256">
        <v>-1.05</v>
      </c>
      <c r="AB1256" t="s">
        <v>16137</v>
      </c>
      <c r="AC1256" t="s">
        <v>16138</v>
      </c>
      <c r="AE1256" t="s">
        <v>6167</v>
      </c>
      <c r="AF1256" t="s">
        <v>3916</v>
      </c>
      <c r="AG1256" t="s">
        <v>9085</v>
      </c>
      <c r="AH1256" t="s">
        <v>2978</v>
      </c>
      <c r="AJ1256" t="s">
        <v>13837</v>
      </c>
      <c r="AK1256" t="s">
        <v>1763</v>
      </c>
      <c r="AL1256">
        <v>10.81</v>
      </c>
      <c r="AM1256">
        <v>10.81</v>
      </c>
      <c r="AN1256">
        <v>0.03</v>
      </c>
      <c r="AO1256" t="s">
        <v>6283</v>
      </c>
      <c r="AP1256" t="s">
        <v>2068</v>
      </c>
      <c r="AQ1256" t="s">
        <v>16139</v>
      </c>
      <c r="AR1256" t="s">
        <v>8814</v>
      </c>
      <c r="AS1256" t="s">
        <v>10467</v>
      </c>
      <c r="AT1256" t="s">
        <v>7469</v>
      </c>
      <c r="AU1256" t="s">
        <v>7177</v>
      </c>
      <c r="AV1256" t="s">
        <v>16140</v>
      </c>
      <c r="AW1256" t="s">
        <v>4933</v>
      </c>
      <c r="AX1256" t="s">
        <v>16141</v>
      </c>
      <c r="AY1256" t="s">
        <v>4933</v>
      </c>
      <c r="AZ1256" t="s">
        <v>16142</v>
      </c>
      <c r="BB1256">
        <v>597.15</v>
      </c>
      <c r="BC1256">
        <v>0.49</v>
      </c>
      <c r="BD1256">
        <v>2.5299999999999998</v>
      </c>
      <c r="BE1256">
        <v>2.5299999999999998</v>
      </c>
      <c r="BF1256">
        <v>2.33</v>
      </c>
      <c r="BG1256" t="s">
        <v>16143</v>
      </c>
      <c r="BH1256" t="s">
        <v>14909</v>
      </c>
      <c r="BI1256" t="s">
        <v>16144</v>
      </c>
      <c r="BJ1256" t="s">
        <v>101</v>
      </c>
      <c r="BK1256" t="s">
        <v>15160</v>
      </c>
      <c r="BL1256" t="s">
        <v>16145</v>
      </c>
      <c r="BM1256" t="s">
        <v>16146</v>
      </c>
      <c r="BN1256" t="s">
        <v>14623</v>
      </c>
    </row>
    <row r="1257" spans="1:66" x14ac:dyDescent="0.25">
      <c r="A1257" t="str">
        <f>HYPERLINK("https://elite.finviz.com/quote.ashx?t=VEL&amp;ty=c&amp;p=d&amp;b=1", "VEL")</f>
        <v>VEL</v>
      </c>
      <c r="B1257">
        <v>6</v>
      </c>
      <c r="C1257">
        <v>127.03</v>
      </c>
      <c r="D1257">
        <v>48.72</v>
      </c>
      <c r="E1257" t="s">
        <v>16147</v>
      </c>
      <c r="F1257" t="s">
        <v>67</v>
      </c>
      <c r="G1257" t="s">
        <v>550</v>
      </c>
      <c r="H1257" t="s">
        <v>3699</v>
      </c>
      <c r="I1257" t="s">
        <v>70</v>
      </c>
      <c r="J1257" t="s">
        <v>71</v>
      </c>
      <c r="K1257">
        <v>713.1</v>
      </c>
      <c r="L1257">
        <v>18.55</v>
      </c>
      <c r="M1257" t="s">
        <v>8374</v>
      </c>
      <c r="N1257">
        <v>4459</v>
      </c>
      <c r="O1257">
        <v>8.49</v>
      </c>
      <c r="P1257">
        <v>7.23</v>
      </c>
      <c r="Q1257">
        <v>0.75</v>
      </c>
      <c r="R1257">
        <v>1.36</v>
      </c>
      <c r="S1257">
        <v>1.19</v>
      </c>
      <c r="Z1257" t="s">
        <v>164</v>
      </c>
      <c r="AA1257">
        <v>2.19</v>
      </c>
      <c r="AB1257" t="s">
        <v>5845</v>
      </c>
      <c r="AC1257" t="s">
        <v>5337</v>
      </c>
      <c r="AD1257" t="s">
        <v>4565</v>
      </c>
      <c r="AE1257" t="s">
        <v>16148</v>
      </c>
      <c r="AF1257" t="s">
        <v>113</v>
      </c>
      <c r="AG1257" t="s">
        <v>4930</v>
      </c>
      <c r="AH1257" t="s">
        <v>9398</v>
      </c>
      <c r="AI1257" t="s">
        <v>16149</v>
      </c>
      <c r="AJ1257" t="s">
        <v>3598</v>
      </c>
      <c r="AK1257" t="s">
        <v>905</v>
      </c>
      <c r="AL1257">
        <v>0.76</v>
      </c>
      <c r="AM1257">
        <v>0.56999999999999995</v>
      </c>
      <c r="AN1257">
        <v>9.5500000000000007</v>
      </c>
      <c r="AO1257" t="s">
        <v>16150</v>
      </c>
      <c r="AP1257" t="s">
        <v>9139</v>
      </c>
      <c r="AQ1257" t="s">
        <v>7400</v>
      </c>
      <c r="AR1257" t="s">
        <v>1438</v>
      </c>
      <c r="AS1257" t="s">
        <v>5420</v>
      </c>
      <c r="AT1257" t="s">
        <v>3634</v>
      </c>
      <c r="AU1257" t="s">
        <v>2449</v>
      </c>
      <c r="AV1257" t="s">
        <v>1837</v>
      </c>
      <c r="AW1257" t="s">
        <v>6080</v>
      </c>
      <c r="AX1257" t="s">
        <v>1563</v>
      </c>
      <c r="AY1257" t="s">
        <v>7861</v>
      </c>
      <c r="AZ1257" t="s">
        <v>4074</v>
      </c>
      <c r="BA1257">
        <v>2.33</v>
      </c>
      <c r="BB1257">
        <v>103.55</v>
      </c>
      <c r="BC1257">
        <v>0.15</v>
      </c>
      <c r="BD1257">
        <v>18.670000000000002</v>
      </c>
      <c r="BE1257">
        <v>18.760000000000002</v>
      </c>
      <c r="BF1257">
        <v>18.510000000000002</v>
      </c>
      <c r="BG1257" t="s">
        <v>16151</v>
      </c>
      <c r="BH1257" t="s">
        <v>7861</v>
      </c>
      <c r="BI1257" t="s">
        <v>16152</v>
      </c>
      <c r="BJ1257" t="s">
        <v>101</v>
      </c>
      <c r="BK1257" t="s">
        <v>8789</v>
      </c>
      <c r="BL1257" t="s">
        <v>5388</v>
      </c>
      <c r="BM1257" t="s">
        <v>6060</v>
      </c>
      <c r="BN1257" t="s">
        <v>14623</v>
      </c>
    </row>
    <row r="1258" spans="1:66" x14ac:dyDescent="0.25">
      <c r="A1258" t="str">
        <f>HYPERLINK("https://elite.finviz.com/quote.ashx?t=FPI&amp;ty=c&amp;p=d&amp;b=1", "FPI")</f>
        <v>FPI</v>
      </c>
      <c r="B1258">
        <v>6</v>
      </c>
      <c r="C1258">
        <v>127.03</v>
      </c>
      <c r="D1258">
        <v>48.73</v>
      </c>
      <c r="E1258" t="s">
        <v>16153</v>
      </c>
      <c r="F1258" t="s">
        <v>67</v>
      </c>
      <c r="G1258" t="s">
        <v>68</v>
      </c>
      <c r="H1258" t="s">
        <v>7227</v>
      </c>
      <c r="I1258" t="s">
        <v>70</v>
      </c>
      <c r="J1258" t="s">
        <v>71</v>
      </c>
      <c r="K1258">
        <v>479.15</v>
      </c>
      <c r="L1258">
        <v>10.85</v>
      </c>
      <c r="M1258" t="s">
        <v>8228</v>
      </c>
      <c r="N1258">
        <v>59153</v>
      </c>
      <c r="O1258">
        <v>8.8800000000000008</v>
      </c>
      <c r="P1258">
        <v>58.12</v>
      </c>
      <c r="R1258">
        <v>8.7100000000000009</v>
      </c>
      <c r="S1258">
        <v>1.03</v>
      </c>
      <c r="T1258" t="s">
        <v>714</v>
      </c>
      <c r="U1258">
        <v>0.23</v>
      </c>
      <c r="V1258" t="s">
        <v>700</v>
      </c>
      <c r="W1258" t="s">
        <v>164</v>
      </c>
      <c r="X1258" t="s">
        <v>6593</v>
      </c>
      <c r="Y1258" t="s">
        <v>3482</v>
      </c>
      <c r="Z1258" t="s">
        <v>1472</v>
      </c>
      <c r="AA1258">
        <v>1.22</v>
      </c>
      <c r="AC1258" t="s">
        <v>16154</v>
      </c>
      <c r="AE1258" t="s">
        <v>7865</v>
      </c>
      <c r="AF1258" t="s">
        <v>289</v>
      </c>
      <c r="AG1258" t="s">
        <v>2217</v>
      </c>
      <c r="AH1258" t="s">
        <v>303</v>
      </c>
      <c r="AI1258" t="s">
        <v>16155</v>
      </c>
      <c r="AJ1258" t="s">
        <v>3446</v>
      </c>
      <c r="AK1258" t="s">
        <v>16156</v>
      </c>
      <c r="AL1258">
        <v>10.42</v>
      </c>
      <c r="AM1258">
        <v>10.01</v>
      </c>
      <c r="AN1258">
        <v>0.42</v>
      </c>
      <c r="AO1258" t="s">
        <v>1825</v>
      </c>
      <c r="AP1258" t="s">
        <v>16157</v>
      </c>
      <c r="AQ1258" t="s">
        <v>16158</v>
      </c>
      <c r="AR1258" t="s">
        <v>2650</v>
      </c>
      <c r="AS1258" t="s">
        <v>2449</v>
      </c>
      <c r="AT1258" t="s">
        <v>1324</v>
      </c>
      <c r="AU1258" t="s">
        <v>1554</v>
      </c>
      <c r="AV1258" t="s">
        <v>10581</v>
      </c>
      <c r="AW1258" t="s">
        <v>2401</v>
      </c>
      <c r="AX1258" t="s">
        <v>5164</v>
      </c>
      <c r="AY1258" t="s">
        <v>16159</v>
      </c>
      <c r="AZ1258" t="s">
        <v>10331</v>
      </c>
      <c r="BA1258">
        <v>2</v>
      </c>
      <c r="BB1258">
        <v>390.08</v>
      </c>
      <c r="BC1258">
        <v>0.53</v>
      </c>
      <c r="BD1258">
        <v>10.8</v>
      </c>
      <c r="BE1258">
        <v>10.93</v>
      </c>
      <c r="BF1258">
        <v>10.82</v>
      </c>
      <c r="BG1258" t="s">
        <v>16160</v>
      </c>
      <c r="BH1258" t="s">
        <v>15774</v>
      </c>
      <c r="BI1258" t="s">
        <v>16161</v>
      </c>
      <c r="BJ1258" t="s">
        <v>101</v>
      </c>
      <c r="BK1258" t="s">
        <v>6354</v>
      </c>
      <c r="BL1258" t="s">
        <v>6276</v>
      </c>
      <c r="BM1258" t="s">
        <v>2867</v>
      </c>
      <c r="BN1258" t="s">
        <v>14623</v>
      </c>
    </row>
    <row r="1259" spans="1:66" x14ac:dyDescent="0.25">
      <c r="A1259" t="str">
        <f>HYPERLINK("https://elite.finviz.com/quote.ashx?t=HDSN&amp;ty=c&amp;p=d&amp;b=1", "HDSN")</f>
        <v>HDSN</v>
      </c>
      <c r="B1259">
        <v>6</v>
      </c>
      <c r="C1259">
        <v>127.03</v>
      </c>
      <c r="D1259">
        <v>48.74</v>
      </c>
      <c r="E1259" t="s">
        <v>16162</v>
      </c>
      <c r="F1259" t="s">
        <v>67</v>
      </c>
      <c r="G1259" t="s">
        <v>355</v>
      </c>
      <c r="H1259" t="s">
        <v>1147</v>
      </c>
      <c r="I1259" t="s">
        <v>70</v>
      </c>
      <c r="J1259" t="s">
        <v>321</v>
      </c>
      <c r="K1259">
        <v>431.88</v>
      </c>
      <c r="L1259">
        <v>9.89</v>
      </c>
      <c r="M1259" t="s">
        <v>110</v>
      </c>
      <c r="N1259">
        <v>27118</v>
      </c>
      <c r="O1259">
        <v>25.1</v>
      </c>
      <c r="P1259">
        <v>16.86</v>
      </c>
      <c r="R1259">
        <v>1.92</v>
      </c>
      <c r="S1259">
        <v>1.69</v>
      </c>
      <c r="Z1259" t="s">
        <v>164</v>
      </c>
      <c r="AA1259">
        <v>0.39</v>
      </c>
      <c r="AB1259" t="s">
        <v>9666</v>
      </c>
      <c r="AE1259" t="s">
        <v>7067</v>
      </c>
      <c r="AF1259" t="s">
        <v>1767</v>
      </c>
      <c r="AG1259" t="s">
        <v>3687</v>
      </c>
      <c r="AH1259" t="s">
        <v>4168</v>
      </c>
      <c r="AI1259" t="s">
        <v>6596</v>
      </c>
      <c r="AJ1259" t="s">
        <v>164</v>
      </c>
      <c r="AK1259" t="s">
        <v>11568</v>
      </c>
      <c r="AL1259">
        <v>3.88</v>
      </c>
      <c r="AM1259">
        <v>2.46</v>
      </c>
      <c r="AN1259">
        <v>0.02</v>
      </c>
      <c r="AO1259" t="s">
        <v>4745</v>
      </c>
      <c r="AP1259" t="s">
        <v>1822</v>
      </c>
      <c r="AQ1259" t="s">
        <v>9636</v>
      </c>
      <c r="AR1259" t="s">
        <v>2383</v>
      </c>
      <c r="AS1259" t="s">
        <v>2743</v>
      </c>
      <c r="AT1259" t="s">
        <v>13522</v>
      </c>
      <c r="AU1259" t="s">
        <v>1933</v>
      </c>
      <c r="AV1259" t="s">
        <v>13084</v>
      </c>
      <c r="AW1259" t="s">
        <v>2206</v>
      </c>
      <c r="AX1259" t="s">
        <v>9722</v>
      </c>
      <c r="AY1259" t="s">
        <v>2206</v>
      </c>
      <c r="AZ1259" t="s">
        <v>16163</v>
      </c>
      <c r="BA1259">
        <v>1.5</v>
      </c>
      <c r="BB1259">
        <v>385.78</v>
      </c>
      <c r="BC1259">
        <v>0.25</v>
      </c>
      <c r="BD1259">
        <v>9.98</v>
      </c>
      <c r="BE1259">
        <v>10.06</v>
      </c>
      <c r="BF1259">
        <v>9.8699999999999992</v>
      </c>
      <c r="BG1259" t="s">
        <v>16164</v>
      </c>
      <c r="BH1259" t="s">
        <v>16165</v>
      </c>
      <c r="BI1259" t="s">
        <v>16166</v>
      </c>
      <c r="BJ1259" t="s">
        <v>101</v>
      </c>
      <c r="BK1259" t="s">
        <v>1340</v>
      </c>
      <c r="BL1259" t="s">
        <v>16167</v>
      </c>
      <c r="BM1259" t="s">
        <v>13278</v>
      </c>
      <c r="BN1259" t="s">
        <v>14623</v>
      </c>
    </row>
    <row r="1260" spans="1:66" x14ac:dyDescent="0.25">
      <c r="A1260" t="str">
        <f>HYPERLINK("https://elite.finviz.com/quote.ashx?t=FBRT&amp;ty=c&amp;p=d&amp;b=1", "FBRT")</f>
        <v>FBRT</v>
      </c>
      <c r="B1260">
        <v>6</v>
      </c>
      <c r="C1260">
        <v>127.03</v>
      </c>
      <c r="D1260">
        <v>48.78</v>
      </c>
      <c r="E1260" t="s">
        <v>16168</v>
      </c>
      <c r="F1260" t="s">
        <v>67</v>
      </c>
      <c r="G1260" t="s">
        <v>68</v>
      </c>
      <c r="H1260" t="s">
        <v>5566</v>
      </c>
      <c r="I1260" t="s">
        <v>70</v>
      </c>
      <c r="J1260" t="s">
        <v>71</v>
      </c>
      <c r="K1260">
        <v>925.18</v>
      </c>
      <c r="L1260">
        <v>11.24</v>
      </c>
      <c r="M1260" t="s">
        <v>4494</v>
      </c>
      <c r="N1260">
        <v>63857</v>
      </c>
      <c r="O1260">
        <v>11.5</v>
      </c>
      <c r="P1260">
        <v>8.2100000000000009</v>
      </c>
      <c r="R1260">
        <v>1.76</v>
      </c>
      <c r="S1260">
        <v>0.76</v>
      </c>
      <c r="T1260" t="s">
        <v>11871</v>
      </c>
      <c r="U1260">
        <v>1.42</v>
      </c>
      <c r="V1260" t="s">
        <v>198</v>
      </c>
      <c r="W1260" t="s">
        <v>164</v>
      </c>
      <c r="X1260" t="s">
        <v>16169</v>
      </c>
      <c r="Z1260" t="s">
        <v>16170</v>
      </c>
      <c r="AA1260">
        <v>0.98</v>
      </c>
      <c r="AC1260" t="s">
        <v>8184</v>
      </c>
      <c r="AE1260" t="s">
        <v>1727</v>
      </c>
      <c r="AF1260" t="s">
        <v>13030</v>
      </c>
      <c r="AG1260" t="s">
        <v>1284</v>
      </c>
      <c r="AH1260" t="s">
        <v>8182</v>
      </c>
      <c r="AI1260" t="s">
        <v>9635</v>
      </c>
      <c r="AJ1260" t="s">
        <v>164</v>
      </c>
      <c r="AK1260" t="s">
        <v>16171</v>
      </c>
      <c r="AL1260">
        <v>1.22</v>
      </c>
      <c r="AM1260">
        <v>1.01</v>
      </c>
      <c r="AN1260">
        <v>2.5099999999999998</v>
      </c>
      <c r="AO1260" t="s">
        <v>16172</v>
      </c>
      <c r="AP1260" t="s">
        <v>16173</v>
      </c>
      <c r="AQ1260" t="s">
        <v>3058</v>
      </c>
      <c r="AR1260" t="s">
        <v>343</v>
      </c>
      <c r="AS1260" t="s">
        <v>6056</v>
      </c>
      <c r="AT1260" t="s">
        <v>13117</v>
      </c>
      <c r="AU1260" t="s">
        <v>5084</v>
      </c>
      <c r="AV1260" t="s">
        <v>8358</v>
      </c>
      <c r="AW1260" t="s">
        <v>4500</v>
      </c>
      <c r="AX1260" t="s">
        <v>4295</v>
      </c>
      <c r="AY1260" t="s">
        <v>6649</v>
      </c>
      <c r="AZ1260" t="s">
        <v>4295</v>
      </c>
      <c r="BA1260">
        <v>1</v>
      </c>
      <c r="BB1260">
        <v>566.23</v>
      </c>
      <c r="BC1260">
        <v>0.4</v>
      </c>
      <c r="BD1260">
        <v>11.23</v>
      </c>
      <c r="BE1260">
        <v>11.35</v>
      </c>
      <c r="BF1260">
        <v>11.25</v>
      </c>
      <c r="BG1260" t="s">
        <v>16174</v>
      </c>
      <c r="BH1260" t="s">
        <v>16175</v>
      </c>
      <c r="BI1260" t="s">
        <v>16176</v>
      </c>
      <c r="BJ1260" t="s">
        <v>101</v>
      </c>
      <c r="BK1260" t="s">
        <v>2087</v>
      </c>
      <c r="BL1260" t="s">
        <v>8795</v>
      </c>
      <c r="BM1260" t="s">
        <v>12026</v>
      </c>
      <c r="BN1260" t="s">
        <v>14623</v>
      </c>
    </row>
    <row r="1261" spans="1:66" x14ac:dyDescent="0.25">
      <c r="A1261" t="str">
        <f>HYPERLINK("https://elite.finviz.com/quote.ashx?t=MGYR&amp;ty=c&amp;p=d&amp;b=1", "MGYR")</f>
        <v>MGYR</v>
      </c>
      <c r="B1261">
        <v>6</v>
      </c>
      <c r="C1261">
        <v>127.03</v>
      </c>
      <c r="D1261">
        <v>48.78</v>
      </c>
      <c r="E1261" t="s">
        <v>16177</v>
      </c>
      <c r="F1261" t="s">
        <v>107</v>
      </c>
      <c r="G1261" t="s">
        <v>550</v>
      </c>
      <c r="H1261" t="s">
        <v>697</v>
      </c>
      <c r="I1261" t="s">
        <v>70</v>
      </c>
      <c r="J1261" t="s">
        <v>321</v>
      </c>
      <c r="K1261">
        <v>110.7</v>
      </c>
      <c r="L1261">
        <v>17.16</v>
      </c>
      <c r="M1261" t="s">
        <v>5312</v>
      </c>
      <c r="N1261">
        <v>1340</v>
      </c>
      <c r="O1261">
        <v>11.06</v>
      </c>
      <c r="R1261">
        <v>1.91</v>
      </c>
      <c r="S1261">
        <v>0.95</v>
      </c>
      <c r="T1261" t="s">
        <v>3024</v>
      </c>
      <c r="U1261">
        <v>0.25</v>
      </c>
      <c r="V1261" t="s">
        <v>2420</v>
      </c>
      <c r="W1261" t="s">
        <v>1095</v>
      </c>
      <c r="Z1261" t="s">
        <v>6497</v>
      </c>
      <c r="AA1261">
        <v>1.55</v>
      </c>
      <c r="AB1261" t="s">
        <v>3429</v>
      </c>
      <c r="AC1261" t="s">
        <v>13137</v>
      </c>
      <c r="AE1261" t="s">
        <v>7211</v>
      </c>
      <c r="AF1261" t="s">
        <v>10695</v>
      </c>
      <c r="AG1261" t="s">
        <v>4462</v>
      </c>
      <c r="AH1261" t="s">
        <v>10794</v>
      </c>
      <c r="AJ1261" t="s">
        <v>164</v>
      </c>
      <c r="AK1261" t="s">
        <v>16178</v>
      </c>
      <c r="AL1261">
        <v>0.02</v>
      </c>
      <c r="AN1261">
        <v>0.31</v>
      </c>
      <c r="AP1261" t="s">
        <v>16179</v>
      </c>
      <c r="AQ1261" t="s">
        <v>10519</v>
      </c>
      <c r="AR1261" t="s">
        <v>2644</v>
      </c>
      <c r="AS1261" t="s">
        <v>3349</v>
      </c>
      <c r="AT1261" t="s">
        <v>148</v>
      </c>
      <c r="AU1261" t="s">
        <v>497</v>
      </c>
      <c r="AV1261" t="s">
        <v>2595</v>
      </c>
      <c r="AW1261" t="s">
        <v>3814</v>
      </c>
      <c r="AX1261" t="s">
        <v>3433</v>
      </c>
      <c r="AY1261" t="s">
        <v>13982</v>
      </c>
      <c r="AZ1261" t="s">
        <v>3287</v>
      </c>
      <c r="BB1261">
        <v>5.95</v>
      </c>
      <c r="BC1261">
        <v>0.8</v>
      </c>
      <c r="BD1261">
        <v>17.3</v>
      </c>
      <c r="BE1261">
        <v>17.3</v>
      </c>
      <c r="BF1261">
        <v>17.12</v>
      </c>
      <c r="BG1261" t="s">
        <v>16180</v>
      </c>
      <c r="BH1261" t="s">
        <v>13982</v>
      </c>
      <c r="BI1261" t="s">
        <v>16181</v>
      </c>
      <c r="BJ1261" t="s">
        <v>101</v>
      </c>
      <c r="BK1261" t="s">
        <v>2650</v>
      </c>
      <c r="BL1261" t="s">
        <v>3470</v>
      </c>
      <c r="BM1261" t="s">
        <v>16182</v>
      </c>
      <c r="BN1261" t="s">
        <v>14623</v>
      </c>
    </row>
    <row r="1262" spans="1:66" x14ac:dyDescent="0.25">
      <c r="A1262" t="str">
        <f>HYPERLINK("https://elite.finviz.com/quote.ashx?t=NABL&amp;ty=c&amp;p=d&amp;b=1", "NABL")</f>
        <v>NABL</v>
      </c>
      <c r="B1262">
        <v>6</v>
      </c>
      <c r="C1262">
        <v>127.03</v>
      </c>
      <c r="D1262">
        <v>48.78</v>
      </c>
      <c r="E1262" t="s">
        <v>16183</v>
      </c>
      <c r="F1262" t="s">
        <v>67</v>
      </c>
      <c r="G1262" t="s">
        <v>108</v>
      </c>
      <c r="H1262" t="s">
        <v>1322</v>
      </c>
      <c r="I1262" t="s">
        <v>70</v>
      </c>
      <c r="J1262" t="s">
        <v>71</v>
      </c>
      <c r="K1262">
        <v>1508</v>
      </c>
      <c r="L1262">
        <v>8.06</v>
      </c>
      <c r="M1262" t="s">
        <v>4538</v>
      </c>
      <c r="N1262">
        <v>78689</v>
      </c>
      <c r="O1262">
        <v>526.79999999999995</v>
      </c>
      <c r="P1262">
        <v>18.66</v>
      </c>
      <c r="Q1262">
        <v>124.54</v>
      </c>
      <c r="R1262">
        <v>3.13</v>
      </c>
      <c r="S1262">
        <v>1.88</v>
      </c>
      <c r="Z1262" t="s">
        <v>164</v>
      </c>
      <c r="AA1262">
        <v>0.02</v>
      </c>
      <c r="AB1262" t="s">
        <v>16184</v>
      </c>
      <c r="AD1262" t="s">
        <v>1302</v>
      </c>
      <c r="AE1262" t="s">
        <v>12465</v>
      </c>
      <c r="AF1262" t="s">
        <v>702</v>
      </c>
      <c r="AG1262" t="s">
        <v>4110</v>
      </c>
      <c r="AH1262" t="s">
        <v>341</v>
      </c>
      <c r="AI1262" t="s">
        <v>3271</v>
      </c>
      <c r="AJ1262" t="s">
        <v>3752</v>
      </c>
      <c r="AK1262" t="s">
        <v>5962</v>
      </c>
      <c r="AL1262">
        <v>1.24</v>
      </c>
      <c r="AM1262">
        <v>1.24</v>
      </c>
      <c r="AN1262">
        <v>0.46</v>
      </c>
      <c r="AO1262" t="s">
        <v>16185</v>
      </c>
      <c r="AP1262" t="s">
        <v>6087</v>
      </c>
      <c r="AQ1262" t="s">
        <v>4623</v>
      </c>
      <c r="AR1262" t="s">
        <v>248</v>
      </c>
      <c r="AS1262" t="s">
        <v>7437</v>
      </c>
      <c r="AT1262" t="s">
        <v>6407</v>
      </c>
      <c r="AU1262" t="s">
        <v>3871</v>
      </c>
      <c r="AV1262" t="s">
        <v>6137</v>
      </c>
      <c r="AW1262" t="s">
        <v>16186</v>
      </c>
      <c r="AX1262" t="s">
        <v>14148</v>
      </c>
      <c r="AY1262" t="s">
        <v>16187</v>
      </c>
      <c r="AZ1262" t="s">
        <v>11835</v>
      </c>
      <c r="BA1262">
        <v>2</v>
      </c>
      <c r="BB1262">
        <v>869.96</v>
      </c>
      <c r="BC1262">
        <v>0.32</v>
      </c>
      <c r="BD1262">
        <v>8.08</v>
      </c>
      <c r="BE1262">
        <v>8.11</v>
      </c>
      <c r="BF1262">
        <v>8.0399999999999991</v>
      </c>
      <c r="BG1262" t="s">
        <v>16188</v>
      </c>
      <c r="BH1262" t="s">
        <v>16189</v>
      </c>
      <c r="BI1262" t="s">
        <v>11835</v>
      </c>
      <c r="BJ1262" t="s">
        <v>101</v>
      </c>
      <c r="BK1262" t="s">
        <v>1574</v>
      </c>
      <c r="BL1262" t="s">
        <v>419</v>
      </c>
      <c r="BM1262" t="s">
        <v>8877</v>
      </c>
      <c r="BN1262" t="s">
        <v>14623</v>
      </c>
    </row>
    <row r="1263" spans="1:66" x14ac:dyDescent="0.25">
      <c r="A1263" t="str">
        <f>HYPERLINK("https://elite.finviz.com/quote.ashx?t=OMDA&amp;ty=c&amp;p=d&amp;b=1", "OMDA")</f>
        <v>OMDA</v>
      </c>
      <c r="B1263">
        <v>6</v>
      </c>
      <c r="C1263">
        <v>127.03</v>
      </c>
      <c r="D1263">
        <v>48.81</v>
      </c>
      <c r="E1263" t="s">
        <v>16190</v>
      </c>
      <c r="F1263" t="s">
        <v>67</v>
      </c>
      <c r="G1263" t="s">
        <v>428</v>
      </c>
      <c r="H1263" t="s">
        <v>2075</v>
      </c>
      <c r="I1263" t="s">
        <v>70</v>
      </c>
      <c r="J1263" t="s">
        <v>321</v>
      </c>
      <c r="K1263">
        <v>1279.8900000000001</v>
      </c>
      <c r="L1263">
        <v>22.23</v>
      </c>
      <c r="M1263" t="s">
        <v>2893</v>
      </c>
      <c r="N1263">
        <v>39564</v>
      </c>
      <c r="R1263">
        <v>6.1</v>
      </c>
      <c r="S1263">
        <v>5.95</v>
      </c>
      <c r="AA1263">
        <v>-0.57999999999999996</v>
      </c>
      <c r="AB1263" t="s">
        <v>8212</v>
      </c>
      <c r="AE1263" t="s">
        <v>6427</v>
      </c>
      <c r="AF1263" t="s">
        <v>11241</v>
      </c>
      <c r="AH1263" t="s">
        <v>12385</v>
      </c>
      <c r="AI1263" t="s">
        <v>16191</v>
      </c>
      <c r="AJ1263" t="s">
        <v>164</v>
      </c>
      <c r="AK1263" t="s">
        <v>6839</v>
      </c>
      <c r="AL1263">
        <v>4.62</v>
      </c>
      <c r="AM1263">
        <v>4.5599999999999996</v>
      </c>
      <c r="AN1263">
        <v>0.14000000000000001</v>
      </c>
      <c r="AO1263" t="s">
        <v>16192</v>
      </c>
      <c r="AP1263" t="s">
        <v>7212</v>
      </c>
      <c r="AQ1263" t="s">
        <v>11699</v>
      </c>
      <c r="AR1263" t="s">
        <v>4530</v>
      </c>
      <c r="AS1263" t="s">
        <v>3948</v>
      </c>
      <c r="AT1263" t="s">
        <v>4927</v>
      </c>
      <c r="AU1263" t="s">
        <v>2581</v>
      </c>
      <c r="AV1263" t="s">
        <v>4593</v>
      </c>
      <c r="AW1263" t="s">
        <v>7234</v>
      </c>
      <c r="AX1263" t="s">
        <v>9441</v>
      </c>
      <c r="AY1263" t="s">
        <v>13749</v>
      </c>
      <c r="AZ1263" t="s">
        <v>16193</v>
      </c>
      <c r="BA1263">
        <v>1.33</v>
      </c>
      <c r="BB1263">
        <v>498.35</v>
      </c>
      <c r="BC1263">
        <v>0.28000000000000003</v>
      </c>
      <c r="BD1263">
        <v>23.08</v>
      </c>
      <c r="BE1263">
        <v>23.36</v>
      </c>
      <c r="BF1263">
        <v>22.23</v>
      </c>
      <c r="BG1263" t="s">
        <v>16194</v>
      </c>
      <c r="BH1263" t="s">
        <v>13749</v>
      </c>
      <c r="BI1263" t="s">
        <v>16193</v>
      </c>
      <c r="BJ1263" t="s">
        <v>101</v>
      </c>
      <c r="BK1263" t="s">
        <v>5690</v>
      </c>
      <c r="BN1263" t="s">
        <v>14623</v>
      </c>
    </row>
    <row r="1264" spans="1:66" x14ac:dyDescent="0.25">
      <c r="A1264" t="str">
        <f>HYPERLINK("https://elite.finviz.com/quote.ashx?t=ATLN&amp;ty=c&amp;p=d&amp;b=1", "ATLN")</f>
        <v>ATLN</v>
      </c>
      <c r="B1264">
        <v>6</v>
      </c>
      <c r="C1264">
        <v>127.03</v>
      </c>
      <c r="D1264">
        <v>48.81</v>
      </c>
      <c r="E1264" t="s">
        <v>16195</v>
      </c>
      <c r="F1264" t="s">
        <v>67</v>
      </c>
      <c r="G1264" t="s">
        <v>260</v>
      </c>
      <c r="H1264" t="s">
        <v>8693</v>
      </c>
      <c r="I1264" t="s">
        <v>70</v>
      </c>
      <c r="J1264" t="s">
        <v>321</v>
      </c>
      <c r="K1264">
        <v>214.82</v>
      </c>
      <c r="L1264">
        <v>3.68</v>
      </c>
      <c r="M1264" t="s">
        <v>5660</v>
      </c>
      <c r="N1264">
        <v>18714</v>
      </c>
      <c r="R1264">
        <v>0.48</v>
      </c>
      <c r="AA1264">
        <v>-1.85</v>
      </c>
      <c r="AB1264" t="s">
        <v>947</v>
      </c>
      <c r="AC1264" t="s">
        <v>11062</v>
      </c>
      <c r="AE1264" t="s">
        <v>16196</v>
      </c>
      <c r="AF1264" t="s">
        <v>16197</v>
      </c>
      <c r="AG1264" t="s">
        <v>16198</v>
      </c>
      <c r="AH1264" t="s">
        <v>7039</v>
      </c>
      <c r="AJ1264" t="s">
        <v>164</v>
      </c>
      <c r="AK1264" t="s">
        <v>2087</v>
      </c>
      <c r="AL1264">
        <v>1.31</v>
      </c>
      <c r="AM1264">
        <v>1.31</v>
      </c>
      <c r="AO1264" t="s">
        <v>12048</v>
      </c>
      <c r="AP1264" t="s">
        <v>16199</v>
      </c>
      <c r="AQ1264" t="s">
        <v>6709</v>
      </c>
      <c r="AR1264" t="s">
        <v>6022</v>
      </c>
      <c r="AS1264" t="s">
        <v>9175</v>
      </c>
      <c r="AT1264" t="s">
        <v>10228</v>
      </c>
      <c r="AU1264" t="s">
        <v>4188</v>
      </c>
      <c r="AV1264" t="s">
        <v>2736</v>
      </c>
      <c r="AW1264" t="s">
        <v>16200</v>
      </c>
      <c r="AX1264" t="s">
        <v>16201</v>
      </c>
      <c r="AY1264" t="s">
        <v>727</v>
      </c>
      <c r="AZ1264" t="s">
        <v>16201</v>
      </c>
      <c r="BA1264">
        <v>1</v>
      </c>
      <c r="BB1264">
        <v>76.2</v>
      </c>
      <c r="BC1264">
        <v>0.87</v>
      </c>
      <c r="BD1264">
        <v>3.6</v>
      </c>
      <c r="BE1264">
        <v>4.45</v>
      </c>
      <c r="BF1264">
        <v>3.57</v>
      </c>
      <c r="BG1264" t="s">
        <v>16202</v>
      </c>
      <c r="BH1264" t="s">
        <v>1043</v>
      </c>
      <c r="BI1264" t="s">
        <v>16203</v>
      </c>
      <c r="BJ1264" t="s">
        <v>101</v>
      </c>
      <c r="BK1264" t="s">
        <v>3945</v>
      </c>
      <c r="BL1264" t="s">
        <v>5480</v>
      </c>
      <c r="BM1264" t="s">
        <v>16204</v>
      </c>
      <c r="BN1264" t="s">
        <v>14623</v>
      </c>
    </row>
    <row r="1265" spans="1:66" x14ac:dyDescent="0.25">
      <c r="A1265" t="str">
        <f>HYPERLINK("https://elite.finviz.com/quote.ashx?t=HTH&amp;ty=c&amp;p=d&amp;b=1", "HTH")</f>
        <v>HTH</v>
      </c>
      <c r="B1265">
        <v>6</v>
      </c>
      <c r="C1265">
        <v>127.03</v>
      </c>
      <c r="D1265">
        <v>48.83</v>
      </c>
      <c r="E1265" t="s">
        <v>16205</v>
      </c>
      <c r="F1265" t="s">
        <v>67</v>
      </c>
      <c r="G1265" t="s">
        <v>550</v>
      </c>
      <c r="H1265" t="s">
        <v>6613</v>
      </c>
      <c r="I1265" t="s">
        <v>70</v>
      </c>
      <c r="J1265" t="s">
        <v>71</v>
      </c>
      <c r="K1265">
        <v>2131.66</v>
      </c>
      <c r="L1265">
        <v>33.83</v>
      </c>
      <c r="M1265" t="s">
        <v>629</v>
      </c>
      <c r="N1265">
        <v>26209</v>
      </c>
      <c r="O1265">
        <v>15.22</v>
      </c>
      <c r="P1265">
        <v>19.12</v>
      </c>
      <c r="R1265">
        <v>1.36</v>
      </c>
      <c r="S1265">
        <v>0.97</v>
      </c>
      <c r="T1265" t="s">
        <v>6975</v>
      </c>
      <c r="U1265">
        <v>0.71</v>
      </c>
      <c r="V1265" t="s">
        <v>3046</v>
      </c>
      <c r="W1265" t="s">
        <v>229</v>
      </c>
      <c r="X1265" t="s">
        <v>7655</v>
      </c>
      <c r="Y1265" t="s">
        <v>16206</v>
      </c>
      <c r="Z1265" t="s">
        <v>16207</v>
      </c>
      <c r="AA1265">
        <v>2.2200000000000002</v>
      </c>
      <c r="AB1265" t="s">
        <v>16208</v>
      </c>
      <c r="AC1265" t="s">
        <v>4174</v>
      </c>
      <c r="AE1265" t="s">
        <v>4916</v>
      </c>
      <c r="AF1265" t="s">
        <v>5368</v>
      </c>
      <c r="AG1265" t="s">
        <v>2694</v>
      </c>
      <c r="AH1265" t="s">
        <v>1767</v>
      </c>
      <c r="AI1265" t="s">
        <v>16209</v>
      </c>
      <c r="AJ1265" t="s">
        <v>4271</v>
      </c>
      <c r="AK1265" t="s">
        <v>3620</v>
      </c>
      <c r="AL1265">
        <v>0.27</v>
      </c>
      <c r="AN1265">
        <v>0.45</v>
      </c>
      <c r="AP1265" t="s">
        <v>2922</v>
      </c>
      <c r="AQ1265" t="s">
        <v>5557</v>
      </c>
      <c r="AR1265" t="s">
        <v>2640</v>
      </c>
      <c r="AS1265" t="s">
        <v>3118</v>
      </c>
      <c r="AT1265" t="s">
        <v>14331</v>
      </c>
      <c r="AU1265" t="s">
        <v>307</v>
      </c>
      <c r="AV1265" t="s">
        <v>1558</v>
      </c>
      <c r="AW1265" t="s">
        <v>657</v>
      </c>
      <c r="AX1265" t="s">
        <v>6752</v>
      </c>
      <c r="AY1265" t="s">
        <v>657</v>
      </c>
      <c r="AZ1265" t="s">
        <v>8474</v>
      </c>
      <c r="BA1265">
        <v>3</v>
      </c>
      <c r="BB1265">
        <v>461.32</v>
      </c>
      <c r="BC1265">
        <v>0.2</v>
      </c>
      <c r="BD1265">
        <v>33.82</v>
      </c>
      <c r="BE1265">
        <v>34.22</v>
      </c>
      <c r="BF1265">
        <v>33.799999999999997</v>
      </c>
      <c r="BG1265" t="s">
        <v>16210</v>
      </c>
      <c r="BH1265" t="s">
        <v>2452</v>
      </c>
      <c r="BI1265" t="s">
        <v>16211</v>
      </c>
      <c r="BJ1265" t="s">
        <v>101</v>
      </c>
      <c r="BK1265" t="s">
        <v>9387</v>
      </c>
      <c r="BL1265" t="s">
        <v>2093</v>
      </c>
      <c r="BM1265" t="s">
        <v>7231</v>
      </c>
      <c r="BN1265" t="s">
        <v>14623</v>
      </c>
    </row>
    <row r="1266" spans="1:66" x14ac:dyDescent="0.25">
      <c r="A1266" t="str">
        <f>HYPERLINK("https://elite.finviz.com/quote.ashx?t=DOMO&amp;ty=c&amp;p=d&amp;b=1", "DOMO")</f>
        <v>DOMO</v>
      </c>
      <c r="B1266">
        <v>6</v>
      </c>
      <c r="C1266">
        <v>127.03</v>
      </c>
      <c r="D1266">
        <v>48.84</v>
      </c>
      <c r="E1266" t="s">
        <v>16212</v>
      </c>
      <c r="F1266" t="s">
        <v>67</v>
      </c>
      <c r="G1266" t="s">
        <v>108</v>
      </c>
      <c r="H1266" t="s">
        <v>136</v>
      </c>
      <c r="I1266" t="s">
        <v>70</v>
      </c>
      <c r="J1266" t="s">
        <v>321</v>
      </c>
      <c r="K1266">
        <v>660.53</v>
      </c>
      <c r="L1266">
        <v>16.02</v>
      </c>
      <c r="M1266" t="s">
        <v>2899</v>
      </c>
      <c r="N1266">
        <v>145865</v>
      </c>
      <c r="P1266">
        <v>816.51</v>
      </c>
      <c r="R1266">
        <v>2.0699999999999998</v>
      </c>
      <c r="AA1266">
        <v>-1.95</v>
      </c>
      <c r="AB1266" t="s">
        <v>6329</v>
      </c>
      <c r="AC1266" t="s">
        <v>8814</v>
      </c>
      <c r="AE1266" t="s">
        <v>5242</v>
      </c>
      <c r="AF1266" t="s">
        <v>661</v>
      </c>
      <c r="AG1266" t="s">
        <v>8928</v>
      </c>
      <c r="AH1266" t="s">
        <v>2082</v>
      </c>
      <c r="AI1266" t="s">
        <v>16213</v>
      </c>
      <c r="AJ1266" t="s">
        <v>2619</v>
      </c>
      <c r="AK1266" t="s">
        <v>16214</v>
      </c>
      <c r="AL1266">
        <v>0.41</v>
      </c>
      <c r="AM1266">
        <v>0.41</v>
      </c>
      <c r="AO1266" t="s">
        <v>15416</v>
      </c>
      <c r="AP1266" t="s">
        <v>16215</v>
      </c>
      <c r="AQ1266" t="s">
        <v>8717</v>
      </c>
      <c r="AR1266" t="s">
        <v>2035</v>
      </c>
      <c r="AS1266" t="s">
        <v>2542</v>
      </c>
      <c r="AT1266" t="s">
        <v>2276</v>
      </c>
      <c r="AU1266" t="s">
        <v>3757</v>
      </c>
      <c r="AV1266" t="s">
        <v>13601</v>
      </c>
      <c r="AW1266" t="s">
        <v>5714</v>
      </c>
      <c r="AX1266" t="s">
        <v>11578</v>
      </c>
      <c r="AY1266" t="s">
        <v>5714</v>
      </c>
      <c r="AZ1266" t="s">
        <v>16216</v>
      </c>
      <c r="BA1266">
        <v>1.67</v>
      </c>
      <c r="BB1266">
        <v>758.28</v>
      </c>
      <c r="BC1266">
        <v>0.68</v>
      </c>
      <c r="BD1266">
        <v>16.16</v>
      </c>
      <c r="BE1266">
        <v>16.38</v>
      </c>
      <c r="BF1266">
        <v>15.98</v>
      </c>
      <c r="BG1266" t="s">
        <v>16217</v>
      </c>
      <c r="BH1266" t="s">
        <v>14254</v>
      </c>
      <c r="BI1266" t="s">
        <v>16216</v>
      </c>
      <c r="BJ1266" t="s">
        <v>101</v>
      </c>
      <c r="BK1266" t="s">
        <v>5386</v>
      </c>
      <c r="BL1266" t="s">
        <v>16218</v>
      </c>
      <c r="BM1266" t="s">
        <v>16219</v>
      </c>
      <c r="BN1266" t="s">
        <v>14623</v>
      </c>
    </row>
    <row r="1267" spans="1:66" x14ac:dyDescent="0.25">
      <c r="A1267" t="str">
        <f>HYPERLINK("https://elite.finviz.com/quote.ashx?t=ZD&amp;ty=c&amp;p=d&amp;b=1", "ZD")</f>
        <v>ZD</v>
      </c>
      <c r="B1267">
        <v>6</v>
      </c>
      <c r="C1267">
        <v>127.03</v>
      </c>
      <c r="D1267">
        <v>48.85</v>
      </c>
      <c r="E1267" t="s">
        <v>16220</v>
      </c>
      <c r="F1267" t="s">
        <v>67</v>
      </c>
      <c r="G1267" t="s">
        <v>598</v>
      </c>
      <c r="H1267" t="s">
        <v>1020</v>
      </c>
      <c r="I1267" t="s">
        <v>70</v>
      </c>
      <c r="J1267" t="s">
        <v>321</v>
      </c>
      <c r="K1267">
        <v>1506.45</v>
      </c>
      <c r="L1267">
        <v>36.74</v>
      </c>
      <c r="M1267" t="s">
        <v>1764</v>
      </c>
      <c r="N1267">
        <v>43174</v>
      </c>
      <c r="O1267">
        <v>25.29</v>
      </c>
      <c r="P1267">
        <v>4.97</v>
      </c>
      <c r="Q1267">
        <v>4.38</v>
      </c>
      <c r="R1267">
        <v>1.04</v>
      </c>
      <c r="S1267">
        <v>0.82</v>
      </c>
      <c r="V1267" t="s">
        <v>16221</v>
      </c>
      <c r="Z1267" t="s">
        <v>164</v>
      </c>
      <c r="AA1267">
        <v>1.45</v>
      </c>
      <c r="AB1267" t="s">
        <v>6776</v>
      </c>
      <c r="AC1267" t="s">
        <v>16222</v>
      </c>
      <c r="AD1267" t="s">
        <v>636</v>
      </c>
      <c r="AE1267" t="s">
        <v>755</v>
      </c>
      <c r="AF1267" t="s">
        <v>2263</v>
      </c>
      <c r="AG1267" t="s">
        <v>7464</v>
      </c>
      <c r="AH1267" t="s">
        <v>1558</v>
      </c>
      <c r="AI1267" t="s">
        <v>5045</v>
      </c>
      <c r="AJ1267" t="s">
        <v>211</v>
      </c>
      <c r="AK1267" t="s">
        <v>16223</v>
      </c>
      <c r="AL1267">
        <v>1.59</v>
      </c>
      <c r="AM1267">
        <v>1.59</v>
      </c>
      <c r="AN1267">
        <v>0.47</v>
      </c>
      <c r="AO1267" t="s">
        <v>1428</v>
      </c>
      <c r="AP1267" t="s">
        <v>7843</v>
      </c>
      <c r="AQ1267" t="s">
        <v>247</v>
      </c>
      <c r="AR1267" t="s">
        <v>2384</v>
      </c>
      <c r="AS1267" t="s">
        <v>2234</v>
      </c>
      <c r="AT1267" t="s">
        <v>8763</v>
      </c>
      <c r="AU1267" t="s">
        <v>2662</v>
      </c>
      <c r="AV1267" t="s">
        <v>5271</v>
      </c>
      <c r="AW1267" t="s">
        <v>3408</v>
      </c>
      <c r="AX1267" t="s">
        <v>12004</v>
      </c>
      <c r="AY1267" t="s">
        <v>15101</v>
      </c>
      <c r="AZ1267" t="s">
        <v>12004</v>
      </c>
      <c r="BA1267">
        <v>2</v>
      </c>
      <c r="BB1267">
        <v>587.66999999999996</v>
      </c>
      <c r="BC1267">
        <v>0.26</v>
      </c>
      <c r="BD1267">
        <v>36.47</v>
      </c>
      <c r="BE1267">
        <v>37.049999999999997</v>
      </c>
      <c r="BF1267">
        <v>36.51</v>
      </c>
      <c r="BG1267" t="s">
        <v>16224</v>
      </c>
      <c r="BH1267" t="s">
        <v>14421</v>
      </c>
      <c r="BI1267" t="s">
        <v>16225</v>
      </c>
      <c r="BJ1267" t="s">
        <v>101</v>
      </c>
      <c r="BK1267" t="s">
        <v>3065</v>
      </c>
      <c r="BL1267" t="s">
        <v>16226</v>
      </c>
      <c r="BM1267" t="s">
        <v>12530</v>
      </c>
      <c r="BN1267" t="s">
        <v>14623</v>
      </c>
    </row>
    <row r="1268" spans="1:66" x14ac:dyDescent="0.25">
      <c r="A1268" t="str">
        <f>HYPERLINK("https://elite.finviz.com/quote.ashx?t=EHTH&amp;ty=c&amp;p=d&amp;b=1", "EHTH")</f>
        <v>EHTH</v>
      </c>
      <c r="B1268">
        <v>6</v>
      </c>
      <c r="C1268">
        <v>127.03</v>
      </c>
      <c r="D1268">
        <v>48.89</v>
      </c>
      <c r="E1268" t="s">
        <v>16227</v>
      </c>
      <c r="F1268" t="s">
        <v>67</v>
      </c>
      <c r="G1268" t="s">
        <v>550</v>
      </c>
      <c r="H1268" t="s">
        <v>10916</v>
      </c>
      <c r="I1268" t="s">
        <v>70</v>
      </c>
      <c r="J1268" t="s">
        <v>321</v>
      </c>
      <c r="K1268">
        <v>118.59</v>
      </c>
      <c r="L1268">
        <v>3.88</v>
      </c>
      <c r="M1268" t="s">
        <v>2294</v>
      </c>
      <c r="N1268">
        <v>49950</v>
      </c>
      <c r="P1268">
        <v>4.5599999999999996</v>
      </c>
      <c r="R1268">
        <v>0.22</v>
      </c>
      <c r="S1268">
        <v>0.21</v>
      </c>
      <c r="AA1268">
        <v>-0.34</v>
      </c>
      <c r="AB1268" t="s">
        <v>1948</v>
      </c>
      <c r="AD1268" t="s">
        <v>5552</v>
      </c>
      <c r="AE1268" t="s">
        <v>6501</v>
      </c>
      <c r="AF1268" t="s">
        <v>1445</v>
      </c>
      <c r="AG1268" t="s">
        <v>4689</v>
      </c>
      <c r="AH1268" t="s">
        <v>11348</v>
      </c>
      <c r="AI1268" t="s">
        <v>345</v>
      </c>
      <c r="AJ1268" t="s">
        <v>2290</v>
      </c>
      <c r="AK1268" t="s">
        <v>16228</v>
      </c>
      <c r="AL1268">
        <v>2.98</v>
      </c>
      <c r="AM1268">
        <v>2.98</v>
      </c>
      <c r="AN1268">
        <v>0.1</v>
      </c>
      <c r="AP1268" t="s">
        <v>419</v>
      </c>
      <c r="AQ1268" t="s">
        <v>4763</v>
      </c>
      <c r="AR1268" t="s">
        <v>3524</v>
      </c>
      <c r="AS1268" t="s">
        <v>5102</v>
      </c>
      <c r="AT1268" t="s">
        <v>1356</v>
      </c>
      <c r="AU1268" t="s">
        <v>4976</v>
      </c>
      <c r="AV1268" t="s">
        <v>16229</v>
      </c>
      <c r="AW1268" t="s">
        <v>2975</v>
      </c>
      <c r="AX1268" t="s">
        <v>482</v>
      </c>
      <c r="AY1268" t="s">
        <v>12161</v>
      </c>
      <c r="AZ1268" t="s">
        <v>482</v>
      </c>
      <c r="BA1268">
        <v>2.6</v>
      </c>
      <c r="BB1268">
        <v>479.65</v>
      </c>
      <c r="BC1268">
        <v>0.37</v>
      </c>
      <c r="BD1268">
        <v>3.89</v>
      </c>
      <c r="BE1268">
        <v>3.98</v>
      </c>
      <c r="BF1268">
        <v>3.85</v>
      </c>
      <c r="BG1268" t="s">
        <v>16230</v>
      </c>
      <c r="BH1268" t="s">
        <v>16231</v>
      </c>
      <c r="BI1268" t="s">
        <v>16232</v>
      </c>
      <c r="BJ1268" t="s">
        <v>101</v>
      </c>
      <c r="BK1268" t="s">
        <v>4635</v>
      </c>
      <c r="BL1268" t="s">
        <v>6140</v>
      </c>
      <c r="BM1268" t="s">
        <v>81</v>
      </c>
      <c r="BN1268" t="s">
        <v>14623</v>
      </c>
    </row>
    <row r="1269" spans="1:66" x14ac:dyDescent="0.25">
      <c r="A1269" t="str">
        <f>HYPERLINK("https://elite.finviz.com/quote.ashx?t=BCBP&amp;ty=c&amp;p=d&amp;b=1", "BCBP")</f>
        <v>BCBP</v>
      </c>
      <c r="B1269">
        <v>6</v>
      </c>
      <c r="C1269">
        <v>127.03</v>
      </c>
      <c r="D1269">
        <v>48.9</v>
      </c>
      <c r="E1269" t="s">
        <v>16233</v>
      </c>
      <c r="F1269" t="s">
        <v>67</v>
      </c>
      <c r="G1269" t="s">
        <v>550</v>
      </c>
      <c r="H1269" t="s">
        <v>697</v>
      </c>
      <c r="I1269" t="s">
        <v>70</v>
      </c>
      <c r="J1269" t="s">
        <v>321</v>
      </c>
      <c r="K1269">
        <v>149.5</v>
      </c>
      <c r="L1269">
        <v>8.69</v>
      </c>
      <c r="M1269" t="s">
        <v>1574</v>
      </c>
      <c r="N1269">
        <v>7953</v>
      </c>
      <c r="O1269">
        <v>45.45</v>
      </c>
      <c r="P1269">
        <v>6.87</v>
      </c>
      <c r="R1269">
        <v>0.78</v>
      </c>
      <c r="S1269">
        <v>0.47</v>
      </c>
      <c r="T1269" t="s">
        <v>11494</v>
      </c>
      <c r="U1269">
        <v>0.64</v>
      </c>
      <c r="V1269" t="s">
        <v>893</v>
      </c>
      <c r="W1269" t="s">
        <v>164</v>
      </c>
      <c r="X1269" t="s">
        <v>3916</v>
      </c>
      <c r="Y1269" t="s">
        <v>2496</v>
      </c>
      <c r="Z1269" t="s">
        <v>16234</v>
      </c>
      <c r="AA1269">
        <v>0.19</v>
      </c>
      <c r="AB1269" t="s">
        <v>9002</v>
      </c>
      <c r="AC1269" t="s">
        <v>759</v>
      </c>
      <c r="AE1269" t="s">
        <v>16056</v>
      </c>
      <c r="AF1269" t="s">
        <v>7711</v>
      </c>
      <c r="AG1269" t="s">
        <v>660</v>
      </c>
      <c r="AH1269" t="s">
        <v>14331</v>
      </c>
      <c r="AI1269" t="s">
        <v>2554</v>
      </c>
      <c r="AJ1269" t="s">
        <v>1837</v>
      </c>
      <c r="AK1269" t="s">
        <v>16235</v>
      </c>
      <c r="AL1269">
        <v>0.41</v>
      </c>
      <c r="AN1269">
        <v>1.24</v>
      </c>
      <c r="AP1269" t="s">
        <v>3481</v>
      </c>
      <c r="AQ1269" t="s">
        <v>6493</v>
      </c>
      <c r="AR1269" t="s">
        <v>4154</v>
      </c>
      <c r="AS1269" t="s">
        <v>2876</v>
      </c>
      <c r="AT1269" t="s">
        <v>4809</v>
      </c>
      <c r="AU1269" t="s">
        <v>4266</v>
      </c>
      <c r="AV1269" t="s">
        <v>1571</v>
      </c>
      <c r="AW1269" t="s">
        <v>5359</v>
      </c>
      <c r="AX1269" t="s">
        <v>637</v>
      </c>
      <c r="AY1269" t="s">
        <v>16236</v>
      </c>
      <c r="AZ1269" t="s">
        <v>11062</v>
      </c>
      <c r="BA1269">
        <v>2.5</v>
      </c>
      <c r="BB1269">
        <v>70.5</v>
      </c>
      <c r="BC1269">
        <v>0.4</v>
      </c>
      <c r="BD1269">
        <v>8.76</v>
      </c>
      <c r="BE1269">
        <v>8.8000000000000007</v>
      </c>
      <c r="BF1269">
        <v>8.6999999999999993</v>
      </c>
      <c r="BG1269" t="s">
        <v>16237</v>
      </c>
      <c r="BH1269" t="s">
        <v>5276</v>
      </c>
      <c r="BI1269" t="s">
        <v>16238</v>
      </c>
      <c r="BJ1269" t="s">
        <v>101</v>
      </c>
      <c r="BK1269" t="s">
        <v>911</v>
      </c>
      <c r="BL1269" t="s">
        <v>16239</v>
      </c>
      <c r="BM1269" t="s">
        <v>16240</v>
      </c>
      <c r="BN1269" t="s">
        <v>14623</v>
      </c>
    </row>
    <row r="1270" spans="1:66" x14ac:dyDescent="0.25">
      <c r="A1270" t="str">
        <f>HYPERLINK("https://elite.finviz.com/quote.ashx?t=EVCM&amp;ty=c&amp;p=d&amp;b=1", "EVCM")</f>
        <v>EVCM</v>
      </c>
      <c r="B1270">
        <v>6</v>
      </c>
      <c r="C1270">
        <v>127.03</v>
      </c>
      <c r="D1270">
        <v>48.92</v>
      </c>
      <c r="E1270" t="s">
        <v>16241</v>
      </c>
      <c r="F1270" t="s">
        <v>67</v>
      </c>
      <c r="G1270" t="s">
        <v>108</v>
      </c>
      <c r="H1270" t="s">
        <v>109</v>
      </c>
      <c r="I1270" t="s">
        <v>70</v>
      </c>
      <c r="J1270" t="s">
        <v>321</v>
      </c>
      <c r="K1270">
        <v>2078.4899999999998</v>
      </c>
      <c r="L1270">
        <v>11.47</v>
      </c>
      <c r="M1270" t="s">
        <v>3227</v>
      </c>
      <c r="N1270">
        <v>23092</v>
      </c>
      <c r="P1270">
        <v>61.24</v>
      </c>
      <c r="R1270">
        <v>3.24</v>
      </c>
      <c r="S1270">
        <v>2.81</v>
      </c>
      <c r="AA1270">
        <v>-0.11</v>
      </c>
      <c r="AB1270" t="s">
        <v>13719</v>
      </c>
      <c r="AC1270" t="s">
        <v>16242</v>
      </c>
      <c r="AE1270" t="s">
        <v>2616</v>
      </c>
      <c r="AF1270" t="s">
        <v>7068</v>
      </c>
      <c r="AG1270" t="s">
        <v>1701</v>
      </c>
      <c r="AH1270" t="s">
        <v>16243</v>
      </c>
      <c r="AI1270" t="s">
        <v>16244</v>
      </c>
      <c r="AJ1270" t="s">
        <v>7346</v>
      </c>
      <c r="AK1270" t="s">
        <v>2585</v>
      </c>
      <c r="AL1270">
        <v>2.29</v>
      </c>
      <c r="AM1270">
        <v>2.29</v>
      </c>
      <c r="AN1270">
        <v>0.73</v>
      </c>
      <c r="AO1270" t="s">
        <v>2113</v>
      </c>
      <c r="AP1270" t="s">
        <v>1847</v>
      </c>
      <c r="AQ1270" t="s">
        <v>3814</v>
      </c>
      <c r="AR1270" t="s">
        <v>2473</v>
      </c>
      <c r="AS1270" t="s">
        <v>4687</v>
      </c>
      <c r="AT1270" t="s">
        <v>600</v>
      </c>
      <c r="AU1270" t="s">
        <v>2339</v>
      </c>
      <c r="AV1270" t="s">
        <v>6028</v>
      </c>
      <c r="AW1270" t="s">
        <v>14744</v>
      </c>
      <c r="AX1270" t="s">
        <v>13015</v>
      </c>
      <c r="AY1270" t="s">
        <v>440</v>
      </c>
      <c r="AZ1270" t="s">
        <v>9398</v>
      </c>
      <c r="BA1270">
        <v>2</v>
      </c>
      <c r="BB1270">
        <v>240.31</v>
      </c>
      <c r="BC1270">
        <v>0.34</v>
      </c>
      <c r="BD1270">
        <v>11.47</v>
      </c>
      <c r="BE1270">
        <v>11.53</v>
      </c>
      <c r="BF1270">
        <v>11.4</v>
      </c>
      <c r="BG1270" t="s">
        <v>16245</v>
      </c>
      <c r="BH1270" t="s">
        <v>16246</v>
      </c>
      <c r="BI1270" t="s">
        <v>16247</v>
      </c>
      <c r="BJ1270" t="s">
        <v>101</v>
      </c>
      <c r="BK1270" t="s">
        <v>4565</v>
      </c>
      <c r="BL1270" t="s">
        <v>9830</v>
      </c>
      <c r="BM1270" t="s">
        <v>2407</v>
      </c>
      <c r="BN1270" t="s">
        <v>14623</v>
      </c>
    </row>
    <row r="1271" spans="1:66" x14ac:dyDescent="0.25">
      <c r="A1271" t="str">
        <f>HYPERLINK("https://elite.finviz.com/quote.ashx?t=BSBK&amp;ty=c&amp;p=d&amp;b=1", "BSBK")</f>
        <v>BSBK</v>
      </c>
      <c r="B1271">
        <v>6</v>
      </c>
      <c r="C1271">
        <v>127.03</v>
      </c>
      <c r="D1271">
        <v>48.95</v>
      </c>
      <c r="E1271" t="s">
        <v>16248</v>
      </c>
      <c r="F1271" t="s">
        <v>107</v>
      </c>
      <c r="G1271" t="s">
        <v>550</v>
      </c>
      <c r="H1271" t="s">
        <v>697</v>
      </c>
      <c r="I1271" t="s">
        <v>70</v>
      </c>
      <c r="J1271" t="s">
        <v>321</v>
      </c>
      <c r="K1271">
        <v>118.7</v>
      </c>
      <c r="L1271">
        <v>9.1199999999999992</v>
      </c>
      <c r="M1271" t="s">
        <v>11260</v>
      </c>
      <c r="N1271">
        <v>447</v>
      </c>
      <c r="R1271">
        <v>3.33</v>
      </c>
      <c r="S1271">
        <v>0.83</v>
      </c>
      <c r="AA1271">
        <v>-0.03</v>
      </c>
      <c r="AE1271" t="s">
        <v>8487</v>
      </c>
      <c r="AF1271" t="s">
        <v>7970</v>
      </c>
      <c r="AG1271" t="s">
        <v>2796</v>
      </c>
      <c r="AH1271" t="s">
        <v>2418</v>
      </c>
      <c r="AJ1271" t="s">
        <v>5549</v>
      </c>
      <c r="AK1271" t="s">
        <v>8535</v>
      </c>
      <c r="AL1271">
        <v>0.35</v>
      </c>
      <c r="AN1271">
        <v>1.06</v>
      </c>
      <c r="AP1271" t="s">
        <v>16249</v>
      </c>
      <c r="AQ1271" t="s">
        <v>3634</v>
      </c>
      <c r="AR1271" t="s">
        <v>90</v>
      </c>
      <c r="AS1271" t="s">
        <v>5263</v>
      </c>
      <c r="AT1271" t="s">
        <v>4149</v>
      </c>
      <c r="AU1271" t="s">
        <v>7437</v>
      </c>
      <c r="AV1271" t="s">
        <v>310</v>
      </c>
      <c r="AW1271" t="s">
        <v>944</v>
      </c>
      <c r="AX1271" t="s">
        <v>1476</v>
      </c>
      <c r="AY1271" t="s">
        <v>944</v>
      </c>
      <c r="AZ1271" t="s">
        <v>16250</v>
      </c>
      <c r="BA1271">
        <v>3</v>
      </c>
      <c r="BB1271">
        <v>7.33</v>
      </c>
      <c r="BC1271">
        <v>0.22</v>
      </c>
      <c r="BD1271">
        <v>9.24</v>
      </c>
      <c r="BE1271">
        <v>9.02</v>
      </c>
      <c r="BF1271">
        <v>8.82</v>
      </c>
      <c r="BG1271" t="s">
        <v>16251</v>
      </c>
      <c r="BH1271" t="s">
        <v>742</v>
      </c>
      <c r="BI1271" t="s">
        <v>16252</v>
      </c>
      <c r="BJ1271" t="s">
        <v>101</v>
      </c>
      <c r="BK1271" t="s">
        <v>2948</v>
      </c>
      <c r="BL1271" t="s">
        <v>7211</v>
      </c>
      <c r="BM1271" t="s">
        <v>3147</v>
      </c>
      <c r="BN1271" t="s">
        <v>14623</v>
      </c>
    </row>
    <row r="1272" spans="1:66" x14ac:dyDescent="0.25">
      <c r="A1272" t="str">
        <f>HYPERLINK("https://elite.finviz.com/quote.ashx?t=SKY&amp;ty=c&amp;p=d&amp;b=1", "SKY")</f>
        <v>SKY</v>
      </c>
      <c r="B1272">
        <v>6</v>
      </c>
      <c r="C1272">
        <v>127.03</v>
      </c>
      <c r="D1272">
        <v>49.01</v>
      </c>
      <c r="E1272" t="s">
        <v>16253</v>
      </c>
      <c r="F1272" t="s">
        <v>67</v>
      </c>
      <c r="G1272" t="s">
        <v>813</v>
      </c>
      <c r="H1272" t="s">
        <v>5054</v>
      </c>
      <c r="I1272" t="s">
        <v>70</v>
      </c>
      <c r="J1272" t="s">
        <v>71</v>
      </c>
      <c r="K1272">
        <v>4173.2299999999996</v>
      </c>
      <c r="L1272">
        <v>73.84</v>
      </c>
      <c r="M1272" t="s">
        <v>6829</v>
      </c>
      <c r="N1272">
        <v>44539</v>
      </c>
      <c r="O1272">
        <v>19.66</v>
      </c>
      <c r="P1272">
        <v>19.53</v>
      </c>
      <c r="Q1272">
        <v>3.68</v>
      </c>
      <c r="R1272">
        <v>1.63</v>
      </c>
      <c r="S1272">
        <v>2.66</v>
      </c>
      <c r="V1272" t="s">
        <v>16254</v>
      </c>
      <c r="Z1272" t="s">
        <v>164</v>
      </c>
      <c r="AA1272">
        <v>3.76</v>
      </c>
      <c r="AB1272" t="s">
        <v>76</v>
      </c>
      <c r="AC1272" t="s">
        <v>5701</v>
      </c>
      <c r="AD1272" t="s">
        <v>4428</v>
      </c>
      <c r="AE1272" t="s">
        <v>11564</v>
      </c>
      <c r="AF1272" t="s">
        <v>2821</v>
      </c>
      <c r="AG1272" t="s">
        <v>1609</v>
      </c>
      <c r="AH1272" t="s">
        <v>2629</v>
      </c>
      <c r="AI1272" t="s">
        <v>5529</v>
      </c>
      <c r="AJ1272" t="s">
        <v>3388</v>
      </c>
      <c r="AK1272" t="s">
        <v>16255</v>
      </c>
      <c r="AL1272">
        <v>2.39</v>
      </c>
      <c r="AM1272">
        <v>1.59</v>
      </c>
      <c r="AN1272">
        <v>0.08</v>
      </c>
      <c r="AO1272" t="s">
        <v>9373</v>
      </c>
      <c r="AP1272" t="s">
        <v>3468</v>
      </c>
      <c r="AQ1272" t="s">
        <v>864</v>
      </c>
      <c r="AR1272" t="s">
        <v>6430</v>
      </c>
      <c r="AS1272" t="s">
        <v>205</v>
      </c>
      <c r="AT1272" t="s">
        <v>6640</v>
      </c>
      <c r="AU1272" t="s">
        <v>203</v>
      </c>
      <c r="AV1272" t="s">
        <v>3610</v>
      </c>
      <c r="AW1272" t="s">
        <v>16256</v>
      </c>
      <c r="AX1272" t="s">
        <v>16257</v>
      </c>
      <c r="AY1272" t="s">
        <v>8696</v>
      </c>
      <c r="AZ1272" t="s">
        <v>15948</v>
      </c>
      <c r="BA1272">
        <v>2.25</v>
      </c>
      <c r="BB1272">
        <v>719.45</v>
      </c>
      <c r="BC1272">
        <v>0.22</v>
      </c>
      <c r="BD1272">
        <v>72.8</v>
      </c>
      <c r="BE1272">
        <v>74.180000000000007</v>
      </c>
      <c r="BF1272">
        <v>73.09</v>
      </c>
      <c r="BG1272" t="s">
        <v>16258</v>
      </c>
      <c r="BH1272" t="s">
        <v>8696</v>
      </c>
      <c r="BI1272" t="s">
        <v>16259</v>
      </c>
      <c r="BJ1272" t="s">
        <v>101</v>
      </c>
      <c r="BK1272" t="s">
        <v>339</v>
      </c>
      <c r="BL1272" t="s">
        <v>2388</v>
      </c>
      <c r="BM1272" t="s">
        <v>16260</v>
      </c>
      <c r="BN1272" t="s">
        <v>14623</v>
      </c>
    </row>
    <row r="1273" spans="1:66" x14ac:dyDescent="0.25">
      <c r="A1273" t="str">
        <f>HYPERLINK("https://elite.finviz.com/quote.ashx?t=PEBO&amp;ty=c&amp;p=d&amp;b=1", "PEBO")</f>
        <v>PEBO</v>
      </c>
      <c r="B1273">
        <v>6</v>
      </c>
      <c r="C1273">
        <v>127.03</v>
      </c>
      <c r="D1273">
        <v>49.02</v>
      </c>
      <c r="E1273" t="s">
        <v>16261</v>
      </c>
      <c r="F1273" t="s">
        <v>67</v>
      </c>
      <c r="G1273" t="s">
        <v>550</v>
      </c>
      <c r="H1273" t="s">
        <v>697</v>
      </c>
      <c r="I1273" t="s">
        <v>70</v>
      </c>
      <c r="J1273" t="s">
        <v>321</v>
      </c>
      <c r="K1273">
        <v>1079.75</v>
      </c>
      <c r="L1273">
        <v>30.27</v>
      </c>
      <c r="M1273" t="s">
        <v>3598</v>
      </c>
      <c r="N1273">
        <v>12371</v>
      </c>
      <c r="O1273">
        <v>10.35</v>
      </c>
      <c r="P1273">
        <v>9.11</v>
      </c>
      <c r="R1273">
        <v>1.75</v>
      </c>
      <c r="S1273">
        <v>0.93</v>
      </c>
      <c r="T1273" t="s">
        <v>2580</v>
      </c>
      <c r="U1273">
        <v>1.62</v>
      </c>
      <c r="V1273" t="s">
        <v>4827</v>
      </c>
      <c r="W1273" t="s">
        <v>2619</v>
      </c>
      <c r="X1273" t="s">
        <v>2233</v>
      </c>
      <c r="Y1273" t="s">
        <v>1934</v>
      </c>
      <c r="Z1273" t="s">
        <v>12226</v>
      </c>
      <c r="AA1273">
        <v>2.92</v>
      </c>
      <c r="AB1273" t="s">
        <v>5439</v>
      </c>
      <c r="AC1273" t="s">
        <v>2523</v>
      </c>
      <c r="AE1273" t="s">
        <v>180</v>
      </c>
      <c r="AF1273" t="s">
        <v>12481</v>
      </c>
      <c r="AG1273" t="s">
        <v>1990</v>
      </c>
      <c r="AH1273" t="s">
        <v>240</v>
      </c>
      <c r="AI1273" t="s">
        <v>16262</v>
      </c>
      <c r="AJ1273" t="s">
        <v>406</v>
      </c>
      <c r="AK1273" t="s">
        <v>6171</v>
      </c>
      <c r="AL1273">
        <v>0.04</v>
      </c>
      <c r="AN1273">
        <v>0.56000000000000005</v>
      </c>
      <c r="AP1273" t="s">
        <v>7254</v>
      </c>
      <c r="AQ1273" t="s">
        <v>5747</v>
      </c>
      <c r="AR1273" t="s">
        <v>2449</v>
      </c>
      <c r="AS1273" t="s">
        <v>2339</v>
      </c>
      <c r="AT1273" t="s">
        <v>5693</v>
      </c>
      <c r="AU1273" t="s">
        <v>2759</v>
      </c>
      <c r="AV1273" t="s">
        <v>530</v>
      </c>
      <c r="AW1273" t="s">
        <v>2206</v>
      </c>
      <c r="AX1273" t="s">
        <v>10619</v>
      </c>
      <c r="AY1273" t="s">
        <v>10490</v>
      </c>
      <c r="AZ1273" t="s">
        <v>10558</v>
      </c>
      <c r="BA1273">
        <v>2.4300000000000002</v>
      </c>
      <c r="BB1273">
        <v>169.94</v>
      </c>
      <c r="BC1273">
        <v>0.26</v>
      </c>
      <c r="BD1273">
        <v>30.28</v>
      </c>
      <c r="BE1273">
        <v>30.62</v>
      </c>
      <c r="BF1273">
        <v>30.25</v>
      </c>
      <c r="BG1273" t="s">
        <v>16263</v>
      </c>
      <c r="BH1273" t="s">
        <v>16264</v>
      </c>
      <c r="BI1273" t="s">
        <v>16265</v>
      </c>
      <c r="BJ1273" t="s">
        <v>101</v>
      </c>
      <c r="BK1273" t="s">
        <v>1722</v>
      </c>
      <c r="BL1273" t="s">
        <v>2757</v>
      </c>
      <c r="BM1273" t="s">
        <v>4856</v>
      </c>
      <c r="BN1273" t="s">
        <v>14623</v>
      </c>
    </row>
    <row r="1274" spans="1:66" x14ac:dyDescent="0.25">
      <c r="A1274" t="str">
        <f>HYPERLINK("https://elite.finviz.com/quote.ashx?t=STHO&amp;ty=c&amp;p=d&amp;b=1", "STHO")</f>
        <v>STHO</v>
      </c>
      <c r="B1274">
        <v>6</v>
      </c>
      <c r="C1274">
        <v>127.03</v>
      </c>
      <c r="D1274">
        <v>49.03</v>
      </c>
      <c r="E1274" t="s">
        <v>16266</v>
      </c>
      <c r="F1274" t="s">
        <v>107</v>
      </c>
      <c r="G1274" t="s">
        <v>68</v>
      </c>
      <c r="H1274" t="s">
        <v>7494</v>
      </c>
      <c r="I1274" t="s">
        <v>70</v>
      </c>
      <c r="J1274" t="s">
        <v>321</v>
      </c>
      <c r="K1274">
        <v>112.56</v>
      </c>
      <c r="L1274">
        <v>8.4700000000000006</v>
      </c>
      <c r="M1274" t="s">
        <v>2276</v>
      </c>
      <c r="N1274">
        <v>3541</v>
      </c>
      <c r="R1274">
        <v>0.96</v>
      </c>
      <c r="S1274">
        <v>0.41</v>
      </c>
      <c r="AA1274">
        <v>-4.32</v>
      </c>
      <c r="AE1274" t="s">
        <v>374</v>
      </c>
      <c r="AF1274" t="s">
        <v>16267</v>
      </c>
      <c r="AH1274" t="s">
        <v>3352</v>
      </c>
      <c r="AJ1274" t="s">
        <v>164</v>
      </c>
      <c r="AK1274" t="s">
        <v>7048</v>
      </c>
      <c r="AL1274">
        <v>0.95</v>
      </c>
      <c r="AM1274">
        <v>0.95</v>
      </c>
      <c r="AN1274">
        <v>0.89</v>
      </c>
      <c r="AO1274" t="s">
        <v>729</v>
      </c>
      <c r="AP1274" t="s">
        <v>614</v>
      </c>
      <c r="AQ1274" t="s">
        <v>11917</v>
      </c>
      <c r="AR1274" t="s">
        <v>3173</v>
      </c>
      <c r="AS1274" t="s">
        <v>5256</v>
      </c>
      <c r="AT1274" t="s">
        <v>1690</v>
      </c>
      <c r="AU1274" t="s">
        <v>2493</v>
      </c>
      <c r="AV1274" t="s">
        <v>5620</v>
      </c>
      <c r="AW1274" t="s">
        <v>278</v>
      </c>
      <c r="AX1274" t="s">
        <v>1814</v>
      </c>
      <c r="AY1274" t="s">
        <v>7799</v>
      </c>
      <c r="AZ1274" t="s">
        <v>13714</v>
      </c>
      <c r="BB1274">
        <v>81.53</v>
      </c>
      <c r="BC1274">
        <v>0.15</v>
      </c>
      <c r="BD1274">
        <v>8.56</v>
      </c>
      <c r="BE1274">
        <v>8.52</v>
      </c>
      <c r="BF1274">
        <v>8.48</v>
      </c>
      <c r="BG1274" t="s">
        <v>16268</v>
      </c>
      <c r="BH1274" t="s">
        <v>16269</v>
      </c>
      <c r="BI1274" t="s">
        <v>13714</v>
      </c>
      <c r="BJ1274" t="s">
        <v>101</v>
      </c>
      <c r="BK1274" t="s">
        <v>1066</v>
      </c>
      <c r="BL1274" t="s">
        <v>3916</v>
      </c>
      <c r="BM1274" t="s">
        <v>8768</v>
      </c>
      <c r="BN1274" t="s">
        <v>14623</v>
      </c>
    </row>
    <row r="1275" spans="1:66" x14ac:dyDescent="0.25">
      <c r="A1275" t="str">
        <f>HYPERLINK("https://elite.finviz.com/quote.ashx?t=EBF&amp;ty=c&amp;p=d&amp;b=1", "EBF")</f>
        <v>EBF</v>
      </c>
      <c r="B1275">
        <v>6</v>
      </c>
      <c r="C1275">
        <v>127.03</v>
      </c>
      <c r="D1275">
        <v>49.11</v>
      </c>
      <c r="E1275" t="s">
        <v>16270</v>
      </c>
      <c r="F1275" t="s">
        <v>67</v>
      </c>
      <c r="G1275" t="s">
        <v>260</v>
      </c>
      <c r="H1275" t="s">
        <v>16271</v>
      </c>
      <c r="I1275" t="s">
        <v>70</v>
      </c>
      <c r="J1275" t="s">
        <v>71</v>
      </c>
      <c r="K1275">
        <v>469.38</v>
      </c>
      <c r="L1275">
        <v>18.2</v>
      </c>
      <c r="M1275" t="s">
        <v>698</v>
      </c>
      <c r="N1275">
        <v>12731</v>
      </c>
      <c r="O1275">
        <v>11.21</v>
      </c>
      <c r="R1275">
        <v>1.21</v>
      </c>
      <c r="S1275">
        <v>1.56</v>
      </c>
      <c r="T1275" t="s">
        <v>2370</v>
      </c>
      <c r="U1275">
        <v>1</v>
      </c>
      <c r="V1275" t="s">
        <v>5056</v>
      </c>
      <c r="W1275" t="s">
        <v>164</v>
      </c>
      <c r="X1275" t="s">
        <v>5577</v>
      </c>
      <c r="Y1275" t="s">
        <v>212</v>
      </c>
      <c r="Z1275" t="s">
        <v>16272</v>
      </c>
      <c r="AA1275">
        <v>1.62</v>
      </c>
      <c r="AB1275" t="s">
        <v>12806</v>
      </c>
      <c r="AC1275" t="s">
        <v>2125</v>
      </c>
      <c r="AE1275" t="s">
        <v>1149</v>
      </c>
      <c r="AF1275" t="s">
        <v>2203</v>
      </c>
      <c r="AG1275" t="s">
        <v>1313</v>
      </c>
      <c r="AH1275" t="s">
        <v>1364</v>
      </c>
      <c r="AI1275" t="s">
        <v>1757</v>
      </c>
      <c r="AJ1275" t="s">
        <v>4646</v>
      </c>
      <c r="AK1275" t="s">
        <v>16273</v>
      </c>
      <c r="AL1275">
        <v>3.38</v>
      </c>
      <c r="AM1275">
        <v>1.87</v>
      </c>
      <c r="AN1275">
        <v>0.01</v>
      </c>
      <c r="AO1275" t="s">
        <v>13722</v>
      </c>
      <c r="AP1275" t="s">
        <v>1470</v>
      </c>
      <c r="AQ1275" t="s">
        <v>5248</v>
      </c>
      <c r="AR1275" t="s">
        <v>1129</v>
      </c>
      <c r="AS1275" t="s">
        <v>2201</v>
      </c>
      <c r="AT1275" t="s">
        <v>8425</v>
      </c>
      <c r="AU1275" t="s">
        <v>6156</v>
      </c>
      <c r="AV1275" t="s">
        <v>14744</v>
      </c>
      <c r="AW1275" t="s">
        <v>7865</v>
      </c>
      <c r="AX1275" t="s">
        <v>5592</v>
      </c>
      <c r="AY1275" t="s">
        <v>16274</v>
      </c>
      <c r="AZ1275" t="s">
        <v>6183</v>
      </c>
      <c r="BA1275">
        <v>1</v>
      </c>
      <c r="BB1275">
        <v>148.53</v>
      </c>
      <c r="BC1275">
        <v>0.3</v>
      </c>
      <c r="BD1275">
        <v>18.14</v>
      </c>
      <c r="BE1275">
        <v>18.28</v>
      </c>
      <c r="BF1275">
        <v>18.149999999999999</v>
      </c>
      <c r="BG1275" t="s">
        <v>16275</v>
      </c>
      <c r="BH1275" t="s">
        <v>16276</v>
      </c>
      <c r="BI1275" t="s">
        <v>16277</v>
      </c>
      <c r="BJ1275" t="s">
        <v>101</v>
      </c>
      <c r="BK1275" t="s">
        <v>3495</v>
      </c>
      <c r="BL1275" t="s">
        <v>7341</v>
      </c>
      <c r="BM1275" t="s">
        <v>8591</v>
      </c>
      <c r="BN1275" t="s">
        <v>14623</v>
      </c>
    </row>
    <row r="1276" spans="1:66" x14ac:dyDescent="0.25">
      <c r="A1276" t="str">
        <f>HYPERLINK("https://elite.finviz.com/quote.ashx?t=APPN&amp;ty=c&amp;p=d&amp;b=1", "APPN")</f>
        <v>APPN</v>
      </c>
      <c r="B1276">
        <v>6</v>
      </c>
      <c r="C1276">
        <v>127.03</v>
      </c>
      <c r="D1276">
        <v>49.13</v>
      </c>
      <c r="E1276" t="s">
        <v>16278</v>
      </c>
      <c r="F1276" t="s">
        <v>67</v>
      </c>
      <c r="G1276" t="s">
        <v>108</v>
      </c>
      <c r="H1276" t="s">
        <v>109</v>
      </c>
      <c r="I1276" t="s">
        <v>70</v>
      </c>
      <c r="J1276" t="s">
        <v>321</v>
      </c>
      <c r="K1276">
        <v>2301.1799999999998</v>
      </c>
      <c r="L1276">
        <v>31.08</v>
      </c>
      <c r="M1276" t="s">
        <v>2007</v>
      </c>
      <c r="N1276">
        <v>122582</v>
      </c>
      <c r="P1276">
        <v>57.11</v>
      </c>
      <c r="R1276">
        <v>3.5</v>
      </c>
      <c r="AA1276">
        <v>-0.23</v>
      </c>
      <c r="AB1276" t="s">
        <v>7346</v>
      </c>
      <c r="AC1276" t="s">
        <v>16279</v>
      </c>
      <c r="AE1276" t="s">
        <v>5096</v>
      </c>
      <c r="AF1276" t="s">
        <v>5970</v>
      </c>
      <c r="AG1276" t="s">
        <v>6595</v>
      </c>
      <c r="AH1276" t="s">
        <v>16280</v>
      </c>
      <c r="AI1276" t="s">
        <v>1647</v>
      </c>
      <c r="AJ1276" t="s">
        <v>16281</v>
      </c>
      <c r="AK1276" t="s">
        <v>16282</v>
      </c>
      <c r="AL1276">
        <v>1.0900000000000001</v>
      </c>
      <c r="AM1276">
        <v>1.0900000000000001</v>
      </c>
      <c r="AO1276" t="s">
        <v>1390</v>
      </c>
      <c r="AP1276" t="s">
        <v>5312</v>
      </c>
      <c r="AQ1276" t="s">
        <v>5120</v>
      </c>
      <c r="AR1276" t="s">
        <v>3481</v>
      </c>
      <c r="AS1276" t="s">
        <v>2233</v>
      </c>
      <c r="AT1276" t="s">
        <v>9511</v>
      </c>
      <c r="AU1276" t="s">
        <v>4569</v>
      </c>
      <c r="AV1276" t="s">
        <v>4086</v>
      </c>
      <c r="AW1276" t="s">
        <v>7972</v>
      </c>
      <c r="AX1276" t="s">
        <v>2963</v>
      </c>
      <c r="AY1276" t="s">
        <v>5768</v>
      </c>
      <c r="AZ1276" t="s">
        <v>1424</v>
      </c>
      <c r="BA1276">
        <v>2.78</v>
      </c>
      <c r="BB1276">
        <v>952.63</v>
      </c>
      <c r="BC1276">
        <v>0.45</v>
      </c>
      <c r="BD1276">
        <v>31.47</v>
      </c>
      <c r="BE1276">
        <v>31.53</v>
      </c>
      <c r="BF1276">
        <v>30.87</v>
      </c>
      <c r="BG1276" t="s">
        <v>16283</v>
      </c>
      <c r="BH1276" t="s">
        <v>10419</v>
      </c>
      <c r="BI1276" t="s">
        <v>14372</v>
      </c>
      <c r="BJ1276" t="s">
        <v>101</v>
      </c>
      <c r="BK1276" t="s">
        <v>3121</v>
      </c>
      <c r="BL1276" t="s">
        <v>6975</v>
      </c>
      <c r="BM1276" t="s">
        <v>4274</v>
      </c>
      <c r="BN1276" t="s">
        <v>14623</v>
      </c>
    </row>
    <row r="1277" spans="1:66" x14ac:dyDescent="0.25">
      <c r="A1277" t="str">
        <f>HYPERLINK("https://elite.finviz.com/quote.ashx?t=EXP&amp;ty=c&amp;p=d&amp;b=1", "EXP")</f>
        <v>EXP</v>
      </c>
      <c r="B1277">
        <v>6</v>
      </c>
      <c r="C1277">
        <v>127.03</v>
      </c>
      <c r="D1277">
        <v>49.2</v>
      </c>
      <c r="E1277" t="s">
        <v>16284</v>
      </c>
      <c r="F1277" t="s">
        <v>107</v>
      </c>
      <c r="G1277" t="s">
        <v>355</v>
      </c>
      <c r="H1277" t="s">
        <v>7681</v>
      </c>
      <c r="I1277" t="s">
        <v>70</v>
      </c>
      <c r="J1277" t="s">
        <v>71</v>
      </c>
      <c r="K1277">
        <v>7452.96</v>
      </c>
      <c r="L1277">
        <v>229.68</v>
      </c>
      <c r="M1277" t="s">
        <v>747</v>
      </c>
      <c r="N1277">
        <v>34906</v>
      </c>
      <c r="O1277">
        <v>16.920000000000002</v>
      </c>
      <c r="P1277">
        <v>14.95</v>
      </c>
      <c r="Q1277">
        <v>2.1800000000000002</v>
      </c>
      <c r="R1277">
        <v>3.26</v>
      </c>
      <c r="S1277">
        <v>5.0199999999999996</v>
      </c>
      <c r="T1277" t="s">
        <v>3112</v>
      </c>
      <c r="U1277">
        <v>1</v>
      </c>
      <c r="V1277" t="s">
        <v>3833</v>
      </c>
      <c r="W1277" t="s">
        <v>164</v>
      </c>
      <c r="X1277" t="s">
        <v>164</v>
      </c>
      <c r="Y1277" t="s">
        <v>2710</v>
      </c>
      <c r="Z1277" t="s">
        <v>4819</v>
      </c>
      <c r="AA1277">
        <v>13.57</v>
      </c>
      <c r="AB1277" t="s">
        <v>4523</v>
      </c>
      <c r="AC1277" t="s">
        <v>4586</v>
      </c>
      <c r="AD1277" t="s">
        <v>1021</v>
      </c>
      <c r="AE1277" t="s">
        <v>458</v>
      </c>
      <c r="AF1277" t="s">
        <v>8843</v>
      </c>
      <c r="AG1277" t="s">
        <v>6448</v>
      </c>
      <c r="AH1277" t="s">
        <v>4744</v>
      </c>
      <c r="AI1277" t="s">
        <v>216</v>
      </c>
      <c r="AJ1277" t="s">
        <v>4703</v>
      </c>
      <c r="AK1277" t="s">
        <v>16285</v>
      </c>
      <c r="AL1277">
        <v>2.73</v>
      </c>
      <c r="AM1277">
        <v>1.26</v>
      </c>
      <c r="AN1277">
        <v>0.9</v>
      </c>
      <c r="AO1277" t="s">
        <v>15078</v>
      </c>
      <c r="AP1277" t="s">
        <v>4514</v>
      </c>
      <c r="AQ1277" t="s">
        <v>5759</v>
      </c>
      <c r="AR1277" t="s">
        <v>2421</v>
      </c>
      <c r="AS1277" t="s">
        <v>2643</v>
      </c>
      <c r="AT1277" t="s">
        <v>241</v>
      </c>
      <c r="AU1277" t="s">
        <v>2642</v>
      </c>
      <c r="AV1277" t="s">
        <v>2646</v>
      </c>
      <c r="AW1277" t="s">
        <v>8004</v>
      </c>
      <c r="AX1277" t="s">
        <v>2250</v>
      </c>
      <c r="AY1277" t="s">
        <v>16286</v>
      </c>
      <c r="AZ1277" t="s">
        <v>2928</v>
      </c>
      <c r="BA1277">
        <v>2.75</v>
      </c>
      <c r="BB1277">
        <v>389.31</v>
      </c>
      <c r="BC1277">
        <v>0.32</v>
      </c>
      <c r="BD1277">
        <v>227.84</v>
      </c>
      <c r="BE1277">
        <v>231.4</v>
      </c>
      <c r="BF1277">
        <v>228.91</v>
      </c>
      <c r="BG1277" t="s">
        <v>16287</v>
      </c>
      <c r="BH1277" t="s">
        <v>16286</v>
      </c>
      <c r="BI1277" t="s">
        <v>16288</v>
      </c>
      <c r="BJ1277" t="s">
        <v>101</v>
      </c>
      <c r="BK1277" t="s">
        <v>7345</v>
      </c>
      <c r="BL1277" t="s">
        <v>6493</v>
      </c>
      <c r="BM1277" t="s">
        <v>6676</v>
      </c>
      <c r="BN1277" t="s">
        <v>14623</v>
      </c>
    </row>
    <row r="1278" spans="1:66" x14ac:dyDescent="0.25">
      <c r="A1278" t="str">
        <f>HYPERLINK("https://elite.finviz.com/quote.ashx?t=NATL&amp;ty=c&amp;p=d&amp;b=1", "NATL")</f>
        <v>NATL</v>
      </c>
      <c r="B1278">
        <v>6</v>
      </c>
      <c r="C1278">
        <v>127.03</v>
      </c>
      <c r="D1278">
        <v>49.29</v>
      </c>
      <c r="E1278" t="s">
        <v>16289</v>
      </c>
      <c r="F1278" t="s">
        <v>67</v>
      </c>
      <c r="G1278" t="s">
        <v>108</v>
      </c>
      <c r="H1278" t="s">
        <v>136</v>
      </c>
      <c r="I1278" t="s">
        <v>70</v>
      </c>
      <c r="J1278" t="s">
        <v>71</v>
      </c>
      <c r="K1278">
        <v>2818.44</v>
      </c>
      <c r="L1278">
        <v>38.299999999999997</v>
      </c>
      <c r="M1278" t="s">
        <v>174</v>
      </c>
      <c r="N1278">
        <v>37336</v>
      </c>
      <c r="O1278">
        <v>21.73</v>
      </c>
      <c r="P1278">
        <v>7.83</v>
      </c>
      <c r="Q1278">
        <v>0.97</v>
      </c>
      <c r="R1278">
        <v>0.66</v>
      </c>
      <c r="S1278">
        <v>8.0399999999999991</v>
      </c>
      <c r="Z1278" t="s">
        <v>164</v>
      </c>
      <c r="AA1278">
        <v>1.76</v>
      </c>
      <c r="AB1278" t="s">
        <v>5059</v>
      </c>
      <c r="AD1278" t="s">
        <v>3052</v>
      </c>
      <c r="AE1278" t="s">
        <v>1202</v>
      </c>
      <c r="AF1278" t="s">
        <v>2868</v>
      </c>
      <c r="AH1278" t="s">
        <v>212</v>
      </c>
      <c r="AI1278" t="s">
        <v>902</v>
      </c>
      <c r="AJ1278" t="s">
        <v>164</v>
      </c>
      <c r="AK1278" t="s">
        <v>4008</v>
      </c>
      <c r="AL1278">
        <v>1.05</v>
      </c>
      <c r="AM1278">
        <v>0.84</v>
      </c>
      <c r="AN1278">
        <v>8.6199999999999992</v>
      </c>
      <c r="AO1278" t="s">
        <v>7045</v>
      </c>
      <c r="AP1278" t="s">
        <v>237</v>
      </c>
      <c r="AQ1278" t="s">
        <v>3638</v>
      </c>
      <c r="AR1278" t="s">
        <v>679</v>
      </c>
      <c r="AS1278" t="s">
        <v>1933</v>
      </c>
      <c r="AT1278" t="s">
        <v>13522</v>
      </c>
      <c r="AU1278" t="s">
        <v>3229</v>
      </c>
      <c r="AV1278" t="s">
        <v>7375</v>
      </c>
      <c r="AW1278" t="s">
        <v>9412</v>
      </c>
      <c r="AX1278" t="s">
        <v>16290</v>
      </c>
      <c r="AY1278" t="s">
        <v>9412</v>
      </c>
      <c r="AZ1278" t="s">
        <v>16291</v>
      </c>
      <c r="BA1278">
        <v>1.71</v>
      </c>
      <c r="BB1278">
        <v>785.31</v>
      </c>
      <c r="BC1278">
        <v>0.17</v>
      </c>
      <c r="BD1278">
        <v>38.61</v>
      </c>
      <c r="BE1278">
        <v>38.520000000000003</v>
      </c>
      <c r="BF1278">
        <v>38.26</v>
      </c>
      <c r="BG1278" t="s">
        <v>16292</v>
      </c>
      <c r="BH1278" t="s">
        <v>9412</v>
      </c>
      <c r="BI1278" t="s">
        <v>16293</v>
      </c>
      <c r="BJ1278" t="s">
        <v>101</v>
      </c>
      <c r="BK1278" t="s">
        <v>10672</v>
      </c>
      <c r="BL1278" t="s">
        <v>16294</v>
      </c>
      <c r="BM1278" t="s">
        <v>2359</v>
      </c>
      <c r="BN1278" t="s">
        <v>14623</v>
      </c>
    </row>
    <row r="1279" spans="1:66" x14ac:dyDescent="0.25">
      <c r="A1279" t="str">
        <f>HYPERLINK("https://elite.finviz.com/quote.ashx?t=PFS&amp;ty=c&amp;p=d&amp;b=1", "PFS")</f>
        <v>PFS</v>
      </c>
      <c r="B1279">
        <v>6</v>
      </c>
      <c r="C1279">
        <v>127.03</v>
      </c>
      <c r="D1279">
        <v>49.31</v>
      </c>
      <c r="E1279" t="s">
        <v>16295</v>
      </c>
      <c r="F1279" t="s">
        <v>67</v>
      </c>
      <c r="G1279" t="s">
        <v>550</v>
      </c>
      <c r="H1279" t="s">
        <v>697</v>
      </c>
      <c r="I1279" t="s">
        <v>70</v>
      </c>
      <c r="J1279" t="s">
        <v>71</v>
      </c>
      <c r="K1279">
        <v>2552.4</v>
      </c>
      <c r="L1279">
        <v>19.54</v>
      </c>
      <c r="M1279" t="s">
        <v>164</v>
      </c>
      <c r="N1279">
        <v>52336</v>
      </c>
      <c r="O1279">
        <v>11.02</v>
      </c>
      <c r="P1279">
        <v>8.23</v>
      </c>
      <c r="R1279">
        <v>1.88</v>
      </c>
      <c r="S1279">
        <v>0.94</v>
      </c>
      <c r="T1279" t="s">
        <v>2385</v>
      </c>
      <c r="U1279">
        <v>0.96</v>
      </c>
      <c r="V1279" t="s">
        <v>3046</v>
      </c>
      <c r="W1279" t="s">
        <v>164</v>
      </c>
      <c r="X1279" t="s">
        <v>3552</v>
      </c>
      <c r="Y1279" t="s">
        <v>3013</v>
      </c>
      <c r="Z1279" t="s">
        <v>12720</v>
      </c>
      <c r="AA1279">
        <v>1.77</v>
      </c>
      <c r="AB1279" t="s">
        <v>15454</v>
      </c>
      <c r="AC1279" t="s">
        <v>2301</v>
      </c>
      <c r="AE1279" t="s">
        <v>16296</v>
      </c>
      <c r="AF1279" t="s">
        <v>9968</v>
      </c>
      <c r="AG1279" t="s">
        <v>8087</v>
      </c>
      <c r="AH1279" t="s">
        <v>9223</v>
      </c>
      <c r="AI1279" t="s">
        <v>6928</v>
      </c>
      <c r="AJ1279" t="s">
        <v>2276</v>
      </c>
      <c r="AK1279" t="s">
        <v>16297</v>
      </c>
      <c r="AL1279">
        <v>0.02</v>
      </c>
      <c r="AN1279">
        <v>1.05</v>
      </c>
      <c r="AP1279" t="s">
        <v>3961</v>
      </c>
      <c r="AQ1279" t="s">
        <v>15034</v>
      </c>
      <c r="AR1279" t="s">
        <v>6692</v>
      </c>
      <c r="AS1279" t="s">
        <v>909</v>
      </c>
      <c r="AT1279" t="s">
        <v>2826</v>
      </c>
      <c r="AU1279" t="s">
        <v>2219</v>
      </c>
      <c r="AV1279" t="s">
        <v>1676</v>
      </c>
      <c r="AW1279" t="s">
        <v>8225</v>
      </c>
      <c r="AX1279" t="s">
        <v>602</v>
      </c>
      <c r="AY1279" t="s">
        <v>2272</v>
      </c>
      <c r="AZ1279" t="s">
        <v>13149</v>
      </c>
      <c r="BA1279">
        <v>1.33</v>
      </c>
      <c r="BB1279">
        <v>620.96</v>
      </c>
      <c r="BC1279">
        <v>0.3</v>
      </c>
      <c r="BD1279">
        <v>19.54</v>
      </c>
      <c r="BE1279">
        <v>19.77</v>
      </c>
      <c r="BF1279">
        <v>19.510000000000002</v>
      </c>
      <c r="BG1279" t="s">
        <v>16298</v>
      </c>
      <c r="BH1279" t="s">
        <v>16299</v>
      </c>
      <c r="BI1279" t="s">
        <v>16300</v>
      </c>
      <c r="BJ1279" t="s">
        <v>101</v>
      </c>
      <c r="BK1279" t="s">
        <v>1396</v>
      </c>
      <c r="BL1279" t="s">
        <v>10577</v>
      </c>
      <c r="BM1279" t="s">
        <v>2777</v>
      </c>
      <c r="BN1279" t="s">
        <v>14623</v>
      </c>
    </row>
    <row r="1280" spans="1:66" x14ac:dyDescent="0.25">
      <c r="A1280" t="str">
        <f>HYPERLINK("https://elite.finviz.com/quote.ashx?t=AROW&amp;ty=c&amp;p=d&amp;b=1", "AROW")</f>
        <v>AROW</v>
      </c>
      <c r="B1280">
        <v>6</v>
      </c>
      <c r="C1280">
        <v>127.03</v>
      </c>
      <c r="D1280">
        <v>49.32</v>
      </c>
      <c r="E1280" t="s">
        <v>16301</v>
      </c>
      <c r="F1280" t="s">
        <v>67</v>
      </c>
      <c r="G1280" t="s">
        <v>550</v>
      </c>
      <c r="H1280" t="s">
        <v>697</v>
      </c>
      <c r="I1280" t="s">
        <v>70</v>
      </c>
      <c r="J1280" t="s">
        <v>321</v>
      </c>
      <c r="K1280">
        <v>475.05</v>
      </c>
      <c r="L1280">
        <v>28.84</v>
      </c>
      <c r="M1280" t="s">
        <v>2560</v>
      </c>
      <c r="N1280">
        <v>7720</v>
      </c>
      <c r="O1280">
        <v>15.72</v>
      </c>
      <c r="P1280">
        <v>9.61</v>
      </c>
      <c r="R1280">
        <v>2.06</v>
      </c>
      <c r="S1280">
        <v>1.1599999999999999</v>
      </c>
      <c r="T1280" t="s">
        <v>1087</v>
      </c>
      <c r="U1280">
        <v>1.1299999999999999</v>
      </c>
      <c r="V1280" t="s">
        <v>893</v>
      </c>
      <c r="W1280" t="s">
        <v>7437</v>
      </c>
      <c r="X1280" t="s">
        <v>3443</v>
      </c>
      <c r="Y1280" t="s">
        <v>316</v>
      </c>
      <c r="Z1280" t="s">
        <v>11083</v>
      </c>
      <c r="AA1280">
        <v>1.83</v>
      </c>
      <c r="AB1280" t="s">
        <v>16302</v>
      </c>
      <c r="AC1280" t="s">
        <v>8058</v>
      </c>
      <c r="AE1280" t="s">
        <v>4518</v>
      </c>
      <c r="AF1280" t="s">
        <v>10918</v>
      </c>
      <c r="AG1280" t="s">
        <v>9037</v>
      </c>
      <c r="AH1280" t="s">
        <v>370</v>
      </c>
      <c r="AI1280" t="s">
        <v>5658</v>
      </c>
      <c r="AJ1280" t="s">
        <v>3173</v>
      </c>
      <c r="AK1280" t="s">
        <v>16303</v>
      </c>
      <c r="AL1280">
        <v>0.17</v>
      </c>
      <c r="AN1280">
        <v>0.09</v>
      </c>
      <c r="AP1280" t="s">
        <v>10519</v>
      </c>
      <c r="AQ1280" t="s">
        <v>3955</v>
      </c>
      <c r="AR1280" t="s">
        <v>4547</v>
      </c>
      <c r="AS1280" t="s">
        <v>2361</v>
      </c>
      <c r="AT1280" t="s">
        <v>11260</v>
      </c>
      <c r="AU1280" t="s">
        <v>5258</v>
      </c>
      <c r="AV1280" t="s">
        <v>2823</v>
      </c>
      <c r="AW1280" t="s">
        <v>815</v>
      </c>
      <c r="AX1280" t="s">
        <v>8209</v>
      </c>
      <c r="AY1280" t="s">
        <v>12344</v>
      </c>
      <c r="AZ1280" t="s">
        <v>12489</v>
      </c>
      <c r="BA1280">
        <v>3</v>
      </c>
      <c r="BB1280">
        <v>40.96</v>
      </c>
      <c r="BC1280">
        <v>0.66</v>
      </c>
      <c r="BD1280">
        <v>28.8</v>
      </c>
      <c r="BE1280">
        <v>28.96</v>
      </c>
      <c r="BF1280">
        <v>28.73</v>
      </c>
      <c r="BG1280" t="s">
        <v>16304</v>
      </c>
      <c r="BH1280" t="s">
        <v>16305</v>
      </c>
      <c r="BI1280" t="s">
        <v>16306</v>
      </c>
      <c r="BJ1280" t="s">
        <v>101</v>
      </c>
      <c r="BK1280" t="s">
        <v>2678</v>
      </c>
      <c r="BL1280" t="s">
        <v>3088</v>
      </c>
      <c r="BM1280" t="s">
        <v>2423</v>
      </c>
      <c r="BN1280" t="s">
        <v>14623</v>
      </c>
    </row>
    <row r="1281" spans="1:66" x14ac:dyDescent="0.25">
      <c r="A1281" t="str">
        <f>HYPERLINK("https://elite.finviz.com/quote.ashx?t=GANX&amp;ty=c&amp;p=d&amp;b=1", "GANX")</f>
        <v>GANX</v>
      </c>
      <c r="B1281">
        <v>6</v>
      </c>
      <c r="C1281">
        <v>127.03</v>
      </c>
      <c r="D1281">
        <v>49.34</v>
      </c>
      <c r="E1281" t="s">
        <v>16307</v>
      </c>
      <c r="F1281" t="s">
        <v>107</v>
      </c>
      <c r="G1281" t="s">
        <v>428</v>
      </c>
      <c r="H1281" t="s">
        <v>429</v>
      </c>
      <c r="I1281" t="s">
        <v>70</v>
      </c>
      <c r="J1281" t="s">
        <v>321</v>
      </c>
      <c r="K1281">
        <v>61.32</v>
      </c>
      <c r="L1281">
        <v>1.71</v>
      </c>
      <c r="M1281" t="s">
        <v>4938</v>
      </c>
      <c r="N1281">
        <v>65368</v>
      </c>
      <c r="S1281">
        <v>14.2</v>
      </c>
      <c r="AA1281">
        <v>-0.66</v>
      </c>
      <c r="AB1281" t="s">
        <v>8181</v>
      </c>
      <c r="AC1281" t="s">
        <v>16308</v>
      </c>
      <c r="AD1281" t="s">
        <v>4760</v>
      </c>
      <c r="AE1281" t="s">
        <v>579</v>
      </c>
      <c r="AI1281" t="s">
        <v>16309</v>
      </c>
      <c r="AJ1281" t="s">
        <v>164</v>
      </c>
      <c r="AK1281" t="s">
        <v>2376</v>
      </c>
      <c r="AL1281">
        <v>1.79</v>
      </c>
      <c r="AM1281">
        <v>1.79</v>
      </c>
      <c r="AN1281">
        <v>0.18</v>
      </c>
      <c r="AR1281" t="s">
        <v>10542</v>
      </c>
      <c r="AS1281" t="s">
        <v>9478</v>
      </c>
      <c r="AT1281" t="s">
        <v>364</v>
      </c>
      <c r="AU1281" t="s">
        <v>3550</v>
      </c>
      <c r="AV1281" t="s">
        <v>10461</v>
      </c>
      <c r="AW1281" t="s">
        <v>15737</v>
      </c>
      <c r="AX1281" t="s">
        <v>14761</v>
      </c>
      <c r="AY1281" t="s">
        <v>16310</v>
      </c>
      <c r="AZ1281" t="s">
        <v>14761</v>
      </c>
      <c r="BA1281">
        <v>1</v>
      </c>
      <c r="BB1281">
        <v>433.33</v>
      </c>
      <c r="BC1281">
        <v>0.53</v>
      </c>
      <c r="BD1281">
        <v>1.73</v>
      </c>
      <c r="BE1281">
        <v>1.74</v>
      </c>
      <c r="BF1281">
        <v>1.69</v>
      </c>
      <c r="BG1281" t="s">
        <v>16311</v>
      </c>
      <c r="BH1281" t="s">
        <v>5342</v>
      </c>
      <c r="BI1281" t="s">
        <v>3987</v>
      </c>
      <c r="BJ1281" t="s">
        <v>101</v>
      </c>
      <c r="BK1281" t="s">
        <v>1951</v>
      </c>
      <c r="BL1281" t="s">
        <v>16312</v>
      </c>
      <c r="BM1281" t="s">
        <v>4172</v>
      </c>
      <c r="BN1281" t="s">
        <v>14623</v>
      </c>
    </row>
    <row r="1282" spans="1:66" x14ac:dyDescent="0.25">
      <c r="A1282" t="str">
        <f>HYPERLINK("https://elite.finviz.com/quote.ashx?t=MBIN&amp;ty=c&amp;p=d&amp;b=1", "MBIN")</f>
        <v>MBIN</v>
      </c>
      <c r="B1282">
        <v>6</v>
      </c>
      <c r="C1282">
        <v>127.03</v>
      </c>
      <c r="D1282">
        <v>49.35</v>
      </c>
      <c r="E1282" t="s">
        <v>16313</v>
      </c>
      <c r="F1282" t="s">
        <v>67</v>
      </c>
      <c r="G1282" t="s">
        <v>550</v>
      </c>
      <c r="H1282" t="s">
        <v>697</v>
      </c>
      <c r="I1282" t="s">
        <v>70</v>
      </c>
      <c r="J1282" t="s">
        <v>321</v>
      </c>
      <c r="K1282">
        <v>1474.76</v>
      </c>
      <c r="L1282">
        <v>32.14</v>
      </c>
      <c r="M1282" t="s">
        <v>4266</v>
      </c>
      <c r="N1282">
        <v>23259</v>
      </c>
      <c r="O1282">
        <v>7.07</v>
      </c>
      <c r="P1282">
        <v>6.41</v>
      </c>
      <c r="R1282">
        <v>1.04</v>
      </c>
      <c r="S1282">
        <v>0.9</v>
      </c>
      <c r="T1282" t="s">
        <v>343</v>
      </c>
      <c r="U1282">
        <v>0.39</v>
      </c>
      <c r="V1282" t="s">
        <v>3833</v>
      </c>
      <c r="W1282" t="s">
        <v>6206</v>
      </c>
      <c r="X1282" t="s">
        <v>5699</v>
      </c>
      <c r="Y1282" t="s">
        <v>6087</v>
      </c>
      <c r="Z1282" t="s">
        <v>2064</v>
      </c>
      <c r="AA1282">
        <v>4.55</v>
      </c>
      <c r="AB1282" t="s">
        <v>9342</v>
      </c>
      <c r="AC1282" t="s">
        <v>14663</v>
      </c>
      <c r="AD1282" t="s">
        <v>9022</v>
      </c>
      <c r="AE1282" t="s">
        <v>4093</v>
      </c>
      <c r="AF1282" t="s">
        <v>7061</v>
      </c>
      <c r="AG1282" t="s">
        <v>16314</v>
      </c>
      <c r="AH1282" t="s">
        <v>7262</v>
      </c>
      <c r="AI1282" t="s">
        <v>16315</v>
      </c>
      <c r="AJ1282" t="s">
        <v>183</v>
      </c>
      <c r="AK1282" t="s">
        <v>3174</v>
      </c>
      <c r="AL1282">
        <v>0.13</v>
      </c>
      <c r="AN1282">
        <v>1.84</v>
      </c>
      <c r="AP1282" t="s">
        <v>1456</v>
      </c>
      <c r="AQ1282" t="s">
        <v>683</v>
      </c>
      <c r="AR1282" t="s">
        <v>633</v>
      </c>
      <c r="AS1282" t="s">
        <v>5256</v>
      </c>
      <c r="AT1282" t="s">
        <v>2213</v>
      </c>
      <c r="AU1282" t="s">
        <v>148</v>
      </c>
      <c r="AV1282" t="s">
        <v>4053</v>
      </c>
      <c r="AW1282" t="s">
        <v>13438</v>
      </c>
      <c r="AX1282" t="s">
        <v>2820</v>
      </c>
      <c r="AY1282" t="s">
        <v>7536</v>
      </c>
      <c r="AZ1282" t="s">
        <v>4944</v>
      </c>
      <c r="BA1282">
        <v>2</v>
      </c>
      <c r="BB1282">
        <v>202.1</v>
      </c>
      <c r="BC1282">
        <v>0.41</v>
      </c>
      <c r="BD1282">
        <v>32.06</v>
      </c>
      <c r="BE1282">
        <v>32.520000000000003</v>
      </c>
      <c r="BF1282">
        <v>31.98</v>
      </c>
      <c r="BG1282" t="s">
        <v>16316</v>
      </c>
      <c r="BH1282" t="s">
        <v>16204</v>
      </c>
      <c r="BI1282" t="s">
        <v>16317</v>
      </c>
      <c r="BJ1282" t="s">
        <v>101</v>
      </c>
      <c r="BK1282" t="s">
        <v>5913</v>
      </c>
      <c r="BL1282" t="s">
        <v>16318</v>
      </c>
      <c r="BM1282" t="s">
        <v>16319</v>
      </c>
      <c r="BN1282" t="s">
        <v>14623</v>
      </c>
    </row>
    <row r="1283" spans="1:66" x14ac:dyDescent="0.25">
      <c r="A1283" t="str">
        <f>HYPERLINK("https://elite.finviz.com/quote.ashx?t=BSVN&amp;ty=c&amp;p=d&amp;b=1", "BSVN")</f>
        <v>BSVN</v>
      </c>
      <c r="B1283">
        <v>6</v>
      </c>
      <c r="C1283">
        <v>127.03</v>
      </c>
      <c r="D1283">
        <v>49.37</v>
      </c>
      <c r="E1283" t="s">
        <v>16320</v>
      </c>
      <c r="F1283" t="s">
        <v>67</v>
      </c>
      <c r="G1283" t="s">
        <v>550</v>
      </c>
      <c r="H1283" t="s">
        <v>697</v>
      </c>
      <c r="I1283" t="s">
        <v>70</v>
      </c>
      <c r="J1283" t="s">
        <v>321</v>
      </c>
      <c r="K1283">
        <v>451.1</v>
      </c>
      <c r="L1283">
        <v>47.73</v>
      </c>
      <c r="M1283" t="s">
        <v>164</v>
      </c>
      <c r="N1283">
        <v>1514</v>
      </c>
      <c r="O1283">
        <v>10.27</v>
      </c>
      <c r="P1283">
        <v>11.26</v>
      </c>
      <c r="R1283">
        <v>3.26</v>
      </c>
      <c r="S1283">
        <v>1.95</v>
      </c>
      <c r="T1283" t="s">
        <v>4276</v>
      </c>
      <c r="U1283">
        <v>0.99</v>
      </c>
      <c r="V1283" t="s">
        <v>7552</v>
      </c>
      <c r="W1283" t="s">
        <v>11368</v>
      </c>
      <c r="X1283" t="s">
        <v>3397</v>
      </c>
      <c r="Y1283" t="s">
        <v>13427</v>
      </c>
      <c r="Z1283" t="s">
        <v>1085</v>
      </c>
      <c r="AA1283">
        <v>4.6500000000000004</v>
      </c>
      <c r="AB1283" t="s">
        <v>1687</v>
      </c>
      <c r="AC1283" t="s">
        <v>12655</v>
      </c>
      <c r="AE1283" t="s">
        <v>6105</v>
      </c>
      <c r="AF1283" t="s">
        <v>11577</v>
      </c>
      <c r="AG1283" t="s">
        <v>11275</v>
      </c>
      <c r="AH1283" t="s">
        <v>7413</v>
      </c>
      <c r="AI1283" t="s">
        <v>12266</v>
      </c>
      <c r="AJ1283" t="s">
        <v>3388</v>
      </c>
      <c r="AK1283" t="s">
        <v>3339</v>
      </c>
      <c r="AL1283">
        <v>0.16</v>
      </c>
      <c r="AN1283">
        <v>0</v>
      </c>
      <c r="AP1283" t="s">
        <v>16321</v>
      </c>
      <c r="AQ1283" t="s">
        <v>16322</v>
      </c>
      <c r="AR1283" t="s">
        <v>248</v>
      </c>
      <c r="AS1283" t="s">
        <v>5968</v>
      </c>
      <c r="AT1283" t="s">
        <v>5895</v>
      </c>
      <c r="AU1283" t="s">
        <v>1417</v>
      </c>
      <c r="AV1283" t="s">
        <v>4906</v>
      </c>
      <c r="AW1283" t="s">
        <v>9814</v>
      </c>
      <c r="AX1283" t="s">
        <v>1603</v>
      </c>
      <c r="AY1283" t="s">
        <v>4500</v>
      </c>
      <c r="AZ1283" t="s">
        <v>16323</v>
      </c>
      <c r="BA1283">
        <v>1.67</v>
      </c>
      <c r="BB1283">
        <v>26.06</v>
      </c>
      <c r="BC1283">
        <v>0.21</v>
      </c>
      <c r="BD1283">
        <v>47.73</v>
      </c>
      <c r="BE1283">
        <v>47.73</v>
      </c>
      <c r="BF1283">
        <v>47.73</v>
      </c>
      <c r="BG1283" t="s">
        <v>16324</v>
      </c>
      <c r="BH1283" t="s">
        <v>4500</v>
      </c>
      <c r="BI1283" t="s">
        <v>16325</v>
      </c>
      <c r="BJ1283" t="s">
        <v>101</v>
      </c>
      <c r="BK1283" t="s">
        <v>5539</v>
      </c>
      <c r="BL1283" t="s">
        <v>8327</v>
      </c>
      <c r="BM1283" t="s">
        <v>16326</v>
      </c>
      <c r="BN1283" t="s">
        <v>14623</v>
      </c>
    </row>
    <row r="1284" spans="1:66" x14ac:dyDescent="0.25">
      <c r="A1284" t="str">
        <f>HYPERLINK("https://elite.finviz.com/quote.ashx?t=TSBK&amp;ty=c&amp;p=d&amp;b=1", "TSBK")</f>
        <v>TSBK</v>
      </c>
      <c r="B1284">
        <v>6</v>
      </c>
      <c r="C1284">
        <v>127.03</v>
      </c>
      <c r="D1284">
        <v>49.38</v>
      </c>
      <c r="E1284" t="s">
        <v>16327</v>
      </c>
      <c r="F1284" t="s">
        <v>67</v>
      </c>
      <c r="G1284" t="s">
        <v>550</v>
      </c>
      <c r="H1284" t="s">
        <v>697</v>
      </c>
      <c r="I1284" t="s">
        <v>70</v>
      </c>
      <c r="J1284" t="s">
        <v>321</v>
      </c>
      <c r="K1284">
        <v>270.83999999999997</v>
      </c>
      <c r="L1284">
        <v>34.29</v>
      </c>
      <c r="M1284" t="s">
        <v>580</v>
      </c>
      <c r="N1284">
        <v>1744</v>
      </c>
      <c r="O1284">
        <v>10.1</v>
      </c>
      <c r="R1284">
        <v>2.42</v>
      </c>
      <c r="S1284">
        <v>1.05</v>
      </c>
      <c r="T1284" t="s">
        <v>2383</v>
      </c>
      <c r="U1284">
        <v>1.02</v>
      </c>
      <c r="V1284" t="s">
        <v>1762</v>
      </c>
      <c r="W1284" t="s">
        <v>615</v>
      </c>
      <c r="X1284" t="s">
        <v>4269</v>
      </c>
      <c r="Y1284" t="s">
        <v>1585</v>
      </c>
      <c r="Z1284" t="s">
        <v>2532</v>
      </c>
      <c r="AA1284">
        <v>3.4</v>
      </c>
      <c r="AB1284" t="s">
        <v>9085</v>
      </c>
      <c r="AC1284" t="s">
        <v>5166</v>
      </c>
      <c r="AE1284" t="s">
        <v>1423</v>
      </c>
      <c r="AF1284" t="s">
        <v>5539</v>
      </c>
      <c r="AG1284" t="s">
        <v>4867</v>
      </c>
      <c r="AH1284" t="s">
        <v>2370</v>
      </c>
      <c r="AJ1284" t="s">
        <v>6976</v>
      </c>
      <c r="AK1284" t="s">
        <v>11413</v>
      </c>
      <c r="AL1284">
        <v>0.2</v>
      </c>
      <c r="AN1284">
        <v>0.08</v>
      </c>
      <c r="AP1284" t="s">
        <v>3618</v>
      </c>
      <c r="AQ1284" t="s">
        <v>14831</v>
      </c>
      <c r="AR1284" t="s">
        <v>6975</v>
      </c>
      <c r="AS1284" t="s">
        <v>3671</v>
      </c>
      <c r="AT1284" t="s">
        <v>6127</v>
      </c>
      <c r="AU1284" t="s">
        <v>4976</v>
      </c>
      <c r="AV1284" t="s">
        <v>2459</v>
      </c>
      <c r="AW1284" t="s">
        <v>11990</v>
      </c>
      <c r="AX1284" t="s">
        <v>3857</v>
      </c>
      <c r="AY1284" t="s">
        <v>11990</v>
      </c>
      <c r="AZ1284" t="s">
        <v>1719</v>
      </c>
      <c r="BA1284">
        <v>2</v>
      </c>
      <c r="BB1284">
        <v>18.84</v>
      </c>
      <c r="BC1284">
        <v>0.33</v>
      </c>
      <c r="BD1284">
        <v>34.270000000000003</v>
      </c>
      <c r="BE1284">
        <v>34.25</v>
      </c>
      <c r="BF1284">
        <v>34.25</v>
      </c>
      <c r="BG1284" t="s">
        <v>16328</v>
      </c>
      <c r="BH1284" t="s">
        <v>5498</v>
      </c>
      <c r="BI1284" t="s">
        <v>16329</v>
      </c>
      <c r="BJ1284" t="s">
        <v>101</v>
      </c>
      <c r="BK1284" t="s">
        <v>1676</v>
      </c>
      <c r="BL1284" t="s">
        <v>6532</v>
      </c>
      <c r="BM1284" t="s">
        <v>1514</v>
      </c>
      <c r="BN1284" t="s">
        <v>14623</v>
      </c>
    </row>
    <row r="1285" spans="1:66" x14ac:dyDescent="0.25">
      <c r="A1285" t="str">
        <f>HYPERLINK("https://elite.finviz.com/quote.ashx?t=WGO&amp;ty=c&amp;p=d&amp;b=1", "WGO")</f>
        <v>WGO</v>
      </c>
      <c r="B1285">
        <v>6</v>
      </c>
      <c r="C1285">
        <v>127.03</v>
      </c>
      <c r="D1285">
        <v>49.43</v>
      </c>
      <c r="E1285" t="s">
        <v>16330</v>
      </c>
      <c r="F1285" t="s">
        <v>67</v>
      </c>
      <c r="G1285" t="s">
        <v>813</v>
      </c>
      <c r="H1285" t="s">
        <v>5716</v>
      </c>
      <c r="I1285" t="s">
        <v>70</v>
      </c>
      <c r="J1285" t="s">
        <v>71</v>
      </c>
      <c r="K1285">
        <v>950.16</v>
      </c>
      <c r="L1285">
        <v>33.9</v>
      </c>
      <c r="M1285" t="s">
        <v>1837</v>
      </c>
      <c r="N1285">
        <v>37929</v>
      </c>
      <c r="P1285">
        <v>13.96</v>
      </c>
      <c r="R1285">
        <v>0.35</v>
      </c>
      <c r="S1285">
        <v>0.78</v>
      </c>
      <c r="T1285" t="s">
        <v>2384</v>
      </c>
      <c r="U1285">
        <v>1.37</v>
      </c>
      <c r="V1285" t="s">
        <v>5717</v>
      </c>
      <c r="W1285" t="s">
        <v>15086</v>
      </c>
      <c r="X1285" t="s">
        <v>9402</v>
      </c>
      <c r="Y1285" t="s">
        <v>4745</v>
      </c>
      <c r="Z1285" t="s">
        <v>16331</v>
      </c>
      <c r="AA1285">
        <v>-0.57999999999999996</v>
      </c>
      <c r="AB1285" t="s">
        <v>16332</v>
      </c>
      <c r="AC1285" t="s">
        <v>16333</v>
      </c>
      <c r="AD1285" t="s">
        <v>2204</v>
      </c>
      <c r="AE1285" t="s">
        <v>967</v>
      </c>
      <c r="AF1285" t="s">
        <v>7008</v>
      </c>
      <c r="AG1285" t="s">
        <v>6456</v>
      </c>
      <c r="AH1285" t="s">
        <v>4938</v>
      </c>
      <c r="AI1285" t="s">
        <v>5258</v>
      </c>
      <c r="AJ1285" t="s">
        <v>3169</v>
      </c>
      <c r="AK1285" t="s">
        <v>16334</v>
      </c>
      <c r="AL1285">
        <v>2.41</v>
      </c>
      <c r="AM1285">
        <v>0.89</v>
      </c>
      <c r="AN1285">
        <v>0.48</v>
      </c>
      <c r="AO1285" t="s">
        <v>10393</v>
      </c>
      <c r="AP1285" t="s">
        <v>3925</v>
      </c>
      <c r="AQ1285" t="s">
        <v>8932</v>
      </c>
      <c r="AR1285" t="s">
        <v>2356</v>
      </c>
      <c r="AS1285" t="s">
        <v>3454</v>
      </c>
      <c r="AT1285" t="s">
        <v>181</v>
      </c>
      <c r="AU1285" t="s">
        <v>2201</v>
      </c>
      <c r="AV1285" t="s">
        <v>16335</v>
      </c>
      <c r="AW1285" t="s">
        <v>6827</v>
      </c>
      <c r="AX1285" t="s">
        <v>13712</v>
      </c>
      <c r="AY1285" t="s">
        <v>16336</v>
      </c>
      <c r="AZ1285" t="s">
        <v>729</v>
      </c>
      <c r="BA1285">
        <v>1.87</v>
      </c>
      <c r="BB1285">
        <v>606.88</v>
      </c>
      <c r="BC1285">
        <v>0.22</v>
      </c>
      <c r="BD1285">
        <v>33.53</v>
      </c>
      <c r="BE1285">
        <v>34.119999999999997</v>
      </c>
      <c r="BF1285">
        <v>33.69</v>
      </c>
      <c r="BG1285" t="s">
        <v>16337</v>
      </c>
      <c r="BH1285" t="s">
        <v>16338</v>
      </c>
      <c r="BI1285" t="s">
        <v>16339</v>
      </c>
      <c r="BJ1285" t="s">
        <v>101</v>
      </c>
      <c r="BK1285" t="s">
        <v>7477</v>
      </c>
      <c r="BL1285" t="s">
        <v>1884</v>
      </c>
      <c r="BM1285" t="s">
        <v>16340</v>
      </c>
      <c r="BN1285" t="s">
        <v>14623</v>
      </c>
    </row>
    <row r="1286" spans="1:66" x14ac:dyDescent="0.25">
      <c r="A1286" t="str">
        <f>HYPERLINK("https://elite.finviz.com/quote.ashx?t=ADN&amp;ty=c&amp;p=d&amp;b=1", "ADN")</f>
        <v>ADN</v>
      </c>
      <c r="B1286">
        <v>6</v>
      </c>
      <c r="C1286">
        <v>127.03</v>
      </c>
      <c r="D1286">
        <v>49.44</v>
      </c>
      <c r="E1286" t="s">
        <v>16341</v>
      </c>
      <c r="F1286" t="s">
        <v>107</v>
      </c>
      <c r="G1286" t="s">
        <v>260</v>
      </c>
      <c r="H1286" t="s">
        <v>1128</v>
      </c>
      <c r="I1286" t="s">
        <v>70</v>
      </c>
      <c r="J1286" t="s">
        <v>321</v>
      </c>
      <c r="K1286">
        <v>8.9</v>
      </c>
      <c r="L1286">
        <v>3.33</v>
      </c>
      <c r="M1286" t="s">
        <v>4763</v>
      </c>
      <c r="N1286">
        <v>42396</v>
      </c>
      <c r="R1286">
        <v>74.150000000000006</v>
      </c>
      <c r="AA1286">
        <v>-10.39</v>
      </c>
      <c r="AB1286" t="s">
        <v>4538</v>
      </c>
      <c r="AE1286" t="s">
        <v>16342</v>
      </c>
      <c r="AF1286" t="s">
        <v>7997</v>
      </c>
      <c r="AH1286" t="s">
        <v>16343</v>
      </c>
      <c r="AI1286" t="s">
        <v>16344</v>
      </c>
      <c r="AJ1286" t="s">
        <v>164</v>
      </c>
      <c r="AK1286" t="s">
        <v>2796</v>
      </c>
      <c r="AL1286">
        <v>0.05</v>
      </c>
      <c r="AM1286">
        <v>0.05</v>
      </c>
      <c r="AO1286" t="s">
        <v>16345</v>
      </c>
      <c r="AP1286" t="s">
        <v>16346</v>
      </c>
      <c r="AQ1286" t="s">
        <v>16347</v>
      </c>
      <c r="AR1286" t="s">
        <v>1395</v>
      </c>
      <c r="AS1286" t="s">
        <v>6329</v>
      </c>
      <c r="AT1286" t="s">
        <v>1842</v>
      </c>
      <c r="AU1286" t="s">
        <v>229</v>
      </c>
      <c r="AV1286" t="s">
        <v>613</v>
      </c>
      <c r="AW1286" t="s">
        <v>16348</v>
      </c>
      <c r="AX1286" t="s">
        <v>16349</v>
      </c>
      <c r="AY1286" t="s">
        <v>16350</v>
      </c>
      <c r="AZ1286" t="s">
        <v>2349</v>
      </c>
      <c r="BA1286">
        <v>3</v>
      </c>
      <c r="BB1286">
        <v>980.41</v>
      </c>
      <c r="BC1286">
        <v>0.15</v>
      </c>
      <c r="BD1286">
        <v>3.38</v>
      </c>
      <c r="BE1286">
        <v>3.4</v>
      </c>
      <c r="BF1286">
        <v>3.32</v>
      </c>
      <c r="BG1286" t="s">
        <v>16351</v>
      </c>
      <c r="BH1286" t="s">
        <v>7802</v>
      </c>
      <c r="BI1286" t="s">
        <v>2349</v>
      </c>
      <c r="BJ1286" t="s">
        <v>101</v>
      </c>
      <c r="BK1286" t="s">
        <v>8009</v>
      </c>
      <c r="BL1286" t="s">
        <v>16352</v>
      </c>
      <c r="BM1286" t="s">
        <v>16353</v>
      </c>
      <c r="BN1286" t="s">
        <v>14623</v>
      </c>
    </row>
    <row r="1287" spans="1:66" x14ac:dyDescent="0.25">
      <c r="A1287" t="str">
        <f>HYPERLINK("https://elite.finviz.com/quote.ashx?t=RM&amp;ty=c&amp;p=d&amp;b=1", "RM")</f>
        <v>RM</v>
      </c>
      <c r="B1287">
        <v>6</v>
      </c>
      <c r="C1287">
        <v>127.03</v>
      </c>
      <c r="D1287">
        <v>49.44</v>
      </c>
      <c r="E1287" t="s">
        <v>16354</v>
      </c>
      <c r="F1287" t="s">
        <v>67</v>
      </c>
      <c r="G1287" t="s">
        <v>550</v>
      </c>
      <c r="H1287" t="s">
        <v>3744</v>
      </c>
      <c r="I1287" t="s">
        <v>70</v>
      </c>
      <c r="J1287" t="s">
        <v>71</v>
      </c>
      <c r="K1287">
        <v>409.3</v>
      </c>
      <c r="L1287">
        <v>41.77</v>
      </c>
      <c r="M1287" t="s">
        <v>5000</v>
      </c>
      <c r="N1287">
        <v>4408</v>
      </c>
      <c r="O1287">
        <v>12.05</v>
      </c>
      <c r="P1287">
        <v>6.23</v>
      </c>
      <c r="Q1287">
        <v>0.24</v>
      </c>
      <c r="R1287">
        <v>0.67</v>
      </c>
      <c r="S1287">
        <v>1.1499999999999999</v>
      </c>
      <c r="T1287" t="s">
        <v>862</v>
      </c>
      <c r="U1287">
        <v>1.2</v>
      </c>
      <c r="V1287" t="s">
        <v>5737</v>
      </c>
      <c r="W1287" t="s">
        <v>164</v>
      </c>
      <c r="X1287" t="s">
        <v>2655</v>
      </c>
      <c r="Z1287" t="s">
        <v>4503</v>
      </c>
      <c r="AA1287">
        <v>3.47</v>
      </c>
      <c r="AB1287" t="s">
        <v>5399</v>
      </c>
      <c r="AC1287" t="s">
        <v>6336</v>
      </c>
      <c r="AD1287" t="s">
        <v>16355</v>
      </c>
      <c r="AE1287" t="s">
        <v>5150</v>
      </c>
      <c r="AF1287" t="s">
        <v>5459</v>
      </c>
      <c r="AG1287" t="s">
        <v>237</v>
      </c>
      <c r="AH1287" t="s">
        <v>3491</v>
      </c>
      <c r="AI1287" t="s">
        <v>4310</v>
      </c>
      <c r="AJ1287" t="s">
        <v>4428</v>
      </c>
      <c r="AK1287" t="s">
        <v>16356</v>
      </c>
      <c r="AL1287">
        <v>3.47</v>
      </c>
      <c r="AM1287">
        <v>3.47</v>
      </c>
      <c r="AN1287">
        <v>4.26</v>
      </c>
      <c r="AO1287" t="s">
        <v>16357</v>
      </c>
      <c r="AP1287" t="s">
        <v>2851</v>
      </c>
      <c r="AQ1287" t="s">
        <v>5659</v>
      </c>
      <c r="AR1287" t="s">
        <v>316</v>
      </c>
      <c r="AS1287" t="s">
        <v>5736</v>
      </c>
      <c r="AT1287" t="s">
        <v>7582</v>
      </c>
      <c r="AU1287" t="s">
        <v>1207</v>
      </c>
      <c r="AV1287" t="s">
        <v>5157</v>
      </c>
      <c r="AW1287" t="s">
        <v>15107</v>
      </c>
      <c r="AX1287" t="s">
        <v>870</v>
      </c>
      <c r="AY1287" t="s">
        <v>15107</v>
      </c>
      <c r="AZ1287" t="s">
        <v>14009</v>
      </c>
      <c r="BA1287">
        <v>2.2000000000000002</v>
      </c>
      <c r="BB1287">
        <v>46.41</v>
      </c>
      <c r="BC1287">
        <v>0.34</v>
      </c>
      <c r="BD1287">
        <v>42.48</v>
      </c>
      <c r="BE1287">
        <v>43.22</v>
      </c>
      <c r="BF1287">
        <v>42.26</v>
      </c>
      <c r="BG1287" t="s">
        <v>16358</v>
      </c>
      <c r="BH1287" t="s">
        <v>16359</v>
      </c>
      <c r="BI1287" t="s">
        <v>16360</v>
      </c>
      <c r="BJ1287" t="s">
        <v>101</v>
      </c>
      <c r="BK1287" t="s">
        <v>5638</v>
      </c>
      <c r="BL1287" t="s">
        <v>9147</v>
      </c>
      <c r="BM1287" t="s">
        <v>12335</v>
      </c>
      <c r="BN1287" t="s">
        <v>14623</v>
      </c>
    </row>
    <row r="1288" spans="1:66" x14ac:dyDescent="0.25">
      <c r="A1288" t="str">
        <f>HYPERLINK("https://elite.finviz.com/quote.ashx?t=ASTH&amp;ty=c&amp;p=d&amp;b=1", "ASTH")</f>
        <v>ASTH</v>
      </c>
      <c r="B1288">
        <v>6</v>
      </c>
      <c r="C1288">
        <v>127.03</v>
      </c>
      <c r="D1288">
        <v>49.46</v>
      </c>
      <c r="E1288" t="s">
        <v>16361</v>
      </c>
      <c r="F1288" t="s">
        <v>67</v>
      </c>
      <c r="G1288" t="s">
        <v>428</v>
      </c>
      <c r="H1288" t="s">
        <v>3160</v>
      </c>
      <c r="I1288" t="s">
        <v>70</v>
      </c>
      <c r="J1288" t="s">
        <v>321</v>
      </c>
      <c r="K1288">
        <v>1429.86</v>
      </c>
      <c r="L1288">
        <v>28.64</v>
      </c>
      <c r="M1288" t="s">
        <v>901</v>
      </c>
      <c r="N1288">
        <v>50793</v>
      </c>
      <c r="O1288">
        <v>55.48</v>
      </c>
      <c r="P1288">
        <v>14.1</v>
      </c>
      <c r="Q1288">
        <v>1.26</v>
      </c>
      <c r="R1288">
        <v>0.59</v>
      </c>
      <c r="S1288">
        <v>1.84</v>
      </c>
      <c r="T1288" t="s">
        <v>3736</v>
      </c>
      <c r="Z1288" t="s">
        <v>164</v>
      </c>
      <c r="AA1288">
        <v>0.52</v>
      </c>
      <c r="AB1288" t="s">
        <v>6435</v>
      </c>
      <c r="AC1288" t="s">
        <v>5024</v>
      </c>
      <c r="AD1288" t="s">
        <v>1278</v>
      </c>
      <c r="AE1288" t="s">
        <v>16362</v>
      </c>
      <c r="AF1288" t="s">
        <v>6901</v>
      </c>
      <c r="AG1288" t="s">
        <v>1785</v>
      </c>
      <c r="AH1288" t="s">
        <v>7666</v>
      </c>
      <c r="AI1288" t="s">
        <v>16363</v>
      </c>
      <c r="AJ1288" t="s">
        <v>164</v>
      </c>
      <c r="AK1288" t="s">
        <v>16364</v>
      </c>
      <c r="AL1288">
        <v>1.59</v>
      </c>
      <c r="AM1288">
        <v>1.59</v>
      </c>
      <c r="AN1288">
        <v>0.57999999999999996</v>
      </c>
      <c r="AO1288" t="s">
        <v>2085</v>
      </c>
      <c r="AP1288" t="s">
        <v>4687</v>
      </c>
      <c r="AQ1288" t="s">
        <v>2610</v>
      </c>
      <c r="AR1288" t="s">
        <v>169</v>
      </c>
      <c r="AS1288" t="s">
        <v>2170</v>
      </c>
      <c r="AT1288" t="s">
        <v>4698</v>
      </c>
      <c r="AU1288" t="s">
        <v>6475</v>
      </c>
      <c r="AV1288" t="s">
        <v>9672</v>
      </c>
      <c r="AW1288" t="s">
        <v>9631</v>
      </c>
      <c r="AX1288" t="s">
        <v>2568</v>
      </c>
      <c r="AY1288" t="s">
        <v>16365</v>
      </c>
      <c r="AZ1288" t="s">
        <v>2568</v>
      </c>
      <c r="BA1288">
        <v>1.5</v>
      </c>
      <c r="BB1288">
        <v>383.85</v>
      </c>
      <c r="BC1288">
        <v>0.47</v>
      </c>
      <c r="BD1288">
        <v>27.88</v>
      </c>
      <c r="BE1288">
        <v>28.77</v>
      </c>
      <c r="BF1288">
        <v>28.01</v>
      </c>
      <c r="BG1288" t="s">
        <v>16366</v>
      </c>
      <c r="BH1288" t="s">
        <v>16367</v>
      </c>
      <c r="BJ1288" t="s">
        <v>101</v>
      </c>
      <c r="BK1288" t="s">
        <v>7477</v>
      </c>
      <c r="BL1288" t="s">
        <v>15541</v>
      </c>
      <c r="BM1288" t="s">
        <v>14435</v>
      </c>
      <c r="BN1288" t="s">
        <v>14623</v>
      </c>
    </row>
    <row r="1289" spans="1:66" x14ac:dyDescent="0.25">
      <c r="A1289" t="str">
        <f>HYPERLINK("https://elite.finviz.com/quote.ashx?t=CNTY&amp;ty=c&amp;p=d&amp;b=1", "CNTY")</f>
        <v>CNTY</v>
      </c>
      <c r="B1289">
        <v>6</v>
      </c>
      <c r="C1289">
        <v>127.03</v>
      </c>
      <c r="D1289">
        <v>49.48</v>
      </c>
      <c r="E1289" t="s">
        <v>16368</v>
      </c>
      <c r="F1289" t="s">
        <v>107</v>
      </c>
      <c r="G1289" t="s">
        <v>813</v>
      </c>
      <c r="H1289" t="s">
        <v>2763</v>
      </c>
      <c r="I1289" t="s">
        <v>70</v>
      </c>
      <c r="J1289" t="s">
        <v>321</v>
      </c>
      <c r="K1289">
        <v>78.05</v>
      </c>
      <c r="L1289">
        <v>2.6</v>
      </c>
      <c r="M1289" t="s">
        <v>2356</v>
      </c>
      <c r="N1289">
        <v>4541</v>
      </c>
      <c r="R1289">
        <v>0.14000000000000001</v>
      </c>
      <c r="AA1289">
        <v>-3.45</v>
      </c>
      <c r="AC1289" t="s">
        <v>16369</v>
      </c>
      <c r="AD1289" t="s">
        <v>4006</v>
      </c>
      <c r="AE1289" t="s">
        <v>9475</v>
      </c>
      <c r="AF1289" t="s">
        <v>6498</v>
      </c>
      <c r="AG1289" t="s">
        <v>15794</v>
      </c>
      <c r="AH1289" t="s">
        <v>6118</v>
      </c>
      <c r="AI1289" t="s">
        <v>13208</v>
      </c>
      <c r="AJ1289" t="s">
        <v>164</v>
      </c>
      <c r="AK1289" t="s">
        <v>15459</v>
      </c>
      <c r="AL1289">
        <v>1.42</v>
      </c>
      <c r="AM1289">
        <v>1.37</v>
      </c>
      <c r="AO1289" t="s">
        <v>8561</v>
      </c>
      <c r="AP1289" t="s">
        <v>3071</v>
      </c>
      <c r="AQ1289" t="s">
        <v>529</v>
      </c>
      <c r="AR1289" t="s">
        <v>5331</v>
      </c>
      <c r="AS1289" t="s">
        <v>1872</v>
      </c>
      <c r="AT1289" t="s">
        <v>10819</v>
      </c>
      <c r="AU1289" t="s">
        <v>304</v>
      </c>
      <c r="AV1289" t="s">
        <v>3228</v>
      </c>
      <c r="AW1289" t="s">
        <v>7972</v>
      </c>
      <c r="AX1289" t="s">
        <v>7156</v>
      </c>
      <c r="AY1289" t="s">
        <v>11917</v>
      </c>
      <c r="AZ1289" t="s">
        <v>1647</v>
      </c>
      <c r="BA1289">
        <v>1</v>
      </c>
      <c r="BB1289">
        <v>60.19</v>
      </c>
      <c r="BC1289">
        <v>0.27</v>
      </c>
      <c r="BD1289">
        <v>2.52</v>
      </c>
      <c r="BE1289">
        <v>2.61</v>
      </c>
      <c r="BF1289">
        <v>2.5499999999999998</v>
      </c>
      <c r="BG1289" t="s">
        <v>16370</v>
      </c>
      <c r="BH1289" t="s">
        <v>16371</v>
      </c>
      <c r="BI1289" t="s">
        <v>16372</v>
      </c>
      <c r="BJ1289" t="s">
        <v>101</v>
      </c>
      <c r="BK1289" t="s">
        <v>268</v>
      </c>
      <c r="BL1289" t="s">
        <v>16373</v>
      </c>
      <c r="BM1289" t="s">
        <v>7068</v>
      </c>
      <c r="BN1289" t="s">
        <v>14623</v>
      </c>
    </row>
    <row r="1290" spans="1:66" x14ac:dyDescent="0.25">
      <c r="A1290" t="str">
        <f>HYPERLINK("https://elite.finviz.com/quote.ashx?t=H&amp;ty=c&amp;p=d&amp;b=1", "H")</f>
        <v>H</v>
      </c>
      <c r="B1290">
        <v>6</v>
      </c>
      <c r="C1290">
        <v>127.03</v>
      </c>
      <c r="D1290">
        <v>49.48</v>
      </c>
      <c r="E1290" t="s">
        <v>16374</v>
      </c>
      <c r="F1290" t="s">
        <v>107</v>
      </c>
      <c r="G1290" t="s">
        <v>813</v>
      </c>
      <c r="H1290" t="s">
        <v>16375</v>
      </c>
      <c r="I1290" t="s">
        <v>70</v>
      </c>
      <c r="J1290" t="s">
        <v>71</v>
      </c>
      <c r="K1290">
        <v>13575.19</v>
      </c>
      <c r="L1290">
        <v>141.63</v>
      </c>
      <c r="M1290" t="s">
        <v>5166</v>
      </c>
      <c r="N1290">
        <v>94725</v>
      </c>
      <c r="O1290">
        <v>33.54</v>
      </c>
      <c r="P1290">
        <v>39.47</v>
      </c>
      <c r="Q1290">
        <v>3.85</v>
      </c>
      <c r="R1290">
        <v>2</v>
      </c>
      <c r="S1290">
        <v>3.8</v>
      </c>
      <c r="T1290" t="s">
        <v>1409</v>
      </c>
      <c r="U1290">
        <v>0.6</v>
      </c>
      <c r="V1290" t="s">
        <v>7842</v>
      </c>
      <c r="W1290" t="s">
        <v>10378</v>
      </c>
      <c r="Y1290" t="s">
        <v>77</v>
      </c>
      <c r="Z1290" t="s">
        <v>215</v>
      </c>
      <c r="AA1290">
        <v>4.22</v>
      </c>
      <c r="AC1290" t="s">
        <v>5387</v>
      </c>
      <c r="AD1290" t="s">
        <v>11639</v>
      </c>
      <c r="AE1290" t="s">
        <v>1764</v>
      </c>
      <c r="AF1290" t="s">
        <v>16376</v>
      </c>
      <c r="AG1290" t="s">
        <v>7118</v>
      </c>
      <c r="AH1290" t="s">
        <v>5552</v>
      </c>
      <c r="AI1290" t="s">
        <v>2066</v>
      </c>
      <c r="AJ1290" t="s">
        <v>241</v>
      </c>
      <c r="AK1290" t="s">
        <v>4571</v>
      </c>
      <c r="AL1290">
        <v>0.7</v>
      </c>
      <c r="AM1290">
        <v>0.7</v>
      </c>
      <c r="AN1290">
        <v>1.78</v>
      </c>
      <c r="AO1290" t="s">
        <v>4549</v>
      </c>
      <c r="AP1290" t="s">
        <v>276</v>
      </c>
      <c r="AQ1290" t="s">
        <v>3777</v>
      </c>
      <c r="AR1290" t="s">
        <v>5263</v>
      </c>
      <c r="AS1290" t="s">
        <v>1438</v>
      </c>
      <c r="AT1290" t="s">
        <v>3495</v>
      </c>
      <c r="AU1290" t="s">
        <v>4809</v>
      </c>
      <c r="AV1290" t="s">
        <v>3118</v>
      </c>
      <c r="AW1290" t="s">
        <v>8190</v>
      </c>
      <c r="AX1290" t="s">
        <v>1204</v>
      </c>
      <c r="AY1290" t="s">
        <v>15702</v>
      </c>
      <c r="AZ1290" t="s">
        <v>14884</v>
      </c>
      <c r="BA1290">
        <v>2.09</v>
      </c>
      <c r="BB1290">
        <v>922.02</v>
      </c>
      <c r="BC1290">
        <v>0.36</v>
      </c>
      <c r="BD1290">
        <v>140</v>
      </c>
      <c r="BE1290">
        <v>142.49</v>
      </c>
      <c r="BF1290">
        <v>140.49</v>
      </c>
      <c r="BG1290" t="s">
        <v>16377</v>
      </c>
      <c r="BH1290" t="s">
        <v>15702</v>
      </c>
      <c r="BI1290" t="s">
        <v>16378</v>
      </c>
      <c r="BJ1290" t="s">
        <v>101</v>
      </c>
      <c r="BK1290" t="s">
        <v>2186</v>
      </c>
      <c r="BL1290" t="s">
        <v>8916</v>
      </c>
      <c r="BM1290" t="s">
        <v>5559</v>
      </c>
      <c r="BN1290" t="s">
        <v>14623</v>
      </c>
    </row>
    <row r="1291" spans="1:66" x14ac:dyDescent="0.25">
      <c r="A1291" t="str">
        <f>HYPERLINK("https://elite.finviz.com/quote.ashx?t=PLBC&amp;ty=c&amp;p=d&amp;b=1", "PLBC")</f>
        <v>PLBC</v>
      </c>
      <c r="B1291">
        <v>6</v>
      </c>
      <c r="C1291">
        <v>127.03</v>
      </c>
      <c r="D1291">
        <v>49.48</v>
      </c>
      <c r="E1291" t="s">
        <v>16379</v>
      </c>
      <c r="F1291" t="s">
        <v>67</v>
      </c>
      <c r="G1291" t="s">
        <v>550</v>
      </c>
      <c r="H1291" t="s">
        <v>697</v>
      </c>
      <c r="I1291" t="s">
        <v>70</v>
      </c>
      <c r="J1291" t="s">
        <v>321</v>
      </c>
      <c r="K1291">
        <v>301.57</v>
      </c>
      <c r="L1291">
        <v>43.41</v>
      </c>
      <c r="M1291" t="s">
        <v>3871</v>
      </c>
      <c r="N1291">
        <v>1453</v>
      </c>
      <c r="O1291">
        <v>8.94</v>
      </c>
      <c r="P1291">
        <v>7.73</v>
      </c>
      <c r="R1291">
        <v>3.2</v>
      </c>
      <c r="S1291">
        <v>1.33</v>
      </c>
      <c r="T1291" t="s">
        <v>4945</v>
      </c>
      <c r="U1291">
        <v>1.17</v>
      </c>
      <c r="V1291" t="s">
        <v>4066</v>
      </c>
      <c r="W1291" t="s">
        <v>238</v>
      </c>
      <c r="X1291" t="s">
        <v>3623</v>
      </c>
      <c r="Y1291" t="s">
        <v>1085</v>
      </c>
      <c r="Z1291" t="s">
        <v>16013</v>
      </c>
      <c r="AA1291">
        <v>4.8499999999999996</v>
      </c>
      <c r="AB1291" t="s">
        <v>10714</v>
      </c>
      <c r="AC1291" t="s">
        <v>3491</v>
      </c>
      <c r="AE1291" t="s">
        <v>2398</v>
      </c>
      <c r="AF1291" t="s">
        <v>716</v>
      </c>
      <c r="AG1291" t="s">
        <v>5912</v>
      </c>
      <c r="AH1291" t="s">
        <v>6265</v>
      </c>
      <c r="AI1291" t="s">
        <v>75</v>
      </c>
      <c r="AJ1291" t="s">
        <v>2646</v>
      </c>
      <c r="AK1291" t="s">
        <v>16380</v>
      </c>
      <c r="AL1291">
        <v>0.08</v>
      </c>
      <c r="AN1291">
        <v>0.28000000000000003</v>
      </c>
      <c r="AP1291" t="s">
        <v>10305</v>
      </c>
      <c r="AQ1291" t="s">
        <v>15487</v>
      </c>
      <c r="AR1291" t="s">
        <v>1768</v>
      </c>
      <c r="AS1291" t="s">
        <v>4600</v>
      </c>
      <c r="AT1291" t="s">
        <v>4938</v>
      </c>
      <c r="AU1291" t="s">
        <v>3257</v>
      </c>
      <c r="AV1291" t="s">
        <v>7089</v>
      </c>
      <c r="AW1291" t="s">
        <v>13822</v>
      </c>
      <c r="AX1291" t="s">
        <v>3189</v>
      </c>
      <c r="AY1291" t="s">
        <v>7558</v>
      </c>
      <c r="AZ1291" t="s">
        <v>1601</v>
      </c>
      <c r="BA1291">
        <v>1.33</v>
      </c>
      <c r="BB1291">
        <v>16.329999999999998</v>
      </c>
      <c r="BC1291">
        <v>0.32</v>
      </c>
      <c r="BD1291">
        <v>43.1</v>
      </c>
      <c r="BE1291">
        <v>43.69</v>
      </c>
      <c r="BF1291">
        <v>43.69</v>
      </c>
      <c r="BG1291" t="s">
        <v>16381</v>
      </c>
      <c r="BH1291" t="s">
        <v>7558</v>
      </c>
      <c r="BI1291" t="s">
        <v>16382</v>
      </c>
      <c r="BJ1291" t="s">
        <v>101</v>
      </c>
      <c r="BK1291" t="s">
        <v>7176</v>
      </c>
      <c r="BL1291" t="s">
        <v>1249</v>
      </c>
      <c r="BM1291" t="s">
        <v>465</v>
      </c>
      <c r="BN1291" t="s">
        <v>14623</v>
      </c>
    </row>
    <row r="1292" spans="1:66" x14ac:dyDescent="0.25">
      <c r="A1292" t="str">
        <f>HYPERLINK("https://elite.finviz.com/quote.ashx?t=CODA&amp;ty=c&amp;p=d&amp;b=1", "CODA")</f>
        <v>CODA</v>
      </c>
      <c r="B1292">
        <v>6</v>
      </c>
      <c r="C1292">
        <v>127.03</v>
      </c>
      <c r="D1292">
        <v>49.49</v>
      </c>
      <c r="E1292" t="s">
        <v>16383</v>
      </c>
      <c r="F1292" t="s">
        <v>107</v>
      </c>
      <c r="G1292" t="s">
        <v>260</v>
      </c>
      <c r="H1292" t="s">
        <v>4779</v>
      </c>
      <c r="I1292" t="s">
        <v>70</v>
      </c>
      <c r="J1292" t="s">
        <v>321</v>
      </c>
      <c r="K1292">
        <v>90.18</v>
      </c>
      <c r="L1292">
        <v>8.02</v>
      </c>
      <c r="M1292" t="s">
        <v>3811</v>
      </c>
      <c r="N1292">
        <v>24671</v>
      </c>
      <c r="O1292">
        <v>26.4</v>
      </c>
      <c r="P1292">
        <v>17.059999999999999</v>
      </c>
      <c r="Q1292">
        <v>1.5</v>
      </c>
      <c r="R1292">
        <v>3.7</v>
      </c>
      <c r="S1292">
        <v>1.57</v>
      </c>
      <c r="Z1292" t="s">
        <v>164</v>
      </c>
      <c r="AA1292">
        <v>0.3</v>
      </c>
      <c r="AB1292" t="s">
        <v>7234</v>
      </c>
      <c r="AC1292" t="s">
        <v>2587</v>
      </c>
      <c r="AD1292" t="s">
        <v>5038</v>
      </c>
      <c r="AE1292" t="s">
        <v>2966</v>
      </c>
      <c r="AF1292" t="s">
        <v>5159</v>
      </c>
      <c r="AG1292" t="s">
        <v>5650</v>
      </c>
      <c r="AH1292" t="s">
        <v>8728</v>
      </c>
      <c r="AI1292" t="s">
        <v>10317</v>
      </c>
      <c r="AJ1292" t="s">
        <v>1722</v>
      </c>
      <c r="AK1292" t="s">
        <v>562</v>
      </c>
      <c r="AL1292">
        <v>11.37</v>
      </c>
      <c r="AM1292">
        <v>8.08</v>
      </c>
      <c r="AN1292">
        <v>0.01</v>
      </c>
      <c r="AO1292" t="s">
        <v>7991</v>
      </c>
      <c r="AP1292" t="s">
        <v>7114</v>
      </c>
      <c r="AQ1292" t="s">
        <v>7688</v>
      </c>
      <c r="AR1292" t="s">
        <v>169</v>
      </c>
      <c r="AS1292" t="s">
        <v>1104</v>
      </c>
      <c r="AT1292" t="s">
        <v>7598</v>
      </c>
      <c r="AU1292" t="s">
        <v>2643</v>
      </c>
      <c r="AV1292" t="s">
        <v>954</v>
      </c>
      <c r="AW1292" t="s">
        <v>9417</v>
      </c>
      <c r="AX1292" t="s">
        <v>6474</v>
      </c>
      <c r="AY1292" t="s">
        <v>14832</v>
      </c>
      <c r="AZ1292" t="s">
        <v>8390</v>
      </c>
      <c r="BA1292">
        <v>1</v>
      </c>
      <c r="BB1292">
        <v>59.08</v>
      </c>
      <c r="BC1292">
        <v>1.48</v>
      </c>
      <c r="BD1292">
        <v>8.1999999999999993</v>
      </c>
      <c r="BE1292">
        <v>8.35</v>
      </c>
      <c r="BF1292">
        <v>8.01</v>
      </c>
      <c r="BG1292" t="s">
        <v>16384</v>
      </c>
      <c r="BH1292" t="s">
        <v>579</v>
      </c>
      <c r="BI1292" t="s">
        <v>16385</v>
      </c>
      <c r="BJ1292" t="s">
        <v>101</v>
      </c>
      <c r="BK1292" t="s">
        <v>2003</v>
      </c>
      <c r="BL1292" t="s">
        <v>12977</v>
      </c>
      <c r="BM1292" t="s">
        <v>2250</v>
      </c>
      <c r="BN1292" t="s">
        <v>14623</v>
      </c>
    </row>
    <row r="1293" spans="1:66" x14ac:dyDescent="0.25">
      <c r="A1293" t="str">
        <f>HYPERLINK("https://elite.finviz.com/quote.ashx?t=CXDO&amp;ty=c&amp;p=d&amp;b=1", "CXDO")</f>
        <v>CXDO</v>
      </c>
      <c r="B1293">
        <v>6</v>
      </c>
      <c r="C1293">
        <v>127.03</v>
      </c>
      <c r="D1293">
        <v>49.5</v>
      </c>
      <c r="E1293" t="s">
        <v>16386</v>
      </c>
      <c r="F1293" t="s">
        <v>67</v>
      </c>
      <c r="G1293" t="s">
        <v>598</v>
      </c>
      <c r="H1293" t="s">
        <v>6147</v>
      </c>
      <c r="I1293" t="s">
        <v>70</v>
      </c>
      <c r="J1293" t="s">
        <v>321</v>
      </c>
      <c r="K1293">
        <v>195.8</v>
      </c>
      <c r="L1293">
        <v>6.49</v>
      </c>
      <c r="M1293" t="s">
        <v>1998</v>
      </c>
      <c r="N1293">
        <v>32543</v>
      </c>
      <c r="O1293">
        <v>64.709999999999994</v>
      </c>
      <c r="P1293">
        <v>18.989999999999998</v>
      </c>
      <c r="Q1293">
        <v>3.38</v>
      </c>
      <c r="R1293">
        <v>3.04</v>
      </c>
      <c r="S1293">
        <v>3.36</v>
      </c>
      <c r="V1293" t="s">
        <v>16387</v>
      </c>
      <c r="Z1293" t="s">
        <v>164</v>
      </c>
      <c r="AA1293">
        <v>0.1</v>
      </c>
      <c r="AC1293" t="s">
        <v>7621</v>
      </c>
      <c r="AD1293" t="s">
        <v>3470</v>
      </c>
      <c r="AE1293" t="s">
        <v>6202</v>
      </c>
      <c r="AF1293" t="s">
        <v>15078</v>
      </c>
      <c r="AG1293" t="s">
        <v>14472</v>
      </c>
      <c r="AH1293" t="s">
        <v>5837</v>
      </c>
      <c r="AI1293" t="s">
        <v>16388</v>
      </c>
      <c r="AJ1293" t="s">
        <v>3232</v>
      </c>
      <c r="AK1293" t="s">
        <v>3297</v>
      </c>
      <c r="AL1293">
        <v>2.69</v>
      </c>
      <c r="AM1293">
        <v>2.63</v>
      </c>
      <c r="AN1293">
        <v>0.03</v>
      </c>
      <c r="AO1293" t="s">
        <v>8990</v>
      </c>
      <c r="AP1293" t="s">
        <v>246</v>
      </c>
      <c r="AQ1293" t="s">
        <v>215</v>
      </c>
      <c r="AR1293" t="s">
        <v>5592</v>
      </c>
      <c r="AS1293" t="s">
        <v>615</v>
      </c>
      <c r="AT1293" t="s">
        <v>5365</v>
      </c>
      <c r="AU1293" t="s">
        <v>4269</v>
      </c>
      <c r="AV1293" t="s">
        <v>5096</v>
      </c>
      <c r="AW1293" t="s">
        <v>502</v>
      </c>
      <c r="AX1293" t="s">
        <v>16116</v>
      </c>
      <c r="AY1293" t="s">
        <v>7861</v>
      </c>
      <c r="AZ1293" t="s">
        <v>16389</v>
      </c>
      <c r="BA1293">
        <v>1</v>
      </c>
      <c r="BB1293">
        <v>208.84</v>
      </c>
      <c r="BC1293">
        <v>0.55000000000000004</v>
      </c>
      <c r="BD1293">
        <v>6.5</v>
      </c>
      <c r="BE1293">
        <v>6.57</v>
      </c>
      <c r="BF1293">
        <v>6.42</v>
      </c>
      <c r="BG1293" t="s">
        <v>16390</v>
      </c>
      <c r="BH1293" t="s">
        <v>7985</v>
      </c>
      <c r="BI1293" t="s">
        <v>16391</v>
      </c>
      <c r="BJ1293" t="s">
        <v>101</v>
      </c>
      <c r="BK1293" t="s">
        <v>2515</v>
      </c>
      <c r="BL1293" t="s">
        <v>6001</v>
      </c>
      <c r="BM1293" t="s">
        <v>16392</v>
      </c>
      <c r="BN1293" t="s">
        <v>14623</v>
      </c>
    </row>
    <row r="1294" spans="1:66" x14ac:dyDescent="0.25">
      <c r="A1294" t="str">
        <f>HYPERLINK("https://elite.finviz.com/quote.ashx?t=NUVL&amp;ty=c&amp;p=d&amp;b=1", "NUVL")</f>
        <v>NUVL</v>
      </c>
      <c r="B1294">
        <v>6</v>
      </c>
      <c r="C1294">
        <v>127.03</v>
      </c>
      <c r="D1294">
        <v>49.5</v>
      </c>
      <c r="E1294" t="s">
        <v>16393</v>
      </c>
      <c r="F1294" t="s">
        <v>67</v>
      </c>
      <c r="G1294" t="s">
        <v>428</v>
      </c>
      <c r="H1294" t="s">
        <v>429</v>
      </c>
      <c r="I1294" t="s">
        <v>70</v>
      </c>
      <c r="J1294" t="s">
        <v>321</v>
      </c>
      <c r="K1294">
        <v>5647.98</v>
      </c>
      <c r="L1294">
        <v>78.33</v>
      </c>
      <c r="M1294" t="s">
        <v>2610</v>
      </c>
      <c r="N1294">
        <v>22058</v>
      </c>
      <c r="S1294">
        <v>6</v>
      </c>
      <c r="AA1294">
        <v>-4.9000000000000004</v>
      </c>
      <c r="AB1294" t="s">
        <v>16394</v>
      </c>
      <c r="AC1294" t="s">
        <v>16395</v>
      </c>
      <c r="AD1294" t="s">
        <v>4093</v>
      </c>
      <c r="AI1294" t="s">
        <v>12206</v>
      </c>
      <c r="AJ1294" t="s">
        <v>3027</v>
      </c>
      <c r="AK1294" t="s">
        <v>4413</v>
      </c>
      <c r="AL1294">
        <v>13.57</v>
      </c>
      <c r="AM1294">
        <v>13.57</v>
      </c>
      <c r="AN1294">
        <v>0</v>
      </c>
      <c r="AR1294" t="s">
        <v>5100</v>
      </c>
      <c r="AS1294" t="s">
        <v>2841</v>
      </c>
      <c r="AT1294" t="s">
        <v>1820</v>
      </c>
      <c r="AU1294" t="s">
        <v>4266</v>
      </c>
      <c r="AV1294" t="s">
        <v>1417</v>
      </c>
      <c r="AW1294" t="s">
        <v>16396</v>
      </c>
      <c r="AX1294" t="s">
        <v>3099</v>
      </c>
      <c r="AY1294" t="s">
        <v>11966</v>
      </c>
      <c r="AZ1294" t="s">
        <v>10738</v>
      </c>
      <c r="BA1294">
        <v>1.21</v>
      </c>
      <c r="BB1294">
        <v>480.74</v>
      </c>
      <c r="BC1294">
        <v>0.16</v>
      </c>
      <c r="BD1294">
        <v>77.52</v>
      </c>
      <c r="BE1294">
        <v>78.569999999999993</v>
      </c>
      <c r="BF1294">
        <v>77.58</v>
      </c>
      <c r="BG1294" t="s">
        <v>16397</v>
      </c>
      <c r="BH1294" t="s">
        <v>16398</v>
      </c>
      <c r="BI1294" t="s">
        <v>16399</v>
      </c>
      <c r="BJ1294" t="s">
        <v>101</v>
      </c>
      <c r="BK1294" t="s">
        <v>123</v>
      </c>
      <c r="BL1294" t="s">
        <v>7542</v>
      </c>
      <c r="BM1294" t="s">
        <v>14609</v>
      </c>
      <c r="BN1294" t="s">
        <v>14623</v>
      </c>
    </row>
    <row r="1295" spans="1:66" x14ac:dyDescent="0.25">
      <c r="A1295" t="str">
        <f>HYPERLINK("https://elite.finviz.com/quote.ashx?t=ELTX&amp;ty=c&amp;p=d&amp;b=1", "ELTX")</f>
        <v>ELTX</v>
      </c>
      <c r="B1295">
        <v>6</v>
      </c>
      <c r="C1295">
        <v>127.03</v>
      </c>
      <c r="D1295">
        <v>49.53</v>
      </c>
      <c r="E1295" t="s">
        <v>16400</v>
      </c>
      <c r="F1295" t="s">
        <v>107</v>
      </c>
      <c r="G1295" t="s">
        <v>428</v>
      </c>
      <c r="H1295" t="s">
        <v>429</v>
      </c>
      <c r="I1295" t="s">
        <v>70</v>
      </c>
      <c r="J1295" t="s">
        <v>321</v>
      </c>
      <c r="K1295">
        <v>177.6</v>
      </c>
      <c r="L1295">
        <v>10.87</v>
      </c>
      <c r="M1295" t="s">
        <v>4794</v>
      </c>
      <c r="N1295">
        <v>7400</v>
      </c>
      <c r="S1295">
        <v>96.39</v>
      </c>
      <c r="AA1295">
        <v>-4.18</v>
      </c>
      <c r="AB1295" t="s">
        <v>14654</v>
      </c>
      <c r="AC1295" t="s">
        <v>14013</v>
      </c>
      <c r="AD1295" t="s">
        <v>2546</v>
      </c>
      <c r="AI1295" t="s">
        <v>891</v>
      </c>
      <c r="AJ1295" t="s">
        <v>164</v>
      </c>
      <c r="AK1295" t="s">
        <v>7567</v>
      </c>
      <c r="AL1295">
        <v>2.2799999999999998</v>
      </c>
      <c r="AM1295">
        <v>2.2799999999999998</v>
      </c>
      <c r="AN1295">
        <v>8.14</v>
      </c>
      <c r="AR1295" t="s">
        <v>862</v>
      </c>
      <c r="AS1295" t="s">
        <v>3983</v>
      </c>
      <c r="AT1295" t="s">
        <v>8985</v>
      </c>
      <c r="AU1295" t="s">
        <v>1453</v>
      </c>
      <c r="AV1295" t="s">
        <v>16401</v>
      </c>
      <c r="AW1295" t="s">
        <v>16402</v>
      </c>
      <c r="AX1295" t="s">
        <v>1663</v>
      </c>
      <c r="AY1295" t="s">
        <v>16402</v>
      </c>
      <c r="AZ1295" t="s">
        <v>16403</v>
      </c>
      <c r="BA1295">
        <v>1</v>
      </c>
      <c r="BB1295">
        <v>82.76</v>
      </c>
      <c r="BC1295">
        <v>0.32</v>
      </c>
      <c r="BD1295">
        <v>10.85</v>
      </c>
      <c r="BE1295">
        <v>11.09</v>
      </c>
      <c r="BF1295">
        <v>10.69</v>
      </c>
      <c r="BG1295" t="s">
        <v>16404</v>
      </c>
      <c r="BH1295" t="s">
        <v>16405</v>
      </c>
      <c r="BI1295" t="s">
        <v>16406</v>
      </c>
      <c r="BJ1295" t="s">
        <v>101</v>
      </c>
      <c r="BK1295" t="s">
        <v>1306</v>
      </c>
      <c r="BL1295" t="s">
        <v>14693</v>
      </c>
      <c r="BM1295" t="s">
        <v>16407</v>
      </c>
      <c r="BN1295" t="s">
        <v>14623</v>
      </c>
    </row>
    <row r="1296" spans="1:66" x14ac:dyDescent="0.25">
      <c r="A1296" t="str">
        <f>HYPERLINK("https://elite.finviz.com/quote.ashx?t=PKBK&amp;ty=c&amp;p=d&amp;b=1", "PKBK")</f>
        <v>PKBK</v>
      </c>
      <c r="B1296">
        <v>6</v>
      </c>
      <c r="C1296">
        <v>127.03</v>
      </c>
      <c r="D1296">
        <v>49.55</v>
      </c>
      <c r="E1296" t="s">
        <v>16408</v>
      </c>
      <c r="F1296" t="s">
        <v>67</v>
      </c>
      <c r="G1296" t="s">
        <v>550</v>
      </c>
      <c r="H1296" t="s">
        <v>697</v>
      </c>
      <c r="I1296" t="s">
        <v>70</v>
      </c>
      <c r="J1296" t="s">
        <v>321</v>
      </c>
      <c r="K1296">
        <v>261.58999999999997</v>
      </c>
      <c r="L1296">
        <v>22.08</v>
      </c>
      <c r="M1296" t="s">
        <v>4237</v>
      </c>
      <c r="N1296">
        <v>2860</v>
      </c>
      <c r="O1296">
        <v>8.61</v>
      </c>
      <c r="R1296">
        <v>1.9</v>
      </c>
      <c r="S1296">
        <v>0.84</v>
      </c>
      <c r="T1296" t="s">
        <v>4499</v>
      </c>
      <c r="U1296">
        <v>0.72</v>
      </c>
      <c r="V1296" t="s">
        <v>4105</v>
      </c>
      <c r="W1296" t="s">
        <v>164</v>
      </c>
      <c r="X1296" t="s">
        <v>3433</v>
      </c>
      <c r="Y1296" t="s">
        <v>6527</v>
      </c>
      <c r="Z1296" t="s">
        <v>8984</v>
      </c>
      <c r="AA1296">
        <v>2.56</v>
      </c>
      <c r="AB1296" t="s">
        <v>8729</v>
      </c>
      <c r="AC1296" t="s">
        <v>580</v>
      </c>
      <c r="AE1296" t="s">
        <v>483</v>
      </c>
      <c r="AF1296" t="s">
        <v>5405</v>
      </c>
      <c r="AG1296" t="s">
        <v>290</v>
      </c>
      <c r="AH1296" t="s">
        <v>5082</v>
      </c>
      <c r="AJ1296" t="s">
        <v>3495</v>
      </c>
      <c r="AK1296" t="s">
        <v>16409</v>
      </c>
      <c r="AL1296">
        <v>0.18</v>
      </c>
      <c r="AN1296">
        <v>0.46</v>
      </c>
      <c r="AP1296" t="s">
        <v>1785</v>
      </c>
      <c r="AQ1296" t="s">
        <v>8712</v>
      </c>
      <c r="AR1296" t="s">
        <v>206</v>
      </c>
      <c r="AS1296" t="s">
        <v>6493</v>
      </c>
      <c r="AT1296" t="s">
        <v>2768</v>
      </c>
      <c r="AU1296" t="s">
        <v>102</v>
      </c>
      <c r="AV1296" t="s">
        <v>605</v>
      </c>
      <c r="AW1296" t="s">
        <v>4289</v>
      </c>
      <c r="AX1296" t="s">
        <v>4288</v>
      </c>
      <c r="AY1296" t="s">
        <v>9889</v>
      </c>
      <c r="AZ1296" t="s">
        <v>329</v>
      </c>
      <c r="BA1296">
        <v>2</v>
      </c>
      <c r="BB1296">
        <v>29.66</v>
      </c>
      <c r="BC1296">
        <v>0.34</v>
      </c>
      <c r="BD1296">
        <v>22.07</v>
      </c>
      <c r="BE1296">
        <v>22.2</v>
      </c>
      <c r="BF1296">
        <v>22.1</v>
      </c>
      <c r="BG1296" t="s">
        <v>16410</v>
      </c>
      <c r="BH1296" t="s">
        <v>3917</v>
      </c>
      <c r="BI1296" t="s">
        <v>16411</v>
      </c>
      <c r="BJ1296" t="s">
        <v>101</v>
      </c>
      <c r="BK1296" t="s">
        <v>4999</v>
      </c>
      <c r="BL1296" t="s">
        <v>16280</v>
      </c>
      <c r="BM1296" t="s">
        <v>2316</v>
      </c>
      <c r="BN1296" t="s">
        <v>14623</v>
      </c>
    </row>
    <row r="1297" spans="1:66" x14ac:dyDescent="0.25">
      <c r="A1297" t="str">
        <f>HYPERLINK("https://elite.finviz.com/quote.ashx?t=FTEK&amp;ty=c&amp;p=d&amp;b=1", "FTEK")</f>
        <v>FTEK</v>
      </c>
      <c r="B1297">
        <v>6</v>
      </c>
      <c r="C1297">
        <v>127.03</v>
      </c>
      <c r="D1297">
        <v>49.55</v>
      </c>
      <c r="E1297" t="s">
        <v>16412</v>
      </c>
      <c r="F1297" t="s">
        <v>107</v>
      </c>
      <c r="G1297" t="s">
        <v>260</v>
      </c>
      <c r="H1297" t="s">
        <v>4347</v>
      </c>
      <c r="I1297" t="s">
        <v>70</v>
      </c>
      <c r="J1297" t="s">
        <v>321</v>
      </c>
      <c r="K1297">
        <v>96.11</v>
      </c>
      <c r="L1297">
        <v>3.09</v>
      </c>
      <c r="M1297" t="s">
        <v>6572</v>
      </c>
      <c r="N1297">
        <v>35321</v>
      </c>
      <c r="R1297">
        <v>3.83</v>
      </c>
      <c r="S1297">
        <v>2.37</v>
      </c>
      <c r="AA1297">
        <v>-0.11</v>
      </c>
      <c r="AC1297" t="s">
        <v>7177</v>
      </c>
      <c r="AE1297" t="s">
        <v>11628</v>
      </c>
      <c r="AF1297" t="s">
        <v>102</v>
      </c>
      <c r="AG1297" t="s">
        <v>4704</v>
      </c>
      <c r="AH1297" t="s">
        <v>16413</v>
      </c>
      <c r="AI1297" t="s">
        <v>10378</v>
      </c>
      <c r="AJ1297" t="s">
        <v>5549</v>
      </c>
      <c r="AK1297" t="s">
        <v>3413</v>
      </c>
      <c r="AL1297">
        <v>5.82</v>
      </c>
      <c r="AM1297">
        <v>5.71</v>
      </c>
      <c r="AN1297">
        <v>0.02</v>
      </c>
      <c r="AO1297" t="s">
        <v>3149</v>
      </c>
      <c r="AP1297" t="s">
        <v>15097</v>
      </c>
      <c r="AQ1297" t="s">
        <v>4214</v>
      </c>
      <c r="AR1297" t="s">
        <v>1370</v>
      </c>
      <c r="AS1297" t="s">
        <v>3455</v>
      </c>
      <c r="AT1297" t="s">
        <v>2190</v>
      </c>
      <c r="AU1297" t="s">
        <v>1950</v>
      </c>
      <c r="AV1297" t="s">
        <v>16414</v>
      </c>
      <c r="AW1297" t="s">
        <v>15935</v>
      </c>
      <c r="AX1297" t="s">
        <v>7342</v>
      </c>
      <c r="AY1297" t="s">
        <v>15935</v>
      </c>
      <c r="AZ1297" t="s">
        <v>16415</v>
      </c>
      <c r="BA1297">
        <v>1</v>
      </c>
      <c r="BB1297">
        <v>414.65</v>
      </c>
      <c r="BC1297">
        <v>0.3</v>
      </c>
      <c r="BD1297">
        <v>3.07</v>
      </c>
      <c r="BE1297">
        <v>3.23</v>
      </c>
      <c r="BF1297">
        <v>3.06</v>
      </c>
      <c r="BG1297" t="s">
        <v>16416</v>
      </c>
      <c r="BH1297" t="s">
        <v>16417</v>
      </c>
      <c r="BI1297" t="s">
        <v>16418</v>
      </c>
      <c r="BJ1297" t="s">
        <v>101</v>
      </c>
      <c r="BK1297" t="s">
        <v>1562</v>
      </c>
      <c r="BL1297" t="s">
        <v>16419</v>
      </c>
      <c r="BM1297" t="s">
        <v>16420</v>
      </c>
      <c r="BN1297" t="s">
        <v>14623</v>
      </c>
    </row>
    <row r="1298" spans="1:66" x14ac:dyDescent="0.25">
      <c r="A1298" t="str">
        <f>HYPERLINK("https://elite.finviz.com/quote.ashx?t=PH&amp;ty=c&amp;p=d&amp;b=1", "PH")</f>
        <v>PH</v>
      </c>
      <c r="B1298">
        <v>6</v>
      </c>
      <c r="C1298">
        <v>127.03</v>
      </c>
      <c r="D1298">
        <v>49.6</v>
      </c>
      <c r="E1298" t="s">
        <v>16421</v>
      </c>
      <c r="F1298" t="s">
        <v>195</v>
      </c>
      <c r="G1298" t="s">
        <v>260</v>
      </c>
      <c r="H1298" t="s">
        <v>261</v>
      </c>
      <c r="I1298" t="s">
        <v>70</v>
      </c>
      <c r="J1298" t="s">
        <v>71</v>
      </c>
      <c r="K1298">
        <v>94911.85</v>
      </c>
      <c r="L1298">
        <v>750.03</v>
      </c>
      <c r="M1298" t="s">
        <v>1022</v>
      </c>
      <c r="N1298">
        <v>54070</v>
      </c>
      <c r="O1298">
        <v>27.65</v>
      </c>
      <c r="P1298">
        <v>23.53</v>
      </c>
      <c r="Q1298">
        <v>3.38</v>
      </c>
      <c r="R1298">
        <v>4.78</v>
      </c>
      <c r="S1298">
        <v>6.94</v>
      </c>
      <c r="T1298" t="s">
        <v>2881</v>
      </c>
      <c r="U1298">
        <v>6.86</v>
      </c>
      <c r="V1298" t="s">
        <v>2187</v>
      </c>
      <c r="W1298" t="s">
        <v>7669</v>
      </c>
      <c r="X1298" t="s">
        <v>10794</v>
      </c>
      <c r="Y1298" t="s">
        <v>6084</v>
      </c>
      <c r="Z1298" t="s">
        <v>1719</v>
      </c>
      <c r="AA1298">
        <v>27.13</v>
      </c>
      <c r="AB1298" t="s">
        <v>7716</v>
      </c>
      <c r="AC1298" t="s">
        <v>10854</v>
      </c>
      <c r="AD1298" t="s">
        <v>7511</v>
      </c>
      <c r="AE1298" t="s">
        <v>2486</v>
      </c>
      <c r="AF1298" t="s">
        <v>4114</v>
      </c>
      <c r="AG1298" t="s">
        <v>8155</v>
      </c>
      <c r="AH1298" t="s">
        <v>344</v>
      </c>
      <c r="AI1298" t="s">
        <v>5579</v>
      </c>
      <c r="AJ1298" t="s">
        <v>7455</v>
      </c>
      <c r="AK1298" t="s">
        <v>16422</v>
      </c>
      <c r="AL1298">
        <v>1.19</v>
      </c>
      <c r="AM1298">
        <v>0.71</v>
      </c>
      <c r="AN1298">
        <v>0.69</v>
      </c>
      <c r="AO1298" t="s">
        <v>13639</v>
      </c>
      <c r="AP1298" t="s">
        <v>6969</v>
      </c>
      <c r="AQ1298" t="s">
        <v>1844</v>
      </c>
      <c r="AR1298" t="s">
        <v>2217</v>
      </c>
      <c r="AS1298" t="s">
        <v>2195</v>
      </c>
      <c r="AT1298" t="s">
        <v>9084</v>
      </c>
      <c r="AU1298" t="s">
        <v>2125</v>
      </c>
      <c r="AV1298" t="s">
        <v>6923</v>
      </c>
      <c r="AW1298" t="s">
        <v>82</v>
      </c>
      <c r="AX1298" t="s">
        <v>8050</v>
      </c>
      <c r="AY1298" t="s">
        <v>82</v>
      </c>
      <c r="AZ1298" t="s">
        <v>1478</v>
      </c>
      <c r="BA1298">
        <v>1.85</v>
      </c>
      <c r="BB1298">
        <v>635.33000000000004</v>
      </c>
      <c r="BC1298">
        <v>0.3</v>
      </c>
      <c r="BD1298">
        <v>745.08</v>
      </c>
      <c r="BE1298">
        <v>755</v>
      </c>
      <c r="BF1298">
        <v>748.03</v>
      </c>
      <c r="BG1298" t="s">
        <v>16423</v>
      </c>
      <c r="BH1298" t="s">
        <v>82</v>
      </c>
      <c r="BI1298" t="s">
        <v>16424</v>
      </c>
      <c r="BJ1298" t="s">
        <v>101</v>
      </c>
      <c r="BK1298" t="s">
        <v>2869</v>
      </c>
      <c r="BL1298" t="s">
        <v>12334</v>
      </c>
      <c r="BM1298" t="s">
        <v>8241</v>
      </c>
      <c r="BN1298" t="s">
        <v>14623</v>
      </c>
    </row>
    <row r="1299" spans="1:66" x14ac:dyDescent="0.25">
      <c r="A1299" t="str">
        <f>HYPERLINK("https://elite.finviz.com/quote.ashx?t=HBCP&amp;ty=c&amp;p=d&amp;b=1", "HBCP")</f>
        <v>HBCP</v>
      </c>
      <c r="B1299">
        <v>6</v>
      </c>
      <c r="C1299">
        <v>127.03</v>
      </c>
      <c r="D1299">
        <v>49.61</v>
      </c>
      <c r="E1299" t="s">
        <v>16425</v>
      </c>
      <c r="F1299" t="s">
        <v>67</v>
      </c>
      <c r="G1299" t="s">
        <v>550</v>
      </c>
      <c r="H1299" t="s">
        <v>697</v>
      </c>
      <c r="I1299" t="s">
        <v>70</v>
      </c>
      <c r="J1299" t="s">
        <v>321</v>
      </c>
      <c r="K1299">
        <v>431.73</v>
      </c>
      <c r="L1299">
        <v>55.17</v>
      </c>
      <c r="M1299" t="s">
        <v>1547</v>
      </c>
      <c r="N1299">
        <v>3764</v>
      </c>
      <c r="O1299">
        <v>10.58</v>
      </c>
      <c r="P1299">
        <v>9.92</v>
      </c>
      <c r="R1299">
        <v>2.1</v>
      </c>
      <c r="S1299">
        <v>1.05</v>
      </c>
      <c r="T1299" t="s">
        <v>5258</v>
      </c>
      <c r="U1299">
        <v>1.0900000000000001</v>
      </c>
      <c r="V1299" t="s">
        <v>4827</v>
      </c>
      <c r="W1299" t="s">
        <v>1457</v>
      </c>
      <c r="X1299" t="s">
        <v>3205</v>
      </c>
      <c r="Y1299" t="s">
        <v>749</v>
      </c>
      <c r="Z1299" t="s">
        <v>829</v>
      </c>
      <c r="AA1299">
        <v>5.22</v>
      </c>
      <c r="AB1299" t="s">
        <v>5428</v>
      </c>
      <c r="AC1299" t="s">
        <v>6421</v>
      </c>
      <c r="AE1299" t="s">
        <v>8727</v>
      </c>
      <c r="AF1299" t="s">
        <v>1005</v>
      </c>
      <c r="AG1299" t="s">
        <v>4565</v>
      </c>
      <c r="AH1299" t="s">
        <v>1772</v>
      </c>
      <c r="AI1299" t="s">
        <v>6968</v>
      </c>
      <c r="AJ1299" t="s">
        <v>7346</v>
      </c>
      <c r="AK1299" t="s">
        <v>16426</v>
      </c>
      <c r="AL1299">
        <v>7.0000000000000007E-2</v>
      </c>
      <c r="AN1299">
        <v>0.36</v>
      </c>
      <c r="AP1299" t="s">
        <v>6792</v>
      </c>
      <c r="AQ1299" t="s">
        <v>9140</v>
      </c>
      <c r="AR1299" t="s">
        <v>1129</v>
      </c>
      <c r="AS1299" t="s">
        <v>714</v>
      </c>
      <c r="AT1299" t="s">
        <v>3113</v>
      </c>
      <c r="AU1299" t="s">
        <v>4902</v>
      </c>
      <c r="AV1299" t="s">
        <v>6168</v>
      </c>
      <c r="AW1299" t="s">
        <v>6798</v>
      </c>
      <c r="AX1299" t="s">
        <v>10407</v>
      </c>
      <c r="AY1299" t="s">
        <v>6798</v>
      </c>
      <c r="AZ1299" t="s">
        <v>16235</v>
      </c>
      <c r="BA1299">
        <v>2.25</v>
      </c>
      <c r="BB1299">
        <v>41.42</v>
      </c>
      <c r="BC1299">
        <v>0.32</v>
      </c>
      <c r="BD1299">
        <v>55.22</v>
      </c>
      <c r="BE1299">
        <v>55.24</v>
      </c>
      <c r="BF1299">
        <v>54.9</v>
      </c>
      <c r="BG1299" t="s">
        <v>16427</v>
      </c>
      <c r="BH1299" t="s">
        <v>6798</v>
      </c>
      <c r="BI1299" t="s">
        <v>16428</v>
      </c>
      <c r="BJ1299" t="s">
        <v>101</v>
      </c>
      <c r="BK1299" t="s">
        <v>6106</v>
      </c>
      <c r="BL1299" t="s">
        <v>16429</v>
      </c>
      <c r="BM1299" t="s">
        <v>1670</v>
      </c>
      <c r="BN1299" t="s">
        <v>14623</v>
      </c>
    </row>
    <row r="1300" spans="1:66" x14ac:dyDescent="0.25">
      <c r="A1300" t="str">
        <f>HYPERLINK("https://elite.finviz.com/quote.ashx?t=SXI&amp;ty=c&amp;p=d&amp;b=1", "SXI")</f>
        <v>SXI</v>
      </c>
      <c r="B1300">
        <v>6</v>
      </c>
      <c r="C1300">
        <v>127.03</v>
      </c>
      <c r="D1300">
        <v>49.61</v>
      </c>
      <c r="E1300" t="s">
        <v>16430</v>
      </c>
      <c r="F1300" t="s">
        <v>67</v>
      </c>
      <c r="G1300" t="s">
        <v>260</v>
      </c>
      <c r="H1300" t="s">
        <v>261</v>
      </c>
      <c r="I1300" t="s">
        <v>70</v>
      </c>
      <c r="J1300" t="s">
        <v>71</v>
      </c>
      <c r="K1300">
        <v>2443.77</v>
      </c>
      <c r="L1300">
        <v>202.06</v>
      </c>
      <c r="M1300" t="s">
        <v>6156</v>
      </c>
      <c r="N1300">
        <v>11449</v>
      </c>
      <c r="O1300">
        <v>43.53</v>
      </c>
      <c r="P1300">
        <v>19.93</v>
      </c>
      <c r="R1300">
        <v>3.09</v>
      </c>
      <c r="S1300">
        <v>3.4</v>
      </c>
      <c r="T1300" t="s">
        <v>4840</v>
      </c>
      <c r="U1300">
        <v>1.28</v>
      </c>
      <c r="V1300" t="s">
        <v>1762</v>
      </c>
      <c r="W1300" t="s">
        <v>11629</v>
      </c>
      <c r="X1300" t="s">
        <v>3181</v>
      </c>
      <c r="Y1300" t="s">
        <v>223</v>
      </c>
      <c r="Z1300" t="s">
        <v>16431</v>
      </c>
      <c r="AA1300">
        <v>4.6399999999999997</v>
      </c>
      <c r="AB1300" t="s">
        <v>5245</v>
      </c>
      <c r="AC1300" t="s">
        <v>699</v>
      </c>
      <c r="AE1300" t="s">
        <v>127</v>
      </c>
      <c r="AF1300" t="s">
        <v>3208</v>
      </c>
      <c r="AG1300" t="s">
        <v>2370</v>
      </c>
      <c r="AH1300" t="s">
        <v>4541</v>
      </c>
      <c r="AI1300" t="s">
        <v>2428</v>
      </c>
      <c r="AJ1300" t="s">
        <v>7526</v>
      </c>
      <c r="AK1300" t="s">
        <v>13264</v>
      </c>
      <c r="AL1300">
        <v>2.88</v>
      </c>
      <c r="AM1300">
        <v>2.1</v>
      </c>
      <c r="AN1300">
        <v>0.85</v>
      </c>
      <c r="AO1300" t="s">
        <v>16432</v>
      </c>
      <c r="AP1300" t="s">
        <v>310</v>
      </c>
      <c r="AQ1300" t="s">
        <v>2869</v>
      </c>
      <c r="AR1300" t="s">
        <v>4154</v>
      </c>
      <c r="AS1300" t="s">
        <v>5256</v>
      </c>
      <c r="AT1300" t="s">
        <v>298</v>
      </c>
      <c r="AU1300" t="s">
        <v>1148</v>
      </c>
      <c r="AV1300" t="s">
        <v>3875</v>
      </c>
      <c r="AW1300" t="s">
        <v>5137</v>
      </c>
      <c r="AX1300" t="s">
        <v>9454</v>
      </c>
      <c r="AY1300" t="s">
        <v>5137</v>
      </c>
      <c r="AZ1300" t="s">
        <v>958</v>
      </c>
      <c r="BA1300">
        <v>1</v>
      </c>
      <c r="BB1300">
        <v>116.56</v>
      </c>
      <c r="BC1300">
        <v>0.35</v>
      </c>
      <c r="BD1300">
        <v>201.74</v>
      </c>
      <c r="BE1300">
        <v>202.97</v>
      </c>
      <c r="BF1300">
        <v>201.39</v>
      </c>
      <c r="BG1300" t="s">
        <v>16433</v>
      </c>
      <c r="BH1300" t="s">
        <v>5137</v>
      </c>
      <c r="BI1300" t="s">
        <v>16434</v>
      </c>
      <c r="BJ1300" t="s">
        <v>101</v>
      </c>
      <c r="BK1300" t="s">
        <v>16431</v>
      </c>
      <c r="BL1300" t="s">
        <v>6406</v>
      </c>
      <c r="BM1300" t="s">
        <v>10221</v>
      </c>
      <c r="BN1300" t="s">
        <v>14623</v>
      </c>
    </row>
    <row r="1301" spans="1:66" x14ac:dyDescent="0.25">
      <c r="A1301" t="str">
        <f>HYPERLINK("https://elite.finviz.com/quote.ashx?t=NNI&amp;ty=c&amp;p=d&amp;b=1", "NNI")</f>
        <v>NNI</v>
      </c>
      <c r="B1301">
        <v>6</v>
      </c>
      <c r="C1301">
        <v>127.03</v>
      </c>
      <c r="D1301">
        <v>49.63</v>
      </c>
      <c r="E1301" t="s">
        <v>16435</v>
      </c>
      <c r="F1301" t="s">
        <v>67</v>
      </c>
      <c r="G1301" t="s">
        <v>550</v>
      </c>
      <c r="H1301" t="s">
        <v>3744</v>
      </c>
      <c r="I1301" t="s">
        <v>70</v>
      </c>
      <c r="J1301" t="s">
        <v>71</v>
      </c>
      <c r="K1301">
        <v>4559.7</v>
      </c>
      <c r="L1301">
        <v>126.05</v>
      </c>
      <c r="M1301" t="s">
        <v>7709</v>
      </c>
      <c r="N1301">
        <v>8511</v>
      </c>
      <c r="O1301">
        <v>14.21</v>
      </c>
      <c r="P1301">
        <v>14.66</v>
      </c>
      <c r="R1301">
        <v>2.0299999999999998</v>
      </c>
      <c r="S1301">
        <v>1.28</v>
      </c>
      <c r="T1301" t="s">
        <v>2125</v>
      </c>
      <c r="U1301">
        <v>1.1399999999999999</v>
      </c>
      <c r="V1301" t="s">
        <v>2187</v>
      </c>
      <c r="W1301" t="s">
        <v>5210</v>
      </c>
      <c r="X1301" t="s">
        <v>2796</v>
      </c>
      <c r="Y1301" t="s">
        <v>848</v>
      </c>
      <c r="Z1301" t="s">
        <v>3666</v>
      </c>
      <c r="AA1301">
        <v>8.8699999999999992</v>
      </c>
      <c r="AB1301" t="s">
        <v>15857</v>
      </c>
      <c r="AC1301" t="s">
        <v>7150</v>
      </c>
      <c r="AE1301" t="s">
        <v>3389</v>
      </c>
      <c r="AF1301" t="s">
        <v>7114</v>
      </c>
      <c r="AG1301" t="s">
        <v>901</v>
      </c>
      <c r="AH1301" t="s">
        <v>1239</v>
      </c>
      <c r="AI1301" t="s">
        <v>16436</v>
      </c>
      <c r="AJ1301" t="s">
        <v>4538</v>
      </c>
      <c r="AK1301" t="s">
        <v>2166</v>
      </c>
      <c r="AL1301">
        <v>3.32</v>
      </c>
      <c r="AM1301">
        <v>3.32</v>
      </c>
      <c r="AN1301">
        <v>2.21</v>
      </c>
      <c r="AO1301" t="s">
        <v>16437</v>
      </c>
      <c r="AP1301" t="s">
        <v>14773</v>
      </c>
      <c r="AQ1301" t="s">
        <v>6474</v>
      </c>
      <c r="AR1301" t="s">
        <v>2217</v>
      </c>
      <c r="AS1301" t="s">
        <v>679</v>
      </c>
      <c r="AT1301" t="s">
        <v>1554</v>
      </c>
      <c r="AU1301" t="s">
        <v>822</v>
      </c>
      <c r="AV1301" t="s">
        <v>9623</v>
      </c>
      <c r="AW1301" t="s">
        <v>5703</v>
      </c>
      <c r="AX1301" t="s">
        <v>1691</v>
      </c>
      <c r="AY1301" t="s">
        <v>5703</v>
      </c>
      <c r="AZ1301" t="s">
        <v>9386</v>
      </c>
      <c r="BA1301">
        <v>3</v>
      </c>
      <c r="BB1301">
        <v>90.36</v>
      </c>
      <c r="BC1301">
        <v>0.33</v>
      </c>
      <c r="BD1301">
        <v>126.08</v>
      </c>
      <c r="BE1301">
        <v>126.62</v>
      </c>
      <c r="BF1301">
        <v>125.43</v>
      </c>
      <c r="BG1301" t="s">
        <v>16438</v>
      </c>
      <c r="BH1301" t="s">
        <v>5703</v>
      </c>
      <c r="BI1301" t="s">
        <v>16439</v>
      </c>
      <c r="BJ1301" t="s">
        <v>101</v>
      </c>
      <c r="BK1301" t="s">
        <v>2523</v>
      </c>
      <c r="BL1301" t="s">
        <v>6573</v>
      </c>
      <c r="BM1301" t="s">
        <v>8059</v>
      </c>
      <c r="BN1301" t="s">
        <v>14623</v>
      </c>
    </row>
    <row r="1302" spans="1:66" x14ac:dyDescent="0.25">
      <c r="A1302" t="str">
        <f>HYPERLINK("https://elite.finviz.com/quote.ashx?t=TRNO&amp;ty=c&amp;p=d&amp;b=1", "TRNO")</f>
        <v>TRNO</v>
      </c>
      <c r="B1302">
        <v>6</v>
      </c>
      <c r="C1302">
        <v>127.03</v>
      </c>
      <c r="D1302">
        <v>49.63</v>
      </c>
      <c r="E1302" t="s">
        <v>16440</v>
      </c>
      <c r="F1302" t="s">
        <v>67</v>
      </c>
      <c r="G1302" t="s">
        <v>68</v>
      </c>
      <c r="H1302" t="s">
        <v>6342</v>
      </c>
      <c r="I1302" t="s">
        <v>70</v>
      </c>
      <c r="J1302" t="s">
        <v>71</v>
      </c>
      <c r="K1302">
        <v>5942.94</v>
      </c>
      <c r="L1302">
        <v>57.53</v>
      </c>
      <c r="M1302" t="s">
        <v>2560</v>
      </c>
      <c r="N1302">
        <v>86574</v>
      </c>
      <c r="O1302">
        <v>22.9</v>
      </c>
      <c r="P1302">
        <v>36.18</v>
      </c>
      <c r="R1302">
        <v>13.95</v>
      </c>
      <c r="S1302">
        <v>1.5</v>
      </c>
      <c r="T1302" t="s">
        <v>1926</v>
      </c>
      <c r="U1302">
        <v>1.9</v>
      </c>
      <c r="V1302" t="s">
        <v>2598</v>
      </c>
      <c r="W1302" t="s">
        <v>237</v>
      </c>
      <c r="X1302" t="s">
        <v>8564</v>
      </c>
      <c r="Y1302" t="s">
        <v>3560</v>
      </c>
      <c r="Z1302" t="s">
        <v>16441</v>
      </c>
      <c r="AA1302">
        <v>2.5099999999999998</v>
      </c>
      <c r="AB1302" t="s">
        <v>9096</v>
      </c>
      <c r="AC1302" t="s">
        <v>3117</v>
      </c>
      <c r="AD1302" t="s">
        <v>1119</v>
      </c>
      <c r="AE1302" t="s">
        <v>1255</v>
      </c>
      <c r="AF1302" t="s">
        <v>7789</v>
      </c>
      <c r="AG1302" t="s">
        <v>10695</v>
      </c>
      <c r="AH1302" t="s">
        <v>8558</v>
      </c>
      <c r="AI1302" t="s">
        <v>16442</v>
      </c>
      <c r="AJ1302" t="s">
        <v>7346</v>
      </c>
      <c r="AK1302" t="s">
        <v>16443</v>
      </c>
      <c r="AL1302">
        <v>2.1</v>
      </c>
      <c r="AM1302">
        <v>2.1</v>
      </c>
      <c r="AN1302">
        <v>0.22</v>
      </c>
      <c r="AO1302" t="s">
        <v>8699</v>
      </c>
      <c r="AP1302" t="s">
        <v>16444</v>
      </c>
      <c r="AQ1302" t="s">
        <v>5525</v>
      </c>
      <c r="AR1302" t="s">
        <v>4891</v>
      </c>
      <c r="AS1302" t="s">
        <v>5968</v>
      </c>
      <c r="AT1302" t="s">
        <v>8634</v>
      </c>
      <c r="AU1302" t="s">
        <v>6056</v>
      </c>
      <c r="AV1302" t="s">
        <v>9254</v>
      </c>
      <c r="AW1302" t="s">
        <v>2109</v>
      </c>
      <c r="AX1302" t="s">
        <v>637</v>
      </c>
      <c r="AY1302" t="s">
        <v>16445</v>
      </c>
      <c r="AZ1302" t="s">
        <v>850</v>
      </c>
      <c r="BA1302">
        <v>2.25</v>
      </c>
      <c r="BB1302">
        <v>834.56</v>
      </c>
      <c r="BC1302">
        <v>0.37</v>
      </c>
      <c r="BD1302">
        <v>57.43</v>
      </c>
      <c r="BE1302">
        <v>57.99</v>
      </c>
      <c r="BF1302">
        <v>57.35</v>
      </c>
      <c r="BG1302" t="s">
        <v>16446</v>
      </c>
      <c r="BH1302" t="s">
        <v>3403</v>
      </c>
      <c r="BI1302" t="s">
        <v>16447</v>
      </c>
      <c r="BJ1302" t="s">
        <v>101</v>
      </c>
      <c r="BK1302" t="s">
        <v>179</v>
      </c>
      <c r="BL1302" t="s">
        <v>6227</v>
      </c>
      <c r="BM1302" t="s">
        <v>16448</v>
      </c>
      <c r="BN1302" t="s">
        <v>14623</v>
      </c>
    </row>
    <row r="1303" spans="1:66" x14ac:dyDescent="0.25">
      <c r="A1303" t="str">
        <f>HYPERLINK("https://elite.finviz.com/quote.ashx?t=DEA&amp;ty=c&amp;p=d&amp;b=1", "DEA")</f>
        <v>DEA</v>
      </c>
      <c r="B1303">
        <v>6</v>
      </c>
      <c r="C1303">
        <v>127.03</v>
      </c>
      <c r="D1303">
        <v>49.65</v>
      </c>
      <c r="E1303" t="s">
        <v>16449</v>
      </c>
      <c r="F1303" t="s">
        <v>67</v>
      </c>
      <c r="G1303" t="s">
        <v>68</v>
      </c>
      <c r="H1303" t="s">
        <v>69</v>
      </c>
      <c r="I1303" t="s">
        <v>70</v>
      </c>
      <c r="J1303" t="s">
        <v>71</v>
      </c>
      <c r="K1303">
        <v>1039.48</v>
      </c>
      <c r="L1303">
        <v>22.92</v>
      </c>
      <c r="M1303" t="s">
        <v>4271</v>
      </c>
      <c r="N1303">
        <v>82555</v>
      </c>
      <c r="O1303">
        <v>58.24</v>
      </c>
      <c r="P1303">
        <v>36.380000000000003</v>
      </c>
      <c r="Q1303">
        <v>4.0999999999999996</v>
      </c>
      <c r="R1303">
        <v>3.29</v>
      </c>
      <c r="S1303">
        <v>0.78</v>
      </c>
      <c r="T1303" t="s">
        <v>2848</v>
      </c>
      <c r="U1303">
        <v>1.89</v>
      </c>
      <c r="V1303" t="s">
        <v>8649</v>
      </c>
      <c r="W1303" t="s">
        <v>164</v>
      </c>
      <c r="X1303" t="s">
        <v>3226</v>
      </c>
      <c r="Y1303" t="s">
        <v>3226</v>
      </c>
      <c r="Z1303" t="s">
        <v>16450</v>
      </c>
      <c r="AA1303">
        <v>0.39</v>
      </c>
      <c r="AB1303" t="s">
        <v>16451</v>
      </c>
      <c r="AC1303" t="s">
        <v>2365</v>
      </c>
      <c r="AD1303" t="s">
        <v>3420</v>
      </c>
      <c r="AE1303" t="s">
        <v>2492</v>
      </c>
      <c r="AF1303" t="s">
        <v>1391</v>
      </c>
      <c r="AG1303" t="s">
        <v>4476</v>
      </c>
      <c r="AH1303" t="s">
        <v>6124</v>
      </c>
      <c r="AI1303" t="s">
        <v>2930</v>
      </c>
      <c r="AJ1303" t="s">
        <v>2215</v>
      </c>
      <c r="AK1303" t="s">
        <v>16452</v>
      </c>
      <c r="AL1303">
        <v>25.44</v>
      </c>
      <c r="AM1303">
        <v>25.44</v>
      </c>
      <c r="AN1303">
        <v>1.3</v>
      </c>
      <c r="AO1303" t="s">
        <v>3816</v>
      </c>
      <c r="AP1303" t="s">
        <v>4962</v>
      </c>
      <c r="AQ1303" t="s">
        <v>3957</v>
      </c>
      <c r="AR1303" t="s">
        <v>4891</v>
      </c>
      <c r="AS1303" t="s">
        <v>3544</v>
      </c>
      <c r="AT1303" t="s">
        <v>8634</v>
      </c>
      <c r="AU1303" t="s">
        <v>2610</v>
      </c>
      <c r="AV1303" t="s">
        <v>2593</v>
      </c>
      <c r="AW1303" t="s">
        <v>3005</v>
      </c>
      <c r="AX1303" t="s">
        <v>5152</v>
      </c>
      <c r="AY1303" t="s">
        <v>6418</v>
      </c>
      <c r="AZ1303" t="s">
        <v>731</v>
      </c>
      <c r="BA1303">
        <v>3</v>
      </c>
      <c r="BB1303">
        <v>508.9</v>
      </c>
      <c r="BC1303">
        <v>0.56999999999999995</v>
      </c>
      <c r="BD1303">
        <v>22.8</v>
      </c>
      <c r="BE1303">
        <v>23.05</v>
      </c>
      <c r="BF1303">
        <v>22.9</v>
      </c>
      <c r="BG1303" t="s">
        <v>16453</v>
      </c>
      <c r="BH1303" t="s">
        <v>16454</v>
      </c>
      <c r="BI1303" t="s">
        <v>731</v>
      </c>
      <c r="BJ1303" t="s">
        <v>101</v>
      </c>
      <c r="BK1303" t="s">
        <v>295</v>
      </c>
      <c r="BL1303" t="s">
        <v>5714</v>
      </c>
      <c r="BM1303" t="s">
        <v>14007</v>
      </c>
      <c r="BN1303" t="s">
        <v>14623</v>
      </c>
    </row>
    <row r="1304" spans="1:66" x14ac:dyDescent="0.25">
      <c r="A1304" t="str">
        <f>HYPERLINK("https://elite.finviz.com/quote.ashx?t=MLM&amp;ty=c&amp;p=d&amp;b=1", "MLM")</f>
        <v>MLM</v>
      </c>
      <c r="B1304">
        <v>6</v>
      </c>
      <c r="C1304">
        <v>127.03</v>
      </c>
      <c r="D1304">
        <v>49.66</v>
      </c>
      <c r="E1304" t="s">
        <v>16455</v>
      </c>
      <c r="F1304" t="s">
        <v>195</v>
      </c>
      <c r="G1304" t="s">
        <v>355</v>
      </c>
      <c r="H1304" t="s">
        <v>7681</v>
      </c>
      <c r="I1304" t="s">
        <v>70</v>
      </c>
      <c r="J1304" t="s">
        <v>71</v>
      </c>
      <c r="K1304">
        <v>36825.050000000003</v>
      </c>
      <c r="L1304">
        <v>610.64</v>
      </c>
      <c r="M1304" t="s">
        <v>1409</v>
      </c>
      <c r="N1304">
        <v>43464</v>
      </c>
      <c r="O1304">
        <v>33.83</v>
      </c>
      <c r="P1304">
        <v>27.76</v>
      </c>
      <c r="Q1304">
        <v>2.72</v>
      </c>
      <c r="R1304">
        <v>5.51</v>
      </c>
      <c r="S1304">
        <v>3.93</v>
      </c>
      <c r="T1304" t="s">
        <v>2362</v>
      </c>
      <c r="U1304">
        <v>3.2</v>
      </c>
      <c r="V1304" t="s">
        <v>2187</v>
      </c>
      <c r="W1304" t="s">
        <v>7387</v>
      </c>
      <c r="X1304" t="s">
        <v>1960</v>
      </c>
      <c r="Y1304" t="s">
        <v>3100</v>
      </c>
      <c r="Z1304" t="s">
        <v>5308</v>
      </c>
      <c r="AA1304">
        <v>18.05</v>
      </c>
      <c r="AB1304" t="s">
        <v>12705</v>
      </c>
      <c r="AC1304" t="s">
        <v>16431</v>
      </c>
      <c r="AD1304" t="s">
        <v>6530</v>
      </c>
      <c r="AE1304" t="s">
        <v>5577</v>
      </c>
      <c r="AF1304" t="s">
        <v>2398</v>
      </c>
      <c r="AG1304" t="s">
        <v>521</v>
      </c>
      <c r="AH1304" t="s">
        <v>89</v>
      </c>
      <c r="AI1304" t="s">
        <v>2876</v>
      </c>
      <c r="AJ1304" t="s">
        <v>2294</v>
      </c>
      <c r="AK1304" t="s">
        <v>11759</v>
      </c>
      <c r="AL1304">
        <v>2.35</v>
      </c>
      <c r="AM1304">
        <v>1.21</v>
      </c>
      <c r="AN1304">
        <v>0.62</v>
      </c>
      <c r="AO1304" t="s">
        <v>5184</v>
      </c>
      <c r="AP1304" t="s">
        <v>12482</v>
      </c>
      <c r="AQ1304" t="s">
        <v>1464</v>
      </c>
      <c r="AR1304" t="s">
        <v>5084</v>
      </c>
      <c r="AS1304" t="s">
        <v>7338</v>
      </c>
      <c r="AT1304" t="s">
        <v>2694</v>
      </c>
      <c r="AU1304" t="s">
        <v>4902</v>
      </c>
      <c r="AV1304" t="s">
        <v>2392</v>
      </c>
      <c r="AW1304" t="s">
        <v>12274</v>
      </c>
      <c r="AX1304" t="s">
        <v>6530</v>
      </c>
      <c r="AY1304" t="s">
        <v>11513</v>
      </c>
      <c r="AZ1304" t="s">
        <v>13145</v>
      </c>
      <c r="BA1304">
        <v>1.96</v>
      </c>
      <c r="BB1304">
        <v>389.33</v>
      </c>
      <c r="BC1304">
        <v>0.39</v>
      </c>
      <c r="BD1304">
        <v>608.05999999999995</v>
      </c>
      <c r="BE1304">
        <v>613.25</v>
      </c>
      <c r="BF1304">
        <v>606.78</v>
      </c>
      <c r="BG1304" t="s">
        <v>16456</v>
      </c>
      <c r="BH1304" t="s">
        <v>11513</v>
      </c>
      <c r="BI1304" t="s">
        <v>16457</v>
      </c>
      <c r="BJ1304" t="s">
        <v>101</v>
      </c>
      <c r="BK1304" t="s">
        <v>2513</v>
      </c>
      <c r="BL1304" t="s">
        <v>11659</v>
      </c>
      <c r="BM1304" t="s">
        <v>1436</v>
      </c>
      <c r="BN1304" t="s">
        <v>14623</v>
      </c>
    </row>
    <row r="1305" spans="1:66" x14ac:dyDescent="0.25">
      <c r="A1305" t="str">
        <f>HYPERLINK("https://elite.finviz.com/quote.ashx?t=BLUW&amp;ty=c&amp;p=d&amp;b=1", "BLUW")</f>
        <v>BLUW</v>
      </c>
      <c r="B1305">
        <v>6</v>
      </c>
      <c r="C1305">
        <v>127.03</v>
      </c>
      <c r="D1305">
        <v>49.69</v>
      </c>
      <c r="E1305" t="s">
        <v>16458</v>
      </c>
      <c r="F1305" t="s">
        <v>107</v>
      </c>
      <c r="G1305" t="s">
        <v>550</v>
      </c>
      <c r="H1305" t="s">
        <v>2120</v>
      </c>
      <c r="I1305" t="s">
        <v>70</v>
      </c>
      <c r="J1305" t="s">
        <v>321</v>
      </c>
      <c r="K1305">
        <v>322.3</v>
      </c>
      <c r="L1305">
        <v>9.98</v>
      </c>
      <c r="M1305" t="s">
        <v>4237</v>
      </c>
      <c r="N1305">
        <v>26528</v>
      </c>
      <c r="S1305">
        <v>1.31</v>
      </c>
      <c r="AJ1305" t="s">
        <v>164</v>
      </c>
      <c r="AL1305">
        <v>36.79</v>
      </c>
      <c r="AM1305">
        <v>36.79</v>
      </c>
      <c r="AN1305">
        <v>0</v>
      </c>
      <c r="AR1305" t="s">
        <v>1324</v>
      </c>
      <c r="AS1305" t="s">
        <v>2275</v>
      </c>
      <c r="AT1305" t="s">
        <v>1249</v>
      </c>
      <c r="AU1305" t="s">
        <v>629</v>
      </c>
      <c r="AV1305" t="s">
        <v>629</v>
      </c>
      <c r="AW1305" t="s">
        <v>1574</v>
      </c>
      <c r="AX1305" t="s">
        <v>8228</v>
      </c>
      <c r="AY1305" t="s">
        <v>1574</v>
      </c>
      <c r="AZ1305" t="s">
        <v>8228</v>
      </c>
      <c r="BB1305">
        <v>114.52</v>
      </c>
      <c r="BC1305">
        <v>0.82</v>
      </c>
      <c r="BD1305">
        <v>9.9700000000000006</v>
      </c>
      <c r="BE1305">
        <v>9.9700000000000006</v>
      </c>
      <c r="BF1305">
        <v>9.9700000000000006</v>
      </c>
      <c r="BG1305" t="s">
        <v>16459</v>
      </c>
      <c r="BH1305" t="s">
        <v>1574</v>
      </c>
      <c r="BI1305" t="s">
        <v>8228</v>
      </c>
      <c r="BJ1305" t="s">
        <v>101</v>
      </c>
      <c r="BN1305" t="s">
        <v>14623</v>
      </c>
    </row>
    <row r="1306" spans="1:66" x14ac:dyDescent="0.25">
      <c r="A1306" t="str">
        <f>HYPERLINK("https://elite.finviz.com/quote.ashx?t=OZK&amp;ty=c&amp;p=d&amp;b=1", "OZK")</f>
        <v>OZK</v>
      </c>
      <c r="B1306">
        <v>6</v>
      </c>
      <c r="C1306">
        <v>127.03</v>
      </c>
      <c r="D1306">
        <v>49.72</v>
      </c>
      <c r="E1306" t="s">
        <v>16460</v>
      </c>
      <c r="F1306" t="s">
        <v>107</v>
      </c>
      <c r="G1306" t="s">
        <v>550</v>
      </c>
      <c r="H1306" t="s">
        <v>697</v>
      </c>
      <c r="I1306" t="s">
        <v>70</v>
      </c>
      <c r="J1306" t="s">
        <v>321</v>
      </c>
      <c r="K1306">
        <v>5853.65</v>
      </c>
      <c r="L1306">
        <v>51.6</v>
      </c>
      <c r="M1306" t="s">
        <v>2203</v>
      </c>
      <c r="N1306">
        <v>75068</v>
      </c>
      <c r="O1306">
        <v>8.3699999999999992</v>
      </c>
      <c r="P1306">
        <v>7.8</v>
      </c>
      <c r="Q1306">
        <v>1.94</v>
      </c>
      <c r="R1306">
        <v>2.1</v>
      </c>
      <c r="S1306">
        <v>1.04</v>
      </c>
      <c r="T1306" t="s">
        <v>3542</v>
      </c>
      <c r="U1306">
        <v>1.7</v>
      </c>
      <c r="V1306" t="s">
        <v>10903</v>
      </c>
      <c r="W1306" t="s">
        <v>1009</v>
      </c>
      <c r="X1306" t="s">
        <v>662</v>
      </c>
      <c r="Y1306" t="s">
        <v>2514</v>
      </c>
      <c r="Z1306" t="s">
        <v>11960</v>
      </c>
      <c r="AA1306">
        <v>6.16</v>
      </c>
      <c r="AB1306" t="s">
        <v>6293</v>
      </c>
      <c r="AC1306" t="s">
        <v>2863</v>
      </c>
      <c r="AD1306" t="s">
        <v>3443</v>
      </c>
      <c r="AE1306" t="s">
        <v>661</v>
      </c>
      <c r="AF1306" t="s">
        <v>4905</v>
      </c>
      <c r="AG1306" t="s">
        <v>7629</v>
      </c>
      <c r="AH1306" t="s">
        <v>7464</v>
      </c>
      <c r="AI1306" t="s">
        <v>5369</v>
      </c>
      <c r="AK1306" t="s">
        <v>16461</v>
      </c>
      <c r="AL1306">
        <v>0.11</v>
      </c>
      <c r="AN1306">
        <v>0.24</v>
      </c>
      <c r="AP1306" t="s">
        <v>16462</v>
      </c>
      <c r="AQ1306" t="s">
        <v>10456</v>
      </c>
      <c r="AR1306" t="s">
        <v>6430</v>
      </c>
      <c r="AS1306" t="s">
        <v>212</v>
      </c>
      <c r="AT1306" t="s">
        <v>1820</v>
      </c>
      <c r="AU1306" t="s">
        <v>1837</v>
      </c>
      <c r="AV1306" t="s">
        <v>5212</v>
      </c>
      <c r="AW1306" t="s">
        <v>2870</v>
      </c>
      <c r="AX1306" t="s">
        <v>10619</v>
      </c>
      <c r="AY1306" t="s">
        <v>2870</v>
      </c>
      <c r="AZ1306" t="s">
        <v>13754</v>
      </c>
      <c r="BA1306">
        <v>2.2999999999999998</v>
      </c>
      <c r="BB1306">
        <v>985.37</v>
      </c>
      <c r="BC1306">
        <v>0.27</v>
      </c>
      <c r="BD1306">
        <v>51.84</v>
      </c>
      <c r="BE1306">
        <v>52.37</v>
      </c>
      <c r="BF1306">
        <v>51.5</v>
      </c>
      <c r="BG1306" t="s">
        <v>16463</v>
      </c>
      <c r="BH1306" t="s">
        <v>4229</v>
      </c>
      <c r="BI1306" t="s">
        <v>16464</v>
      </c>
      <c r="BJ1306" t="s">
        <v>101</v>
      </c>
      <c r="BK1306" t="s">
        <v>10114</v>
      </c>
      <c r="BL1306" t="s">
        <v>5706</v>
      </c>
      <c r="BM1306" t="s">
        <v>16465</v>
      </c>
      <c r="BN1306" t="s">
        <v>14623</v>
      </c>
    </row>
    <row r="1307" spans="1:66" x14ac:dyDescent="0.25">
      <c r="A1307" t="str">
        <f>HYPERLINK("https://elite.finviz.com/quote.ashx?t=ALRS&amp;ty=c&amp;p=d&amp;b=1", "ALRS")</f>
        <v>ALRS</v>
      </c>
      <c r="B1307">
        <v>6</v>
      </c>
      <c r="C1307">
        <v>127.03</v>
      </c>
      <c r="D1307">
        <v>49.72</v>
      </c>
      <c r="E1307" t="s">
        <v>16466</v>
      </c>
      <c r="F1307" t="s">
        <v>67</v>
      </c>
      <c r="G1307" t="s">
        <v>550</v>
      </c>
      <c r="H1307" t="s">
        <v>697</v>
      </c>
      <c r="I1307" t="s">
        <v>70</v>
      </c>
      <c r="J1307" t="s">
        <v>321</v>
      </c>
      <c r="K1307">
        <v>572.44000000000005</v>
      </c>
      <c r="L1307">
        <v>22.54</v>
      </c>
      <c r="M1307" t="s">
        <v>3027</v>
      </c>
      <c r="N1307">
        <v>9893</v>
      </c>
      <c r="O1307">
        <v>13.41</v>
      </c>
      <c r="P1307">
        <v>9.26</v>
      </c>
      <c r="Q1307">
        <v>0.71</v>
      </c>
      <c r="R1307">
        <v>1.51</v>
      </c>
      <c r="S1307">
        <v>1.07</v>
      </c>
      <c r="T1307" t="s">
        <v>9130</v>
      </c>
      <c r="U1307">
        <v>0.82</v>
      </c>
      <c r="V1307" t="s">
        <v>4741</v>
      </c>
      <c r="W1307" t="s">
        <v>3066</v>
      </c>
      <c r="X1307" t="s">
        <v>10610</v>
      </c>
      <c r="Y1307" t="s">
        <v>437</v>
      </c>
      <c r="Z1307" t="s">
        <v>10720</v>
      </c>
      <c r="AA1307">
        <v>1.68</v>
      </c>
      <c r="AB1307" t="s">
        <v>16467</v>
      </c>
      <c r="AC1307" t="s">
        <v>14819</v>
      </c>
      <c r="AD1307" t="s">
        <v>12209</v>
      </c>
      <c r="AE1307" t="s">
        <v>16468</v>
      </c>
      <c r="AF1307" t="s">
        <v>1395</v>
      </c>
      <c r="AG1307" t="s">
        <v>1396</v>
      </c>
      <c r="AH1307" t="s">
        <v>2520</v>
      </c>
      <c r="AI1307" t="s">
        <v>2797</v>
      </c>
      <c r="AJ1307" t="s">
        <v>2646</v>
      </c>
      <c r="AK1307" t="s">
        <v>16469</v>
      </c>
      <c r="AL1307">
        <v>0.03</v>
      </c>
      <c r="AN1307">
        <v>0.73</v>
      </c>
      <c r="AP1307" t="s">
        <v>10254</v>
      </c>
      <c r="AQ1307" t="s">
        <v>602</v>
      </c>
      <c r="AR1307" t="s">
        <v>3208</v>
      </c>
      <c r="AS1307" t="s">
        <v>3671</v>
      </c>
      <c r="AT1307" t="s">
        <v>8357</v>
      </c>
      <c r="AU1307" t="s">
        <v>5258</v>
      </c>
      <c r="AV1307" t="s">
        <v>5911</v>
      </c>
      <c r="AW1307" t="s">
        <v>10591</v>
      </c>
      <c r="AX1307" t="s">
        <v>2933</v>
      </c>
      <c r="AY1307" t="s">
        <v>11153</v>
      </c>
      <c r="AZ1307" t="s">
        <v>16470</v>
      </c>
      <c r="BA1307">
        <v>2.4</v>
      </c>
      <c r="BB1307">
        <v>82.28</v>
      </c>
      <c r="BC1307">
        <v>0.42</v>
      </c>
      <c r="BD1307">
        <v>22.75</v>
      </c>
      <c r="BE1307">
        <v>22.86</v>
      </c>
      <c r="BF1307">
        <v>22.51</v>
      </c>
      <c r="BG1307" t="s">
        <v>16471</v>
      </c>
      <c r="BH1307" t="s">
        <v>16472</v>
      </c>
      <c r="BI1307" t="s">
        <v>16473</v>
      </c>
      <c r="BJ1307" t="s">
        <v>101</v>
      </c>
      <c r="BK1307" t="s">
        <v>5780</v>
      </c>
      <c r="BL1307" t="s">
        <v>6938</v>
      </c>
      <c r="BM1307" t="s">
        <v>7484</v>
      </c>
      <c r="BN1307" t="s">
        <v>14623</v>
      </c>
    </row>
    <row r="1308" spans="1:66" x14ac:dyDescent="0.25">
      <c r="A1308" t="str">
        <f>HYPERLINK("https://elite.finviz.com/quote.ashx?t=RUSHA&amp;ty=c&amp;p=d&amp;b=1", "RUSHA")</f>
        <v>RUSHA</v>
      </c>
      <c r="B1308">
        <v>6</v>
      </c>
      <c r="C1308">
        <v>127.03</v>
      </c>
      <c r="D1308">
        <v>49.73</v>
      </c>
      <c r="E1308" t="s">
        <v>16474</v>
      </c>
      <c r="F1308" t="s">
        <v>67</v>
      </c>
      <c r="G1308" t="s">
        <v>813</v>
      </c>
      <c r="H1308" t="s">
        <v>5888</v>
      </c>
      <c r="I1308" t="s">
        <v>70</v>
      </c>
      <c r="J1308" t="s">
        <v>321</v>
      </c>
      <c r="K1308">
        <v>4446.55</v>
      </c>
      <c r="L1308">
        <v>56.93</v>
      </c>
      <c r="M1308" t="s">
        <v>241</v>
      </c>
      <c r="N1308">
        <v>44036</v>
      </c>
      <c r="O1308">
        <v>16.239999999999998</v>
      </c>
      <c r="P1308">
        <v>12.65</v>
      </c>
      <c r="R1308">
        <v>0.57999999999999996</v>
      </c>
      <c r="S1308">
        <v>2.0499999999999998</v>
      </c>
      <c r="T1308" t="s">
        <v>2509</v>
      </c>
      <c r="U1308">
        <v>0.73</v>
      </c>
      <c r="V1308" t="s">
        <v>7906</v>
      </c>
      <c r="W1308" t="s">
        <v>6124</v>
      </c>
      <c r="X1308" t="s">
        <v>5224</v>
      </c>
      <c r="Y1308" t="s">
        <v>9310</v>
      </c>
      <c r="Z1308" t="s">
        <v>1477</v>
      </c>
      <c r="AA1308">
        <v>3.51</v>
      </c>
      <c r="AB1308" t="s">
        <v>3064</v>
      </c>
      <c r="AC1308" t="s">
        <v>11525</v>
      </c>
      <c r="AE1308" t="s">
        <v>5686</v>
      </c>
      <c r="AF1308" t="s">
        <v>3841</v>
      </c>
      <c r="AG1308" t="s">
        <v>1204</v>
      </c>
      <c r="AH1308" t="s">
        <v>2076</v>
      </c>
      <c r="AI1308" t="s">
        <v>13213</v>
      </c>
      <c r="AJ1308" t="s">
        <v>2717</v>
      </c>
      <c r="AK1308" t="s">
        <v>14020</v>
      </c>
      <c r="AL1308">
        <v>1.39</v>
      </c>
      <c r="AM1308">
        <v>0.32</v>
      </c>
      <c r="AN1308">
        <v>0.81</v>
      </c>
      <c r="AO1308" t="s">
        <v>6917</v>
      </c>
      <c r="AP1308" t="s">
        <v>204</v>
      </c>
      <c r="AQ1308" t="s">
        <v>8818</v>
      </c>
      <c r="AR1308" t="s">
        <v>6692</v>
      </c>
      <c r="AS1308" t="s">
        <v>1438</v>
      </c>
      <c r="AT1308" t="s">
        <v>4809</v>
      </c>
      <c r="AU1308" t="s">
        <v>2650</v>
      </c>
      <c r="AV1308" t="s">
        <v>7117</v>
      </c>
      <c r="AW1308" t="s">
        <v>5650</v>
      </c>
      <c r="AX1308" t="s">
        <v>9545</v>
      </c>
      <c r="AY1308" t="s">
        <v>12843</v>
      </c>
      <c r="AZ1308" t="s">
        <v>1035</v>
      </c>
      <c r="BA1308">
        <v>2</v>
      </c>
      <c r="BB1308">
        <v>391.88</v>
      </c>
      <c r="BC1308">
        <v>0.4</v>
      </c>
      <c r="BD1308">
        <v>57.38</v>
      </c>
      <c r="BE1308">
        <v>57.78</v>
      </c>
      <c r="BF1308">
        <v>56.94</v>
      </c>
      <c r="BG1308" t="s">
        <v>16475</v>
      </c>
      <c r="BH1308" t="s">
        <v>12843</v>
      </c>
      <c r="BI1308" t="s">
        <v>16476</v>
      </c>
      <c r="BJ1308" t="s">
        <v>101</v>
      </c>
      <c r="BK1308" t="s">
        <v>9037</v>
      </c>
      <c r="BL1308" t="s">
        <v>5188</v>
      </c>
      <c r="BM1308" t="s">
        <v>1767</v>
      </c>
      <c r="BN1308" t="s">
        <v>14623</v>
      </c>
    </row>
    <row r="1309" spans="1:66" x14ac:dyDescent="0.25">
      <c r="A1309" t="str">
        <f>HYPERLINK("https://elite.finviz.com/quote.ashx?t=LEGT&amp;ty=c&amp;p=d&amp;b=1", "LEGT")</f>
        <v>LEGT</v>
      </c>
      <c r="B1309">
        <v>6</v>
      </c>
      <c r="C1309">
        <v>127.03</v>
      </c>
      <c r="D1309">
        <v>49.74</v>
      </c>
      <c r="E1309" t="s">
        <v>16477</v>
      </c>
      <c r="F1309" t="s">
        <v>107</v>
      </c>
      <c r="G1309" t="s">
        <v>550</v>
      </c>
      <c r="H1309" t="s">
        <v>2120</v>
      </c>
      <c r="I1309" t="s">
        <v>70</v>
      </c>
      <c r="J1309" t="s">
        <v>383</v>
      </c>
      <c r="K1309">
        <v>224.8</v>
      </c>
      <c r="L1309">
        <v>10.74</v>
      </c>
      <c r="M1309" t="s">
        <v>164</v>
      </c>
      <c r="N1309">
        <v>0</v>
      </c>
      <c r="O1309">
        <v>30.42</v>
      </c>
      <c r="S1309">
        <v>1.33</v>
      </c>
      <c r="AA1309">
        <v>0.35</v>
      </c>
      <c r="AJ1309" t="s">
        <v>164</v>
      </c>
      <c r="AK1309" t="s">
        <v>16478</v>
      </c>
      <c r="AL1309">
        <v>54.4</v>
      </c>
      <c r="AM1309">
        <v>54.4</v>
      </c>
      <c r="AN1309">
        <v>0</v>
      </c>
      <c r="AR1309" t="s">
        <v>4494</v>
      </c>
      <c r="AS1309" t="s">
        <v>4794</v>
      </c>
      <c r="AT1309" t="s">
        <v>3598</v>
      </c>
      <c r="AU1309" t="s">
        <v>4494</v>
      </c>
      <c r="AV1309" t="s">
        <v>2789</v>
      </c>
      <c r="AW1309" t="s">
        <v>3027</v>
      </c>
      <c r="AX1309" t="s">
        <v>2144</v>
      </c>
      <c r="AY1309" t="s">
        <v>2768</v>
      </c>
      <c r="AZ1309" t="s">
        <v>2370</v>
      </c>
      <c r="BB1309">
        <v>16.260000000000002</v>
      </c>
      <c r="BC1309">
        <v>0</v>
      </c>
      <c r="BD1309">
        <v>10.74</v>
      </c>
      <c r="BE1309">
        <v>10.74</v>
      </c>
      <c r="BF1309">
        <v>10.74</v>
      </c>
      <c r="BG1309" t="s">
        <v>16479</v>
      </c>
      <c r="BH1309" t="s">
        <v>2768</v>
      </c>
      <c r="BI1309" t="s">
        <v>12465</v>
      </c>
      <c r="BJ1309" t="s">
        <v>101</v>
      </c>
      <c r="BK1309" t="s">
        <v>6572</v>
      </c>
      <c r="BL1309" t="s">
        <v>2317</v>
      </c>
      <c r="BM1309" t="s">
        <v>1826</v>
      </c>
      <c r="BN1309" t="s">
        <v>14623</v>
      </c>
    </row>
    <row r="1310" spans="1:66" x14ac:dyDescent="0.25">
      <c r="A1310" t="str">
        <f>HYPERLINK("https://elite.finviz.com/quote.ashx?t=ATMU&amp;ty=c&amp;p=d&amp;b=1", "ATMU")</f>
        <v>ATMU</v>
      </c>
      <c r="B1310">
        <v>6</v>
      </c>
      <c r="C1310">
        <v>127.03</v>
      </c>
      <c r="D1310">
        <v>49.75</v>
      </c>
      <c r="E1310" t="s">
        <v>16480</v>
      </c>
      <c r="F1310" t="s">
        <v>67</v>
      </c>
      <c r="G1310" t="s">
        <v>813</v>
      </c>
      <c r="H1310" t="s">
        <v>814</v>
      </c>
      <c r="I1310" t="s">
        <v>70</v>
      </c>
      <c r="J1310" t="s">
        <v>71</v>
      </c>
      <c r="K1310">
        <v>3670.55</v>
      </c>
      <c r="L1310">
        <v>44.68</v>
      </c>
      <c r="M1310" t="s">
        <v>3871</v>
      </c>
      <c r="N1310">
        <v>55823</v>
      </c>
      <c r="O1310">
        <v>19.739999999999998</v>
      </c>
      <c r="P1310">
        <v>16.43</v>
      </c>
      <c r="Q1310">
        <v>2.87</v>
      </c>
      <c r="R1310">
        <v>2.1800000000000002</v>
      </c>
      <c r="S1310">
        <v>11.42</v>
      </c>
      <c r="T1310" t="s">
        <v>4801</v>
      </c>
      <c r="U1310">
        <v>0.21</v>
      </c>
      <c r="V1310" t="s">
        <v>2882</v>
      </c>
      <c r="Z1310" t="s">
        <v>8229</v>
      </c>
      <c r="AA1310">
        <v>2.2599999999999998</v>
      </c>
      <c r="AB1310" t="s">
        <v>2619</v>
      </c>
      <c r="AC1310" t="s">
        <v>1160</v>
      </c>
      <c r="AD1310" t="s">
        <v>1691</v>
      </c>
      <c r="AE1310" t="s">
        <v>6056</v>
      </c>
      <c r="AF1310" t="s">
        <v>3855</v>
      </c>
      <c r="AG1310" t="s">
        <v>265</v>
      </c>
      <c r="AH1310" t="s">
        <v>3545</v>
      </c>
      <c r="AI1310" t="s">
        <v>4941</v>
      </c>
      <c r="AJ1310" t="s">
        <v>164</v>
      </c>
      <c r="AK1310" t="s">
        <v>16481</v>
      </c>
      <c r="AL1310">
        <v>2.15</v>
      </c>
      <c r="AM1310">
        <v>1.43</v>
      </c>
      <c r="AN1310">
        <v>1.97</v>
      </c>
      <c r="AO1310" t="s">
        <v>4928</v>
      </c>
      <c r="AP1310" t="s">
        <v>849</v>
      </c>
      <c r="AQ1310" t="s">
        <v>2740</v>
      </c>
      <c r="AR1310" t="s">
        <v>2643</v>
      </c>
      <c r="AS1310" t="s">
        <v>1599</v>
      </c>
      <c r="AT1310" t="s">
        <v>10581</v>
      </c>
      <c r="AU1310" t="s">
        <v>6936</v>
      </c>
      <c r="AV1310" t="s">
        <v>8526</v>
      </c>
      <c r="AW1310" t="s">
        <v>11567</v>
      </c>
      <c r="AX1310" t="s">
        <v>774</v>
      </c>
      <c r="AY1310" t="s">
        <v>11567</v>
      </c>
      <c r="AZ1310" t="s">
        <v>16482</v>
      </c>
      <c r="BA1310">
        <v>2</v>
      </c>
      <c r="BB1310">
        <v>780.69</v>
      </c>
      <c r="BC1310">
        <v>0.25</v>
      </c>
      <c r="BD1310">
        <v>44.36</v>
      </c>
      <c r="BE1310">
        <v>45.35</v>
      </c>
      <c r="BF1310">
        <v>44.59</v>
      </c>
      <c r="BG1310" t="s">
        <v>16483</v>
      </c>
      <c r="BH1310" t="s">
        <v>11567</v>
      </c>
      <c r="BI1310" t="s">
        <v>16484</v>
      </c>
      <c r="BJ1310" t="s">
        <v>101</v>
      </c>
      <c r="BK1310" t="s">
        <v>3931</v>
      </c>
      <c r="BL1310" t="s">
        <v>12220</v>
      </c>
      <c r="BM1310" t="s">
        <v>8893</v>
      </c>
      <c r="BN1310" t="s">
        <v>14623</v>
      </c>
    </row>
    <row r="1311" spans="1:66" x14ac:dyDescent="0.25">
      <c r="A1311" t="str">
        <f>HYPERLINK("https://elite.finviz.com/quote.ashx?t=NWBI&amp;ty=c&amp;p=d&amp;b=1", "NWBI")</f>
        <v>NWBI</v>
      </c>
      <c r="B1311">
        <v>6</v>
      </c>
      <c r="C1311">
        <v>127.03</v>
      </c>
      <c r="D1311">
        <v>49.77</v>
      </c>
      <c r="E1311" t="s">
        <v>16485</v>
      </c>
      <c r="F1311" t="s">
        <v>67</v>
      </c>
      <c r="G1311" t="s">
        <v>550</v>
      </c>
      <c r="H1311" t="s">
        <v>697</v>
      </c>
      <c r="I1311" t="s">
        <v>70</v>
      </c>
      <c r="J1311" t="s">
        <v>321</v>
      </c>
      <c r="K1311">
        <v>1823.26</v>
      </c>
      <c r="L1311">
        <v>12.47</v>
      </c>
      <c r="M1311" t="s">
        <v>4539</v>
      </c>
      <c r="N1311">
        <v>123897</v>
      </c>
      <c r="O1311">
        <v>11.13</v>
      </c>
      <c r="P1311">
        <v>9.43</v>
      </c>
      <c r="R1311">
        <v>2.2200000000000002</v>
      </c>
      <c r="S1311">
        <v>0.97</v>
      </c>
      <c r="T1311" t="s">
        <v>4742</v>
      </c>
      <c r="U1311">
        <v>0.8</v>
      </c>
      <c r="V1311" t="s">
        <v>1762</v>
      </c>
      <c r="W1311" t="s">
        <v>164</v>
      </c>
      <c r="X1311" t="s">
        <v>1409</v>
      </c>
      <c r="Y1311" t="s">
        <v>212</v>
      </c>
      <c r="Z1311" t="s">
        <v>16486</v>
      </c>
      <c r="AA1311">
        <v>1.1200000000000001</v>
      </c>
      <c r="AB1311" t="s">
        <v>16487</v>
      </c>
      <c r="AC1311" t="s">
        <v>5301</v>
      </c>
      <c r="AE1311" t="s">
        <v>4295</v>
      </c>
      <c r="AF1311" t="s">
        <v>14731</v>
      </c>
      <c r="AG1311" t="s">
        <v>3982</v>
      </c>
      <c r="AH1311" t="s">
        <v>2525</v>
      </c>
      <c r="AI1311" t="s">
        <v>5114</v>
      </c>
      <c r="AJ1311" t="s">
        <v>1998</v>
      </c>
      <c r="AK1311" t="s">
        <v>4212</v>
      </c>
      <c r="AL1311">
        <v>0.04</v>
      </c>
      <c r="AN1311">
        <v>0.27</v>
      </c>
      <c r="AP1311" t="s">
        <v>12598</v>
      </c>
      <c r="AQ1311" t="s">
        <v>1422</v>
      </c>
      <c r="AR1311" t="s">
        <v>2175</v>
      </c>
      <c r="AS1311" t="s">
        <v>1129</v>
      </c>
      <c r="AT1311" t="s">
        <v>4963</v>
      </c>
      <c r="AU1311" t="s">
        <v>5253</v>
      </c>
      <c r="AV1311" t="s">
        <v>2197</v>
      </c>
      <c r="AW1311" t="s">
        <v>10518</v>
      </c>
      <c r="AX1311" t="s">
        <v>12048</v>
      </c>
      <c r="AY1311" t="s">
        <v>16488</v>
      </c>
      <c r="AZ1311" t="s">
        <v>9096</v>
      </c>
      <c r="BA1311">
        <v>3</v>
      </c>
      <c r="BB1311">
        <v>958.28</v>
      </c>
      <c r="BC1311">
        <v>0.46</v>
      </c>
      <c r="BD1311">
        <v>12.46</v>
      </c>
      <c r="BE1311">
        <v>12.58</v>
      </c>
      <c r="BF1311">
        <v>12.46</v>
      </c>
      <c r="BG1311" t="s">
        <v>16489</v>
      </c>
      <c r="BH1311" t="s">
        <v>8414</v>
      </c>
      <c r="BI1311" t="s">
        <v>16490</v>
      </c>
      <c r="BJ1311" t="s">
        <v>101</v>
      </c>
      <c r="BK1311" t="s">
        <v>5686</v>
      </c>
      <c r="BL1311" t="s">
        <v>2643</v>
      </c>
      <c r="BM1311" t="s">
        <v>8506</v>
      </c>
      <c r="BN1311" t="s">
        <v>14623</v>
      </c>
    </row>
    <row r="1312" spans="1:66" x14ac:dyDescent="0.25">
      <c r="A1312" t="str">
        <f>HYPERLINK("https://elite.finviz.com/quote.ashx?t=FRT&amp;ty=c&amp;p=d&amp;b=1", "FRT")</f>
        <v>FRT</v>
      </c>
      <c r="B1312">
        <v>6</v>
      </c>
      <c r="C1312">
        <v>127.03</v>
      </c>
      <c r="D1312">
        <v>49.79</v>
      </c>
      <c r="E1312" t="s">
        <v>16491</v>
      </c>
      <c r="F1312" t="s">
        <v>195</v>
      </c>
      <c r="G1312" t="s">
        <v>68</v>
      </c>
      <c r="H1312" t="s">
        <v>160</v>
      </c>
      <c r="I1312" t="s">
        <v>70</v>
      </c>
      <c r="J1312" t="s">
        <v>71</v>
      </c>
      <c r="K1312">
        <v>8606.5400000000009</v>
      </c>
      <c r="L1312">
        <v>99.07</v>
      </c>
      <c r="M1312" t="s">
        <v>7709</v>
      </c>
      <c r="N1312">
        <v>160496</v>
      </c>
      <c r="O1312">
        <v>25.13</v>
      </c>
      <c r="P1312">
        <v>32.54</v>
      </c>
      <c r="R1312">
        <v>6.96</v>
      </c>
      <c r="S1312">
        <v>2.77</v>
      </c>
      <c r="T1312" t="s">
        <v>6378</v>
      </c>
      <c r="U1312">
        <v>4.2</v>
      </c>
      <c r="V1312" t="s">
        <v>700</v>
      </c>
      <c r="W1312" t="s">
        <v>2864</v>
      </c>
      <c r="X1312" t="s">
        <v>3761</v>
      </c>
      <c r="Y1312" t="s">
        <v>273</v>
      </c>
      <c r="Z1312" t="s">
        <v>16492</v>
      </c>
      <c r="AA1312">
        <v>3.94</v>
      </c>
      <c r="AB1312" t="s">
        <v>2186</v>
      </c>
      <c r="AC1312" t="s">
        <v>16493</v>
      </c>
      <c r="AD1312" t="s">
        <v>1779</v>
      </c>
      <c r="AE1312" t="s">
        <v>3601</v>
      </c>
      <c r="AF1312" t="s">
        <v>6791</v>
      </c>
      <c r="AG1312" t="s">
        <v>7118</v>
      </c>
      <c r="AH1312" t="s">
        <v>3758</v>
      </c>
      <c r="AI1312" t="s">
        <v>13243</v>
      </c>
      <c r="AJ1312" t="s">
        <v>164</v>
      </c>
      <c r="AK1312" t="s">
        <v>16494</v>
      </c>
      <c r="AL1312">
        <v>0.72</v>
      </c>
      <c r="AM1312">
        <v>0.72</v>
      </c>
      <c r="AN1312">
        <v>1.41</v>
      </c>
      <c r="AO1312" t="s">
        <v>10640</v>
      </c>
      <c r="AP1312" t="s">
        <v>2551</v>
      </c>
      <c r="AQ1312" t="s">
        <v>7713</v>
      </c>
      <c r="AR1312" t="s">
        <v>2610</v>
      </c>
      <c r="AS1312" t="s">
        <v>1025</v>
      </c>
      <c r="AT1312" t="s">
        <v>13366</v>
      </c>
      <c r="AU1312" t="s">
        <v>2430</v>
      </c>
      <c r="AV1312" t="s">
        <v>386</v>
      </c>
      <c r="AW1312" t="s">
        <v>2109</v>
      </c>
      <c r="AX1312" t="s">
        <v>2085</v>
      </c>
      <c r="AY1312" t="s">
        <v>13921</v>
      </c>
      <c r="AZ1312" t="s">
        <v>235</v>
      </c>
      <c r="BA1312">
        <v>1.95</v>
      </c>
      <c r="BB1312">
        <v>753.72</v>
      </c>
      <c r="BC1312">
        <v>0.75</v>
      </c>
      <c r="BD1312">
        <v>99.09</v>
      </c>
      <c r="BE1312">
        <v>100.06</v>
      </c>
      <c r="BF1312">
        <v>98.92</v>
      </c>
      <c r="BG1312" t="s">
        <v>16495</v>
      </c>
      <c r="BH1312" t="s">
        <v>16496</v>
      </c>
      <c r="BI1312" t="s">
        <v>16497</v>
      </c>
      <c r="BJ1312" t="s">
        <v>101</v>
      </c>
      <c r="BK1312" t="s">
        <v>3874</v>
      </c>
      <c r="BL1312" t="s">
        <v>4600</v>
      </c>
      <c r="BM1312" t="s">
        <v>9332</v>
      </c>
      <c r="BN1312" t="s">
        <v>14623</v>
      </c>
    </row>
    <row r="1313" spans="1:66" x14ac:dyDescent="0.25">
      <c r="A1313" t="str">
        <f>HYPERLINK("https://elite.finviz.com/quote.ashx?t=GEG&amp;ty=c&amp;p=d&amp;b=1", "GEG")</f>
        <v>GEG</v>
      </c>
      <c r="B1313">
        <v>6</v>
      </c>
      <c r="C1313">
        <v>127.03</v>
      </c>
      <c r="D1313">
        <v>49.83</v>
      </c>
      <c r="E1313" t="s">
        <v>16498</v>
      </c>
      <c r="F1313" t="s">
        <v>107</v>
      </c>
      <c r="G1313" t="s">
        <v>550</v>
      </c>
      <c r="H1313" t="s">
        <v>2597</v>
      </c>
      <c r="I1313" t="s">
        <v>70</v>
      </c>
      <c r="J1313" t="s">
        <v>321</v>
      </c>
      <c r="K1313">
        <v>77.13</v>
      </c>
      <c r="L1313">
        <v>2.66</v>
      </c>
      <c r="M1313" t="s">
        <v>164</v>
      </c>
      <c r="N1313">
        <v>2721</v>
      </c>
      <c r="O1313">
        <v>8.57</v>
      </c>
      <c r="R1313">
        <v>4.7300000000000004</v>
      </c>
      <c r="S1313">
        <v>1</v>
      </c>
      <c r="V1313" t="s">
        <v>16499</v>
      </c>
      <c r="Z1313" t="s">
        <v>164</v>
      </c>
      <c r="AA1313">
        <v>0.31</v>
      </c>
      <c r="AE1313" t="s">
        <v>15037</v>
      </c>
      <c r="AF1313" t="s">
        <v>16500</v>
      </c>
      <c r="AG1313" t="s">
        <v>16501</v>
      </c>
      <c r="AH1313" t="s">
        <v>16502</v>
      </c>
      <c r="AJ1313" t="s">
        <v>164</v>
      </c>
      <c r="AK1313" t="s">
        <v>1170</v>
      </c>
      <c r="AL1313">
        <v>14.34</v>
      </c>
      <c r="AM1313">
        <v>13.4</v>
      </c>
      <c r="AN1313">
        <v>0.89</v>
      </c>
      <c r="AO1313" t="s">
        <v>11615</v>
      </c>
      <c r="AP1313" t="s">
        <v>16503</v>
      </c>
      <c r="AQ1313" t="s">
        <v>15085</v>
      </c>
      <c r="AR1313" t="s">
        <v>4999</v>
      </c>
      <c r="AS1313" t="s">
        <v>2783</v>
      </c>
      <c r="AT1313" t="s">
        <v>1580</v>
      </c>
      <c r="AU1313" t="s">
        <v>6272</v>
      </c>
      <c r="AV1313" t="s">
        <v>4503</v>
      </c>
      <c r="AW1313" t="s">
        <v>9579</v>
      </c>
      <c r="AX1313" t="s">
        <v>15159</v>
      </c>
      <c r="AY1313" t="s">
        <v>9579</v>
      </c>
      <c r="AZ1313" t="s">
        <v>16504</v>
      </c>
      <c r="BA1313">
        <v>1</v>
      </c>
      <c r="BB1313">
        <v>302.33999999999997</v>
      </c>
      <c r="BC1313">
        <v>0.03</v>
      </c>
      <c r="BD1313">
        <v>2.66</v>
      </c>
      <c r="BE1313">
        <v>2.68</v>
      </c>
      <c r="BF1313">
        <v>2.65</v>
      </c>
      <c r="BG1313" t="s">
        <v>16505</v>
      </c>
      <c r="BH1313" t="s">
        <v>1194</v>
      </c>
      <c r="BI1313" t="s">
        <v>16506</v>
      </c>
      <c r="BJ1313" t="s">
        <v>101</v>
      </c>
      <c r="BK1313" t="s">
        <v>9454</v>
      </c>
      <c r="BL1313" t="s">
        <v>16209</v>
      </c>
      <c r="BM1313" t="s">
        <v>7500</v>
      </c>
      <c r="BN1313" t="s">
        <v>14623</v>
      </c>
    </row>
    <row r="1314" spans="1:66" x14ac:dyDescent="0.25">
      <c r="A1314" t="str">
        <f>HYPERLINK("https://elite.finviz.com/quote.ashx?t=VOYA&amp;ty=c&amp;p=d&amp;b=1", "VOYA")</f>
        <v>VOYA</v>
      </c>
      <c r="B1314">
        <v>6</v>
      </c>
      <c r="C1314">
        <v>127.03</v>
      </c>
      <c r="D1314">
        <v>49.87</v>
      </c>
      <c r="E1314" t="s">
        <v>16507</v>
      </c>
      <c r="F1314" t="s">
        <v>107</v>
      </c>
      <c r="G1314" t="s">
        <v>550</v>
      </c>
      <c r="H1314" t="s">
        <v>6613</v>
      </c>
      <c r="I1314" t="s">
        <v>70</v>
      </c>
      <c r="J1314" t="s">
        <v>71</v>
      </c>
      <c r="K1314">
        <v>7269.9</v>
      </c>
      <c r="L1314">
        <v>75.400000000000006</v>
      </c>
      <c r="M1314" t="s">
        <v>6719</v>
      </c>
      <c r="N1314">
        <v>109858</v>
      </c>
      <c r="O1314">
        <v>15.1</v>
      </c>
      <c r="P1314">
        <v>7.48</v>
      </c>
      <c r="Q1314">
        <v>0.92</v>
      </c>
      <c r="R1314">
        <v>0.92</v>
      </c>
      <c r="S1314">
        <v>1.57</v>
      </c>
      <c r="T1314" t="s">
        <v>2582</v>
      </c>
      <c r="U1314">
        <v>1.8</v>
      </c>
      <c r="V1314" t="s">
        <v>2882</v>
      </c>
      <c r="W1314" t="s">
        <v>7923</v>
      </c>
      <c r="X1314" t="s">
        <v>16508</v>
      </c>
      <c r="Y1314" t="s">
        <v>11813</v>
      </c>
      <c r="Z1314" t="s">
        <v>13312</v>
      </c>
      <c r="AA1314">
        <v>4.99</v>
      </c>
      <c r="AB1314" t="s">
        <v>16509</v>
      </c>
      <c r="AC1314" t="s">
        <v>648</v>
      </c>
      <c r="AD1314" t="s">
        <v>5119</v>
      </c>
      <c r="AE1314" t="s">
        <v>4547</v>
      </c>
      <c r="AF1314" t="s">
        <v>8093</v>
      </c>
      <c r="AG1314" t="s">
        <v>3550</v>
      </c>
      <c r="AH1314" t="s">
        <v>4531</v>
      </c>
      <c r="AI1314" t="s">
        <v>3663</v>
      </c>
      <c r="AJ1314" t="s">
        <v>2012</v>
      </c>
      <c r="AK1314" t="s">
        <v>16510</v>
      </c>
      <c r="AN1314">
        <v>0.98</v>
      </c>
      <c r="AP1314" t="s">
        <v>5265</v>
      </c>
      <c r="AQ1314" t="s">
        <v>7767</v>
      </c>
      <c r="AR1314" t="s">
        <v>6336</v>
      </c>
      <c r="AS1314" t="s">
        <v>2219</v>
      </c>
      <c r="AT1314" t="s">
        <v>5424</v>
      </c>
      <c r="AU1314" t="s">
        <v>5258</v>
      </c>
      <c r="AV1314" t="s">
        <v>1822</v>
      </c>
      <c r="AW1314" t="s">
        <v>2136</v>
      </c>
      <c r="AX1314" t="s">
        <v>6740</v>
      </c>
      <c r="AY1314" t="s">
        <v>7151</v>
      </c>
      <c r="AZ1314" t="s">
        <v>16511</v>
      </c>
      <c r="BA1314">
        <v>2.0699999999999998</v>
      </c>
      <c r="BB1314">
        <v>812.66</v>
      </c>
      <c r="BC1314">
        <v>0.48</v>
      </c>
      <c r="BD1314">
        <v>75.11</v>
      </c>
      <c r="BE1314">
        <v>76.400000000000006</v>
      </c>
      <c r="BF1314">
        <v>75.17</v>
      </c>
      <c r="BG1314" t="s">
        <v>16512</v>
      </c>
      <c r="BH1314" t="s">
        <v>7151</v>
      </c>
      <c r="BI1314" t="s">
        <v>16513</v>
      </c>
      <c r="BJ1314" t="s">
        <v>101</v>
      </c>
      <c r="BK1314" t="s">
        <v>1160</v>
      </c>
      <c r="BL1314" t="s">
        <v>1341</v>
      </c>
      <c r="BM1314" t="s">
        <v>6105</v>
      </c>
      <c r="BN1314" t="s">
        <v>14623</v>
      </c>
    </row>
    <row r="1315" spans="1:66" x14ac:dyDescent="0.25">
      <c r="A1315" t="str">
        <f>HYPERLINK("https://elite.finviz.com/quote.ashx?t=NBIX&amp;ty=c&amp;p=d&amp;b=1", "NBIX")</f>
        <v>NBIX</v>
      </c>
      <c r="B1315">
        <v>6</v>
      </c>
      <c r="C1315">
        <v>127.03</v>
      </c>
      <c r="D1315">
        <v>49.88</v>
      </c>
      <c r="E1315" t="s">
        <v>16514</v>
      </c>
      <c r="F1315" t="s">
        <v>107</v>
      </c>
      <c r="G1315" t="s">
        <v>428</v>
      </c>
      <c r="H1315" t="s">
        <v>1296</v>
      </c>
      <c r="I1315" t="s">
        <v>70</v>
      </c>
      <c r="J1315" t="s">
        <v>321</v>
      </c>
      <c r="K1315">
        <v>13951.36</v>
      </c>
      <c r="L1315">
        <v>140.66</v>
      </c>
      <c r="M1315" t="s">
        <v>4955</v>
      </c>
      <c r="N1315">
        <v>125916</v>
      </c>
      <c r="O1315">
        <v>41.52</v>
      </c>
      <c r="P1315">
        <v>21.68</v>
      </c>
      <c r="Q1315">
        <v>1.1499999999999999</v>
      </c>
      <c r="R1315">
        <v>5.56</v>
      </c>
      <c r="S1315">
        <v>5.17</v>
      </c>
      <c r="Z1315" t="s">
        <v>164</v>
      </c>
      <c r="AA1315">
        <v>3.39</v>
      </c>
      <c r="AB1315" t="s">
        <v>16515</v>
      </c>
      <c r="AC1315" t="s">
        <v>12447</v>
      </c>
      <c r="AD1315" t="s">
        <v>16516</v>
      </c>
      <c r="AE1315" t="s">
        <v>10068</v>
      </c>
      <c r="AF1315" t="s">
        <v>1045</v>
      </c>
      <c r="AG1315" t="s">
        <v>16517</v>
      </c>
      <c r="AH1315" t="s">
        <v>3009</v>
      </c>
      <c r="AI1315" t="s">
        <v>4728</v>
      </c>
      <c r="AJ1315" t="s">
        <v>3051</v>
      </c>
      <c r="AK1315" t="s">
        <v>16518</v>
      </c>
      <c r="AL1315">
        <v>3.2</v>
      </c>
      <c r="AM1315">
        <v>3.1</v>
      </c>
      <c r="AN1315">
        <v>0.18</v>
      </c>
      <c r="AO1315" t="s">
        <v>16519</v>
      </c>
      <c r="AP1315" t="s">
        <v>767</v>
      </c>
      <c r="AQ1315" t="s">
        <v>9253</v>
      </c>
      <c r="AR1315" t="s">
        <v>714</v>
      </c>
      <c r="AS1315" t="s">
        <v>7322</v>
      </c>
      <c r="AT1315" t="s">
        <v>4938</v>
      </c>
      <c r="AU1315" t="s">
        <v>2317</v>
      </c>
      <c r="AV1315" t="s">
        <v>7654</v>
      </c>
      <c r="AW1315" t="s">
        <v>4126</v>
      </c>
      <c r="AX1315" t="s">
        <v>14309</v>
      </c>
      <c r="AY1315" t="s">
        <v>16335</v>
      </c>
      <c r="AZ1315" t="s">
        <v>16520</v>
      </c>
      <c r="BA1315">
        <v>1.34</v>
      </c>
      <c r="BB1315">
        <v>870.93</v>
      </c>
      <c r="BC1315">
        <v>0.51</v>
      </c>
      <c r="BD1315">
        <v>140.88999999999999</v>
      </c>
      <c r="BE1315">
        <v>141.86000000000001</v>
      </c>
      <c r="BF1315">
        <v>140.30000000000001</v>
      </c>
      <c r="BG1315" t="s">
        <v>16521</v>
      </c>
      <c r="BH1315" t="s">
        <v>16522</v>
      </c>
      <c r="BI1315" t="s">
        <v>16523</v>
      </c>
      <c r="BJ1315" t="s">
        <v>101</v>
      </c>
      <c r="BK1315" t="s">
        <v>7345</v>
      </c>
      <c r="BL1315" t="s">
        <v>5464</v>
      </c>
      <c r="BM1315" t="s">
        <v>15349</v>
      </c>
      <c r="BN1315" t="s">
        <v>14623</v>
      </c>
    </row>
    <row r="1316" spans="1:66" x14ac:dyDescent="0.25">
      <c r="A1316" t="str">
        <f>HYPERLINK("https://elite.finviz.com/quote.ashx?t=PRKS&amp;ty=c&amp;p=d&amp;b=1", "PRKS")</f>
        <v>PRKS</v>
      </c>
      <c r="B1316">
        <v>6</v>
      </c>
      <c r="C1316">
        <v>127.03</v>
      </c>
      <c r="D1316">
        <v>49.9</v>
      </c>
      <c r="E1316" t="s">
        <v>16524</v>
      </c>
      <c r="F1316" t="s">
        <v>67</v>
      </c>
      <c r="G1316" t="s">
        <v>813</v>
      </c>
      <c r="H1316" t="s">
        <v>5941</v>
      </c>
      <c r="I1316" t="s">
        <v>70</v>
      </c>
      <c r="J1316" t="s">
        <v>71</v>
      </c>
      <c r="K1316">
        <v>2818.09</v>
      </c>
      <c r="L1316">
        <v>51.22</v>
      </c>
      <c r="M1316" t="s">
        <v>910</v>
      </c>
      <c r="N1316">
        <v>84058</v>
      </c>
      <c r="O1316">
        <v>13.73</v>
      </c>
      <c r="P1316">
        <v>10.71</v>
      </c>
      <c r="Q1316">
        <v>1.1499999999999999</v>
      </c>
      <c r="R1316">
        <v>1.65</v>
      </c>
      <c r="Z1316" t="s">
        <v>164</v>
      </c>
      <c r="AA1316">
        <v>3.73</v>
      </c>
      <c r="AB1316" t="s">
        <v>4403</v>
      </c>
      <c r="AC1316" t="s">
        <v>9144</v>
      </c>
      <c r="AD1316" t="s">
        <v>5387</v>
      </c>
      <c r="AE1316" t="s">
        <v>3937</v>
      </c>
      <c r="AF1316" t="s">
        <v>2523</v>
      </c>
      <c r="AG1316" t="s">
        <v>5672</v>
      </c>
      <c r="AH1316" t="s">
        <v>3286</v>
      </c>
      <c r="AI1316" t="s">
        <v>6284</v>
      </c>
      <c r="AJ1316" t="s">
        <v>3950</v>
      </c>
      <c r="AK1316" t="s">
        <v>16525</v>
      </c>
      <c r="AL1316">
        <v>0.83</v>
      </c>
      <c r="AM1316">
        <v>0.72</v>
      </c>
      <c r="AO1316" t="s">
        <v>16526</v>
      </c>
      <c r="AP1316" t="s">
        <v>7855</v>
      </c>
      <c r="AQ1316" t="s">
        <v>3243</v>
      </c>
      <c r="AR1316" t="s">
        <v>862</v>
      </c>
      <c r="AS1316" t="s">
        <v>307</v>
      </c>
      <c r="AT1316" t="s">
        <v>7646</v>
      </c>
      <c r="AU1316" t="s">
        <v>3047</v>
      </c>
      <c r="AV1316" t="s">
        <v>2494</v>
      </c>
      <c r="AW1316" t="s">
        <v>10769</v>
      </c>
      <c r="AX1316" t="s">
        <v>1150</v>
      </c>
      <c r="AY1316" t="s">
        <v>16527</v>
      </c>
      <c r="AZ1316" t="s">
        <v>9602</v>
      </c>
      <c r="BA1316">
        <v>2.5</v>
      </c>
      <c r="BB1316">
        <v>949.79</v>
      </c>
      <c r="BC1316">
        <v>0.31</v>
      </c>
      <c r="BD1316">
        <v>50.27</v>
      </c>
      <c r="BE1316">
        <v>51.53</v>
      </c>
      <c r="BF1316">
        <v>50.38</v>
      </c>
      <c r="BG1316" t="s">
        <v>16528</v>
      </c>
      <c r="BH1316" t="s">
        <v>7119</v>
      </c>
      <c r="BI1316" t="s">
        <v>16529</v>
      </c>
      <c r="BJ1316" t="s">
        <v>101</v>
      </c>
      <c r="BK1316" t="s">
        <v>6348</v>
      </c>
      <c r="BL1316" t="s">
        <v>10425</v>
      </c>
      <c r="BM1316" t="s">
        <v>5253</v>
      </c>
      <c r="BN1316" t="s">
        <v>14623</v>
      </c>
    </row>
    <row r="1317" spans="1:66" x14ac:dyDescent="0.25">
      <c r="A1317" t="str">
        <f>HYPERLINK("https://elite.finviz.com/quote.ashx?t=NWFL&amp;ty=c&amp;p=d&amp;b=1", "NWFL")</f>
        <v>NWFL</v>
      </c>
      <c r="B1317">
        <v>6</v>
      </c>
      <c r="C1317">
        <v>127.03</v>
      </c>
      <c r="D1317">
        <v>49.94</v>
      </c>
      <c r="E1317" t="s">
        <v>16530</v>
      </c>
      <c r="F1317" t="s">
        <v>67</v>
      </c>
      <c r="G1317" t="s">
        <v>550</v>
      </c>
      <c r="H1317" t="s">
        <v>697</v>
      </c>
      <c r="I1317" t="s">
        <v>70</v>
      </c>
      <c r="J1317" t="s">
        <v>321</v>
      </c>
      <c r="K1317">
        <v>242.09</v>
      </c>
      <c r="L1317">
        <v>26.14</v>
      </c>
      <c r="M1317" t="s">
        <v>3761</v>
      </c>
      <c r="N1317">
        <v>2889</v>
      </c>
      <c r="O1317">
        <v>110.06</v>
      </c>
      <c r="P1317">
        <v>8.51</v>
      </c>
      <c r="R1317">
        <v>2.23</v>
      </c>
      <c r="S1317">
        <v>1.07</v>
      </c>
      <c r="T1317" t="s">
        <v>215</v>
      </c>
      <c r="U1317">
        <v>1.23</v>
      </c>
      <c r="V1317" t="s">
        <v>7373</v>
      </c>
      <c r="W1317" t="s">
        <v>5369</v>
      </c>
      <c r="X1317" t="s">
        <v>1091</v>
      </c>
      <c r="Y1317" t="s">
        <v>6459</v>
      </c>
      <c r="AA1317">
        <v>0.24</v>
      </c>
      <c r="AE1317" t="s">
        <v>11628</v>
      </c>
      <c r="AF1317" t="s">
        <v>5607</v>
      </c>
      <c r="AG1317" t="s">
        <v>4558</v>
      </c>
      <c r="AH1317" t="s">
        <v>7216</v>
      </c>
      <c r="AI1317" t="s">
        <v>679</v>
      </c>
      <c r="AJ1317" t="s">
        <v>2290</v>
      </c>
      <c r="AK1317" t="s">
        <v>1366</v>
      </c>
      <c r="AL1317">
        <v>0.06</v>
      </c>
      <c r="AN1317">
        <v>0.5</v>
      </c>
      <c r="AP1317" t="s">
        <v>1088</v>
      </c>
      <c r="AQ1317" t="s">
        <v>307</v>
      </c>
      <c r="AR1317" t="s">
        <v>5420</v>
      </c>
      <c r="AS1317" t="s">
        <v>6151</v>
      </c>
      <c r="AT1317" t="s">
        <v>13117</v>
      </c>
      <c r="AU1317" t="s">
        <v>4547</v>
      </c>
      <c r="AV1317" t="s">
        <v>1129</v>
      </c>
      <c r="AW1317" t="s">
        <v>4210</v>
      </c>
      <c r="AX1317" t="s">
        <v>2579</v>
      </c>
      <c r="AY1317" t="s">
        <v>16531</v>
      </c>
      <c r="AZ1317" t="s">
        <v>12482</v>
      </c>
      <c r="BA1317">
        <v>2</v>
      </c>
      <c r="BB1317">
        <v>22.26</v>
      </c>
      <c r="BC1317">
        <v>0.46</v>
      </c>
      <c r="BD1317">
        <v>25.9</v>
      </c>
      <c r="BE1317">
        <v>26.15</v>
      </c>
      <c r="BF1317">
        <v>25.92</v>
      </c>
      <c r="BG1317" t="s">
        <v>16532</v>
      </c>
      <c r="BH1317" t="s">
        <v>16533</v>
      </c>
      <c r="BI1317" t="s">
        <v>16534</v>
      </c>
      <c r="BJ1317" t="s">
        <v>101</v>
      </c>
      <c r="BK1317" t="s">
        <v>4902</v>
      </c>
      <c r="BL1317" t="s">
        <v>2408</v>
      </c>
      <c r="BM1317" t="s">
        <v>4667</v>
      </c>
      <c r="BN1317" t="s">
        <v>14623</v>
      </c>
    </row>
    <row r="1318" spans="1:66" x14ac:dyDescent="0.25">
      <c r="A1318" t="str">
        <f>HYPERLINK("https://elite.finviz.com/quote.ashx?t=FGMC&amp;ty=c&amp;p=d&amp;b=1", "FGMC")</f>
        <v>FGMC</v>
      </c>
      <c r="B1318">
        <v>6</v>
      </c>
      <c r="C1318">
        <v>127.03</v>
      </c>
      <c r="D1318">
        <v>49.95</v>
      </c>
      <c r="E1318" t="s">
        <v>16535</v>
      </c>
      <c r="F1318" t="s">
        <v>107</v>
      </c>
      <c r="G1318" t="s">
        <v>550</v>
      </c>
      <c r="H1318" t="s">
        <v>2120</v>
      </c>
      <c r="I1318" t="s">
        <v>70</v>
      </c>
      <c r="J1318" t="s">
        <v>321</v>
      </c>
      <c r="K1318">
        <v>102.69</v>
      </c>
      <c r="L1318">
        <v>9.9700000000000006</v>
      </c>
      <c r="M1318" t="s">
        <v>770</v>
      </c>
      <c r="N1318">
        <v>3164</v>
      </c>
      <c r="O1318">
        <v>117.43</v>
      </c>
      <c r="S1318">
        <v>278.73</v>
      </c>
      <c r="AA1318">
        <v>0.08</v>
      </c>
      <c r="AJ1318" t="s">
        <v>164</v>
      </c>
      <c r="AK1318" t="s">
        <v>11410</v>
      </c>
      <c r="AL1318">
        <v>2.23</v>
      </c>
      <c r="AM1318">
        <v>2.23</v>
      </c>
      <c r="AN1318">
        <v>0</v>
      </c>
      <c r="AR1318" t="s">
        <v>497</v>
      </c>
      <c r="AS1318" t="s">
        <v>822</v>
      </c>
      <c r="AT1318" t="s">
        <v>3227</v>
      </c>
      <c r="AU1318" t="s">
        <v>1324</v>
      </c>
      <c r="AV1318" t="s">
        <v>910</v>
      </c>
      <c r="AW1318" t="s">
        <v>8979</v>
      </c>
      <c r="AX1318" t="s">
        <v>6056</v>
      </c>
      <c r="AY1318" t="s">
        <v>8979</v>
      </c>
      <c r="AZ1318" t="s">
        <v>4659</v>
      </c>
      <c r="BB1318">
        <v>58.42</v>
      </c>
      <c r="BC1318">
        <v>0.19</v>
      </c>
      <c r="BD1318">
        <v>9.98</v>
      </c>
      <c r="BE1318">
        <v>9.98</v>
      </c>
      <c r="BF1318">
        <v>9.9700000000000006</v>
      </c>
      <c r="BG1318" t="s">
        <v>16536</v>
      </c>
      <c r="BH1318" t="s">
        <v>8979</v>
      </c>
      <c r="BI1318" t="s">
        <v>4659</v>
      </c>
      <c r="BJ1318" t="s">
        <v>101</v>
      </c>
      <c r="BK1318" t="s">
        <v>1457</v>
      </c>
      <c r="BL1318" t="s">
        <v>5467</v>
      </c>
      <c r="BN1318" t="s">
        <v>14623</v>
      </c>
    </row>
    <row r="1319" spans="1:66" x14ac:dyDescent="0.25">
      <c r="A1319" t="str">
        <f>HYPERLINK("https://elite.finviz.com/quote.ashx?t=PEBK&amp;ty=c&amp;p=d&amp;b=1", "PEBK")</f>
        <v>PEBK</v>
      </c>
      <c r="B1319">
        <v>6</v>
      </c>
      <c r="C1319">
        <v>127.03</v>
      </c>
      <c r="D1319">
        <v>49.96</v>
      </c>
      <c r="E1319" t="s">
        <v>16537</v>
      </c>
      <c r="F1319" t="s">
        <v>67</v>
      </c>
      <c r="G1319" t="s">
        <v>550</v>
      </c>
      <c r="H1319" t="s">
        <v>697</v>
      </c>
      <c r="I1319" t="s">
        <v>70</v>
      </c>
      <c r="J1319" t="s">
        <v>321</v>
      </c>
      <c r="K1319">
        <v>169.79</v>
      </c>
      <c r="L1319">
        <v>31.1</v>
      </c>
      <c r="M1319" t="s">
        <v>2646</v>
      </c>
      <c r="N1319">
        <v>1626</v>
      </c>
      <c r="O1319">
        <v>9.99</v>
      </c>
      <c r="R1319">
        <v>1.54</v>
      </c>
      <c r="S1319">
        <v>1.18</v>
      </c>
      <c r="T1319" t="s">
        <v>387</v>
      </c>
      <c r="U1319">
        <v>0.79</v>
      </c>
      <c r="V1319" t="s">
        <v>7315</v>
      </c>
      <c r="W1319" t="s">
        <v>164</v>
      </c>
      <c r="X1319" t="s">
        <v>121</v>
      </c>
      <c r="Y1319" t="s">
        <v>2386</v>
      </c>
      <c r="Z1319" t="s">
        <v>3747</v>
      </c>
      <c r="AA1319">
        <v>3.11</v>
      </c>
      <c r="AB1319" t="s">
        <v>353</v>
      </c>
      <c r="AC1319" t="s">
        <v>454</v>
      </c>
      <c r="AE1319" t="s">
        <v>1204</v>
      </c>
      <c r="AF1319" t="s">
        <v>1511</v>
      </c>
      <c r="AG1319" t="s">
        <v>230</v>
      </c>
      <c r="AH1319" t="s">
        <v>304</v>
      </c>
      <c r="AJ1319" t="s">
        <v>1714</v>
      </c>
      <c r="AK1319" t="s">
        <v>11819</v>
      </c>
      <c r="AL1319">
        <v>0.25</v>
      </c>
      <c r="AN1319">
        <v>0.13</v>
      </c>
      <c r="AP1319" t="s">
        <v>12922</v>
      </c>
      <c r="AQ1319" t="s">
        <v>10558</v>
      </c>
      <c r="AR1319" t="s">
        <v>454</v>
      </c>
      <c r="AS1319" t="s">
        <v>633</v>
      </c>
      <c r="AT1319" t="s">
        <v>1510</v>
      </c>
      <c r="AU1319" t="s">
        <v>1768</v>
      </c>
      <c r="AV1319" t="s">
        <v>5319</v>
      </c>
      <c r="AW1319" t="s">
        <v>9537</v>
      </c>
      <c r="AX1319" t="s">
        <v>9096</v>
      </c>
      <c r="AY1319" t="s">
        <v>9537</v>
      </c>
      <c r="AZ1319" t="s">
        <v>16538</v>
      </c>
      <c r="BB1319">
        <v>8.85</v>
      </c>
      <c r="BC1319">
        <v>0.65</v>
      </c>
      <c r="BD1319">
        <v>31.01</v>
      </c>
      <c r="BE1319">
        <v>31.01</v>
      </c>
      <c r="BF1319">
        <v>31.01</v>
      </c>
      <c r="BG1319" t="s">
        <v>16539</v>
      </c>
      <c r="BH1319" t="s">
        <v>16540</v>
      </c>
      <c r="BI1319" t="s">
        <v>16541</v>
      </c>
      <c r="BJ1319" t="s">
        <v>101</v>
      </c>
      <c r="BK1319" t="s">
        <v>2585</v>
      </c>
      <c r="BL1319" t="s">
        <v>7511</v>
      </c>
      <c r="BM1319" t="s">
        <v>6860</v>
      </c>
      <c r="BN1319" t="s">
        <v>14623</v>
      </c>
    </row>
    <row r="1320" spans="1:66" x14ac:dyDescent="0.25">
      <c r="A1320" t="str">
        <f>HYPERLINK("https://elite.finviz.com/quote.ashx?t=HMN&amp;ty=c&amp;p=d&amp;b=1", "HMN")</f>
        <v>HMN</v>
      </c>
      <c r="B1320">
        <v>6</v>
      </c>
      <c r="C1320">
        <v>127.03</v>
      </c>
      <c r="D1320">
        <v>49.97</v>
      </c>
      <c r="E1320" t="s">
        <v>16542</v>
      </c>
      <c r="F1320" t="s">
        <v>67</v>
      </c>
      <c r="G1320" t="s">
        <v>550</v>
      </c>
      <c r="H1320" t="s">
        <v>4407</v>
      </c>
      <c r="I1320" t="s">
        <v>70</v>
      </c>
      <c r="J1320" t="s">
        <v>71</v>
      </c>
      <c r="K1320">
        <v>1858.98</v>
      </c>
      <c r="L1320">
        <v>45.68</v>
      </c>
      <c r="M1320" t="s">
        <v>1022</v>
      </c>
      <c r="N1320">
        <v>22954</v>
      </c>
      <c r="O1320">
        <v>13.54</v>
      </c>
      <c r="P1320">
        <v>9.9700000000000006</v>
      </c>
      <c r="Q1320">
        <v>0.8</v>
      </c>
      <c r="R1320">
        <v>1.1299999999999999</v>
      </c>
      <c r="S1320">
        <v>1.37</v>
      </c>
      <c r="T1320" t="s">
        <v>2624</v>
      </c>
      <c r="U1320">
        <v>1.39</v>
      </c>
      <c r="V1320" t="s">
        <v>5925</v>
      </c>
      <c r="W1320" t="s">
        <v>2735</v>
      </c>
      <c r="X1320" t="s">
        <v>7088</v>
      </c>
      <c r="Y1320" t="s">
        <v>4495</v>
      </c>
      <c r="Z1320" t="s">
        <v>13653</v>
      </c>
      <c r="AA1320">
        <v>3.37</v>
      </c>
      <c r="AB1320" t="s">
        <v>13200</v>
      </c>
      <c r="AC1320" t="s">
        <v>16186</v>
      </c>
      <c r="AD1320" t="s">
        <v>3199</v>
      </c>
      <c r="AE1320" t="s">
        <v>370</v>
      </c>
      <c r="AF1320" t="s">
        <v>229</v>
      </c>
      <c r="AG1320" t="s">
        <v>2876</v>
      </c>
      <c r="AH1320" t="s">
        <v>1204</v>
      </c>
      <c r="AI1320" t="s">
        <v>16543</v>
      </c>
      <c r="AJ1320" t="s">
        <v>16544</v>
      </c>
      <c r="AK1320" t="s">
        <v>16545</v>
      </c>
      <c r="AN1320">
        <v>0.4</v>
      </c>
      <c r="AP1320" t="s">
        <v>1359</v>
      </c>
      <c r="AQ1320" t="s">
        <v>864</v>
      </c>
      <c r="AR1320" t="s">
        <v>2720</v>
      </c>
      <c r="AS1320" t="s">
        <v>2195</v>
      </c>
      <c r="AT1320" t="s">
        <v>1783</v>
      </c>
      <c r="AU1320" t="s">
        <v>90</v>
      </c>
      <c r="AV1320" t="s">
        <v>5697</v>
      </c>
      <c r="AW1320" t="s">
        <v>3444</v>
      </c>
      <c r="AX1320" t="s">
        <v>945</v>
      </c>
      <c r="AY1320" t="s">
        <v>3444</v>
      </c>
      <c r="AZ1320" t="s">
        <v>16462</v>
      </c>
      <c r="BA1320">
        <v>2.2000000000000002</v>
      </c>
      <c r="BB1320">
        <v>245.39</v>
      </c>
      <c r="BC1320">
        <v>0.33</v>
      </c>
      <c r="BD1320">
        <v>45.38</v>
      </c>
      <c r="BE1320">
        <v>46.04</v>
      </c>
      <c r="BF1320">
        <v>45.45</v>
      </c>
      <c r="BG1320" t="s">
        <v>16546</v>
      </c>
      <c r="BH1320" t="s">
        <v>6822</v>
      </c>
      <c r="BI1320" t="s">
        <v>16547</v>
      </c>
      <c r="BJ1320" t="s">
        <v>101</v>
      </c>
      <c r="BK1320" t="s">
        <v>291</v>
      </c>
      <c r="BL1320" t="s">
        <v>755</v>
      </c>
      <c r="BM1320" t="s">
        <v>1910</v>
      </c>
      <c r="BN1320" t="s">
        <v>14623</v>
      </c>
    </row>
    <row r="1321" spans="1:66" x14ac:dyDescent="0.25">
      <c r="A1321" t="str">
        <f>HYPERLINK("https://elite.finviz.com/quote.ashx?t=XTNT&amp;ty=c&amp;p=d&amp;b=1", "XTNT")</f>
        <v>XTNT</v>
      </c>
      <c r="B1321">
        <v>6</v>
      </c>
      <c r="C1321">
        <v>127.03</v>
      </c>
      <c r="D1321">
        <v>49.99</v>
      </c>
      <c r="E1321" t="s">
        <v>16548</v>
      </c>
      <c r="F1321" t="s">
        <v>107</v>
      </c>
      <c r="G1321" t="s">
        <v>428</v>
      </c>
      <c r="H1321" t="s">
        <v>2051</v>
      </c>
      <c r="I1321" t="s">
        <v>70</v>
      </c>
      <c r="J1321" t="s">
        <v>383</v>
      </c>
      <c r="K1321">
        <v>82.7</v>
      </c>
      <c r="L1321">
        <v>0.63</v>
      </c>
      <c r="M1321" t="s">
        <v>6194</v>
      </c>
      <c r="N1321">
        <v>16384</v>
      </c>
      <c r="P1321">
        <v>50.37</v>
      </c>
      <c r="R1321">
        <v>0.65</v>
      </c>
      <c r="S1321">
        <v>1.82</v>
      </c>
      <c r="AA1321">
        <v>-0.04</v>
      </c>
      <c r="AB1321" t="s">
        <v>15761</v>
      </c>
      <c r="AC1321" t="s">
        <v>1663</v>
      </c>
      <c r="AE1321" t="s">
        <v>8456</v>
      </c>
      <c r="AF1321" t="s">
        <v>16549</v>
      </c>
      <c r="AG1321" t="s">
        <v>1609</v>
      </c>
      <c r="AH1321" t="s">
        <v>9460</v>
      </c>
      <c r="AI1321" t="s">
        <v>8826</v>
      </c>
      <c r="AJ1321" t="s">
        <v>16550</v>
      </c>
      <c r="AK1321" t="s">
        <v>8679</v>
      </c>
      <c r="AL1321">
        <v>2.4700000000000002</v>
      </c>
      <c r="AM1321">
        <v>1.1599999999999999</v>
      </c>
      <c r="AN1321">
        <v>0.76</v>
      </c>
      <c r="AO1321" t="s">
        <v>16551</v>
      </c>
      <c r="AP1321" t="s">
        <v>2215</v>
      </c>
      <c r="AQ1321" t="s">
        <v>9279</v>
      </c>
      <c r="AR1321" t="s">
        <v>369</v>
      </c>
      <c r="AS1321" t="s">
        <v>5847</v>
      </c>
      <c r="AT1321" t="s">
        <v>2638</v>
      </c>
      <c r="AU1321" t="s">
        <v>2082</v>
      </c>
      <c r="AV1321" t="s">
        <v>2947</v>
      </c>
      <c r="AW1321" t="s">
        <v>7049</v>
      </c>
      <c r="AX1321" t="s">
        <v>7082</v>
      </c>
      <c r="AY1321" t="s">
        <v>529</v>
      </c>
      <c r="AZ1321" t="s">
        <v>16552</v>
      </c>
      <c r="BA1321">
        <v>1</v>
      </c>
      <c r="BB1321">
        <v>83.9</v>
      </c>
      <c r="BC1321">
        <v>0.69</v>
      </c>
      <c r="BD1321">
        <v>0.64</v>
      </c>
      <c r="BE1321">
        <v>0.65</v>
      </c>
      <c r="BF1321">
        <v>0.63</v>
      </c>
      <c r="BG1321" t="s">
        <v>16553</v>
      </c>
      <c r="BH1321" t="s">
        <v>446</v>
      </c>
      <c r="BI1321" t="s">
        <v>16552</v>
      </c>
      <c r="BJ1321" t="s">
        <v>101</v>
      </c>
      <c r="BK1321" t="s">
        <v>2125</v>
      </c>
      <c r="BL1321" t="s">
        <v>11467</v>
      </c>
      <c r="BM1321" t="s">
        <v>2951</v>
      </c>
      <c r="BN1321" t="s">
        <v>14623</v>
      </c>
    </row>
    <row r="1322" spans="1:66" x14ac:dyDescent="0.25">
      <c r="A1322" t="str">
        <f>HYPERLINK("https://elite.finviz.com/quote.ashx?t=PJT&amp;ty=c&amp;p=d&amp;b=1", "PJT")</f>
        <v>PJT</v>
      </c>
      <c r="B1322">
        <v>6</v>
      </c>
      <c r="C1322">
        <v>127.03</v>
      </c>
      <c r="D1322">
        <v>50</v>
      </c>
      <c r="E1322" t="s">
        <v>16554</v>
      </c>
      <c r="F1322" t="s">
        <v>67</v>
      </c>
      <c r="G1322" t="s">
        <v>550</v>
      </c>
      <c r="H1322" t="s">
        <v>551</v>
      </c>
      <c r="I1322" t="s">
        <v>70</v>
      </c>
      <c r="J1322" t="s">
        <v>71</v>
      </c>
      <c r="K1322">
        <v>6327.74</v>
      </c>
      <c r="L1322">
        <v>181.8</v>
      </c>
      <c r="M1322" t="s">
        <v>2642</v>
      </c>
      <c r="N1322">
        <v>11454</v>
      </c>
      <c r="O1322">
        <v>31.22</v>
      </c>
      <c r="P1322">
        <v>24.69</v>
      </c>
      <c r="Q1322">
        <v>1.82</v>
      </c>
      <c r="R1322">
        <v>4.12</v>
      </c>
      <c r="S1322">
        <v>26.39</v>
      </c>
      <c r="T1322" t="s">
        <v>2418</v>
      </c>
      <c r="U1322">
        <v>1</v>
      </c>
      <c r="V1322" t="s">
        <v>7315</v>
      </c>
      <c r="W1322" t="s">
        <v>164</v>
      </c>
      <c r="X1322" t="s">
        <v>10076</v>
      </c>
      <c r="Y1322" t="s">
        <v>4239</v>
      </c>
      <c r="Z1322" t="s">
        <v>16555</v>
      </c>
      <c r="AA1322">
        <v>5.82</v>
      </c>
      <c r="AB1322" t="s">
        <v>296</v>
      </c>
      <c r="AC1322" t="s">
        <v>7819</v>
      </c>
      <c r="AD1322" t="s">
        <v>3272</v>
      </c>
      <c r="AE1322" t="s">
        <v>9488</v>
      </c>
      <c r="AF1322" t="s">
        <v>11845</v>
      </c>
      <c r="AG1322" t="s">
        <v>14195</v>
      </c>
      <c r="AH1322" t="s">
        <v>1925</v>
      </c>
      <c r="AI1322" t="s">
        <v>2698</v>
      </c>
      <c r="AJ1322" t="s">
        <v>575</v>
      </c>
      <c r="AK1322" t="s">
        <v>16556</v>
      </c>
      <c r="AL1322">
        <v>2.19</v>
      </c>
      <c r="AM1322">
        <v>2.19</v>
      </c>
      <c r="AN1322">
        <v>2.48</v>
      </c>
      <c r="AP1322" t="s">
        <v>10775</v>
      </c>
      <c r="AQ1322" t="s">
        <v>1110</v>
      </c>
      <c r="AR1322" t="s">
        <v>6430</v>
      </c>
      <c r="AS1322" t="s">
        <v>715</v>
      </c>
      <c r="AT1322" t="s">
        <v>2745</v>
      </c>
      <c r="AU1322" t="s">
        <v>3736</v>
      </c>
      <c r="AV1322" t="s">
        <v>4258</v>
      </c>
      <c r="AW1322" t="s">
        <v>11675</v>
      </c>
      <c r="AX1322" t="s">
        <v>1772</v>
      </c>
      <c r="AY1322" t="s">
        <v>8607</v>
      </c>
      <c r="AZ1322" t="s">
        <v>3563</v>
      </c>
      <c r="BA1322">
        <v>3.5</v>
      </c>
      <c r="BB1322">
        <v>216.48</v>
      </c>
      <c r="BC1322">
        <v>0.19</v>
      </c>
      <c r="BD1322">
        <v>181.16</v>
      </c>
      <c r="BE1322">
        <v>183.58</v>
      </c>
      <c r="BF1322">
        <v>181.68</v>
      </c>
      <c r="BG1322" t="s">
        <v>16557</v>
      </c>
      <c r="BH1322" t="s">
        <v>8607</v>
      </c>
      <c r="BI1322" t="s">
        <v>16558</v>
      </c>
      <c r="BJ1322" t="s">
        <v>101</v>
      </c>
      <c r="BK1322" t="s">
        <v>9280</v>
      </c>
      <c r="BL1322" t="s">
        <v>8958</v>
      </c>
      <c r="BM1322" t="s">
        <v>8664</v>
      </c>
      <c r="BN1322" t="s">
        <v>14623</v>
      </c>
    </row>
    <row r="1323" spans="1:66" x14ac:dyDescent="0.25">
      <c r="A1323" t="str">
        <f>HYPERLINK("https://elite.finviz.com/quote.ashx?t=PVBC&amp;ty=c&amp;p=d&amp;b=1", "PVBC")</f>
        <v>PVBC</v>
      </c>
      <c r="B1323">
        <v>6</v>
      </c>
      <c r="C1323">
        <v>127.03</v>
      </c>
      <c r="D1323">
        <v>50</v>
      </c>
      <c r="E1323" t="s">
        <v>16559</v>
      </c>
      <c r="F1323" t="s">
        <v>67</v>
      </c>
      <c r="G1323" t="s">
        <v>550</v>
      </c>
      <c r="H1323" t="s">
        <v>697</v>
      </c>
      <c r="I1323" t="s">
        <v>70</v>
      </c>
      <c r="J1323" t="s">
        <v>321</v>
      </c>
      <c r="K1323">
        <v>226.22</v>
      </c>
      <c r="L1323">
        <v>12.72</v>
      </c>
      <c r="M1323" t="s">
        <v>149</v>
      </c>
      <c r="N1323">
        <v>3680</v>
      </c>
      <c r="O1323">
        <v>20.29</v>
      </c>
      <c r="R1323">
        <v>2.4</v>
      </c>
      <c r="S1323">
        <v>0.95</v>
      </c>
      <c r="V1323" t="s">
        <v>16560</v>
      </c>
      <c r="Z1323" t="s">
        <v>164</v>
      </c>
      <c r="AA1323">
        <v>0.63</v>
      </c>
      <c r="AB1323" t="s">
        <v>16561</v>
      </c>
      <c r="AC1323" t="s">
        <v>6755</v>
      </c>
      <c r="AE1323" t="s">
        <v>6541</v>
      </c>
      <c r="AF1323" t="s">
        <v>537</v>
      </c>
      <c r="AG1323" t="s">
        <v>8086</v>
      </c>
      <c r="AH1323" t="s">
        <v>2571</v>
      </c>
      <c r="AI1323" t="s">
        <v>7923</v>
      </c>
      <c r="AJ1323" t="s">
        <v>164</v>
      </c>
      <c r="AK1323" t="s">
        <v>9061</v>
      </c>
      <c r="AL1323">
        <v>0.15</v>
      </c>
      <c r="AN1323">
        <v>0.17</v>
      </c>
      <c r="AP1323" t="s">
        <v>3841</v>
      </c>
      <c r="AQ1323" t="s">
        <v>483</v>
      </c>
      <c r="AR1323" t="s">
        <v>343</v>
      </c>
      <c r="AS1323" t="s">
        <v>3018</v>
      </c>
      <c r="AT1323" t="s">
        <v>4273</v>
      </c>
      <c r="AU1323" t="s">
        <v>1022</v>
      </c>
      <c r="AV1323" t="s">
        <v>2869</v>
      </c>
      <c r="AW1323" t="s">
        <v>3466</v>
      </c>
      <c r="AX1323" t="s">
        <v>3601</v>
      </c>
      <c r="AY1323" t="s">
        <v>3466</v>
      </c>
      <c r="AZ1323" t="s">
        <v>6063</v>
      </c>
      <c r="BA1323">
        <v>3</v>
      </c>
      <c r="BB1323">
        <v>78.650000000000006</v>
      </c>
      <c r="BC1323">
        <v>0.17</v>
      </c>
      <c r="BD1323">
        <v>12.66</v>
      </c>
      <c r="BE1323">
        <v>12.69</v>
      </c>
      <c r="BF1323">
        <v>12.61</v>
      </c>
      <c r="BG1323" t="s">
        <v>16562</v>
      </c>
      <c r="BH1323" t="s">
        <v>15752</v>
      </c>
      <c r="BI1323" t="s">
        <v>8849</v>
      </c>
      <c r="BJ1323" t="s">
        <v>101</v>
      </c>
      <c r="BK1323" t="s">
        <v>305</v>
      </c>
      <c r="BL1323" t="s">
        <v>438</v>
      </c>
      <c r="BM1323" t="s">
        <v>8433</v>
      </c>
      <c r="BN1323" t="s">
        <v>14623</v>
      </c>
    </row>
    <row r="1324" spans="1:66" x14ac:dyDescent="0.25">
      <c r="A1324" t="str">
        <f>HYPERLINK("https://elite.finviz.com/quote.ashx?t=AMPG&amp;ty=c&amp;p=d&amp;b=1", "AMPG")</f>
        <v>AMPG</v>
      </c>
      <c r="B1324">
        <v>6</v>
      </c>
      <c r="C1324">
        <v>127.03</v>
      </c>
      <c r="D1324">
        <v>50.01</v>
      </c>
      <c r="E1324" t="s">
        <v>16563</v>
      </c>
      <c r="F1324" t="s">
        <v>107</v>
      </c>
      <c r="G1324" t="s">
        <v>108</v>
      </c>
      <c r="H1324" t="s">
        <v>1921</v>
      </c>
      <c r="I1324" t="s">
        <v>70</v>
      </c>
      <c r="J1324" t="s">
        <v>321</v>
      </c>
      <c r="K1324">
        <v>79.819999999999993</v>
      </c>
      <c r="L1324">
        <v>3.88</v>
      </c>
      <c r="M1324" t="s">
        <v>6130</v>
      </c>
      <c r="N1324">
        <v>141044</v>
      </c>
      <c r="P1324">
        <v>55.43</v>
      </c>
      <c r="R1324">
        <v>4.13</v>
      </c>
      <c r="S1324">
        <v>2.23</v>
      </c>
      <c r="AA1324">
        <v>-0.62</v>
      </c>
      <c r="AB1324" t="s">
        <v>5186</v>
      </c>
      <c r="AE1324" t="s">
        <v>6648</v>
      </c>
      <c r="AF1324" t="s">
        <v>3522</v>
      </c>
      <c r="AG1324" t="s">
        <v>982</v>
      </c>
      <c r="AH1324" t="s">
        <v>16564</v>
      </c>
      <c r="AI1324" t="s">
        <v>7242</v>
      </c>
      <c r="AJ1324" t="s">
        <v>3226</v>
      </c>
      <c r="AK1324" t="s">
        <v>12687</v>
      </c>
      <c r="AL1324">
        <v>2.82</v>
      </c>
      <c r="AM1324">
        <v>1.94</v>
      </c>
      <c r="AN1324">
        <v>0.12</v>
      </c>
      <c r="AO1324" t="s">
        <v>1227</v>
      </c>
      <c r="AP1324" t="s">
        <v>16565</v>
      </c>
      <c r="AQ1324" t="s">
        <v>16566</v>
      </c>
      <c r="AR1324" t="s">
        <v>7698</v>
      </c>
      <c r="AS1324" t="s">
        <v>684</v>
      </c>
      <c r="AT1324" t="s">
        <v>6494</v>
      </c>
      <c r="AU1324" t="s">
        <v>483</v>
      </c>
      <c r="AV1324" t="s">
        <v>8255</v>
      </c>
      <c r="AW1324" t="s">
        <v>7274</v>
      </c>
      <c r="AX1324" t="s">
        <v>16567</v>
      </c>
      <c r="AY1324" t="s">
        <v>16568</v>
      </c>
      <c r="AZ1324" t="s">
        <v>16569</v>
      </c>
      <c r="BA1324">
        <v>1</v>
      </c>
      <c r="BB1324">
        <v>712.35</v>
      </c>
      <c r="BC1324">
        <v>0.7</v>
      </c>
      <c r="BD1324">
        <v>4</v>
      </c>
      <c r="BE1324">
        <v>4.0599999999999996</v>
      </c>
      <c r="BF1324">
        <v>3.85</v>
      </c>
      <c r="BG1324" t="s">
        <v>16570</v>
      </c>
      <c r="BH1324" t="s">
        <v>16571</v>
      </c>
      <c r="BI1324" t="s">
        <v>16572</v>
      </c>
      <c r="BJ1324" t="s">
        <v>101</v>
      </c>
      <c r="BK1324" t="s">
        <v>16573</v>
      </c>
      <c r="BL1324" t="s">
        <v>16574</v>
      </c>
      <c r="BM1324" t="s">
        <v>16575</v>
      </c>
      <c r="BN1324" t="s">
        <v>14623</v>
      </c>
    </row>
    <row r="1325" spans="1:66" x14ac:dyDescent="0.25">
      <c r="A1325" t="str">
        <f>HYPERLINK("https://elite.finviz.com/quote.ashx?t=CLAR&amp;ty=c&amp;p=d&amp;b=1", "CLAR")</f>
        <v>CLAR</v>
      </c>
      <c r="B1325">
        <v>6</v>
      </c>
      <c r="C1325">
        <v>127.03</v>
      </c>
      <c r="D1325">
        <v>50.01</v>
      </c>
      <c r="E1325" t="s">
        <v>16576</v>
      </c>
      <c r="F1325" t="s">
        <v>67</v>
      </c>
      <c r="G1325" t="s">
        <v>813</v>
      </c>
      <c r="H1325" t="s">
        <v>5941</v>
      </c>
      <c r="I1325" t="s">
        <v>70</v>
      </c>
      <c r="J1325" t="s">
        <v>321</v>
      </c>
      <c r="K1325">
        <v>142.09</v>
      </c>
      <c r="L1325">
        <v>3.7</v>
      </c>
      <c r="M1325" t="s">
        <v>164</v>
      </c>
      <c r="N1325">
        <v>12977</v>
      </c>
      <c r="R1325">
        <v>0.56000000000000005</v>
      </c>
      <c r="S1325">
        <v>0.63</v>
      </c>
      <c r="T1325" t="s">
        <v>648</v>
      </c>
      <c r="U1325">
        <v>0.1</v>
      </c>
      <c r="V1325" t="s">
        <v>893</v>
      </c>
      <c r="W1325" t="s">
        <v>164</v>
      </c>
      <c r="X1325" t="s">
        <v>164</v>
      </c>
      <c r="Y1325" t="s">
        <v>164</v>
      </c>
      <c r="AA1325">
        <v>-2.15</v>
      </c>
      <c r="AD1325" t="s">
        <v>16577</v>
      </c>
      <c r="AE1325" t="s">
        <v>11544</v>
      </c>
      <c r="AF1325" t="s">
        <v>7307</v>
      </c>
      <c r="AG1325" t="s">
        <v>6937</v>
      </c>
      <c r="AH1325" t="s">
        <v>7646</v>
      </c>
      <c r="AI1325" t="s">
        <v>16578</v>
      </c>
      <c r="AJ1325" t="s">
        <v>3325</v>
      </c>
      <c r="AK1325" t="s">
        <v>16579</v>
      </c>
      <c r="AL1325">
        <v>4.55</v>
      </c>
      <c r="AM1325">
        <v>2.19</v>
      </c>
      <c r="AN1325">
        <v>7.0000000000000007E-2</v>
      </c>
      <c r="AO1325" t="s">
        <v>10959</v>
      </c>
      <c r="AP1325" t="s">
        <v>1219</v>
      </c>
      <c r="AQ1325" t="s">
        <v>16580</v>
      </c>
      <c r="AR1325" t="s">
        <v>2494</v>
      </c>
      <c r="AS1325" t="s">
        <v>1453</v>
      </c>
      <c r="AT1325" t="s">
        <v>4879</v>
      </c>
      <c r="AU1325" t="s">
        <v>2307</v>
      </c>
      <c r="AV1325" t="s">
        <v>3998</v>
      </c>
      <c r="AW1325" t="s">
        <v>647</v>
      </c>
      <c r="AX1325" t="s">
        <v>7749</v>
      </c>
      <c r="AY1325" t="s">
        <v>16581</v>
      </c>
      <c r="AZ1325" t="s">
        <v>16013</v>
      </c>
      <c r="BA1325">
        <v>2.33</v>
      </c>
      <c r="BB1325">
        <v>172.62</v>
      </c>
      <c r="BC1325">
        <v>0.27</v>
      </c>
      <c r="BD1325">
        <v>3.7</v>
      </c>
      <c r="BE1325">
        <v>3.8</v>
      </c>
      <c r="BF1325">
        <v>3.69</v>
      </c>
      <c r="BG1325" t="s">
        <v>16582</v>
      </c>
      <c r="BH1325" t="s">
        <v>16583</v>
      </c>
      <c r="BI1325" t="s">
        <v>4910</v>
      </c>
      <c r="BJ1325" t="s">
        <v>101</v>
      </c>
      <c r="BK1325" t="s">
        <v>2522</v>
      </c>
      <c r="BL1325" t="s">
        <v>14672</v>
      </c>
      <c r="BM1325" t="s">
        <v>16222</v>
      </c>
      <c r="BN1325" t="s">
        <v>14623</v>
      </c>
    </row>
    <row r="1326" spans="1:66" x14ac:dyDescent="0.25">
      <c r="A1326" t="str">
        <f>HYPERLINK("https://elite.finviz.com/quote.ashx?t=CBU&amp;ty=c&amp;p=d&amp;b=1", "CBU")</f>
        <v>CBU</v>
      </c>
      <c r="B1326">
        <v>6</v>
      </c>
      <c r="C1326">
        <v>127.03</v>
      </c>
      <c r="D1326">
        <v>50.03</v>
      </c>
      <c r="E1326" t="s">
        <v>16584</v>
      </c>
      <c r="F1326" t="s">
        <v>67</v>
      </c>
      <c r="G1326" t="s">
        <v>550</v>
      </c>
      <c r="H1326" t="s">
        <v>697</v>
      </c>
      <c r="I1326" t="s">
        <v>70</v>
      </c>
      <c r="J1326" t="s">
        <v>71</v>
      </c>
      <c r="K1326">
        <v>3131.79</v>
      </c>
      <c r="L1326">
        <v>59.25</v>
      </c>
      <c r="M1326" t="s">
        <v>1938</v>
      </c>
      <c r="N1326">
        <v>20639</v>
      </c>
      <c r="O1326">
        <v>16.170000000000002</v>
      </c>
      <c r="P1326">
        <v>12.38</v>
      </c>
      <c r="R1326">
        <v>3.21</v>
      </c>
      <c r="S1326">
        <v>1.66</v>
      </c>
      <c r="T1326" t="s">
        <v>911</v>
      </c>
      <c r="U1326">
        <v>1.85</v>
      </c>
      <c r="V1326" t="s">
        <v>2620</v>
      </c>
      <c r="W1326" t="s">
        <v>8016</v>
      </c>
      <c r="X1326" t="s">
        <v>7322</v>
      </c>
      <c r="Y1326" t="s">
        <v>862</v>
      </c>
      <c r="Z1326" t="s">
        <v>16585</v>
      </c>
      <c r="AA1326">
        <v>3.66</v>
      </c>
      <c r="AB1326" t="s">
        <v>337</v>
      </c>
      <c r="AC1326" t="s">
        <v>80</v>
      </c>
      <c r="AE1326" t="s">
        <v>14918</v>
      </c>
      <c r="AF1326" t="s">
        <v>1476</v>
      </c>
      <c r="AG1326" t="s">
        <v>4718</v>
      </c>
      <c r="AH1326" t="s">
        <v>3181</v>
      </c>
      <c r="AI1326" t="s">
        <v>2383</v>
      </c>
      <c r="AJ1326" t="s">
        <v>386</v>
      </c>
      <c r="AK1326" t="s">
        <v>16586</v>
      </c>
      <c r="AL1326">
        <v>0.08</v>
      </c>
      <c r="AN1326">
        <v>0.47</v>
      </c>
      <c r="AP1326" t="s">
        <v>664</v>
      </c>
      <c r="AQ1326" t="s">
        <v>8627</v>
      </c>
      <c r="AR1326" t="s">
        <v>2087</v>
      </c>
      <c r="AS1326" t="s">
        <v>8016</v>
      </c>
      <c r="AT1326" t="s">
        <v>240</v>
      </c>
      <c r="AU1326" t="s">
        <v>2743</v>
      </c>
      <c r="AV1326" t="s">
        <v>4840</v>
      </c>
      <c r="AW1326" t="s">
        <v>4540</v>
      </c>
      <c r="AX1326" t="s">
        <v>6746</v>
      </c>
      <c r="AY1326" t="s">
        <v>933</v>
      </c>
      <c r="AZ1326" t="s">
        <v>8627</v>
      </c>
      <c r="BA1326">
        <v>2.2000000000000002</v>
      </c>
      <c r="BB1326">
        <v>292.94</v>
      </c>
      <c r="BC1326">
        <v>0.25</v>
      </c>
      <c r="BD1326">
        <v>59.57</v>
      </c>
      <c r="BE1326">
        <v>60.19</v>
      </c>
      <c r="BF1326">
        <v>59.21</v>
      </c>
      <c r="BG1326" t="s">
        <v>16587</v>
      </c>
      <c r="BH1326" t="s">
        <v>7000</v>
      </c>
      <c r="BI1326" t="s">
        <v>16588</v>
      </c>
      <c r="BJ1326" t="s">
        <v>101</v>
      </c>
      <c r="BK1326" t="s">
        <v>749</v>
      </c>
      <c r="BL1326" t="s">
        <v>4839</v>
      </c>
      <c r="BM1326" t="s">
        <v>3208</v>
      </c>
      <c r="BN1326" t="s">
        <v>14623</v>
      </c>
    </row>
    <row r="1327" spans="1:66" x14ac:dyDescent="0.25">
      <c r="A1327" t="str">
        <f>HYPERLINK("https://elite.finviz.com/quote.ashx?t=SBCF&amp;ty=c&amp;p=d&amp;b=1", "SBCF")</f>
        <v>SBCF</v>
      </c>
      <c r="B1327">
        <v>6</v>
      </c>
      <c r="C1327">
        <v>127.03</v>
      </c>
      <c r="D1327">
        <v>50.05</v>
      </c>
      <c r="E1327" t="s">
        <v>16589</v>
      </c>
      <c r="F1327" t="s">
        <v>67</v>
      </c>
      <c r="G1327" t="s">
        <v>550</v>
      </c>
      <c r="H1327" t="s">
        <v>697</v>
      </c>
      <c r="I1327" t="s">
        <v>70</v>
      </c>
      <c r="J1327" t="s">
        <v>321</v>
      </c>
      <c r="K1327">
        <v>2673.42</v>
      </c>
      <c r="L1327">
        <v>30.43</v>
      </c>
      <c r="M1327" t="s">
        <v>2294</v>
      </c>
      <c r="N1327">
        <v>88386</v>
      </c>
      <c r="O1327">
        <v>18.690000000000001</v>
      </c>
      <c r="P1327">
        <v>12.21</v>
      </c>
      <c r="R1327">
        <v>3.2</v>
      </c>
      <c r="S1327">
        <v>1.1499999999999999</v>
      </c>
      <c r="T1327" t="s">
        <v>92</v>
      </c>
      <c r="U1327">
        <v>0.72</v>
      </c>
      <c r="V1327" t="s">
        <v>3833</v>
      </c>
      <c r="W1327" t="s">
        <v>2554</v>
      </c>
      <c r="X1327" t="s">
        <v>4988</v>
      </c>
      <c r="Z1327" t="s">
        <v>7083</v>
      </c>
      <c r="AA1327">
        <v>1.63</v>
      </c>
      <c r="AB1327" t="s">
        <v>7707</v>
      </c>
      <c r="AC1327" t="s">
        <v>7289</v>
      </c>
      <c r="AE1327" t="s">
        <v>1772</v>
      </c>
      <c r="AF1327" t="s">
        <v>16590</v>
      </c>
      <c r="AG1327" t="s">
        <v>4904</v>
      </c>
      <c r="AH1327" t="s">
        <v>8535</v>
      </c>
      <c r="AI1327" t="s">
        <v>235</v>
      </c>
      <c r="AJ1327" t="s">
        <v>5242</v>
      </c>
      <c r="AK1327" t="s">
        <v>16591</v>
      </c>
      <c r="AL1327">
        <v>0.04</v>
      </c>
      <c r="AN1327">
        <v>0.44</v>
      </c>
      <c r="AP1327" t="s">
        <v>12627</v>
      </c>
      <c r="AQ1327" t="s">
        <v>14743</v>
      </c>
      <c r="AR1327" t="s">
        <v>2640</v>
      </c>
      <c r="AS1327" t="s">
        <v>2876</v>
      </c>
      <c r="AT1327" t="s">
        <v>2826</v>
      </c>
      <c r="AU1327" t="s">
        <v>180</v>
      </c>
      <c r="AV1327" t="s">
        <v>12555</v>
      </c>
      <c r="AW1327" t="s">
        <v>6469</v>
      </c>
      <c r="AX1327" t="s">
        <v>2820</v>
      </c>
      <c r="AY1327" t="s">
        <v>6469</v>
      </c>
      <c r="AZ1327" t="s">
        <v>16592</v>
      </c>
      <c r="BA1327">
        <v>2.4</v>
      </c>
      <c r="BB1327">
        <v>662.02</v>
      </c>
      <c r="BC1327">
        <v>0.47</v>
      </c>
      <c r="BD1327">
        <v>30.5</v>
      </c>
      <c r="BE1327">
        <v>30.8</v>
      </c>
      <c r="BF1327">
        <v>29.93</v>
      </c>
      <c r="BG1327" t="s">
        <v>16593</v>
      </c>
      <c r="BH1327" t="s">
        <v>16594</v>
      </c>
      <c r="BI1327" t="s">
        <v>16595</v>
      </c>
      <c r="BJ1327" t="s">
        <v>101</v>
      </c>
      <c r="BK1327" t="s">
        <v>6532</v>
      </c>
      <c r="BL1327" t="s">
        <v>5747</v>
      </c>
      <c r="BM1327" t="s">
        <v>6087</v>
      </c>
      <c r="BN1327" t="s">
        <v>14623</v>
      </c>
    </row>
    <row r="1328" spans="1:66" x14ac:dyDescent="0.25">
      <c r="A1328" t="str">
        <f>HYPERLINK("https://elite.finviz.com/quote.ashx?t=IIIN&amp;ty=c&amp;p=d&amp;b=1", "IIIN")</f>
        <v>IIIN</v>
      </c>
      <c r="B1328">
        <v>6</v>
      </c>
      <c r="C1328">
        <v>127.03</v>
      </c>
      <c r="D1328">
        <v>50.07</v>
      </c>
      <c r="E1328" t="s">
        <v>16596</v>
      </c>
      <c r="F1328" t="s">
        <v>67</v>
      </c>
      <c r="G1328" t="s">
        <v>260</v>
      </c>
      <c r="H1328" t="s">
        <v>2223</v>
      </c>
      <c r="I1328" t="s">
        <v>70</v>
      </c>
      <c r="J1328" t="s">
        <v>71</v>
      </c>
      <c r="K1328">
        <v>743.59</v>
      </c>
      <c r="L1328">
        <v>38.31</v>
      </c>
      <c r="M1328" t="s">
        <v>2757</v>
      </c>
      <c r="N1328">
        <v>6720</v>
      </c>
      <c r="O1328">
        <v>24.05</v>
      </c>
      <c r="P1328">
        <v>13.86</v>
      </c>
      <c r="Q1328">
        <v>0.5</v>
      </c>
      <c r="R1328">
        <v>1.23</v>
      </c>
      <c r="S1328">
        <v>2.09</v>
      </c>
      <c r="T1328" t="s">
        <v>6937</v>
      </c>
      <c r="U1328">
        <v>0.12</v>
      </c>
      <c r="V1328" t="s">
        <v>2620</v>
      </c>
      <c r="W1328" t="s">
        <v>164</v>
      </c>
      <c r="X1328" t="s">
        <v>164</v>
      </c>
      <c r="Y1328" t="s">
        <v>164</v>
      </c>
      <c r="Z1328" t="s">
        <v>239</v>
      </c>
      <c r="AA1328">
        <v>1.59</v>
      </c>
      <c r="AB1328" t="s">
        <v>16597</v>
      </c>
      <c r="AC1328" t="s">
        <v>152</v>
      </c>
      <c r="AD1328" t="s">
        <v>8479</v>
      </c>
      <c r="AE1328" t="s">
        <v>2748</v>
      </c>
      <c r="AF1328" t="s">
        <v>9279</v>
      </c>
      <c r="AG1328" t="s">
        <v>2624</v>
      </c>
      <c r="AH1328" t="s">
        <v>9562</v>
      </c>
      <c r="AI1328" t="s">
        <v>1470</v>
      </c>
      <c r="AJ1328" t="s">
        <v>8634</v>
      </c>
      <c r="AK1328" t="s">
        <v>10891</v>
      </c>
      <c r="AL1328">
        <v>2.94</v>
      </c>
      <c r="AM1328">
        <v>1.61</v>
      </c>
      <c r="AN1328">
        <v>0.01</v>
      </c>
      <c r="AO1328" t="s">
        <v>2291</v>
      </c>
      <c r="AP1328" t="s">
        <v>4760</v>
      </c>
      <c r="AQ1328" t="s">
        <v>6527</v>
      </c>
      <c r="AR1328" t="s">
        <v>5263</v>
      </c>
      <c r="AS1328" t="s">
        <v>4255</v>
      </c>
      <c r="AT1328" t="s">
        <v>6298</v>
      </c>
      <c r="AU1328" t="s">
        <v>5968</v>
      </c>
      <c r="AV1328" t="s">
        <v>8735</v>
      </c>
      <c r="AW1328" t="s">
        <v>5963</v>
      </c>
      <c r="AX1328" t="s">
        <v>3505</v>
      </c>
      <c r="AY1328" t="s">
        <v>5963</v>
      </c>
      <c r="AZ1328" t="s">
        <v>16598</v>
      </c>
      <c r="BA1328">
        <v>3</v>
      </c>
      <c r="BB1328">
        <v>119.63</v>
      </c>
      <c r="BC1328">
        <v>0.2</v>
      </c>
      <c r="BD1328">
        <v>38.270000000000003</v>
      </c>
      <c r="BE1328">
        <v>38.53</v>
      </c>
      <c r="BF1328">
        <v>38.31</v>
      </c>
      <c r="BG1328" t="s">
        <v>16599</v>
      </c>
      <c r="BH1328" t="s">
        <v>5963</v>
      </c>
      <c r="BI1328" t="s">
        <v>16600</v>
      </c>
      <c r="BJ1328" t="s">
        <v>101</v>
      </c>
      <c r="BK1328" t="s">
        <v>5116</v>
      </c>
      <c r="BL1328" t="s">
        <v>16601</v>
      </c>
      <c r="BM1328" t="s">
        <v>16602</v>
      </c>
      <c r="BN1328" t="s">
        <v>14623</v>
      </c>
    </row>
    <row r="1329" spans="1:66" x14ac:dyDescent="0.25">
      <c r="A1329" t="str">
        <f>HYPERLINK("https://elite.finviz.com/quote.ashx?t=ORKA&amp;ty=c&amp;p=d&amp;b=1", "ORKA")</f>
        <v>ORKA</v>
      </c>
      <c r="B1329">
        <v>6</v>
      </c>
      <c r="C1329">
        <v>127.03</v>
      </c>
      <c r="D1329">
        <v>50.09</v>
      </c>
      <c r="E1329" t="s">
        <v>16603</v>
      </c>
      <c r="F1329" t="s">
        <v>67</v>
      </c>
      <c r="G1329" t="s">
        <v>428</v>
      </c>
      <c r="H1329" t="s">
        <v>429</v>
      </c>
      <c r="I1329" t="s">
        <v>70</v>
      </c>
      <c r="J1329" t="s">
        <v>321</v>
      </c>
      <c r="K1329">
        <v>745.6</v>
      </c>
      <c r="L1329">
        <v>15.41</v>
      </c>
      <c r="M1329" t="s">
        <v>744</v>
      </c>
      <c r="N1329">
        <v>56166</v>
      </c>
      <c r="S1329">
        <v>1.69</v>
      </c>
      <c r="AA1329">
        <v>-3.64</v>
      </c>
      <c r="AB1329" t="s">
        <v>8208</v>
      </c>
      <c r="AC1329" t="s">
        <v>16149</v>
      </c>
      <c r="AD1329" t="s">
        <v>3924</v>
      </c>
      <c r="AI1329" t="s">
        <v>2985</v>
      </c>
      <c r="AJ1329" t="s">
        <v>164</v>
      </c>
      <c r="AK1329" t="s">
        <v>16604</v>
      </c>
      <c r="AL1329">
        <v>27.42</v>
      </c>
      <c r="AM1329">
        <v>27.42</v>
      </c>
      <c r="AN1329">
        <v>0.01</v>
      </c>
      <c r="AR1329" t="s">
        <v>290</v>
      </c>
      <c r="AS1329" t="s">
        <v>2521</v>
      </c>
      <c r="AT1329" t="s">
        <v>5159</v>
      </c>
      <c r="AU1329" t="s">
        <v>5369</v>
      </c>
      <c r="AV1329" t="s">
        <v>2963</v>
      </c>
      <c r="AW1329" t="s">
        <v>12026</v>
      </c>
      <c r="AX1329" t="s">
        <v>13600</v>
      </c>
      <c r="AY1329" t="s">
        <v>16605</v>
      </c>
      <c r="AZ1329" t="s">
        <v>16606</v>
      </c>
      <c r="BA1329">
        <v>1</v>
      </c>
      <c r="BB1329">
        <v>284.74</v>
      </c>
      <c r="BC1329">
        <v>0.69</v>
      </c>
      <c r="BD1329">
        <v>15.05</v>
      </c>
      <c r="BE1329">
        <v>15.53</v>
      </c>
      <c r="BF1329">
        <v>15</v>
      </c>
      <c r="BG1329" t="s">
        <v>16607</v>
      </c>
      <c r="BH1329" t="s">
        <v>579</v>
      </c>
      <c r="BI1329" t="s">
        <v>16606</v>
      </c>
      <c r="BJ1329" t="s">
        <v>101</v>
      </c>
      <c r="BK1329" t="s">
        <v>6840</v>
      </c>
      <c r="BL1329" t="s">
        <v>12574</v>
      </c>
      <c r="BM1329" t="s">
        <v>10688</v>
      </c>
      <c r="BN1329" t="s">
        <v>14623</v>
      </c>
    </row>
    <row r="1330" spans="1:66" x14ac:dyDescent="0.25">
      <c r="A1330" t="str">
        <f>HYPERLINK("https://elite.finviz.com/quote.ashx?t=NTIC&amp;ty=c&amp;p=d&amp;b=1", "NTIC")</f>
        <v>NTIC</v>
      </c>
      <c r="B1330">
        <v>6</v>
      </c>
      <c r="C1330">
        <v>127.03</v>
      </c>
      <c r="D1330">
        <v>50.11</v>
      </c>
      <c r="E1330" t="s">
        <v>16608</v>
      </c>
      <c r="F1330" t="s">
        <v>107</v>
      </c>
      <c r="G1330" t="s">
        <v>355</v>
      </c>
      <c r="H1330" t="s">
        <v>1147</v>
      </c>
      <c r="I1330" t="s">
        <v>70</v>
      </c>
      <c r="J1330" t="s">
        <v>321</v>
      </c>
      <c r="K1330">
        <v>73.05</v>
      </c>
      <c r="L1330">
        <v>7.71</v>
      </c>
      <c r="M1330" t="s">
        <v>4963</v>
      </c>
      <c r="N1330">
        <v>1411</v>
      </c>
      <c r="O1330">
        <v>25.66</v>
      </c>
      <c r="P1330">
        <v>27.54</v>
      </c>
      <c r="R1330">
        <v>0.86</v>
      </c>
      <c r="S1330">
        <v>1.01</v>
      </c>
      <c r="T1330" t="s">
        <v>2421</v>
      </c>
      <c r="U1330">
        <v>0.16</v>
      </c>
      <c r="V1330" t="s">
        <v>10483</v>
      </c>
      <c r="W1330" t="s">
        <v>164</v>
      </c>
      <c r="X1330" t="s">
        <v>4079</v>
      </c>
      <c r="Y1330" t="s">
        <v>7088</v>
      </c>
      <c r="Z1330" t="s">
        <v>16609</v>
      </c>
      <c r="AA1330">
        <v>0.3</v>
      </c>
      <c r="AB1330" t="s">
        <v>9814</v>
      </c>
      <c r="AC1330" t="s">
        <v>2717</v>
      </c>
      <c r="AE1330" t="s">
        <v>4394</v>
      </c>
      <c r="AF1330" t="s">
        <v>11845</v>
      </c>
      <c r="AG1330" t="s">
        <v>1822</v>
      </c>
      <c r="AH1330" t="s">
        <v>4323</v>
      </c>
      <c r="AI1330" t="s">
        <v>7242</v>
      </c>
      <c r="AJ1330" t="s">
        <v>2275</v>
      </c>
      <c r="AK1330" t="s">
        <v>1936</v>
      </c>
      <c r="AL1330">
        <v>2.0299999999999998</v>
      </c>
      <c r="AM1330">
        <v>1.32</v>
      </c>
      <c r="AN1330">
        <v>0.15</v>
      </c>
      <c r="AO1330" t="s">
        <v>7140</v>
      </c>
      <c r="AP1330" t="s">
        <v>14635</v>
      </c>
      <c r="AQ1330" t="s">
        <v>4394</v>
      </c>
      <c r="AR1330" t="s">
        <v>4216</v>
      </c>
      <c r="AS1330" t="s">
        <v>451</v>
      </c>
      <c r="AT1330" t="s">
        <v>1648</v>
      </c>
      <c r="AU1330" t="s">
        <v>2571</v>
      </c>
      <c r="AV1330" t="s">
        <v>421</v>
      </c>
      <c r="AW1330" t="s">
        <v>2433</v>
      </c>
      <c r="AX1330" t="s">
        <v>10425</v>
      </c>
      <c r="AY1330" t="s">
        <v>16610</v>
      </c>
      <c r="AZ1330" t="s">
        <v>2137</v>
      </c>
      <c r="BA1330">
        <v>1</v>
      </c>
      <c r="BB1330">
        <v>38.67</v>
      </c>
      <c r="BC1330">
        <v>0.13</v>
      </c>
      <c r="BD1330">
        <v>7.76</v>
      </c>
      <c r="BE1330">
        <v>7.69</v>
      </c>
      <c r="BF1330">
        <v>7.69</v>
      </c>
      <c r="BG1330" t="s">
        <v>16611</v>
      </c>
      <c r="BH1330" t="s">
        <v>16612</v>
      </c>
      <c r="BI1330" t="s">
        <v>16613</v>
      </c>
      <c r="BJ1330" t="s">
        <v>101</v>
      </c>
      <c r="BK1330" t="s">
        <v>6659</v>
      </c>
      <c r="BL1330" t="s">
        <v>16614</v>
      </c>
      <c r="BM1330" t="s">
        <v>16615</v>
      </c>
      <c r="BN1330" t="s">
        <v>14623</v>
      </c>
    </row>
    <row r="1331" spans="1:66" x14ac:dyDescent="0.25">
      <c r="A1331" t="str">
        <f>HYPERLINK("https://elite.finviz.com/quote.ashx?t=AVBC&amp;ty=c&amp;p=d&amp;b=1", "AVBC")</f>
        <v>AVBC</v>
      </c>
      <c r="B1331">
        <v>6</v>
      </c>
      <c r="C1331">
        <v>127.03</v>
      </c>
      <c r="D1331">
        <v>50.11</v>
      </c>
      <c r="E1331" t="s">
        <v>16616</v>
      </c>
      <c r="F1331" t="s">
        <v>107</v>
      </c>
      <c r="G1331" t="s">
        <v>550</v>
      </c>
      <c r="H1331" t="s">
        <v>697</v>
      </c>
      <c r="I1331" t="s">
        <v>70</v>
      </c>
      <c r="J1331" t="s">
        <v>71</v>
      </c>
      <c r="K1331">
        <v>309.27999999999997</v>
      </c>
      <c r="L1331">
        <v>15.4</v>
      </c>
      <c r="M1331" t="s">
        <v>1764</v>
      </c>
      <c r="N1331">
        <v>8018</v>
      </c>
      <c r="S1331">
        <v>1.62</v>
      </c>
      <c r="AI1331" t="s">
        <v>164</v>
      </c>
      <c r="AJ1331" t="s">
        <v>1918</v>
      </c>
      <c r="AL1331">
        <v>0.15</v>
      </c>
      <c r="AN1331">
        <v>1.53</v>
      </c>
      <c r="AR1331" t="s">
        <v>305</v>
      </c>
      <c r="AS1331" t="s">
        <v>6430</v>
      </c>
      <c r="AT1331" t="s">
        <v>5721</v>
      </c>
      <c r="AU1331" t="s">
        <v>6493</v>
      </c>
      <c r="AV1331" t="s">
        <v>6493</v>
      </c>
      <c r="AW1331" t="s">
        <v>9600</v>
      </c>
      <c r="AX1331" t="s">
        <v>2019</v>
      </c>
      <c r="AY1331" t="s">
        <v>9600</v>
      </c>
      <c r="AZ1331" t="s">
        <v>2019</v>
      </c>
      <c r="BA1331">
        <v>1</v>
      </c>
      <c r="BB1331">
        <v>319.56</v>
      </c>
      <c r="BC1331">
        <v>0.09</v>
      </c>
      <c r="BD1331">
        <v>15.29</v>
      </c>
      <c r="BE1331">
        <v>15.48</v>
      </c>
      <c r="BF1331">
        <v>15.26</v>
      </c>
      <c r="BG1331" t="s">
        <v>16617</v>
      </c>
      <c r="BH1331" t="s">
        <v>9600</v>
      </c>
      <c r="BI1331" t="s">
        <v>2019</v>
      </c>
      <c r="BJ1331" t="s">
        <v>101</v>
      </c>
      <c r="BN1331" t="s">
        <v>14623</v>
      </c>
    </row>
    <row r="1332" spans="1:66" x14ac:dyDescent="0.25">
      <c r="A1332" t="str">
        <f>HYPERLINK("https://elite.finviz.com/quote.ashx?t=ESCA&amp;ty=c&amp;p=d&amp;b=1", "ESCA")</f>
        <v>ESCA</v>
      </c>
      <c r="B1332">
        <v>6</v>
      </c>
      <c r="C1332">
        <v>127.03</v>
      </c>
      <c r="D1332">
        <v>50.12</v>
      </c>
      <c r="E1332" t="s">
        <v>16618</v>
      </c>
      <c r="F1332" t="s">
        <v>67</v>
      </c>
      <c r="G1332" t="s">
        <v>813</v>
      </c>
      <c r="H1332" t="s">
        <v>5941</v>
      </c>
      <c r="I1332" t="s">
        <v>70</v>
      </c>
      <c r="J1332" t="s">
        <v>321</v>
      </c>
      <c r="K1332">
        <v>174.27</v>
      </c>
      <c r="L1332">
        <v>12.62</v>
      </c>
      <c r="M1332" t="s">
        <v>7780</v>
      </c>
      <c r="N1332">
        <v>4621</v>
      </c>
      <c r="O1332">
        <v>13.82</v>
      </c>
      <c r="R1332">
        <v>0.72</v>
      </c>
      <c r="S1332">
        <v>1.04</v>
      </c>
      <c r="T1332" t="s">
        <v>2774</v>
      </c>
      <c r="U1332">
        <v>0.6</v>
      </c>
      <c r="V1332" t="s">
        <v>11435</v>
      </c>
      <c r="W1332" t="s">
        <v>164</v>
      </c>
      <c r="X1332" t="s">
        <v>180</v>
      </c>
      <c r="Y1332" t="s">
        <v>3482</v>
      </c>
      <c r="Z1332" t="s">
        <v>7028</v>
      </c>
      <c r="AA1332">
        <v>0.91</v>
      </c>
      <c r="AB1332" t="s">
        <v>16619</v>
      </c>
      <c r="AC1332" t="s">
        <v>1925</v>
      </c>
      <c r="AE1332" t="s">
        <v>4122</v>
      </c>
      <c r="AF1332" t="s">
        <v>440</v>
      </c>
      <c r="AG1332" t="s">
        <v>6584</v>
      </c>
      <c r="AH1332" t="s">
        <v>16620</v>
      </c>
      <c r="AJ1332" t="s">
        <v>770</v>
      </c>
      <c r="AK1332" t="s">
        <v>11953</v>
      </c>
      <c r="AL1332">
        <v>4.1500000000000004</v>
      </c>
      <c r="AM1332">
        <v>1.79</v>
      </c>
      <c r="AN1332">
        <v>0.14000000000000001</v>
      </c>
      <c r="AO1332" t="s">
        <v>5039</v>
      </c>
      <c r="AP1332" t="s">
        <v>4686</v>
      </c>
      <c r="AQ1332" t="s">
        <v>4172</v>
      </c>
      <c r="AR1332" t="s">
        <v>1100</v>
      </c>
      <c r="AS1332" t="s">
        <v>1050</v>
      </c>
      <c r="AT1332" t="s">
        <v>1763</v>
      </c>
      <c r="AU1332" t="s">
        <v>914</v>
      </c>
      <c r="AV1332" t="s">
        <v>1443</v>
      </c>
      <c r="AW1332" t="s">
        <v>8156</v>
      </c>
      <c r="AX1332" t="s">
        <v>6392</v>
      </c>
      <c r="AY1332" t="s">
        <v>3724</v>
      </c>
      <c r="AZ1332" t="s">
        <v>6392</v>
      </c>
      <c r="BA1332">
        <v>1</v>
      </c>
      <c r="BB1332">
        <v>16.649999999999999</v>
      </c>
      <c r="BC1332">
        <v>0.99</v>
      </c>
      <c r="BD1332">
        <v>12.45</v>
      </c>
      <c r="BE1332">
        <v>12.75</v>
      </c>
      <c r="BF1332">
        <v>12.45</v>
      </c>
      <c r="BG1332" t="s">
        <v>16621</v>
      </c>
      <c r="BH1332" t="s">
        <v>16622</v>
      </c>
      <c r="BI1332" t="s">
        <v>16623</v>
      </c>
      <c r="BJ1332" t="s">
        <v>101</v>
      </c>
      <c r="BK1332" t="s">
        <v>15849</v>
      </c>
      <c r="BL1332" t="s">
        <v>11311</v>
      </c>
      <c r="BM1332" t="s">
        <v>16624</v>
      </c>
      <c r="BN1332" t="s">
        <v>14623</v>
      </c>
    </row>
    <row r="1333" spans="1:66" x14ac:dyDescent="0.25">
      <c r="A1333" t="str">
        <f>HYPERLINK("https://elite.finviz.com/quote.ashx?t=HSII&amp;ty=c&amp;p=d&amp;b=1", "HSII")</f>
        <v>HSII</v>
      </c>
      <c r="B1333">
        <v>6</v>
      </c>
      <c r="C1333">
        <v>127.03</v>
      </c>
      <c r="D1333">
        <v>50.13</v>
      </c>
      <c r="E1333" t="s">
        <v>16625</v>
      </c>
      <c r="F1333" t="s">
        <v>67</v>
      </c>
      <c r="G1333" t="s">
        <v>260</v>
      </c>
      <c r="H1333" t="s">
        <v>8693</v>
      </c>
      <c r="I1333" t="s">
        <v>70</v>
      </c>
      <c r="J1333" t="s">
        <v>321</v>
      </c>
      <c r="K1333">
        <v>1027.52</v>
      </c>
      <c r="L1333">
        <v>49.55</v>
      </c>
      <c r="M1333" t="s">
        <v>6245</v>
      </c>
      <c r="N1333">
        <v>22693</v>
      </c>
      <c r="O1333">
        <v>31.18</v>
      </c>
      <c r="P1333">
        <v>14.09</v>
      </c>
      <c r="Q1333">
        <v>5.51</v>
      </c>
      <c r="R1333">
        <v>0.88</v>
      </c>
      <c r="S1333">
        <v>2.09</v>
      </c>
      <c r="T1333" t="s">
        <v>6155</v>
      </c>
      <c r="U1333">
        <v>0.6</v>
      </c>
      <c r="V1333" t="s">
        <v>2708</v>
      </c>
      <c r="W1333" t="s">
        <v>164</v>
      </c>
      <c r="X1333" t="s">
        <v>164</v>
      </c>
      <c r="Y1333" t="s">
        <v>164</v>
      </c>
      <c r="Z1333" t="s">
        <v>16626</v>
      </c>
      <c r="AA1333">
        <v>1.59</v>
      </c>
      <c r="AB1333" t="s">
        <v>3378</v>
      </c>
      <c r="AC1333" t="s">
        <v>16627</v>
      </c>
      <c r="AD1333" t="s">
        <v>5210</v>
      </c>
      <c r="AE1333" t="s">
        <v>660</v>
      </c>
      <c r="AF1333" t="s">
        <v>5369</v>
      </c>
      <c r="AG1333" t="s">
        <v>7567</v>
      </c>
      <c r="AH1333" t="s">
        <v>981</v>
      </c>
      <c r="AI1333" t="s">
        <v>5468</v>
      </c>
      <c r="AJ1333" t="s">
        <v>1080</v>
      </c>
      <c r="AK1333" t="s">
        <v>16628</v>
      </c>
      <c r="AL1333">
        <v>1.63</v>
      </c>
      <c r="AM1333">
        <v>1.63</v>
      </c>
      <c r="AN1333">
        <v>0.21</v>
      </c>
      <c r="AO1333" t="s">
        <v>4602</v>
      </c>
      <c r="AP1333" t="s">
        <v>438</v>
      </c>
      <c r="AQ1333" t="s">
        <v>6937</v>
      </c>
      <c r="AR1333" t="s">
        <v>180</v>
      </c>
      <c r="AS1333" t="s">
        <v>342</v>
      </c>
      <c r="AT1333" t="s">
        <v>3113</v>
      </c>
      <c r="AU1333" t="s">
        <v>2333</v>
      </c>
      <c r="AV1333" t="s">
        <v>3549</v>
      </c>
      <c r="AW1333" t="s">
        <v>4500</v>
      </c>
      <c r="AX1333" t="s">
        <v>6814</v>
      </c>
      <c r="AY1333" t="s">
        <v>4500</v>
      </c>
      <c r="AZ1333" t="s">
        <v>10386</v>
      </c>
      <c r="BA1333">
        <v>2</v>
      </c>
      <c r="BB1333">
        <v>112.24</v>
      </c>
      <c r="BC1333">
        <v>0.71</v>
      </c>
      <c r="BD1333">
        <v>49.18</v>
      </c>
      <c r="BE1333">
        <v>49.74</v>
      </c>
      <c r="BF1333">
        <v>49.27</v>
      </c>
      <c r="BG1333" t="s">
        <v>16629</v>
      </c>
      <c r="BH1333" t="s">
        <v>16630</v>
      </c>
      <c r="BI1333" t="s">
        <v>16631</v>
      </c>
      <c r="BJ1333" t="s">
        <v>101</v>
      </c>
      <c r="BK1333" t="s">
        <v>6293</v>
      </c>
      <c r="BL1333" t="s">
        <v>3243</v>
      </c>
      <c r="BM1333" t="s">
        <v>15487</v>
      </c>
      <c r="BN1333" t="s">
        <v>14623</v>
      </c>
    </row>
    <row r="1334" spans="1:66" x14ac:dyDescent="0.25">
      <c r="A1334" t="str">
        <f>HYPERLINK("https://elite.finviz.com/quote.ashx?t=EQV&amp;ty=c&amp;p=d&amp;b=1", "EQV")</f>
        <v>EQV</v>
      </c>
      <c r="B1334">
        <v>6</v>
      </c>
      <c r="C1334">
        <v>127.03</v>
      </c>
      <c r="D1334">
        <v>50.19</v>
      </c>
      <c r="E1334" t="s">
        <v>16632</v>
      </c>
      <c r="F1334" t="s">
        <v>107</v>
      </c>
      <c r="G1334" t="s">
        <v>550</v>
      </c>
      <c r="H1334" t="s">
        <v>2120</v>
      </c>
      <c r="I1334" t="s">
        <v>70</v>
      </c>
      <c r="J1334" t="s">
        <v>71</v>
      </c>
      <c r="K1334">
        <v>463.11</v>
      </c>
      <c r="L1334">
        <v>10.39</v>
      </c>
      <c r="M1334" t="s">
        <v>164</v>
      </c>
      <c r="N1334">
        <v>350</v>
      </c>
      <c r="O1334">
        <v>35.94</v>
      </c>
      <c r="S1334">
        <v>1.32</v>
      </c>
      <c r="Z1334" t="s">
        <v>164</v>
      </c>
      <c r="AA1334">
        <v>0.28999999999999998</v>
      </c>
      <c r="AJ1334" t="s">
        <v>164</v>
      </c>
      <c r="AK1334" t="s">
        <v>11343</v>
      </c>
      <c r="AL1334">
        <v>0.65</v>
      </c>
      <c r="AM1334">
        <v>0.65</v>
      </c>
      <c r="AN1334">
        <v>0</v>
      </c>
      <c r="AR1334" t="s">
        <v>497</v>
      </c>
      <c r="AS1334" t="s">
        <v>2646</v>
      </c>
      <c r="AT1334" t="s">
        <v>2215</v>
      </c>
      <c r="AU1334" t="s">
        <v>3227</v>
      </c>
      <c r="AV1334" t="s">
        <v>192</v>
      </c>
      <c r="AW1334" t="s">
        <v>6640</v>
      </c>
      <c r="AX1334" t="s">
        <v>2571</v>
      </c>
      <c r="AY1334" t="s">
        <v>3814</v>
      </c>
      <c r="AZ1334" t="s">
        <v>322</v>
      </c>
      <c r="BB1334">
        <v>69.78</v>
      </c>
      <c r="BC1334">
        <v>0.02</v>
      </c>
      <c r="BD1334">
        <v>10.39</v>
      </c>
      <c r="BE1334">
        <v>10.4</v>
      </c>
      <c r="BF1334">
        <v>10.4</v>
      </c>
      <c r="BG1334" t="s">
        <v>16633</v>
      </c>
      <c r="BH1334" t="s">
        <v>3814</v>
      </c>
      <c r="BI1334" t="s">
        <v>322</v>
      </c>
      <c r="BJ1334" t="s">
        <v>101</v>
      </c>
      <c r="BK1334" t="s">
        <v>5789</v>
      </c>
      <c r="BL1334" t="s">
        <v>248</v>
      </c>
      <c r="BN1334" t="s">
        <v>14623</v>
      </c>
    </row>
    <row r="1335" spans="1:66" x14ac:dyDescent="0.25">
      <c r="A1335" t="str">
        <f>HYPERLINK("https://elite.finviz.com/quote.ashx?t=HZO&amp;ty=c&amp;p=d&amp;b=1", "HZO")</f>
        <v>HZO</v>
      </c>
      <c r="B1335">
        <v>6</v>
      </c>
      <c r="C1335">
        <v>127.03</v>
      </c>
      <c r="D1335">
        <v>50.21</v>
      </c>
      <c r="E1335" t="s">
        <v>16634</v>
      </c>
      <c r="F1335" t="s">
        <v>67</v>
      </c>
      <c r="G1335" t="s">
        <v>813</v>
      </c>
      <c r="H1335" t="s">
        <v>2262</v>
      </c>
      <c r="I1335" t="s">
        <v>70</v>
      </c>
      <c r="J1335" t="s">
        <v>71</v>
      </c>
      <c r="K1335">
        <v>554.62</v>
      </c>
      <c r="L1335">
        <v>25.84</v>
      </c>
      <c r="M1335" t="s">
        <v>698</v>
      </c>
      <c r="N1335">
        <v>26853</v>
      </c>
      <c r="P1335">
        <v>13.93</v>
      </c>
      <c r="R1335">
        <v>0.24</v>
      </c>
      <c r="S1335">
        <v>0.59</v>
      </c>
      <c r="Z1335" t="s">
        <v>164</v>
      </c>
      <c r="AA1335">
        <v>-1.34</v>
      </c>
      <c r="AB1335" t="s">
        <v>6605</v>
      </c>
      <c r="AC1335" t="s">
        <v>4689</v>
      </c>
      <c r="AD1335" t="s">
        <v>848</v>
      </c>
      <c r="AE1335" t="s">
        <v>1258</v>
      </c>
      <c r="AF1335" t="s">
        <v>3949</v>
      </c>
      <c r="AG1335" t="s">
        <v>4315</v>
      </c>
      <c r="AH1335" t="s">
        <v>8333</v>
      </c>
      <c r="AI1335" t="s">
        <v>16635</v>
      </c>
      <c r="AJ1335" t="s">
        <v>1690</v>
      </c>
      <c r="AK1335" t="s">
        <v>16636</v>
      </c>
      <c r="AL1335">
        <v>1.21</v>
      </c>
      <c r="AM1335">
        <v>0.28999999999999998</v>
      </c>
      <c r="AN1335">
        <v>1.35</v>
      </c>
      <c r="AO1335" t="s">
        <v>2476</v>
      </c>
      <c r="AP1335" t="s">
        <v>2494</v>
      </c>
      <c r="AQ1335" t="s">
        <v>4312</v>
      </c>
      <c r="AR1335" t="s">
        <v>10226</v>
      </c>
      <c r="AS1335" t="s">
        <v>4526</v>
      </c>
      <c r="AT1335" t="s">
        <v>4538</v>
      </c>
      <c r="AU1335" t="s">
        <v>2333</v>
      </c>
      <c r="AV1335" t="s">
        <v>2743</v>
      </c>
      <c r="AW1335" t="s">
        <v>11385</v>
      </c>
      <c r="AX1335" t="s">
        <v>5192</v>
      </c>
      <c r="AY1335" t="s">
        <v>10937</v>
      </c>
      <c r="AZ1335" t="s">
        <v>897</v>
      </c>
      <c r="BA1335">
        <v>1.44</v>
      </c>
      <c r="BB1335">
        <v>352.26</v>
      </c>
      <c r="BC1335">
        <v>0.27</v>
      </c>
      <c r="BD1335">
        <v>25.76</v>
      </c>
      <c r="BE1335">
        <v>25.96</v>
      </c>
      <c r="BF1335">
        <v>25.64</v>
      </c>
      <c r="BG1335" t="s">
        <v>16637</v>
      </c>
      <c r="BH1335" t="s">
        <v>16638</v>
      </c>
      <c r="BI1335" t="s">
        <v>16639</v>
      </c>
      <c r="BJ1335" t="s">
        <v>101</v>
      </c>
      <c r="BK1335" t="s">
        <v>4065</v>
      </c>
      <c r="BL1335" t="s">
        <v>6234</v>
      </c>
      <c r="BM1335" t="s">
        <v>16286</v>
      </c>
      <c r="BN1335" t="s">
        <v>14623</v>
      </c>
    </row>
    <row r="1336" spans="1:66" x14ac:dyDescent="0.25">
      <c r="A1336" t="str">
        <f>HYPERLINK("https://elite.finviz.com/quote.ashx?t=SMBK&amp;ty=c&amp;p=d&amp;b=1", "SMBK")</f>
        <v>SMBK</v>
      </c>
      <c r="B1336">
        <v>6</v>
      </c>
      <c r="C1336">
        <v>127.03</v>
      </c>
      <c r="D1336">
        <v>50.22</v>
      </c>
      <c r="E1336" t="s">
        <v>16640</v>
      </c>
      <c r="F1336" t="s">
        <v>67</v>
      </c>
      <c r="G1336" t="s">
        <v>550</v>
      </c>
      <c r="H1336" t="s">
        <v>697</v>
      </c>
      <c r="I1336" t="s">
        <v>70</v>
      </c>
      <c r="J1336" t="s">
        <v>71</v>
      </c>
      <c r="K1336">
        <v>622.07000000000005</v>
      </c>
      <c r="L1336">
        <v>36.549999999999997</v>
      </c>
      <c r="M1336" t="s">
        <v>439</v>
      </c>
      <c r="N1336">
        <v>4275</v>
      </c>
      <c r="O1336">
        <v>14.77</v>
      </c>
      <c r="P1336">
        <v>11.33</v>
      </c>
      <c r="R1336">
        <v>2.08</v>
      </c>
      <c r="S1336">
        <v>1.2</v>
      </c>
      <c r="T1336" t="s">
        <v>458</v>
      </c>
      <c r="U1336">
        <v>0.32</v>
      </c>
      <c r="V1336" t="s">
        <v>1762</v>
      </c>
      <c r="W1336" t="s">
        <v>164</v>
      </c>
      <c r="X1336" t="s">
        <v>1115</v>
      </c>
      <c r="Y1336" t="s">
        <v>10773</v>
      </c>
      <c r="Z1336" t="s">
        <v>14687</v>
      </c>
      <c r="AA1336">
        <v>2.4700000000000002</v>
      </c>
      <c r="AB1336" t="s">
        <v>4828</v>
      </c>
      <c r="AC1336" t="s">
        <v>1776</v>
      </c>
      <c r="AE1336" t="s">
        <v>976</v>
      </c>
      <c r="AF1336" t="s">
        <v>10008</v>
      </c>
      <c r="AG1336" t="s">
        <v>6558</v>
      </c>
      <c r="AH1336" t="s">
        <v>2863</v>
      </c>
      <c r="AI1336" t="s">
        <v>6392</v>
      </c>
      <c r="AJ1336" t="s">
        <v>164</v>
      </c>
      <c r="AK1336" t="s">
        <v>3247</v>
      </c>
      <c r="AL1336">
        <v>0.21</v>
      </c>
      <c r="AN1336">
        <v>0.11</v>
      </c>
      <c r="AP1336" t="s">
        <v>4096</v>
      </c>
      <c r="AQ1336" t="s">
        <v>11319</v>
      </c>
      <c r="AR1336" t="s">
        <v>6692</v>
      </c>
      <c r="AS1336" t="s">
        <v>6692</v>
      </c>
      <c r="AT1336" t="s">
        <v>7646</v>
      </c>
      <c r="AU1336" t="s">
        <v>4256</v>
      </c>
      <c r="AV1336" t="s">
        <v>1491</v>
      </c>
      <c r="AW1336" t="s">
        <v>5725</v>
      </c>
      <c r="AX1336" t="s">
        <v>2911</v>
      </c>
      <c r="AY1336" t="s">
        <v>5725</v>
      </c>
      <c r="AZ1336" t="s">
        <v>4411</v>
      </c>
      <c r="BA1336">
        <v>2.67</v>
      </c>
      <c r="BB1336">
        <v>56.07</v>
      </c>
      <c r="BC1336">
        <v>0.27</v>
      </c>
      <c r="BD1336">
        <v>36.450000000000003</v>
      </c>
      <c r="BE1336">
        <v>36.450000000000003</v>
      </c>
      <c r="BF1336">
        <v>36.36</v>
      </c>
      <c r="BG1336" t="s">
        <v>16641</v>
      </c>
      <c r="BH1336" t="s">
        <v>16642</v>
      </c>
      <c r="BI1336" t="s">
        <v>16643</v>
      </c>
      <c r="BJ1336" t="s">
        <v>101</v>
      </c>
      <c r="BK1336" t="s">
        <v>6607</v>
      </c>
      <c r="BL1336" t="s">
        <v>1549</v>
      </c>
      <c r="BM1336" t="s">
        <v>16644</v>
      </c>
      <c r="BN1336" t="s">
        <v>14623</v>
      </c>
    </row>
    <row r="1337" spans="1:66" x14ac:dyDescent="0.25">
      <c r="A1337" t="str">
        <f>HYPERLINK("https://elite.finviz.com/quote.ashx?t=JVA&amp;ty=c&amp;p=d&amp;b=1", "JVA")</f>
        <v>JVA</v>
      </c>
      <c r="B1337">
        <v>6</v>
      </c>
      <c r="C1337">
        <v>127.03</v>
      </c>
      <c r="D1337">
        <v>50.22</v>
      </c>
      <c r="E1337" t="s">
        <v>16645</v>
      </c>
      <c r="F1337" t="s">
        <v>107</v>
      </c>
      <c r="G1337" t="s">
        <v>2244</v>
      </c>
      <c r="H1337" t="s">
        <v>3269</v>
      </c>
      <c r="I1337" t="s">
        <v>70</v>
      </c>
      <c r="J1337" t="s">
        <v>321</v>
      </c>
      <c r="K1337">
        <v>25.92</v>
      </c>
      <c r="L1337">
        <v>4.54</v>
      </c>
      <c r="M1337" t="s">
        <v>7346</v>
      </c>
      <c r="N1337">
        <v>9787</v>
      </c>
      <c r="O1337">
        <v>13.98</v>
      </c>
      <c r="R1337">
        <v>0.28999999999999998</v>
      </c>
      <c r="S1337">
        <v>0.97</v>
      </c>
      <c r="V1337" t="s">
        <v>16646</v>
      </c>
      <c r="Z1337" t="s">
        <v>164</v>
      </c>
      <c r="AA1337">
        <v>0.32</v>
      </c>
      <c r="AB1337" t="s">
        <v>3337</v>
      </c>
      <c r="AE1337" t="s">
        <v>6131</v>
      </c>
      <c r="AF1337" t="s">
        <v>661</v>
      </c>
      <c r="AG1337" t="s">
        <v>4849</v>
      </c>
      <c r="AH1337" t="s">
        <v>4943</v>
      </c>
      <c r="AJ1337" t="s">
        <v>164</v>
      </c>
      <c r="AK1337" t="s">
        <v>16647</v>
      </c>
      <c r="AL1337">
        <v>2.23</v>
      </c>
      <c r="AM1337">
        <v>0.96</v>
      </c>
      <c r="AN1337">
        <v>0.34</v>
      </c>
      <c r="AO1337" t="s">
        <v>7555</v>
      </c>
      <c r="AP1337" t="s">
        <v>7176</v>
      </c>
      <c r="AQ1337" t="s">
        <v>4276</v>
      </c>
      <c r="AR1337" t="s">
        <v>5150</v>
      </c>
      <c r="AS1337" t="s">
        <v>3601</v>
      </c>
      <c r="AT1337" t="s">
        <v>1764</v>
      </c>
      <c r="AU1337" t="s">
        <v>4765</v>
      </c>
      <c r="AV1337" t="s">
        <v>276</v>
      </c>
      <c r="AW1337" t="s">
        <v>3438</v>
      </c>
      <c r="AX1337" t="s">
        <v>5119</v>
      </c>
      <c r="AY1337" t="s">
        <v>16648</v>
      </c>
      <c r="AZ1337" t="s">
        <v>16649</v>
      </c>
      <c r="BA1337">
        <v>1</v>
      </c>
      <c r="BB1337">
        <v>76.92</v>
      </c>
      <c r="BC1337">
        <v>0.45</v>
      </c>
      <c r="BD1337">
        <v>4.5599999999999996</v>
      </c>
      <c r="BE1337">
        <v>4.6500000000000004</v>
      </c>
      <c r="BF1337">
        <v>4.54</v>
      </c>
      <c r="BG1337" t="s">
        <v>16650</v>
      </c>
      <c r="BH1337" t="s">
        <v>16651</v>
      </c>
      <c r="BI1337" t="s">
        <v>16652</v>
      </c>
      <c r="BJ1337" t="s">
        <v>101</v>
      </c>
      <c r="BK1337" t="s">
        <v>5025</v>
      </c>
      <c r="BL1337" t="s">
        <v>5867</v>
      </c>
      <c r="BM1337" t="s">
        <v>13049</v>
      </c>
      <c r="BN1337" t="s">
        <v>14623</v>
      </c>
    </row>
    <row r="1338" spans="1:66" x14ac:dyDescent="0.25">
      <c r="A1338" t="str">
        <f>HYPERLINK("https://elite.finviz.com/quote.ashx?t=NBHC&amp;ty=c&amp;p=d&amp;b=1", "NBHC")</f>
        <v>NBHC</v>
      </c>
      <c r="B1338">
        <v>6</v>
      </c>
      <c r="C1338">
        <v>127.03</v>
      </c>
      <c r="D1338">
        <v>50.24</v>
      </c>
      <c r="E1338" t="s">
        <v>16653</v>
      </c>
      <c r="F1338" t="s">
        <v>67</v>
      </c>
      <c r="G1338" t="s">
        <v>550</v>
      </c>
      <c r="H1338" t="s">
        <v>697</v>
      </c>
      <c r="I1338" t="s">
        <v>70</v>
      </c>
      <c r="J1338" t="s">
        <v>71</v>
      </c>
      <c r="K1338">
        <v>1473.28</v>
      </c>
      <c r="L1338">
        <v>38.96</v>
      </c>
      <c r="M1338" t="s">
        <v>5424</v>
      </c>
      <c r="N1338">
        <v>21823</v>
      </c>
      <c r="O1338">
        <v>12.57</v>
      </c>
      <c r="P1338">
        <v>10.62</v>
      </c>
      <c r="Q1338">
        <v>1.25</v>
      </c>
      <c r="R1338">
        <v>2.4700000000000002</v>
      </c>
      <c r="S1338">
        <v>1.1000000000000001</v>
      </c>
      <c r="T1338" t="s">
        <v>1769</v>
      </c>
      <c r="U1338">
        <v>1.18</v>
      </c>
      <c r="V1338" t="s">
        <v>4882</v>
      </c>
      <c r="W1338" t="s">
        <v>2698</v>
      </c>
      <c r="X1338" t="s">
        <v>2250</v>
      </c>
      <c r="Y1338" t="s">
        <v>2783</v>
      </c>
      <c r="Z1338" t="s">
        <v>16654</v>
      </c>
      <c r="AA1338">
        <v>3.1</v>
      </c>
      <c r="AB1338" t="s">
        <v>2734</v>
      </c>
      <c r="AC1338" t="s">
        <v>316</v>
      </c>
      <c r="AD1338" t="s">
        <v>3491</v>
      </c>
      <c r="AE1338" t="s">
        <v>1763</v>
      </c>
      <c r="AF1338" t="s">
        <v>9224</v>
      </c>
      <c r="AG1338" t="s">
        <v>4593</v>
      </c>
      <c r="AH1338" t="s">
        <v>2644</v>
      </c>
      <c r="AI1338" t="s">
        <v>7192</v>
      </c>
      <c r="AJ1338" t="s">
        <v>770</v>
      </c>
      <c r="AK1338" t="s">
        <v>16655</v>
      </c>
      <c r="AL1338">
        <v>0.04</v>
      </c>
      <c r="AN1338">
        <v>0.19</v>
      </c>
      <c r="AP1338" t="s">
        <v>7569</v>
      </c>
      <c r="AQ1338" t="s">
        <v>10803</v>
      </c>
      <c r="AR1338" t="s">
        <v>1776</v>
      </c>
      <c r="AS1338" t="s">
        <v>352</v>
      </c>
      <c r="AT1338" t="s">
        <v>4538</v>
      </c>
      <c r="AU1338" t="s">
        <v>273</v>
      </c>
      <c r="AV1338" t="s">
        <v>7137</v>
      </c>
      <c r="AW1338" t="s">
        <v>6450</v>
      </c>
      <c r="AX1338" t="s">
        <v>1115</v>
      </c>
      <c r="AY1338" t="s">
        <v>16656</v>
      </c>
      <c r="AZ1338" t="s">
        <v>5970</v>
      </c>
      <c r="BA1338">
        <v>2</v>
      </c>
      <c r="BB1338">
        <v>332.56</v>
      </c>
      <c r="BC1338">
        <v>0.23</v>
      </c>
      <c r="BD1338">
        <v>39.29</v>
      </c>
      <c r="BE1338">
        <v>39.68</v>
      </c>
      <c r="BF1338">
        <v>38.85</v>
      </c>
      <c r="BG1338" t="s">
        <v>16657</v>
      </c>
      <c r="BH1338" t="s">
        <v>16656</v>
      </c>
      <c r="BI1338" t="s">
        <v>16658</v>
      </c>
      <c r="BJ1338" t="s">
        <v>101</v>
      </c>
      <c r="BK1338" t="s">
        <v>4395</v>
      </c>
      <c r="BL1338" t="s">
        <v>5424</v>
      </c>
      <c r="BM1338" t="s">
        <v>120</v>
      </c>
      <c r="BN1338" t="s">
        <v>14623</v>
      </c>
    </row>
    <row r="1339" spans="1:66" x14ac:dyDescent="0.25">
      <c r="A1339" t="str">
        <f>HYPERLINK("https://elite.finviz.com/quote.ashx?t=EB&amp;ty=c&amp;p=d&amp;b=1", "EB")</f>
        <v>EB</v>
      </c>
      <c r="B1339">
        <v>6</v>
      </c>
      <c r="C1339">
        <v>127.03</v>
      </c>
      <c r="D1339">
        <v>50.24</v>
      </c>
      <c r="E1339" t="s">
        <v>16659</v>
      </c>
      <c r="F1339" t="s">
        <v>67</v>
      </c>
      <c r="G1339" t="s">
        <v>598</v>
      </c>
      <c r="H1339" t="s">
        <v>599</v>
      </c>
      <c r="I1339" t="s">
        <v>70</v>
      </c>
      <c r="J1339" t="s">
        <v>71</v>
      </c>
      <c r="K1339">
        <v>267.3</v>
      </c>
      <c r="L1339">
        <v>2.77</v>
      </c>
      <c r="M1339" t="s">
        <v>1445</v>
      </c>
      <c r="N1339">
        <v>44603</v>
      </c>
      <c r="R1339">
        <v>0.89</v>
      </c>
      <c r="S1339">
        <v>1.5</v>
      </c>
      <c r="AA1339">
        <v>-0.22</v>
      </c>
      <c r="AB1339" t="s">
        <v>16660</v>
      </c>
      <c r="AC1339" t="s">
        <v>4332</v>
      </c>
      <c r="AE1339" t="s">
        <v>11400</v>
      </c>
      <c r="AF1339" t="s">
        <v>12922</v>
      </c>
      <c r="AG1339" t="s">
        <v>10808</v>
      </c>
      <c r="AH1339" t="s">
        <v>374</v>
      </c>
      <c r="AI1339" t="s">
        <v>11118</v>
      </c>
      <c r="AJ1339" t="s">
        <v>8634</v>
      </c>
      <c r="AK1339" t="s">
        <v>16661</v>
      </c>
      <c r="AL1339">
        <v>1.51</v>
      </c>
      <c r="AM1339">
        <v>1.51</v>
      </c>
      <c r="AN1339">
        <v>1.37</v>
      </c>
      <c r="AO1339" t="s">
        <v>10043</v>
      </c>
      <c r="AP1339" t="s">
        <v>4866</v>
      </c>
      <c r="AQ1339" t="s">
        <v>6231</v>
      </c>
      <c r="AR1339" t="s">
        <v>7453</v>
      </c>
      <c r="AS1339" t="s">
        <v>9651</v>
      </c>
      <c r="AT1339" t="s">
        <v>8357</v>
      </c>
      <c r="AU1339" t="s">
        <v>4403</v>
      </c>
      <c r="AV1339" t="s">
        <v>679</v>
      </c>
      <c r="AW1339" t="s">
        <v>4134</v>
      </c>
      <c r="AX1339" t="s">
        <v>7390</v>
      </c>
      <c r="AY1339" t="s">
        <v>16662</v>
      </c>
      <c r="AZ1339" t="s">
        <v>9778</v>
      </c>
      <c r="BA1339">
        <v>3</v>
      </c>
      <c r="BB1339">
        <v>723.4</v>
      </c>
      <c r="BC1339">
        <v>0.22</v>
      </c>
      <c r="BD1339">
        <v>2.78</v>
      </c>
      <c r="BE1339">
        <v>2.8</v>
      </c>
      <c r="BF1339">
        <v>2.75</v>
      </c>
      <c r="BG1339" t="s">
        <v>16663</v>
      </c>
      <c r="BH1339" t="s">
        <v>16664</v>
      </c>
      <c r="BI1339" t="s">
        <v>9778</v>
      </c>
      <c r="BJ1339" t="s">
        <v>101</v>
      </c>
      <c r="BK1339" t="s">
        <v>90</v>
      </c>
      <c r="BL1339" t="s">
        <v>13491</v>
      </c>
      <c r="BM1339" t="s">
        <v>6659</v>
      </c>
      <c r="BN1339" t="s">
        <v>14623</v>
      </c>
    </row>
    <row r="1340" spans="1:66" x14ac:dyDescent="0.25">
      <c r="A1340" t="str">
        <f>HYPERLINK("https://elite.finviz.com/quote.ashx?t=FBIZ&amp;ty=c&amp;p=d&amp;b=1", "FBIZ")</f>
        <v>FBIZ</v>
      </c>
      <c r="B1340">
        <v>6</v>
      </c>
      <c r="C1340">
        <v>127.03</v>
      </c>
      <c r="D1340">
        <v>50.24</v>
      </c>
      <c r="E1340" t="s">
        <v>16665</v>
      </c>
      <c r="F1340" t="s">
        <v>67</v>
      </c>
      <c r="G1340" t="s">
        <v>550</v>
      </c>
      <c r="H1340" t="s">
        <v>697</v>
      </c>
      <c r="I1340" t="s">
        <v>70</v>
      </c>
      <c r="J1340" t="s">
        <v>321</v>
      </c>
      <c r="K1340">
        <v>428.24</v>
      </c>
      <c r="L1340">
        <v>51.45</v>
      </c>
      <c r="M1340" t="s">
        <v>4507</v>
      </c>
      <c r="N1340">
        <v>4131</v>
      </c>
      <c r="O1340">
        <v>9.16</v>
      </c>
      <c r="P1340">
        <v>8.6300000000000008</v>
      </c>
      <c r="Q1340">
        <v>1.1100000000000001</v>
      </c>
      <c r="R1340">
        <v>1.59</v>
      </c>
      <c r="S1340">
        <v>1.29</v>
      </c>
      <c r="T1340" t="s">
        <v>8016</v>
      </c>
      <c r="U1340">
        <v>1.1200000000000001</v>
      </c>
      <c r="V1340" t="s">
        <v>893</v>
      </c>
      <c r="W1340" t="s">
        <v>4728</v>
      </c>
      <c r="X1340" t="s">
        <v>7216</v>
      </c>
      <c r="Y1340" t="s">
        <v>10073</v>
      </c>
      <c r="Z1340" t="s">
        <v>12265</v>
      </c>
      <c r="AA1340">
        <v>5.62</v>
      </c>
      <c r="AB1340" t="s">
        <v>4498</v>
      </c>
      <c r="AC1340" t="s">
        <v>8814</v>
      </c>
      <c r="AD1340" t="s">
        <v>9204</v>
      </c>
      <c r="AE1340" t="s">
        <v>712</v>
      </c>
      <c r="AF1340" t="s">
        <v>10587</v>
      </c>
      <c r="AG1340" t="s">
        <v>10648</v>
      </c>
      <c r="AH1340" t="s">
        <v>246</v>
      </c>
      <c r="AI1340" t="s">
        <v>4780</v>
      </c>
      <c r="AJ1340" t="s">
        <v>3024</v>
      </c>
      <c r="AK1340" t="s">
        <v>11469</v>
      </c>
      <c r="AL1340">
        <v>0.06</v>
      </c>
      <c r="AN1340">
        <v>0.82</v>
      </c>
      <c r="AP1340" t="s">
        <v>11578</v>
      </c>
      <c r="AQ1340" t="s">
        <v>2631</v>
      </c>
      <c r="AR1340" t="s">
        <v>2186</v>
      </c>
      <c r="AS1340" t="s">
        <v>2195</v>
      </c>
      <c r="AT1340" t="s">
        <v>1226</v>
      </c>
      <c r="AU1340" t="s">
        <v>908</v>
      </c>
      <c r="AV1340" t="s">
        <v>3025</v>
      </c>
      <c r="AW1340" t="s">
        <v>9412</v>
      </c>
      <c r="AX1340" t="s">
        <v>9196</v>
      </c>
      <c r="AY1340" t="s">
        <v>16666</v>
      </c>
      <c r="AZ1340" t="s">
        <v>16667</v>
      </c>
      <c r="BA1340">
        <v>1.2</v>
      </c>
      <c r="BB1340">
        <v>40.53</v>
      </c>
      <c r="BC1340">
        <v>0.36</v>
      </c>
      <c r="BD1340">
        <v>51.42</v>
      </c>
      <c r="BE1340">
        <v>51.53</v>
      </c>
      <c r="BF1340">
        <v>51.51</v>
      </c>
      <c r="BG1340" t="s">
        <v>16668</v>
      </c>
      <c r="BH1340" t="s">
        <v>16666</v>
      </c>
      <c r="BI1340" t="s">
        <v>16669</v>
      </c>
      <c r="BJ1340" t="s">
        <v>101</v>
      </c>
      <c r="BK1340" t="s">
        <v>3552</v>
      </c>
      <c r="BL1340" t="s">
        <v>4172</v>
      </c>
      <c r="BM1340" t="s">
        <v>4250</v>
      </c>
      <c r="BN1340" t="s">
        <v>14623</v>
      </c>
    </row>
    <row r="1341" spans="1:66" x14ac:dyDescent="0.25">
      <c r="A1341" t="str">
        <f>HYPERLINK("https://elite.finviz.com/quote.ashx?t=DAVE&amp;ty=c&amp;p=d&amp;b=1", "DAVE")</f>
        <v>DAVE</v>
      </c>
      <c r="B1341">
        <v>6</v>
      </c>
      <c r="C1341">
        <v>127.03</v>
      </c>
      <c r="D1341">
        <v>50.24</v>
      </c>
      <c r="E1341" t="s">
        <v>16670</v>
      </c>
      <c r="F1341" t="s">
        <v>67</v>
      </c>
      <c r="G1341" t="s">
        <v>108</v>
      </c>
      <c r="H1341" t="s">
        <v>136</v>
      </c>
      <c r="I1341" t="s">
        <v>70</v>
      </c>
      <c r="J1341" t="s">
        <v>321</v>
      </c>
      <c r="K1341">
        <v>2949.83</v>
      </c>
      <c r="L1341">
        <v>218.53</v>
      </c>
      <c r="M1341" t="s">
        <v>2723</v>
      </c>
      <c r="N1341">
        <v>79161</v>
      </c>
      <c r="O1341">
        <v>57.72</v>
      </c>
      <c r="P1341">
        <v>24.55</v>
      </c>
      <c r="R1341">
        <v>6.81</v>
      </c>
      <c r="S1341">
        <v>13.59</v>
      </c>
      <c r="Z1341" t="s">
        <v>164</v>
      </c>
      <c r="AA1341">
        <v>3.79</v>
      </c>
      <c r="AE1341" t="s">
        <v>10267</v>
      </c>
      <c r="AF1341" t="s">
        <v>3339</v>
      </c>
      <c r="AH1341" t="s">
        <v>8899</v>
      </c>
      <c r="AI1341" t="s">
        <v>16671</v>
      </c>
      <c r="AJ1341" t="s">
        <v>9188</v>
      </c>
      <c r="AK1341" t="s">
        <v>3903</v>
      </c>
      <c r="AL1341">
        <v>9.51</v>
      </c>
      <c r="AM1341">
        <v>9.51</v>
      </c>
      <c r="AN1341">
        <v>0.35</v>
      </c>
      <c r="AO1341" t="s">
        <v>16672</v>
      </c>
      <c r="AP1341" t="s">
        <v>142</v>
      </c>
      <c r="AQ1341" t="s">
        <v>2724</v>
      </c>
      <c r="AR1341" t="s">
        <v>2232</v>
      </c>
      <c r="AS1341" t="s">
        <v>7767</v>
      </c>
      <c r="AT1341" t="s">
        <v>2880</v>
      </c>
      <c r="AU1341" t="s">
        <v>4569</v>
      </c>
      <c r="AV1341" t="s">
        <v>15317</v>
      </c>
      <c r="AW1341" t="s">
        <v>15002</v>
      </c>
      <c r="AX1341" t="s">
        <v>16326</v>
      </c>
      <c r="AY1341" t="s">
        <v>16673</v>
      </c>
      <c r="AZ1341" t="s">
        <v>16674</v>
      </c>
      <c r="BA1341">
        <v>1</v>
      </c>
      <c r="BB1341">
        <v>561.17999999999995</v>
      </c>
      <c r="BC1341">
        <v>0.5</v>
      </c>
      <c r="BD1341">
        <v>223.27</v>
      </c>
      <c r="BE1341">
        <v>226.59</v>
      </c>
      <c r="BF1341">
        <v>217.47</v>
      </c>
      <c r="BG1341" t="s">
        <v>16675</v>
      </c>
      <c r="BH1341" t="s">
        <v>16676</v>
      </c>
      <c r="BI1341" t="s">
        <v>16677</v>
      </c>
      <c r="BJ1341" t="s">
        <v>101</v>
      </c>
      <c r="BK1341" t="s">
        <v>2705</v>
      </c>
      <c r="BL1341" t="s">
        <v>16678</v>
      </c>
      <c r="BM1341" t="s">
        <v>16679</v>
      </c>
      <c r="BN1341" t="s">
        <v>14623</v>
      </c>
    </row>
    <row r="1342" spans="1:66" x14ac:dyDescent="0.25">
      <c r="A1342" t="str">
        <f>HYPERLINK("https://elite.finviz.com/quote.ashx?t=THR&amp;ty=c&amp;p=d&amp;b=1", "THR")</f>
        <v>THR</v>
      </c>
      <c r="B1342">
        <v>6</v>
      </c>
      <c r="C1342">
        <v>127.03</v>
      </c>
      <c r="D1342">
        <v>50.25</v>
      </c>
      <c r="E1342" t="s">
        <v>16680</v>
      </c>
      <c r="F1342" t="s">
        <v>67</v>
      </c>
      <c r="G1342" t="s">
        <v>260</v>
      </c>
      <c r="H1342" t="s">
        <v>261</v>
      </c>
      <c r="I1342" t="s">
        <v>70</v>
      </c>
      <c r="J1342" t="s">
        <v>71</v>
      </c>
      <c r="K1342">
        <v>876.06</v>
      </c>
      <c r="L1342">
        <v>26.5</v>
      </c>
      <c r="M1342" t="s">
        <v>1938</v>
      </c>
      <c r="N1342">
        <v>19393</v>
      </c>
      <c r="O1342">
        <v>16.78</v>
      </c>
      <c r="P1342">
        <v>12.64</v>
      </c>
      <c r="R1342">
        <v>1.78</v>
      </c>
      <c r="S1342">
        <v>1.72</v>
      </c>
      <c r="Z1342" t="s">
        <v>164</v>
      </c>
      <c r="AA1342">
        <v>1.58</v>
      </c>
      <c r="AB1342" t="s">
        <v>11201</v>
      </c>
      <c r="AC1342" t="s">
        <v>16681</v>
      </c>
      <c r="AE1342" t="s">
        <v>3753</v>
      </c>
      <c r="AF1342" t="s">
        <v>2377</v>
      </c>
      <c r="AG1342" t="s">
        <v>10926</v>
      </c>
      <c r="AH1342" t="s">
        <v>9148</v>
      </c>
      <c r="AI1342" t="s">
        <v>3890</v>
      </c>
      <c r="AJ1342" t="s">
        <v>164</v>
      </c>
      <c r="AK1342" t="s">
        <v>16682</v>
      </c>
      <c r="AL1342">
        <v>2.4300000000000002</v>
      </c>
      <c r="AM1342">
        <v>1.49</v>
      </c>
      <c r="AN1342">
        <v>0.3</v>
      </c>
      <c r="AO1342" t="s">
        <v>8408</v>
      </c>
      <c r="AP1342" t="s">
        <v>6387</v>
      </c>
      <c r="AQ1342" t="s">
        <v>4067</v>
      </c>
      <c r="AR1342" t="s">
        <v>7088</v>
      </c>
      <c r="AS1342" t="s">
        <v>4499</v>
      </c>
      <c r="AT1342" t="s">
        <v>2759</v>
      </c>
      <c r="AU1342" t="s">
        <v>2906</v>
      </c>
      <c r="AV1342" t="s">
        <v>2076</v>
      </c>
      <c r="AW1342" t="s">
        <v>6403</v>
      </c>
      <c r="AX1342" t="s">
        <v>1652</v>
      </c>
      <c r="AY1342" t="s">
        <v>15261</v>
      </c>
      <c r="AZ1342" t="s">
        <v>3774</v>
      </c>
      <c r="BA1342">
        <v>1.5</v>
      </c>
      <c r="BB1342">
        <v>204.41</v>
      </c>
      <c r="BC1342">
        <v>0.33</v>
      </c>
      <c r="BD1342">
        <v>26.64</v>
      </c>
      <c r="BE1342">
        <v>27.12</v>
      </c>
      <c r="BF1342">
        <v>26.49</v>
      </c>
      <c r="BG1342" t="s">
        <v>16683</v>
      </c>
      <c r="BH1342" t="s">
        <v>8500</v>
      </c>
      <c r="BI1342" t="s">
        <v>16684</v>
      </c>
      <c r="BJ1342" t="s">
        <v>101</v>
      </c>
      <c r="BK1342" t="s">
        <v>9412</v>
      </c>
      <c r="BL1342" t="s">
        <v>10559</v>
      </c>
      <c r="BM1342" t="s">
        <v>14249</v>
      </c>
      <c r="BN1342" t="s">
        <v>14623</v>
      </c>
    </row>
    <row r="1343" spans="1:66" x14ac:dyDescent="0.25">
      <c r="A1343" t="str">
        <f>HYPERLINK("https://elite.finviz.com/quote.ashx?t=FFIV&amp;ty=c&amp;p=d&amp;b=1", "FFIV")</f>
        <v>FFIV</v>
      </c>
      <c r="B1343">
        <v>6</v>
      </c>
      <c r="C1343">
        <v>127.03</v>
      </c>
      <c r="D1343">
        <v>50.28</v>
      </c>
      <c r="E1343" t="s">
        <v>16685</v>
      </c>
      <c r="F1343" t="s">
        <v>195</v>
      </c>
      <c r="G1343" t="s">
        <v>108</v>
      </c>
      <c r="H1343" t="s">
        <v>109</v>
      </c>
      <c r="I1343" t="s">
        <v>70</v>
      </c>
      <c r="J1343" t="s">
        <v>321</v>
      </c>
      <c r="K1343">
        <v>18477.080000000002</v>
      </c>
      <c r="L1343">
        <v>321.64</v>
      </c>
      <c r="M1343" t="s">
        <v>9084</v>
      </c>
      <c r="N1343">
        <v>30278</v>
      </c>
      <c r="O1343">
        <v>28.36</v>
      </c>
      <c r="P1343">
        <v>19.8</v>
      </c>
      <c r="Q1343">
        <v>3.25</v>
      </c>
      <c r="R1343">
        <v>6.11</v>
      </c>
      <c r="S1343">
        <v>5.36</v>
      </c>
      <c r="Z1343" t="s">
        <v>164</v>
      </c>
      <c r="AA1343">
        <v>11.34</v>
      </c>
      <c r="AB1343" t="s">
        <v>5443</v>
      </c>
      <c r="AC1343" t="s">
        <v>2839</v>
      </c>
      <c r="AD1343" t="s">
        <v>11639</v>
      </c>
      <c r="AE1343" t="s">
        <v>6272</v>
      </c>
      <c r="AF1343" t="s">
        <v>213</v>
      </c>
      <c r="AG1343" t="s">
        <v>3874</v>
      </c>
      <c r="AH1343" t="s">
        <v>563</v>
      </c>
      <c r="AI1343" t="s">
        <v>4283</v>
      </c>
      <c r="AJ1343" t="s">
        <v>2220</v>
      </c>
      <c r="AK1343" t="s">
        <v>16686</v>
      </c>
      <c r="AL1343">
        <v>1.58</v>
      </c>
      <c r="AM1343">
        <v>1.54</v>
      </c>
      <c r="AN1343">
        <v>7.0000000000000007E-2</v>
      </c>
      <c r="AO1343" t="s">
        <v>16687</v>
      </c>
      <c r="AP1343" t="s">
        <v>16688</v>
      </c>
      <c r="AQ1343" t="s">
        <v>3514</v>
      </c>
      <c r="AR1343" t="s">
        <v>6692</v>
      </c>
      <c r="AS1343" t="s">
        <v>5263</v>
      </c>
      <c r="AT1343" t="s">
        <v>1648</v>
      </c>
      <c r="AU1343" t="s">
        <v>3494</v>
      </c>
      <c r="AV1343" t="s">
        <v>4110</v>
      </c>
      <c r="AW1343" t="s">
        <v>8358</v>
      </c>
      <c r="AX1343" t="s">
        <v>3581</v>
      </c>
      <c r="AY1343" t="s">
        <v>8358</v>
      </c>
      <c r="AZ1343" t="s">
        <v>5876</v>
      </c>
      <c r="BA1343">
        <v>2.81</v>
      </c>
      <c r="BB1343">
        <v>488.88</v>
      </c>
      <c r="BC1343">
        <v>0.22</v>
      </c>
      <c r="BD1343">
        <v>324</v>
      </c>
      <c r="BE1343">
        <v>324.89999999999998</v>
      </c>
      <c r="BF1343">
        <v>320.48</v>
      </c>
      <c r="BG1343" t="s">
        <v>16689</v>
      </c>
      <c r="BH1343" t="s">
        <v>8358</v>
      </c>
      <c r="BI1343" t="s">
        <v>16690</v>
      </c>
      <c r="BJ1343" t="s">
        <v>101</v>
      </c>
      <c r="BK1343" t="s">
        <v>607</v>
      </c>
      <c r="BL1343" t="s">
        <v>11039</v>
      </c>
      <c r="BM1343" t="s">
        <v>1230</v>
      </c>
      <c r="BN1343" t="s">
        <v>14623</v>
      </c>
    </row>
    <row r="1344" spans="1:66" x14ac:dyDescent="0.25">
      <c r="A1344" t="str">
        <f>HYPERLINK("https://elite.finviz.com/quote.ashx?t=SLP&amp;ty=c&amp;p=d&amp;b=1", "SLP")</f>
        <v>SLP</v>
      </c>
      <c r="B1344">
        <v>6</v>
      </c>
      <c r="C1344">
        <v>127.03</v>
      </c>
      <c r="D1344">
        <v>50.31</v>
      </c>
      <c r="E1344" t="s">
        <v>16691</v>
      </c>
      <c r="F1344" t="s">
        <v>67</v>
      </c>
      <c r="G1344" t="s">
        <v>428</v>
      </c>
      <c r="H1344" t="s">
        <v>2075</v>
      </c>
      <c r="I1344" t="s">
        <v>70</v>
      </c>
      <c r="J1344" t="s">
        <v>321</v>
      </c>
      <c r="K1344">
        <v>296.98</v>
      </c>
      <c r="L1344">
        <v>14.76</v>
      </c>
      <c r="M1344" t="s">
        <v>4849</v>
      </c>
      <c r="N1344">
        <v>44007</v>
      </c>
      <c r="P1344">
        <v>16.899999999999999</v>
      </c>
      <c r="R1344">
        <v>3.69</v>
      </c>
      <c r="S1344">
        <v>2.4</v>
      </c>
      <c r="V1344" t="s">
        <v>16692</v>
      </c>
      <c r="Z1344" t="s">
        <v>16693</v>
      </c>
      <c r="AA1344">
        <v>-3.14</v>
      </c>
      <c r="AB1344" t="s">
        <v>2509</v>
      </c>
      <c r="AC1344" t="s">
        <v>4308</v>
      </c>
      <c r="AD1344" t="s">
        <v>13932</v>
      </c>
      <c r="AE1344" t="s">
        <v>876</v>
      </c>
      <c r="AF1344" t="s">
        <v>1511</v>
      </c>
      <c r="AG1344" t="s">
        <v>328</v>
      </c>
      <c r="AH1344" t="s">
        <v>9342</v>
      </c>
      <c r="AI1344" t="s">
        <v>16694</v>
      </c>
      <c r="AJ1344" t="s">
        <v>2190</v>
      </c>
      <c r="AK1344" t="s">
        <v>13716</v>
      </c>
      <c r="AL1344">
        <v>5.1100000000000003</v>
      </c>
      <c r="AM1344">
        <v>5.1100000000000003</v>
      </c>
      <c r="AN1344">
        <v>0.01</v>
      </c>
      <c r="AO1344" t="s">
        <v>16695</v>
      </c>
      <c r="AP1344" t="s">
        <v>3229</v>
      </c>
      <c r="AQ1344" t="s">
        <v>16696</v>
      </c>
      <c r="AR1344" t="s">
        <v>3025</v>
      </c>
      <c r="AS1344" t="s">
        <v>8625</v>
      </c>
      <c r="AT1344" t="s">
        <v>3336</v>
      </c>
      <c r="AU1344" t="s">
        <v>2035</v>
      </c>
      <c r="AV1344" t="s">
        <v>16697</v>
      </c>
      <c r="AW1344" t="s">
        <v>6094</v>
      </c>
      <c r="AX1344" t="s">
        <v>11039</v>
      </c>
      <c r="AY1344" t="s">
        <v>16698</v>
      </c>
      <c r="AZ1344" t="s">
        <v>11039</v>
      </c>
      <c r="BA1344">
        <v>1.67</v>
      </c>
      <c r="BB1344">
        <v>696.18</v>
      </c>
      <c r="BC1344">
        <v>0.22</v>
      </c>
      <c r="BD1344">
        <v>14.68</v>
      </c>
      <c r="BE1344">
        <v>14.83</v>
      </c>
      <c r="BF1344">
        <v>14.61</v>
      </c>
      <c r="BG1344" t="s">
        <v>16699</v>
      </c>
      <c r="BH1344" t="s">
        <v>16700</v>
      </c>
      <c r="BI1344" t="s">
        <v>16701</v>
      </c>
      <c r="BJ1344" t="s">
        <v>101</v>
      </c>
      <c r="BK1344" t="s">
        <v>11949</v>
      </c>
      <c r="BL1344" t="s">
        <v>16702</v>
      </c>
      <c r="BM1344" t="s">
        <v>16703</v>
      </c>
      <c r="BN1344" t="s">
        <v>14623</v>
      </c>
    </row>
    <row r="1345" spans="1:66" x14ac:dyDescent="0.25">
      <c r="A1345" t="str">
        <f>HYPERLINK("https://elite.finviz.com/quote.ashx?t=EGP&amp;ty=c&amp;p=d&amp;b=1", "EGP")</f>
        <v>EGP</v>
      </c>
      <c r="B1345">
        <v>6</v>
      </c>
      <c r="C1345">
        <v>127.03</v>
      </c>
      <c r="D1345">
        <v>50.31</v>
      </c>
      <c r="E1345" t="s">
        <v>16704</v>
      </c>
      <c r="F1345" t="s">
        <v>107</v>
      </c>
      <c r="G1345" t="s">
        <v>68</v>
      </c>
      <c r="H1345" t="s">
        <v>6342</v>
      </c>
      <c r="I1345" t="s">
        <v>70</v>
      </c>
      <c r="J1345" t="s">
        <v>71</v>
      </c>
      <c r="K1345">
        <v>8883.3799999999992</v>
      </c>
      <c r="L1345">
        <v>166.56</v>
      </c>
      <c r="M1345" t="s">
        <v>4623</v>
      </c>
      <c r="N1345">
        <v>22678</v>
      </c>
      <c r="O1345">
        <v>35.92</v>
      </c>
      <c r="P1345">
        <v>31.62</v>
      </c>
      <c r="Q1345">
        <v>4.4000000000000004</v>
      </c>
      <c r="R1345">
        <v>13.07</v>
      </c>
      <c r="S1345">
        <v>2.58</v>
      </c>
      <c r="T1345" t="s">
        <v>6150</v>
      </c>
      <c r="U1345">
        <v>5.6</v>
      </c>
      <c r="V1345" t="s">
        <v>198</v>
      </c>
      <c r="W1345" t="s">
        <v>2231</v>
      </c>
      <c r="X1345" t="s">
        <v>1716</v>
      </c>
      <c r="Y1345" t="s">
        <v>945</v>
      </c>
      <c r="Z1345" t="s">
        <v>16705</v>
      </c>
      <c r="AA1345">
        <v>4.6399999999999997</v>
      </c>
      <c r="AB1345" t="s">
        <v>7541</v>
      </c>
      <c r="AC1345" t="s">
        <v>262</v>
      </c>
      <c r="AD1345" t="s">
        <v>1282</v>
      </c>
      <c r="AE1345" t="s">
        <v>2740</v>
      </c>
      <c r="AF1345" t="s">
        <v>5458</v>
      </c>
      <c r="AG1345" t="s">
        <v>14993</v>
      </c>
      <c r="AH1345" t="s">
        <v>7556</v>
      </c>
      <c r="AI1345" t="s">
        <v>2125</v>
      </c>
      <c r="AJ1345" t="s">
        <v>164</v>
      </c>
      <c r="AK1345" t="s">
        <v>16706</v>
      </c>
      <c r="AL1345">
        <v>0.66</v>
      </c>
      <c r="AM1345">
        <v>0.66</v>
      </c>
      <c r="AN1345">
        <v>0.44</v>
      </c>
      <c r="AO1345" t="s">
        <v>14900</v>
      </c>
      <c r="AP1345" t="s">
        <v>3812</v>
      </c>
      <c r="AQ1345" t="s">
        <v>9898</v>
      </c>
      <c r="AR1345" t="s">
        <v>4276</v>
      </c>
      <c r="AS1345" t="s">
        <v>2339</v>
      </c>
      <c r="AT1345" t="s">
        <v>770</v>
      </c>
      <c r="AU1345" t="s">
        <v>227</v>
      </c>
      <c r="AV1345" t="s">
        <v>4065</v>
      </c>
      <c r="AW1345" t="s">
        <v>7429</v>
      </c>
      <c r="AX1345" t="s">
        <v>1091</v>
      </c>
      <c r="AY1345" t="s">
        <v>14529</v>
      </c>
      <c r="AZ1345" t="s">
        <v>16077</v>
      </c>
      <c r="BA1345">
        <v>1.9</v>
      </c>
      <c r="BB1345">
        <v>410.69</v>
      </c>
      <c r="BC1345">
        <v>0.19</v>
      </c>
      <c r="BD1345">
        <v>165.58</v>
      </c>
      <c r="BE1345">
        <v>167.21</v>
      </c>
      <c r="BF1345">
        <v>166.3</v>
      </c>
      <c r="BG1345" t="s">
        <v>16707</v>
      </c>
      <c r="BH1345" t="s">
        <v>16708</v>
      </c>
      <c r="BI1345" t="s">
        <v>16709</v>
      </c>
      <c r="BJ1345" t="s">
        <v>101</v>
      </c>
      <c r="BK1345" t="s">
        <v>8979</v>
      </c>
      <c r="BL1345" t="s">
        <v>16493</v>
      </c>
      <c r="BM1345" t="s">
        <v>15304</v>
      </c>
      <c r="BN1345" t="s">
        <v>14623</v>
      </c>
    </row>
    <row r="1346" spans="1:66" x14ac:dyDescent="0.25">
      <c r="A1346" t="str">
        <f>HYPERLINK("https://elite.finviz.com/quote.ashx?t=IPWR&amp;ty=c&amp;p=d&amp;b=1", "IPWR")</f>
        <v>IPWR</v>
      </c>
      <c r="B1346">
        <v>6</v>
      </c>
      <c r="C1346">
        <v>127.03</v>
      </c>
      <c r="D1346">
        <v>50.33</v>
      </c>
      <c r="E1346" t="s">
        <v>16710</v>
      </c>
      <c r="F1346" t="s">
        <v>107</v>
      </c>
      <c r="G1346" t="s">
        <v>260</v>
      </c>
      <c r="H1346" t="s">
        <v>1128</v>
      </c>
      <c r="I1346" t="s">
        <v>70</v>
      </c>
      <c r="J1346" t="s">
        <v>321</v>
      </c>
      <c r="K1346">
        <v>45.15</v>
      </c>
      <c r="L1346">
        <v>5.31</v>
      </c>
      <c r="M1346" t="s">
        <v>3916</v>
      </c>
      <c r="N1346">
        <v>17707</v>
      </c>
      <c r="R1346">
        <v>2257.4299999999998</v>
      </c>
      <c r="S1346">
        <v>3.54</v>
      </c>
      <c r="AA1346">
        <v>-1.22</v>
      </c>
      <c r="AB1346" t="s">
        <v>8084</v>
      </c>
      <c r="AC1346" t="s">
        <v>2595</v>
      </c>
      <c r="AD1346" t="s">
        <v>4271</v>
      </c>
      <c r="AE1346" t="s">
        <v>16711</v>
      </c>
      <c r="AF1346" t="s">
        <v>16712</v>
      </c>
      <c r="AH1346" t="s">
        <v>6123</v>
      </c>
      <c r="AI1346" t="s">
        <v>16713</v>
      </c>
      <c r="AJ1346" t="s">
        <v>164</v>
      </c>
      <c r="AK1346" t="s">
        <v>12245</v>
      </c>
      <c r="AL1346">
        <v>12.63</v>
      </c>
      <c r="AM1346">
        <v>12.55</v>
      </c>
      <c r="AN1346">
        <v>0.04</v>
      </c>
      <c r="AO1346" t="s">
        <v>16714</v>
      </c>
      <c r="AP1346" t="s">
        <v>16715</v>
      </c>
      <c r="AQ1346" t="s">
        <v>16716</v>
      </c>
      <c r="AR1346" t="s">
        <v>6184</v>
      </c>
      <c r="AS1346" t="s">
        <v>5460</v>
      </c>
      <c r="AT1346" t="s">
        <v>7346</v>
      </c>
      <c r="AU1346" t="s">
        <v>3170</v>
      </c>
      <c r="AV1346" t="s">
        <v>4673</v>
      </c>
      <c r="AW1346" t="s">
        <v>16057</v>
      </c>
      <c r="AX1346" t="s">
        <v>13650</v>
      </c>
      <c r="AY1346" t="s">
        <v>1166</v>
      </c>
      <c r="AZ1346" t="s">
        <v>15850</v>
      </c>
      <c r="BA1346">
        <v>3</v>
      </c>
      <c r="BB1346">
        <v>76.930000000000007</v>
      </c>
      <c r="BC1346">
        <v>0.82</v>
      </c>
      <c r="BD1346">
        <v>5.2</v>
      </c>
      <c r="BE1346">
        <v>5.41</v>
      </c>
      <c r="BF1346">
        <v>5.0999999999999996</v>
      </c>
      <c r="BG1346" t="s">
        <v>16717</v>
      </c>
      <c r="BH1346" t="s">
        <v>16718</v>
      </c>
      <c r="BI1346" t="s">
        <v>16719</v>
      </c>
      <c r="BJ1346" t="s">
        <v>101</v>
      </c>
      <c r="BK1346" t="s">
        <v>9557</v>
      </c>
      <c r="BL1346" t="s">
        <v>6226</v>
      </c>
      <c r="BM1346" t="s">
        <v>15562</v>
      </c>
      <c r="BN1346" t="s">
        <v>14623</v>
      </c>
    </row>
    <row r="1347" spans="1:66" x14ac:dyDescent="0.25">
      <c r="A1347" t="str">
        <f>HYPERLINK("https://elite.finviz.com/quote.ashx?t=VSEC&amp;ty=c&amp;p=d&amp;b=1", "VSEC")</f>
        <v>VSEC</v>
      </c>
      <c r="B1347">
        <v>6</v>
      </c>
      <c r="C1347">
        <v>127.03</v>
      </c>
      <c r="D1347">
        <v>50.34</v>
      </c>
      <c r="E1347" t="s">
        <v>16720</v>
      </c>
      <c r="F1347" t="s">
        <v>67</v>
      </c>
      <c r="G1347" t="s">
        <v>260</v>
      </c>
      <c r="H1347" t="s">
        <v>4779</v>
      </c>
      <c r="I1347" t="s">
        <v>70</v>
      </c>
      <c r="J1347" t="s">
        <v>321</v>
      </c>
      <c r="K1347">
        <v>3377.06</v>
      </c>
      <c r="L1347">
        <v>163.33000000000001</v>
      </c>
      <c r="M1347" t="s">
        <v>4856</v>
      </c>
      <c r="N1347">
        <v>38799</v>
      </c>
      <c r="O1347">
        <v>93.49</v>
      </c>
      <c r="P1347">
        <v>36.26</v>
      </c>
      <c r="Q1347">
        <v>4</v>
      </c>
      <c r="R1347">
        <v>3.07</v>
      </c>
      <c r="S1347">
        <v>3.45</v>
      </c>
      <c r="T1347" t="s">
        <v>6182</v>
      </c>
      <c r="U1347">
        <v>0.4</v>
      </c>
      <c r="V1347" t="s">
        <v>7373</v>
      </c>
      <c r="W1347" t="s">
        <v>164</v>
      </c>
      <c r="X1347" t="s">
        <v>2643</v>
      </c>
      <c r="Y1347" t="s">
        <v>2496</v>
      </c>
      <c r="Z1347" t="s">
        <v>1456</v>
      </c>
      <c r="AA1347">
        <v>1.75</v>
      </c>
      <c r="AB1347" t="s">
        <v>4625</v>
      </c>
      <c r="AC1347" t="s">
        <v>16721</v>
      </c>
      <c r="AD1347" t="s">
        <v>16722</v>
      </c>
      <c r="AE1347" t="s">
        <v>8059</v>
      </c>
      <c r="AF1347" t="s">
        <v>1369</v>
      </c>
      <c r="AG1347" t="s">
        <v>2193</v>
      </c>
      <c r="AH1347" t="s">
        <v>2640</v>
      </c>
      <c r="AI1347" t="s">
        <v>16723</v>
      </c>
      <c r="AJ1347" t="s">
        <v>2906</v>
      </c>
      <c r="AK1347" t="s">
        <v>16724</v>
      </c>
      <c r="AL1347">
        <v>3.73</v>
      </c>
      <c r="AM1347">
        <v>1.44</v>
      </c>
      <c r="AN1347">
        <v>0.43</v>
      </c>
      <c r="AO1347" t="s">
        <v>2795</v>
      </c>
      <c r="AP1347" t="s">
        <v>5618</v>
      </c>
      <c r="AQ1347" t="s">
        <v>7088</v>
      </c>
      <c r="AR1347" t="s">
        <v>10926</v>
      </c>
      <c r="AS1347" t="s">
        <v>8818</v>
      </c>
      <c r="AT1347" t="s">
        <v>6407</v>
      </c>
      <c r="AU1347" t="s">
        <v>1926</v>
      </c>
      <c r="AV1347" t="s">
        <v>2966</v>
      </c>
      <c r="AW1347" t="s">
        <v>7008</v>
      </c>
      <c r="AX1347" t="s">
        <v>9327</v>
      </c>
      <c r="AY1347" t="s">
        <v>7008</v>
      </c>
      <c r="AZ1347" t="s">
        <v>13448</v>
      </c>
      <c r="BA1347">
        <v>1</v>
      </c>
      <c r="BB1347">
        <v>258.44</v>
      </c>
      <c r="BC1347">
        <v>0.53</v>
      </c>
      <c r="BD1347">
        <v>161.12</v>
      </c>
      <c r="BE1347">
        <v>165.92</v>
      </c>
      <c r="BF1347">
        <v>160.88</v>
      </c>
      <c r="BG1347" t="s">
        <v>16725</v>
      </c>
      <c r="BH1347" t="s">
        <v>7008</v>
      </c>
      <c r="BI1347" t="s">
        <v>16726</v>
      </c>
      <c r="BJ1347" t="s">
        <v>101</v>
      </c>
      <c r="BK1347" t="s">
        <v>6238</v>
      </c>
      <c r="BL1347" t="s">
        <v>9692</v>
      </c>
      <c r="BM1347" t="s">
        <v>16727</v>
      </c>
      <c r="BN1347" t="s">
        <v>14623</v>
      </c>
    </row>
    <row r="1348" spans="1:66" x14ac:dyDescent="0.25">
      <c r="A1348" t="str">
        <f>HYPERLINK("https://elite.finviz.com/quote.ashx?t=CJMB&amp;ty=c&amp;p=d&amp;b=1", "CJMB")</f>
        <v>CJMB</v>
      </c>
      <c r="B1348">
        <v>6</v>
      </c>
      <c r="C1348">
        <v>127.03</v>
      </c>
      <c r="D1348">
        <v>50.41</v>
      </c>
      <c r="E1348" t="s">
        <v>16728</v>
      </c>
      <c r="F1348" t="s">
        <v>107</v>
      </c>
      <c r="G1348" t="s">
        <v>260</v>
      </c>
      <c r="H1348" t="s">
        <v>7853</v>
      </c>
      <c r="I1348" t="s">
        <v>70</v>
      </c>
      <c r="J1348" t="s">
        <v>321</v>
      </c>
      <c r="L1348">
        <v>4.92</v>
      </c>
      <c r="M1348" t="s">
        <v>3113</v>
      </c>
      <c r="N1348">
        <v>781</v>
      </c>
      <c r="AR1348" t="s">
        <v>465</v>
      </c>
      <c r="AS1348" t="s">
        <v>2123</v>
      </c>
      <c r="AT1348" t="s">
        <v>2418</v>
      </c>
      <c r="AU1348" t="s">
        <v>4539</v>
      </c>
      <c r="AV1348" t="s">
        <v>2087</v>
      </c>
      <c r="AW1348" t="s">
        <v>16729</v>
      </c>
      <c r="AX1348" t="s">
        <v>6791</v>
      </c>
      <c r="AY1348" t="s">
        <v>10999</v>
      </c>
      <c r="AZ1348" t="s">
        <v>16730</v>
      </c>
      <c r="BB1348">
        <v>11.55</v>
      </c>
      <c r="BC1348">
        <v>0.24</v>
      </c>
      <c r="BD1348">
        <v>4.97</v>
      </c>
      <c r="BE1348">
        <v>4.91</v>
      </c>
      <c r="BF1348">
        <v>4.9000000000000004</v>
      </c>
      <c r="BG1348" t="s">
        <v>16731</v>
      </c>
      <c r="BH1348" t="s">
        <v>10999</v>
      </c>
      <c r="BI1348" t="s">
        <v>16730</v>
      </c>
      <c r="BJ1348" t="s">
        <v>101</v>
      </c>
      <c r="BK1348" t="s">
        <v>1202</v>
      </c>
      <c r="BL1348" t="s">
        <v>6202</v>
      </c>
      <c r="BN1348" t="s">
        <v>14623</v>
      </c>
    </row>
    <row r="1349" spans="1:66" x14ac:dyDescent="0.25">
      <c r="A1349" t="str">
        <f>HYPERLINK("https://elite.finviz.com/quote.ashx?t=RNXT&amp;ty=c&amp;p=d&amp;b=1", "RNXT")</f>
        <v>RNXT</v>
      </c>
      <c r="B1349">
        <v>6</v>
      </c>
      <c r="C1349">
        <v>127.03</v>
      </c>
      <c r="D1349">
        <v>50.42</v>
      </c>
      <c r="E1349" t="s">
        <v>16732</v>
      </c>
      <c r="F1349" t="s">
        <v>107</v>
      </c>
      <c r="G1349" t="s">
        <v>428</v>
      </c>
      <c r="H1349" t="s">
        <v>429</v>
      </c>
      <c r="I1349" t="s">
        <v>70</v>
      </c>
      <c r="J1349" t="s">
        <v>321</v>
      </c>
      <c r="K1349">
        <v>43.61</v>
      </c>
      <c r="L1349">
        <v>1.19</v>
      </c>
      <c r="M1349" t="s">
        <v>6493</v>
      </c>
      <c r="N1349">
        <v>78149</v>
      </c>
      <c r="R1349">
        <v>66.08</v>
      </c>
      <c r="S1349">
        <v>4.0999999999999996</v>
      </c>
      <c r="AA1349">
        <v>-0.38</v>
      </c>
      <c r="AB1349" t="s">
        <v>3888</v>
      </c>
      <c r="AC1349" t="s">
        <v>3842</v>
      </c>
      <c r="AI1349" t="s">
        <v>4907</v>
      </c>
      <c r="AJ1349" t="s">
        <v>16733</v>
      </c>
      <c r="AK1349" t="s">
        <v>14652</v>
      </c>
      <c r="AL1349">
        <v>8.61</v>
      </c>
      <c r="AM1349">
        <v>8.61</v>
      </c>
      <c r="AN1349">
        <v>0.02</v>
      </c>
      <c r="AO1349" t="s">
        <v>164</v>
      </c>
      <c r="AP1349" t="s">
        <v>16734</v>
      </c>
      <c r="AQ1349" t="s">
        <v>16735</v>
      </c>
      <c r="AR1349" t="s">
        <v>10619</v>
      </c>
      <c r="AS1349" t="s">
        <v>9342</v>
      </c>
      <c r="AT1349" t="s">
        <v>13117</v>
      </c>
      <c r="AU1349" t="s">
        <v>2892</v>
      </c>
      <c r="AV1349" t="s">
        <v>7780</v>
      </c>
      <c r="AW1349" t="s">
        <v>16736</v>
      </c>
      <c r="AX1349" t="s">
        <v>9791</v>
      </c>
      <c r="AY1349" t="s">
        <v>12196</v>
      </c>
      <c r="AZ1349" t="s">
        <v>9828</v>
      </c>
      <c r="BA1349">
        <v>1</v>
      </c>
      <c r="BB1349">
        <v>375.98</v>
      </c>
      <c r="BC1349">
        <v>0.74</v>
      </c>
      <c r="BD1349">
        <v>1.17</v>
      </c>
      <c r="BE1349">
        <v>1.18</v>
      </c>
      <c r="BF1349">
        <v>1.17</v>
      </c>
      <c r="BG1349" t="s">
        <v>16737</v>
      </c>
      <c r="BH1349" t="s">
        <v>16738</v>
      </c>
      <c r="BI1349" t="s">
        <v>16739</v>
      </c>
      <c r="BJ1349" t="s">
        <v>101</v>
      </c>
      <c r="BK1349" t="s">
        <v>15209</v>
      </c>
      <c r="BL1349" t="s">
        <v>1001</v>
      </c>
      <c r="BM1349" t="s">
        <v>1001</v>
      </c>
      <c r="BN1349" t="s">
        <v>14623</v>
      </c>
    </row>
    <row r="1350" spans="1:66" x14ac:dyDescent="0.25">
      <c r="A1350" t="str">
        <f>HYPERLINK("https://elite.finviz.com/quote.ashx?t=BBCP&amp;ty=c&amp;p=d&amp;b=1", "BBCP")</f>
        <v>BBCP</v>
      </c>
      <c r="B1350">
        <v>6</v>
      </c>
      <c r="C1350">
        <v>127.03</v>
      </c>
      <c r="D1350">
        <v>50.43</v>
      </c>
      <c r="E1350" t="s">
        <v>16740</v>
      </c>
      <c r="F1350" t="s">
        <v>67</v>
      </c>
      <c r="G1350" t="s">
        <v>260</v>
      </c>
      <c r="H1350" t="s">
        <v>2944</v>
      </c>
      <c r="I1350" t="s">
        <v>70</v>
      </c>
      <c r="J1350" t="s">
        <v>321</v>
      </c>
      <c r="K1350">
        <v>367.76</v>
      </c>
      <c r="L1350">
        <v>7.14</v>
      </c>
      <c r="M1350" t="s">
        <v>4191</v>
      </c>
      <c r="N1350">
        <v>6475</v>
      </c>
      <c r="O1350">
        <v>43.99</v>
      </c>
      <c r="P1350">
        <v>45.6</v>
      </c>
      <c r="Q1350">
        <v>11.86</v>
      </c>
      <c r="R1350">
        <v>0.93</v>
      </c>
      <c r="S1350">
        <v>1.41</v>
      </c>
      <c r="V1350" t="s">
        <v>16741</v>
      </c>
      <c r="Z1350" t="s">
        <v>164</v>
      </c>
      <c r="AA1350">
        <v>0.16</v>
      </c>
      <c r="AD1350" t="s">
        <v>3482</v>
      </c>
      <c r="AE1350" t="s">
        <v>16742</v>
      </c>
      <c r="AF1350" t="s">
        <v>3505</v>
      </c>
      <c r="AG1350" t="s">
        <v>466</v>
      </c>
      <c r="AH1350" t="s">
        <v>6693</v>
      </c>
      <c r="AI1350" t="s">
        <v>6068</v>
      </c>
      <c r="AJ1350" t="s">
        <v>164</v>
      </c>
      <c r="AK1350" t="s">
        <v>7914</v>
      </c>
      <c r="AL1350">
        <v>1.75</v>
      </c>
      <c r="AM1350">
        <v>1.64</v>
      </c>
      <c r="AN1350">
        <v>1.55</v>
      </c>
      <c r="AO1350" t="s">
        <v>1101</v>
      </c>
      <c r="AP1350" t="s">
        <v>1395</v>
      </c>
      <c r="AQ1350" t="s">
        <v>3544</v>
      </c>
      <c r="AR1350" t="s">
        <v>6937</v>
      </c>
      <c r="AS1350" t="s">
        <v>2233</v>
      </c>
      <c r="AT1350" t="s">
        <v>7709</v>
      </c>
      <c r="AU1350" t="s">
        <v>6493</v>
      </c>
      <c r="AV1350" t="s">
        <v>327</v>
      </c>
      <c r="AW1350" t="s">
        <v>5594</v>
      </c>
      <c r="AX1350" t="s">
        <v>3818</v>
      </c>
      <c r="AY1350" t="s">
        <v>5377</v>
      </c>
      <c r="AZ1350" t="s">
        <v>16743</v>
      </c>
      <c r="BA1350">
        <v>2.33</v>
      </c>
      <c r="BB1350">
        <v>91.96</v>
      </c>
      <c r="BC1350">
        <v>0.25</v>
      </c>
      <c r="BD1350">
        <v>7.16</v>
      </c>
      <c r="BE1350">
        <v>7.16</v>
      </c>
      <c r="BF1350">
        <v>7.07</v>
      </c>
      <c r="BG1350" t="s">
        <v>16744</v>
      </c>
      <c r="BH1350" t="s">
        <v>7962</v>
      </c>
      <c r="BI1350" t="s">
        <v>16745</v>
      </c>
      <c r="BJ1350" t="s">
        <v>101</v>
      </c>
      <c r="BK1350" t="s">
        <v>10918</v>
      </c>
      <c r="BL1350" t="s">
        <v>16508</v>
      </c>
      <c r="BM1350" t="s">
        <v>16746</v>
      </c>
      <c r="BN1350" t="s">
        <v>14623</v>
      </c>
    </row>
    <row r="1351" spans="1:66" x14ac:dyDescent="0.25">
      <c r="A1351" t="str">
        <f>HYPERLINK("https://elite.finviz.com/quote.ashx?t=CZFS&amp;ty=c&amp;p=d&amp;b=1", "CZFS")</f>
        <v>CZFS</v>
      </c>
      <c r="B1351">
        <v>6</v>
      </c>
      <c r="C1351">
        <v>127.03</v>
      </c>
      <c r="D1351">
        <v>50.46</v>
      </c>
      <c r="E1351" t="s">
        <v>16747</v>
      </c>
      <c r="F1351" t="s">
        <v>67</v>
      </c>
      <c r="G1351" t="s">
        <v>550</v>
      </c>
      <c r="H1351" t="s">
        <v>697</v>
      </c>
      <c r="I1351" t="s">
        <v>70</v>
      </c>
      <c r="J1351" t="s">
        <v>321</v>
      </c>
      <c r="K1351">
        <v>295.45</v>
      </c>
      <c r="L1351">
        <v>61.46</v>
      </c>
      <c r="M1351" t="s">
        <v>497</v>
      </c>
      <c r="N1351">
        <v>2007</v>
      </c>
      <c r="O1351">
        <v>9.33</v>
      </c>
      <c r="P1351">
        <v>8.36</v>
      </c>
      <c r="R1351">
        <v>1.74</v>
      </c>
      <c r="S1351">
        <v>0.94</v>
      </c>
      <c r="T1351" t="s">
        <v>1391</v>
      </c>
      <c r="U1351">
        <v>1.97</v>
      </c>
      <c r="V1351" t="s">
        <v>2620</v>
      </c>
      <c r="W1351" t="s">
        <v>4275</v>
      </c>
      <c r="X1351" t="s">
        <v>387</v>
      </c>
      <c r="Y1351" t="s">
        <v>5929</v>
      </c>
      <c r="Z1351" t="s">
        <v>14472</v>
      </c>
      <c r="AA1351">
        <v>6.58</v>
      </c>
      <c r="AB1351" t="s">
        <v>4921</v>
      </c>
      <c r="AC1351" t="s">
        <v>212</v>
      </c>
      <c r="AE1351" t="s">
        <v>92</v>
      </c>
      <c r="AF1351" t="s">
        <v>4311</v>
      </c>
      <c r="AG1351" t="s">
        <v>16008</v>
      </c>
      <c r="AH1351" t="s">
        <v>3500</v>
      </c>
      <c r="AI1351" t="s">
        <v>2400</v>
      </c>
      <c r="AJ1351" t="s">
        <v>3027</v>
      </c>
      <c r="AK1351" t="s">
        <v>277</v>
      </c>
      <c r="AL1351">
        <v>0.04</v>
      </c>
      <c r="AN1351">
        <v>1</v>
      </c>
      <c r="AP1351" t="s">
        <v>4988</v>
      </c>
      <c r="AQ1351" t="s">
        <v>3068</v>
      </c>
      <c r="AR1351" t="s">
        <v>4892</v>
      </c>
      <c r="AS1351" t="s">
        <v>4204</v>
      </c>
      <c r="AT1351" t="s">
        <v>7137</v>
      </c>
      <c r="AU1351" t="s">
        <v>3481</v>
      </c>
      <c r="AV1351" t="s">
        <v>1560</v>
      </c>
      <c r="AW1351" t="s">
        <v>3085</v>
      </c>
      <c r="AX1351" t="s">
        <v>12213</v>
      </c>
      <c r="AY1351" t="s">
        <v>16748</v>
      </c>
      <c r="AZ1351" t="s">
        <v>12213</v>
      </c>
      <c r="BA1351">
        <v>1</v>
      </c>
      <c r="BB1351">
        <v>10.42</v>
      </c>
      <c r="BC1351">
        <v>0.68</v>
      </c>
      <c r="BD1351">
        <v>61.33</v>
      </c>
      <c r="BE1351">
        <v>62.86</v>
      </c>
      <c r="BF1351">
        <v>61</v>
      </c>
      <c r="BG1351" t="s">
        <v>16749</v>
      </c>
      <c r="BH1351" t="s">
        <v>16750</v>
      </c>
      <c r="BI1351" t="s">
        <v>16751</v>
      </c>
      <c r="BJ1351" t="s">
        <v>101</v>
      </c>
      <c r="BK1351" t="s">
        <v>4052</v>
      </c>
      <c r="BL1351" t="s">
        <v>3481</v>
      </c>
      <c r="BM1351" t="s">
        <v>3920</v>
      </c>
      <c r="BN1351" t="s">
        <v>14623</v>
      </c>
    </row>
    <row r="1352" spans="1:66" x14ac:dyDescent="0.25">
      <c r="A1352" t="str">
        <f>HYPERLINK("https://elite.finviz.com/quote.ashx?t=DMAA&amp;ty=c&amp;p=d&amp;b=1", "DMAA")</f>
        <v>DMAA</v>
      </c>
      <c r="B1352">
        <v>6</v>
      </c>
      <c r="C1352">
        <v>127.03</v>
      </c>
      <c r="D1352">
        <v>50.5</v>
      </c>
      <c r="E1352" t="s">
        <v>16752</v>
      </c>
      <c r="F1352" t="s">
        <v>107</v>
      </c>
      <c r="G1352" t="s">
        <v>550</v>
      </c>
      <c r="H1352" t="s">
        <v>2120</v>
      </c>
      <c r="I1352" t="s">
        <v>70</v>
      </c>
      <c r="J1352" t="s">
        <v>321</v>
      </c>
      <c r="K1352">
        <v>344.42</v>
      </c>
      <c r="L1352">
        <v>10.27</v>
      </c>
      <c r="M1352" t="s">
        <v>3227</v>
      </c>
      <c r="N1352">
        <v>352</v>
      </c>
      <c r="O1352">
        <v>104.53</v>
      </c>
      <c r="S1352">
        <v>1.51</v>
      </c>
      <c r="AA1352">
        <v>0.1</v>
      </c>
      <c r="AJ1352" t="s">
        <v>164</v>
      </c>
      <c r="AK1352" t="s">
        <v>13475</v>
      </c>
      <c r="AL1352">
        <v>0.16</v>
      </c>
      <c r="AM1352">
        <v>0.16</v>
      </c>
      <c r="AN1352">
        <v>0</v>
      </c>
      <c r="AR1352" t="s">
        <v>3736</v>
      </c>
      <c r="AS1352" t="s">
        <v>4266</v>
      </c>
      <c r="AT1352" t="s">
        <v>5242</v>
      </c>
      <c r="AU1352" t="s">
        <v>4539</v>
      </c>
      <c r="AV1352" t="s">
        <v>6155</v>
      </c>
      <c r="AW1352" t="s">
        <v>8374</v>
      </c>
      <c r="AX1352" t="s">
        <v>3463</v>
      </c>
      <c r="AY1352" t="s">
        <v>8374</v>
      </c>
      <c r="AZ1352" t="s">
        <v>2317</v>
      </c>
      <c r="BB1352">
        <v>38.33</v>
      </c>
      <c r="BC1352">
        <v>0.03</v>
      </c>
      <c r="BD1352">
        <v>10.28</v>
      </c>
      <c r="BE1352">
        <v>10.26</v>
      </c>
      <c r="BF1352">
        <v>10.26</v>
      </c>
      <c r="BG1352" t="s">
        <v>16753</v>
      </c>
      <c r="BH1352" t="s">
        <v>8374</v>
      </c>
      <c r="BI1352" t="s">
        <v>2317</v>
      </c>
      <c r="BJ1352" t="s">
        <v>101</v>
      </c>
      <c r="BK1352" t="s">
        <v>2734</v>
      </c>
      <c r="BL1352" t="s">
        <v>2743</v>
      </c>
      <c r="BN1352" t="s">
        <v>14623</v>
      </c>
    </row>
    <row r="1353" spans="1:66" x14ac:dyDescent="0.25">
      <c r="A1353" t="str">
        <f>HYPERLINK("https://elite.finviz.com/quote.ashx?t=IPM&amp;ty=c&amp;p=d&amp;b=1", "IPM")</f>
        <v>IPM</v>
      </c>
      <c r="B1353">
        <v>6</v>
      </c>
      <c r="C1353">
        <v>127.03</v>
      </c>
      <c r="D1353">
        <v>50.51</v>
      </c>
      <c r="E1353" t="s">
        <v>16754</v>
      </c>
      <c r="F1353" t="s">
        <v>107</v>
      </c>
      <c r="G1353" t="s">
        <v>108</v>
      </c>
      <c r="H1353" t="s">
        <v>136</v>
      </c>
      <c r="I1353" t="s">
        <v>70</v>
      </c>
      <c r="J1353" t="s">
        <v>321</v>
      </c>
      <c r="K1353">
        <v>18.66</v>
      </c>
      <c r="L1353">
        <v>2.02</v>
      </c>
      <c r="M1353" t="s">
        <v>2170</v>
      </c>
      <c r="N1353">
        <v>46940</v>
      </c>
      <c r="P1353">
        <v>40.4</v>
      </c>
      <c r="R1353">
        <v>1.94</v>
      </c>
      <c r="S1353">
        <v>1.33</v>
      </c>
      <c r="AA1353">
        <v>-0.35</v>
      </c>
      <c r="AC1353" t="s">
        <v>8852</v>
      </c>
      <c r="AE1353" t="s">
        <v>779</v>
      </c>
      <c r="AF1353" t="s">
        <v>16755</v>
      </c>
      <c r="AG1353" t="s">
        <v>8221</v>
      </c>
      <c r="AH1353" t="s">
        <v>16756</v>
      </c>
      <c r="AI1353" t="s">
        <v>16757</v>
      </c>
      <c r="AJ1353" t="s">
        <v>164</v>
      </c>
      <c r="AK1353" t="s">
        <v>3121</v>
      </c>
      <c r="AL1353">
        <v>1.53</v>
      </c>
      <c r="AM1353">
        <v>1.53</v>
      </c>
      <c r="AN1353">
        <v>7.0000000000000007E-2</v>
      </c>
      <c r="AO1353" t="s">
        <v>2313</v>
      </c>
      <c r="AP1353" t="s">
        <v>16758</v>
      </c>
      <c r="AQ1353" t="s">
        <v>11621</v>
      </c>
      <c r="AR1353" t="s">
        <v>660</v>
      </c>
      <c r="AS1353" t="s">
        <v>8286</v>
      </c>
      <c r="AT1353" t="s">
        <v>3018</v>
      </c>
      <c r="AU1353" t="s">
        <v>3024</v>
      </c>
      <c r="AV1353" t="s">
        <v>2108</v>
      </c>
      <c r="AW1353" t="s">
        <v>16759</v>
      </c>
      <c r="AX1353" t="s">
        <v>2471</v>
      </c>
      <c r="AY1353" t="s">
        <v>3402</v>
      </c>
      <c r="AZ1353" t="s">
        <v>10025</v>
      </c>
      <c r="BA1353">
        <v>1</v>
      </c>
      <c r="BB1353">
        <v>982.8</v>
      </c>
      <c r="BC1353">
        <v>0.17</v>
      </c>
      <c r="BD1353">
        <v>1.94</v>
      </c>
      <c r="BE1353">
        <v>2.0699999999999998</v>
      </c>
      <c r="BF1353">
        <v>1.93</v>
      </c>
      <c r="BG1353" t="s">
        <v>16760</v>
      </c>
      <c r="BH1353" t="s">
        <v>6038</v>
      </c>
      <c r="BI1353" t="s">
        <v>16761</v>
      </c>
      <c r="BJ1353" t="s">
        <v>101</v>
      </c>
      <c r="BK1353" t="s">
        <v>3228</v>
      </c>
      <c r="BL1353" t="s">
        <v>6981</v>
      </c>
      <c r="BM1353" t="s">
        <v>14524</v>
      </c>
      <c r="BN1353" t="s">
        <v>14623</v>
      </c>
    </row>
    <row r="1354" spans="1:66" x14ac:dyDescent="0.25">
      <c r="A1354" t="str">
        <f>HYPERLINK("https://elite.finviz.com/quote.ashx?t=UVV&amp;ty=c&amp;p=d&amp;b=1", "UVV")</f>
        <v>UVV</v>
      </c>
      <c r="B1354">
        <v>6</v>
      </c>
      <c r="C1354">
        <v>127.03</v>
      </c>
      <c r="D1354">
        <v>50.51</v>
      </c>
      <c r="E1354" t="s">
        <v>16762</v>
      </c>
      <c r="F1354" t="s">
        <v>67</v>
      </c>
      <c r="G1354" t="s">
        <v>2244</v>
      </c>
      <c r="H1354" t="s">
        <v>7643</v>
      </c>
      <c r="I1354" t="s">
        <v>70</v>
      </c>
      <c r="J1354" t="s">
        <v>71</v>
      </c>
      <c r="K1354">
        <v>1376.21</v>
      </c>
      <c r="L1354">
        <v>55.3</v>
      </c>
      <c r="M1354" t="s">
        <v>4782</v>
      </c>
      <c r="N1354">
        <v>17827</v>
      </c>
      <c r="O1354">
        <v>13.44</v>
      </c>
      <c r="P1354">
        <v>12</v>
      </c>
      <c r="R1354">
        <v>0.47</v>
      </c>
      <c r="S1354">
        <v>0.94</v>
      </c>
      <c r="T1354" t="s">
        <v>4907</v>
      </c>
      <c r="U1354">
        <v>3.25</v>
      </c>
      <c r="V1354" t="s">
        <v>5056</v>
      </c>
      <c r="W1354" t="s">
        <v>3350</v>
      </c>
      <c r="X1354" t="s">
        <v>5745</v>
      </c>
      <c r="Y1354" t="s">
        <v>5158</v>
      </c>
      <c r="Z1354" t="s">
        <v>13784</v>
      </c>
      <c r="AA1354">
        <v>4.1100000000000003</v>
      </c>
      <c r="AB1354" t="s">
        <v>5425</v>
      </c>
      <c r="AC1354" t="s">
        <v>2932</v>
      </c>
      <c r="AE1354" t="s">
        <v>1981</v>
      </c>
      <c r="AF1354" t="s">
        <v>3003</v>
      </c>
      <c r="AG1354" t="s">
        <v>2625</v>
      </c>
      <c r="AH1354" t="s">
        <v>1714</v>
      </c>
      <c r="AJ1354" t="s">
        <v>123</v>
      </c>
      <c r="AK1354" t="s">
        <v>11936</v>
      </c>
      <c r="AL1354">
        <v>2.4900000000000002</v>
      </c>
      <c r="AM1354">
        <v>0.89</v>
      </c>
      <c r="AN1354">
        <v>0.87</v>
      </c>
      <c r="AO1354" t="s">
        <v>6558</v>
      </c>
      <c r="AP1354" t="s">
        <v>6272</v>
      </c>
      <c r="AQ1354" t="s">
        <v>1926</v>
      </c>
      <c r="AR1354" t="s">
        <v>7338</v>
      </c>
      <c r="AS1354" t="s">
        <v>2201</v>
      </c>
      <c r="AT1354" t="s">
        <v>2638</v>
      </c>
      <c r="AU1354" t="s">
        <v>2125</v>
      </c>
      <c r="AV1354" t="s">
        <v>4191</v>
      </c>
      <c r="AW1354" t="s">
        <v>10774</v>
      </c>
      <c r="AX1354" t="s">
        <v>6315</v>
      </c>
      <c r="AY1354" t="s">
        <v>16763</v>
      </c>
      <c r="AZ1354" t="s">
        <v>3644</v>
      </c>
      <c r="BB1354">
        <v>262.38</v>
      </c>
      <c r="BC1354">
        <v>0.24</v>
      </c>
      <c r="BD1354">
        <v>54.93</v>
      </c>
      <c r="BE1354">
        <v>55.44</v>
      </c>
      <c r="BF1354">
        <v>55.17</v>
      </c>
      <c r="BG1354" t="s">
        <v>16764</v>
      </c>
      <c r="BH1354" t="s">
        <v>16765</v>
      </c>
      <c r="BI1354" t="s">
        <v>16766</v>
      </c>
      <c r="BJ1354" t="s">
        <v>101</v>
      </c>
      <c r="BK1354" t="s">
        <v>3859</v>
      </c>
      <c r="BL1354" t="s">
        <v>1444</v>
      </c>
      <c r="BM1354" t="s">
        <v>3435</v>
      </c>
      <c r="BN1354" t="s">
        <v>14623</v>
      </c>
    </row>
    <row r="1355" spans="1:66" x14ac:dyDescent="0.25">
      <c r="A1355" t="str">
        <f>HYPERLINK("https://elite.finviz.com/quote.ashx?t=OPBK&amp;ty=c&amp;p=d&amp;b=1", "OPBK")</f>
        <v>OPBK</v>
      </c>
      <c r="B1355">
        <v>6</v>
      </c>
      <c r="C1355">
        <v>127.03</v>
      </c>
      <c r="D1355">
        <v>50.53</v>
      </c>
      <c r="E1355" t="s">
        <v>16767</v>
      </c>
      <c r="F1355" t="s">
        <v>67</v>
      </c>
      <c r="G1355" t="s">
        <v>550</v>
      </c>
      <c r="H1355" t="s">
        <v>697</v>
      </c>
      <c r="I1355" t="s">
        <v>70</v>
      </c>
      <c r="J1355" t="s">
        <v>321</v>
      </c>
      <c r="K1355">
        <v>211.97</v>
      </c>
      <c r="L1355">
        <v>14.24</v>
      </c>
      <c r="M1355" t="s">
        <v>580</v>
      </c>
      <c r="N1355">
        <v>5466</v>
      </c>
      <c r="O1355">
        <v>9.6</v>
      </c>
      <c r="P1355">
        <v>7.57</v>
      </c>
      <c r="R1355">
        <v>1.32</v>
      </c>
      <c r="S1355">
        <v>0.99</v>
      </c>
      <c r="T1355" t="s">
        <v>3454</v>
      </c>
      <c r="U1355">
        <v>0.48</v>
      </c>
      <c r="V1355" t="s">
        <v>2420</v>
      </c>
      <c r="W1355" t="s">
        <v>164</v>
      </c>
      <c r="X1355" t="s">
        <v>6068</v>
      </c>
      <c r="Y1355" t="s">
        <v>7001</v>
      </c>
      <c r="Z1355" t="s">
        <v>209</v>
      </c>
      <c r="AA1355">
        <v>1.48</v>
      </c>
      <c r="AB1355" t="s">
        <v>2301</v>
      </c>
      <c r="AC1355" t="s">
        <v>229</v>
      </c>
      <c r="AE1355" t="s">
        <v>3600</v>
      </c>
      <c r="AF1355" t="s">
        <v>5011</v>
      </c>
      <c r="AG1355" t="s">
        <v>4914</v>
      </c>
      <c r="AH1355" t="s">
        <v>2447</v>
      </c>
      <c r="AI1355" t="s">
        <v>11544</v>
      </c>
      <c r="AJ1355" t="s">
        <v>4507</v>
      </c>
      <c r="AK1355" t="s">
        <v>16768</v>
      </c>
      <c r="AL1355">
        <v>0.09</v>
      </c>
      <c r="AN1355">
        <v>0.28999999999999998</v>
      </c>
      <c r="AP1355" t="s">
        <v>16429</v>
      </c>
      <c r="AQ1355" t="s">
        <v>10137</v>
      </c>
      <c r="AR1355" t="s">
        <v>6937</v>
      </c>
      <c r="AS1355" t="s">
        <v>4839</v>
      </c>
      <c r="AT1355" t="s">
        <v>609</v>
      </c>
      <c r="AU1355" t="s">
        <v>4945</v>
      </c>
      <c r="AV1355" t="s">
        <v>3057</v>
      </c>
      <c r="AW1355" t="s">
        <v>6989</v>
      </c>
      <c r="AX1355" t="s">
        <v>5699</v>
      </c>
      <c r="AY1355" t="s">
        <v>2013</v>
      </c>
      <c r="AZ1355" t="s">
        <v>16078</v>
      </c>
      <c r="BA1355">
        <v>2</v>
      </c>
      <c r="BB1355">
        <v>85.4</v>
      </c>
      <c r="BC1355">
        <v>0.23</v>
      </c>
      <c r="BD1355">
        <v>14.23</v>
      </c>
      <c r="BE1355">
        <v>14.63</v>
      </c>
      <c r="BF1355">
        <v>14.26</v>
      </c>
      <c r="BG1355" t="s">
        <v>16769</v>
      </c>
      <c r="BH1355" t="s">
        <v>2013</v>
      </c>
      <c r="BI1355" t="s">
        <v>16770</v>
      </c>
      <c r="BJ1355" t="s">
        <v>101</v>
      </c>
      <c r="BK1355" t="s">
        <v>3368</v>
      </c>
      <c r="BL1355" t="s">
        <v>1099</v>
      </c>
      <c r="BM1355" t="s">
        <v>3405</v>
      </c>
      <c r="BN1355" t="s">
        <v>14623</v>
      </c>
    </row>
    <row r="1356" spans="1:66" x14ac:dyDescent="0.25">
      <c r="A1356" t="str">
        <f>HYPERLINK("https://elite.finviz.com/quote.ashx?t=MD&amp;ty=c&amp;p=d&amp;b=1", "MD")</f>
        <v>MD</v>
      </c>
      <c r="B1356">
        <v>6</v>
      </c>
      <c r="C1356">
        <v>127.03</v>
      </c>
      <c r="D1356">
        <v>50.54</v>
      </c>
      <c r="E1356" t="s">
        <v>16771</v>
      </c>
      <c r="F1356" t="s">
        <v>67</v>
      </c>
      <c r="G1356" t="s">
        <v>428</v>
      </c>
      <c r="H1356" t="s">
        <v>3160</v>
      </c>
      <c r="I1356" t="s">
        <v>70</v>
      </c>
      <c r="J1356" t="s">
        <v>71</v>
      </c>
      <c r="K1356">
        <v>1418.61</v>
      </c>
      <c r="L1356">
        <v>16.29</v>
      </c>
      <c r="M1356" t="s">
        <v>6871</v>
      </c>
      <c r="N1356">
        <v>45717</v>
      </c>
      <c r="O1356">
        <v>12.66</v>
      </c>
      <c r="P1356">
        <v>8.91</v>
      </c>
      <c r="Q1356">
        <v>1.77</v>
      </c>
      <c r="R1356">
        <v>0.73</v>
      </c>
      <c r="S1356">
        <v>1.7</v>
      </c>
      <c r="AA1356">
        <v>1.29</v>
      </c>
      <c r="AC1356" t="s">
        <v>9058</v>
      </c>
      <c r="AD1356" t="s">
        <v>5114</v>
      </c>
      <c r="AE1356" t="s">
        <v>6161</v>
      </c>
      <c r="AF1356" t="s">
        <v>2195</v>
      </c>
      <c r="AG1356" t="s">
        <v>2333</v>
      </c>
      <c r="AH1356" t="s">
        <v>15209</v>
      </c>
      <c r="AI1356" t="s">
        <v>9747</v>
      </c>
      <c r="AJ1356" t="s">
        <v>164</v>
      </c>
      <c r="AK1356" t="s">
        <v>16772</v>
      </c>
      <c r="AL1356">
        <v>1.8</v>
      </c>
      <c r="AM1356">
        <v>1.8</v>
      </c>
      <c r="AN1356">
        <v>0.78</v>
      </c>
      <c r="AO1356" t="s">
        <v>10300</v>
      </c>
      <c r="AP1356" t="s">
        <v>5788</v>
      </c>
      <c r="AQ1356" t="s">
        <v>5210</v>
      </c>
      <c r="AR1356" t="s">
        <v>4276</v>
      </c>
      <c r="AS1356" t="s">
        <v>3208</v>
      </c>
      <c r="AT1356" t="s">
        <v>2723</v>
      </c>
      <c r="AU1356" t="s">
        <v>3053</v>
      </c>
      <c r="AV1356" t="s">
        <v>15187</v>
      </c>
      <c r="AW1356" t="s">
        <v>184</v>
      </c>
      <c r="AX1356" t="s">
        <v>16773</v>
      </c>
      <c r="AY1356" t="s">
        <v>6246</v>
      </c>
      <c r="AZ1356" t="s">
        <v>16774</v>
      </c>
      <c r="BA1356">
        <v>2.4300000000000002</v>
      </c>
      <c r="BB1356">
        <v>755.17</v>
      </c>
      <c r="BC1356">
        <v>0.21</v>
      </c>
      <c r="BD1356">
        <v>16.34</v>
      </c>
      <c r="BE1356">
        <v>16.440000000000001</v>
      </c>
      <c r="BF1356">
        <v>16.25</v>
      </c>
      <c r="BG1356" t="s">
        <v>16775</v>
      </c>
      <c r="BH1356" t="s">
        <v>16776</v>
      </c>
      <c r="BI1356" t="s">
        <v>16777</v>
      </c>
      <c r="BJ1356" t="s">
        <v>101</v>
      </c>
      <c r="BK1356" t="s">
        <v>5458</v>
      </c>
      <c r="BL1356" t="s">
        <v>4378</v>
      </c>
      <c r="BM1356" t="s">
        <v>16778</v>
      </c>
      <c r="BN1356" t="s">
        <v>14623</v>
      </c>
    </row>
    <row r="1357" spans="1:66" x14ac:dyDescent="0.25">
      <c r="A1357" t="str">
        <f>HYPERLINK("https://elite.finviz.com/quote.ashx?t=HLIO&amp;ty=c&amp;p=d&amp;b=1", "HLIO")</f>
        <v>HLIO</v>
      </c>
      <c r="B1357">
        <v>6</v>
      </c>
      <c r="C1357">
        <v>127.03</v>
      </c>
      <c r="D1357">
        <v>50.57</v>
      </c>
      <c r="E1357" t="s">
        <v>16779</v>
      </c>
      <c r="F1357" t="s">
        <v>67</v>
      </c>
      <c r="G1357" t="s">
        <v>260</v>
      </c>
      <c r="H1357" t="s">
        <v>261</v>
      </c>
      <c r="I1357" t="s">
        <v>70</v>
      </c>
      <c r="J1357" t="s">
        <v>71</v>
      </c>
      <c r="K1357">
        <v>1749.1</v>
      </c>
      <c r="L1357">
        <v>52.76</v>
      </c>
      <c r="M1357" t="s">
        <v>1657</v>
      </c>
      <c r="N1357">
        <v>32180</v>
      </c>
      <c r="O1357">
        <v>50.34</v>
      </c>
      <c r="P1357">
        <v>18.989999999999998</v>
      </c>
      <c r="Q1357">
        <v>4.34</v>
      </c>
      <c r="R1357">
        <v>2.2400000000000002</v>
      </c>
      <c r="S1357">
        <v>1.92</v>
      </c>
      <c r="T1357" t="s">
        <v>5253</v>
      </c>
      <c r="U1357">
        <v>0.36</v>
      </c>
      <c r="V1357" t="s">
        <v>16780</v>
      </c>
      <c r="W1357" t="s">
        <v>164</v>
      </c>
      <c r="X1357" t="s">
        <v>164</v>
      </c>
      <c r="Y1357" t="s">
        <v>164</v>
      </c>
      <c r="Z1357" t="s">
        <v>10704</v>
      </c>
      <c r="AA1357">
        <v>1.05</v>
      </c>
      <c r="AB1357" t="s">
        <v>16781</v>
      </c>
      <c r="AC1357" t="s">
        <v>15153</v>
      </c>
      <c r="AD1357" t="s">
        <v>5446</v>
      </c>
      <c r="AE1357" t="s">
        <v>9148</v>
      </c>
      <c r="AF1357" t="s">
        <v>2978</v>
      </c>
      <c r="AG1357" t="s">
        <v>4114</v>
      </c>
      <c r="AH1357" t="s">
        <v>16782</v>
      </c>
      <c r="AI1357" t="s">
        <v>1784</v>
      </c>
      <c r="AJ1357" t="s">
        <v>164</v>
      </c>
      <c r="AK1357" t="s">
        <v>7736</v>
      </c>
      <c r="AL1357">
        <v>2.4500000000000002</v>
      </c>
      <c r="AM1357">
        <v>1.41</v>
      </c>
      <c r="AN1357">
        <v>0.5</v>
      </c>
      <c r="AO1357" t="s">
        <v>277</v>
      </c>
      <c r="AP1357" t="s">
        <v>2200</v>
      </c>
      <c r="AQ1357" t="s">
        <v>5554</v>
      </c>
      <c r="AR1357" t="s">
        <v>2742</v>
      </c>
      <c r="AS1357" t="s">
        <v>451</v>
      </c>
      <c r="AT1357" t="s">
        <v>132</v>
      </c>
      <c r="AU1357" t="s">
        <v>4377</v>
      </c>
      <c r="AV1357" t="s">
        <v>946</v>
      </c>
      <c r="AW1357" t="s">
        <v>9412</v>
      </c>
      <c r="AX1357" t="s">
        <v>13343</v>
      </c>
      <c r="AY1357" t="s">
        <v>2467</v>
      </c>
      <c r="AZ1357" t="s">
        <v>16783</v>
      </c>
      <c r="BA1357">
        <v>1.2</v>
      </c>
      <c r="BB1357">
        <v>370.9</v>
      </c>
      <c r="BC1357">
        <v>0.31</v>
      </c>
      <c r="BD1357">
        <v>52.5</v>
      </c>
      <c r="BE1357">
        <v>53.02</v>
      </c>
      <c r="BF1357">
        <v>52.58</v>
      </c>
      <c r="BG1357" t="s">
        <v>16784</v>
      </c>
      <c r="BH1357" t="s">
        <v>1831</v>
      </c>
      <c r="BI1357" t="s">
        <v>16785</v>
      </c>
      <c r="BJ1357" t="s">
        <v>101</v>
      </c>
      <c r="BK1357" t="s">
        <v>3620</v>
      </c>
      <c r="BL1357" t="s">
        <v>16786</v>
      </c>
      <c r="BM1357" t="s">
        <v>13792</v>
      </c>
      <c r="BN1357" t="s">
        <v>14623</v>
      </c>
    </row>
    <row r="1358" spans="1:66" x14ac:dyDescent="0.25">
      <c r="A1358" t="str">
        <f>HYPERLINK("https://elite.finviz.com/quote.ashx?t=GIC&amp;ty=c&amp;p=d&amp;b=1", "GIC")</f>
        <v>GIC</v>
      </c>
      <c r="B1358">
        <v>6</v>
      </c>
      <c r="C1358">
        <v>127.03</v>
      </c>
      <c r="D1358">
        <v>50.58</v>
      </c>
      <c r="E1358" t="s">
        <v>16787</v>
      </c>
      <c r="F1358" t="s">
        <v>67</v>
      </c>
      <c r="G1358" t="s">
        <v>260</v>
      </c>
      <c r="H1358" t="s">
        <v>8107</v>
      </c>
      <c r="I1358" t="s">
        <v>70</v>
      </c>
      <c r="J1358" t="s">
        <v>71</v>
      </c>
      <c r="K1358">
        <v>1396.25</v>
      </c>
      <c r="L1358">
        <v>36.380000000000003</v>
      </c>
      <c r="M1358" t="s">
        <v>2203</v>
      </c>
      <c r="N1358">
        <v>8046</v>
      </c>
      <c r="O1358">
        <v>21.3</v>
      </c>
      <c r="P1358">
        <v>17.45</v>
      </c>
      <c r="Q1358">
        <v>1.87</v>
      </c>
      <c r="R1358">
        <v>1.05</v>
      </c>
      <c r="S1358">
        <v>4.57</v>
      </c>
      <c r="T1358" t="s">
        <v>7437</v>
      </c>
      <c r="U1358">
        <v>1.03</v>
      </c>
      <c r="V1358" t="s">
        <v>893</v>
      </c>
      <c r="W1358" t="s">
        <v>2621</v>
      </c>
      <c r="X1358" t="s">
        <v>325</v>
      </c>
      <c r="Y1358" t="s">
        <v>7477</v>
      </c>
      <c r="Z1358" t="s">
        <v>16788</v>
      </c>
      <c r="AA1358">
        <v>1.71</v>
      </c>
      <c r="AB1358" t="s">
        <v>658</v>
      </c>
      <c r="AC1358" t="s">
        <v>2841</v>
      </c>
      <c r="AD1358" t="s">
        <v>6923</v>
      </c>
      <c r="AE1358" t="s">
        <v>6265</v>
      </c>
      <c r="AF1358" t="s">
        <v>5383</v>
      </c>
      <c r="AG1358" t="s">
        <v>9703</v>
      </c>
      <c r="AH1358" t="s">
        <v>1391</v>
      </c>
      <c r="AI1358" t="s">
        <v>4400</v>
      </c>
      <c r="AJ1358" t="s">
        <v>2745</v>
      </c>
      <c r="AK1358" t="s">
        <v>3851</v>
      </c>
      <c r="AL1358">
        <v>2.1</v>
      </c>
      <c r="AM1358">
        <v>1.19</v>
      </c>
      <c r="AN1358">
        <v>0.35</v>
      </c>
      <c r="AO1358" t="s">
        <v>16789</v>
      </c>
      <c r="AP1358" t="s">
        <v>4760</v>
      </c>
      <c r="AQ1358" t="s">
        <v>7978</v>
      </c>
      <c r="AR1358" t="s">
        <v>3208</v>
      </c>
      <c r="AS1358" t="s">
        <v>3635</v>
      </c>
      <c r="AT1358" t="s">
        <v>1313</v>
      </c>
      <c r="AU1358" t="s">
        <v>10226</v>
      </c>
      <c r="AV1358" t="s">
        <v>16790</v>
      </c>
      <c r="AW1358" t="s">
        <v>10713</v>
      </c>
      <c r="AX1358" t="s">
        <v>1448</v>
      </c>
      <c r="AY1358" t="s">
        <v>10713</v>
      </c>
      <c r="AZ1358" t="s">
        <v>16791</v>
      </c>
      <c r="BA1358">
        <v>3</v>
      </c>
      <c r="BB1358">
        <v>115.21</v>
      </c>
      <c r="BC1358">
        <v>0.25</v>
      </c>
      <c r="BD1358">
        <v>36.549999999999997</v>
      </c>
      <c r="BE1358">
        <v>36.950000000000003</v>
      </c>
      <c r="BF1358">
        <v>36.44</v>
      </c>
      <c r="BG1358" t="s">
        <v>16792</v>
      </c>
      <c r="BH1358" t="s">
        <v>14208</v>
      </c>
      <c r="BI1358" t="s">
        <v>16793</v>
      </c>
      <c r="BJ1358" t="s">
        <v>101</v>
      </c>
      <c r="BK1358" t="s">
        <v>10025</v>
      </c>
      <c r="BL1358" t="s">
        <v>13530</v>
      </c>
      <c r="BM1358" t="s">
        <v>776</v>
      </c>
      <c r="BN1358" t="s">
        <v>14623</v>
      </c>
    </row>
    <row r="1359" spans="1:66" x14ac:dyDescent="0.25">
      <c r="A1359" t="str">
        <f>HYPERLINK("https://elite.finviz.com/quote.ashx?t=SURG&amp;ty=c&amp;p=d&amp;b=1", "SURG")</f>
        <v>SURG</v>
      </c>
      <c r="B1359">
        <v>6</v>
      </c>
      <c r="C1359">
        <v>127.03</v>
      </c>
      <c r="D1359">
        <v>50.59</v>
      </c>
      <c r="E1359" t="s">
        <v>16794</v>
      </c>
      <c r="F1359" t="s">
        <v>107</v>
      </c>
      <c r="G1359" t="s">
        <v>598</v>
      </c>
      <c r="H1359" t="s">
        <v>6147</v>
      </c>
      <c r="I1359" t="s">
        <v>70</v>
      </c>
      <c r="J1359" t="s">
        <v>321</v>
      </c>
      <c r="K1359">
        <v>57.97</v>
      </c>
      <c r="L1359">
        <v>2.84</v>
      </c>
      <c r="M1359" t="s">
        <v>241</v>
      </c>
      <c r="N1359">
        <v>8245</v>
      </c>
      <c r="P1359">
        <v>16.21</v>
      </c>
      <c r="R1359">
        <v>1.59</v>
      </c>
      <c r="S1359">
        <v>482.59</v>
      </c>
      <c r="AA1359">
        <v>-2.4500000000000002</v>
      </c>
      <c r="AB1359" t="s">
        <v>1282</v>
      </c>
      <c r="AC1359" t="s">
        <v>15543</v>
      </c>
      <c r="AE1359" t="s">
        <v>16795</v>
      </c>
      <c r="AF1359" t="s">
        <v>4077</v>
      </c>
      <c r="AG1359" t="s">
        <v>7287</v>
      </c>
      <c r="AH1359" t="s">
        <v>6516</v>
      </c>
      <c r="AI1359" t="s">
        <v>4360</v>
      </c>
      <c r="AJ1359" t="s">
        <v>8932</v>
      </c>
      <c r="AK1359" t="s">
        <v>2678</v>
      </c>
      <c r="AL1359">
        <v>1.1100000000000001</v>
      </c>
      <c r="AM1359">
        <v>0.84</v>
      </c>
      <c r="AN1359">
        <v>83.75</v>
      </c>
      <c r="AO1359" t="s">
        <v>4716</v>
      </c>
      <c r="AP1359" t="s">
        <v>16796</v>
      </c>
      <c r="AQ1359" t="s">
        <v>16797</v>
      </c>
      <c r="AR1359" t="s">
        <v>1449</v>
      </c>
      <c r="AS1359" t="s">
        <v>1104</v>
      </c>
      <c r="AT1359" t="s">
        <v>2899</v>
      </c>
      <c r="AU1359" t="s">
        <v>4945</v>
      </c>
      <c r="AV1359" t="s">
        <v>6022</v>
      </c>
      <c r="AW1359" t="s">
        <v>11638</v>
      </c>
      <c r="AX1359" t="s">
        <v>3302</v>
      </c>
      <c r="AY1359" t="s">
        <v>16798</v>
      </c>
      <c r="AZ1359" t="s">
        <v>7299</v>
      </c>
      <c r="BA1359">
        <v>2</v>
      </c>
      <c r="BB1359">
        <v>110.64</v>
      </c>
      <c r="BC1359">
        <v>0.26</v>
      </c>
      <c r="BD1359">
        <v>2.86</v>
      </c>
      <c r="BE1359">
        <v>2.85</v>
      </c>
      <c r="BF1359">
        <v>2.8</v>
      </c>
      <c r="BG1359" t="s">
        <v>16799</v>
      </c>
      <c r="BH1359" t="s">
        <v>16800</v>
      </c>
      <c r="BI1359" t="s">
        <v>7299</v>
      </c>
      <c r="BJ1359" t="s">
        <v>101</v>
      </c>
      <c r="BK1359" t="s">
        <v>16801</v>
      </c>
      <c r="BL1359" t="s">
        <v>2890</v>
      </c>
      <c r="BM1359" t="s">
        <v>16802</v>
      </c>
      <c r="BN1359" t="s">
        <v>14623</v>
      </c>
    </row>
    <row r="1360" spans="1:66" x14ac:dyDescent="0.25">
      <c r="A1360" t="str">
        <f>HYPERLINK("https://elite.finviz.com/quote.ashx?t=CAH&amp;ty=c&amp;p=d&amp;b=1", "CAH")</f>
        <v>CAH</v>
      </c>
      <c r="B1360">
        <v>6</v>
      </c>
      <c r="C1360">
        <v>127.03</v>
      </c>
      <c r="D1360">
        <v>50.62</v>
      </c>
      <c r="E1360" t="s">
        <v>16803</v>
      </c>
      <c r="F1360" t="s">
        <v>195</v>
      </c>
      <c r="G1360" t="s">
        <v>428</v>
      </c>
      <c r="H1360" t="s">
        <v>10658</v>
      </c>
      <c r="I1360" t="s">
        <v>70</v>
      </c>
      <c r="J1360" t="s">
        <v>71</v>
      </c>
      <c r="K1360">
        <v>36138.17</v>
      </c>
      <c r="L1360">
        <v>151.34</v>
      </c>
      <c r="M1360" t="s">
        <v>1760</v>
      </c>
      <c r="N1360">
        <v>351113</v>
      </c>
      <c r="O1360">
        <v>23.5</v>
      </c>
      <c r="P1360">
        <v>14.23</v>
      </c>
      <c r="Q1360">
        <v>1.84</v>
      </c>
      <c r="R1360">
        <v>0.16</v>
      </c>
      <c r="T1360" t="s">
        <v>4280</v>
      </c>
      <c r="U1360">
        <v>2.0299999999999998</v>
      </c>
      <c r="V1360" t="s">
        <v>700</v>
      </c>
      <c r="W1360" t="s">
        <v>1457</v>
      </c>
      <c r="X1360" t="s">
        <v>4689</v>
      </c>
      <c r="Y1360" t="s">
        <v>5577</v>
      </c>
      <c r="Z1360" t="s">
        <v>12005</v>
      </c>
      <c r="AA1360">
        <v>6.44</v>
      </c>
      <c r="AD1360" t="s">
        <v>915</v>
      </c>
      <c r="AE1360" t="s">
        <v>214</v>
      </c>
      <c r="AF1360" t="s">
        <v>2869</v>
      </c>
      <c r="AG1360" t="s">
        <v>8535</v>
      </c>
      <c r="AH1360" t="s">
        <v>1657</v>
      </c>
      <c r="AI1360" t="s">
        <v>3671</v>
      </c>
      <c r="AJ1360" t="s">
        <v>16804</v>
      </c>
      <c r="AK1360" t="s">
        <v>5878</v>
      </c>
      <c r="AL1360">
        <v>0.94</v>
      </c>
      <c r="AM1360">
        <v>0.5</v>
      </c>
      <c r="AO1360" t="s">
        <v>975</v>
      </c>
      <c r="AP1360" t="s">
        <v>5166</v>
      </c>
      <c r="AQ1360" t="s">
        <v>3047</v>
      </c>
      <c r="AR1360" t="s">
        <v>7484</v>
      </c>
      <c r="AS1360" t="s">
        <v>212</v>
      </c>
      <c r="AT1360" t="s">
        <v>1022</v>
      </c>
      <c r="AU1360" t="s">
        <v>3495</v>
      </c>
      <c r="AV1360" t="s">
        <v>3952</v>
      </c>
      <c r="AW1360" t="s">
        <v>15649</v>
      </c>
      <c r="AX1360" t="s">
        <v>1066</v>
      </c>
      <c r="AY1360" t="s">
        <v>11042</v>
      </c>
      <c r="AZ1360" t="s">
        <v>1479</v>
      </c>
      <c r="BA1360">
        <v>1.63</v>
      </c>
      <c r="BB1360">
        <v>2254.85</v>
      </c>
      <c r="BC1360">
        <v>0.55000000000000004</v>
      </c>
      <c r="BD1360">
        <v>148.96</v>
      </c>
      <c r="BE1360">
        <v>151.5</v>
      </c>
      <c r="BF1360">
        <v>149.6</v>
      </c>
      <c r="BG1360" t="s">
        <v>16805</v>
      </c>
      <c r="BH1360" t="s">
        <v>11042</v>
      </c>
      <c r="BI1360" t="s">
        <v>16806</v>
      </c>
      <c r="BJ1360" t="s">
        <v>101</v>
      </c>
      <c r="BK1360" t="s">
        <v>8910</v>
      </c>
      <c r="BL1360" t="s">
        <v>177</v>
      </c>
      <c r="BM1360" t="s">
        <v>9831</v>
      </c>
      <c r="BN1360" t="s">
        <v>14759</v>
      </c>
    </row>
    <row r="1361" spans="1:66" x14ac:dyDescent="0.25">
      <c r="A1361" t="str">
        <f>HYPERLINK("https://elite.finviz.com/quote.ashx?t=NCMI&amp;ty=c&amp;p=d&amp;b=1", "NCMI")</f>
        <v>NCMI</v>
      </c>
      <c r="B1361">
        <v>6</v>
      </c>
      <c r="C1361">
        <v>127.03</v>
      </c>
      <c r="D1361">
        <v>50.62</v>
      </c>
      <c r="E1361" t="s">
        <v>16807</v>
      </c>
      <c r="F1361" t="s">
        <v>67</v>
      </c>
      <c r="G1361" t="s">
        <v>598</v>
      </c>
      <c r="H1361" t="s">
        <v>1020</v>
      </c>
      <c r="I1361" t="s">
        <v>70</v>
      </c>
      <c r="J1361" t="s">
        <v>321</v>
      </c>
      <c r="K1361">
        <v>438.51</v>
      </c>
      <c r="L1361">
        <v>4.68</v>
      </c>
      <c r="M1361" t="s">
        <v>4840</v>
      </c>
      <c r="N1361">
        <v>93835</v>
      </c>
      <c r="P1361">
        <v>42.54</v>
      </c>
      <c r="R1361">
        <v>1.86</v>
      </c>
      <c r="S1361">
        <v>1.25</v>
      </c>
      <c r="T1361" t="s">
        <v>3118</v>
      </c>
      <c r="U1361">
        <v>0.09</v>
      </c>
      <c r="V1361" t="s">
        <v>3046</v>
      </c>
      <c r="AA1361">
        <v>-0.22</v>
      </c>
      <c r="AB1361" t="s">
        <v>16808</v>
      </c>
      <c r="AE1361" t="s">
        <v>3924</v>
      </c>
      <c r="AF1361" t="s">
        <v>8721</v>
      </c>
      <c r="AG1361" t="s">
        <v>1450</v>
      </c>
      <c r="AH1361" t="s">
        <v>7285</v>
      </c>
      <c r="AI1361" t="s">
        <v>4688</v>
      </c>
      <c r="AJ1361" t="s">
        <v>2203</v>
      </c>
      <c r="AK1361" t="s">
        <v>16809</v>
      </c>
      <c r="AL1361">
        <v>1.74</v>
      </c>
      <c r="AM1361">
        <v>1.74</v>
      </c>
      <c r="AN1361">
        <v>0.04</v>
      </c>
      <c r="AO1361" t="s">
        <v>14666</v>
      </c>
      <c r="AP1361" t="s">
        <v>11990</v>
      </c>
      <c r="AQ1361" t="s">
        <v>6735</v>
      </c>
      <c r="AR1361" t="s">
        <v>1769</v>
      </c>
      <c r="AS1361" t="s">
        <v>1050</v>
      </c>
      <c r="AT1361" t="s">
        <v>2423</v>
      </c>
      <c r="AU1361" t="s">
        <v>458</v>
      </c>
      <c r="AV1361" t="s">
        <v>10941</v>
      </c>
      <c r="AW1361" t="s">
        <v>16810</v>
      </c>
      <c r="AX1361" t="s">
        <v>6124</v>
      </c>
      <c r="AY1361" t="s">
        <v>16811</v>
      </c>
      <c r="AZ1361" t="s">
        <v>1253</v>
      </c>
      <c r="BA1361">
        <v>1.4</v>
      </c>
      <c r="BB1361">
        <v>547.85</v>
      </c>
      <c r="BC1361">
        <v>0.6</v>
      </c>
      <c r="BD1361">
        <v>4.6500000000000004</v>
      </c>
      <c r="BE1361">
        <v>4.71</v>
      </c>
      <c r="BF1361">
        <v>4.6100000000000003</v>
      </c>
      <c r="BG1361" t="s">
        <v>16812</v>
      </c>
      <c r="BH1361" t="s">
        <v>16813</v>
      </c>
      <c r="BI1361" t="s">
        <v>16814</v>
      </c>
      <c r="BJ1361" t="s">
        <v>101</v>
      </c>
      <c r="BK1361" t="s">
        <v>7468</v>
      </c>
      <c r="BL1361" t="s">
        <v>6861</v>
      </c>
      <c r="BM1361" t="s">
        <v>6221</v>
      </c>
      <c r="BN1361" t="s">
        <v>14623</v>
      </c>
    </row>
    <row r="1362" spans="1:66" x14ac:dyDescent="0.25">
      <c r="A1362" t="str">
        <f>HYPERLINK("https://elite.finviz.com/quote.ashx?t=RCEL&amp;ty=c&amp;p=d&amp;b=1", "RCEL")</f>
        <v>RCEL</v>
      </c>
      <c r="B1362">
        <v>6</v>
      </c>
      <c r="C1362">
        <v>127.03</v>
      </c>
      <c r="D1362">
        <v>50.62</v>
      </c>
      <c r="E1362" t="s">
        <v>16815</v>
      </c>
      <c r="F1362" t="s">
        <v>67</v>
      </c>
      <c r="G1362" t="s">
        <v>428</v>
      </c>
      <c r="H1362" t="s">
        <v>2051</v>
      </c>
      <c r="I1362" t="s">
        <v>70</v>
      </c>
      <c r="J1362" t="s">
        <v>321</v>
      </c>
      <c r="K1362">
        <v>129.66</v>
      </c>
      <c r="L1362">
        <v>5.22</v>
      </c>
      <c r="M1362" t="s">
        <v>14331</v>
      </c>
      <c r="N1362">
        <v>20792</v>
      </c>
      <c r="R1362">
        <v>1.73</v>
      </c>
      <c r="AA1362">
        <v>-1.97</v>
      </c>
      <c r="AB1362" t="s">
        <v>16816</v>
      </c>
      <c r="AC1362" t="s">
        <v>16817</v>
      </c>
      <c r="AE1362" t="s">
        <v>9785</v>
      </c>
      <c r="AF1362" t="s">
        <v>10319</v>
      </c>
      <c r="AG1362" t="s">
        <v>16818</v>
      </c>
      <c r="AH1362" t="s">
        <v>6892</v>
      </c>
      <c r="AI1362" t="s">
        <v>15054</v>
      </c>
      <c r="AJ1362" t="s">
        <v>710</v>
      </c>
      <c r="AK1362" t="s">
        <v>10532</v>
      </c>
      <c r="AL1362">
        <v>0.57999999999999996</v>
      </c>
      <c r="AM1362">
        <v>0.46</v>
      </c>
      <c r="AO1362" t="s">
        <v>13057</v>
      </c>
      <c r="AP1362" t="s">
        <v>6619</v>
      </c>
      <c r="AQ1362" t="s">
        <v>1033</v>
      </c>
      <c r="AR1362" t="s">
        <v>3245</v>
      </c>
      <c r="AS1362" t="s">
        <v>1114</v>
      </c>
      <c r="AT1362" t="s">
        <v>5026</v>
      </c>
      <c r="AU1362" t="s">
        <v>5692</v>
      </c>
      <c r="AV1362" t="s">
        <v>14280</v>
      </c>
      <c r="AW1362" t="s">
        <v>16819</v>
      </c>
      <c r="AX1362" t="s">
        <v>16820</v>
      </c>
      <c r="AY1362" t="s">
        <v>16821</v>
      </c>
      <c r="AZ1362" t="s">
        <v>16820</v>
      </c>
      <c r="BA1362">
        <v>2.38</v>
      </c>
      <c r="BB1362">
        <v>671.66</v>
      </c>
      <c r="BC1362">
        <v>0.11</v>
      </c>
      <c r="BD1362">
        <v>5.33</v>
      </c>
      <c r="BE1362">
        <v>5.33</v>
      </c>
      <c r="BF1362">
        <v>5.2</v>
      </c>
      <c r="BG1362" t="s">
        <v>16822</v>
      </c>
      <c r="BH1362" t="s">
        <v>1015</v>
      </c>
      <c r="BI1362" t="s">
        <v>16820</v>
      </c>
      <c r="BJ1362" t="s">
        <v>101</v>
      </c>
      <c r="BK1362" t="s">
        <v>5368</v>
      </c>
      <c r="BL1362" t="s">
        <v>16823</v>
      </c>
      <c r="BM1362" t="s">
        <v>16824</v>
      </c>
      <c r="BN1362" t="s">
        <v>14623</v>
      </c>
    </row>
    <row r="1363" spans="1:66" x14ac:dyDescent="0.25">
      <c r="A1363" t="str">
        <f>HYPERLINK("https://elite.finviz.com/quote.ashx?t=USCB&amp;ty=c&amp;p=d&amp;b=1", "USCB")</f>
        <v>USCB</v>
      </c>
      <c r="B1363">
        <v>6</v>
      </c>
      <c r="C1363">
        <v>127.03</v>
      </c>
      <c r="D1363">
        <v>50.65</v>
      </c>
      <c r="E1363" t="s">
        <v>16825</v>
      </c>
      <c r="F1363" t="s">
        <v>67</v>
      </c>
      <c r="G1363" t="s">
        <v>550</v>
      </c>
      <c r="H1363" t="s">
        <v>697</v>
      </c>
      <c r="I1363" t="s">
        <v>70</v>
      </c>
      <c r="J1363" t="s">
        <v>321</v>
      </c>
      <c r="K1363">
        <v>346.96</v>
      </c>
      <c r="L1363">
        <v>17.28</v>
      </c>
      <c r="M1363" t="s">
        <v>2717</v>
      </c>
      <c r="N1363">
        <v>2909</v>
      </c>
      <c r="O1363">
        <v>11.75</v>
      </c>
      <c r="P1363">
        <v>8.84</v>
      </c>
      <c r="Q1363">
        <v>0.5</v>
      </c>
      <c r="R1363">
        <v>2.2799999999999998</v>
      </c>
      <c r="S1363">
        <v>1.5</v>
      </c>
      <c r="T1363" t="s">
        <v>4255</v>
      </c>
      <c r="U1363">
        <v>0.35</v>
      </c>
      <c r="V1363" t="s">
        <v>3046</v>
      </c>
      <c r="Z1363" t="s">
        <v>6814</v>
      </c>
      <c r="AA1363">
        <v>1.47</v>
      </c>
      <c r="AC1363" t="s">
        <v>9097</v>
      </c>
      <c r="AD1363" t="s">
        <v>1456</v>
      </c>
      <c r="AE1363" t="s">
        <v>2381</v>
      </c>
      <c r="AF1363" t="s">
        <v>1785</v>
      </c>
      <c r="AG1363" t="s">
        <v>3864</v>
      </c>
      <c r="AH1363" t="s">
        <v>3526</v>
      </c>
      <c r="AI1363" t="s">
        <v>3981</v>
      </c>
      <c r="AJ1363" t="s">
        <v>148</v>
      </c>
      <c r="AK1363" t="s">
        <v>9052</v>
      </c>
      <c r="AL1363">
        <v>0.1</v>
      </c>
      <c r="AN1363">
        <v>0.5</v>
      </c>
      <c r="AP1363" t="s">
        <v>11960</v>
      </c>
      <c r="AQ1363" t="s">
        <v>15580</v>
      </c>
      <c r="AR1363" t="s">
        <v>2496</v>
      </c>
      <c r="AS1363" t="s">
        <v>2273</v>
      </c>
      <c r="AT1363" t="s">
        <v>1842</v>
      </c>
      <c r="AU1363" t="s">
        <v>3336</v>
      </c>
      <c r="AV1363" t="s">
        <v>5746</v>
      </c>
      <c r="AW1363" t="s">
        <v>4692</v>
      </c>
      <c r="AX1363" t="s">
        <v>929</v>
      </c>
      <c r="AY1363" t="s">
        <v>16826</v>
      </c>
      <c r="AZ1363" t="s">
        <v>16827</v>
      </c>
      <c r="BA1363">
        <v>1.8</v>
      </c>
      <c r="BB1363">
        <v>23.42</v>
      </c>
      <c r="BC1363">
        <v>0.44</v>
      </c>
      <c r="BD1363">
        <v>17.3</v>
      </c>
      <c r="BE1363">
        <v>17.53</v>
      </c>
      <c r="BF1363">
        <v>17.38</v>
      </c>
      <c r="BG1363" t="s">
        <v>16828</v>
      </c>
      <c r="BH1363" t="s">
        <v>16826</v>
      </c>
      <c r="BI1363" t="s">
        <v>16829</v>
      </c>
      <c r="BJ1363" t="s">
        <v>101</v>
      </c>
      <c r="BK1363" t="s">
        <v>3524</v>
      </c>
      <c r="BL1363" t="s">
        <v>8182</v>
      </c>
      <c r="BM1363" t="s">
        <v>5387</v>
      </c>
      <c r="BN1363" t="s">
        <v>14623</v>
      </c>
    </row>
    <row r="1364" spans="1:66" x14ac:dyDescent="0.25">
      <c r="A1364" t="str">
        <f>HYPERLINK("https://elite.finviz.com/quote.ashx?t=KVHI&amp;ty=c&amp;p=d&amp;b=1", "KVHI")</f>
        <v>KVHI</v>
      </c>
      <c r="B1364">
        <v>6</v>
      </c>
      <c r="C1364">
        <v>127.03</v>
      </c>
      <c r="D1364">
        <v>50.66</v>
      </c>
      <c r="E1364" t="s">
        <v>16830</v>
      </c>
      <c r="F1364" t="s">
        <v>107</v>
      </c>
      <c r="G1364" t="s">
        <v>598</v>
      </c>
      <c r="H1364" t="s">
        <v>6147</v>
      </c>
      <c r="I1364" t="s">
        <v>70</v>
      </c>
      <c r="J1364" t="s">
        <v>321</v>
      </c>
      <c r="K1364">
        <v>114.2</v>
      </c>
      <c r="L1364">
        <v>5.86</v>
      </c>
      <c r="M1364" t="s">
        <v>10808</v>
      </c>
      <c r="N1364">
        <v>2396</v>
      </c>
      <c r="P1364">
        <v>27.88</v>
      </c>
      <c r="R1364">
        <v>1.06</v>
      </c>
      <c r="S1364">
        <v>0.83</v>
      </c>
      <c r="AA1364">
        <v>-0.32</v>
      </c>
      <c r="AB1364" t="s">
        <v>2190</v>
      </c>
      <c r="AC1364" t="s">
        <v>1455</v>
      </c>
      <c r="AE1364" t="s">
        <v>1287</v>
      </c>
      <c r="AF1364" t="s">
        <v>11445</v>
      </c>
      <c r="AG1364" t="s">
        <v>5857</v>
      </c>
      <c r="AH1364" t="s">
        <v>4635</v>
      </c>
      <c r="AI1364" t="s">
        <v>8375</v>
      </c>
      <c r="AJ1364" t="s">
        <v>171</v>
      </c>
      <c r="AK1364" t="s">
        <v>16831</v>
      </c>
      <c r="AL1364">
        <v>9.39</v>
      </c>
      <c r="AM1364">
        <v>7.85</v>
      </c>
      <c r="AN1364">
        <v>0.01</v>
      </c>
      <c r="AO1364" t="s">
        <v>2890</v>
      </c>
      <c r="AP1364" t="s">
        <v>6775</v>
      </c>
      <c r="AQ1364" t="s">
        <v>4691</v>
      </c>
      <c r="AR1364" t="s">
        <v>2932</v>
      </c>
      <c r="AS1364" t="s">
        <v>995</v>
      </c>
      <c r="AT1364" t="s">
        <v>13117</v>
      </c>
      <c r="AU1364" t="s">
        <v>371</v>
      </c>
      <c r="AV1364" t="s">
        <v>1215</v>
      </c>
      <c r="AW1364" t="s">
        <v>1137</v>
      </c>
      <c r="AX1364" t="s">
        <v>7297</v>
      </c>
      <c r="AY1364" t="s">
        <v>1137</v>
      </c>
      <c r="AZ1364" t="s">
        <v>16832</v>
      </c>
      <c r="BA1364">
        <v>1</v>
      </c>
      <c r="BB1364">
        <v>30.37</v>
      </c>
      <c r="BC1364">
        <v>0.28000000000000003</v>
      </c>
      <c r="BD1364">
        <v>5.9</v>
      </c>
      <c r="BE1364">
        <v>5.92</v>
      </c>
      <c r="BF1364">
        <v>5.86</v>
      </c>
      <c r="BG1364" t="s">
        <v>16833</v>
      </c>
      <c r="BH1364" t="s">
        <v>16834</v>
      </c>
      <c r="BI1364" t="s">
        <v>16835</v>
      </c>
      <c r="BJ1364" t="s">
        <v>101</v>
      </c>
      <c r="BK1364" t="s">
        <v>9718</v>
      </c>
      <c r="BL1364" t="s">
        <v>5864</v>
      </c>
      <c r="BM1364" t="s">
        <v>6720</v>
      </c>
      <c r="BN1364" t="s">
        <v>14623</v>
      </c>
    </row>
    <row r="1365" spans="1:66" x14ac:dyDescent="0.25">
      <c r="A1365" t="str">
        <f>HYPERLINK("https://elite.finviz.com/quote.ashx?t=LIVE&amp;ty=c&amp;p=d&amp;b=1", "LIVE")</f>
        <v>LIVE</v>
      </c>
      <c r="B1365">
        <v>6</v>
      </c>
      <c r="C1365">
        <v>127.03</v>
      </c>
      <c r="D1365">
        <v>50.68</v>
      </c>
      <c r="E1365" t="s">
        <v>16836</v>
      </c>
      <c r="F1365" t="s">
        <v>107</v>
      </c>
      <c r="G1365" t="s">
        <v>813</v>
      </c>
      <c r="H1365" t="s">
        <v>4265</v>
      </c>
      <c r="I1365" t="s">
        <v>70</v>
      </c>
      <c r="J1365" t="s">
        <v>321</v>
      </c>
      <c r="K1365">
        <v>54.75</v>
      </c>
      <c r="L1365">
        <v>17.829999999999998</v>
      </c>
      <c r="M1365" t="s">
        <v>12575</v>
      </c>
      <c r="N1365">
        <v>456</v>
      </c>
      <c r="O1365">
        <v>170.25</v>
      </c>
      <c r="R1365">
        <v>0.12</v>
      </c>
      <c r="S1365">
        <v>0.57999999999999996</v>
      </c>
      <c r="AA1365">
        <v>0.1</v>
      </c>
      <c r="AC1365" t="s">
        <v>14007</v>
      </c>
      <c r="AE1365" t="s">
        <v>2012</v>
      </c>
      <c r="AF1365" t="s">
        <v>8533</v>
      </c>
      <c r="AG1365" t="s">
        <v>2713</v>
      </c>
      <c r="AH1365" t="s">
        <v>843</v>
      </c>
      <c r="AJ1365" t="s">
        <v>5620</v>
      </c>
      <c r="AK1365" t="s">
        <v>10610</v>
      </c>
      <c r="AL1365">
        <v>1.65</v>
      </c>
      <c r="AM1365">
        <v>0.48</v>
      </c>
      <c r="AN1365">
        <v>2.35</v>
      </c>
      <c r="AO1365" t="s">
        <v>16837</v>
      </c>
      <c r="AP1365" t="s">
        <v>2619</v>
      </c>
      <c r="AQ1365" t="s">
        <v>1409</v>
      </c>
      <c r="AR1365" t="s">
        <v>289</v>
      </c>
      <c r="AS1365" t="s">
        <v>3230</v>
      </c>
      <c r="AT1365" t="s">
        <v>2423</v>
      </c>
      <c r="AU1365" t="s">
        <v>2809</v>
      </c>
      <c r="AV1365" t="s">
        <v>11574</v>
      </c>
      <c r="AW1365" t="s">
        <v>4926</v>
      </c>
      <c r="AX1365" t="s">
        <v>14905</v>
      </c>
      <c r="AY1365" t="s">
        <v>4897</v>
      </c>
      <c r="AZ1365" t="s">
        <v>16838</v>
      </c>
      <c r="BA1365">
        <v>1</v>
      </c>
      <c r="BB1365">
        <v>75.58</v>
      </c>
      <c r="BC1365">
        <v>0.02</v>
      </c>
      <c r="BD1365">
        <v>18.45</v>
      </c>
      <c r="BE1365">
        <v>18.329999999999998</v>
      </c>
      <c r="BF1365">
        <v>18.329999999999998</v>
      </c>
      <c r="BG1365" t="s">
        <v>16839</v>
      </c>
      <c r="BH1365" t="s">
        <v>16840</v>
      </c>
      <c r="BI1365" t="s">
        <v>16841</v>
      </c>
      <c r="BJ1365" t="s">
        <v>101</v>
      </c>
      <c r="BK1365" t="s">
        <v>6162</v>
      </c>
      <c r="BL1365" t="s">
        <v>16842</v>
      </c>
      <c r="BM1365" t="s">
        <v>2217</v>
      </c>
      <c r="BN1365" t="s">
        <v>14623</v>
      </c>
    </row>
    <row r="1366" spans="1:66" x14ac:dyDescent="0.25">
      <c r="A1366" t="str">
        <f>HYPERLINK("https://elite.finviz.com/quote.ashx?t=LUD&amp;ty=c&amp;p=d&amp;b=1", "LUD")</f>
        <v>LUD</v>
      </c>
      <c r="B1366">
        <v>6</v>
      </c>
      <c r="C1366">
        <v>127.03</v>
      </c>
      <c r="D1366">
        <v>50.7</v>
      </c>
      <c r="E1366" t="s">
        <v>16843</v>
      </c>
      <c r="F1366" t="s">
        <v>107</v>
      </c>
      <c r="G1366" t="s">
        <v>355</v>
      </c>
      <c r="H1366" t="s">
        <v>10220</v>
      </c>
      <c r="I1366" t="s">
        <v>70</v>
      </c>
      <c r="J1366" t="s">
        <v>383</v>
      </c>
      <c r="L1366">
        <v>11.57</v>
      </c>
      <c r="M1366" t="s">
        <v>5707</v>
      </c>
      <c r="N1366">
        <v>10305</v>
      </c>
      <c r="AR1366" t="s">
        <v>5050</v>
      </c>
      <c r="AS1366" t="s">
        <v>15980</v>
      </c>
      <c r="AT1366" t="s">
        <v>4647</v>
      </c>
      <c r="AU1366" t="s">
        <v>8698</v>
      </c>
      <c r="AV1366" t="s">
        <v>4870</v>
      </c>
      <c r="AW1366" t="s">
        <v>16844</v>
      </c>
      <c r="AX1366" t="s">
        <v>16845</v>
      </c>
      <c r="AY1366" t="s">
        <v>16844</v>
      </c>
      <c r="AZ1366" t="s">
        <v>16846</v>
      </c>
      <c r="BB1366">
        <v>56.95</v>
      </c>
      <c r="BC1366">
        <v>0.64</v>
      </c>
      <c r="BD1366">
        <v>12.81</v>
      </c>
      <c r="BE1366">
        <v>13.65</v>
      </c>
      <c r="BF1366">
        <v>11.74</v>
      </c>
      <c r="BG1366" t="s">
        <v>16847</v>
      </c>
      <c r="BH1366" t="s">
        <v>16844</v>
      </c>
      <c r="BI1366" t="s">
        <v>16846</v>
      </c>
      <c r="BJ1366" t="s">
        <v>101</v>
      </c>
      <c r="BK1366" t="s">
        <v>16848</v>
      </c>
      <c r="BL1366" t="s">
        <v>16849</v>
      </c>
      <c r="BN1366" t="s">
        <v>14623</v>
      </c>
    </row>
    <row r="1367" spans="1:66" x14ac:dyDescent="0.25">
      <c r="A1367" t="str">
        <f>HYPERLINK("https://elite.finviz.com/quote.ashx?t=WTS&amp;ty=c&amp;p=d&amp;b=1", "WTS")</f>
        <v>WTS</v>
      </c>
      <c r="B1367">
        <v>6</v>
      </c>
      <c r="C1367">
        <v>127.03</v>
      </c>
      <c r="D1367">
        <v>50.71</v>
      </c>
      <c r="E1367" t="s">
        <v>16850</v>
      </c>
      <c r="F1367" t="s">
        <v>67</v>
      </c>
      <c r="G1367" t="s">
        <v>260</v>
      </c>
      <c r="H1367" t="s">
        <v>261</v>
      </c>
      <c r="I1367" t="s">
        <v>70</v>
      </c>
      <c r="J1367" t="s">
        <v>71</v>
      </c>
      <c r="K1367">
        <v>9266.5499999999993</v>
      </c>
      <c r="L1367">
        <v>277.76</v>
      </c>
      <c r="M1367" t="s">
        <v>4759</v>
      </c>
      <c r="N1367">
        <v>10458</v>
      </c>
      <c r="O1367">
        <v>29.87</v>
      </c>
      <c r="P1367">
        <v>26.31</v>
      </c>
      <c r="Q1367">
        <v>3.64</v>
      </c>
      <c r="R1367">
        <v>4.05</v>
      </c>
      <c r="S1367">
        <v>4.9000000000000004</v>
      </c>
      <c r="T1367" t="s">
        <v>4865</v>
      </c>
      <c r="U1367">
        <v>1.9</v>
      </c>
      <c r="V1367" t="s">
        <v>4882</v>
      </c>
      <c r="W1367" t="s">
        <v>12410</v>
      </c>
      <c r="X1367" t="s">
        <v>7072</v>
      </c>
      <c r="Y1367" t="s">
        <v>1369</v>
      </c>
      <c r="Z1367" t="s">
        <v>1284</v>
      </c>
      <c r="AA1367">
        <v>9.3000000000000007</v>
      </c>
      <c r="AB1367" t="s">
        <v>4466</v>
      </c>
      <c r="AC1367" t="s">
        <v>5627</v>
      </c>
      <c r="AD1367" t="s">
        <v>2861</v>
      </c>
      <c r="AE1367" t="s">
        <v>7154</v>
      </c>
      <c r="AF1367" t="s">
        <v>2521</v>
      </c>
      <c r="AG1367" t="s">
        <v>2448</v>
      </c>
      <c r="AH1367" t="s">
        <v>1021</v>
      </c>
      <c r="AI1367" t="s">
        <v>685</v>
      </c>
      <c r="AJ1367" t="s">
        <v>8425</v>
      </c>
      <c r="AK1367" t="s">
        <v>11522</v>
      </c>
      <c r="AL1367">
        <v>2.59</v>
      </c>
      <c r="AM1367">
        <v>1.63</v>
      </c>
      <c r="AN1367">
        <v>0.1</v>
      </c>
      <c r="AO1367" t="s">
        <v>4663</v>
      </c>
      <c r="AP1367" t="s">
        <v>8417</v>
      </c>
      <c r="AQ1367" t="s">
        <v>6087</v>
      </c>
      <c r="AR1367" t="s">
        <v>2274</v>
      </c>
      <c r="AS1367" t="s">
        <v>2087</v>
      </c>
      <c r="AT1367" t="s">
        <v>2331</v>
      </c>
      <c r="AU1367" t="s">
        <v>1761</v>
      </c>
      <c r="AV1367" t="s">
        <v>5886</v>
      </c>
      <c r="AW1367" t="s">
        <v>9254</v>
      </c>
      <c r="AX1367" t="s">
        <v>2712</v>
      </c>
      <c r="AY1367" t="s">
        <v>9254</v>
      </c>
      <c r="AZ1367" t="s">
        <v>9668</v>
      </c>
      <c r="BA1367">
        <v>2.75</v>
      </c>
      <c r="BB1367">
        <v>203.06</v>
      </c>
      <c r="BC1367">
        <v>0.18</v>
      </c>
      <c r="BD1367">
        <v>275.13</v>
      </c>
      <c r="BE1367">
        <v>278.2</v>
      </c>
      <c r="BF1367">
        <v>277.32</v>
      </c>
      <c r="BG1367" t="s">
        <v>16851</v>
      </c>
      <c r="BH1367" t="s">
        <v>9254</v>
      </c>
      <c r="BI1367" t="s">
        <v>16852</v>
      </c>
      <c r="BJ1367" t="s">
        <v>101</v>
      </c>
      <c r="BK1367" t="s">
        <v>9545</v>
      </c>
      <c r="BL1367" t="s">
        <v>11338</v>
      </c>
      <c r="BM1367" t="s">
        <v>16853</v>
      </c>
      <c r="BN1367" t="s">
        <v>14623</v>
      </c>
    </row>
    <row r="1368" spans="1:66" x14ac:dyDescent="0.25">
      <c r="A1368" t="str">
        <f>HYPERLINK("https://elite.finviz.com/quote.ashx?t=MAX&amp;ty=c&amp;p=d&amp;b=1", "MAX")</f>
        <v>MAX</v>
      </c>
      <c r="B1368">
        <v>6</v>
      </c>
      <c r="C1368">
        <v>127.03</v>
      </c>
      <c r="D1368">
        <v>50.71</v>
      </c>
      <c r="E1368" t="s">
        <v>16854</v>
      </c>
      <c r="F1368" t="s">
        <v>67</v>
      </c>
      <c r="G1368" t="s">
        <v>598</v>
      </c>
      <c r="H1368" t="s">
        <v>599</v>
      </c>
      <c r="I1368" t="s">
        <v>70</v>
      </c>
      <c r="J1368" t="s">
        <v>71</v>
      </c>
      <c r="K1368">
        <v>818.54</v>
      </c>
      <c r="L1368">
        <v>12.05</v>
      </c>
      <c r="M1368" t="s">
        <v>4699</v>
      </c>
      <c r="N1368">
        <v>31632</v>
      </c>
      <c r="P1368">
        <v>13.54</v>
      </c>
      <c r="R1368">
        <v>0.76</v>
      </c>
      <c r="Z1368" t="s">
        <v>164</v>
      </c>
      <c r="AA1368">
        <v>-0.11</v>
      </c>
      <c r="AC1368" t="s">
        <v>16855</v>
      </c>
      <c r="AD1368" t="s">
        <v>16856</v>
      </c>
      <c r="AE1368" t="s">
        <v>16857</v>
      </c>
      <c r="AF1368" t="s">
        <v>8401</v>
      </c>
      <c r="AG1368" t="s">
        <v>5012</v>
      </c>
      <c r="AH1368" t="s">
        <v>16858</v>
      </c>
      <c r="AI1368" t="s">
        <v>16859</v>
      </c>
      <c r="AJ1368" t="s">
        <v>1249</v>
      </c>
      <c r="AK1368" t="s">
        <v>16860</v>
      </c>
      <c r="AL1368">
        <v>1.29</v>
      </c>
      <c r="AM1368">
        <v>1.29</v>
      </c>
      <c r="AO1368" t="s">
        <v>8078</v>
      </c>
      <c r="AP1368" t="s">
        <v>5150</v>
      </c>
      <c r="AQ1368" t="s">
        <v>1202</v>
      </c>
      <c r="AR1368" t="s">
        <v>7117</v>
      </c>
      <c r="AS1368" t="s">
        <v>7699</v>
      </c>
      <c r="AT1368" t="s">
        <v>2673</v>
      </c>
      <c r="AU1368" t="s">
        <v>484</v>
      </c>
      <c r="AV1368" t="s">
        <v>10918</v>
      </c>
      <c r="AW1368" t="s">
        <v>7365</v>
      </c>
      <c r="AX1368" t="s">
        <v>15487</v>
      </c>
      <c r="AY1368" t="s">
        <v>16861</v>
      </c>
      <c r="AZ1368" t="s">
        <v>13569</v>
      </c>
      <c r="BA1368">
        <v>1.25</v>
      </c>
      <c r="BB1368">
        <v>540.23</v>
      </c>
      <c r="BC1368">
        <v>0.21</v>
      </c>
      <c r="BD1368">
        <v>12.06</v>
      </c>
      <c r="BE1368">
        <v>12.21</v>
      </c>
      <c r="BF1368">
        <v>11.97</v>
      </c>
      <c r="BG1368" t="s">
        <v>16862</v>
      </c>
      <c r="BH1368" t="s">
        <v>1839</v>
      </c>
      <c r="BI1368" t="s">
        <v>16863</v>
      </c>
      <c r="BJ1368" t="s">
        <v>101</v>
      </c>
      <c r="BK1368" t="s">
        <v>15543</v>
      </c>
      <c r="BL1368" t="s">
        <v>3068</v>
      </c>
      <c r="BM1368" t="s">
        <v>16864</v>
      </c>
      <c r="BN1368" t="s">
        <v>14623</v>
      </c>
    </row>
    <row r="1369" spans="1:66" x14ac:dyDescent="0.25">
      <c r="A1369" t="str">
        <f>HYPERLINK("https://elite.finviz.com/quote.ashx?t=ROG&amp;ty=c&amp;p=d&amp;b=1", "ROG")</f>
        <v>ROG</v>
      </c>
      <c r="B1369">
        <v>6</v>
      </c>
      <c r="C1369">
        <v>127.03</v>
      </c>
      <c r="D1369">
        <v>50.76</v>
      </c>
      <c r="E1369" t="s">
        <v>16865</v>
      </c>
      <c r="F1369" t="s">
        <v>67</v>
      </c>
      <c r="G1369" t="s">
        <v>108</v>
      </c>
      <c r="H1369" t="s">
        <v>3346</v>
      </c>
      <c r="I1369" t="s">
        <v>70</v>
      </c>
      <c r="J1369" t="s">
        <v>71</v>
      </c>
      <c r="K1369">
        <v>1433.8</v>
      </c>
      <c r="L1369">
        <v>79.12</v>
      </c>
      <c r="M1369" t="s">
        <v>6182</v>
      </c>
      <c r="N1369">
        <v>33559</v>
      </c>
      <c r="P1369">
        <v>29.47</v>
      </c>
      <c r="R1369">
        <v>1.8</v>
      </c>
      <c r="S1369">
        <v>1.19</v>
      </c>
      <c r="Z1369" t="s">
        <v>164</v>
      </c>
      <c r="AA1369">
        <v>-3.53</v>
      </c>
      <c r="AB1369" t="s">
        <v>16866</v>
      </c>
      <c r="AC1369" t="s">
        <v>8543</v>
      </c>
      <c r="AD1369" t="s">
        <v>2886</v>
      </c>
      <c r="AE1369" t="s">
        <v>16867</v>
      </c>
      <c r="AF1369" t="s">
        <v>759</v>
      </c>
      <c r="AG1369" t="s">
        <v>6614</v>
      </c>
      <c r="AH1369" t="s">
        <v>6345</v>
      </c>
      <c r="AI1369" t="s">
        <v>16713</v>
      </c>
      <c r="AJ1369" t="s">
        <v>1564</v>
      </c>
      <c r="AK1369" t="s">
        <v>13856</v>
      </c>
      <c r="AL1369">
        <v>3.79</v>
      </c>
      <c r="AM1369">
        <v>2.65</v>
      </c>
      <c r="AN1369">
        <v>0.03</v>
      </c>
      <c r="AO1369" t="s">
        <v>15648</v>
      </c>
      <c r="AP1369" t="s">
        <v>3733</v>
      </c>
      <c r="AQ1369" t="s">
        <v>5176</v>
      </c>
      <c r="AR1369" t="s">
        <v>2317</v>
      </c>
      <c r="AS1369" t="s">
        <v>295</v>
      </c>
      <c r="AT1369" t="s">
        <v>2518</v>
      </c>
      <c r="AU1369" t="s">
        <v>3066</v>
      </c>
      <c r="AV1369" t="s">
        <v>248</v>
      </c>
      <c r="AW1369" t="s">
        <v>16868</v>
      </c>
      <c r="AX1369" t="s">
        <v>479</v>
      </c>
      <c r="AY1369" t="s">
        <v>16869</v>
      </c>
      <c r="AZ1369" t="s">
        <v>16870</v>
      </c>
      <c r="BA1369">
        <v>1.67</v>
      </c>
      <c r="BB1369">
        <v>242.54</v>
      </c>
      <c r="BC1369">
        <v>0.49</v>
      </c>
      <c r="BD1369">
        <v>78.930000000000007</v>
      </c>
      <c r="BE1369">
        <v>79.349999999999994</v>
      </c>
      <c r="BF1369">
        <v>78.569999999999993</v>
      </c>
      <c r="BG1369" t="s">
        <v>16871</v>
      </c>
      <c r="BH1369" t="s">
        <v>16872</v>
      </c>
      <c r="BI1369" t="s">
        <v>16873</v>
      </c>
      <c r="BJ1369" t="s">
        <v>101</v>
      </c>
      <c r="BK1369" t="s">
        <v>11482</v>
      </c>
      <c r="BL1369" t="s">
        <v>13358</v>
      </c>
      <c r="BM1369" t="s">
        <v>16874</v>
      </c>
      <c r="BN1369" t="s">
        <v>14623</v>
      </c>
    </row>
    <row r="1370" spans="1:66" x14ac:dyDescent="0.25">
      <c r="A1370" t="str">
        <f>HYPERLINK("https://elite.finviz.com/quote.ashx?t=PKOH&amp;ty=c&amp;p=d&amp;b=1", "PKOH")</f>
        <v>PKOH</v>
      </c>
      <c r="B1370">
        <v>6</v>
      </c>
      <c r="C1370">
        <v>127.03</v>
      </c>
      <c r="D1370">
        <v>50.76</v>
      </c>
      <c r="E1370" t="s">
        <v>16875</v>
      </c>
      <c r="F1370" t="s">
        <v>67</v>
      </c>
      <c r="G1370" t="s">
        <v>260</v>
      </c>
      <c r="H1370" t="s">
        <v>261</v>
      </c>
      <c r="I1370" t="s">
        <v>70</v>
      </c>
      <c r="J1370" t="s">
        <v>321</v>
      </c>
      <c r="K1370">
        <v>297.26</v>
      </c>
      <c r="L1370">
        <v>20.65</v>
      </c>
      <c r="M1370" t="s">
        <v>1657</v>
      </c>
      <c r="N1370">
        <v>8883</v>
      </c>
      <c r="O1370">
        <v>8.57</v>
      </c>
      <c r="P1370">
        <v>6.58</v>
      </c>
      <c r="R1370">
        <v>0.18</v>
      </c>
      <c r="S1370">
        <v>0.79</v>
      </c>
      <c r="T1370" t="s">
        <v>3208</v>
      </c>
      <c r="U1370">
        <v>0.5</v>
      </c>
      <c r="V1370" t="s">
        <v>4066</v>
      </c>
      <c r="W1370" t="s">
        <v>164</v>
      </c>
      <c r="X1370" t="s">
        <v>164</v>
      </c>
      <c r="Y1370" t="s">
        <v>164</v>
      </c>
      <c r="Z1370" t="s">
        <v>4834</v>
      </c>
      <c r="AA1370">
        <v>2.41</v>
      </c>
      <c r="AC1370" t="s">
        <v>3112</v>
      </c>
      <c r="AE1370" t="s">
        <v>4113</v>
      </c>
      <c r="AF1370" t="s">
        <v>2653</v>
      </c>
      <c r="AG1370" t="s">
        <v>8228</v>
      </c>
      <c r="AH1370" t="s">
        <v>14732</v>
      </c>
      <c r="AI1370" t="s">
        <v>246</v>
      </c>
      <c r="AJ1370" t="s">
        <v>5242</v>
      </c>
      <c r="AK1370" t="s">
        <v>16876</v>
      </c>
      <c r="AL1370">
        <v>2.6</v>
      </c>
      <c r="AM1370">
        <v>1.33</v>
      </c>
      <c r="AN1370">
        <v>1.91</v>
      </c>
      <c r="AO1370" t="s">
        <v>6815</v>
      </c>
      <c r="AP1370" t="s">
        <v>4824</v>
      </c>
      <c r="AQ1370" t="s">
        <v>5263</v>
      </c>
      <c r="AR1370" t="s">
        <v>3520</v>
      </c>
      <c r="AS1370" t="s">
        <v>4294</v>
      </c>
      <c r="AT1370" t="s">
        <v>3559</v>
      </c>
      <c r="AU1370" t="s">
        <v>234</v>
      </c>
      <c r="AV1370" t="s">
        <v>91</v>
      </c>
      <c r="AW1370" t="s">
        <v>11642</v>
      </c>
      <c r="AX1370" t="s">
        <v>6835</v>
      </c>
      <c r="AY1370" t="s">
        <v>16697</v>
      </c>
      <c r="AZ1370" t="s">
        <v>6835</v>
      </c>
      <c r="BB1370">
        <v>33.450000000000003</v>
      </c>
      <c r="BC1370">
        <v>0.94</v>
      </c>
      <c r="BD1370">
        <v>20.55</v>
      </c>
      <c r="BE1370">
        <v>22.71</v>
      </c>
      <c r="BF1370">
        <v>20.73</v>
      </c>
      <c r="BG1370" t="s">
        <v>16877</v>
      </c>
      <c r="BH1370" t="s">
        <v>16878</v>
      </c>
      <c r="BI1370" t="s">
        <v>16879</v>
      </c>
      <c r="BJ1370" t="s">
        <v>101</v>
      </c>
      <c r="BK1370" t="s">
        <v>6230</v>
      </c>
      <c r="BL1370" t="s">
        <v>16867</v>
      </c>
      <c r="BM1370" t="s">
        <v>9045</v>
      </c>
      <c r="BN1370" t="s">
        <v>14623</v>
      </c>
    </row>
    <row r="1371" spans="1:66" x14ac:dyDescent="0.25">
      <c r="A1371" t="str">
        <f>HYPERLINK("https://elite.finviz.com/quote.ashx?t=CSR&amp;ty=c&amp;p=d&amp;b=1", "CSR")</f>
        <v>CSR</v>
      </c>
      <c r="B1371">
        <v>6</v>
      </c>
      <c r="C1371">
        <v>127.03</v>
      </c>
      <c r="D1371">
        <v>50.77</v>
      </c>
      <c r="E1371" t="s">
        <v>16880</v>
      </c>
      <c r="F1371" t="s">
        <v>67</v>
      </c>
      <c r="G1371" t="s">
        <v>68</v>
      </c>
      <c r="H1371" t="s">
        <v>5671</v>
      </c>
      <c r="I1371" t="s">
        <v>70</v>
      </c>
      <c r="J1371" t="s">
        <v>71</v>
      </c>
      <c r="K1371">
        <v>1031.32</v>
      </c>
      <c r="L1371">
        <v>58.19</v>
      </c>
      <c r="M1371" t="s">
        <v>4782</v>
      </c>
      <c r="N1371">
        <v>13314</v>
      </c>
      <c r="R1371">
        <v>3.86</v>
      </c>
      <c r="S1371">
        <v>1.37</v>
      </c>
      <c r="T1371" t="s">
        <v>1452</v>
      </c>
      <c r="U1371">
        <v>3.04</v>
      </c>
      <c r="V1371" t="s">
        <v>2598</v>
      </c>
      <c r="W1371" t="s">
        <v>4658</v>
      </c>
      <c r="X1371" t="s">
        <v>2339</v>
      </c>
      <c r="Y1371" t="s">
        <v>5058</v>
      </c>
      <c r="AA1371">
        <v>-1.79</v>
      </c>
      <c r="AB1371" t="s">
        <v>16881</v>
      </c>
      <c r="AE1371" t="s">
        <v>8374</v>
      </c>
      <c r="AF1371" t="s">
        <v>8625</v>
      </c>
      <c r="AG1371" t="s">
        <v>1310</v>
      </c>
      <c r="AH1371" t="s">
        <v>896</v>
      </c>
      <c r="AI1371" t="s">
        <v>16882</v>
      </c>
      <c r="AJ1371" t="s">
        <v>5084</v>
      </c>
      <c r="AK1371" t="s">
        <v>8961</v>
      </c>
      <c r="AL1371">
        <v>2.0699999999999998</v>
      </c>
      <c r="AM1371">
        <v>2.0699999999999998</v>
      </c>
      <c r="AN1371">
        <v>1.54</v>
      </c>
      <c r="AO1371" t="s">
        <v>1361</v>
      </c>
      <c r="AP1371" t="s">
        <v>582</v>
      </c>
      <c r="AQ1371" t="s">
        <v>16883</v>
      </c>
      <c r="AR1371" t="s">
        <v>1439</v>
      </c>
      <c r="AS1371" t="s">
        <v>180</v>
      </c>
      <c r="AT1371" t="s">
        <v>9084</v>
      </c>
      <c r="AU1371" t="s">
        <v>2195</v>
      </c>
      <c r="AV1371" t="s">
        <v>4553</v>
      </c>
      <c r="AW1371" t="s">
        <v>8534</v>
      </c>
      <c r="AX1371" t="s">
        <v>797</v>
      </c>
      <c r="AY1371" t="s">
        <v>16884</v>
      </c>
      <c r="AZ1371" t="s">
        <v>797</v>
      </c>
      <c r="BA1371">
        <v>1.91</v>
      </c>
      <c r="BB1371">
        <v>109.59</v>
      </c>
      <c r="BC1371">
        <v>0.43</v>
      </c>
      <c r="BD1371">
        <v>57.8</v>
      </c>
      <c r="BE1371">
        <v>58.46</v>
      </c>
      <c r="BF1371">
        <v>57.51</v>
      </c>
      <c r="BG1371" t="s">
        <v>16885</v>
      </c>
      <c r="BH1371" t="s">
        <v>16886</v>
      </c>
      <c r="BI1371" t="s">
        <v>12887</v>
      </c>
      <c r="BJ1371" t="s">
        <v>101</v>
      </c>
      <c r="BK1371" t="s">
        <v>13365</v>
      </c>
      <c r="BL1371" t="s">
        <v>7886</v>
      </c>
      <c r="BM1371" t="s">
        <v>2475</v>
      </c>
      <c r="BN1371" t="s">
        <v>14623</v>
      </c>
    </row>
    <row r="1372" spans="1:66" x14ac:dyDescent="0.25">
      <c r="A1372" t="str">
        <f>HYPERLINK("https://elite.finviz.com/quote.ashx?t=CURB&amp;ty=c&amp;p=d&amp;b=1", "CURB")</f>
        <v>CURB</v>
      </c>
      <c r="B1372">
        <v>6</v>
      </c>
      <c r="C1372">
        <v>127.03</v>
      </c>
      <c r="D1372">
        <v>50.77</v>
      </c>
      <c r="E1372" t="s">
        <v>16887</v>
      </c>
      <c r="F1372" t="s">
        <v>67</v>
      </c>
      <c r="G1372" t="s">
        <v>68</v>
      </c>
      <c r="H1372" t="s">
        <v>160</v>
      </c>
      <c r="I1372" t="s">
        <v>70</v>
      </c>
      <c r="J1372" t="s">
        <v>71</v>
      </c>
      <c r="K1372">
        <v>2372.06</v>
      </c>
      <c r="L1372">
        <v>22.55</v>
      </c>
      <c r="M1372" t="s">
        <v>1764</v>
      </c>
      <c r="N1372">
        <v>63008</v>
      </c>
      <c r="O1372">
        <v>142.24</v>
      </c>
      <c r="P1372">
        <v>130.9</v>
      </c>
      <c r="R1372">
        <v>16.329999999999998</v>
      </c>
      <c r="S1372">
        <v>1.23</v>
      </c>
      <c r="T1372" t="s">
        <v>2146</v>
      </c>
      <c r="U1372">
        <v>0.32</v>
      </c>
      <c r="V1372" t="s">
        <v>198</v>
      </c>
      <c r="Z1372" t="s">
        <v>164</v>
      </c>
      <c r="AA1372">
        <v>0.16</v>
      </c>
      <c r="AB1372" t="s">
        <v>16888</v>
      </c>
      <c r="AD1372" t="s">
        <v>4704</v>
      </c>
      <c r="AF1372" t="s">
        <v>4991</v>
      </c>
      <c r="AH1372" t="s">
        <v>16889</v>
      </c>
      <c r="AI1372" t="s">
        <v>9387</v>
      </c>
      <c r="AJ1372" t="s">
        <v>5661</v>
      </c>
      <c r="AK1372" t="s">
        <v>16890</v>
      </c>
      <c r="AL1372">
        <v>27.58</v>
      </c>
      <c r="AM1372">
        <v>27.58</v>
      </c>
      <c r="AN1372">
        <v>0.08</v>
      </c>
      <c r="AO1372" t="s">
        <v>10755</v>
      </c>
      <c r="AP1372" t="s">
        <v>9208</v>
      </c>
      <c r="AQ1372" t="s">
        <v>330</v>
      </c>
      <c r="AR1372" t="s">
        <v>2201</v>
      </c>
      <c r="AS1372" t="s">
        <v>1438</v>
      </c>
      <c r="AT1372" t="s">
        <v>6156</v>
      </c>
      <c r="AU1372" t="s">
        <v>4507</v>
      </c>
      <c r="AV1372" t="s">
        <v>5686</v>
      </c>
      <c r="AW1372" t="s">
        <v>6755</v>
      </c>
      <c r="AX1372" t="s">
        <v>2811</v>
      </c>
      <c r="AY1372" t="s">
        <v>9592</v>
      </c>
      <c r="AZ1372" t="s">
        <v>8087</v>
      </c>
      <c r="BA1372">
        <v>2.33</v>
      </c>
      <c r="BB1372">
        <v>595.66</v>
      </c>
      <c r="BC1372">
        <v>0.37</v>
      </c>
      <c r="BD1372">
        <v>22.38</v>
      </c>
      <c r="BE1372">
        <v>22.62</v>
      </c>
      <c r="BF1372">
        <v>22.38</v>
      </c>
      <c r="BG1372" t="s">
        <v>16891</v>
      </c>
      <c r="BH1372" t="s">
        <v>9592</v>
      </c>
      <c r="BI1372" t="s">
        <v>8087</v>
      </c>
      <c r="BJ1372" t="s">
        <v>101</v>
      </c>
      <c r="BK1372" t="s">
        <v>7089</v>
      </c>
      <c r="BL1372" t="s">
        <v>4967</v>
      </c>
      <c r="BN1372" t="s">
        <v>14623</v>
      </c>
    </row>
    <row r="1373" spans="1:66" x14ac:dyDescent="0.25">
      <c r="A1373" t="str">
        <f>HYPERLINK("https://elite.finviz.com/quote.ashx?t=ISPO&amp;ty=c&amp;p=d&amp;b=1", "ISPO")</f>
        <v>ISPO</v>
      </c>
      <c r="B1373">
        <v>6</v>
      </c>
      <c r="C1373">
        <v>127.03</v>
      </c>
      <c r="D1373">
        <v>50.79</v>
      </c>
      <c r="E1373" t="s">
        <v>16892</v>
      </c>
      <c r="F1373" t="s">
        <v>107</v>
      </c>
      <c r="G1373" t="s">
        <v>813</v>
      </c>
      <c r="H1373" t="s">
        <v>1997</v>
      </c>
      <c r="I1373" t="s">
        <v>70</v>
      </c>
      <c r="J1373" t="s">
        <v>321</v>
      </c>
      <c r="K1373">
        <v>37.659999999999997</v>
      </c>
      <c r="L1373">
        <v>3.02</v>
      </c>
      <c r="M1373" t="s">
        <v>4782</v>
      </c>
      <c r="N1373">
        <v>7323</v>
      </c>
      <c r="O1373">
        <v>39.950000000000003</v>
      </c>
      <c r="R1373">
        <v>0.14000000000000001</v>
      </c>
      <c r="AA1373">
        <v>0.08</v>
      </c>
      <c r="AB1373" t="s">
        <v>16893</v>
      </c>
      <c r="AC1373" t="s">
        <v>5039</v>
      </c>
      <c r="AE1373" t="s">
        <v>16894</v>
      </c>
      <c r="AF1373" t="s">
        <v>1886</v>
      </c>
      <c r="AH1373" t="s">
        <v>5857</v>
      </c>
      <c r="AI1373" t="s">
        <v>7272</v>
      </c>
      <c r="AJ1373" t="s">
        <v>2418</v>
      </c>
      <c r="AK1373" t="s">
        <v>3389</v>
      </c>
      <c r="AL1373">
        <v>0.26</v>
      </c>
      <c r="AM1373">
        <v>0.26</v>
      </c>
      <c r="AO1373" t="s">
        <v>12977</v>
      </c>
      <c r="AP1373" t="s">
        <v>2393</v>
      </c>
      <c r="AQ1373" t="s">
        <v>7270</v>
      </c>
      <c r="AR1373" t="s">
        <v>2647</v>
      </c>
      <c r="AS1373" t="s">
        <v>7970</v>
      </c>
      <c r="AT1373" t="s">
        <v>7464</v>
      </c>
      <c r="AU1373" t="s">
        <v>90</v>
      </c>
      <c r="AV1373" t="s">
        <v>1107</v>
      </c>
      <c r="AW1373" t="s">
        <v>4791</v>
      </c>
      <c r="AX1373" t="s">
        <v>6896</v>
      </c>
      <c r="AY1373" t="s">
        <v>16895</v>
      </c>
      <c r="AZ1373" t="s">
        <v>6896</v>
      </c>
      <c r="BA1373">
        <v>2</v>
      </c>
      <c r="BB1373">
        <v>77.89</v>
      </c>
      <c r="BC1373">
        <v>0.33</v>
      </c>
      <c r="BD1373">
        <v>3</v>
      </c>
      <c r="BE1373">
        <v>3.05</v>
      </c>
      <c r="BF1373">
        <v>2.98</v>
      </c>
      <c r="BG1373" t="s">
        <v>16896</v>
      </c>
      <c r="BH1373" t="s">
        <v>3590</v>
      </c>
      <c r="BI1373" t="s">
        <v>6896</v>
      </c>
      <c r="BJ1373" t="s">
        <v>101</v>
      </c>
      <c r="BK1373" t="s">
        <v>508</v>
      </c>
      <c r="BL1373" t="s">
        <v>16897</v>
      </c>
      <c r="BM1373" t="s">
        <v>16898</v>
      </c>
      <c r="BN1373" t="s">
        <v>14623</v>
      </c>
    </row>
    <row r="1374" spans="1:66" x14ac:dyDescent="0.25">
      <c r="A1374" t="str">
        <f>HYPERLINK("https://elite.finviz.com/quote.ashx?t=CLNN&amp;ty=c&amp;p=d&amp;b=1", "CLNN")</f>
        <v>CLNN</v>
      </c>
      <c r="B1374">
        <v>6</v>
      </c>
      <c r="C1374">
        <v>127.03</v>
      </c>
      <c r="D1374">
        <v>50.81</v>
      </c>
      <c r="E1374" t="s">
        <v>16899</v>
      </c>
      <c r="F1374" t="s">
        <v>107</v>
      </c>
      <c r="G1374" t="s">
        <v>2244</v>
      </c>
      <c r="H1374" t="s">
        <v>3269</v>
      </c>
      <c r="I1374" t="s">
        <v>70</v>
      </c>
      <c r="J1374" t="s">
        <v>321</v>
      </c>
      <c r="K1374">
        <v>58.34</v>
      </c>
      <c r="L1374">
        <v>5.79</v>
      </c>
      <c r="M1374" t="s">
        <v>1510</v>
      </c>
      <c r="N1374">
        <v>3150</v>
      </c>
      <c r="R1374">
        <v>201.19</v>
      </c>
      <c r="AA1374">
        <v>-2.6</v>
      </c>
      <c r="AB1374" t="s">
        <v>5406</v>
      </c>
      <c r="AC1374" t="s">
        <v>7087</v>
      </c>
      <c r="AE1374" t="s">
        <v>12054</v>
      </c>
      <c r="AF1374" t="s">
        <v>16900</v>
      </c>
      <c r="AH1374" t="s">
        <v>16901</v>
      </c>
      <c r="AI1374" t="s">
        <v>16902</v>
      </c>
      <c r="AJ1374" t="s">
        <v>2906</v>
      </c>
      <c r="AK1374" t="s">
        <v>2196</v>
      </c>
      <c r="AL1374">
        <v>1.58</v>
      </c>
      <c r="AM1374">
        <v>1.57</v>
      </c>
      <c r="AO1374" t="s">
        <v>16903</v>
      </c>
      <c r="AP1374" t="s">
        <v>16904</v>
      </c>
      <c r="AQ1374" t="s">
        <v>16905</v>
      </c>
      <c r="AR1374" t="s">
        <v>3601</v>
      </c>
      <c r="AS1374" t="s">
        <v>5607</v>
      </c>
      <c r="AT1374" t="s">
        <v>7256</v>
      </c>
      <c r="AU1374" t="s">
        <v>1383</v>
      </c>
      <c r="AV1374" t="s">
        <v>1306</v>
      </c>
      <c r="AW1374" t="s">
        <v>16906</v>
      </c>
      <c r="AX1374" t="s">
        <v>1898</v>
      </c>
      <c r="AY1374" t="s">
        <v>16906</v>
      </c>
      <c r="AZ1374" t="s">
        <v>16907</v>
      </c>
      <c r="BA1374">
        <v>1</v>
      </c>
      <c r="BB1374">
        <v>83.06</v>
      </c>
      <c r="BC1374">
        <v>0.13</v>
      </c>
      <c r="BD1374">
        <v>5.88</v>
      </c>
      <c r="BE1374">
        <v>5.96</v>
      </c>
      <c r="BF1374">
        <v>5.73</v>
      </c>
      <c r="BG1374" t="s">
        <v>16908</v>
      </c>
      <c r="BH1374" t="s">
        <v>16909</v>
      </c>
      <c r="BI1374" t="s">
        <v>16907</v>
      </c>
      <c r="BJ1374" t="s">
        <v>101</v>
      </c>
      <c r="BK1374" t="s">
        <v>3371</v>
      </c>
      <c r="BL1374" t="s">
        <v>16910</v>
      </c>
      <c r="BM1374" t="s">
        <v>16178</v>
      </c>
      <c r="BN1374" t="s">
        <v>14623</v>
      </c>
    </row>
    <row r="1375" spans="1:66" x14ac:dyDescent="0.25">
      <c r="A1375" t="str">
        <f>HYPERLINK("https://elite.finviz.com/quote.ashx?t=POLE&amp;ty=c&amp;p=d&amp;b=1", "POLE")</f>
        <v>POLE</v>
      </c>
      <c r="B1375">
        <v>6</v>
      </c>
      <c r="C1375">
        <v>127.03</v>
      </c>
      <c r="D1375">
        <v>50.81</v>
      </c>
      <c r="E1375" t="s">
        <v>16911</v>
      </c>
      <c r="F1375" t="s">
        <v>107</v>
      </c>
      <c r="G1375" t="s">
        <v>550</v>
      </c>
      <c r="H1375" t="s">
        <v>2120</v>
      </c>
      <c r="I1375" t="s">
        <v>70</v>
      </c>
      <c r="J1375" t="s">
        <v>321</v>
      </c>
      <c r="K1375">
        <v>308.67</v>
      </c>
      <c r="L1375">
        <v>10.46</v>
      </c>
      <c r="M1375" t="s">
        <v>14462</v>
      </c>
      <c r="N1375">
        <v>16</v>
      </c>
      <c r="O1375">
        <v>40.39</v>
      </c>
      <c r="S1375">
        <v>1.34</v>
      </c>
      <c r="Z1375" t="s">
        <v>164</v>
      </c>
      <c r="AA1375">
        <v>0.26</v>
      </c>
      <c r="AK1375" t="s">
        <v>13799</v>
      </c>
      <c r="AL1375">
        <v>7.6</v>
      </c>
      <c r="AM1375">
        <v>7.6</v>
      </c>
      <c r="AN1375">
        <v>0</v>
      </c>
      <c r="AR1375" t="s">
        <v>5166</v>
      </c>
      <c r="AS1375" t="s">
        <v>698</v>
      </c>
      <c r="AT1375" t="s">
        <v>1324</v>
      </c>
      <c r="AU1375" t="s">
        <v>2423</v>
      </c>
      <c r="AV1375" t="s">
        <v>5256</v>
      </c>
      <c r="AW1375" t="s">
        <v>10958</v>
      </c>
      <c r="AX1375" t="s">
        <v>80</v>
      </c>
      <c r="AY1375" t="s">
        <v>4667</v>
      </c>
      <c r="AZ1375" t="s">
        <v>2293</v>
      </c>
      <c r="BB1375">
        <v>23.98</v>
      </c>
      <c r="BC1375">
        <v>0</v>
      </c>
      <c r="BD1375">
        <v>10.73</v>
      </c>
      <c r="BE1375">
        <v>10.48</v>
      </c>
      <c r="BF1375">
        <v>10.48</v>
      </c>
      <c r="BG1375" t="s">
        <v>16912</v>
      </c>
      <c r="BH1375" t="s">
        <v>4667</v>
      </c>
      <c r="BI1375" t="s">
        <v>2293</v>
      </c>
      <c r="BJ1375" t="s">
        <v>101</v>
      </c>
      <c r="BK1375" t="s">
        <v>6151</v>
      </c>
      <c r="BL1375" t="s">
        <v>8229</v>
      </c>
      <c r="BN1375" t="s">
        <v>14623</v>
      </c>
    </row>
    <row r="1376" spans="1:66" x14ac:dyDescent="0.25">
      <c r="A1376" t="str">
        <f>HYPERLINK("https://elite.finviz.com/quote.ashx?t=TCBI&amp;ty=c&amp;p=d&amp;b=1", "TCBI")</f>
        <v>TCBI</v>
      </c>
      <c r="B1376">
        <v>6</v>
      </c>
      <c r="C1376">
        <v>127.03</v>
      </c>
      <c r="D1376">
        <v>50.83</v>
      </c>
      <c r="E1376" t="s">
        <v>16913</v>
      </c>
      <c r="F1376" t="s">
        <v>67</v>
      </c>
      <c r="G1376" t="s">
        <v>550</v>
      </c>
      <c r="H1376" t="s">
        <v>697</v>
      </c>
      <c r="I1376" t="s">
        <v>70</v>
      </c>
      <c r="J1376" t="s">
        <v>321</v>
      </c>
      <c r="K1376">
        <v>3935.63</v>
      </c>
      <c r="L1376">
        <v>86.01</v>
      </c>
      <c r="M1376" t="s">
        <v>4273</v>
      </c>
      <c r="N1376">
        <v>28010</v>
      </c>
      <c r="O1376">
        <v>34.200000000000003</v>
      </c>
      <c r="P1376">
        <v>12.4</v>
      </c>
      <c r="Q1376">
        <v>0.44</v>
      </c>
      <c r="R1376">
        <v>1.99</v>
      </c>
      <c r="S1376">
        <v>1.23</v>
      </c>
      <c r="Z1376" t="s">
        <v>164</v>
      </c>
      <c r="AA1376">
        <v>2.5099999999999998</v>
      </c>
      <c r="AB1376" t="s">
        <v>12564</v>
      </c>
      <c r="AC1376" t="s">
        <v>16914</v>
      </c>
      <c r="AD1376" t="s">
        <v>16915</v>
      </c>
      <c r="AE1376" t="s">
        <v>6584</v>
      </c>
      <c r="AF1376" t="s">
        <v>11250</v>
      </c>
      <c r="AG1376" t="s">
        <v>276</v>
      </c>
      <c r="AH1376" t="s">
        <v>3874</v>
      </c>
      <c r="AI1376" t="s">
        <v>4253</v>
      </c>
      <c r="AJ1376" t="s">
        <v>3758</v>
      </c>
      <c r="AK1376" t="s">
        <v>16916</v>
      </c>
      <c r="AL1376">
        <v>0.31</v>
      </c>
      <c r="AN1376">
        <v>0.53</v>
      </c>
      <c r="AP1376" t="s">
        <v>3710</v>
      </c>
      <c r="AQ1376" t="s">
        <v>351</v>
      </c>
      <c r="AR1376" t="s">
        <v>7322</v>
      </c>
      <c r="AS1376" t="s">
        <v>2876</v>
      </c>
      <c r="AT1376" t="s">
        <v>2486</v>
      </c>
      <c r="AU1376" t="s">
        <v>747</v>
      </c>
      <c r="AV1376" t="s">
        <v>4223</v>
      </c>
      <c r="AW1376" t="s">
        <v>3085</v>
      </c>
      <c r="AX1376" t="s">
        <v>2428</v>
      </c>
      <c r="AY1376" t="s">
        <v>2271</v>
      </c>
      <c r="AZ1376" t="s">
        <v>16917</v>
      </c>
      <c r="BA1376">
        <v>2.93</v>
      </c>
      <c r="BB1376">
        <v>476.17</v>
      </c>
      <c r="BC1376">
        <v>0.21</v>
      </c>
      <c r="BD1376">
        <v>86.44</v>
      </c>
      <c r="BE1376">
        <v>86.75</v>
      </c>
      <c r="BF1376">
        <v>85.82</v>
      </c>
      <c r="BG1376" t="s">
        <v>16918</v>
      </c>
      <c r="BH1376" t="s">
        <v>9188</v>
      </c>
      <c r="BI1376" t="s">
        <v>16919</v>
      </c>
      <c r="BJ1376" t="s">
        <v>101</v>
      </c>
      <c r="BK1376" t="s">
        <v>4193</v>
      </c>
      <c r="BL1376" t="s">
        <v>1476</v>
      </c>
      <c r="BM1376" t="s">
        <v>11501</v>
      </c>
      <c r="BN1376" t="s">
        <v>14623</v>
      </c>
    </row>
    <row r="1377" spans="1:66" x14ac:dyDescent="0.25">
      <c r="A1377" t="str">
        <f>HYPERLINK("https://elite.finviz.com/quote.ashx?t=DGLY&amp;ty=c&amp;p=d&amp;b=1", "DGLY")</f>
        <v>DGLY</v>
      </c>
      <c r="B1377">
        <v>6</v>
      </c>
      <c r="C1377">
        <v>127.03</v>
      </c>
      <c r="D1377">
        <v>50.84</v>
      </c>
      <c r="E1377" t="s">
        <v>16920</v>
      </c>
      <c r="F1377" t="s">
        <v>107</v>
      </c>
      <c r="G1377" t="s">
        <v>598</v>
      </c>
      <c r="H1377" t="s">
        <v>599</v>
      </c>
      <c r="I1377" t="s">
        <v>70</v>
      </c>
      <c r="J1377" t="s">
        <v>321</v>
      </c>
      <c r="K1377">
        <v>3.51</v>
      </c>
      <c r="L1377">
        <v>2.0299999999999998</v>
      </c>
      <c r="M1377" t="s">
        <v>2136</v>
      </c>
      <c r="N1377">
        <v>6275</v>
      </c>
      <c r="R1377">
        <v>0.19</v>
      </c>
      <c r="S1377">
        <v>0.38</v>
      </c>
      <c r="AA1377">
        <v>-2379.41</v>
      </c>
      <c r="AC1377" t="s">
        <v>774</v>
      </c>
      <c r="AD1377" t="s">
        <v>16921</v>
      </c>
      <c r="AE1377" t="s">
        <v>7205</v>
      </c>
      <c r="AF1377" t="s">
        <v>4113</v>
      </c>
      <c r="AG1377" t="s">
        <v>6608</v>
      </c>
      <c r="AH1377" t="s">
        <v>193</v>
      </c>
      <c r="AJ1377" t="s">
        <v>164</v>
      </c>
      <c r="AK1377" t="s">
        <v>3566</v>
      </c>
      <c r="AL1377">
        <v>1.01</v>
      </c>
      <c r="AM1377">
        <v>0.75</v>
      </c>
      <c r="AN1377">
        <v>0.41</v>
      </c>
      <c r="AO1377" t="s">
        <v>4745</v>
      </c>
      <c r="AP1377" t="s">
        <v>16922</v>
      </c>
      <c r="AQ1377" t="s">
        <v>7417</v>
      </c>
      <c r="AR1377" t="s">
        <v>4114</v>
      </c>
      <c r="AS1377" t="s">
        <v>1252</v>
      </c>
      <c r="AT1377" t="s">
        <v>7453</v>
      </c>
      <c r="AU1377" t="s">
        <v>3126</v>
      </c>
      <c r="AV1377" t="s">
        <v>14494</v>
      </c>
      <c r="AW1377" t="s">
        <v>16923</v>
      </c>
      <c r="AX1377" t="s">
        <v>12761</v>
      </c>
      <c r="AY1377" t="s">
        <v>2855</v>
      </c>
      <c r="AZ1377" t="s">
        <v>12761</v>
      </c>
      <c r="BA1377">
        <v>1</v>
      </c>
      <c r="BB1377">
        <v>127.89</v>
      </c>
      <c r="BC1377">
        <v>0.17</v>
      </c>
      <c r="BD1377">
        <v>2.1</v>
      </c>
      <c r="BE1377">
        <v>2.0699999999999998</v>
      </c>
      <c r="BF1377">
        <v>2.0299999999999998</v>
      </c>
      <c r="BG1377" t="s">
        <v>16924</v>
      </c>
      <c r="BH1377" t="s">
        <v>579</v>
      </c>
      <c r="BI1377" t="s">
        <v>12761</v>
      </c>
      <c r="BJ1377" t="s">
        <v>101</v>
      </c>
      <c r="BK1377" t="s">
        <v>2836</v>
      </c>
      <c r="BL1377" t="s">
        <v>16925</v>
      </c>
      <c r="BM1377" t="s">
        <v>2855</v>
      </c>
      <c r="BN1377" t="s">
        <v>14623</v>
      </c>
    </row>
    <row r="1378" spans="1:66" x14ac:dyDescent="0.25">
      <c r="A1378" t="str">
        <f>HYPERLINK("https://elite.finviz.com/quote.ashx?t=NSYS&amp;ty=c&amp;p=d&amp;b=1", "NSYS")</f>
        <v>NSYS</v>
      </c>
      <c r="B1378">
        <v>6</v>
      </c>
      <c r="C1378">
        <v>127.03</v>
      </c>
      <c r="D1378">
        <v>50.86</v>
      </c>
      <c r="E1378" t="s">
        <v>16926</v>
      </c>
      <c r="F1378" t="s">
        <v>107</v>
      </c>
      <c r="G1378" t="s">
        <v>428</v>
      </c>
      <c r="H1378" t="s">
        <v>2051</v>
      </c>
      <c r="I1378" t="s">
        <v>70</v>
      </c>
      <c r="J1378" t="s">
        <v>321</v>
      </c>
      <c r="K1378">
        <v>26</v>
      </c>
      <c r="L1378">
        <v>9.2799999999999994</v>
      </c>
      <c r="M1378" t="s">
        <v>3446</v>
      </c>
      <c r="N1378">
        <v>444</v>
      </c>
      <c r="R1378">
        <v>0.22</v>
      </c>
      <c r="S1378">
        <v>0.78</v>
      </c>
      <c r="AA1378">
        <v>-1.17</v>
      </c>
      <c r="AC1378" t="s">
        <v>2486</v>
      </c>
      <c r="AE1378" t="s">
        <v>8138</v>
      </c>
      <c r="AF1378" t="s">
        <v>3325</v>
      </c>
      <c r="AG1378" t="s">
        <v>2087</v>
      </c>
      <c r="AH1378" t="s">
        <v>7190</v>
      </c>
      <c r="AJ1378" t="s">
        <v>164</v>
      </c>
      <c r="AK1378" t="s">
        <v>6459</v>
      </c>
      <c r="AL1378">
        <v>2.7</v>
      </c>
      <c r="AM1378">
        <v>1.84</v>
      </c>
      <c r="AN1378">
        <v>0.63</v>
      </c>
      <c r="AO1378" t="s">
        <v>3243</v>
      </c>
      <c r="AP1378" t="s">
        <v>5895</v>
      </c>
      <c r="AQ1378" t="s">
        <v>9085</v>
      </c>
      <c r="AR1378" t="s">
        <v>2700</v>
      </c>
      <c r="AS1378" t="s">
        <v>2721</v>
      </c>
      <c r="AT1378" t="s">
        <v>4312</v>
      </c>
      <c r="AU1378" t="s">
        <v>5026</v>
      </c>
      <c r="AV1378" t="s">
        <v>600</v>
      </c>
      <c r="AW1378" t="s">
        <v>10533</v>
      </c>
      <c r="AX1378" t="s">
        <v>10165</v>
      </c>
      <c r="AY1378" t="s">
        <v>16927</v>
      </c>
      <c r="AZ1378" t="s">
        <v>5948</v>
      </c>
      <c r="BB1378">
        <v>9.3000000000000007</v>
      </c>
      <c r="BC1378">
        <v>0.17</v>
      </c>
      <c r="BD1378">
        <v>9.25</v>
      </c>
      <c r="BE1378">
        <v>9.3000000000000007</v>
      </c>
      <c r="BF1378">
        <v>9.3000000000000007</v>
      </c>
      <c r="BG1378" t="s">
        <v>16928</v>
      </c>
      <c r="BH1378" t="s">
        <v>16929</v>
      </c>
      <c r="BI1378" t="s">
        <v>16930</v>
      </c>
      <c r="BJ1378" t="s">
        <v>101</v>
      </c>
      <c r="BK1378" t="s">
        <v>2428</v>
      </c>
      <c r="BL1378" t="s">
        <v>9672</v>
      </c>
      <c r="BM1378" t="s">
        <v>10636</v>
      </c>
      <c r="BN1378" t="s">
        <v>14623</v>
      </c>
    </row>
    <row r="1379" spans="1:66" x14ac:dyDescent="0.25">
      <c r="A1379" t="str">
        <f>HYPERLINK("https://elite.finviz.com/quote.ashx?t=ESOA&amp;ty=c&amp;p=d&amp;b=1", "ESOA")</f>
        <v>ESOA</v>
      </c>
      <c r="B1379">
        <v>6</v>
      </c>
      <c r="C1379">
        <v>127.03</v>
      </c>
      <c r="D1379">
        <v>50.86</v>
      </c>
      <c r="E1379" t="s">
        <v>16931</v>
      </c>
      <c r="F1379" t="s">
        <v>67</v>
      </c>
      <c r="G1379" t="s">
        <v>260</v>
      </c>
      <c r="H1379" t="s">
        <v>2944</v>
      </c>
      <c r="I1379" t="s">
        <v>70</v>
      </c>
      <c r="J1379" t="s">
        <v>321</v>
      </c>
      <c r="K1379">
        <v>168.18</v>
      </c>
      <c r="L1379">
        <v>10.1</v>
      </c>
      <c r="M1379" t="s">
        <v>1457</v>
      </c>
      <c r="N1379">
        <v>15687</v>
      </c>
      <c r="O1379">
        <v>58.96</v>
      </c>
      <c r="P1379">
        <v>15.78</v>
      </c>
      <c r="R1379">
        <v>0.44</v>
      </c>
      <c r="S1379">
        <v>3.08</v>
      </c>
      <c r="T1379" t="s">
        <v>2125</v>
      </c>
      <c r="U1379">
        <v>0.09</v>
      </c>
      <c r="V1379" t="s">
        <v>16932</v>
      </c>
      <c r="W1379" t="s">
        <v>1746</v>
      </c>
      <c r="Z1379" t="s">
        <v>1148</v>
      </c>
      <c r="AA1379">
        <v>0.17</v>
      </c>
      <c r="AC1379" t="s">
        <v>16933</v>
      </c>
      <c r="AD1379" t="s">
        <v>12432</v>
      </c>
      <c r="AE1379" t="s">
        <v>9570</v>
      </c>
      <c r="AF1379" t="s">
        <v>2767</v>
      </c>
      <c r="AG1379" t="s">
        <v>10498</v>
      </c>
      <c r="AH1379" t="s">
        <v>16934</v>
      </c>
      <c r="AI1379" t="s">
        <v>164</v>
      </c>
      <c r="AJ1379" t="s">
        <v>4237</v>
      </c>
      <c r="AK1379" t="s">
        <v>16935</v>
      </c>
      <c r="AL1379">
        <v>1.34</v>
      </c>
      <c r="AM1379">
        <v>1.34</v>
      </c>
      <c r="AN1379">
        <v>1.1299999999999999</v>
      </c>
      <c r="AO1379" t="s">
        <v>10247</v>
      </c>
      <c r="AP1379" t="s">
        <v>6829</v>
      </c>
      <c r="AQ1379" t="s">
        <v>3871</v>
      </c>
      <c r="AR1379" t="s">
        <v>3303</v>
      </c>
      <c r="AS1379" t="s">
        <v>2419</v>
      </c>
      <c r="AT1379" t="s">
        <v>4308</v>
      </c>
      <c r="AU1379" t="s">
        <v>6156</v>
      </c>
      <c r="AV1379" t="s">
        <v>5189</v>
      </c>
      <c r="AW1379" t="s">
        <v>9472</v>
      </c>
      <c r="AX1379" t="s">
        <v>6064</v>
      </c>
      <c r="AY1379" t="s">
        <v>16844</v>
      </c>
      <c r="AZ1379" t="s">
        <v>6763</v>
      </c>
      <c r="BA1379">
        <v>1</v>
      </c>
      <c r="BB1379">
        <v>205.26</v>
      </c>
      <c r="BC1379">
        <v>0.27</v>
      </c>
      <c r="BD1379">
        <v>10</v>
      </c>
      <c r="BE1379">
        <v>10.130000000000001</v>
      </c>
      <c r="BF1379">
        <v>9.99</v>
      </c>
      <c r="BG1379" t="s">
        <v>16936</v>
      </c>
      <c r="BH1379" t="s">
        <v>16844</v>
      </c>
      <c r="BI1379" t="s">
        <v>16937</v>
      </c>
      <c r="BJ1379" t="s">
        <v>101</v>
      </c>
      <c r="BK1379" t="s">
        <v>8286</v>
      </c>
      <c r="BL1379" t="s">
        <v>204</v>
      </c>
      <c r="BM1379" t="s">
        <v>1302</v>
      </c>
      <c r="BN1379" t="s">
        <v>14623</v>
      </c>
    </row>
    <row r="1380" spans="1:66" x14ac:dyDescent="0.25">
      <c r="A1380" t="str">
        <f>HYPERLINK("https://elite.finviz.com/quote.ashx?t=RXT&amp;ty=c&amp;p=d&amp;b=1", "RXT")</f>
        <v>RXT</v>
      </c>
      <c r="B1380">
        <v>6</v>
      </c>
      <c r="C1380">
        <v>127.03</v>
      </c>
      <c r="D1380">
        <v>50.87</v>
      </c>
      <c r="E1380" t="s">
        <v>16938</v>
      </c>
      <c r="F1380" t="s">
        <v>67</v>
      </c>
      <c r="G1380" t="s">
        <v>108</v>
      </c>
      <c r="H1380" t="s">
        <v>109</v>
      </c>
      <c r="I1380" t="s">
        <v>70</v>
      </c>
      <c r="J1380" t="s">
        <v>321</v>
      </c>
      <c r="K1380">
        <v>333.91</v>
      </c>
      <c r="L1380">
        <v>1.39</v>
      </c>
      <c r="M1380" t="s">
        <v>2649</v>
      </c>
      <c r="N1380">
        <v>137019</v>
      </c>
      <c r="R1380">
        <v>0.12</v>
      </c>
      <c r="AA1380">
        <v>-1.63</v>
      </c>
      <c r="AB1380" t="s">
        <v>1915</v>
      </c>
      <c r="AC1380" t="s">
        <v>16939</v>
      </c>
      <c r="AE1380" t="s">
        <v>5294</v>
      </c>
      <c r="AF1380" t="s">
        <v>9022</v>
      </c>
      <c r="AG1380" t="s">
        <v>1761</v>
      </c>
      <c r="AH1380" t="s">
        <v>2968</v>
      </c>
      <c r="AI1380" t="s">
        <v>2248</v>
      </c>
      <c r="AJ1380" t="s">
        <v>575</v>
      </c>
      <c r="AK1380" t="s">
        <v>16940</v>
      </c>
      <c r="AL1380">
        <v>0.77</v>
      </c>
      <c r="AM1380">
        <v>0.77</v>
      </c>
      <c r="AO1380" t="s">
        <v>7650</v>
      </c>
      <c r="AP1380" t="s">
        <v>1175</v>
      </c>
      <c r="AQ1380" t="s">
        <v>16941</v>
      </c>
      <c r="AR1380" t="s">
        <v>1204</v>
      </c>
      <c r="AS1380" t="s">
        <v>3952</v>
      </c>
      <c r="AT1380" t="s">
        <v>575</v>
      </c>
      <c r="AU1380" t="s">
        <v>3949</v>
      </c>
      <c r="AV1380" t="s">
        <v>16942</v>
      </c>
      <c r="AW1380" t="s">
        <v>7307</v>
      </c>
      <c r="AX1380" t="s">
        <v>13128</v>
      </c>
      <c r="AY1380" t="s">
        <v>367</v>
      </c>
      <c r="AZ1380" t="s">
        <v>16432</v>
      </c>
      <c r="BA1380">
        <v>3</v>
      </c>
      <c r="BB1380">
        <v>987.97</v>
      </c>
      <c r="BC1380">
        <v>0.49</v>
      </c>
      <c r="BD1380">
        <v>1.42</v>
      </c>
      <c r="BE1380">
        <v>1.44</v>
      </c>
      <c r="BF1380">
        <v>1.39</v>
      </c>
      <c r="BG1380" t="s">
        <v>16943</v>
      </c>
      <c r="BH1380" t="s">
        <v>16944</v>
      </c>
      <c r="BI1380" t="s">
        <v>16432</v>
      </c>
      <c r="BJ1380" t="s">
        <v>101</v>
      </c>
      <c r="BK1380" t="s">
        <v>5151</v>
      </c>
      <c r="BL1380" t="s">
        <v>16945</v>
      </c>
      <c r="BM1380" t="s">
        <v>16946</v>
      </c>
      <c r="BN1380" t="s">
        <v>14623</v>
      </c>
    </row>
    <row r="1381" spans="1:66" x14ac:dyDescent="0.25">
      <c r="A1381" t="str">
        <f>HYPERLINK("https://elite.finviz.com/quote.ashx?t=WSBK&amp;ty=c&amp;p=d&amp;b=1", "WSBK")</f>
        <v>WSBK</v>
      </c>
      <c r="B1381">
        <v>6</v>
      </c>
      <c r="C1381">
        <v>127.03</v>
      </c>
      <c r="D1381">
        <v>50.88</v>
      </c>
      <c r="E1381" t="s">
        <v>16947</v>
      </c>
      <c r="F1381" t="s">
        <v>107</v>
      </c>
      <c r="G1381" t="s">
        <v>550</v>
      </c>
      <c r="H1381" t="s">
        <v>697</v>
      </c>
      <c r="I1381" t="s">
        <v>70</v>
      </c>
      <c r="J1381" t="s">
        <v>321</v>
      </c>
      <c r="K1381">
        <v>88.35</v>
      </c>
      <c r="L1381">
        <v>9.5</v>
      </c>
      <c r="M1381" t="s">
        <v>2402</v>
      </c>
      <c r="N1381">
        <v>300</v>
      </c>
      <c r="S1381">
        <v>1.1200000000000001</v>
      </c>
      <c r="AF1381" t="s">
        <v>3339</v>
      </c>
      <c r="AJ1381" t="s">
        <v>3493</v>
      </c>
      <c r="AK1381" t="s">
        <v>4760</v>
      </c>
      <c r="AL1381">
        <v>0.21</v>
      </c>
      <c r="AN1381">
        <v>1.78</v>
      </c>
      <c r="AR1381" t="s">
        <v>6245</v>
      </c>
      <c r="AS1381" t="s">
        <v>3463</v>
      </c>
      <c r="AT1381" t="s">
        <v>1842</v>
      </c>
      <c r="AU1381" t="s">
        <v>6719</v>
      </c>
      <c r="AV1381" t="s">
        <v>6493</v>
      </c>
      <c r="AW1381" t="s">
        <v>7039</v>
      </c>
      <c r="AX1381" t="s">
        <v>3454</v>
      </c>
      <c r="AY1381" t="s">
        <v>15100</v>
      </c>
      <c r="AZ1381" t="s">
        <v>712</v>
      </c>
      <c r="BB1381">
        <v>7.01</v>
      </c>
      <c r="BC1381">
        <v>0.15</v>
      </c>
      <c r="BD1381">
        <v>9.52</v>
      </c>
      <c r="BE1381">
        <v>9.5</v>
      </c>
      <c r="BF1381">
        <v>9.5</v>
      </c>
      <c r="BG1381" t="s">
        <v>16948</v>
      </c>
      <c r="BH1381" t="s">
        <v>15100</v>
      </c>
      <c r="BI1381" t="s">
        <v>712</v>
      </c>
      <c r="BJ1381" t="s">
        <v>101</v>
      </c>
      <c r="BK1381" t="s">
        <v>8155</v>
      </c>
      <c r="BN1381" t="s">
        <v>14623</v>
      </c>
    </row>
    <row r="1382" spans="1:66" x14ac:dyDescent="0.25">
      <c r="A1382" t="str">
        <f>HYPERLINK("https://elite.finviz.com/quote.ashx?t=FSBC&amp;ty=c&amp;p=d&amp;b=1", "FSBC")</f>
        <v>FSBC</v>
      </c>
      <c r="B1382">
        <v>6</v>
      </c>
      <c r="C1382">
        <v>127.03</v>
      </c>
      <c r="D1382">
        <v>50.89</v>
      </c>
      <c r="E1382" t="s">
        <v>16949</v>
      </c>
      <c r="F1382" t="s">
        <v>67</v>
      </c>
      <c r="G1382" t="s">
        <v>550</v>
      </c>
      <c r="H1382" t="s">
        <v>697</v>
      </c>
      <c r="I1382" t="s">
        <v>70</v>
      </c>
      <c r="J1382" t="s">
        <v>321</v>
      </c>
      <c r="K1382">
        <v>696.28</v>
      </c>
      <c r="L1382">
        <v>32.58</v>
      </c>
      <c r="M1382" t="s">
        <v>2899</v>
      </c>
      <c r="N1382">
        <v>9602</v>
      </c>
      <c r="O1382">
        <v>13.35</v>
      </c>
      <c r="P1382">
        <v>10.029999999999999</v>
      </c>
      <c r="R1382">
        <v>2.97</v>
      </c>
      <c r="S1382">
        <v>1.67</v>
      </c>
      <c r="T1382" t="s">
        <v>4547</v>
      </c>
      <c r="U1382">
        <v>0.8</v>
      </c>
      <c r="V1382" t="s">
        <v>4827</v>
      </c>
      <c r="W1382" t="s">
        <v>4760</v>
      </c>
      <c r="X1382" t="s">
        <v>2238</v>
      </c>
      <c r="Z1382" t="s">
        <v>16950</v>
      </c>
      <c r="AA1382">
        <v>2.44</v>
      </c>
      <c r="AB1382" t="s">
        <v>6013</v>
      </c>
      <c r="AC1382" t="s">
        <v>7231</v>
      </c>
      <c r="AE1382" t="s">
        <v>2851</v>
      </c>
      <c r="AF1382" t="s">
        <v>11258</v>
      </c>
      <c r="AG1382" t="s">
        <v>4451</v>
      </c>
      <c r="AH1382" t="s">
        <v>16722</v>
      </c>
      <c r="AI1382" t="s">
        <v>906</v>
      </c>
      <c r="AJ1382" t="s">
        <v>1842</v>
      </c>
      <c r="AK1382" t="s">
        <v>14510</v>
      </c>
      <c r="AL1382">
        <v>0.13</v>
      </c>
      <c r="AN1382">
        <v>0.2</v>
      </c>
      <c r="AP1382" t="s">
        <v>1565</v>
      </c>
      <c r="AQ1382" t="s">
        <v>1986</v>
      </c>
      <c r="AR1382" t="s">
        <v>2543</v>
      </c>
      <c r="AS1382" t="s">
        <v>4154</v>
      </c>
      <c r="AT1382" t="s">
        <v>5693</v>
      </c>
      <c r="AU1382" t="s">
        <v>6937</v>
      </c>
      <c r="AV1382" t="s">
        <v>2403</v>
      </c>
      <c r="AW1382" t="s">
        <v>842</v>
      </c>
      <c r="AX1382" t="s">
        <v>1723</v>
      </c>
      <c r="AY1382" t="s">
        <v>3300</v>
      </c>
      <c r="AZ1382" t="s">
        <v>16951</v>
      </c>
      <c r="BA1382">
        <v>1.75</v>
      </c>
      <c r="BB1382">
        <v>41.68</v>
      </c>
      <c r="BC1382">
        <v>0.81</v>
      </c>
      <c r="BD1382">
        <v>32.869999999999997</v>
      </c>
      <c r="BE1382">
        <v>33</v>
      </c>
      <c r="BF1382">
        <v>32.49</v>
      </c>
      <c r="BG1382" t="s">
        <v>16952</v>
      </c>
      <c r="BH1382" t="s">
        <v>3300</v>
      </c>
      <c r="BI1382" t="s">
        <v>16953</v>
      </c>
      <c r="BJ1382" t="s">
        <v>101</v>
      </c>
      <c r="BK1382" t="s">
        <v>2230</v>
      </c>
      <c r="BL1382" t="s">
        <v>1231</v>
      </c>
      <c r="BM1382" t="s">
        <v>9387</v>
      </c>
      <c r="BN1382" t="s">
        <v>14623</v>
      </c>
    </row>
    <row r="1383" spans="1:66" x14ac:dyDescent="0.25">
      <c r="A1383" t="str">
        <f>HYPERLINK("https://elite.finviz.com/quote.ashx?t=NRXP&amp;ty=c&amp;p=d&amp;b=1", "NRXP")</f>
        <v>NRXP</v>
      </c>
      <c r="B1383">
        <v>6</v>
      </c>
      <c r="C1383">
        <v>127.03</v>
      </c>
      <c r="D1383">
        <v>50.9</v>
      </c>
      <c r="E1383" t="s">
        <v>16954</v>
      </c>
      <c r="F1383" t="s">
        <v>107</v>
      </c>
      <c r="G1383" t="s">
        <v>428</v>
      </c>
      <c r="H1383" t="s">
        <v>429</v>
      </c>
      <c r="I1383" t="s">
        <v>70</v>
      </c>
      <c r="J1383" t="s">
        <v>321</v>
      </c>
      <c r="K1383">
        <v>67.98</v>
      </c>
      <c r="L1383">
        <v>2.86</v>
      </c>
      <c r="M1383" t="s">
        <v>181</v>
      </c>
      <c r="N1383">
        <v>94287</v>
      </c>
      <c r="P1383">
        <v>2.96</v>
      </c>
      <c r="AA1383">
        <v>-2.2400000000000002</v>
      </c>
      <c r="AB1383" t="s">
        <v>12502</v>
      </c>
      <c r="AI1383" t="s">
        <v>16955</v>
      </c>
      <c r="AJ1383" t="s">
        <v>164</v>
      </c>
      <c r="AK1383" t="s">
        <v>1860</v>
      </c>
      <c r="AL1383">
        <v>0.11</v>
      </c>
      <c r="AM1383">
        <v>0.11</v>
      </c>
      <c r="AR1383" t="s">
        <v>322</v>
      </c>
      <c r="AS1383" t="s">
        <v>9636</v>
      </c>
      <c r="AT1383" t="s">
        <v>2571</v>
      </c>
      <c r="AU1383" t="s">
        <v>756</v>
      </c>
      <c r="AV1383" t="s">
        <v>3076</v>
      </c>
      <c r="AW1383" t="s">
        <v>9261</v>
      </c>
      <c r="AX1383" t="s">
        <v>15980</v>
      </c>
      <c r="AY1383" t="s">
        <v>15258</v>
      </c>
      <c r="AZ1383" t="s">
        <v>16956</v>
      </c>
      <c r="BA1383">
        <v>1</v>
      </c>
      <c r="BB1383">
        <v>346.99</v>
      </c>
      <c r="BC1383">
        <v>0.97</v>
      </c>
      <c r="BD1383">
        <v>2.91</v>
      </c>
      <c r="BE1383">
        <v>2.93</v>
      </c>
      <c r="BF1383">
        <v>2.85</v>
      </c>
      <c r="BG1383" t="s">
        <v>16957</v>
      </c>
      <c r="BH1383" t="s">
        <v>2457</v>
      </c>
      <c r="BI1383" t="s">
        <v>16956</v>
      </c>
      <c r="BJ1383" t="s">
        <v>101</v>
      </c>
      <c r="BK1383" t="s">
        <v>6529</v>
      </c>
      <c r="BL1383" t="s">
        <v>7018</v>
      </c>
      <c r="BM1383" t="s">
        <v>16958</v>
      </c>
      <c r="BN1383" t="s">
        <v>14623</v>
      </c>
    </row>
    <row r="1384" spans="1:66" x14ac:dyDescent="0.25">
      <c r="A1384" t="str">
        <f>HYPERLINK("https://elite.finviz.com/quote.ashx?t=ALBT&amp;ty=c&amp;p=d&amp;b=1", "ALBT")</f>
        <v>ALBT</v>
      </c>
      <c r="B1384">
        <v>6</v>
      </c>
      <c r="C1384">
        <v>127.03</v>
      </c>
      <c r="D1384">
        <v>50.94</v>
      </c>
      <c r="E1384" t="s">
        <v>16959</v>
      </c>
      <c r="F1384" t="s">
        <v>107</v>
      </c>
      <c r="G1384" t="s">
        <v>68</v>
      </c>
      <c r="H1384" t="s">
        <v>7494</v>
      </c>
      <c r="I1384" t="s">
        <v>70</v>
      </c>
      <c r="J1384" t="s">
        <v>321</v>
      </c>
      <c r="K1384">
        <v>9.58</v>
      </c>
      <c r="L1384">
        <v>2.5</v>
      </c>
      <c r="M1384" t="s">
        <v>2841</v>
      </c>
      <c r="N1384">
        <v>3943</v>
      </c>
      <c r="R1384">
        <v>6.89</v>
      </c>
      <c r="AA1384">
        <v>-36.99</v>
      </c>
      <c r="AB1384" t="s">
        <v>8694</v>
      </c>
      <c r="AC1384" t="s">
        <v>1860</v>
      </c>
      <c r="AE1384" t="s">
        <v>699</v>
      </c>
      <c r="AF1384" t="s">
        <v>7598</v>
      </c>
      <c r="AG1384" t="s">
        <v>7742</v>
      </c>
      <c r="AH1384" t="s">
        <v>3566</v>
      </c>
      <c r="AJ1384" t="s">
        <v>164</v>
      </c>
      <c r="AK1384" t="s">
        <v>4849</v>
      </c>
      <c r="AL1384">
        <v>0.06</v>
      </c>
      <c r="AM1384">
        <v>0.05</v>
      </c>
      <c r="AO1384" t="s">
        <v>15374</v>
      </c>
      <c r="AP1384" t="s">
        <v>16960</v>
      </c>
      <c r="AQ1384" t="s">
        <v>16961</v>
      </c>
      <c r="AR1384" t="s">
        <v>3088</v>
      </c>
      <c r="AS1384" t="s">
        <v>1771</v>
      </c>
      <c r="AT1384" t="s">
        <v>2418</v>
      </c>
      <c r="AU1384" t="s">
        <v>234</v>
      </c>
      <c r="AV1384" t="s">
        <v>16962</v>
      </c>
      <c r="AW1384" t="s">
        <v>16963</v>
      </c>
      <c r="AX1384" t="s">
        <v>11879</v>
      </c>
      <c r="AY1384" t="s">
        <v>16964</v>
      </c>
      <c r="AZ1384" t="s">
        <v>11879</v>
      </c>
      <c r="BB1384">
        <v>700.56</v>
      </c>
      <c r="BC1384">
        <v>0.02</v>
      </c>
      <c r="BD1384">
        <v>2.4</v>
      </c>
      <c r="BE1384">
        <v>2.5099999999999998</v>
      </c>
      <c r="BF1384">
        <v>2.4500000000000002</v>
      </c>
      <c r="BG1384" t="s">
        <v>16965</v>
      </c>
      <c r="BH1384" t="s">
        <v>16966</v>
      </c>
      <c r="BI1384" t="s">
        <v>11879</v>
      </c>
      <c r="BJ1384" t="s">
        <v>101</v>
      </c>
      <c r="BK1384" t="s">
        <v>10769</v>
      </c>
      <c r="BL1384" t="s">
        <v>16967</v>
      </c>
      <c r="BM1384" t="s">
        <v>16968</v>
      </c>
      <c r="BN1384" t="s">
        <v>14623</v>
      </c>
    </row>
    <row r="1385" spans="1:66" x14ac:dyDescent="0.25">
      <c r="A1385" t="str">
        <f>HYPERLINK("https://elite.finviz.com/quote.ashx?t=GETY&amp;ty=c&amp;p=d&amp;b=1", "GETY")</f>
        <v>GETY</v>
      </c>
      <c r="B1385">
        <v>6</v>
      </c>
      <c r="C1385">
        <v>127.03</v>
      </c>
      <c r="D1385">
        <v>50.96</v>
      </c>
      <c r="E1385" t="s">
        <v>16969</v>
      </c>
      <c r="F1385" t="s">
        <v>67</v>
      </c>
      <c r="G1385" t="s">
        <v>598</v>
      </c>
      <c r="H1385" t="s">
        <v>599</v>
      </c>
      <c r="I1385" t="s">
        <v>70</v>
      </c>
      <c r="J1385" t="s">
        <v>71</v>
      </c>
      <c r="K1385">
        <v>809.26</v>
      </c>
      <c r="L1385">
        <v>1.95</v>
      </c>
      <c r="M1385" t="s">
        <v>1358</v>
      </c>
      <c r="N1385">
        <v>160850</v>
      </c>
      <c r="P1385">
        <v>11.31</v>
      </c>
      <c r="R1385">
        <v>0.85</v>
      </c>
      <c r="S1385">
        <v>1.32</v>
      </c>
      <c r="Z1385" t="s">
        <v>164</v>
      </c>
      <c r="AA1385">
        <v>-0.28000000000000003</v>
      </c>
      <c r="AB1385" t="s">
        <v>6986</v>
      </c>
      <c r="AD1385" t="s">
        <v>5471</v>
      </c>
      <c r="AE1385" t="s">
        <v>5885</v>
      </c>
      <c r="AF1385" t="s">
        <v>1764</v>
      </c>
      <c r="AH1385" t="s">
        <v>179</v>
      </c>
      <c r="AI1385" t="s">
        <v>16970</v>
      </c>
      <c r="AJ1385" t="s">
        <v>1554</v>
      </c>
      <c r="AK1385" t="s">
        <v>14730</v>
      </c>
      <c r="AL1385">
        <v>0.7</v>
      </c>
      <c r="AM1385">
        <v>0.7</v>
      </c>
      <c r="AN1385">
        <v>2.29</v>
      </c>
      <c r="AO1385" t="s">
        <v>16971</v>
      </c>
      <c r="AP1385" t="s">
        <v>7381</v>
      </c>
      <c r="AQ1385" t="s">
        <v>7365</v>
      </c>
      <c r="AR1385" t="s">
        <v>216</v>
      </c>
      <c r="AS1385" t="s">
        <v>2774</v>
      </c>
      <c r="AT1385" t="s">
        <v>8228</v>
      </c>
      <c r="AU1385" t="s">
        <v>4526</v>
      </c>
      <c r="AV1385" t="s">
        <v>4704</v>
      </c>
      <c r="AW1385" t="s">
        <v>503</v>
      </c>
      <c r="AX1385" t="s">
        <v>9539</v>
      </c>
      <c r="AY1385" t="s">
        <v>4562</v>
      </c>
      <c r="AZ1385" t="s">
        <v>15801</v>
      </c>
      <c r="BA1385">
        <v>2.33</v>
      </c>
      <c r="BB1385">
        <v>741.24</v>
      </c>
      <c r="BC1385">
        <v>0.76</v>
      </c>
      <c r="BD1385">
        <v>1.96</v>
      </c>
      <c r="BE1385">
        <v>2.02</v>
      </c>
      <c r="BF1385">
        <v>1.95</v>
      </c>
      <c r="BG1385" t="s">
        <v>16972</v>
      </c>
      <c r="BH1385" t="s">
        <v>16973</v>
      </c>
      <c r="BI1385" t="s">
        <v>15801</v>
      </c>
      <c r="BJ1385" t="s">
        <v>101</v>
      </c>
      <c r="BK1385" t="s">
        <v>7082</v>
      </c>
      <c r="BL1385" t="s">
        <v>344</v>
      </c>
      <c r="BM1385" t="s">
        <v>16974</v>
      </c>
      <c r="BN1385" t="s">
        <v>14623</v>
      </c>
    </row>
    <row r="1386" spans="1:66" x14ac:dyDescent="0.25">
      <c r="A1386" t="str">
        <f>HYPERLINK("https://elite.finviz.com/quote.ashx?t=TCBS&amp;ty=c&amp;p=d&amp;b=1", "TCBS")</f>
        <v>TCBS</v>
      </c>
      <c r="B1386">
        <v>6</v>
      </c>
      <c r="C1386">
        <v>127.03</v>
      </c>
      <c r="D1386">
        <v>50.96</v>
      </c>
      <c r="E1386" t="s">
        <v>16975</v>
      </c>
      <c r="F1386" t="s">
        <v>107</v>
      </c>
      <c r="G1386" t="s">
        <v>550</v>
      </c>
      <c r="H1386" t="s">
        <v>697</v>
      </c>
      <c r="I1386" t="s">
        <v>70</v>
      </c>
      <c r="J1386" t="s">
        <v>321</v>
      </c>
      <c r="K1386">
        <v>48.5</v>
      </c>
      <c r="L1386">
        <v>16.350000000000001</v>
      </c>
      <c r="M1386" t="s">
        <v>1202</v>
      </c>
      <c r="N1386">
        <v>86</v>
      </c>
      <c r="O1386">
        <v>20.85</v>
      </c>
      <c r="R1386">
        <v>1.96</v>
      </c>
      <c r="S1386">
        <v>0.93</v>
      </c>
      <c r="T1386" t="s">
        <v>5055</v>
      </c>
      <c r="U1386">
        <v>0.16</v>
      </c>
      <c r="V1386" t="s">
        <v>7788</v>
      </c>
      <c r="W1386" t="s">
        <v>12469</v>
      </c>
      <c r="AA1386">
        <v>0.78</v>
      </c>
      <c r="AE1386" t="s">
        <v>6740</v>
      </c>
      <c r="AF1386" t="s">
        <v>1811</v>
      </c>
      <c r="AG1386" t="s">
        <v>2365</v>
      </c>
      <c r="AH1386" t="s">
        <v>2263</v>
      </c>
      <c r="AJ1386" t="s">
        <v>2965</v>
      </c>
      <c r="AK1386" t="s">
        <v>6076</v>
      </c>
      <c r="AL1386">
        <v>0.63</v>
      </c>
      <c r="AN1386">
        <v>0.93</v>
      </c>
      <c r="AP1386" t="s">
        <v>483</v>
      </c>
      <c r="AQ1386" t="s">
        <v>3141</v>
      </c>
      <c r="AR1386" t="s">
        <v>2333</v>
      </c>
      <c r="AS1386" t="s">
        <v>1279</v>
      </c>
      <c r="AT1386" t="s">
        <v>4539</v>
      </c>
      <c r="AU1386" t="s">
        <v>7780</v>
      </c>
      <c r="AV1386" t="s">
        <v>6150</v>
      </c>
      <c r="AW1386" t="s">
        <v>1027</v>
      </c>
      <c r="AX1386" t="s">
        <v>5389</v>
      </c>
      <c r="AY1386" t="s">
        <v>11593</v>
      </c>
      <c r="AZ1386" t="s">
        <v>5839</v>
      </c>
      <c r="BB1386">
        <v>4.29</v>
      </c>
      <c r="BC1386">
        <v>7.0000000000000007E-2</v>
      </c>
      <c r="BD1386">
        <v>16.45</v>
      </c>
      <c r="BE1386">
        <v>15.5</v>
      </c>
      <c r="BF1386">
        <v>15.5</v>
      </c>
      <c r="BG1386" t="s">
        <v>16976</v>
      </c>
      <c r="BH1386" t="s">
        <v>16977</v>
      </c>
      <c r="BI1386" t="s">
        <v>14975</v>
      </c>
      <c r="BJ1386" t="s">
        <v>101</v>
      </c>
      <c r="BK1386" t="s">
        <v>5071</v>
      </c>
      <c r="BL1386" t="s">
        <v>3761</v>
      </c>
      <c r="BM1386" t="s">
        <v>620</v>
      </c>
      <c r="BN1386" t="s">
        <v>14623</v>
      </c>
    </row>
    <row r="1387" spans="1:66" x14ac:dyDescent="0.25">
      <c r="A1387" t="str">
        <f>HYPERLINK("https://elite.finviz.com/quote.ashx?t=BLFY&amp;ty=c&amp;p=d&amp;b=1", "BLFY")</f>
        <v>BLFY</v>
      </c>
      <c r="B1387">
        <v>6</v>
      </c>
      <c r="C1387">
        <v>127.03</v>
      </c>
      <c r="D1387">
        <v>50.99</v>
      </c>
      <c r="E1387" t="s">
        <v>16978</v>
      </c>
      <c r="F1387" t="s">
        <v>67</v>
      </c>
      <c r="G1387" t="s">
        <v>550</v>
      </c>
      <c r="H1387" t="s">
        <v>697</v>
      </c>
      <c r="I1387" t="s">
        <v>70</v>
      </c>
      <c r="J1387" t="s">
        <v>321</v>
      </c>
      <c r="K1387">
        <v>200.66</v>
      </c>
      <c r="L1387">
        <v>9.34</v>
      </c>
      <c r="M1387" t="s">
        <v>174</v>
      </c>
      <c r="N1387">
        <v>5508</v>
      </c>
      <c r="R1387">
        <v>2.2000000000000002</v>
      </c>
      <c r="S1387">
        <v>0.63</v>
      </c>
      <c r="AA1387">
        <v>-0.55000000000000004</v>
      </c>
      <c r="AB1387" t="s">
        <v>12655</v>
      </c>
      <c r="AE1387" t="s">
        <v>2698</v>
      </c>
      <c r="AF1387" t="s">
        <v>15187</v>
      </c>
      <c r="AG1387" t="s">
        <v>3948</v>
      </c>
      <c r="AH1387" t="s">
        <v>2237</v>
      </c>
      <c r="AI1387" t="s">
        <v>1001</v>
      </c>
      <c r="AJ1387" t="s">
        <v>1083</v>
      </c>
      <c r="AK1387" t="s">
        <v>16979</v>
      </c>
      <c r="AL1387">
        <v>0.05</v>
      </c>
      <c r="AN1387">
        <v>1.1399999999999999</v>
      </c>
      <c r="AP1387" t="s">
        <v>11949</v>
      </c>
      <c r="AQ1387" t="s">
        <v>11949</v>
      </c>
      <c r="AR1387" t="s">
        <v>2108</v>
      </c>
      <c r="AS1387" t="s">
        <v>3542</v>
      </c>
      <c r="AT1387" t="s">
        <v>2294</v>
      </c>
      <c r="AU1387" t="s">
        <v>2789</v>
      </c>
      <c r="AV1387" t="s">
        <v>4203</v>
      </c>
      <c r="AW1387" t="s">
        <v>7689</v>
      </c>
      <c r="AX1387" t="s">
        <v>1055</v>
      </c>
      <c r="AY1387" t="s">
        <v>10385</v>
      </c>
      <c r="AZ1387" t="s">
        <v>1055</v>
      </c>
      <c r="BA1387">
        <v>3</v>
      </c>
      <c r="BB1387">
        <v>51.44</v>
      </c>
      <c r="BC1387">
        <v>0.38</v>
      </c>
      <c r="BD1387">
        <v>9.41</v>
      </c>
      <c r="BE1387">
        <v>9.4700000000000006</v>
      </c>
      <c r="BF1387">
        <v>9.2899999999999991</v>
      </c>
      <c r="BG1387" t="s">
        <v>16980</v>
      </c>
      <c r="BH1387" t="s">
        <v>16568</v>
      </c>
      <c r="BI1387" t="s">
        <v>956</v>
      </c>
      <c r="BJ1387" t="s">
        <v>101</v>
      </c>
      <c r="BK1387" t="s">
        <v>2109</v>
      </c>
      <c r="BL1387" t="s">
        <v>439</v>
      </c>
      <c r="BM1387" t="s">
        <v>7737</v>
      </c>
      <c r="BN1387" t="s">
        <v>14623</v>
      </c>
    </row>
    <row r="1388" spans="1:66" x14ac:dyDescent="0.25">
      <c r="A1388" t="str">
        <f>HYPERLINK("https://elite.finviz.com/quote.ashx?t=OFG&amp;ty=c&amp;p=d&amp;b=1", "OFG")</f>
        <v>OFG</v>
      </c>
      <c r="B1388">
        <v>6</v>
      </c>
      <c r="C1388">
        <v>127.03</v>
      </c>
      <c r="D1388">
        <v>51</v>
      </c>
      <c r="E1388" t="s">
        <v>16981</v>
      </c>
      <c r="F1388" t="s">
        <v>67</v>
      </c>
      <c r="G1388" t="s">
        <v>550</v>
      </c>
      <c r="H1388" t="s">
        <v>697</v>
      </c>
      <c r="I1388" t="s">
        <v>70</v>
      </c>
      <c r="J1388" t="s">
        <v>71</v>
      </c>
      <c r="K1388">
        <v>1966.9</v>
      </c>
      <c r="L1388">
        <v>44.18</v>
      </c>
      <c r="M1388" t="s">
        <v>5721</v>
      </c>
      <c r="N1388">
        <v>18017</v>
      </c>
      <c r="O1388">
        <v>10.41</v>
      </c>
      <c r="P1388">
        <v>9.67</v>
      </c>
      <c r="Q1388">
        <v>1.86</v>
      </c>
      <c r="R1388">
        <v>2.2400000000000002</v>
      </c>
      <c r="S1388">
        <v>1.48</v>
      </c>
      <c r="T1388" t="s">
        <v>901</v>
      </c>
      <c r="U1388">
        <v>1.1000000000000001</v>
      </c>
      <c r="V1388" t="s">
        <v>198</v>
      </c>
      <c r="W1388" t="s">
        <v>5539</v>
      </c>
      <c r="X1388" t="s">
        <v>7495</v>
      </c>
      <c r="Y1388" t="s">
        <v>5708</v>
      </c>
      <c r="Z1388" t="s">
        <v>5081</v>
      </c>
      <c r="AA1388">
        <v>4.24</v>
      </c>
      <c r="AB1388" t="s">
        <v>9122</v>
      </c>
      <c r="AC1388" t="s">
        <v>16982</v>
      </c>
      <c r="AD1388" t="s">
        <v>3496</v>
      </c>
      <c r="AE1388" t="s">
        <v>4526</v>
      </c>
      <c r="AF1388" t="s">
        <v>5479</v>
      </c>
      <c r="AG1388" t="s">
        <v>73</v>
      </c>
      <c r="AH1388" t="s">
        <v>7423</v>
      </c>
      <c r="AI1388" t="s">
        <v>9570</v>
      </c>
      <c r="AJ1388" t="s">
        <v>8357</v>
      </c>
      <c r="AK1388" t="s">
        <v>7208</v>
      </c>
      <c r="AL1388">
        <v>0.14000000000000001</v>
      </c>
      <c r="AN1388">
        <v>0.38</v>
      </c>
      <c r="AP1388" t="s">
        <v>4490</v>
      </c>
      <c r="AQ1388" t="s">
        <v>10270</v>
      </c>
      <c r="AR1388" t="s">
        <v>6056</v>
      </c>
      <c r="AS1388" t="s">
        <v>2175</v>
      </c>
      <c r="AT1388" t="s">
        <v>2760</v>
      </c>
      <c r="AU1388" t="s">
        <v>581</v>
      </c>
      <c r="AV1388" t="s">
        <v>1063</v>
      </c>
      <c r="AW1388" t="s">
        <v>6080</v>
      </c>
      <c r="AX1388" t="s">
        <v>2967</v>
      </c>
      <c r="AY1388" t="s">
        <v>9489</v>
      </c>
      <c r="AZ1388" t="s">
        <v>4479</v>
      </c>
      <c r="BA1388">
        <v>1.67</v>
      </c>
      <c r="BB1388">
        <v>233.32</v>
      </c>
      <c r="BC1388">
        <v>0.27</v>
      </c>
      <c r="BD1388">
        <v>44.6</v>
      </c>
      <c r="BE1388">
        <v>44.87</v>
      </c>
      <c r="BF1388">
        <v>44.33</v>
      </c>
      <c r="BG1388" t="s">
        <v>16983</v>
      </c>
      <c r="BH1388" t="s">
        <v>9489</v>
      </c>
      <c r="BI1388" t="s">
        <v>16984</v>
      </c>
      <c r="BJ1388" t="s">
        <v>101</v>
      </c>
      <c r="BK1388" t="s">
        <v>1776</v>
      </c>
      <c r="BL1388" t="s">
        <v>10610</v>
      </c>
      <c r="BM1388" t="s">
        <v>4237</v>
      </c>
      <c r="BN1388" t="s">
        <v>14623</v>
      </c>
    </row>
    <row r="1389" spans="1:66" x14ac:dyDescent="0.25">
      <c r="A1389" t="str">
        <f>HYPERLINK("https://elite.finviz.com/quote.ashx?t=TAIT&amp;ty=c&amp;p=d&amp;b=1", "TAIT")</f>
        <v>TAIT</v>
      </c>
      <c r="B1389">
        <v>6</v>
      </c>
      <c r="C1389">
        <v>127.03</v>
      </c>
      <c r="D1389">
        <v>51</v>
      </c>
      <c r="E1389" t="s">
        <v>16985</v>
      </c>
      <c r="F1389" t="s">
        <v>107</v>
      </c>
      <c r="G1389" t="s">
        <v>108</v>
      </c>
      <c r="H1389" t="s">
        <v>3661</v>
      </c>
      <c r="I1389" t="s">
        <v>70</v>
      </c>
      <c r="J1389" t="s">
        <v>321</v>
      </c>
      <c r="K1389">
        <v>14.99</v>
      </c>
      <c r="L1389">
        <v>2.4900000000000002</v>
      </c>
      <c r="M1389" t="s">
        <v>7423</v>
      </c>
      <c r="N1389">
        <v>29273</v>
      </c>
      <c r="R1389">
        <v>3.57</v>
      </c>
      <c r="S1389">
        <v>0.98</v>
      </c>
      <c r="T1389" t="s">
        <v>5847</v>
      </c>
      <c r="U1389">
        <v>0.18</v>
      </c>
      <c r="V1389" t="s">
        <v>3046</v>
      </c>
      <c r="W1389" t="s">
        <v>164</v>
      </c>
      <c r="X1389" t="s">
        <v>4697</v>
      </c>
      <c r="Y1389" t="s">
        <v>10073</v>
      </c>
      <c r="Z1389" t="s">
        <v>16986</v>
      </c>
      <c r="AA1389">
        <v>-0.11</v>
      </c>
      <c r="AB1389" t="s">
        <v>7992</v>
      </c>
      <c r="AC1389" t="s">
        <v>5611</v>
      </c>
      <c r="AE1389" t="s">
        <v>7341</v>
      </c>
      <c r="AF1389" t="s">
        <v>8477</v>
      </c>
      <c r="AG1389" t="s">
        <v>16987</v>
      </c>
      <c r="AH1389" t="s">
        <v>2431</v>
      </c>
      <c r="AJ1389" t="s">
        <v>164</v>
      </c>
      <c r="AK1389" t="s">
        <v>6413</v>
      </c>
      <c r="AL1389">
        <v>6.54</v>
      </c>
      <c r="AM1389">
        <v>5.42</v>
      </c>
      <c r="AN1389">
        <v>0</v>
      </c>
      <c r="AO1389" t="s">
        <v>5343</v>
      </c>
      <c r="AP1389" t="s">
        <v>180</v>
      </c>
      <c r="AQ1389" t="s">
        <v>16988</v>
      </c>
      <c r="AR1389" t="s">
        <v>1653</v>
      </c>
      <c r="AS1389" t="s">
        <v>5756</v>
      </c>
      <c r="AT1389" t="s">
        <v>1119</v>
      </c>
      <c r="AU1389" t="s">
        <v>5700</v>
      </c>
      <c r="AV1389" t="s">
        <v>121</v>
      </c>
      <c r="AW1389" t="s">
        <v>16989</v>
      </c>
      <c r="AX1389" t="s">
        <v>6696</v>
      </c>
      <c r="AY1389" t="s">
        <v>16989</v>
      </c>
      <c r="AZ1389" t="s">
        <v>6696</v>
      </c>
      <c r="BB1389">
        <v>396.87</v>
      </c>
      <c r="BC1389">
        <v>0.26</v>
      </c>
      <c r="BD1389">
        <v>2.4500000000000002</v>
      </c>
      <c r="BE1389">
        <v>2.57</v>
      </c>
      <c r="BF1389">
        <v>2.46</v>
      </c>
      <c r="BG1389" t="s">
        <v>16990</v>
      </c>
      <c r="BH1389" t="s">
        <v>16991</v>
      </c>
      <c r="BI1389" t="s">
        <v>16992</v>
      </c>
      <c r="BJ1389" t="s">
        <v>101</v>
      </c>
      <c r="BK1389" t="s">
        <v>5775</v>
      </c>
      <c r="BL1389" t="s">
        <v>608</v>
      </c>
      <c r="BM1389" t="s">
        <v>13705</v>
      </c>
      <c r="BN1389" t="s">
        <v>14623</v>
      </c>
    </row>
    <row r="1390" spans="1:66" x14ac:dyDescent="0.25">
      <c r="A1390" t="str">
        <f>HYPERLINK("https://elite.finviz.com/quote.ashx?t=FKWL&amp;ty=c&amp;p=d&amp;b=1", "FKWL")</f>
        <v>FKWL</v>
      </c>
      <c r="B1390">
        <v>6</v>
      </c>
      <c r="C1390">
        <v>127.03</v>
      </c>
      <c r="D1390">
        <v>51</v>
      </c>
      <c r="E1390" t="s">
        <v>16993</v>
      </c>
      <c r="F1390" t="s">
        <v>107</v>
      </c>
      <c r="G1390" t="s">
        <v>108</v>
      </c>
      <c r="H1390" t="s">
        <v>1921</v>
      </c>
      <c r="I1390" t="s">
        <v>70</v>
      </c>
      <c r="J1390" t="s">
        <v>321</v>
      </c>
      <c r="K1390">
        <v>48.44</v>
      </c>
      <c r="L1390">
        <v>4.1100000000000003</v>
      </c>
      <c r="M1390" t="s">
        <v>5000</v>
      </c>
      <c r="N1390">
        <v>8049</v>
      </c>
      <c r="R1390">
        <v>1.07</v>
      </c>
      <c r="S1390">
        <v>1.37</v>
      </c>
      <c r="AA1390">
        <v>-0.14000000000000001</v>
      </c>
      <c r="AC1390" t="s">
        <v>8914</v>
      </c>
      <c r="AE1390" t="s">
        <v>863</v>
      </c>
      <c r="AF1390" t="s">
        <v>7214</v>
      </c>
      <c r="AG1390" t="s">
        <v>799</v>
      </c>
      <c r="AH1390" t="s">
        <v>16376</v>
      </c>
      <c r="AI1390" t="s">
        <v>16994</v>
      </c>
      <c r="AJ1390" t="s">
        <v>2586</v>
      </c>
      <c r="AK1390" t="s">
        <v>794</v>
      </c>
      <c r="AL1390">
        <v>4.28</v>
      </c>
      <c r="AM1390">
        <v>4.13</v>
      </c>
      <c r="AN1390">
        <v>0.04</v>
      </c>
      <c r="AO1390" t="s">
        <v>2883</v>
      </c>
      <c r="AP1390" t="s">
        <v>1219</v>
      </c>
      <c r="AQ1390" t="s">
        <v>2893</v>
      </c>
      <c r="AR1390" t="s">
        <v>4255</v>
      </c>
      <c r="AS1390" t="s">
        <v>352</v>
      </c>
      <c r="AT1390" t="s">
        <v>580</v>
      </c>
      <c r="AU1390" t="s">
        <v>192</v>
      </c>
      <c r="AV1390" t="s">
        <v>9202</v>
      </c>
      <c r="AW1390" t="s">
        <v>16883</v>
      </c>
      <c r="AX1390" t="s">
        <v>2824</v>
      </c>
      <c r="AY1390" t="s">
        <v>16995</v>
      </c>
      <c r="AZ1390" t="s">
        <v>3923</v>
      </c>
      <c r="BB1390">
        <v>14.69</v>
      </c>
      <c r="BC1390">
        <v>1.95</v>
      </c>
      <c r="BD1390">
        <v>4.18</v>
      </c>
      <c r="BE1390">
        <v>4.17</v>
      </c>
      <c r="BF1390">
        <v>4.09</v>
      </c>
      <c r="BG1390" t="s">
        <v>16996</v>
      </c>
      <c r="BH1390" t="s">
        <v>16997</v>
      </c>
      <c r="BI1390" t="s">
        <v>16998</v>
      </c>
      <c r="BJ1390" t="s">
        <v>101</v>
      </c>
      <c r="BK1390" t="s">
        <v>1657</v>
      </c>
      <c r="BL1390" t="s">
        <v>1176</v>
      </c>
      <c r="BM1390" t="s">
        <v>1861</v>
      </c>
      <c r="BN1390" t="s">
        <v>14623</v>
      </c>
    </row>
    <row r="1391" spans="1:66" x14ac:dyDescent="0.25">
      <c r="A1391" t="str">
        <f>HYPERLINK("https://elite.finviz.com/quote.ashx?t=KFS&amp;ty=c&amp;p=d&amp;b=1", "KFS")</f>
        <v>KFS</v>
      </c>
      <c r="B1391">
        <v>6</v>
      </c>
      <c r="C1391">
        <v>127.03</v>
      </c>
      <c r="D1391">
        <v>51.01</v>
      </c>
      <c r="E1391" t="s">
        <v>16999</v>
      </c>
      <c r="F1391" t="s">
        <v>67</v>
      </c>
      <c r="G1391" t="s">
        <v>813</v>
      </c>
      <c r="H1391" t="s">
        <v>5888</v>
      </c>
      <c r="I1391" t="s">
        <v>70</v>
      </c>
      <c r="J1391" t="s">
        <v>71</v>
      </c>
      <c r="K1391">
        <v>412.32</v>
      </c>
      <c r="L1391">
        <v>14.28</v>
      </c>
      <c r="M1391" t="s">
        <v>3169</v>
      </c>
      <c r="N1391">
        <v>5681</v>
      </c>
      <c r="R1391">
        <v>3.47</v>
      </c>
      <c r="S1391">
        <v>23.28</v>
      </c>
      <c r="AA1391">
        <v>-0.42</v>
      </c>
      <c r="AB1391" t="s">
        <v>17000</v>
      </c>
      <c r="AC1391" t="s">
        <v>1258</v>
      </c>
      <c r="AE1391" t="s">
        <v>605</v>
      </c>
      <c r="AF1391" t="s">
        <v>2740</v>
      </c>
      <c r="AG1391" t="s">
        <v>4593</v>
      </c>
      <c r="AH1391" t="s">
        <v>2530</v>
      </c>
      <c r="AJ1391" t="s">
        <v>3977</v>
      </c>
      <c r="AK1391" t="s">
        <v>17001</v>
      </c>
      <c r="AL1391">
        <v>0.33</v>
      </c>
      <c r="AM1391">
        <v>0.33</v>
      </c>
      <c r="AN1391">
        <v>1.82</v>
      </c>
      <c r="AO1391" t="s">
        <v>11743</v>
      </c>
      <c r="AP1391" t="s">
        <v>3811</v>
      </c>
      <c r="AQ1391" t="s">
        <v>7234</v>
      </c>
      <c r="AR1391" t="s">
        <v>2234</v>
      </c>
      <c r="AS1391" t="s">
        <v>89</v>
      </c>
      <c r="AT1391" t="s">
        <v>629</v>
      </c>
      <c r="AU1391" t="s">
        <v>969</v>
      </c>
      <c r="AV1391" t="s">
        <v>9742</v>
      </c>
      <c r="AW1391" t="s">
        <v>9780</v>
      </c>
      <c r="AX1391" t="s">
        <v>2492</v>
      </c>
      <c r="AY1391" t="s">
        <v>17002</v>
      </c>
      <c r="AZ1391" t="s">
        <v>1504</v>
      </c>
      <c r="BB1391">
        <v>84.61</v>
      </c>
      <c r="BC1391">
        <v>0.24</v>
      </c>
      <c r="BD1391">
        <v>14.17</v>
      </c>
      <c r="BE1391">
        <v>14.38</v>
      </c>
      <c r="BF1391">
        <v>14.14</v>
      </c>
      <c r="BG1391" t="s">
        <v>17003</v>
      </c>
      <c r="BH1391" t="s">
        <v>13101</v>
      </c>
      <c r="BI1391" t="s">
        <v>17004</v>
      </c>
      <c r="BJ1391" t="s">
        <v>101</v>
      </c>
      <c r="BK1391" t="s">
        <v>1439</v>
      </c>
      <c r="BL1391" t="s">
        <v>17005</v>
      </c>
      <c r="BM1391" t="s">
        <v>4027</v>
      </c>
      <c r="BN1391" t="s">
        <v>14623</v>
      </c>
    </row>
    <row r="1392" spans="1:66" x14ac:dyDescent="0.25">
      <c r="A1392" t="str">
        <f>HYPERLINK("https://elite.finviz.com/quote.ashx?t=BEPC&amp;ty=c&amp;p=d&amp;b=1", "BEPC")</f>
        <v>BEPC</v>
      </c>
      <c r="B1392">
        <v>6</v>
      </c>
      <c r="C1392">
        <v>127.03</v>
      </c>
      <c r="D1392">
        <v>51.03</v>
      </c>
      <c r="E1392" t="s">
        <v>17006</v>
      </c>
      <c r="F1392" t="s">
        <v>107</v>
      </c>
      <c r="G1392" t="s">
        <v>287</v>
      </c>
      <c r="H1392" t="s">
        <v>288</v>
      </c>
      <c r="I1392" t="s">
        <v>70</v>
      </c>
      <c r="J1392" t="s">
        <v>71</v>
      </c>
      <c r="K1392">
        <v>6125.13</v>
      </c>
      <c r="L1392">
        <v>34.1</v>
      </c>
      <c r="M1392" t="s">
        <v>193</v>
      </c>
      <c r="N1392">
        <v>175703</v>
      </c>
      <c r="P1392">
        <v>81.709999999999994</v>
      </c>
      <c r="R1392">
        <v>1.1299999999999999</v>
      </c>
      <c r="S1392">
        <v>38.700000000000003</v>
      </c>
      <c r="T1392" t="s">
        <v>2419</v>
      </c>
      <c r="U1392">
        <v>1.47</v>
      </c>
      <c r="V1392" t="s">
        <v>4882</v>
      </c>
      <c r="W1392" t="s">
        <v>5395</v>
      </c>
      <c r="X1392" t="s">
        <v>5395</v>
      </c>
      <c r="Z1392" t="s">
        <v>17007</v>
      </c>
      <c r="AA1392">
        <v>-7.36</v>
      </c>
      <c r="AB1392" t="s">
        <v>1817</v>
      </c>
      <c r="AC1392" t="s">
        <v>10947</v>
      </c>
      <c r="AE1392" t="s">
        <v>3122</v>
      </c>
      <c r="AF1392" t="s">
        <v>2555</v>
      </c>
      <c r="AG1392" t="s">
        <v>3036</v>
      </c>
      <c r="AH1392" t="s">
        <v>9978</v>
      </c>
      <c r="AI1392" t="s">
        <v>17008</v>
      </c>
      <c r="AJ1392" t="s">
        <v>164</v>
      </c>
      <c r="AK1392" t="s">
        <v>17009</v>
      </c>
      <c r="AL1392">
        <v>0.27</v>
      </c>
      <c r="AM1392">
        <v>0.27</v>
      </c>
      <c r="AN1392">
        <v>124.04</v>
      </c>
      <c r="AO1392" t="s">
        <v>9973</v>
      </c>
      <c r="AP1392" t="s">
        <v>6512</v>
      </c>
      <c r="AQ1392" t="s">
        <v>17010</v>
      </c>
      <c r="AR1392" t="s">
        <v>1761</v>
      </c>
      <c r="AS1392" t="s">
        <v>1439</v>
      </c>
      <c r="AT1392" t="s">
        <v>5253</v>
      </c>
      <c r="AU1392" t="s">
        <v>5312</v>
      </c>
      <c r="AV1392" t="s">
        <v>1369</v>
      </c>
      <c r="AW1392" t="s">
        <v>2086</v>
      </c>
      <c r="AX1392" t="s">
        <v>1751</v>
      </c>
      <c r="AY1392" t="s">
        <v>2086</v>
      </c>
      <c r="AZ1392" t="s">
        <v>17011</v>
      </c>
      <c r="BA1392">
        <v>1.8</v>
      </c>
      <c r="BB1392">
        <v>827.09</v>
      </c>
      <c r="BC1392">
        <v>0.75</v>
      </c>
      <c r="BD1392">
        <v>34</v>
      </c>
      <c r="BE1392">
        <v>34.49</v>
      </c>
      <c r="BF1392">
        <v>33.96</v>
      </c>
      <c r="BG1392" t="s">
        <v>17012</v>
      </c>
      <c r="BH1392" t="s">
        <v>4605</v>
      </c>
      <c r="BI1392" t="s">
        <v>17013</v>
      </c>
      <c r="BJ1392" t="s">
        <v>101</v>
      </c>
      <c r="BK1392" t="s">
        <v>4323</v>
      </c>
      <c r="BL1392" t="s">
        <v>6437</v>
      </c>
      <c r="BM1392" t="s">
        <v>7566</v>
      </c>
      <c r="BN1392" t="s">
        <v>14623</v>
      </c>
    </row>
    <row r="1393" spans="1:66" x14ac:dyDescent="0.25">
      <c r="A1393" t="str">
        <f>HYPERLINK("https://elite.finviz.com/quote.ashx?t=CABO&amp;ty=c&amp;p=d&amp;b=1", "CABO")</f>
        <v>CABO</v>
      </c>
      <c r="B1393">
        <v>6</v>
      </c>
      <c r="C1393">
        <v>127.03</v>
      </c>
      <c r="D1393">
        <v>51.05</v>
      </c>
      <c r="E1393" t="s">
        <v>17014</v>
      </c>
      <c r="F1393" t="s">
        <v>67</v>
      </c>
      <c r="G1393" t="s">
        <v>598</v>
      </c>
      <c r="H1393" t="s">
        <v>6147</v>
      </c>
      <c r="I1393" t="s">
        <v>70</v>
      </c>
      <c r="J1393" t="s">
        <v>71</v>
      </c>
      <c r="K1393">
        <v>918.09</v>
      </c>
      <c r="L1393">
        <v>163.1</v>
      </c>
      <c r="M1393" t="s">
        <v>2125</v>
      </c>
      <c r="N1393">
        <v>17639</v>
      </c>
      <c r="P1393">
        <v>5.91</v>
      </c>
      <c r="R1393">
        <v>0.6</v>
      </c>
      <c r="S1393">
        <v>0.69</v>
      </c>
      <c r="T1393" t="s">
        <v>907</v>
      </c>
      <c r="U1393">
        <v>5.9</v>
      </c>
      <c r="V1393" t="s">
        <v>17015</v>
      </c>
      <c r="W1393" t="s">
        <v>3257</v>
      </c>
      <c r="X1393" t="s">
        <v>1148</v>
      </c>
      <c r="Y1393" t="s">
        <v>11629</v>
      </c>
      <c r="Z1393" t="s">
        <v>17016</v>
      </c>
      <c r="AA1393">
        <v>-88.37</v>
      </c>
      <c r="AB1393" t="s">
        <v>17017</v>
      </c>
      <c r="AC1393" t="s">
        <v>13536</v>
      </c>
      <c r="AD1393" t="s">
        <v>17018</v>
      </c>
      <c r="AE1393" t="s">
        <v>1929</v>
      </c>
      <c r="AF1393" t="s">
        <v>1714</v>
      </c>
      <c r="AG1393" t="s">
        <v>7767</v>
      </c>
      <c r="AH1393" t="s">
        <v>12575</v>
      </c>
      <c r="AI1393" t="s">
        <v>17019</v>
      </c>
      <c r="AJ1393" t="s">
        <v>6572</v>
      </c>
      <c r="AK1393" t="s">
        <v>17020</v>
      </c>
      <c r="AL1393">
        <v>0.36</v>
      </c>
      <c r="AM1393">
        <v>0.36</v>
      </c>
      <c r="AN1393">
        <v>2.62</v>
      </c>
      <c r="AO1393" t="s">
        <v>17021</v>
      </c>
      <c r="AP1393" t="s">
        <v>11359</v>
      </c>
      <c r="AQ1393" t="s">
        <v>16881</v>
      </c>
      <c r="AR1393" t="s">
        <v>926</v>
      </c>
      <c r="AS1393" t="s">
        <v>1872</v>
      </c>
      <c r="AT1393" t="s">
        <v>3484</v>
      </c>
      <c r="AU1393" t="s">
        <v>5527</v>
      </c>
      <c r="AV1393" t="s">
        <v>15127</v>
      </c>
      <c r="AW1393" t="s">
        <v>9731</v>
      </c>
      <c r="AX1393" t="s">
        <v>11694</v>
      </c>
      <c r="AY1393" t="s">
        <v>14338</v>
      </c>
      <c r="AZ1393" t="s">
        <v>1931</v>
      </c>
      <c r="BA1393">
        <v>2.75</v>
      </c>
      <c r="BB1393">
        <v>172.83</v>
      </c>
      <c r="BC1393">
        <v>0.36</v>
      </c>
      <c r="BD1393">
        <v>161.66</v>
      </c>
      <c r="BE1393">
        <v>164.01</v>
      </c>
      <c r="BF1393">
        <v>159.5</v>
      </c>
      <c r="BG1393" t="s">
        <v>17022</v>
      </c>
      <c r="BH1393" t="s">
        <v>15312</v>
      </c>
      <c r="BI1393" t="s">
        <v>1931</v>
      </c>
      <c r="BJ1393" t="s">
        <v>101</v>
      </c>
      <c r="BK1393" t="s">
        <v>3760</v>
      </c>
      <c r="BL1393" t="s">
        <v>17023</v>
      </c>
      <c r="BM1393" t="s">
        <v>12893</v>
      </c>
      <c r="BN1393" t="s">
        <v>14623</v>
      </c>
    </row>
    <row r="1394" spans="1:66" x14ac:dyDescent="0.25">
      <c r="A1394" t="str">
        <f>HYPERLINK("https://elite.finviz.com/quote.ashx?t=EML&amp;ty=c&amp;p=d&amp;b=1", "EML")</f>
        <v>EML</v>
      </c>
      <c r="B1394">
        <v>6</v>
      </c>
      <c r="C1394">
        <v>127.03</v>
      </c>
      <c r="D1394">
        <v>51.07</v>
      </c>
      <c r="E1394" t="s">
        <v>17024</v>
      </c>
      <c r="F1394" t="s">
        <v>67</v>
      </c>
      <c r="G1394" t="s">
        <v>260</v>
      </c>
      <c r="H1394" t="s">
        <v>16076</v>
      </c>
      <c r="I1394" t="s">
        <v>70</v>
      </c>
      <c r="J1394" t="s">
        <v>321</v>
      </c>
      <c r="K1394">
        <v>149.94999999999999</v>
      </c>
      <c r="L1394">
        <v>24.59</v>
      </c>
      <c r="M1394" t="s">
        <v>3493</v>
      </c>
      <c r="N1394">
        <v>1527</v>
      </c>
      <c r="O1394">
        <v>12.22</v>
      </c>
      <c r="R1394">
        <v>0.55000000000000004</v>
      </c>
      <c r="S1394">
        <v>1.2</v>
      </c>
      <c r="T1394" t="s">
        <v>2201</v>
      </c>
      <c r="U1394">
        <v>0.44</v>
      </c>
      <c r="V1394" t="s">
        <v>3046</v>
      </c>
      <c r="W1394" t="s">
        <v>164</v>
      </c>
      <c r="X1394" t="s">
        <v>164</v>
      </c>
      <c r="Y1394" t="s">
        <v>164</v>
      </c>
      <c r="Z1394" t="s">
        <v>5192</v>
      </c>
      <c r="AA1394">
        <v>2.0099999999999998</v>
      </c>
      <c r="AB1394" t="s">
        <v>13198</v>
      </c>
      <c r="AC1394" t="s">
        <v>2757</v>
      </c>
      <c r="AE1394" t="s">
        <v>8357</v>
      </c>
      <c r="AF1394" t="s">
        <v>2736</v>
      </c>
      <c r="AG1394" t="s">
        <v>2186</v>
      </c>
      <c r="AH1394" t="s">
        <v>4078</v>
      </c>
      <c r="AI1394" t="s">
        <v>892</v>
      </c>
      <c r="AJ1394" t="s">
        <v>2822</v>
      </c>
      <c r="AK1394" t="s">
        <v>3082</v>
      </c>
      <c r="AL1394">
        <v>2.67</v>
      </c>
      <c r="AM1394">
        <v>1.33</v>
      </c>
      <c r="AN1394">
        <v>0.46</v>
      </c>
      <c r="AO1394" t="s">
        <v>3038</v>
      </c>
      <c r="AP1394" t="s">
        <v>3506</v>
      </c>
      <c r="AQ1394" t="s">
        <v>4908</v>
      </c>
      <c r="AR1394" t="s">
        <v>316</v>
      </c>
      <c r="AS1394" t="s">
        <v>5593</v>
      </c>
      <c r="AT1394" t="s">
        <v>9925</v>
      </c>
      <c r="AU1394" t="s">
        <v>122</v>
      </c>
      <c r="AV1394" t="s">
        <v>1938</v>
      </c>
      <c r="AW1394" t="s">
        <v>5176</v>
      </c>
      <c r="AX1394" t="s">
        <v>6474</v>
      </c>
      <c r="AY1394" t="s">
        <v>17025</v>
      </c>
      <c r="AZ1394" t="s">
        <v>11492</v>
      </c>
      <c r="BA1394">
        <v>1</v>
      </c>
      <c r="BB1394">
        <v>11.62</v>
      </c>
      <c r="BC1394">
        <v>0.47</v>
      </c>
      <c r="BD1394">
        <v>24.37</v>
      </c>
      <c r="BE1394">
        <v>24.09</v>
      </c>
      <c r="BF1394">
        <v>24.09</v>
      </c>
      <c r="BG1394" t="s">
        <v>17026</v>
      </c>
      <c r="BH1394" t="s">
        <v>5147</v>
      </c>
      <c r="BI1394" t="s">
        <v>17027</v>
      </c>
      <c r="BJ1394" t="s">
        <v>101</v>
      </c>
      <c r="BK1394" t="s">
        <v>8966</v>
      </c>
      <c r="BL1394" t="s">
        <v>4374</v>
      </c>
      <c r="BM1394" t="s">
        <v>17028</v>
      </c>
      <c r="BN1394" t="s">
        <v>14623</v>
      </c>
    </row>
    <row r="1395" spans="1:66" x14ac:dyDescent="0.25">
      <c r="A1395" t="str">
        <f>HYPERLINK("https://elite.finviz.com/quote.ashx?t=SPAI&amp;ty=c&amp;p=d&amp;b=1", "SPAI")</f>
        <v>SPAI</v>
      </c>
      <c r="B1395">
        <v>6</v>
      </c>
      <c r="C1395">
        <v>127.03</v>
      </c>
      <c r="D1395">
        <v>51.07</v>
      </c>
      <c r="E1395" t="s">
        <v>17029</v>
      </c>
      <c r="F1395" t="s">
        <v>107</v>
      </c>
      <c r="G1395" t="s">
        <v>260</v>
      </c>
      <c r="H1395" t="s">
        <v>4779</v>
      </c>
      <c r="I1395" t="s">
        <v>70</v>
      </c>
      <c r="J1395" t="s">
        <v>321</v>
      </c>
      <c r="K1395">
        <v>124.92</v>
      </c>
      <c r="L1395">
        <v>6.64</v>
      </c>
      <c r="M1395" t="s">
        <v>7742</v>
      </c>
      <c r="N1395">
        <v>64719</v>
      </c>
      <c r="R1395">
        <v>83.28</v>
      </c>
      <c r="S1395">
        <v>39.770000000000003</v>
      </c>
      <c r="AA1395">
        <v>-0.76</v>
      </c>
      <c r="AB1395" t="s">
        <v>17030</v>
      </c>
      <c r="AF1395" t="s">
        <v>12624</v>
      </c>
      <c r="AH1395" t="s">
        <v>14008</v>
      </c>
      <c r="AJ1395" t="s">
        <v>164</v>
      </c>
      <c r="AK1395" t="s">
        <v>3648</v>
      </c>
      <c r="AL1395">
        <v>1.64</v>
      </c>
      <c r="AM1395">
        <v>1.27</v>
      </c>
      <c r="AN1395">
        <v>0.09</v>
      </c>
      <c r="AO1395" t="s">
        <v>17031</v>
      </c>
      <c r="AP1395" t="s">
        <v>17032</v>
      </c>
      <c r="AQ1395" t="s">
        <v>17033</v>
      </c>
      <c r="AR1395" t="s">
        <v>6528</v>
      </c>
      <c r="AS1395" t="s">
        <v>3290</v>
      </c>
      <c r="AT1395" t="s">
        <v>4622</v>
      </c>
      <c r="AU1395" t="s">
        <v>3052</v>
      </c>
      <c r="AV1395" t="s">
        <v>17034</v>
      </c>
      <c r="AW1395" t="s">
        <v>2574</v>
      </c>
      <c r="AX1395" t="s">
        <v>17035</v>
      </c>
      <c r="AY1395" t="s">
        <v>2574</v>
      </c>
      <c r="AZ1395" t="s">
        <v>17036</v>
      </c>
      <c r="BA1395">
        <v>1</v>
      </c>
      <c r="BB1395">
        <v>320.61</v>
      </c>
      <c r="BC1395">
        <v>0.72</v>
      </c>
      <c r="BD1395">
        <v>6.84</v>
      </c>
      <c r="BE1395">
        <v>7.01</v>
      </c>
      <c r="BF1395">
        <v>6.6</v>
      </c>
      <c r="BG1395" t="s">
        <v>17037</v>
      </c>
      <c r="BH1395" t="s">
        <v>2574</v>
      </c>
      <c r="BI1395" t="s">
        <v>17036</v>
      </c>
      <c r="BJ1395" t="s">
        <v>101</v>
      </c>
      <c r="BK1395" t="s">
        <v>17038</v>
      </c>
      <c r="BL1395" t="s">
        <v>17039</v>
      </c>
      <c r="BM1395" t="s">
        <v>17040</v>
      </c>
      <c r="BN1395" t="s">
        <v>14623</v>
      </c>
    </row>
    <row r="1396" spans="1:66" x14ac:dyDescent="0.25">
      <c r="A1396" t="str">
        <f>HYPERLINK("https://elite.finviz.com/quote.ashx?t=STRZ&amp;ty=c&amp;p=d&amp;b=1", "STRZ")</f>
        <v>STRZ</v>
      </c>
      <c r="B1396">
        <v>6</v>
      </c>
      <c r="C1396">
        <v>127.03</v>
      </c>
      <c r="D1396">
        <v>51.07</v>
      </c>
      <c r="E1396" t="s">
        <v>17041</v>
      </c>
      <c r="F1396" t="s">
        <v>67</v>
      </c>
      <c r="G1396" t="s">
        <v>598</v>
      </c>
      <c r="H1396" t="s">
        <v>4247</v>
      </c>
      <c r="I1396" t="s">
        <v>70</v>
      </c>
      <c r="J1396" t="s">
        <v>321</v>
      </c>
      <c r="K1396">
        <v>235.39</v>
      </c>
      <c r="L1396">
        <v>14.08</v>
      </c>
      <c r="M1396" t="s">
        <v>3890</v>
      </c>
      <c r="N1396">
        <v>4343</v>
      </c>
      <c r="R1396">
        <v>0.06</v>
      </c>
      <c r="S1396">
        <v>0.33</v>
      </c>
      <c r="AA1396">
        <v>-1.19</v>
      </c>
      <c r="AB1396" t="s">
        <v>17042</v>
      </c>
      <c r="AC1396" t="s">
        <v>17043</v>
      </c>
      <c r="AE1396" t="s">
        <v>14569</v>
      </c>
      <c r="AF1396" t="s">
        <v>17044</v>
      </c>
      <c r="AG1396" t="s">
        <v>10632</v>
      </c>
      <c r="AH1396" t="s">
        <v>15511</v>
      </c>
      <c r="AI1396" t="s">
        <v>17045</v>
      </c>
      <c r="AJ1396" t="s">
        <v>1764</v>
      </c>
      <c r="AK1396" t="s">
        <v>17046</v>
      </c>
      <c r="AL1396">
        <v>0.18</v>
      </c>
      <c r="AM1396">
        <v>0.18</v>
      </c>
      <c r="AN1396">
        <v>0.98</v>
      </c>
      <c r="AO1396" t="s">
        <v>11160</v>
      </c>
      <c r="AP1396" t="s">
        <v>3035</v>
      </c>
      <c r="AQ1396" t="s">
        <v>11592</v>
      </c>
      <c r="AR1396" t="s">
        <v>5527</v>
      </c>
      <c r="AS1396" t="s">
        <v>2196</v>
      </c>
      <c r="AT1396" t="s">
        <v>7484</v>
      </c>
      <c r="AU1396" t="s">
        <v>4538</v>
      </c>
      <c r="AV1396" t="s">
        <v>703</v>
      </c>
      <c r="AW1396" t="s">
        <v>6649</v>
      </c>
      <c r="AX1396" t="s">
        <v>3065</v>
      </c>
      <c r="AY1396" t="s">
        <v>17047</v>
      </c>
      <c r="AZ1396" t="s">
        <v>17048</v>
      </c>
      <c r="BA1396">
        <v>2.38</v>
      </c>
      <c r="BB1396">
        <v>134.47999999999999</v>
      </c>
      <c r="BC1396">
        <v>0.11</v>
      </c>
      <c r="BD1396">
        <v>14.12</v>
      </c>
      <c r="BE1396">
        <v>14.17</v>
      </c>
      <c r="BF1396">
        <v>14.06</v>
      </c>
      <c r="BG1396" t="s">
        <v>17049</v>
      </c>
      <c r="BH1396" t="s">
        <v>17047</v>
      </c>
      <c r="BI1396" t="s">
        <v>17048</v>
      </c>
      <c r="BJ1396" t="s">
        <v>101</v>
      </c>
      <c r="BK1396" t="s">
        <v>8021</v>
      </c>
      <c r="BN1396" t="s">
        <v>14623</v>
      </c>
    </row>
    <row r="1397" spans="1:66" x14ac:dyDescent="0.25">
      <c r="A1397" t="str">
        <f>HYPERLINK("https://elite.finviz.com/quote.ashx?t=HRTG&amp;ty=c&amp;p=d&amp;b=1", "HRTG")</f>
        <v>HRTG</v>
      </c>
      <c r="B1397">
        <v>6</v>
      </c>
      <c r="C1397">
        <v>127.03</v>
      </c>
      <c r="D1397">
        <v>51.1</v>
      </c>
      <c r="E1397" t="s">
        <v>17050</v>
      </c>
      <c r="F1397" t="s">
        <v>67</v>
      </c>
      <c r="G1397" t="s">
        <v>550</v>
      </c>
      <c r="H1397" t="s">
        <v>4407</v>
      </c>
      <c r="I1397" t="s">
        <v>70</v>
      </c>
      <c r="J1397" t="s">
        <v>71</v>
      </c>
      <c r="K1397">
        <v>758.38</v>
      </c>
      <c r="L1397">
        <v>24.45</v>
      </c>
      <c r="M1397" t="s">
        <v>212</v>
      </c>
      <c r="N1397">
        <v>93181</v>
      </c>
      <c r="O1397">
        <v>7.06</v>
      </c>
      <c r="P1397">
        <v>6.06</v>
      </c>
      <c r="R1397">
        <v>0.9</v>
      </c>
      <c r="S1397">
        <v>1.98</v>
      </c>
      <c r="V1397" t="s">
        <v>17051</v>
      </c>
      <c r="Z1397" t="s">
        <v>164</v>
      </c>
      <c r="AA1397">
        <v>3.46</v>
      </c>
      <c r="AC1397" t="s">
        <v>310</v>
      </c>
      <c r="AE1397" t="s">
        <v>3189</v>
      </c>
      <c r="AF1397" t="s">
        <v>1133</v>
      </c>
      <c r="AG1397" t="s">
        <v>2877</v>
      </c>
      <c r="AH1397" t="s">
        <v>633</v>
      </c>
      <c r="AI1397" t="s">
        <v>12447</v>
      </c>
      <c r="AJ1397" t="s">
        <v>2357</v>
      </c>
      <c r="AK1397" t="s">
        <v>17052</v>
      </c>
      <c r="AL1397">
        <v>0.96</v>
      </c>
      <c r="AN1397">
        <v>0.3</v>
      </c>
      <c r="AP1397" t="s">
        <v>9194</v>
      </c>
      <c r="AQ1397" t="s">
        <v>3751</v>
      </c>
      <c r="AR1397" t="s">
        <v>1495</v>
      </c>
      <c r="AS1397" t="s">
        <v>5659</v>
      </c>
      <c r="AT1397" t="s">
        <v>148</v>
      </c>
      <c r="AU1397" t="s">
        <v>8808</v>
      </c>
      <c r="AV1397" t="s">
        <v>16681</v>
      </c>
      <c r="AW1397" t="s">
        <v>11088</v>
      </c>
      <c r="AX1397" t="s">
        <v>7572</v>
      </c>
      <c r="AY1397" t="s">
        <v>11088</v>
      </c>
      <c r="AZ1397" t="s">
        <v>17053</v>
      </c>
      <c r="BA1397">
        <v>1.67</v>
      </c>
      <c r="BB1397">
        <v>473.91</v>
      </c>
      <c r="BC1397">
        <v>0.69</v>
      </c>
      <c r="BD1397">
        <v>23.94</v>
      </c>
      <c r="BE1397">
        <v>24.66</v>
      </c>
      <c r="BF1397">
        <v>23.95</v>
      </c>
      <c r="BG1397" t="s">
        <v>17054</v>
      </c>
      <c r="BH1397" t="s">
        <v>11088</v>
      </c>
      <c r="BI1397" t="s">
        <v>17055</v>
      </c>
      <c r="BJ1397" t="s">
        <v>101</v>
      </c>
      <c r="BK1397" t="s">
        <v>3520</v>
      </c>
      <c r="BL1397" t="s">
        <v>12858</v>
      </c>
      <c r="BM1397" t="s">
        <v>17056</v>
      </c>
      <c r="BN1397" t="s">
        <v>14623</v>
      </c>
    </row>
    <row r="1398" spans="1:66" x14ac:dyDescent="0.25">
      <c r="A1398" t="str">
        <f>HYPERLINK("https://elite.finviz.com/quote.ashx?t=TRIN&amp;ty=c&amp;p=d&amp;b=1", "TRIN")</f>
        <v>TRIN</v>
      </c>
      <c r="B1398">
        <v>6</v>
      </c>
      <c r="C1398">
        <v>127.03</v>
      </c>
      <c r="D1398">
        <v>51.1</v>
      </c>
      <c r="E1398" t="s">
        <v>17057</v>
      </c>
      <c r="F1398" t="s">
        <v>107</v>
      </c>
      <c r="G1398" t="s">
        <v>550</v>
      </c>
      <c r="H1398" t="s">
        <v>2597</v>
      </c>
      <c r="I1398" t="s">
        <v>70</v>
      </c>
      <c r="J1398" t="s">
        <v>321</v>
      </c>
      <c r="K1398">
        <v>1127.8399999999999</v>
      </c>
      <c r="L1398">
        <v>16.04</v>
      </c>
      <c r="M1398" t="s">
        <v>7346</v>
      </c>
      <c r="N1398">
        <v>314890</v>
      </c>
      <c r="O1398">
        <v>7.19</v>
      </c>
      <c r="P1398">
        <v>7.77</v>
      </c>
      <c r="R1398">
        <v>4.4400000000000004</v>
      </c>
      <c r="S1398">
        <v>1.21</v>
      </c>
      <c r="T1398" t="s">
        <v>2905</v>
      </c>
      <c r="U1398">
        <v>2.04</v>
      </c>
      <c r="V1398" t="s">
        <v>198</v>
      </c>
      <c r="W1398" t="s">
        <v>6527</v>
      </c>
      <c r="X1398" t="s">
        <v>5758</v>
      </c>
      <c r="Z1398" t="s">
        <v>6476</v>
      </c>
      <c r="AA1398">
        <v>2.23</v>
      </c>
      <c r="AB1398" t="s">
        <v>17058</v>
      </c>
      <c r="AD1398" t="s">
        <v>7884</v>
      </c>
      <c r="AE1398" t="s">
        <v>12005</v>
      </c>
      <c r="AF1398" t="s">
        <v>17059</v>
      </c>
      <c r="AH1398" t="s">
        <v>17060</v>
      </c>
      <c r="AI1398" t="s">
        <v>714</v>
      </c>
      <c r="AJ1398" t="s">
        <v>2641</v>
      </c>
      <c r="AK1398" t="s">
        <v>12158</v>
      </c>
      <c r="AL1398">
        <v>0.7</v>
      </c>
      <c r="AM1398">
        <v>0.7</v>
      </c>
      <c r="AN1398">
        <v>1.1499999999999999</v>
      </c>
      <c r="AO1398" t="s">
        <v>1647</v>
      </c>
      <c r="AP1398" t="s">
        <v>17061</v>
      </c>
      <c r="AQ1398" t="s">
        <v>17062</v>
      </c>
      <c r="AR1398" t="s">
        <v>4891</v>
      </c>
      <c r="AS1398" t="s">
        <v>2185</v>
      </c>
      <c r="AT1398" t="s">
        <v>2965</v>
      </c>
      <c r="AU1398" t="s">
        <v>4493</v>
      </c>
      <c r="AV1398" t="s">
        <v>8925</v>
      </c>
      <c r="AW1398" t="s">
        <v>9854</v>
      </c>
      <c r="AX1398" t="s">
        <v>3962</v>
      </c>
      <c r="AY1398" t="s">
        <v>4559</v>
      </c>
      <c r="AZ1398" t="s">
        <v>6877</v>
      </c>
      <c r="BA1398">
        <v>1.75</v>
      </c>
      <c r="BB1398">
        <v>760.48</v>
      </c>
      <c r="BC1398">
        <v>1.46</v>
      </c>
      <c r="BD1398">
        <v>16.11</v>
      </c>
      <c r="BE1398">
        <v>16.16</v>
      </c>
      <c r="BF1398">
        <v>16.04</v>
      </c>
      <c r="BG1398" t="s">
        <v>17063</v>
      </c>
      <c r="BH1398" t="s">
        <v>9384</v>
      </c>
      <c r="BI1398" t="s">
        <v>17064</v>
      </c>
      <c r="BJ1398" t="s">
        <v>101</v>
      </c>
      <c r="BK1398" t="s">
        <v>2819</v>
      </c>
      <c r="BL1398" t="s">
        <v>2717</v>
      </c>
      <c r="BM1398" t="s">
        <v>6721</v>
      </c>
      <c r="BN1398" t="s">
        <v>14623</v>
      </c>
    </row>
    <row r="1399" spans="1:66" x14ac:dyDescent="0.25">
      <c r="A1399" t="str">
        <f>HYPERLINK("https://elite.finviz.com/quote.ashx?t=SHBI&amp;ty=c&amp;p=d&amp;b=1", "SHBI")</f>
        <v>SHBI</v>
      </c>
      <c r="B1399">
        <v>6</v>
      </c>
      <c r="C1399">
        <v>127.03</v>
      </c>
      <c r="D1399">
        <v>51.13</v>
      </c>
      <c r="E1399" t="s">
        <v>17065</v>
      </c>
      <c r="F1399" t="s">
        <v>67</v>
      </c>
      <c r="G1399" t="s">
        <v>550</v>
      </c>
      <c r="H1399" t="s">
        <v>697</v>
      </c>
      <c r="I1399" t="s">
        <v>70</v>
      </c>
      <c r="J1399" t="s">
        <v>321</v>
      </c>
      <c r="K1399">
        <v>564.52</v>
      </c>
      <c r="L1399">
        <v>16.89</v>
      </c>
      <c r="M1399" t="s">
        <v>4703</v>
      </c>
      <c r="N1399">
        <v>10992</v>
      </c>
      <c r="O1399">
        <v>10.49</v>
      </c>
      <c r="P1399">
        <v>9.07</v>
      </c>
      <c r="R1399">
        <v>1.68</v>
      </c>
      <c r="S1399">
        <v>1</v>
      </c>
      <c r="T1399" t="s">
        <v>2080</v>
      </c>
      <c r="U1399">
        <v>0.48</v>
      </c>
      <c r="V1399" t="s">
        <v>893</v>
      </c>
      <c r="W1399" t="s">
        <v>164</v>
      </c>
      <c r="X1399" t="s">
        <v>164</v>
      </c>
      <c r="Y1399" t="s">
        <v>2496</v>
      </c>
      <c r="Z1399" t="s">
        <v>5103</v>
      </c>
      <c r="AA1399">
        <v>1.61</v>
      </c>
      <c r="AB1399" t="s">
        <v>289</v>
      </c>
      <c r="AC1399" t="s">
        <v>3871</v>
      </c>
      <c r="AE1399" t="s">
        <v>89</v>
      </c>
      <c r="AF1399" t="s">
        <v>17066</v>
      </c>
      <c r="AG1399" t="s">
        <v>16654</v>
      </c>
      <c r="AH1399" t="s">
        <v>896</v>
      </c>
      <c r="AI1399" t="s">
        <v>563</v>
      </c>
      <c r="AJ1399" t="s">
        <v>2362</v>
      </c>
      <c r="AK1399" t="s">
        <v>2607</v>
      </c>
      <c r="AL1399">
        <v>0.06</v>
      </c>
      <c r="AN1399">
        <v>0.24</v>
      </c>
      <c r="AP1399" t="s">
        <v>3858</v>
      </c>
      <c r="AQ1399" t="s">
        <v>3797</v>
      </c>
      <c r="AR1399" t="s">
        <v>3671</v>
      </c>
      <c r="AS1399" t="s">
        <v>2202</v>
      </c>
      <c r="AT1399" t="s">
        <v>5388</v>
      </c>
      <c r="AU1399" t="s">
        <v>2496</v>
      </c>
      <c r="AV1399" t="s">
        <v>12553</v>
      </c>
      <c r="AW1399" t="s">
        <v>8058</v>
      </c>
      <c r="AX1399" t="s">
        <v>12316</v>
      </c>
      <c r="AY1399" t="s">
        <v>8058</v>
      </c>
      <c r="AZ1399" t="s">
        <v>9309</v>
      </c>
      <c r="BA1399">
        <v>1.67</v>
      </c>
      <c r="BB1399">
        <v>153.52000000000001</v>
      </c>
      <c r="BC1399">
        <v>0.25</v>
      </c>
      <c r="BD1399">
        <v>16.940000000000001</v>
      </c>
      <c r="BE1399">
        <v>17.29</v>
      </c>
      <c r="BF1399">
        <v>16.88</v>
      </c>
      <c r="BG1399" t="s">
        <v>17067</v>
      </c>
      <c r="BH1399" t="s">
        <v>17068</v>
      </c>
      <c r="BI1399" t="s">
        <v>17069</v>
      </c>
      <c r="BJ1399" t="s">
        <v>101</v>
      </c>
      <c r="BK1399" t="s">
        <v>4518</v>
      </c>
      <c r="BL1399" t="s">
        <v>12886</v>
      </c>
      <c r="BM1399" t="s">
        <v>15349</v>
      </c>
      <c r="BN1399" t="s">
        <v>14623</v>
      </c>
    </row>
    <row r="1400" spans="1:66" x14ac:dyDescent="0.25">
      <c r="A1400" t="str">
        <f>HYPERLINK("https://elite.finviz.com/quote.ashx?t=BHRB&amp;ty=c&amp;p=d&amp;b=1", "BHRB")</f>
        <v>BHRB</v>
      </c>
      <c r="B1400">
        <v>6</v>
      </c>
      <c r="C1400">
        <v>127.03</v>
      </c>
      <c r="D1400">
        <v>51.14</v>
      </c>
      <c r="E1400" t="s">
        <v>17070</v>
      </c>
      <c r="F1400" t="s">
        <v>67</v>
      </c>
      <c r="G1400" t="s">
        <v>550</v>
      </c>
      <c r="H1400" t="s">
        <v>697</v>
      </c>
      <c r="I1400" t="s">
        <v>70</v>
      </c>
      <c r="J1400" t="s">
        <v>321</v>
      </c>
      <c r="K1400">
        <v>937.48</v>
      </c>
      <c r="L1400">
        <v>62.4</v>
      </c>
      <c r="M1400" t="s">
        <v>2402</v>
      </c>
      <c r="N1400">
        <v>5873</v>
      </c>
      <c r="O1400">
        <v>9.0500000000000007</v>
      </c>
      <c r="P1400">
        <v>8.15</v>
      </c>
      <c r="R1400">
        <v>1.88</v>
      </c>
      <c r="S1400">
        <v>1.22</v>
      </c>
      <c r="T1400" t="s">
        <v>2822</v>
      </c>
      <c r="U1400">
        <v>2.2000000000000002</v>
      </c>
      <c r="V1400" t="s">
        <v>3046</v>
      </c>
      <c r="W1400" t="s">
        <v>2759</v>
      </c>
      <c r="X1400" t="s">
        <v>1438</v>
      </c>
      <c r="Y1400" t="s">
        <v>4280</v>
      </c>
      <c r="Z1400" t="s">
        <v>5209</v>
      </c>
      <c r="AA1400">
        <v>6.89</v>
      </c>
      <c r="AB1400" t="s">
        <v>1056</v>
      </c>
      <c r="AC1400" t="s">
        <v>3480</v>
      </c>
      <c r="AE1400" t="s">
        <v>17071</v>
      </c>
      <c r="AF1400" t="s">
        <v>17072</v>
      </c>
      <c r="AG1400" t="s">
        <v>1956</v>
      </c>
      <c r="AH1400" t="s">
        <v>15417</v>
      </c>
      <c r="AI1400" t="s">
        <v>3100</v>
      </c>
      <c r="AJ1400" t="s">
        <v>1417</v>
      </c>
      <c r="AK1400" t="s">
        <v>391</v>
      </c>
      <c r="AL1400">
        <v>0.09</v>
      </c>
      <c r="AN1400">
        <v>1</v>
      </c>
      <c r="AP1400" t="s">
        <v>1516</v>
      </c>
      <c r="AQ1400" t="s">
        <v>15349</v>
      </c>
      <c r="AR1400" t="s">
        <v>8016</v>
      </c>
      <c r="AS1400" t="s">
        <v>2876</v>
      </c>
      <c r="AT1400" t="s">
        <v>3388</v>
      </c>
      <c r="AU1400" t="s">
        <v>2145</v>
      </c>
      <c r="AV1400" t="s">
        <v>2821</v>
      </c>
      <c r="AW1400" t="s">
        <v>4274</v>
      </c>
      <c r="AX1400" t="s">
        <v>2740</v>
      </c>
      <c r="AY1400" t="s">
        <v>17073</v>
      </c>
      <c r="AZ1400" t="s">
        <v>11033</v>
      </c>
      <c r="BA1400">
        <v>1</v>
      </c>
      <c r="BB1400">
        <v>59.25</v>
      </c>
      <c r="BC1400">
        <v>0.35</v>
      </c>
      <c r="BD1400">
        <v>62.57</v>
      </c>
      <c r="BE1400">
        <v>62.99</v>
      </c>
      <c r="BF1400">
        <v>62.49</v>
      </c>
      <c r="BG1400" t="s">
        <v>17074</v>
      </c>
      <c r="BH1400" t="s">
        <v>9833</v>
      </c>
      <c r="BI1400" t="s">
        <v>17075</v>
      </c>
      <c r="BJ1400" t="s">
        <v>101</v>
      </c>
      <c r="BK1400" t="s">
        <v>4052</v>
      </c>
      <c r="BL1400" t="s">
        <v>1960</v>
      </c>
      <c r="BM1400" t="s">
        <v>2213</v>
      </c>
      <c r="BN1400" t="s">
        <v>14623</v>
      </c>
    </row>
    <row r="1401" spans="1:66" x14ac:dyDescent="0.25">
      <c r="A1401" t="str">
        <f>HYPERLINK("https://elite.finviz.com/quote.ashx?t=SCSC&amp;ty=c&amp;p=d&amp;b=1", "SCSC")</f>
        <v>SCSC</v>
      </c>
      <c r="B1401">
        <v>6</v>
      </c>
      <c r="C1401">
        <v>127.03</v>
      </c>
      <c r="D1401">
        <v>51.15</v>
      </c>
      <c r="E1401" t="s">
        <v>17076</v>
      </c>
      <c r="F1401" t="s">
        <v>67</v>
      </c>
      <c r="G1401" t="s">
        <v>108</v>
      </c>
      <c r="H1401" t="s">
        <v>3661</v>
      </c>
      <c r="I1401" t="s">
        <v>70</v>
      </c>
      <c r="J1401" t="s">
        <v>321</v>
      </c>
      <c r="K1401">
        <v>962.75</v>
      </c>
      <c r="L1401">
        <v>43.99</v>
      </c>
      <c r="M1401" t="s">
        <v>182</v>
      </c>
      <c r="N1401">
        <v>13734</v>
      </c>
      <c r="O1401">
        <v>14.61</v>
      </c>
      <c r="P1401">
        <v>9.92</v>
      </c>
      <c r="R1401">
        <v>0.32</v>
      </c>
      <c r="S1401">
        <v>1.08</v>
      </c>
      <c r="Z1401" t="s">
        <v>164</v>
      </c>
      <c r="AA1401">
        <v>3.01</v>
      </c>
      <c r="AB1401" t="s">
        <v>9780</v>
      </c>
      <c r="AE1401" t="s">
        <v>8262</v>
      </c>
      <c r="AF1401" t="s">
        <v>2329</v>
      </c>
      <c r="AG1401" t="s">
        <v>3752</v>
      </c>
      <c r="AH1401" t="s">
        <v>5912</v>
      </c>
      <c r="AI1401" t="s">
        <v>3368</v>
      </c>
      <c r="AJ1401" t="s">
        <v>17077</v>
      </c>
      <c r="AK1401" t="s">
        <v>17078</v>
      </c>
      <c r="AL1401">
        <v>2.0099999999999998</v>
      </c>
      <c r="AM1401">
        <v>1.3</v>
      </c>
      <c r="AN1401">
        <v>0.16</v>
      </c>
      <c r="AO1401" t="s">
        <v>4462</v>
      </c>
      <c r="AP1401" t="s">
        <v>2624</v>
      </c>
      <c r="AQ1401" t="s">
        <v>342</v>
      </c>
      <c r="AR1401" t="s">
        <v>2619</v>
      </c>
      <c r="AS1401" t="s">
        <v>3173</v>
      </c>
      <c r="AT1401" t="s">
        <v>2103</v>
      </c>
      <c r="AU1401" t="s">
        <v>1932</v>
      </c>
      <c r="AV1401" t="s">
        <v>4850</v>
      </c>
      <c r="AW1401" t="s">
        <v>6480</v>
      </c>
      <c r="AX1401" t="s">
        <v>6064</v>
      </c>
      <c r="AY1401" t="s">
        <v>10341</v>
      </c>
      <c r="AZ1401" t="s">
        <v>13294</v>
      </c>
      <c r="BA1401">
        <v>2</v>
      </c>
      <c r="BB1401">
        <v>263.39</v>
      </c>
      <c r="BC1401">
        <v>0.18</v>
      </c>
      <c r="BD1401">
        <v>43.88</v>
      </c>
      <c r="BE1401">
        <v>44.23</v>
      </c>
      <c r="BF1401">
        <v>43.85</v>
      </c>
      <c r="BG1401" t="s">
        <v>17079</v>
      </c>
      <c r="BH1401" t="s">
        <v>10341</v>
      </c>
      <c r="BI1401" t="s">
        <v>17080</v>
      </c>
      <c r="BJ1401" t="s">
        <v>101</v>
      </c>
      <c r="BK1401" t="s">
        <v>5100</v>
      </c>
      <c r="BL1401" t="s">
        <v>4285</v>
      </c>
      <c r="BM1401" t="s">
        <v>7091</v>
      </c>
      <c r="BN1401" t="s">
        <v>14623</v>
      </c>
    </row>
    <row r="1402" spans="1:66" x14ac:dyDescent="0.25">
      <c r="A1402" t="str">
        <f>HYPERLINK("https://elite.finviz.com/quote.ashx?t=BLTE&amp;ty=c&amp;p=d&amp;b=1", "BLTE")</f>
        <v>BLTE</v>
      </c>
      <c r="B1402">
        <v>6</v>
      </c>
      <c r="C1402">
        <v>127.03</v>
      </c>
      <c r="D1402">
        <v>51.17</v>
      </c>
      <c r="E1402" t="s">
        <v>17081</v>
      </c>
      <c r="F1402" t="s">
        <v>107</v>
      </c>
      <c r="G1402" t="s">
        <v>428</v>
      </c>
      <c r="H1402" t="s">
        <v>429</v>
      </c>
      <c r="I1402" t="s">
        <v>70</v>
      </c>
      <c r="J1402" t="s">
        <v>321</v>
      </c>
      <c r="K1402">
        <v>2233.1</v>
      </c>
      <c r="L1402">
        <v>68.5</v>
      </c>
      <c r="M1402" t="s">
        <v>3753</v>
      </c>
      <c r="N1402">
        <v>13532</v>
      </c>
      <c r="S1402">
        <v>14.9</v>
      </c>
      <c r="AA1402">
        <v>-1.55</v>
      </c>
      <c r="AB1402" t="s">
        <v>12504</v>
      </c>
      <c r="AC1402" t="s">
        <v>17082</v>
      </c>
      <c r="AD1402" t="s">
        <v>13308</v>
      </c>
      <c r="AI1402" t="s">
        <v>4357</v>
      </c>
      <c r="AK1402" t="s">
        <v>1764</v>
      </c>
      <c r="AL1402">
        <v>24.31</v>
      </c>
      <c r="AM1402">
        <v>24.31</v>
      </c>
      <c r="AN1402">
        <v>0</v>
      </c>
      <c r="AR1402" t="s">
        <v>2493</v>
      </c>
      <c r="AS1402" t="s">
        <v>3521</v>
      </c>
      <c r="AT1402" t="s">
        <v>1022</v>
      </c>
      <c r="AU1402" t="s">
        <v>6104</v>
      </c>
      <c r="AV1402" t="s">
        <v>12974</v>
      </c>
      <c r="AW1402" t="s">
        <v>2265</v>
      </c>
      <c r="AX1402" t="s">
        <v>6752</v>
      </c>
      <c r="AY1402" t="s">
        <v>7155</v>
      </c>
      <c r="AZ1402" t="s">
        <v>17083</v>
      </c>
      <c r="BA1402">
        <v>1</v>
      </c>
      <c r="BB1402">
        <v>55.9</v>
      </c>
      <c r="BC1402">
        <v>0.86</v>
      </c>
      <c r="BD1402">
        <v>70.010000000000005</v>
      </c>
      <c r="BE1402">
        <v>70.45</v>
      </c>
      <c r="BF1402">
        <v>68.930000000000007</v>
      </c>
      <c r="BG1402" t="s">
        <v>17084</v>
      </c>
      <c r="BH1402" t="s">
        <v>7155</v>
      </c>
      <c r="BI1402" t="s">
        <v>17085</v>
      </c>
      <c r="BJ1402" t="s">
        <v>101</v>
      </c>
      <c r="BK1402" t="s">
        <v>1305</v>
      </c>
      <c r="BL1402" t="s">
        <v>2789</v>
      </c>
      <c r="BM1402" t="s">
        <v>17086</v>
      </c>
      <c r="BN1402" t="s">
        <v>14623</v>
      </c>
    </row>
    <row r="1403" spans="1:66" x14ac:dyDescent="0.25">
      <c r="A1403" t="str">
        <f>HYPERLINK("https://elite.finviz.com/quote.ashx?t=PRLB&amp;ty=c&amp;p=d&amp;b=1", "PRLB")</f>
        <v>PRLB</v>
      </c>
      <c r="B1403">
        <v>6</v>
      </c>
      <c r="C1403">
        <v>127.03</v>
      </c>
      <c r="D1403">
        <v>51.18</v>
      </c>
      <c r="E1403" t="s">
        <v>17087</v>
      </c>
      <c r="F1403" t="s">
        <v>67</v>
      </c>
      <c r="G1403" t="s">
        <v>260</v>
      </c>
      <c r="H1403" t="s">
        <v>2223</v>
      </c>
      <c r="I1403" t="s">
        <v>70</v>
      </c>
      <c r="J1403" t="s">
        <v>71</v>
      </c>
      <c r="K1403">
        <v>1176.55</v>
      </c>
      <c r="L1403">
        <v>49.28</v>
      </c>
      <c r="M1403" t="s">
        <v>1083</v>
      </c>
      <c r="N1403">
        <v>15647</v>
      </c>
      <c r="O1403">
        <v>81.89</v>
      </c>
      <c r="P1403">
        <v>30.22</v>
      </c>
      <c r="R1403">
        <v>2.31</v>
      </c>
      <c r="S1403">
        <v>1.77</v>
      </c>
      <c r="Z1403" t="s">
        <v>164</v>
      </c>
      <c r="AA1403">
        <v>0.6</v>
      </c>
      <c r="AB1403" t="s">
        <v>17088</v>
      </c>
      <c r="AC1403" t="s">
        <v>5915</v>
      </c>
      <c r="AE1403" t="s">
        <v>1842</v>
      </c>
      <c r="AF1403" t="s">
        <v>6117</v>
      </c>
      <c r="AG1403" t="s">
        <v>3757</v>
      </c>
      <c r="AH1403" t="s">
        <v>262</v>
      </c>
      <c r="AI1403" t="s">
        <v>2360</v>
      </c>
      <c r="AJ1403" t="s">
        <v>5577</v>
      </c>
      <c r="AK1403" t="s">
        <v>13663</v>
      </c>
      <c r="AL1403">
        <v>3.31</v>
      </c>
      <c r="AM1403">
        <v>3.09</v>
      </c>
      <c r="AN1403">
        <v>0</v>
      </c>
      <c r="AO1403" t="s">
        <v>17089</v>
      </c>
      <c r="AP1403" t="s">
        <v>3020</v>
      </c>
      <c r="AQ1403" t="s">
        <v>4892</v>
      </c>
      <c r="AR1403" t="s">
        <v>3635</v>
      </c>
      <c r="AS1403" t="s">
        <v>633</v>
      </c>
      <c r="AT1403" t="s">
        <v>7646</v>
      </c>
      <c r="AU1403" t="s">
        <v>3450</v>
      </c>
      <c r="AV1403" t="s">
        <v>4554</v>
      </c>
      <c r="AW1403" t="s">
        <v>6494</v>
      </c>
      <c r="AX1403" t="s">
        <v>3927</v>
      </c>
      <c r="AY1403" t="s">
        <v>6494</v>
      </c>
      <c r="AZ1403" t="s">
        <v>17090</v>
      </c>
      <c r="BA1403">
        <v>1.8</v>
      </c>
      <c r="BB1403">
        <v>184.19</v>
      </c>
      <c r="BC1403">
        <v>0.3</v>
      </c>
      <c r="BD1403">
        <v>49.18</v>
      </c>
      <c r="BE1403">
        <v>49.62</v>
      </c>
      <c r="BF1403">
        <v>48.95</v>
      </c>
      <c r="BG1403" t="s">
        <v>17091</v>
      </c>
      <c r="BH1403" t="s">
        <v>17092</v>
      </c>
      <c r="BI1403" t="s">
        <v>17093</v>
      </c>
      <c r="BJ1403" t="s">
        <v>101</v>
      </c>
      <c r="BK1403" t="s">
        <v>3375</v>
      </c>
      <c r="BL1403" t="s">
        <v>9551</v>
      </c>
      <c r="BM1403" t="s">
        <v>9886</v>
      </c>
      <c r="BN1403" t="s">
        <v>14623</v>
      </c>
    </row>
    <row r="1404" spans="1:66" x14ac:dyDescent="0.25">
      <c r="A1404" t="str">
        <f>HYPERLINK("https://elite.finviz.com/quote.ashx?t=MOV&amp;ty=c&amp;p=d&amp;b=1", "MOV")</f>
        <v>MOV</v>
      </c>
      <c r="B1404">
        <v>6</v>
      </c>
      <c r="C1404">
        <v>127.03</v>
      </c>
      <c r="D1404">
        <v>51.18</v>
      </c>
      <c r="E1404" t="s">
        <v>17094</v>
      </c>
      <c r="F1404" t="s">
        <v>67</v>
      </c>
      <c r="G1404" t="s">
        <v>813</v>
      </c>
      <c r="H1404" t="s">
        <v>4185</v>
      </c>
      <c r="I1404" t="s">
        <v>70</v>
      </c>
      <c r="J1404" t="s">
        <v>71</v>
      </c>
      <c r="K1404">
        <v>293.95999999999998</v>
      </c>
      <c r="L1404">
        <v>18.75</v>
      </c>
      <c r="M1404" t="s">
        <v>1547</v>
      </c>
      <c r="N1404">
        <v>9244</v>
      </c>
      <c r="O1404">
        <v>24.14</v>
      </c>
      <c r="R1404">
        <v>0.45</v>
      </c>
      <c r="S1404">
        <v>0.85</v>
      </c>
      <c r="T1404" t="s">
        <v>8808</v>
      </c>
      <c r="U1404">
        <v>1.4</v>
      </c>
      <c r="V1404" t="s">
        <v>9611</v>
      </c>
      <c r="W1404" t="s">
        <v>164</v>
      </c>
      <c r="X1404" t="s">
        <v>8063</v>
      </c>
      <c r="Y1404" t="s">
        <v>845</v>
      </c>
      <c r="Z1404" t="s">
        <v>17095</v>
      </c>
      <c r="AA1404">
        <v>0.78</v>
      </c>
      <c r="AB1404" t="s">
        <v>3145</v>
      </c>
      <c r="AC1404" t="s">
        <v>17096</v>
      </c>
      <c r="AE1404" t="s">
        <v>2059</v>
      </c>
      <c r="AF1404" t="s">
        <v>11661</v>
      </c>
      <c r="AG1404" t="s">
        <v>7598</v>
      </c>
      <c r="AH1404" t="s">
        <v>2430</v>
      </c>
      <c r="AJ1404" t="s">
        <v>164</v>
      </c>
      <c r="AK1404" t="s">
        <v>17097</v>
      </c>
      <c r="AL1404">
        <v>3.93</v>
      </c>
      <c r="AM1404">
        <v>2.3199999999999998</v>
      </c>
      <c r="AN1404">
        <v>0.18</v>
      </c>
      <c r="AO1404" t="s">
        <v>838</v>
      </c>
      <c r="AP1404" t="s">
        <v>3325</v>
      </c>
      <c r="AQ1404" t="s">
        <v>89</v>
      </c>
      <c r="AR1404" t="s">
        <v>4710</v>
      </c>
      <c r="AS1404" t="s">
        <v>6937</v>
      </c>
      <c r="AT1404" t="s">
        <v>7948</v>
      </c>
      <c r="AU1404" t="s">
        <v>234</v>
      </c>
      <c r="AV1404" t="s">
        <v>5552</v>
      </c>
      <c r="AW1404" t="s">
        <v>3051</v>
      </c>
      <c r="AX1404" t="s">
        <v>11533</v>
      </c>
      <c r="AY1404" t="s">
        <v>3898</v>
      </c>
      <c r="AZ1404" t="s">
        <v>17098</v>
      </c>
      <c r="BA1404">
        <v>2</v>
      </c>
      <c r="BB1404">
        <v>148.97999999999999</v>
      </c>
      <c r="BC1404">
        <v>0.22</v>
      </c>
      <c r="BD1404">
        <v>18.760000000000002</v>
      </c>
      <c r="BE1404">
        <v>18.89</v>
      </c>
      <c r="BF1404">
        <v>18.75</v>
      </c>
      <c r="BG1404" t="s">
        <v>17099</v>
      </c>
      <c r="BH1404" t="s">
        <v>17100</v>
      </c>
      <c r="BI1404" t="s">
        <v>17101</v>
      </c>
      <c r="BJ1404" t="s">
        <v>101</v>
      </c>
      <c r="BK1404" t="s">
        <v>7087</v>
      </c>
      <c r="BL1404" t="s">
        <v>5969</v>
      </c>
      <c r="BM1404" t="s">
        <v>3169</v>
      </c>
      <c r="BN1404" t="s">
        <v>14623</v>
      </c>
    </row>
    <row r="1405" spans="1:66" x14ac:dyDescent="0.25">
      <c r="A1405" t="str">
        <f>HYPERLINK("https://elite.finviz.com/quote.ashx?t=STRW&amp;ty=c&amp;p=d&amp;b=1", "STRW")</f>
        <v>STRW</v>
      </c>
      <c r="B1405">
        <v>6</v>
      </c>
      <c r="C1405">
        <v>127.03</v>
      </c>
      <c r="D1405">
        <v>51.2</v>
      </c>
      <c r="E1405" t="s">
        <v>17102</v>
      </c>
      <c r="F1405" t="s">
        <v>67</v>
      </c>
      <c r="G1405" t="s">
        <v>68</v>
      </c>
      <c r="H1405" t="s">
        <v>6072</v>
      </c>
      <c r="I1405" t="s">
        <v>70</v>
      </c>
      <c r="J1405" t="s">
        <v>383</v>
      </c>
      <c r="K1405">
        <v>156.43</v>
      </c>
      <c r="L1405">
        <v>12.04</v>
      </c>
      <c r="M1405" t="s">
        <v>2374</v>
      </c>
      <c r="N1405">
        <v>13924</v>
      </c>
      <c r="O1405">
        <v>20.02</v>
      </c>
      <c r="P1405">
        <v>34.9</v>
      </c>
      <c r="R1405">
        <v>1.1599999999999999</v>
      </c>
      <c r="S1405">
        <v>10.1</v>
      </c>
      <c r="T1405" t="s">
        <v>246</v>
      </c>
      <c r="U1405">
        <v>0.57999999999999996</v>
      </c>
      <c r="V1405" t="s">
        <v>5925</v>
      </c>
      <c r="W1405" t="s">
        <v>328</v>
      </c>
      <c r="Z1405" t="s">
        <v>17103</v>
      </c>
      <c r="AA1405">
        <v>0.6</v>
      </c>
      <c r="AB1405" t="s">
        <v>220</v>
      </c>
      <c r="AE1405" t="s">
        <v>1737</v>
      </c>
      <c r="AF1405" t="s">
        <v>9861</v>
      </c>
      <c r="AH1405" t="s">
        <v>2966</v>
      </c>
      <c r="AI1405" t="s">
        <v>7668</v>
      </c>
      <c r="AJ1405" t="s">
        <v>7124</v>
      </c>
      <c r="AK1405" t="s">
        <v>432</v>
      </c>
      <c r="AL1405">
        <v>3.76</v>
      </c>
      <c r="AM1405">
        <v>3.76</v>
      </c>
      <c r="AN1405">
        <v>51</v>
      </c>
      <c r="AO1405" t="s">
        <v>9021</v>
      </c>
      <c r="AP1405" t="s">
        <v>17104</v>
      </c>
      <c r="AQ1405" t="s">
        <v>615</v>
      </c>
      <c r="AR1405" t="s">
        <v>5163</v>
      </c>
      <c r="AS1405" t="s">
        <v>3521</v>
      </c>
      <c r="AT1405" t="s">
        <v>8932</v>
      </c>
      <c r="AU1405" t="s">
        <v>5944</v>
      </c>
      <c r="AV1405" t="s">
        <v>2849</v>
      </c>
      <c r="AW1405" t="s">
        <v>17105</v>
      </c>
      <c r="AX1405" t="s">
        <v>8466</v>
      </c>
      <c r="AY1405" t="s">
        <v>6253</v>
      </c>
      <c r="AZ1405" t="s">
        <v>1177</v>
      </c>
      <c r="BA1405">
        <v>1.29</v>
      </c>
      <c r="BB1405">
        <v>36.549999999999997</v>
      </c>
      <c r="BC1405">
        <v>1.35</v>
      </c>
      <c r="BD1405">
        <v>12.15</v>
      </c>
      <c r="BE1405">
        <v>12.21</v>
      </c>
      <c r="BF1405">
        <v>11.93</v>
      </c>
      <c r="BG1405" t="s">
        <v>17106</v>
      </c>
      <c r="BH1405" t="s">
        <v>10240</v>
      </c>
      <c r="BI1405" t="s">
        <v>17107</v>
      </c>
      <c r="BJ1405" t="s">
        <v>101</v>
      </c>
      <c r="BK1405" t="s">
        <v>2192</v>
      </c>
      <c r="BL1405" t="s">
        <v>2107</v>
      </c>
      <c r="BM1405" t="s">
        <v>1088</v>
      </c>
      <c r="BN1405" t="s">
        <v>14623</v>
      </c>
    </row>
    <row r="1406" spans="1:66" x14ac:dyDescent="0.25">
      <c r="A1406" t="str">
        <f>HYPERLINK("https://elite.finviz.com/quote.ashx?t=TRMK&amp;ty=c&amp;p=d&amp;b=1", "TRMK")</f>
        <v>TRMK</v>
      </c>
      <c r="B1406">
        <v>6</v>
      </c>
      <c r="C1406">
        <v>127.03</v>
      </c>
      <c r="D1406">
        <v>51.21</v>
      </c>
      <c r="E1406" t="s">
        <v>17108</v>
      </c>
      <c r="F1406" t="s">
        <v>67</v>
      </c>
      <c r="G1406" t="s">
        <v>550</v>
      </c>
      <c r="H1406" t="s">
        <v>697</v>
      </c>
      <c r="I1406" t="s">
        <v>70</v>
      </c>
      <c r="J1406" t="s">
        <v>321</v>
      </c>
      <c r="K1406">
        <v>2414.06</v>
      </c>
      <c r="L1406">
        <v>39.99</v>
      </c>
      <c r="M1406" t="s">
        <v>15000</v>
      </c>
      <c r="N1406">
        <v>30474</v>
      </c>
      <c r="O1406">
        <v>11.26</v>
      </c>
      <c r="P1406">
        <v>10.74</v>
      </c>
      <c r="R1406">
        <v>2.17</v>
      </c>
      <c r="S1406">
        <v>1.17</v>
      </c>
      <c r="T1406" t="s">
        <v>4710</v>
      </c>
      <c r="U1406">
        <v>0.95</v>
      </c>
      <c r="V1406" t="s">
        <v>4882</v>
      </c>
      <c r="W1406" t="s">
        <v>164</v>
      </c>
      <c r="X1406" t="s">
        <v>164</v>
      </c>
      <c r="Y1406" t="s">
        <v>164</v>
      </c>
      <c r="AA1406">
        <v>3.55</v>
      </c>
      <c r="AE1406" t="s">
        <v>3272</v>
      </c>
      <c r="AF1406" t="s">
        <v>4068</v>
      </c>
      <c r="AG1406" t="s">
        <v>1955</v>
      </c>
      <c r="AH1406" t="s">
        <v>17109</v>
      </c>
      <c r="AI1406" t="s">
        <v>3204</v>
      </c>
      <c r="AJ1406" t="s">
        <v>4273</v>
      </c>
      <c r="AK1406" t="s">
        <v>17110</v>
      </c>
      <c r="AL1406">
        <v>0.06</v>
      </c>
      <c r="AN1406">
        <v>0.6</v>
      </c>
      <c r="AP1406" t="s">
        <v>10268</v>
      </c>
      <c r="AQ1406" t="s">
        <v>17111</v>
      </c>
      <c r="AR1406" t="s">
        <v>3494</v>
      </c>
      <c r="AS1406" t="s">
        <v>7338</v>
      </c>
      <c r="AT1406" t="s">
        <v>8932</v>
      </c>
      <c r="AU1406" t="s">
        <v>2808</v>
      </c>
      <c r="AV1406" t="s">
        <v>3099</v>
      </c>
      <c r="AW1406" t="s">
        <v>4222</v>
      </c>
      <c r="AX1406" t="s">
        <v>9108</v>
      </c>
      <c r="AY1406" t="s">
        <v>4222</v>
      </c>
      <c r="AZ1406" t="s">
        <v>1311</v>
      </c>
      <c r="BA1406">
        <v>2.33</v>
      </c>
      <c r="BB1406">
        <v>301.45</v>
      </c>
      <c r="BC1406">
        <v>0.36</v>
      </c>
      <c r="BD1406">
        <v>40.159999999999997</v>
      </c>
      <c r="BE1406">
        <v>40.590000000000003</v>
      </c>
      <c r="BF1406">
        <v>39.99</v>
      </c>
      <c r="BG1406" t="s">
        <v>17112</v>
      </c>
      <c r="BH1406" t="s">
        <v>4222</v>
      </c>
      <c r="BI1406" t="s">
        <v>17113</v>
      </c>
      <c r="BJ1406" t="s">
        <v>101</v>
      </c>
      <c r="BK1406" t="s">
        <v>7858</v>
      </c>
      <c r="BL1406" t="s">
        <v>7033</v>
      </c>
      <c r="BM1406" t="s">
        <v>7244</v>
      </c>
      <c r="BN1406" t="s">
        <v>14623</v>
      </c>
    </row>
    <row r="1407" spans="1:66" x14ac:dyDescent="0.25">
      <c r="A1407" t="str">
        <f>HYPERLINK("https://elite.finviz.com/quote.ashx?t=MGNX&amp;ty=c&amp;p=d&amp;b=1", "MGNX")</f>
        <v>MGNX</v>
      </c>
      <c r="B1407">
        <v>6</v>
      </c>
      <c r="C1407">
        <v>127.03</v>
      </c>
      <c r="D1407">
        <v>51.21</v>
      </c>
      <c r="E1407" t="s">
        <v>17114</v>
      </c>
      <c r="F1407" t="s">
        <v>107</v>
      </c>
      <c r="G1407" t="s">
        <v>428</v>
      </c>
      <c r="H1407" t="s">
        <v>429</v>
      </c>
      <c r="I1407" t="s">
        <v>70</v>
      </c>
      <c r="J1407" t="s">
        <v>321</v>
      </c>
      <c r="K1407">
        <v>106.82</v>
      </c>
      <c r="L1407">
        <v>1.69</v>
      </c>
      <c r="M1407" t="s">
        <v>3208</v>
      </c>
      <c r="N1407">
        <v>151714</v>
      </c>
      <c r="R1407">
        <v>0.65</v>
      </c>
      <c r="S1407">
        <v>2.29</v>
      </c>
      <c r="AA1407">
        <v>-0.56999999999999995</v>
      </c>
      <c r="AB1407" t="s">
        <v>12155</v>
      </c>
      <c r="AC1407" t="s">
        <v>5886</v>
      </c>
      <c r="AD1407" t="s">
        <v>2013</v>
      </c>
      <c r="AE1407" t="s">
        <v>17115</v>
      </c>
      <c r="AF1407" t="s">
        <v>15374</v>
      </c>
      <c r="AG1407" t="s">
        <v>13792</v>
      </c>
      <c r="AH1407" t="s">
        <v>6193</v>
      </c>
      <c r="AI1407" t="s">
        <v>17116</v>
      </c>
      <c r="AJ1407" t="s">
        <v>5258</v>
      </c>
      <c r="AK1407" t="s">
        <v>17117</v>
      </c>
      <c r="AL1407">
        <v>5.25</v>
      </c>
      <c r="AM1407">
        <v>5.0199999999999996</v>
      </c>
      <c r="AN1407">
        <v>2.31</v>
      </c>
      <c r="AO1407" t="s">
        <v>12915</v>
      </c>
      <c r="AP1407" t="s">
        <v>1012</v>
      </c>
      <c r="AQ1407" t="s">
        <v>17118</v>
      </c>
      <c r="AR1407" t="s">
        <v>7511</v>
      </c>
      <c r="AS1407" t="s">
        <v>2000</v>
      </c>
      <c r="AT1407" t="s">
        <v>575</v>
      </c>
      <c r="AU1407" t="s">
        <v>648</v>
      </c>
      <c r="AV1407" t="s">
        <v>17119</v>
      </c>
      <c r="AW1407" t="s">
        <v>10904</v>
      </c>
      <c r="AX1407" t="s">
        <v>4084</v>
      </c>
      <c r="AY1407" t="s">
        <v>17120</v>
      </c>
      <c r="AZ1407" t="s">
        <v>17121</v>
      </c>
      <c r="BA1407">
        <v>2.5</v>
      </c>
      <c r="BB1407">
        <v>917.53</v>
      </c>
      <c r="BC1407">
        <v>0.57999999999999996</v>
      </c>
      <c r="BD1407">
        <v>1.65</v>
      </c>
      <c r="BE1407">
        <v>1.71</v>
      </c>
      <c r="BF1407">
        <v>1.66</v>
      </c>
      <c r="BG1407" t="s">
        <v>17122</v>
      </c>
      <c r="BH1407" t="s">
        <v>10183</v>
      </c>
      <c r="BI1407" t="s">
        <v>17121</v>
      </c>
      <c r="BJ1407" t="s">
        <v>101</v>
      </c>
      <c r="BK1407" t="s">
        <v>8408</v>
      </c>
      <c r="BL1407" t="s">
        <v>3420</v>
      </c>
      <c r="BM1407" t="s">
        <v>17123</v>
      </c>
      <c r="BN1407" t="s">
        <v>14623</v>
      </c>
    </row>
    <row r="1408" spans="1:66" x14ac:dyDescent="0.25">
      <c r="A1408" t="str">
        <f>HYPERLINK("https://elite.finviz.com/quote.ashx?t=SEB&amp;ty=c&amp;p=d&amp;b=1", "SEB")</f>
        <v>SEB</v>
      </c>
      <c r="B1408">
        <v>6</v>
      </c>
      <c r="C1408">
        <v>127.03</v>
      </c>
      <c r="D1408">
        <v>51.24</v>
      </c>
      <c r="E1408" t="s">
        <v>17124</v>
      </c>
      <c r="F1408" t="s">
        <v>107</v>
      </c>
      <c r="G1408" t="s">
        <v>260</v>
      </c>
      <c r="H1408" t="s">
        <v>2508</v>
      </c>
      <c r="I1408" t="s">
        <v>70</v>
      </c>
      <c r="J1408" t="s">
        <v>383</v>
      </c>
      <c r="K1408">
        <v>3596.8</v>
      </c>
      <c r="L1408">
        <v>3749.82</v>
      </c>
      <c r="M1408" t="s">
        <v>2186</v>
      </c>
      <c r="N1408">
        <v>351</v>
      </c>
      <c r="O1408">
        <v>26.16</v>
      </c>
      <c r="R1408">
        <v>0.38</v>
      </c>
      <c r="S1408">
        <v>0.75</v>
      </c>
      <c r="T1408" t="s">
        <v>6182</v>
      </c>
      <c r="U1408">
        <v>9</v>
      </c>
      <c r="V1408" t="s">
        <v>1762</v>
      </c>
      <c r="W1408" t="s">
        <v>164</v>
      </c>
      <c r="X1408" t="s">
        <v>164</v>
      </c>
      <c r="Y1408" t="s">
        <v>164</v>
      </c>
      <c r="Z1408" t="s">
        <v>1491</v>
      </c>
      <c r="AA1408">
        <v>143.32</v>
      </c>
      <c r="AB1408" t="s">
        <v>16102</v>
      </c>
      <c r="AC1408" t="s">
        <v>1817</v>
      </c>
      <c r="AE1408" t="s">
        <v>5370</v>
      </c>
      <c r="AF1408" t="s">
        <v>2426</v>
      </c>
      <c r="AG1408" t="s">
        <v>4907</v>
      </c>
      <c r="AH1408" t="s">
        <v>2392</v>
      </c>
      <c r="AJ1408" t="s">
        <v>164</v>
      </c>
      <c r="AK1408" t="s">
        <v>5437</v>
      </c>
      <c r="AL1408">
        <v>2.4</v>
      </c>
      <c r="AM1408">
        <v>1.38</v>
      </c>
      <c r="AN1408">
        <v>0.39</v>
      </c>
      <c r="AO1408" t="s">
        <v>7970</v>
      </c>
      <c r="AP1408" t="s">
        <v>5256</v>
      </c>
      <c r="AQ1408" t="s">
        <v>3024</v>
      </c>
      <c r="AR1408" t="s">
        <v>4172</v>
      </c>
      <c r="AS1408" t="s">
        <v>4294</v>
      </c>
      <c r="AT1408" t="s">
        <v>4124</v>
      </c>
      <c r="AU1408" t="s">
        <v>8229</v>
      </c>
      <c r="AV1408" t="s">
        <v>7521</v>
      </c>
      <c r="AW1408" t="s">
        <v>4635</v>
      </c>
      <c r="AX1408" t="s">
        <v>11880</v>
      </c>
      <c r="AY1408" t="s">
        <v>4635</v>
      </c>
      <c r="AZ1408" t="s">
        <v>17125</v>
      </c>
      <c r="BB1408">
        <v>2.25</v>
      </c>
      <c r="BC1408">
        <v>0.55000000000000004</v>
      </c>
      <c r="BD1408">
        <v>3689.98</v>
      </c>
      <c r="BE1408">
        <v>3763.46</v>
      </c>
      <c r="BF1408">
        <v>3651.11</v>
      </c>
      <c r="BG1408" t="s">
        <v>17126</v>
      </c>
      <c r="BH1408" t="s">
        <v>16826</v>
      </c>
      <c r="BI1408" t="s">
        <v>17127</v>
      </c>
      <c r="BJ1408" t="s">
        <v>101</v>
      </c>
      <c r="BK1408" t="s">
        <v>14663</v>
      </c>
      <c r="BL1408" t="s">
        <v>15189</v>
      </c>
      <c r="BM1408" t="s">
        <v>10695</v>
      </c>
      <c r="BN1408" t="s">
        <v>14623</v>
      </c>
    </row>
    <row r="1409" spans="1:66" x14ac:dyDescent="0.25">
      <c r="A1409" t="str">
        <f>HYPERLINK("https://elite.finviz.com/quote.ashx?t=BFIN&amp;ty=c&amp;p=d&amp;b=1", "BFIN")</f>
        <v>BFIN</v>
      </c>
      <c r="B1409">
        <v>6</v>
      </c>
      <c r="C1409">
        <v>127.03</v>
      </c>
      <c r="D1409">
        <v>51.25</v>
      </c>
      <c r="E1409" t="s">
        <v>17128</v>
      </c>
      <c r="F1409" t="s">
        <v>67</v>
      </c>
      <c r="G1409" t="s">
        <v>550</v>
      </c>
      <c r="H1409" t="s">
        <v>697</v>
      </c>
      <c r="I1409" t="s">
        <v>70</v>
      </c>
      <c r="J1409" t="s">
        <v>321</v>
      </c>
      <c r="K1409">
        <v>152.44999999999999</v>
      </c>
      <c r="L1409">
        <v>12.23</v>
      </c>
      <c r="M1409" t="s">
        <v>2203</v>
      </c>
      <c r="N1409">
        <v>26811</v>
      </c>
      <c r="O1409">
        <v>78.13</v>
      </c>
      <c r="P1409">
        <v>15.49</v>
      </c>
      <c r="R1409">
        <v>2.1</v>
      </c>
      <c r="S1409">
        <v>0.98</v>
      </c>
      <c r="T1409" t="s">
        <v>2317</v>
      </c>
      <c r="U1409">
        <v>0.4</v>
      </c>
      <c r="V1409" t="s">
        <v>3046</v>
      </c>
      <c r="W1409" t="s">
        <v>164</v>
      </c>
      <c r="X1409" t="s">
        <v>164</v>
      </c>
      <c r="Y1409" t="s">
        <v>164</v>
      </c>
      <c r="Z1409" t="s">
        <v>8376</v>
      </c>
      <c r="AA1409">
        <v>0.16</v>
      </c>
      <c r="AB1409" t="s">
        <v>8999</v>
      </c>
      <c r="AC1409" t="s">
        <v>17129</v>
      </c>
      <c r="AE1409" t="s">
        <v>1690</v>
      </c>
      <c r="AF1409" t="s">
        <v>302</v>
      </c>
      <c r="AG1409" t="s">
        <v>84</v>
      </c>
      <c r="AH1409" t="s">
        <v>9780</v>
      </c>
      <c r="AI1409" t="s">
        <v>164</v>
      </c>
      <c r="AJ1409" t="s">
        <v>164</v>
      </c>
      <c r="AK1409" t="s">
        <v>17130</v>
      </c>
      <c r="AL1409">
        <v>0.62</v>
      </c>
      <c r="AN1409">
        <v>0.21</v>
      </c>
      <c r="AP1409" t="s">
        <v>5660</v>
      </c>
      <c r="AQ1409" t="s">
        <v>4976</v>
      </c>
      <c r="AR1409" t="s">
        <v>2195</v>
      </c>
      <c r="AS1409" t="s">
        <v>4256</v>
      </c>
      <c r="AT1409" t="s">
        <v>8357</v>
      </c>
      <c r="AU1409" t="s">
        <v>2624</v>
      </c>
      <c r="AV1409" t="s">
        <v>580</v>
      </c>
      <c r="AW1409" t="s">
        <v>4673</v>
      </c>
      <c r="AX1409" t="s">
        <v>5901</v>
      </c>
      <c r="AY1409" t="s">
        <v>14774</v>
      </c>
      <c r="AZ1409" t="s">
        <v>5901</v>
      </c>
      <c r="BA1409">
        <v>3</v>
      </c>
      <c r="BB1409">
        <v>91.18</v>
      </c>
      <c r="BC1409">
        <v>1.04</v>
      </c>
      <c r="BD1409">
        <v>12.29</v>
      </c>
      <c r="BE1409">
        <v>12.37</v>
      </c>
      <c r="BF1409">
        <v>12.23</v>
      </c>
      <c r="BG1409" t="s">
        <v>17131</v>
      </c>
      <c r="BH1409" t="s">
        <v>16131</v>
      </c>
      <c r="BI1409" t="s">
        <v>17132</v>
      </c>
      <c r="BJ1409" t="s">
        <v>101</v>
      </c>
      <c r="BK1409" t="s">
        <v>438</v>
      </c>
      <c r="BL1409" t="s">
        <v>7074</v>
      </c>
      <c r="BM1409" t="s">
        <v>1129</v>
      </c>
      <c r="BN1409" t="s">
        <v>14623</v>
      </c>
    </row>
    <row r="1410" spans="1:66" x14ac:dyDescent="0.25">
      <c r="A1410" t="str">
        <f>HYPERLINK("https://elite.finviz.com/quote.ashx?t=NDSN&amp;ty=c&amp;p=d&amp;b=1", "NDSN")</f>
        <v>NDSN</v>
      </c>
      <c r="B1410">
        <v>6</v>
      </c>
      <c r="C1410">
        <v>127.03</v>
      </c>
      <c r="D1410">
        <v>51.26</v>
      </c>
      <c r="E1410" t="s">
        <v>17133</v>
      </c>
      <c r="F1410" t="s">
        <v>195</v>
      </c>
      <c r="G1410" t="s">
        <v>260</v>
      </c>
      <c r="H1410" t="s">
        <v>261</v>
      </c>
      <c r="I1410" t="s">
        <v>70</v>
      </c>
      <c r="J1410" t="s">
        <v>321</v>
      </c>
      <c r="K1410">
        <v>12580.01</v>
      </c>
      <c r="L1410">
        <v>223.9</v>
      </c>
      <c r="M1410" t="s">
        <v>2644</v>
      </c>
      <c r="N1410">
        <v>43638</v>
      </c>
      <c r="O1410">
        <v>28.14</v>
      </c>
      <c r="P1410">
        <v>20.22</v>
      </c>
      <c r="Q1410">
        <v>3.99</v>
      </c>
      <c r="R1410">
        <v>4.5199999999999996</v>
      </c>
      <c r="S1410">
        <v>4.22</v>
      </c>
      <c r="T1410" t="s">
        <v>2554</v>
      </c>
      <c r="U1410">
        <v>3.16</v>
      </c>
      <c r="V1410" t="s">
        <v>7788</v>
      </c>
      <c r="W1410" t="s">
        <v>5999</v>
      </c>
      <c r="X1410" t="s">
        <v>6595</v>
      </c>
      <c r="Y1410" t="s">
        <v>4666</v>
      </c>
      <c r="Z1410" t="s">
        <v>7470</v>
      </c>
      <c r="AA1410">
        <v>7.96</v>
      </c>
      <c r="AB1410" t="s">
        <v>2449</v>
      </c>
      <c r="AC1410" t="s">
        <v>12450</v>
      </c>
      <c r="AD1410" t="s">
        <v>8852</v>
      </c>
      <c r="AE1410" t="s">
        <v>6378</v>
      </c>
      <c r="AF1410" t="s">
        <v>5885</v>
      </c>
      <c r="AG1410" t="s">
        <v>4690</v>
      </c>
      <c r="AH1410" t="s">
        <v>4110</v>
      </c>
      <c r="AI1410" t="s">
        <v>3205</v>
      </c>
      <c r="AJ1410" t="s">
        <v>164</v>
      </c>
      <c r="AK1410" t="s">
        <v>12302</v>
      </c>
      <c r="AL1410">
        <v>1.69</v>
      </c>
      <c r="AM1410">
        <v>1.1100000000000001</v>
      </c>
      <c r="AN1410">
        <v>0.74</v>
      </c>
      <c r="AO1410" t="s">
        <v>10401</v>
      </c>
      <c r="AP1410" t="s">
        <v>7375</v>
      </c>
      <c r="AQ1410" t="s">
        <v>7192</v>
      </c>
      <c r="AR1410" t="s">
        <v>5610</v>
      </c>
      <c r="AS1410" t="s">
        <v>7338</v>
      </c>
      <c r="AT1410" t="s">
        <v>2003</v>
      </c>
      <c r="AU1410" t="s">
        <v>2175</v>
      </c>
      <c r="AV1410" t="s">
        <v>3601</v>
      </c>
      <c r="AW1410" t="s">
        <v>4215</v>
      </c>
      <c r="AX1410" t="s">
        <v>1676</v>
      </c>
      <c r="AY1410" t="s">
        <v>489</v>
      </c>
      <c r="AZ1410" t="s">
        <v>17134</v>
      </c>
      <c r="BA1410">
        <v>2.08</v>
      </c>
      <c r="BB1410">
        <v>338.07</v>
      </c>
      <c r="BC1410">
        <v>0.45</v>
      </c>
      <c r="BD1410">
        <v>221.52</v>
      </c>
      <c r="BE1410">
        <v>224.01</v>
      </c>
      <c r="BF1410">
        <v>221.52</v>
      </c>
      <c r="BG1410" t="s">
        <v>17135</v>
      </c>
      <c r="BH1410" t="s">
        <v>17136</v>
      </c>
      <c r="BI1410" t="s">
        <v>17137</v>
      </c>
      <c r="BJ1410" t="s">
        <v>101</v>
      </c>
      <c r="BK1410" t="s">
        <v>1751</v>
      </c>
      <c r="BL1410" t="s">
        <v>1252</v>
      </c>
      <c r="BM1410" t="s">
        <v>12167</v>
      </c>
      <c r="BN1410" t="s">
        <v>14623</v>
      </c>
    </row>
    <row r="1411" spans="1:66" x14ac:dyDescent="0.25">
      <c r="A1411" t="str">
        <f>HYPERLINK("https://elite.finviz.com/quote.ashx?t=SRZN&amp;ty=c&amp;p=d&amp;b=1", "SRZN")</f>
        <v>SRZN</v>
      </c>
      <c r="B1411">
        <v>6</v>
      </c>
      <c r="C1411">
        <v>127.03</v>
      </c>
      <c r="D1411">
        <v>51.27</v>
      </c>
      <c r="E1411" t="s">
        <v>17138</v>
      </c>
      <c r="F1411" t="s">
        <v>107</v>
      </c>
      <c r="G1411" t="s">
        <v>428</v>
      </c>
      <c r="H1411" t="s">
        <v>429</v>
      </c>
      <c r="I1411" t="s">
        <v>70</v>
      </c>
      <c r="J1411" t="s">
        <v>321</v>
      </c>
      <c r="K1411">
        <v>99.89</v>
      </c>
      <c r="L1411">
        <v>11.65</v>
      </c>
      <c r="M1411" t="s">
        <v>8293</v>
      </c>
      <c r="N1411">
        <v>3550</v>
      </c>
      <c r="R1411">
        <v>7.91</v>
      </c>
      <c r="S1411">
        <v>2.12</v>
      </c>
      <c r="AA1411">
        <v>-13.92</v>
      </c>
      <c r="AB1411" t="s">
        <v>715</v>
      </c>
      <c r="AC1411" t="s">
        <v>4941</v>
      </c>
      <c r="AD1411" t="s">
        <v>11941</v>
      </c>
      <c r="AE1411" t="s">
        <v>2914</v>
      </c>
      <c r="AI1411" t="s">
        <v>17139</v>
      </c>
      <c r="AJ1411" t="s">
        <v>17140</v>
      </c>
      <c r="AK1411" t="s">
        <v>4560</v>
      </c>
      <c r="AL1411">
        <v>16.41</v>
      </c>
      <c r="AM1411">
        <v>16.41</v>
      </c>
      <c r="AN1411">
        <v>0.16</v>
      </c>
      <c r="AO1411" t="s">
        <v>17141</v>
      </c>
      <c r="AP1411" t="s">
        <v>17142</v>
      </c>
      <c r="AQ1411" t="s">
        <v>17143</v>
      </c>
      <c r="AR1411" t="s">
        <v>204</v>
      </c>
      <c r="AS1411" t="s">
        <v>10926</v>
      </c>
      <c r="AT1411" t="s">
        <v>9500</v>
      </c>
      <c r="AU1411" t="s">
        <v>7942</v>
      </c>
      <c r="AV1411" t="s">
        <v>12555</v>
      </c>
      <c r="AW1411" t="s">
        <v>5507</v>
      </c>
      <c r="AX1411" t="s">
        <v>467</v>
      </c>
      <c r="AY1411" t="s">
        <v>13292</v>
      </c>
      <c r="AZ1411" t="s">
        <v>17144</v>
      </c>
      <c r="BA1411">
        <v>1</v>
      </c>
      <c r="BB1411">
        <v>16.23</v>
      </c>
      <c r="BC1411">
        <v>0.78</v>
      </c>
      <c r="BD1411">
        <v>11.93</v>
      </c>
      <c r="BE1411">
        <v>11.68</v>
      </c>
      <c r="BF1411">
        <v>11.4</v>
      </c>
      <c r="BG1411" t="s">
        <v>17145</v>
      </c>
      <c r="BH1411" t="s">
        <v>17146</v>
      </c>
      <c r="BI1411" t="s">
        <v>17147</v>
      </c>
      <c r="BJ1411" t="s">
        <v>101</v>
      </c>
      <c r="BK1411" t="s">
        <v>3819</v>
      </c>
      <c r="BL1411" t="s">
        <v>180</v>
      </c>
      <c r="BM1411" t="s">
        <v>5893</v>
      </c>
      <c r="BN1411" t="s">
        <v>14623</v>
      </c>
    </row>
    <row r="1412" spans="1:66" x14ac:dyDescent="0.25">
      <c r="A1412" t="str">
        <f>HYPERLINK("https://elite.finviz.com/quote.ashx?t=AIRT&amp;ty=c&amp;p=d&amp;b=1", "AIRT")</f>
        <v>AIRT</v>
      </c>
      <c r="B1412">
        <v>6</v>
      </c>
      <c r="C1412">
        <v>127.03</v>
      </c>
      <c r="D1412">
        <v>51.29</v>
      </c>
      <c r="E1412" t="s">
        <v>17148</v>
      </c>
      <c r="F1412" t="s">
        <v>107</v>
      </c>
      <c r="G1412" t="s">
        <v>260</v>
      </c>
      <c r="H1412" t="s">
        <v>2508</v>
      </c>
      <c r="I1412" t="s">
        <v>70</v>
      </c>
      <c r="J1412" t="s">
        <v>321</v>
      </c>
      <c r="K1412">
        <v>64.34</v>
      </c>
      <c r="L1412">
        <v>23.6</v>
      </c>
      <c r="M1412" t="s">
        <v>6475</v>
      </c>
      <c r="N1412">
        <v>633</v>
      </c>
      <c r="R1412">
        <v>0.22</v>
      </c>
      <c r="V1412" t="s">
        <v>17149</v>
      </c>
      <c r="AA1412">
        <v>-2.76</v>
      </c>
      <c r="AC1412" t="s">
        <v>680</v>
      </c>
      <c r="AE1412" t="s">
        <v>2316</v>
      </c>
      <c r="AF1412" t="s">
        <v>15417</v>
      </c>
      <c r="AG1412" t="s">
        <v>4744</v>
      </c>
      <c r="AH1412" t="s">
        <v>3372</v>
      </c>
      <c r="AJ1412" t="s">
        <v>164</v>
      </c>
      <c r="AK1412" t="s">
        <v>11397</v>
      </c>
      <c r="AL1412">
        <v>1.89</v>
      </c>
      <c r="AM1412">
        <v>1.08</v>
      </c>
      <c r="AO1412" t="s">
        <v>7834</v>
      </c>
      <c r="AP1412" t="s">
        <v>1279</v>
      </c>
      <c r="AQ1412" t="s">
        <v>9938</v>
      </c>
      <c r="AR1412" t="s">
        <v>2554</v>
      </c>
      <c r="AS1412" t="s">
        <v>2383</v>
      </c>
      <c r="AT1412" t="s">
        <v>3950</v>
      </c>
      <c r="AU1412" t="s">
        <v>4916</v>
      </c>
      <c r="AV1412" t="s">
        <v>11608</v>
      </c>
      <c r="AW1412" t="s">
        <v>15493</v>
      </c>
      <c r="AX1412" t="s">
        <v>10317</v>
      </c>
      <c r="AY1412" t="s">
        <v>15493</v>
      </c>
      <c r="AZ1412" t="s">
        <v>17150</v>
      </c>
      <c r="BB1412">
        <v>3.27</v>
      </c>
      <c r="BC1412">
        <v>0.69</v>
      </c>
      <c r="BD1412">
        <v>22.7</v>
      </c>
      <c r="BE1412">
        <v>23.6</v>
      </c>
      <c r="BF1412">
        <v>23.6</v>
      </c>
      <c r="BG1412" t="s">
        <v>17151</v>
      </c>
      <c r="BH1412" t="s">
        <v>17152</v>
      </c>
      <c r="BI1412" t="s">
        <v>17153</v>
      </c>
      <c r="BJ1412" t="s">
        <v>101</v>
      </c>
      <c r="BK1412" t="s">
        <v>5391</v>
      </c>
      <c r="BL1412" t="s">
        <v>1784</v>
      </c>
      <c r="BM1412" t="s">
        <v>1933</v>
      </c>
      <c r="BN1412" t="s">
        <v>14623</v>
      </c>
    </row>
    <row r="1413" spans="1:66" x14ac:dyDescent="0.25">
      <c r="A1413" t="str">
        <f>HYPERLINK("https://elite.finviz.com/quote.ashx?t=DLX&amp;ty=c&amp;p=d&amp;b=1", "DLX")</f>
        <v>DLX</v>
      </c>
      <c r="B1413">
        <v>6</v>
      </c>
      <c r="C1413">
        <v>127.03</v>
      </c>
      <c r="D1413">
        <v>51.29</v>
      </c>
      <c r="E1413" t="s">
        <v>17154</v>
      </c>
      <c r="F1413" t="s">
        <v>67</v>
      </c>
      <c r="G1413" t="s">
        <v>260</v>
      </c>
      <c r="H1413" t="s">
        <v>2508</v>
      </c>
      <c r="I1413" t="s">
        <v>70</v>
      </c>
      <c r="J1413" t="s">
        <v>71</v>
      </c>
      <c r="K1413">
        <v>866.46</v>
      </c>
      <c r="L1413">
        <v>19.3</v>
      </c>
      <c r="M1413" t="s">
        <v>3112</v>
      </c>
      <c r="N1413">
        <v>20877</v>
      </c>
      <c r="O1413">
        <v>15.04</v>
      </c>
      <c r="P1413">
        <v>5.17</v>
      </c>
      <c r="R1413">
        <v>0.41</v>
      </c>
      <c r="S1413">
        <v>1.36</v>
      </c>
      <c r="T1413" t="s">
        <v>7767</v>
      </c>
      <c r="U1413">
        <v>1.2</v>
      </c>
      <c r="V1413" t="s">
        <v>1440</v>
      </c>
      <c r="W1413" t="s">
        <v>164</v>
      </c>
      <c r="X1413" t="s">
        <v>164</v>
      </c>
      <c r="Y1413" t="s">
        <v>164</v>
      </c>
      <c r="Z1413" t="s">
        <v>964</v>
      </c>
      <c r="AA1413">
        <v>1.28</v>
      </c>
      <c r="AB1413" t="s">
        <v>6253</v>
      </c>
      <c r="AE1413" t="s">
        <v>1866</v>
      </c>
      <c r="AF1413" t="s">
        <v>6990</v>
      </c>
      <c r="AG1413" t="s">
        <v>1837</v>
      </c>
      <c r="AH1413" t="s">
        <v>6161</v>
      </c>
      <c r="AI1413" t="s">
        <v>7321</v>
      </c>
      <c r="AJ1413" t="s">
        <v>5549</v>
      </c>
      <c r="AK1413" t="s">
        <v>3262</v>
      </c>
      <c r="AL1413">
        <v>0.94</v>
      </c>
      <c r="AM1413">
        <v>0.85</v>
      </c>
      <c r="AN1413">
        <v>2.39</v>
      </c>
      <c r="AO1413" t="s">
        <v>17155</v>
      </c>
      <c r="AP1413" t="s">
        <v>5459</v>
      </c>
      <c r="AQ1413" t="s">
        <v>2743</v>
      </c>
      <c r="AR1413" t="s">
        <v>2808</v>
      </c>
      <c r="AS1413" t="s">
        <v>92</v>
      </c>
      <c r="AT1413" t="s">
        <v>10808</v>
      </c>
      <c r="AU1413" t="s">
        <v>2384</v>
      </c>
      <c r="AV1413" t="s">
        <v>5528</v>
      </c>
      <c r="AW1413" t="s">
        <v>1052</v>
      </c>
      <c r="AX1413" t="s">
        <v>553</v>
      </c>
      <c r="AY1413" t="s">
        <v>14407</v>
      </c>
      <c r="AZ1413" t="s">
        <v>3302</v>
      </c>
      <c r="BA1413">
        <v>1.67</v>
      </c>
      <c r="BB1413">
        <v>355.44</v>
      </c>
      <c r="BC1413">
        <v>0.21</v>
      </c>
      <c r="BD1413">
        <v>19.22</v>
      </c>
      <c r="BE1413">
        <v>19.420000000000002</v>
      </c>
      <c r="BF1413">
        <v>19.14</v>
      </c>
      <c r="BG1413" t="s">
        <v>17156</v>
      </c>
      <c r="BH1413" t="s">
        <v>17157</v>
      </c>
      <c r="BI1413" t="s">
        <v>17158</v>
      </c>
      <c r="BJ1413" t="s">
        <v>101</v>
      </c>
      <c r="BK1413" t="s">
        <v>2485</v>
      </c>
      <c r="BL1413" t="s">
        <v>672</v>
      </c>
      <c r="BM1413" t="s">
        <v>5388</v>
      </c>
      <c r="BN1413" t="s">
        <v>14623</v>
      </c>
    </row>
    <row r="1414" spans="1:66" x14ac:dyDescent="0.25">
      <c r="A1414" t="str">
        <f>HYPERLINK("https://elite.finviz.com/quote.ashx?t=HLVX&amp;ty=c&amp;p=d&amp;b=1", "HLVX")</f>
        <v>HLVX</v>
      </c>
      <c r="B1414">
        <v>6</v>
      </c>
      <c r="C1414">
        <v>127.03</v>
      </c>
      <c r="D1414">
        <v>51.29</v>
      </c>
      <c r="E1414" t="s">
        <v>17159</v>
      </c>
      <c r="F1414" t="s">
        <v>107</v>
      </c>
      <c r="G1414" t="s">
        <v>428</v>
      </c>
      <c r="H1414" t="s">
        <v>429</v>
      </c>
      <c r="I1414" t="s">
        <v>70</v>
      </c>
      <c r="J1414" t="s">
        <v>321</v>
      </c>
      <c r="K1414">
        <v>104.79</v>
      </c>
      <c r="L1414">
        <v>2.09</v>
      </c>
      <c r="M1414" t="s">
        <v>164</v>
      </c>
      <c r="N1414">
        <v>0</v>
      </c>
      <c r="S1414">
        <v>0.71</v>
      </c>
      <c r="AA1414">
        <v>-1.43</v>
      </c>
      <c r="AB1414" t="s">
        <v>3469</v>
      </c>
      <c r="AC1414" t="s">
        <v>17160</v>
      </c>
      <c r="AI1414" t="s">
        <v>6361</v>
      </c>
      <c r="AJ1414" t="s">
        <v>164</v>
      </c>
      <c r="AK1414" t="s">
        <v>1887</v>
      </c>
      <c r="AL1414">
        <v>26.39</v>
      </c>
      <c r="AM1414">
        <v>26.39</v>
      </c>
      <c r="AN1414">
        <v>0.16</v>
      </c>
      <c r="AR1414" t="s">
        <v>7388</v>
      </c>
      <c r="AS1414" t="s">
        <v>80</v>
      </c>
      <c r="AT1414" t="s">
        <v>4507</v>
      </c>
      <c r="AU1414" t="s">
        <v>2215</v>
      </c>
      <c r="AV1414" t="s">
        <v>1960</v>
      </c>
      <c r="AW1414" t="s">
        <v>14948</v>
      </c>
      <c r="AX1414" t="s">
        <v>892</v>
      </c>
      <c r="AY1414" t="s">
        <v>14948</v>
      </c>
      <c r="AZ1414" t="s">
        <v>3763</v>
      </c>
      <c r="BA1414">
        <v>3</v>
      </c>
      <c r="BB1414">
        <v>712.43</v>
      </c>
      <c r="BC1414">
        <v>0</v>
      </c>
      <c r="BD1414">
        <v>2.09</v>
      </c>
      <c r="BE1414">
        <v>2.09</v>
      </c>
      <c r="BF1414">
        <v>2.09</v>
      </c>
      <c r="BG1414" t="s">
        <v>17161</v>
      </c>
      <c r="BH1414" t="s">
        <v>17162</v>
      </c>
      <c r="BI1414" t="s">
        <v>3763</v>
      </c>
      <c r="BJ1414" t="s">
        <v>101</v>
      </c>
      <c r="BK1414" t="s">
        <v>3857</v>
      </c>
      <c r="BL1414" t="s">
        <v>17163</v>
      </c>
      <c r="BM1414" t="s">
        <v>7902</v>
      </c>
      <c r="BN1414" t="s">
        <v>14623</v>
      </c>
    </row>
    <row r="1415" spans="1:66" x14ac:dyDescent="0.25">
      <c r="A1415" t="str">
        <f>HYPERLINK("https://elite.finviz.com/quote.ashx?t=INLX&amp;ty=c&amp;p=d&amp;b=1", "INLX")</f>
        <v>INLX</v>
      </c>
      <c r="B1415">
        <v>6</v>
      </c>
      <c r="C1415">
        <v>127.03</v>
      </c>
      <c r="D1415">
        <v>51.29</v>
      </c>
      <c r="E1415" t="s">
        <v>17164</v>
      </c>
      <c r="F1415" t="s">
        <v>107</v>
      </c>
      <c r="G1415" t="s">
        <v>108</v>
      </c>
      <c r="H1415" t="s">
        <v>136</v>
      </c>
      <c r="I1415" t="s">
        <v>70</v>
      </c>
      <c r="J1415" t="s">
        <v>383</v>
      </c>
      <c r="K1415">
        <v>53.58</v>
      </c>
      <c r="L1415">
        <v>11.76</v>
      </c>
      <c r="M1415" t="s">
        <v>1083</v>
      </c>
      <c r="N1415">
        <v>1</v>
      </c>
      <c r="R1415">
        <v>3.13</v>
      </c>
      <c r="S1415">
        <v>4.55</v>
      </c>
      <c r="AA1415">
        <v>-0.41</v>
      </c>
      <c r="AC1415" t="s">
        <v>14014</v>
      </c>
      <c r="AE1415" t="s">
        <v>2617</v>
      </c>
      <c r="AF1415" t="s">
        <v>3939</v>
      </c>
      <c r="AG1415" t="s">
        <v>11144</v>
      </c>
      <c r="AH1415" t="s">
        <v>17165</v>
      </c>
      <c r="AI1415" t="s">
        <v>11283</v>
      </c>
      <c r="AJ1415" t="s">
        <v>6156</v>
      </c>
      <c r="AK1415" t="s">
        <v>3228</v>
      </c>
      <c r="AL1415">
        <v>0.98</v>
      </c>
      <c r="AM1415">
        <v>0.95</v>
      </c>
      <c r="AN1415">
        <v>0.16</v>
      </c>
      <c r="AO1415" t="s">
        <v>11956</v>
      </c>
      <c r="AP1415" t="s">
        <v>3502</v>
      </c>
      <c r="AQ1415" t="s">
        <v>11625</v>
      </c>
      <c r="AR1415" t="s">
        <v>6245</v>
      </c>
      <c r="AS1415" t="s">
        <v>4600</v>
      </c>
      <c r="AT1415" t="s">
        <v>1067</v>
      </c>
      <c r="AU1415" t="s">
        <v>5610</v>
      </c>
      <c r="AV1415" t="s">
        <v>1092</v>
      </c>
      <c r="AW1415" t="s">
        <v>16619</v>
      </c>
      <c r="AX1415" t="s">
        <v>13335</v>
      </c>
      <c r="AY1415" t="s">
        <v>17166</v>
      </c>
      <c r="AZ1415" t="s">
        <v>13335</v>
      </c>
      <c r="BA1415">
        <v>1</v>
      </c>
      <c r="BB1415">
        <v>2.1</v>
      </c>
      <c r="BC1415">
        <v>0</v>
      </c>
      <c r="BD1415">
        <v>11.74</v>
      </c>
      <c r="BE1415">
        <v>11.76</v>
      </c>
      <c r="BF1415">
        <v>11.76</v>
      </c>
      <c r="BG1415" t="s">
        <v>17167</v>
      </c>
      <c r="BH1415" t="s">
        <v>17168</v>
      </c>
      <c r="BI1415" t="s">
        <v>17169</v>
      </c>
      <c r="BJ1415" t="s">
        <v>101</v>
      </c>
      <c r="BK1415" t="s">
        <v>2514</v>
      </c>
      <c r="BL1415" t="s">
        <v>6127</v>
      </c>
      <c r="BM1415" t="s">
        <v>1562</v>
      </c>
      <c r="BN1415" t="s">
        <v>14623</v>
      </c>
    </row>
    <row r="1416" spans="1:66" x14ac:dyDescent="0.25">
      <c r="A1416" t="str">
        <f>HYPERLINK("https://elite.finviz.com/quote.ashx?t=SWKH&amp;ty=c&amp;p=d&amp;b=1", "SWKH")</f>
        <v>SWKH</v>
      </c>
      <c r="B1416">
        <v>6</v>
      </c>
      <c r="C1416">
        <v>127.03</v>
      </c>
      <c r="D1416">
        <v>51.29</v>
      </c>
      <c r="E1416" t="s">
        <v>17170</v>
      </c>
      <c r="F1416" t="s">
        <v>67</v>
      </c>
      <c r="G1416" t="s">
        <v>550</v>
      </c>
      <c r="H1416" t="s">
        <v>2597</v>
      </c>
      <c r="I1416" t="s">
        <v>70</v>
      </c>
      <c r="J1416" t="s">
        <v>321</v>
      </c>
      <c r="K1416">
        <v>177.84</v>
      </c>
      <c r="L1416">
        <v>14.64</v>
      </c>
      <c r="M1416" t="s">
        <v>2734</v>
      </c>
      <c r="N1416">
        <v>719</v>
      </c>
      <c r="O1416">
        <v>10.34</v>
      </c>
      <c r="P1416">
        <v>10.78</v>
      </c>
      <c r="R1416">
        <v>3.92</v>
      </c>
      <c r="S1416">
        <v>0.72</v>
      </c>
      <c r="V1416" t="s">
        <v>17171</v>
      </c>
      <c r="Z1416" t="s">
        <v>164</v>
      </c>
      <c r="AA1416">
        <v>1.42</v>
      </c>
      <c r="AB1416" t="s">
        <v>17172</v>
      </c>
      <c r="AC1416" t="s">
        <v>7915</v>
      </c>
      <c r="AE1416" t="s">
        <v>1254</v>
      </c>
      <c r="AF1416" t="s">
        <v>10713</v>
      </c>
      <c r="AG1416" t="s">
        <v>4518</v>
      </c>
      <c r="AH1416" t="s">
        <v>2747</v>
      </c>
      <c r="AI1416" t="s">
        <v>3032</v>
      </c>
      <c r="AJ1416" t="s">
        <v>164</v>
      </c>
      <c r="AK1416" t="s">
        <v>17173</v>
      </c>
      <c r="AL1416">
        <v>3.17</v>
      </c>
      <c r="AM1416">
        <v>3.17</v>
      </c>
      <c r="AN1416">
        <v>0.13</v>
      </c>
      <c r="AO1416" t="s">
        <v>17174</v>
      </c>
      <c r="AP1416" t="s">
        <v>17175</v>
      </c>
      <c r="AQ1416" t="s">
        <v>17176</v>
      </c>
      <c r="AR1416" t="s">
        <v>2759</v>
      </c>
      <c r="AS1416" t="s">
        <v>5610</v>
      </c>
      <c r="AT1416" t="s">
        <v>1547</v>
      </c>
      <c r="AU1416" t="s">
        <v>2203</v>
      </c>
      <c r="AV1416" t="s">
        <v>2385</v>
      </c>
      <c r="AW1416" t="s">
        <v>4396</v>
      </c>
      <c r="AX1416" t="s">
        <v>3958</v>
      </c>
      <c r="AY1416" t="s">
        <v>8831</v>
      </c>
      <c r="AZ1416" t="s">
        <v>1007</v>
      </c>
      <c r="BA1416">
        <v>1</v>
      </c>
      <c r="BB1416">
        <v>12.26</v>
      </c>
      <c r="BC1416">
        <v>0.21</v>
      </c>
      <c r="BD1416">
        <v>14.52</v>
      </c>
      <c r="BE1416">
        <v>14.52</v>
      </c>
      <c r="BF1416">
        <v>14.52</v>
      </c>
      <c r="BG1416" t="s">
        <v>17177</v>
      </c>
      <c r="BH1416" t="s">
        <v>17178</v>
      </c>
      <c r="BI1416" t="s">
        <v>17179</v>
      </c>
      <c r="BJ1416" t="s">
        <v>101</v>
      </c>
      <c r="BK1416" t="s">
        <v>11253</v>
      </c>
      <c r="BL1416" t="s">
        <v>4995</v>
      </c>
      <c r="BM1416" t="s">
        <v>5700</v>
      </c>
      <c r="BN1416" t="s">
        <v>14623</v>
      </c>
    </row>
    <row r="1417" spans="1:66" x14ac:dyDescent="0.25">
      <c r="A1417" t="str">
        <f>HYPERLINK("https://elite.finviz.com/quote.ashx?t=OGEN&amp;ty=c&amp;p=d&amp;b=1", "OGEN")</f>
        <v>OGEN</v>
      </c>
      <c r="B1417">
        <v>6</v>
      </c>
      <c r="C1417">
        <v>127.03</v>
      </c>
      <c r="D1417">
        <v>51.32</v>
      </c>
      <c r="E1417" t="s">
        <v>17180</v>
      </c>
      <c r="F1417" t="s">
        <v>107</v>
      </c>
      <c r="G1417" t="s">
        <v>428</v>
      </c>
      <c r="H1417" t="s">
        <v>429</v>
      </c>
      <c r="I1417" t="s">
        <v>70</v>
      </c>
      <c r="J1417" t="s">
        <v>383</v>
      </c>
      <c r="K1417">
        <v>5.22</v>
      </c>
      <c r="L1417">
        <v>1.26</v>
      </c>
      <c r="M1417" t="s">
        <v>655</v>
      </c>
      <c r="N1417">
        <v>11518</v>
      </c>
      <c r="AA1417">
        <v>-26.07</v>
      </c>
      <c r="AB1417" t="s">
        <v>17181</v>
      </c>
      <c r="AC1417" t="s">
        <v>10436</v>
      </c>
      <c r="AD1417" t="s">
        <v>13321</v>
      </c>
      <c r="AE1417" t="s">
        <v>579</v>
      </c>
      <c r="AI1417" t="s">
        <v>6398</v>
      </c>
      <c r="AJ1417" t="s">
        <v>2577</v>
      </c>
      <c r="AK1417" t="s">
        <v>1560</v>
      </c>
      <c r="AL1417">
        <v>0.5</v>
      </c>
      <c r="AM1417">
        <v>0.5</v>
      </c>
      <c r="AR1417" t="s">
        <v>191</v>
      </c>
      <c r="AS1417" t="s">
        <v>6075</v>
      </c>
      <c r="AT1417" t="s">
        <v>351</v>
      </c>
      <c r="AU1417" t="s">
        <v>4795</v>
      </c>
      <c r="AV1417" t="s">
        <v>17182</v>
      </c>
      <c r="AW1417" t="s">
        <v>10847</v>
      </c>
      <c r="AX1417" t="s">
        <v>1034</v>
      </c>
      <c r="AY1417" t="s">
        <v>17183</v>
      </c>
      <c r="AZ1417" t="s">
        <v>1034</v>
      </c>
      <c r="BA1417">
        <v>1</v>
      </c>
      <c r="BB1417">
        <v>499.23</v>
      </c>
      <c r="BC1417">
        <v>0.08</v>
      </c>
      <c r="BD1417">
        <v>1.28</v>
      </c>
      <c r="BE1417">
        <v>1.27</v>
      </c>
      <c r="BF1417">
        <v>1.26</v>
      </c>
      <c r="BG1417" t="s">
        <v>17184</v>
      </c>
      <c r="BH1417" t="s">
        <v>579</v>
      </c>
      <c r="BI1417" t="s">
        <v>1034</v>
      </c>
      <c r="BJ1417" t="s">
        <v>101</v>
      </c>
      <c r="BK1417" t="s">
        <v>17185</v>
      </c>
      <c r="BL1417" t="s">
        <v>17186</v>
      </c>
      <c r="BM1417" t="s">
        <v>17187</v>
      </c>
      <c r="BN1417" t="s">
        <v>14623</v>
      </c>
    </row>
    <row r="1418" spans="1:66" x14ac:dyDescent="0.25">
      <c r="A1418" t="str">
        <f>HYPERLINK("https://elite.finviz.com/quote.ashx?t=CCRD&amp;ty=c&amp;p=d&amp;b=1", "CCRD")</f>
        <v>CCRD</v>
      </c>
      <c r="B1418">
        <v>6</v>
      </c>
      <c r="C1418">
        <v>127.03</v>
      </c>
      <c r="D1418">
        <v>51.32</v>
      </c>
      <c r="E1418" t="s">
        <v>17188</v>
      </c>
      <c r="F1418" t="s">
        <v>67</v>
      </c>
      <c r="G1418" t="s">
        <v>108</v>
      </c>
      <c r="H1418" t="s">
        <v>136</v>
      </c>
      <c r="I1418" t="s">
        <v>70</v>
      </c>
      <c r="J1418" t="s">
        <v>71</v>
      </c>
      <c r="K1418">
        <v>213.36</v>
      </c>
      <c r="L1418">
        <v>27.38</v>
      </c>
      <c r="M1418" t="s">
        <v>5380</v>
      </c>
      <c r="N1418">
        <v>1487</v>
      </c>
      <c r="O1418">
        <v>27.55</v>
      </c>
      <c r="P1418">
        <v>20.28</v>
      </c>
      <c r="R1418">
        <v>3.29</v>
      </c>
      <c r="S1418">
        <v>3.79</v>
      </c>
      <c r="Z1418" t="s">
        <v>164</v>
      </c>
      <c r="AA1418">
        <v>0.99</v>
      </c>
      <c r="AB1418" t="s">
        <v>4899</v>
      </c>
      <c r="AC1418" t="s">
        <v>5123</v>
      </c>
      <c r="AE1418" t="s">
        <v>1701</v>
      </c>
      <c r="AF1418" t="s">
        <v>1496</v>
      </c>
      <c r="AG1418" t="s">
        <v>6928</v>
      </c>
      <c r="AH1418" t="s">
        <v>17189</v>
      </c>
      <c r="AI1418" t="s">
        <v>15086</v>
      </c>
      <c r="AJ1418" t="s">
        <v>164</v>
      </c>
      <c r="AK1418" t="s">
        <v>7658</v>
      </c>
      <c r="AL1418">
        <v>4.29</v>
      </c>
      <c r="AM1418">
        <v>4.29</v>
      </c>
      <c r="AN1418">
        <v>0.06</v>
      </c>
      <c r="AO1418" t="s">
        <v>1397</v>
      </c>
      <c r="AP1418" t="s">
        <v>874</v>
      </c>
      <c r="AQ1418" t="s">
        <v>10577</v>
      </c>
      <c r="AR1418" t="s">
        <v>6975</v>
      </c>
      <c r="AS1418" t="s">
        <v>2430</v>
      </c>
      <c r="AT1418" t="s">
        <v>969</v>
      </c>
      <c r="AU1418" t="s">
        <v>629</v>
      </c>
      <c r="AV1418" t="s">
        <v>4390</v>
      </c>
      <c r="AW1418" t="s">
        <v>357</v>
      </c>
      <c r="AX1418" t="s">
        <v>6462</v>
      </c>
      <c r="AY1418" t="s">
        <v>6373</v>
      </c>
      <c r="AZ1418" t="s">
        <v>17190</v>
      </c>
      <c r="BA1418">
        <v>3</v>
      </c>
      <c r="BB1418">
        <v>88.58</v>
      </c>
      <c r="BC1418">
        <v>0.06</v>
      </c>
      <c r="BD1418">
        <v>27.06</v>
      </c>
      <c r="BE1418">
        <v>27.22</v>
      </c>
      <c r="BF1418">
        <v>27.2</v>
      </c>
      <c r="BG1418" t="s">
        <v>17191</v>
      </c>
      <c r="BH1418" t="s">
        <v>17192</v>
      </c>
      <c r="BI1418" t="s">
        <v>17193</v>
      </c>
      <c r="BJ1418" t="s">
        <v>101</v>
      </c>
      <c r="BK1418" t="s">
        <v>4257</v>
      </c>
      <c r="BL1418" t="s">
        <v>8832</v>
      </c>
      <c r="BM1418" t="s">
        <v>17194</v>
      </c>
      <c r="BN1418" t="s">
        <v>14623</v>
      </c>
    </row>
    <row r="1419" spans="1:66" x14ac:dyDescent="0.25">
      <c r="A1419" t="str">
        <f>HYPERLINK("https://elite.finviz.com/quote.ashx?t=HSDT&amp;ty=c&amp;p=d&amp;b=1", "HSDT")</f>
        <v>HSDT</v>
      </c>
      <c r="B1419">
        <v>6</v>
      </c>
      <c r="C1419">
        <v>127.03</v>
      </c>
      <c r="D1419">
        <v>51.34</v>
      </c>
      <c r="E1419" t="s">
        <v>17195</v>
      </c>
      <c r="F1419" t="s">
        <v>107</v>
      </c>
      <c r="G1419" t="s">
        <v>428</v>
      </c>
      <c r="H1419" t="s">
        <v>2051</v>
      </c>
      <c r="I1419" t="s">
        <v>70</v>
      </c>
      <c r="J1419" t="s">
        <v>321</v>
      </c>
      <c r="K1419">
        <v>14.71</v>
      </c>
      <c r="L1419">
        <v>13.66</v>
      </c>
      <c r="M1419" t="s">
        <v>6127</v>
      </c>
      <c r="N1419">
        <v>231996</v>
      </c>
      <c r="R1419">
        <v>50.73</v>
      </c>
      <c r="S1419">
        <v>1.54</v>
      </c>
      <c r="AA1419">
        <v>-1989.92</v>
      </c>
      <c r="AB1419" t="s">
        <v>14824</v>
      </c>
      <c r="AC1419" t="s">
        <v>17196</v>
      </c>
      <c r="AE1419" t="s">
        <v>17197</v>
      </c>
      <c r="AF1419" t="s">
        <v>1842</v>
      </c>
      <c r="AG1419" t="s">
        <v>11587</v>
      </c>
      <c r="AH1419" t="s">
        <v>17198</v>
      </c>
      <c r="AI1419" t="s">
        <v>14650</v>
      </c>
      <c r="AJ1419" t="s">
        <v>164</v>
      </c>
      <c r="AK1419" t="s">
        <v>1279</v>
      </c>
      <c r="AL1419">
        <v>4.32</v>
      </c>
      <c r="AM1419">
        <v>3.69</v>
      </c>
      <c r="AN1419">
        <v>0</v>
      </c>
      <c r="AO1419" t="s">
        <v>17199</v>
      </c>
      <c r="AP1419" t="s">
        <v>17200</v>
      </c>
      <c r="AQ1419" t="s">
        <v>17201</v>
      </c>
      <c r="AR1419" t="s">
        <v>3514</v>
      </c>
      <c r="AS1419" t="s">
        <v>4941</v>
      </c>
      <c r="AT1419" t="s">
        <v>2010</v>
      </c>
      <c r="AU1419" t="s">
        <v>17072</v>
      </c>
      <c r="AV1419" t="s">
        <v>17202</v>
      </c>
      <c r="AW1419" t="s">
        <v>16315</v>
      </c>
      <c r="AX1419" t="s">
        <v>17203</v>
      </c>
      <c r="AY1419" t="s">
        <v>17204</v>
      </c>
      <c r="AZ1419" t="s">
        <v>17203</v>
      </c>
      <c r="BA1419">
        <v>1</v>
      </c>
      <c r="BB1419">
        <v>776.78</v>
      </c>
      <c r="BC1419">
        <v>1.05</v>
      </c>
      <c r="BD1419">
        <v>13.88</v>
      </c>
      <c r="BE1419">
        <v>14.04</v>
      </c>
      <c r="BF1419">
        <v>12.71</v>
      </c>
      <c r="BG1419" t="s">
        <v>17205</v>
      </c>
      <c r="BH1419" t="s">
        <v>579</v>
      </c>
      <c r="BI1419" t="s">
        <v>17203</v>
      </c>
      <c r="BJ1419" t="s">
        <v>101</v>
      </c>
      <c r="BK1419" t="s">
        <v>17206</v>
      </c>
      <c r="BL1419" t="s">
        <v>14727</v>
      </c>
      <c r="BM1419" t="s">
        <v>17207</v>
      </c>
      <c r="BN1419" t="s">
        <v>14623</v>
      </c>
    </row>
    <row r="1420" spans="1:66" x14ac:dyDescent="0.25">
      <c r="A1420" t="str">
        <f>HYPERLINK("https://elite.finviz.com/quote.ashx?t=SKYE&amp;ty=c&amp;p=d&amp;b=1", "SKYE")</f>
        <v>SKYE</v>
      </c>
      <c r="B1420">
        <v>6</v>
      </c>
      <c r="C1420">
        <v>127.03</v>
      </c>
      <c r="D1420">
        <v>51.36</v>
      </c>
      <c r="E1420" t="s">
        <v>17208</v>
      </c>
      <c r="F1420" t="s">
        <v>107</v>
      </c>
      <c r="G1420" t="s">
        <v>428</v>
      </c>
      <c r="H1420" t="s">
        <v>429</v>
      </c>
      <c r="I1420" t="s">
        <v>70</v>
      </c>
      <c r="J1420" t="s">
        <v>321</v>
      </c>
      <c r="K1420">
        <v>118.38</v>
      </c>
      <c r="L1420">
        <v>3.82</v>
      </c>
      <c r="M1420" t="s">
        <v>5455</v>
      </c>
      <c r="N1420">
        <v>158241</v>
      </c>
      <c r="S1420">
        <v>2.71</v>
      </c>
      <c r="AA1420">
        <v>-1.07</v>
      </c>
      <c r="AB1420" t="s">
        <v>17209</v>
      </c>
      <c r="AC1420" t="s">
        <v>12573</v>
      </c>
      <c r="AI1420" t="s">
        <v>11041</v>
      </c>
      <c r="AJ1420" t="s">
        <v>2204</v>
      </c>
      <c r="AK1420" t="s">
        <v>7478</v>
      </c>
      <c r="AL1420">
        <v>6.09</v>
      </c>
      <c r="AM1420">
        <v>6.09</v>
      </c>
      <c r="AN1420">
        <v>0.01</v>
      </c>
      <c r="AR1420" t="s">
        <v>6674</v>
      </c>
      <c r="AS1420" t="s">
        <v>3982</v>
      </c>
      <c r="AT1420" t="s">
        <v>4065</v>
      </c>
      <c r="AU1420" t="s">
        <v>2356</v>
      </c>
      <c r="AV1420" t="s">
        <v>12603</v>
      </c>
      <c r="AW1420" t="s">
        <v>9199</v>
      </c>
      <c r="AX1420" t="s">
        <v>9877</v>
      </c>
      <c r="AY1420" t="s">
        <v>17210</v>
      </c>
      <c r="AZ1420" t="s">
        <v>17211</v>
      </c>
      <c r="BA1420">
        <v>1</v>
      </c>
      <c r="BB1420">
        <v>578.73</v>
      </c>
      <c r="BC1420">
        <v>0.96</v>
      </c>
      <c r="BD1420">
        <v>3.6</v>
      </c>
      <c r="BE1420">
        <v>3.82</v>
      </c>
      <c r="BF1420">
        <v>3.51</v>
      </c>
      <c r="BG1420" t="s">
        <v>17212</v>
      </c>
      <c r="BH1420" t="s">
        <v>3590</v>
      </c>
      <c r="BI1420" t="s">
        <v>17211</v>
      </c>
      <c r="BJ1420" t="s">
        <v>101</v>
      </c>
      <c r="BK1420" t="s">
        <v>11795</v>
      </c>
      <c r="BL1420" t="s">
        <v>17213</v>
      </c>
      <c r="BM1420" t="s">
        <v>5264</v>
      </c>
      <c r="BN1420" t="s">
        <v>14623</v>
      </c>
    </row>
    <row r="1421" spans="1:66" x14ac:dyDescent="0.25">
      <c r="A1421" t="str">
        <f>HYPERLINK("https://elite.finviz.com/quote.ashx?t=ACRE&amp;ty=c&amp;p=d&amp;b=1", "ACRE")</f>
        <v>ACRE</v>
      </c>
      <c r="B1421">
        <v>6</v>
      </c>
      <c r="C1421">
        <v>127.03</v>
      </c>
      <c r="D1421">
        <v>51.36</v>
      </c>
      <c r="E1421" t="s">
        <v>17214</v>
      </c>
      <c r="F1421" t="s">
        <v>67</v>
      </c>
      <c r="G1421" t="s">
        <v>68</v>
      </c>
      <c r="H1421" t="s">
        <v>5566</v>
      </c>
      <c r="I1421" t="s">
        <v>70</v>
      </c>
      <c r="J1421" t="s">
        <v>71</v>
      </c>
      <c r="K1421">
        <v>262.2</v>
      </c>
      <c r="L1421">
        <v>4.7699999999999996</v>
      </c>
      <c r="M1421" t="s">
        <v>141</v>
      </c>
      <c r="N1421">
        <v>63511</v>
      </c>
      <c r="P1421">
        <v>176.35</v>
      </c>
      <c r="R1421">
        <v>2.88</v>
      </c>
      <c r="S1421">
        <v>0.5</v>
      </c>
      <c r="T1421" t="s">
        <v>10812</v>
      </c>
      <c r="U1421">
        <v>0.8</v>
      </c>
      <c r="V1421" t="s">
        <v>198</v>
      </c>
      <c r="W1421" t="s">
        <v>8145</v>
      </c>
      <c r="X1421" t="s">
        <v>4045</v>
      </c>
      <c r="Y1421" t="s">
        <v>7964</v>
      </c>
      <c r="AA1421">
        <v>-0.34</v>
      </c>
      <c r="AE1421" t="s">
        <v>17215</v>
      </c>
      <c r="AF1421" t="s">
        <v>16318</v>
      </c>
      <c r="AG1421" t="s">
        <v>6195</v>
      </c>
      <c r="AH1421" t="s">
        <v>17216</v>
      </c>
      <c r="AI1421" t="s">
        <v>17217</v>
      </c>
      <c r="AJ1421" t="s">
        <v>164</v>
      </c>
      <c r="AK1421" t="s">
        <v>13798</v>
      </c>
      <c r="AL1421">
        <v>0.57999999999999996</v>
      </c>
      <c r="AM1421">
        <v>0.57999999999999996</v>
      </c>
      <c r="AN1421">
        <v>1.7</v>
      </c>
      <c r="AO1421" t="s">
        <v>14533</v>
      </c>
      <c r="AP1421" t="s">
        <v>17218</v>
      </c>
      <c r="AQ1421" t="s">
        <v>2914</v>
      </c>
      <c r="AR1421" t="s">
        <v>2186</v>
      </c>
      <c r="AS1421" t="s">
        <v>715</v>
      </c>
      <c r="AT1421" t="s">
        <v>3831</v>
      </c>
      <c r="AU1421" t="s">
        <v>4916</v>
      </c>
      <c r="AV1421" t="s">
        <v>4222</v>
      </c>
      <c r="AW1421" t="s">
        <v>4317</v>
      </c>
      <c r="AX1421" t="s">
        <v>3451</v>
      </c>
      <c r="AY1421" t="s">
        <v>11453</v>
      </c>
      <c r="AZ1421" t="s">
        <v>12647</v>
      </c>
      <c r="BA1421">
        <v>3.43</v>
      </c>
      <c r="BB1421">
        <v>429.49</v>
      </c>
      <c r="BC1421">
        <v>0.52</v>
      </c>
      <c r="BD1421">
        <v>4.75</v>
      </c>
      <c r="BE1421">
        <v>4.83</v>
      </c>
      <c r="BF1421">
        <v>4.76</v>
      </c>
      <c r="BG1421" t="s">
        <v>17219</v>
      </c>
      <c r="BH1421" t="s">
        <v>6849</v>
      </c>
      <c r="BI1421" t="s">
        <v>10497</v>
      </c>
      <c r="BJ1421" t="s">
        <v>101</v>
      </c>
      <c r="BK1421" t="s">
        <v>2149</v>
      </c>
      <c r="BL1421" t="s">
        <v>4703</v>
      </c>
      <c r="BM1421" t="s">
        <v>17220</v>
      </c>
      <c r="BN1421" t="s">
        <v>14623</v>
      </c>
    </row>
    <row r="1422" spans="1:66" x14ac:dyDescent="0.25">
      <c r="A1422" t="str">
        <f>HYPERLINK("https://elite.finviz.com/quote.ashx?t=NEOV&amp;ty=c&amp;p=d&amp;b=1", "NEOV")</f>
        <v>NEOV</v>
      </c>
      <c r="B1422">
        <v>6</v>
      </c>
      <c r="C1422">
        <v>127.03</v>
      </c>
      <c r="D1422">
        <v>51.38</v>
      </c>
      <c r="E1422" t="s">
        <v>17221</v>
      </c>
      <c r="F1422" t="s">
        <v>107</v>
      </c>
      <c r="G1422" t="s">
        <v>260</v>
      </c>
      <c r="H1422" t="s">
        <v>1128</v>
      </c>
      <c r="I1422" t="s">
        <v>70</v>
      </c>
      <c r="J1422" t="s">
        <v>321</v>
      </c>
      <c r="K1422">
        <v>163.12</v>
      </c>
      <c r="L1422">
        <v>4.78</v>
      </c>
      <c r="M1422" t="s">
        <v>1373</v>
      </c>
      <c r="N1422">
        <v>84749</v>
      </c>
      <c r="R1422">
        <v>38.29</v>
      </c>
      <c r="S1422">
        <v>42.63</v>
      </c>
      <c r="AA1422">
        <v>-0.12</v>
      </c>
      <c r="AB1422" t="s">
        <v>17222</v>
      </c>
      <c r="AC1422" t="s">
        <v>11039</v>
      </c>
      <c r="AE1422" t="s">
        <v>17223</v>
      </c>
      <c r="AF1422" t="s">
        <v>9068</v>
      </c>
      <c r="AH1422" t="s">
        <v>17224</v>
      </c>
      <c r="AI1422" t="s">
        <v>164</v>
      </c>
      <c r="AJ1422" t="s">
        <v>164</v>
      </c>
      <c r="AK1422" t="s">
        <v>13206</v>
      </c>
      <c r="AL1422">
        <v>3.8</v>
      </c>
      <c r="AM1422">
        <v>2.29</v>
      </c>
      <c r="AN1422">
        <v>0.47</v>
      </c>
      <c r="AO1422" t="s">
        <v>12761</v>
      </c>
      <c r="AP1422" t="s">
        <v>17225</v>
      </c>
      <c r="AQ1422" t="s">
        <v>17226</v>
      </c>
      <c r="AR1422" t="s">
        <v>1822</v>
      </c>
      <c r="AS1422" t="s">
        <v>2053</v>
      </c>
      <c r="AT1422" t="s">
        <v>4916</v>
      </c>
      <c r="AU1422" t="s">
        <v>3057</v>
      </c>
      <c r="AV1422" t="s">
        <v>17227</v>
      </c>
      <c r="AW1422" t="s">
        <v>17228</v>
      </c>
      <c r="AX1422" t="s">
        <v>6079</v>
      </c>
      <c r="AY1422" t="s">
        <v>7424</v>
      </c>
      <c r="AZ1422" t="s">
        <v>17229</v>
      </c>
      <c r="BA1422">
        <v>1</v>
      </c>
      <c r="BB1422">
        <v>271.99</v>
      </c>
      <c r="BC1422">
        <v>1.1100000000000001</v>
      </c>
      <c r="BD1422">
        <v>4.9800000000000004</v>
      </c>
      <c r="BE1422">
        <v>5.0999999999999996</v>
      </c>
      <c r="BF1422">
        <v>4.67</v>
      </c>
      <c r="BG1422" t="s">
        <v>17230</v>
      </c>
      <c r="BH1422" t="s">
        <v>9403</v>
      </c>
      <c r="BI1422" t="s">
        <v>17231</v>
      </c>
      <c r="BJ1422" t="s">
        <v>101</v>
      </c>
      <c r="BK1422" t="s">
        <v>220</v>
      </c>
      <c r="BL1422" t="s">
        <v>17232</v>
      </c>
      <c r="BM1422" t="s">
        <v>7222</v>
      </c>
      <c r="BN1422" t="s">
        <v>14623</v>
      </c>
    </row>
    <row r="1423" spans="1:66" x14ac:dyDescent="0.25">
      <c r="A1423" t="str">
        <f>HYPERLINK("https://elite.finviz.com/quote.ashx?t=RYTM&amp;ty=c&amp;p=d&amp;b=1", "RYTM")</f>
        <v>RYTM</v>
      </c>
      <c r="B1423">
        <v>6</v>
      </c>
      <c r="C1423">
        <v>127.03</v>
      </c>
      <c r="D1423">
        <v>51.4</v>
      </c>
      <c r="E1423" t="s">
        <v>17233</v>
      </c>
      <c r="F1423" t="s">
        <v>67</v>
      </c>
      <c r="G1423" t="s">
        <v>428</v>
      </c>
      <c r="H1423" t="s">
        <v>429</v>
      </c>
      <c r="I1423" t="s">
        <v>70</v>
      </c>
      <c r="J1423" t="s">
        <v>321</v>
      </c>
      <c r="K1423">
        <v>6524.45</v>
      </c>
      <c r="L1423">
        <v>98.23</v>
      </c>
      <c r="M1423" t="s">
        <v>3027</v>
      </c>
      <c r="N1423">
        <v>60638</v>
      </c>
      <c r="R1423">
        <v>41.75</v>
      </c>
      <c r="AA1423">
        <v>-3.02</v>
      </c>
      <c r="AB1423" t="s">
        <v>8656</v>
      </c>
      <c r="AC1423" t="s">
        <v>5809</v>
      </c>
      <c r="AE1423" t="s">
        <v>1478</v>
      </c>
      <c r="AF1423" t="s">
        <v>17234</v>
      </c>
      <c r="AH1423" t="s">
        <v>17235</v>
      </c>
      <c r="AI1423" t="s">
        <v>332</v>
      </c>
      <c r="AJ1423" t="s">
        <v>5880</v>
      </c>
      <c r="AK1423" t="s">
        <v>17236</v>
      </c>
      <c r="AL1423">
        <v>2.79</v>
      </c>
      <c r="AM1423">
        <v>2.64</v>
      </c>
      <c r="AO1423" t="s">
        <v>13685</v>
      </c>
      <c r="AP1423" t="s">
        <v>17237</v>
      </c>
      <c r="AQ1423" t="s">
        <v>17238</v>
      </c>
      <c r="AR1423" t="s">
        <v>2494</v>
      </c>
      <c r="AS1423" t="s">
        <v>7484</v>
      </c>
      <c r="AT1423" t="s">
        <v>7646</v>
      </c>
      <c r="AU1423" t="s">
        <v>89</v>
      </c>
      <c r="AV1423" t="s">
        <v>6565</v>
      </c>
      <c r="AW1423" t="s">
        <v>2393</v>
      </c>
      <c r="AX1423" t="s">
        <v>15034</v>
      </c>
      <c r="AY1423" t="s">
        <v>2393</v>
      </c>
      <c r="AZ1423" t="s">
        <v>17239</v>
      </c>
      <c r="BA1423">
        <v>1.1299999999999999</v>
      </c>
      <c r="BB1423">
        <v>735.97</v>
      </c>
      <c r="BC1423">
        <v>0.28999999999999998</v>
      </c>
      <c r="BD1423">
        <v>99.14</v>
      </c>
      <c r="BE1423">
        <v>100</v>
      </c>
      <c r="BF1423">
        <v>97.74</v>
      </c>
      <c r="BG1423" t="s">
        <v>17240</v>
      </c>
      <c r="BH1423" t="s">
        <v>2393</v>
      </c>
      <c r="BI1423" t="s">
        <v>17241</v>
      </c>
      <c r="BJ1423" t="s">
        <v>101</v>
      </c>
      <c r="BK1423" t="s">
        <v>2803</v>
      </c>
      <c r="BL1423" t="s">
        <v>5505</v>
      </c>
      <c r="BM1423" t="s">
        <v>16108</v>
      </c>
      <c r="BN1423" t="s">
        <v>14623</v>
      </c>
    </row>
    <row r="1424" spans="1:66" x14ac:dyDescent="0.25">
      <c r="A1424" t="str">
        <f>HYPERLINK("https://elite.finviz.com/quote.ashx?t=AVB&amp;ty=c&amp;p=d&amp;b=1", "AVB")</f>
        <v>AVB</v>
      </c>
      <c r="B1424">
        <v>6</v>
      </c>
      <c r="C1424">
        <v>127.03</v>
      </c>
      <c r="D1424">
        <v>51.41</v>
      </c>
      <c r="E1424" t="s">
        <v>17242</v>
      </c>
      <c r="F1424" t="s">
        <v>195</v>
      </c>
      <c r="G1424" t="s">
        <v>68</v>
      </c>
      <c r="H1424" t="s">
        <v>5671</v>
      </c>
      <c r="I1424" t="s">
        <v>70</v>
      </c>
      <c r="J1424" t="s">
        <v>71</v>
      </c>
      <c r="K1424">
        <v>27602.37</v>
      </c>
      <c r="L1424">
        <v>193.86</v>
      </c>
      <c r="M1424" t="s">
        <v>1417</v>
      </c>
      <c r="N1424">
        <v>78467</v>
      </c>
      <c r="O1424">
        <v>23.84</v>
      </c>
      <c r="P1424">
        <v>33.85</v>
      </c>
      <c r="R1424">
        <v>9.1199999999999992</v>
      </c>
      <c r="S1424">
        <v>2.31</v>
      </c>
      <c r="T1424" t="s">
        <v>1088</v>
      </c>
      <c r="U1424">
        <v>6.54</v>
      </c>
      <c r="V1424" t="s">
        <v>198</v>
      </c>
      <c r="W1424" t="s">
        <v>2735</v>
      </c>
      <c r="X1424" t="s">
        <v>8016</v>
      </c>
      <c r="Y1424" t="s">
        <v>1599</v>
      </c>
      <c r="Z1424" t="s">
        <v>17243</v>
      </c>
      <c r="AA1424">
        <v>8.1300000000000008</v>
      </c>
      <c r="AB1424" t="s">
        <v>3118</v>
      </c>
      <c r="AC1424" t="s">
        <v>3530</v>
      </c>
      <c r="AD1424" t="s">
        <v>14915</v>
      </c>
      <c r="AE1424" t="s">
        <v>1474</v>
      </c>
      <c r="AF1424" t="s">
        <v>1889</v>
      </c>
      <c r="AG1424" t="s">
        <v>754</v>
      </c>
      <c r="AH1424" t="s">
        <v>995</v>
      </c>
      <c r="AI1424" t="s">
        <v>17244</v>
      </c>
      <c r="AJ1424" t="s">
        <v>8763</v>
      </c>
      <c r="AK1424" t="s">
        <v>2989</v>
      </c>
      <c r="AL1424">
        <v>0.81</v>
      </c>
      <c r="AM1424">
        <v>0.81</v>
      </c>
      <c r="AN1424">
        <v>0.74</v>
      </c>
      <c r="AO1424" t="s">
        <v>3689</v>
      </c>
      <c r="AP1424" t="s">
        <v>9327</v>
      </c>
      <c r="AQ1424" t="s">
        <v>16723</v>
      </c>
      <c r="AR1424" t="s">
        <v>3350</v>
      </c>
      <c r="AS1424" t="s">
        <v>907</v>
      </c>
      <c r="AT1424" t="s">
        <v>822</v>
      </c>
      <c r="AU1424" t="s">
        <v>1409</v>
      </c>
      <c r="AV1424" t="s">
        <v>703</v>
      </c>
      <c r="AW1424" t="s">
        <v>1929</v>
      </c>
      <c r="AX1424" t="s">
        <v>12450</v>
      </c>
      <c r="AY1424" t="s">
        <v>13220</v>
      </c>
      <c r="AZ1424" t="s">
        <v>7236</v>
      </c>
      <c r="BA1424">
        <v>2.17</v>
      </c>
      <c r="BB1424">
        <v>882.29</v>
      </c>
      <c r="BC1424">
        <v>0.31</v>
      </c>
      <c r="BD1424">
        <v>191.57</v>
      </c>
      <c r="BE1424">
        <v>194.52</v>
      </c>
      <c r="BF1424">
        <v>192.46</v>
      </c>
      <c r="BG1424" t="s">
        <v>17245</v>
      </c>
      <c r="BH1424" t="s">
        <v>17246</v>
      </c>
      <c r="BI1424" t="s">
        <v>17247</v>
      </c>
      <c r="BJ1424" t="s">
        <v>101</v>
      </c>
      <c r="BK1424" t="s">
        <v>5040</v>
      </c>
      <c r="BL1424" t="s">
        <v>15153</v>
      </c>
      <c r="BM1424" t="s">
        <v>11481</v>
      </c>
      <c r="BN1424" t="s">
        <v>14623</v>
      </c>
    </row>
    <row r="1425" spans="1:66" x14ac:dyDescent="0.25">
      <c r="A1425" t="str">
        <f>HYPERLINK("https://elite.finviz.com/quote.ashx?t=PLAB&amp;ty=c&amp;p=d&amp;b=1", "PLAB")</f>
        <v>PLAB</v>
      </c>
      <c r="B1425">
        <v>6</v>
      </c>
      <c r="C1425">
        <v>127.03</v>
      </c>
      <c r="D1425">
        <v>51.42</v>
      </c>
      <c r="E1425" t="s">
        <v>17248</v>
      </c>
      <c r="F1425" t="s">
        <v>67</v>
      </c>
      <c r="G1425" t="s">
        <v>108</v>
      </c>
      <c r="H1425" t="s">
        <v>2097</v>
      </c>
      <c r="I1425" t="s">
        <v>70</v>
      </c>
      <c r="J1425" t="s">
        <v>321</v>
      </c>
      <c r="K1425">
        <v>1366.55</v>
      </c>
      <c r="L1425">
        <v>23.16</v>
      </c>
      <c r="M1425" t="s">
        <v>7413</v>
      </c>
      <c r="N1425">
        <v>120886</v>
      </c>
      <c r="O1425">
        <v>13.12</v>
      </c>
      <c r="P1425">
        <v>11.54</v>
      </c>
      <c r="Q1425">
        <v>10.25</v>
      </c>
      <c r="R1425">
        <v>1.6</v>
      </c>
      <c r="S1425">
        <v>1.18</v>
      </c>
      <c r="Z1425" t="s">
        <v>164</v>
      </c>
      <c r="AA1425">
        <v>1.77</v>
      </c>
      <c r="AB1425" t="s">
        <v>5997</v>
      </c>
      <c r="AC1425" t="s">
        <v>5364</v>
      </c>
      <c r="AD1425" t="s">
        <v>5158</v>
      </c>
      <c r="AE1425" t="s">
        <v>4149</v>
      </c>
      <c r="AF1425" t="s">
        <v>11505</v>
      </c>
      <c r="AG1425" t="s">
        <v>3141</v>
      </c>
      <c r="AH1425" t="s">
        <v>4703</v>
      </c>
      <c r="AI1425" t="s">
        <v>1757</v>
      </c>
      <c r="AJ1425" t="s">
        <v>746</v>
      </c>
      <c r="AK1425" t="s">
        <v>9767</v>
      </c>
      <c r="AL1425">
        <v>4.99</v>
      </c>
      <c r="AM1425">
        <v>4.62</v>
      </c>
      <c r="AN1425">
        <v>0</v>
      </c>
      <c r="AO1425" t="s">
        <v>6385</v>
      </c>
      <c r="AP1425" t="s">
        <v>17249</v>
      </c>
      <c r="AQ1425" t="s">
        <v>5676</v>
      </c>
      <c r="AR1425" t="s">
        <v>2643</v>
      </c>
      <c r="AS1425" t="s">
        <v>4189</v>
      </c>
      <c r="AT1425" t="s">
        <v>2213</v>
      </c>
      <c r="AU1425" t="s">
        <v>2124</v>
      </c>
      <c r="AV1425" t="s">
        <v>4965</v>
      </c>
      <c r="AW1425" t="s">
        <v>4478</v>
      </c>
      <c r="AX1425" t="s">
        <v>5492</v>
      </c>
      <c r="AY1425" t="s">
        <v>17250</v>
      </c>
      <c r="AZ1425" t="s">
        <v>1725</v>
      </c>
      <c r="BA1425">
        <v>1</v>
      </c>
      <c r="BB1425">
        <v>660.93</v>
      </c>
      <c r="BC1425">
        <v>0.64</v>
      </c>
      <c r="BD1425">
        <v>23.91</v>
      </c>
      <c r="BE1425">
        <v>23.87</v>
      </c>
      <c r="BF1425">
        <v>23.13</v>
      </c>
      <c r="BG1425" t="s">
        <v>17251</v>
      </c>
      <c r="BH1425" t="s">
        <v>17252</v>
      </c>
      <c r="BI1425" t="s">
        <v>17253</v>
      </c>
      <c r="BJ1425" t="s">
        <v>101</v>
      </c>
      <c r="BK1425" t="s">
        <v>4745</v>
      </c>
      <c r="BL1425" t="s">
        <v>11728</v>
      </c>
      <c r="BM1425" t="s">
        <v>331</v>
      </c>
      <c r="BN1425" t="s">
        <v>14623</v>
      </c>
    </row>
    <row r="1426" spans="1:66" x14ac:dyDescent="0.25">
      <c r="A1426" t="str">
        <f>HYPERLINK("https://elite.finviz.com/quote.ashx?t=ANTX&amp;ty=c&amp;p=d&amp;b=1", "ANTX")</f>
        <v>ANTX</v>
      </c>
      <c r="B1426">
        <v>6</v>
      </c>
      <c r="C1426">
        <v>127.03</v>
      </c>
      <c r="D1426">
        <v>51.43</v>
      </c>
      <c r="E1426" t="s">
        <v>17254</v>
      </c>
      <c r="F1426" t="s">
        <v>107</v>
      </c>
      <c r="G1426" t="s">
        <v>428</v>
      </c>
      <c r="H1426" t="s">
        <v>429</v>
      </c>
      <c r="I1426" t="s">
        <v>70</v>
      </c>
      <c r="J1426" t="s">
        <v>321</v>
      </c>
      <c r="K1426">
        <v>33.74</v>
      </c>
      <c r="L1426">
        <v>1.24</v>
      </c>
      <c r="M1426" t="s">
        <v>2486</v>
      </c>
      <c r="N1426">
        <v>10641</v>
      </c>
      <c r="S1426">
        <v>0.49</v>
      </c>
      <c r="AA1426">
        <v>-1.25</v>
      </c>
      <c r="AB1426" t="s">
        <v>2076</v>
      </c>
      <c r="AC1426" t="s">
        <v>17255</v>
      </c>
      <c r="AD1426" t="s">
        <v>315</v>
      </c>
      <c r="AI1426" t="s">
        <v>17256</v>
      </c>
      <c r="AJ1426" t="s">
        <v>12766</v>
      </c>
      <c r="AK1426" t="s">
        <v>5429</v>
      </c>
      <c r="AL1426">
        <v>9.67</v>
      </c>
      <c r="AM1426">
        <v>9.67</v>
      </c>
      <c r="AN1426">
        <v>0</v>
      </c>
      <c r="AR1426" t="s">
        <v>4476</v>
      </c>
      <c r="AS1426" t="s">
        <v>8054</v>
      </c>
      <c r="AT1426" t="s">
        <v>8402</v>
      </c>
      <c r="AU1426" t="s">
        <v>5025</v>
      </c>
      <c r="AV1426" t="s">
        <v>2087</v>
      </c>
      <c r="AW1426" t="s">
        <v>17257</v>
      </c>
      <c r="AX1426" t="s">
        <v>12079</v>
      </c>
      <c r="AY1426" t="s">
        <v>17258</v>
      </c>
      <c r="AZ1426" t="s">
        <v>17259</v>
      </c>
      <c r="BA1426">
        <v>2</v>
      </c>
      <c r="BB1426">
        <v>86.54</v>
      </c>
      <c r="BC1426">
        <v>0.44</v>
      </c>
      <c r="BD1426">
        <v>1.24</v>
      </c>
      <c r="BE1426">
        <v>1.24</v>
      </c>
      <c r="BF1426">
        <v>1.21</v>
      </c>
      <c r="BG1426" t="s">
        <v>17260</v>
      </c>
      <c r="BH1426" t="s">
        <v>17261</v>
      </c>
      <c r="BI1426" t="s">
        <v>13241</v>
      </c>
      <c r="BJ1426" t="s">
        <v>101</v>
      </c>
      <c r="BK1426" t="s">
        <v>3965</v>
      </c>
      <c r="BL1426" t="s">
        <v>15561</v>
      </c>
      <c r="BM1426" t="s">
        <v>11283</v>
      </c>
      <c r="BN1426" t="s">
        <v>14623</v>
      </c>
    </row>
    <row r="1427" spans="1:66" x14ac:dyDescent="0.25">
      <c r="A1427" t="str">
        <f>HYPERLINK("https://elite.finviz.com/quote.ashx?t=REVG&amp;ty=c&amp;p=d&amp;b=1", "REVG")</f>
        <v>REVG</v>
      </c>
      <c r="B1427">
        <v>6</v>
      </c>
      <c r="C1427">
        <v>127.03</v>
      </c>
      <c r="D1427">
        <v>51.44</v>
      </c>
      <c r="E1427" t="s">
        <v>17262</v>
      </c>
      <c r="F1427" t="s">
        <v>67</v>
      </c>
      <c r="G1427" t="s">
        <v>260</v>
      </c>
      <c r="H1427" t="s">
        <v>320</v>
      </c>
      <c r="I1427" t="s">
        <v>70</v>
      </c>
      <c r="J1427" t="s">
        <v>71</v>
      </c>
      <c r="K1427">
        <v>2822.49</v>
      </c>
      <c r="L1427">
        <v>57.84</v>
      </c>
      <c r="M1427" t="s">
        <v>6155</v>
      </c>
      <c r="N1427">
        <v>92667</v>
      </c>
      <c r="O1427">
        <v>27.39</v>
      </c>
      <c r="P1427">
        <v>16.510000000000002</v>
      </c>
      <c r="Q1427">
        <v>0.68</v>
      </c>
      <c r="R1427">
        <v>1.18</v>
      </c>
      <c r="S1427">
        <v>7.29</v>
      </c>
      <c r="T1427" t="s">
        <v>7464</v>
      </c>
      <c r="U1427">
        <v>0.24</v>
      </c>
      <c r="V1427" t="s">
        <v>4741</v>
      </c>
      <c r="W1427" t="s">
        <v>164</v>
      </c>
      <c r="X1427" t="s">
        <v>1115</v>
      </c>
      <c r="Y1427" t="s">
        <v>164</v>
      </c>
      <c r="Z1427" t="s">
        <v>3519</v>
      </c>
      <c r="AA1427">
        <v>2.11</v>
      </c>
      <c r="AB1427" t="s">
        <v>8780</v>
      </c>
      <c r="AD1427" t="s">
        <v>11148</v>
      </c>
      <c r="AE1427" t="s">
        <v>3322</v>
      </c>
      <c r="AF1427" t="s">
        <v>1249</v>
      </c>
      <c r="AG1427" t="s">
        <v>2213</v>
      </c>
      <c r="AH1427" t="s">
        <v>9187</v>
      </c>
      <c r="AI1427" t="s">
        <v>9747</v>
      </c>
      <c r="AJ1427" t="s">
        <v>3070</v>
      </c>
      <c r="AK1427" t="s">
        <v>17263</v>
      </c>
      <c r="AL1427">
        <v>1.63</v>
      </c>
      <c r="AM1427">
        <v>0.53</v>
      </c>
      <c r="AN1427">
        <v>0.28999999999999998</v>
      </c>
      <c r="AO1427" t="s">
        <v>1549</v>
      </c>
      <c r="AP1427" t="s">
        <v>578</v>
      </c>
      <c r="AQ1427" t="s">
        <v>1091</v>
      </c>
      <c r="AR1427" t="s">
        <v>203</v>
      </c>
      <c r="AS1427" t="s">
        <v>2384</v>
      </c>
      <c r="AT1427" t="s">
        <v>72</v>
      </c>
      <c r="AU1427" t="s">
        <v>2448</v>
      </c>
      <c r="AV1427" t="s">
        <v>2979</v>
      </c>
      <c r="AW1427" t="s">
        <v>9330</v>
      </c>
      <c r="AX1427" t="s">
        <v>5346</v>
      </c>
      <c r="AY1427" t="s">
        <v>9330</v>
      </c>
      <c r="AZ1427" t="s">
        <v>17264</v>
      </c>
      <c r="BA1427">
        <v>2</v>
      </c>
      <c r="BB1427">
        <v>794.47</v>
      </c>
      <c r="BC1427">
        <v>0.41</v>
      </c>
      <c r="BD1427">
        <v>57.15</v>
      </c>
      <c r="BE1427">
        <v>58.06</v>
      </c>
      <c r="BF1427">
        <v>57.39</v>
      </c>
      <c r="BG1427" t="s">
        <v>17265</v>
      </c>
      <c r="BH1427" t="s">
        <v>9330</v>
      </c>
      <c r="BI1427" t="s">
        <v>17266</v>
      </c>
      <c r="BJ1427" t="s">
        <v>101</v>
      </c>
      <c r="BK1427" t="s">
        <v>7007</v>
      </c>
      <c r="BL1427" t="s">
        <v>17267</v>
      </c>
      <c r="BM1427" t="s">
        <v>1867</v>
      </c>
      <c r="BN1427" t="s">
        <v>14623</v>
      </c>
    </row>
    <row r="1428" spans="1:66" x14ac:dyDescent="0.25">
      <c r="A1428" t="str">
        <f>HYPERLINK("https://elite.finviz.com/quote.ashx?t=NKSH&amp;ty=c&amp;p=d&amp;b=1", "NKSH")</f>
        <v>NKSH</v>
      </c>
      <c r="B1428">
        <v>6</v>
      </c>
      <c r="C1428">
        <v>127.03</v>
      </c>
      <c r="D1428">
        <v>51.44</v>
      </c>
      <c r="E1428" t="s">
        <v>17268</v>
      </c>
      <c r="F1428" t="s">
        <v>67</v>
      </c>
      <c r="G1428" t="s">
        <v>550</v>
      </c>
      <c r="H1428" t="s">
        <v>697</v>
      </c>
      <c r="I1428" t="s">
        <v>70</v>
      </c>
      <c r="J1428" t="s">
        <v>321</v>
      </c>
      <c r="K1428">
        <v>193.3</v>
      </c>
      <c r="L1428">
        <v>30.36</v>
      </c>
      <c r="M1428" t="s">
        <v>4689</v>
      </c>
      <c r="N1428">
        <v>1281</v>
      </c>
      <c r="O1428">
        <v>17.12</v>
      </c>
      <c r="P1428">
        <v>10.77</v>
      </c>
      <c r="R1428">
        <v>2.33</v>
      </c>
      <c r="S1428">
        <v>1.1499999999999999</v>
      </c>
      <c r="T1428" t="s">
        <v>197</v>
      </c>
      <c r="U1428">
        <v>1.51</v>
      </c>
      <c r="V1428" t="s">
        <v>7628</v>
      </c>
      <c r="W1428" t="s">
        <v>164</v>
      </c>
      <c r="X1428" t="s">
        <v>2449</v>
      </c>
      <c r="Y1428" t="s">
        <v>2082</v>
      </c>
      <c r="Z1428" t="s">
        <v>17269</v>
      </c>
      <c r="AA1428">
        <v>1.77</v>
      </c>
      <c r="AB1428" t="s">
        <v>6750</v>
      </c>
      <c r="AC1428" t="s">
        <v>3307</v>
      </c>
      <c r="AE1428" t="s">
        <v>5386</v>
      </c>
      <c r="AF1428" t="s">
        <v>6748</v>
      </c>
      <c r="AG1428" t="s">
        <v>710</v>
      </c>
      <c r="AH1428" t="s">
        <v>2967</v>
      </c>
      <c r="AI1428" t="s">
        <v>7284</v>
      </c>
      <c r="AJ1428" t="s">
        <v>2571</v>
      </c>
      <c r="AK1428" t="s">
        <v>7631</v>
      </c>
      <c r="AL1428">
        <v>0.09</v>
      </c>
      <c r="AN1428">
        <v>0.01</v>
      </c>
      <c r="AP1428" t="s">
        <v>8807</v>
      </c>
      <c r="AQ1428" t="s">
        <v>1253</v>
      </c>
      <c r="AR1428" t="s">
        <v>3118</v>
      </c>
      <c r="AS1428" t="s">
        <v>8016</v>
      </c>
      <c r="AT1428" t="s">
        <v>4203</v>
      </c>
      <c r="AU1428" t="s">
        <v>744</v>
      </c>
      <c r="AV1428" t="s">
        <v>6421</v>
      </c>
      <c r="AW1428" t="s">
        <v>1580</v>
      </c>
      <c r="AX1428" t="s">
        <v>9736</v>
      </c>
      <c r="AY1428" t="s">
        <v>3892</v>
      </c>
      <c r="AZ1428" t="s">
        <v>17270</v>
      </c>
      <c r="BA1428">
        <v>1</v>
      </c>
      <c r="BB1428">
        <v>12.99</v>
      </c>
      <c r="BC1428">
        <v>0.35</v>
      </c>
      <c r="BD1428">
        <v>30.06</v>
      </c>
      <c r="BE1428">
        <v>30.06</v>
      </c>
      <c r="BF1428">
        <v>30.06</v>
      </c>
      <c r="BG1428" t="s">
        <v>17271</v>
      </c>
      <c r="BH1428" t="s">
        <v>17272</v>
      </c>
      <c r="BI1428" t="s">
        <v>17273</v>
      </c>
      <c r="BJ1428" t="s">
        <v>101</v>
      </c>
      <c r="BK1428" t="s">
        <v>239</v>
      </c>
      <c r="BL1428" t="s">
        <v>2984</v>
      </c>
      <c r="BM1428" t="s">
        <v>6572</v>
      </c>
      <c r="BN1428" t="s">
        <v>14623</v>
      </c>
    </row>
    <row r="1429" spans="1:66" x14ac:dyDescent="0.25">
      <c r="A1429" t="str">
        <f>HYPERLINK("https://elite.finviz.com/quote.ashx?t=MUSA&amp;ty=c&amp;p=d&amp;b=1", "MUSA")</f>
        <v>MUSA</v>
      </c>
      <c r="B1429">
        <v>6</v>
      </c>
      <c r="C1429">
        <v>127.03</v>
      </c>
      <c r="D1429">
        <v>51.44</v>
      </c>
      <c r="E1429" t="s">
        <v>17274</v>
      </c>
      <c r="F1429" t="s">
        <v>107</v>
      </c>
      <c r="G1429" t="s">
        <v>813</v>
      </c>
      <c r="H1429" t="s">
        <v>2262</v>
      </c>
      <c r="I1429" t="s">
        <v>70</v>
      </c>
      <c r="J1429" t="s">
        <v>71</v>
      </c>
      <c r="K1429">
        <v>7530.41</v>
      </c>
      <c r="L1429">
        <v>390.33</v>
      </c>
      <c r="M1429" t="s">
        <v>2644</v>
      </c>
      <c r="N1429">
        <v>31559</v>
      </c>
      <c r="O1429">
        <v>16.16</v>
      </c>
      <c r="P1429">
        <v>15.13</v>
      </c>
      <c r="Q1429">
        <v>2.7</v>
      </c>
      <c r="R1429">
        <v>0.39</v>
      </c>
      <c r="S1429">
        <v>11.66</v>
      </c>
      <c r="T1429" t="s">
        <v>4849</v>
      </c>
      <c r="U1429">
        <v>2</v>
      </c>
      <c r="V1429" t="s">
        <v>10943</v>
      </c>
      <c r="W1429" t="s">
        <v>6497</v>
      </c>
      <c r="X1429" t="s">
        <v>8627</v>
      </c>
      <c r="Z1429" t="s">
        <v>699</v>
      </c>
      <c r="AA1429">
        <v>24.16</v>
      </c>
      <c r="AB1429" t="s">
        <v>12515</v>
      </c>
      <c r="AC1429" t="s">
        <v>6711</v>
      </c>
      <c r="AD1429" t="s">
        <v>5152</v>
      </c>
      <c r="AE1429" t="s">
        <v>6783</v>
      </c>
      <c r="AF1429" t="s">
        <v>3981</v>
      </c>
      <c r="AG1429" t="s">
        <v>929</v>
      </c>
      <c r="AH1429" t="s">
        <v>647</v>
      </c>
      <c r="AI1429" t="s">
        <v>10812</v>
      </c>
      <c r="AJ1429" t="s">
        <v>4266</v>
      </c>
      <c r="AK1429" t="s">
        <v>17275</v>
      </c>
      <c r="AL1429">
        <v>0.8</v>
      </c>
      <c r="AM1429">
        <v>0.39</v>
      </c>
      <c r="AN1429">
        <v>4.05</v>
      </c>
      <c r="AO1429" t="s">
        <v>7978</v>
      </c>
      <c r="AP1429" t="s">
        <v>756</v>
      </c>
      <c r="AQ1429" t="s">
        <v>715</v>
      </c>
      <c r="AR1429" t="s">
        <v>2146</v>
      </c>
      <c r="AS1429" t="s">
        <v>6937</v>
      </c>
      <c r="AT1429" t="s">
        <v>2610</v>
      </c>
      <c r="AU1429" t="s">
        <v>6156</v>
      </c>
      <c r="AV1429" t="s">
        <v>17276</v>
      </c>
      <c r="AW1429" t="s">
        <v>17277</v>
      </c>
      <c r="AX1429" t="s">
        <v>3449</v>
      </c>
      <c r="AY1429" t="s">
        <v>17278</v>
      </c>
      <c r="AZ1429" t="s">
        <v>3449</v>
      </c>
      <c r="BA1429">
        <v>2.11</v>
      </c>
      <c r="BB1429">
        <v>313.83</v>
      </c>
      <c r="BC1429">
        <v>0.35</v>
      </c>
      <c r="BD1429">
        <v>386.2</v>
      </c>
      <c r="BE1429">
        <v>390.29</v>
      </c>
      <c r="BF1429">
        <v>385.24</v>
      </c>
      <c r="BG1429" t="s">
        <v>17279</v>
      </c>
      <c r="BH1429" t="s">
        <v>17278</v>
      </c>
      <c r="BI1429" t="s">
        <v>17280</v>
      </c>
      <c r="BJ1429" t="s">
        <v>101</v>
      </c>
      <c r="BK1429" t="s">
        <v>7468</v>
      </c>
      <c r="BL1429" t="s">
        <v>5104</v>
      </c>
      <c r="BM1429" t="s">
        <v>17136</v>
      </c>
      <c r="BN1429" t="s">
        <v>14623</v>
      </c>
    </row>
    <row r="1430" spans="1:66" x14ac:dyDescent="0.25">
      <c r="A1430" t="str">
        <f>HYPERLINK("https://elite.finviz.com/quote.ashx?t=NPB&amp;ty=c&amp;p=d&amp;b=1", "NPB")</f>
        <v>NPB</v>
      </c>
      <c r="B1430">
        <v>6</v>
      </c>
      <c r="C1430">
        <v>127.03</v>
      </c>
      <c r="D1430">
        <v>51.45</v>
      </c>
      <c r="E1430" t="s">
        <v>17281</v>
      </c>
      <c r="F1430" t="s">
        <v>67</v>
      </c>
      <c r="G1430" t="s">
        <v>550</v>
      </c>
      <c r="H1430" t="s">
        <v>697</v>
      </c>
      <c r="I1430" t="s">
        <v>70</v>
      </c>
      <c r="J1430" t="s">
        <v>71</v>
      </c>
      <c r="K1430">
        <v>609.85</v>
      </c>
      <c r="L1430">
        <v>17.75</v>
      </c>
      <c r="M1430" t="s">
        <v>182</v>
      </c>
      <c r="N1430">
        <v>13340</v>
      </c>
      <c r="P1430">
        <v>6.47</v>
      </c>
      <c r="S1430">
        <v>1.01</v>
      </c>
      <c r="T1430" t="s">
        <v>387</v>
      </c>
      <c r="U1430">
        <v>0.05</v>
      </c>
      <c r="V1430" t="s">
        <v>7944</v>
      </c>
      <c r="AB1430" t="s">
        <v>16604</v>
      </c>
      <c r="AD1430" t="s">
        <v>10695</v>
      </c>
      <c r="AF1430" t="s">
        <v>1809</v>
      </c>
      <c r="AI1430" t="s">
        <v>1338</v>
      </c>
      <c r="AJ1430" t="s">
        <v>337</v>
      </c>
      <c r="AK1430" t="s">
        <v>6059</v>
      </c>
      <c r="AL1430">
        <v>0.11</v>
      </c>
      <c r="AN1430">
        <v>2.16</v>
      </c>
      <c r="AR1430" t="s">
        <v>2522</v>
      </c>
      <c r="AS1430" t="s">
        <v>4873</v>
      </c>
      <c r="AT1430" t="s">
        <v>5661</v>
      </c>
      <c r="AU1430" t="s">
        <v>2066</v>
      </c>
      <c r="AV1430" t="s">
        <v>13206</v>
      </c>
      <c r="AW1430" t="s">
        <v>11702</v>
      </c>
      <c r="AX1430" t="s">
        <v>12158</v>
      </c>
      <c r="AY1430" t="s">
        <v>11702</v>
      </c>
      <c r="AZ1430" t="s">
        <v>13849</v>
      </c>
      <c r="BA1430">
        <v>1.67</v>
      </c>
      <c r="BB1430">
        <v>197.6</v>
      </c>
      <c r="BC1430">
        <v>0.24</v>
      </c>
      <c r="BD1430">
        <v>17.7</v>
      </c>
      <c r="BE1430">
        <v>17.920000000000002</v>
      </c>
      <c r="BF1430">
        <v>17.59</v>
      </c>
      <c r="BG1430" t="s">
        <v>17282</v>
      </c>
      <c r="BH1430" t="s">
        <v>11702</v>
      </c>
      <c r="BI1430" t="s">
        <v>13849</v>
      </c>
      <c r="BJ1430" t="s">
        <v>101</v>
      </c>
      <c r="BK1430" t="s">
        <v>17283</v>
      </c>
      <c r="BL1430" t="s">
        <v>7254</v>
      </c>
      <c r="BN1430" t="s">
        <v>14623</v>
      </c>
    </row>
    <row r="1431" spans="1:66" x14ac:dyDescent="0.25">
      <c r="A1431" t="str">
        <f>HYPERLINK("https://elite.finviz.com/quote.ashx?t=LLYVK&amp;ty=c&amp;p=d&amp;b=1", "LLYVK")</f>
        <v>LLYVK</v>
      </c>
      <c r="B1431">
        <v>6</v>
      </c>
      <c r="C1431">
        <v>127.03</v>
      </c>
      <c r="D1431">
        <v>51.47</v>
      </c>
      <c r="E1431" t="s">
        <v>10753</v>
      </c>
      <c r="F1431" t="s">
        <v>107</v>
      </c>
      <c r="G1431" t="s">
        <v>598</v>
      </c>
      <c r="H1431" t="s">
        <v>4247</v>
      </c>
      <c r="I1431" t="s">
        <v>70</v>
      </c>
      <c r="J1431" t="s">
        <v>321</v>
      </c>
      <c r="K1431">
        <v>8875.61</v>
      </c>
      <c r="L1431">
        <v>96.6</v>
      </c>
      <c r="M1431" t="s">
        <v>4494</v>
      </c>
      <c r="N1431">
        <v>45095</v>
      </c>
      <c r="AA1431">
        <v>-3.12</v>
      </c>
      <c r="AJ1431" t="s">
        <v>2331</v>
      </c>
      <c r="AK1431" t="s">
        <v>17284</v>
      </c>
      <c r="AL1431">
        <v>0.17</v>
      </c>
      <c r="AM1431">
        <v>0.17</v>
      </c>
      <c r="AR1431" t="s">
        <v>248</v>
      </c>
      <c r="AS1431" t="s">
        <v>8016</v>
      </c>
      <c r="AT1431" t="s">
        <v>5000</v>
      </c>
      <c r="AU1431" t="s">
        <v>8625</v>
      </c>
      <c r="AV1431" t="s">
        <v>8207</v>
      </c>
      <c r="AW1431" t="s">
        <v>8654</v>
      </c>
      <c r="AX1431" t="s">
        <v>9044</v>
      </c>
      <c r="AY1431" t="s">
        <v>8654</v>
      </c>
      <c r="AZ1431" t="s">
        <v>17285</v>
      </c>
      <c r="BA1431">
        <v>1</v>
      </c>
      <c r="BB1431">
        <v>375.32</v>
      </c>
      <c r="BC1431">
        <v>0.42</v>
      </c>
      <c r="BD1431">
        <v>96.47</v>
      </c>
      <c r="BE1431">
        <v>97.63</v>
      </c>
      <c r="BF1431">
        <v>96.59</v>
      </c>
      <c r="BG1431" t="s">
        <v>17286</v>
      </c>
      <c r="BH1431" t="s">
        <v>8654</v>
      </c>
      <c r="BI1431" t="s">
        <v>17287</v>
      </c>
      <c r="BJ1431" t="s">
        <v>101</v>
      </c>
      <c r="BK1431" t="s">
        <v>11176</v>
      </c>
      <c r="BL1431" t="s">
        <v>13714</v>
      </c>
      <c r="BM1431" t="s">
        <v>17288</v>
      </c>
      <c r="BN1431" t="s">
        <v>14623</v>
      </c>
    </row>
    <row r="1432" spans="1:66" x14ac:dyDescent="0.25">
      <c r="A1432" t="str">
        <f>HYPERLINK("https://elite.finviz.com/quote.ashx?t=LLYVA&amp;ty=c&amp;p=d&amp;b=1", "LLYVA")</f>
        <v>LLYVA</v>
      </c>
      <c r="B1432">
        <v>6</v>
      </c>
      <c r="C1432">
        <v>127.03</v>
      </c>
      <c r="D1432">
        <v>51.48</v>
      </c>
      <c r="E1432" t="s">
        <v>10753</v>
      </c>
      <c r="F1432" t="s">
        <v>107</v>
      </c>
      <c r="G1432" t="s">
        <v>598</v>
      </c>
      <c r="H1432" t="s">
        <v>4247</v>
      </c>
      <c r="I1432" t="s">
        <v>70</v>
      </c>
      <c r="J1432" t="s">
        <v>321</v>
      </c>
      <c r="K1432">
        <v>8623.86</v>
      </c>
      <c r="L1432">
        <v>93.86</v>
      </c>
      <c r="M1432" t="s">
        <v>164</v>
      </c>
      <c r="N1432">
        <v>27447</v>
      </c>
      <c r="AA1432">
        <v>-3.12</v>
      </c>
      <c r="AJ1432" t="s">
        <v>9925</v>
      </c>
      <c r="AK1432" t="s">
        <v>7433</v>
      </c>
      <c r="AL1432">
        <v>0.17</v>
      </c>
      <c r="AM1432">
        <v>0.17</v>
      </c>
      <c r="AR1432" t="s">
        <v>4800</v>
      </c>
      <c r="AS1432" t="s">
        <v>3842</v>
      </c>
      <c r="AT1432" t="s">
        <v>364</v>
      </c>
      <c r="AU1432" t="s">
        <v>1302</v>
      </c>
      <c r="AV1432" t="s">
        <v>5437</v>
      </c>
      <c r="AW1432" t="s">
        <v>2934</v>
      </c>
      <c r="AX1432" t="s">
        <v>8886</v>
      </c>
      <c r="AY1432" t="s">
        <v>2934</v>
      </c>
      <c r="AZ1432" t="s">
        <v>17289</v>
      </c>
      <c r="BA1432">
        <v>1</v>
      </c>
      <c r="BB1432">
        <v>133.84</v>
      </c>
      <c r="BC1432">
        <v>0.72</v>
      </c>
      <c r="BD1432">
        <v>93.86</v>
      </c>
      <c r="BE1432">
        <v>94.78</v>
      </c>
      <c r="BF1432">
        <v>93.83</v>
      </c>
      <c r="BG1432" t="s">
        <v>17290</v>
      </c>
      <c r="BH1432" t="s">
        <v>2934</v>
      </c>
      <c r="BI1432" t="s">
        <v>17291</v>
      </c>
      <c r="BJ1432" t="s">
        <v>101</v>
      </c>
      <c r="BK1432" t="s">
        <v>1645</v>
      </c>
      <c r="BL1432" t="s">
        <v>6458</v>
      </c>
      <c r="BM1432" t="s">
        <v>17292</v>
      </c>
      <c r="BN1432" t="s">
        <v>14623</v>
      </c>
    </row>
    <row r="1433" spans="1:66" x14ac:dyDescent="0.25">
      <c r="A1433" t="str">
        <f>HYPERLINK("https://elite.finviz.com/quote.ashx?t=CHE&amp;ty=c&amp;p=d&amp;b=1", "CHE")</f>
        <v>CHE</v>
      </c>
      <c r="B1433">
        <v>6</v>
      </c>
      <c r="C1433">
        <v>127.03</v>
      </c>
      <c r="D1433">
        <v>51.48</v>
      </c>
      <c r="E1433" t="s">
        <v>17293</v>
      </c>
      <c r="F1433" t="s">
        <v>107</v>
      </c>
      <c r="G1433" t="s">
        <v>428</v>
      </c>
      <c r="H1433" t="s">
        <v>3160</v>
      </c>
      <c r="I1433" t="s">
        <v>70</v>
      </c>
      <c r="J1433" t="s">
        <v>71</v>
      </c>
      <c r="K1433">
        <v>6654.52</v>
      </c>
      <c r="L1433">
        <v>456.67</v>
      </c>
      <c r="M1433" t="s">
        <v>1025</v>
      </c>
      <c r="N1433">
        <v>28079</v>
      </c>
      <c r="O1433">
        <v>23.48</v>
      </c>
      <c r="P1433">
        <v>18.04</v>
      </c>
      <c r="Q1433">
        <v>4.45</v>
      </c>
      <c r="R1433">
        <v>2.65</v>
      </c>
      <c r="S1433">
        <v>5.53</v>
      </c>
      <c r="T1433" t="s">
        <v>914</v>
      </c>
      <c r="U1433">
        <v>2.1</v>
      </c>
      <c r="V1433" t="s">
        <v>893</v>
      </c>
      <c r="W1433" t="s">
        <v>5468</v>
      </c>
      <c r="X1433" t="s">
        <v>776</v>
      </c>
      <c r="Y1433" t="s">
        <v>3507</v>
      </c>
      <c r="Z1433" t="s">
        <v>2653</v>
      </c>
      <c r="AA1433">
        <v>19.45</v>
      </c>
      <c r="AB1433" t="s">
        <v>5659</v>
      </c>
      <c r="AC1433" t="s">
        <v>5700</v>
      </c>
      <c r="AD1433" t="s">
        <v>3948</v>
      </c>
      <c r="AE1433" t="s">
        <v>2922</v>
      </c>
      <c r="AF1433" t="s">
        <v>4530</v>
      </c>
      <c r="AG1433" t="s">
        <v>3119</v>
      </c>
      <c r="AH1433" t="s">
        <v>4324</v>
      </c>
      <c r="AI1433" t="s">
        <v>2118</v>
      </c>
      <c r="AJ1433" t="s">
        <v>3292</v>
      </c>
      <c r="AK1433" t="s">
        <v>17294</v>
      </c>
      <c r="AL1433">
        <v>1.86</v>
      </c>
      <c r="AM1433">
        <v>1.83</v>
      </c>
      <c r="AN1433">
        <v>0.12</v>
      </c>
      <c r="AO1433" t="s">
        <v>10532</v>
      </c>
      <c r="AP1433" t="s">
        <v>2628</v>
      </c>
      <c r="AQ1433" t="s">
        <v>7976</v>
      </c>
      <c r="AR1433" t="s">
        <v>3544</v>
      </c>
      <c r="AS1433" t="s">
        <v>5420</v>
      </c>
      <c r="AT1433" t="s">
        <v>183</v>
      </c>
      <c r="AU1433" t="s">
        <v>2145</v>
      </c>
      <c r="AV1433" t="s">
        <v>16941</v>
      </c>
      <c r="AW1433" t="s">
        <v>308</v>
      </c>
      <c r="AX1433" t="s">
        <v>3188</v>
      </c>
      <c r="AY1433" t="s">
        <v>17295</v>
      </c>
      <c r="AZ1433" t="s">
        <v>3188</v>
      </c>
      <c r="BA1433">
        <v>1</v>
      </c>
      <c r="BB1433">
        <v>194.13</v>
      </c>
      <c r="BC1433">
        <v>0.51</v>
      </c>
      <c r="BD1433">
        <v>450.46</v>
      </c>
      <c r="BE1433">
        <v>457.89</v>
      </c>
      <c r="BF1433">
        <v>452.76</v>
      </c>
      <c r="BG1433" t="s">
        <v>17296</v>
      </c>
      <c r="BH1433" t="s">
        <v>17297</v>
      </c>
      <c r="BI1433" t="s">
        <v>17298</v>
      </c>
      <c r="BJ1433" t="s">
        <v>101</v>
      </c>
      <c r="BK1433" t="s">
        <v>16274</v>
      </c>
      <c r="BL1433" t="s">
        <v>8329</v>
      </c>
      <c r="BM1433" t="s">
        <v>13509</v>
      </c>
      <c r="BN1433" t="s">
        <v>14623</v>
      </c>
    </row>
    <row r="1434" spans="1:66" x14ac:dyDescent="0.25">
      <c r="A1434" t="str">
        <f>HYPERLINK("https://elite.finviz.com/quote.ashx?t=GROV&amp;ty=c&amp;p=d&amp;b=1", "GROV")</f>
        <v>GROV</v>
      </c>
      <c r="B1434">
        <v>6</v>
      </c>
      <c r="C1434">
        <v>127.03</v>
      </c>
      <c r="D1434">
        <v>51.5</v>
      </c>
      <c r="E1434" t="s">
        <v>17299</v>
      </c>
      <c r="F1434" t="s">
        <v>107</v>
      </c>
      <c r="G1434" t="s">
        <v>2244</v>
      </c>
      <c r="H1434" t="s">
        <v>5311</v>
      </c>
      <c r="I1434" t="s">
        <v>70</v>
      </c>
      <c r="J1434" t="s">
        <v>71</v>
      </c>
      <c r="K1434">
        <v>61.93</v>
      </c>
      <c r="L1434">
        <v>1.51</v>
      </c>
      <c r="M1434" t="s">
        <v>2185</v>
      </c>
      <c r="N1434">
        <v>17240</v>
      </c>
      <c r="R1434">
        <v>0.33</v>
      </c>
      <c r="AA1434">
        <v>-0.59</v>
      </c>
      <c r="AB1434" t="s">
        <v>7877</v>
      </c>
      <c r="AE1434" t="s">
        <v>17300</v>
      </c>
      <c r="AF1434" t="s">
        <v>17301</v>
      </c>
      <c r="AH1434" t="s">
        <v>14610</v>
      </c>
      <c r="AI1434" t="s">
        <v>164</v>
      </c>
      <c r="AJ1434" t="s">
        <v>969</v>
      </c>
      <c r="AK1434" t="s">
        <v>1847</v>
      </c>
      <c r="AL1434">
        <v>1.33</v>
      </c>
      <c r="AM1434">
        <v>0.57999999999999996</v>
      </c>
      <c r="AN1434">
        <v>2.0099999999999998</v>
      </c>
      <c r="AO1434" t="s">
        <v>17302</v>
      </c>
      <c r="AP1434" t="s">
        <v>3338</v>
      </c>
      <c r="AQ1434" t="s">
        <v>1862</v>
      </c>
      <c r="AR1434" t="s">
        <v>2721</v>
      </c>
      <c r="AS1434" t="s">
        <v>2543</v>
      </c>
      <c r="AT1434" t="s">
        <v>6298</v>
      </c>
      <c r="AU1434" t="s">
        <v>1129</v>
      </c>
      <c r="AV1434" t="s">
        <v>7511</v>
      </c>
      <c r="AW1434" t="s">
        <v>15506</v>
      </c>
      <c r="AX1434" t="s">
        <v>4914</v>
      </c>
      <c r="AY1434" t="s">
        <v>16561</v>
      </c>
      <c r="AZ1434" t="s">
        <v>114</v>
      </c>
      <c r="BA1434">
        <v>1</v>
      </c>
      <c r="BB1434">
        <v>224.79</v>
      </c>
      <c r="BC1434">
        <v>0.27</v>
      </c>
      <c r="BD1434">
        <v>1.49</v>
      </c>
      <c r="BE1434">
        <v>1.51</v>
      </c>
      <c r="BF1434">
        <v>1.49</v>
      </c>
      <c r="BG1434" t="s">
        <v>17303</v>
      </c>
      <c r="BH1434" t="s">
        <v>17304</v>
      </c>
      <c r="BI1434" t="s">
        <v>15695</v>
      </c>
      <c r="BJ1434" t="s">
        <v>101</v>
      </c>
      <c r="BK1434" t="s">
        <v>12108</v>
      </c>
      <c r="BL1434" t="s">
        <v>617</v>
      </c>
      <c r="BM1434" t="s">
        <v>10557</v>
      </c>
      <c r="BN1434" t="s">
        <v>14623</v>
      </c>
    </row>
    <row r="1435" spans="1:66" x14ac:dyDescent="0.25">
      <c r="A1435" t="str">
        <f>HYPERLINK("https://elite.finviz.com/quote.ashx?t=THO&amp;ty=c&amp;p=d&amp;b=1", "THO")</f>
        <v>THO</v>
      </c>
      <c r="B1435">
        <v>6</v>
      </c>
      <c r="C1435">
        <v>127.03</v>
      </c>
      <c r="D1435">
        <v>51.51</v>
      </c>
      <c r="E1435" t="s">
        <v>17305</v>
      </c>
      <c r="F1435" t="s">
        <v>107</v>
      </c>
      <c r="G1435" t="s">
        <v>813</v>
      </c>
      <c r="H1435" t="s">
        <v>5716</v>
      </c>
      <c r="I1435" t="s">
        <v>70</v>
      </c>
      <c r="J1435" t="s">
        <v>71</v>
      </c>
      <c r="K1435">
        <v>5578.07</v>
      </c>
      <c r="L1435">
        <v>105.98</v>
      </c>
      <c r="M1435" t="s">
        <v>6156</v>
      </c>
      <c r="N1435">
        <v>88422</v>
      </c>
      <c r="O1435">
        <v>21.87</v>
      </c>
      <c r="P1435">
        <v>18.399999999999999</v>
      </c>
      <c r="Q1435">
        <v>1.98</v>
      </c>
      <c r="R1435">
        <v>0.57999999999999996</v>
      </c>
      <c r="S1435">
        <v>1.3</v>
      </c>
      <c r="T1435" t="s">
        <v>909</v>
      </c>
      <c r="U1435">
        <v>2</v>
      </c>
      <c r="V1435" t="s">
        <v>17306</v>
      </c>
      <c r="W1435" t="s">
        <v>2841</v>
      </c>
      <c r="X1435" t="s">
        <v>322</v>
      </c>
      <c r="Y1435" t="s">
        <v>371</v>
      </c>
      <c r="Z1435" t="s">
        <v>17307</v>
      </c>
      <c r="AA1435">
        <v>4.8499999999999996</v>
      </c>
      <c r="AB1435" t="s">
        <v>5411</v>
      </c>
      <c r="AC1435" t="s">
        <v>3670</v>
      </c>
      <c r="AD1435" t="s">
        <v>3600</v>
      </c>
      <c r="AE1435" t="s">
        <v>77</v>
      </c>
      <c r="AF1435" t="s">
        <v>3988</v>
      </c>
      <c r="AG1435" t="s">
        <v>203</v>
      </c>
      <c r="AH1435" t="s">
        <v>7346</v>
      </c>
      <c r="AI1435" t="s">
        <v>17308</v>
      </c>
      <c r="AJ1435" t="s">
        <v>2275</v>
      </c>
      <c r="AK1435" t="s">
        <v>17309</v>
      </c>
      <c r="AL1435">
        <v>1.75</v>
      </c>
      <c r="AM1435">
        <v>0.9</v>
      </c>
      <c r="AN1435">
        <v>0.24</v>
      </c>
      <c r="AO1435" t="s">
        <v>8848</v>
      </c>
      <c r="AP1435" t="s">
        <v>7088</v>
      </c>
      <c r="AQ1435" t="s">
        <v>648</v>
      </c>
      <c r="AR1435" t="s">
        <v>2522</v>
      </c>
      <c r="AS1435" t="s">
        <v>4892</v>
      </c>
      <c r="AT1435" t="s">
        <v>3950</v>
      </c>
      <c r="AU1435" t="s">
        <v>5779</v>
      </c>
      <c r="AV1435" t="s">
        <v>8837</v>
      </c>
      <c r="AW1435" t="s">
        <v>5703</v>
      </c>
      <c r="AX1435" t="s">
        <v>17310</v>
      </c>
      <c r="AY1435" t="s">
        <v>15690</v>
      </c>
      <c r="AZ1435" t="s">
        <v>16214</v>
      </c>
      <c r="BA1435">
        <v>2.87</v>
      </c>
      <c r="BB1435">
        <v>740.45</v>
      </c>
      <c r="BC1435">
        <v>0.42</v>
      </c>
      <c r="BD1435">
        <v>105.81</v>
      </c>
      <c r="BE1435">
        <v>106.87</v>
      </c>
      <c r="BF1435">
        <v>104.73</v>
      </c>
      <c r="BG1435" t="s">
        <v>17311</v>
      </c>
      <c r="BH1435" t="s">
        <v>17312</v>
      </c>
      <c r="BI1435" t="s">
        <v>17313</v>
      </c>
      <c r="BJ1435" t="s">
        <v>101</v>
      </c>
      <c r="BK1435" t="s">
        <v>15417</v>
      </c>
      <c r="BL1435" t="s">
        <v>10532</v>
      </c>
      <c r="BM1435" t="s">
        <v>3554</v>
      </c>
      <c r="BN1435" t="s">
        <v>14623</v>
      </c>
    </row>
    <row r="1436" spans="1:66" x14ac:dyDescent="0.25">
      <c r="A1436" t="str">
        <f>HYPERLINK("https://elite.finviz.com/quote.ashx?t=TBRG&amp;ty=c&amp;p=d&amp;b=1", "TBRG")</f>
        <v>TBRG</v>
      </c>
      <c r="B1436">
        <v>6</v>
      </c>
      <c r="C1436">
        <v>127.03</v>
      </c>
      <c r="D1436">
        <v>51.51</v>
      </c>
      <c r="E1436" t="s">
        <v>17314</v>
      </c>
      <c r="F1436" t="s">
        <v>67</v>
      </c>
      <c r="G1436" t="s">
        <v>428</v>
      </c>
      <c r="H1436" t="s">
        <v>2075</v>
      </c>
      <c r="I1436" t="s">
        <v>70</v>
      </c>
      <c r="J1436" t="s">
        <v>321</v>
      </c>
      <c r="K1436">
        <v>314.19</v>
      </c>
      <c r="L1436">
        <v>20.93</v>
      </c>
      <c r="M1436" t="s">
        <v>2362</v>
      </c>
      <c r="N1436">
        <v>26504</v>
      </c>
      <c r="P1436">
        <v>9.32</v>
      </c>
      <c r="R1436">
        <v>0.91</v>
      </c>
      <c r="S1436">
        <v>1.81</v>
      </c>
      <c r="AA1436">
        <v>-0.84</v>
      </c>
      <c r="AD1436" t="s">
        <v>17315</v>
      </c>
      <c r="AE1436" t="s">
        <v>5369</v>
      </c>
      <c r="AF1436" t="s">
        <v>2150</v>
      </c>
      <c r="AG1436" t="s">
        <v>6459</v>
      </c>
      <c r="AH1436" t="s">
        <v>102</v>
      </c>
      <c r="AI1436" t="s">
        <v>17316</v>
      </c>
      <c r="AJ1436" t="s">
        <v>4087</v>
      </c>
      <c r="AK1436" t="s">
        <v>13913</v>
      </c>
      <c r="AL1436">
        <v>1.8</v>
      </c>
      <c r="AM1436">
        <v>1.79</v>
      </c>
      <c r="AN1436">
        <v>0.97</v>
      </c>
      <c r="AO1436" t="s">
        <v>17317</v>
      </c>
      <c r="AP1436" t="s">
        <v>1370</v>
      </c>
      <c r="AQ1436" t="s">
        <v>5763</v>
      </c>
      <c r="AR1436" t="s">
        <v>6936</v>
      </c>
      <c r="AS1436" t="s">
        <v>911</v>
      </c>
      <c r="AT1436" t="s">
        <v>4280</v>
      </c>
      <c r="AU1436" t="s">
        <v>2630</v>
      </c>
      <c r="AV1436" t="s">
        <v>618</v>
      </c>
      <c r="AW1436" t="s">
        <v>7527</v>
      </c>
      <c r="AX1436" t="s">
        <v>3817</v>
      </c>
      <c r="AY1436" t="s">
        <v>17318</v>
      </c>
      <c r="AZ1436" t="s">
        <v>17319</v>
      </c>
      <c r="BA1436">
        <v>2</v>
      </c>
      <c r="BB1436">
        <v>157.18</v>
      </c>
      <c r="BC1436">
        <v>0.59</v>
      </c>
      <c r="BD1436">
        <v>20.82</v>
      </c>
      <c r="BE1436">
        <v>21.01</v>
      </c>
      <c r="BF1436">
        <v>20.5</v>
      </c>
      <c r="BG1436" t="s">
        <v>17320</v>
      </c>
      <c r="BH1436" t="s">
        <v>17321</v>
      </c>
      <c r="BI1436" t="s">
        <v>17322</v>
      </c>
      <c r="BJ1436" t="s">
        <v>101</v>
      </c>
      <c r="BK1436" t="s">
        <v>15856</v>
      </c>
      <c r="BL1436" t="s">
        <v>17323</v>
      </c>
      <c r="BM1436" t="s">
        <v>6396</v>
      </c>
      <c r="BN1436" t="s">
        <v>14623</v>
      </c>
    </row>
    <row r="1437" spans="1:66" x14ac:dyDescent="0.25">
      <c r="A1437" t="str">
        <f>HYPERLINK("https://elite.finviz.com/quote.ashx?t=MBCN&amp;ty=c&amp;p=d&amp;b=1", "MBCN")</f>
        <v>MBCN</v>
      </c>
      <c r="B1437">
        <v>6</v>
      </c>
      <c r="C1437">
        <v>127.03</v>
      </c>
      <c r="D1437">
        <v>51.52</v>
      </c>
      <c r="E1437" t="s">
        <v>17324</v>
      </c>
      <c r="F1437" t="s">
        <v>67</v>
      </c>
      <c r="G1437" t="s">
        <v>550</v>
      </c>
      <c r="H1437" t="s">
        <v>697</v>
      </c>
      <c r="I1437" t="s">
        <v>70</v>
      </c>
      <c r="J1437" t="s">
        <v>321</v>
      </c>
      <c r="K1437">
        <v>250.04</v>
      </c>
      <c r="L1437">
        <v>30.94</v>
      </c>
      <c r="M1437" t="s">
        <v>1842</v>
      </c>
      <c r="N1437">
        <v>1404</v>
      </c>
      <c r="O1437">
        <v>13.79</v>
      </c>
      <c r="P1437">
        <v>12.21</v>
      </c>
      <c r="R1437">
        <v>2.2400000000000002</v>
      </c>
      <c r="S1437">
        <v>1.1599999999999999</v>
      </c>
      <c r="T1437" t="s">
        <v>2496</v>
      </c>
      <c r="U1437">
        <v>0.83</v>
      </c>
      <c r="V1437" t="s">
        <v>4882</v>
      </c>
      <c r="W1437" t="s">
        <v>164</v>
      </c>
      <c r="X1437" t="s">
        <v>3688</v>
      </c>
      <c r="Y1437" t="s">
        <v>7942</v>
      </c>
      <c r="Z1437" t="s">
        <v>14107</v>
      </c>
      <c r="AA1437">
        <v>2.2400000000000002</v>
      </c>
      <c r="AB1437" t="s">
        <v>11354</v>
      </c>
      <c r="AC1437" t="s">
        <v>1364</v>
      </c>
      <c r="AE1437" t="s">
        <v>699</v>
      </c>
      <c r="AF1437" t="s">
        <v>16647</v>
      </c>
      <c r="AG1437" t="s">
        <v>1489</v>
      </c>
      <c r="AH1437" t="s">
        <v>5579</v>
      </c>
      <c r="AI1437" t="s">
        <v>7328</v>
      </c>
      <c r="AJ1437" t="s">
        <v>822</v>
      </c>
      <c r="AK1437" t="s">
        <v>5701</v>
      </c>
      <c r="AL1437">
        <v>7.0000000000000007E-2</v>
      </c>
      <c r="AN1437">
        <v>0.47</v>
      </c>
      <c r="AP1437" t="s">
        <v>13652</v>
      </c>
      <c r="AQ1437" t="s">
        <v>8273</v>
      </c>
      <c r="AR1437" t="s">
        <v>6121</v>
      </c>
      <c r="AS1437" t="s">
        <v>5425</v>
      </c>
      <c r="AT1437" t="s">
        <v>6572</v>
      </c>
      <c r="AU1437" t="s">
        <v>4394</v>
      </c>
      <c r="AV1437" t="s">
        <v>1558</v>
      </c>
      <c r="AW1437" t="s">
        <v>17325</v>
      </c>
      <c r="AX1437" t="s">
        <v>3059</v>
      </c>
      <c r="AY1437" t="s">
        <v>17325</v>
      </c>
      <c r="AZ1437" t="s">
        <v>15335</v>
      </c>
      <c r="BA1437">
        <v>3</v>
      </c>
      <c r="BB1437">
        <v>8.14</v>
      </c>
      <c r="BC1437">
        <v>0.61</v>
      </c>
      <c r="BD1437">
        <v>30.98</v>
      </c>
      <c r="BE1437">
        <v>30.98</v>
      </c>
      <c r="BF1437">
        <v>30.98</v>
      </c>
      <c r="BG1437" t="s">
        <v>17326</v>
      </c>
      <c r="BH1437" t="s">
        <v>17327</v>
      </c>
      <c r="BI1437" t="s">
        <v>17328</v>
      </c>
      <c r="BJ1437" t="s">
        <v>101</v>
      </c>
      <c r="BK1437" t="s">
        <v>3544</v>
      </c>
      <c r="BL1437" t="s">
        <v>8727</v>
      </c>
      <c r="BM1437" t="s">
        <v>3566</v>
      </c>
      <c r="BN1437" t="s">
        <v>14623</v>
      </c>
    </row>
    <row r="1438" spans="1:66" x14ac:dyDescent="0.25">
      <c r="A1438" t="str">
        <f>HYPERLINK("https://elite.finviz.com/quote.ashx?t=CNOB&amp;ty=c&amp;p=d&amp;b=1", "CNOB")</f>
        <v>CNOB</v>
      </c>
      <c r="B1438">
        <v>6</v>
      </c>
      <c r="C1438">
        <v>127.03</v>
      </c>
      <c r="D1438">
        <v>51.53</v>
      </c>
      <c r="E1438" t="s">
        <v>17329</v>
      </c>
      <c r="F1438" t="s">
        <v>67</v>
      </c>
      <c r="G1438" t="s">
        <v>550</v>
      </c>
      <c r="H1438" t="s">
        <v>697</v>
      </c>
      <c r="I1438" t="s">
        <v>70</v>
      </c>
      <c r="J1438" t="s">
        <v>321</v>
      </c>
      <c r="K1438">
        <v>1265.7</v>
      </c>
      <c r="L1438">
        <v>25.21</v>
      </c>
      <c r="M1438" t="s">
        <v>193</v>
      </c>
      <c r="N1438">
        <v>24947</v>
      </c>
      <c r="O1438">
        <v>29.29</v>
      </c>
      <c r="P1438">
        <v>7.88</v>
      </c>
      <c r="R1438">
        <v>2.31</v>
      </c>
      <c r="S1438">
        <v>0.91</v>
      </c>
      <c r="T1438" t="s">
        <v>2146</v>
      </c>
      <c r="U1438">
        <v>0.72</v>
      </c>
      <c r="V1438" t="s">
        <v>3046</v>
      </c>
      <c r="W1438" t="s">
        <v>4907</v>
      </c>
      <c r="X1438" t="s">
        <v>5699</v>
      </c>
      <c r="Y1438" t="s">
        <v>1561</v>
      </c>
      <c r="Z1438" t="s">
        <v>143</v>
      </c>
      <c r="AA1438">
        <v>0.86</v>
      </c>
      <c r="AB1438" t="s">
        <v>5570</v>
      </c>
      <c r="AC1438" t="s">
        <v>4222</v>
      </c>
      <c r="AE1438" t="s">
        <v>3244</v>
      </c>
      <c r="AF1438" t="s">
        <v>8576</v>
      </c>
      <c r="AG1438" t="s">
        <v>340</v>
      </c>
      <c r="AH1438" t="s">
        <v>11867</v>
      </c>
      <c r="AI1438" t="s">
        <v>14765</v>
      </c>
      <c r="AJ1438" t="s">
        <v>430</v>
      </c>
      <c r="AK1438" t="s">
        <v>17330</v>
      </c>
      <c r="AL1438">
        <v>7.0000000000000007E-2</v>
      </c>
      <c r="AN1438">
        <v>0.73</v>
      </c>
      <c r="AP1438" t="s">
        <v>6747</v>
      </c>
      <c r="AQ1438" t="s">
        <v>4641</v>
      </c>
      <c r="AR1438" t="s">
        <v>2868</v>
      </c>
      <c r="AS1438" t="s">
        <v>7322</v>
      </c>
      <c r="AT1438" t="s">
        <v>148</v>
      </c>
      <c r="AU1438" t="s">
        <v>715</v>
      </c>
      <c r="AV1438" t="s">
        <v>5395</v>
      </c>
      <c r="AW1438" t="s">
        <v>5650</v>
      </c>
      <c r="AX1438" t="s">
        <v>15187</v>
      </c>
      <c r="AY1438" t="s">
        <v>2901</v>
      </c>
      <c r="AZ1438" t="s">
        <v>13932</v>
      </c>
      <c r="BA1438">
        <v>1</v>
      </c>
      <c r="BB1438">
        <v>316.16000000000003</v>
      </c>
      <c r="BC1438">
        <v>0.28000000000000003</v>
      </c>
      <c r="BD1438">
        <v>25.14</v>
      </c>
      <c r="BE1438">
        <v>25.44</v>
      </c>
      <c r="BF1438">
        <v>25.15</v>
      </c>
      <c r="BG1438" t="s">
        <v>17331</v>
      </c>
      <c r="BH1438" t="s">
        <v>5303</v>
      </c>
      <c r="BI1438" t="s">
        <v>17332</v>
      </c>
      <c r="BJ1438" t="s">
        <v>101</v>
      </c>
      <c r="BK1438" t="s">
        <v>3507</v>
      </c>
      <c r="BL1438" t="s">
        <v>2146</v>
      </c>
      <c r="BM1438" t="s">
        <v>4493</v>
      </c>
      <c r="BN1438" t="s">
        <v>14623</v>
      </c>
    </row>
    <row r="1439" spans="1:66" x14ac:dyDescent="0.25">
      <c r="A1439" t="str">
        <f>HYPERLINK("https://elite.finviz.com/quote.ashx?t=CCLD&amp;ty=c&amp;p=d&amp;b=1", "CCLD")</f>
        <v>CCLD</v>
      </c>
      <c r="B1439">
        <v>6</v>
      </c>
      <c r="C1439">
        <v>127.03</v>
      </c>
      <c r="D1439">
        <v>51.53</v>
      </c>
      <c r="E1439" t="s">
        <v>17333</v>
      </c>
      <c r="F1439" t="s">
        <v>107</v>
      </c>
      <c r="G1439" t="s">
        <v>428</v>
      </c>
      <c r="H1439" t="s">
        <v>2075</v>
      </c>
      <c r="I1439" t="s">
        <v>70</v>
      </c>
      <c r="J1439" t="s">
        <v>321</v>
      </c>
      <c r="K1439">
        <v>143.05000000000001</v>
      </c>
      <c r="L1439">
        <v>3.38</v>
      </c>
      <c r="M1439" t="s">
        <v>4780</v>
      </c>
      <c r="N1439">
        <v>60199</v>
      </c>
      <c r="P1439">
        <v>45.07</v>
      </c>
      <c r="R1439">
        <v>1.28</v>
      </c>
      <c r="S1439">
        <v>2.5499999999999998</v>
      </c>
      <c r="AA1439">
        <v>-0.04</v>
      </c>
      <c r="AB1439" t="s">
        <v>5708</v>
      </c>
      <c r="AC1439" t="s">
        <v>8684</v>
      </c>
      <c r="AE1439" t="s">
        <v>629</v>
      </c>
      <c r="AF1439" t="s">
        <v>7347</v>
      </c>
      <c r="AG1439" t="s">
        <v>292</v>
      </c>
      <c r="AH1439" t="s">
        <v>4124</v>
      </c>
      <c r="AI1439" t="s">
        <v>1441</v>
      </c>
      <c r="AJ1439" t="s">
        <v>2294</v>
      </c>
      <c r="AK1439" t="s">
        <v>10750</v>
      </c>
      <c r="AL1439">
        <v>1.91</v>
      </c>
      <c r="AM1439">
        <v>1.88</v>
      </c>
      <c r="AN1439">
        <v>0.06</v>
      </c>
      <c r="AO1439" t="s">
        <v>17334</v>
      </c>
      <c r="AP1439" t="s">
        <v>8319</v>
      </c>
      <c r="AQ1439" t="s">
        <v>2215</v>
      </c>
      <c r="AR1439" t="s">
        <v>2231</v>
      </c>
      <c r="AS1439" t="s">
        <v>4742</v>
      </c>
      <c r="AT1439" t="s">
        <v>4187</v>
      </c>
      <c r="AU1439" t="s">
        <v>11867</v>
      </c>
      <c r="AV1439" t="s">
        <v>11443</v>
      </c>
      <c r="AW1439" t="s">
        <v>17335</v>
      </c>
      <c r="AX1439" t="s">
        <v>1426</v>
      </c>
      <c r="AY1439" t="s">
        <v>17336</v>
      </c>
      <c r="AZ1439" t="s">
        <v>17337</v>
      </c>
      <c r="BA1439">
        <v>2</v>
      </c>
      <c r="BB1439">
        <v>456.24</v>
      </c>
      <c r="BC1439">
        <v>0.47</v>
      </c>
      <c r="BD1439">
        <v>3.33</v>
      </c>
      <c r="BE1439">
        <v>3.41</v>
      </c>
      <c r="BF1439">
        <v>3.32</v>
      </c>
      <c r="BG1439" t="s">
        <v>17338</v>
      </c>
      <c r="BH1439" t="s">
        <v>17339</v>
      </c>
      <c r="BI1439" t="s">
        <v>17340</v>
      </c>
      <c r="BJ1439" t="s">
        <v>101</v>
      </c>
      <c r="BK1439" t="s">
        <v>17341</v>
      </c>
      <c r="BL1439" t="s">
        <v>17342</v>
      </c>
      <c r="BM1439" t="s">
        <v>4224</v>
      </c>
      <c r="BN1439" t="s">
        <v>14623</v>
      </c>
    </row>
    <row r="1440" spans="1:66" x14ac:dyDescent="0.25">
      <c r="A1440" t="str">
        <f>HYPERLINK("https://elite.finviz.com/quote.ashx?t=TBH&amp;ty=c&amp;p=d&amp;b=1", "TBH")</f>
        <v>TBH</v>
      </c>
      <c r="B1440">
        <v>6</v>
      </c>
      <c r="C1440">
        <v>127.03</v>
      </c>
      <c r="D1440">
        <v>51.54</v>
      </c>
      <c r="E1440" t="s">
        <v>17343</v>
      </c>
      <c r="F1440" t="s">
        <v>107</v>
      </c>
      <c r="G1440" t="s">
        <v>598</v>
      </c>
      <c r="H1440" t="s">
        <v>7474</v>
      </c>
      <c r="I1440" t="s">
        <v>70</v>
      </c>
      <c r="J1440" t="s">
        <v>321</v>
      </c>
      <c r="K1440">
        <v>16.12</v>
      </c>
      <c r="L1440">
        <v>1.49</v>
      </c>
      <c r="M1440" t="s">
        <v>5253</v>
      </c>
      <c r="N1440">
        <v>10530</v>
      </c>
      <c r="S1440">
        <v>17.829999999999998</v>
      </c>
      <c r="AA1440">
        <v>-0.38</v>
      </c>
      <c r="AB1440" t="s">
        <v>246</v>
      </c>
      <c r="AE1440" t="s">
        <v>3320</v>
      </c>
      <c r="AF1440" t="s">
        <v>17344</v>
      </c>
      <c r="AI1440" t="s">
        <v>579</v>
      </c>
      <c r="AJ1440" t="s">
        <v>164</v>
      </c>
      <c r="AK1440" t="s">
        <v>4913</v>
      </c>
      <c r="AL1440">
        <v>1.38</v>
      </c>
      <c r="AM1440">
        <v>1.38</v>
      </c>
      <c r="AN1440">
        <v>0</v>
      </c>
      <c r="AO1440" t="s">
        <v>1647</v>
      </c>
      <c r="AR1440" t="s">
        <v>8240</v>
      </c>
      <c r="AS1440" t="s">
        <v>2976</v>
      </c>
      <c r="AT1440" t="s">
        <v>12014</v>
      </c>
      <c r="AU1440" t="s">
        <v>2947</v>
      </c>
      <c r="AV1440" t="s">
        <v>2757</v>
      </c>
      <c r="AW1440" t="s">
        <v>17345</v>
      </c>
      <c r="AX1440" t="s">
        <v>10155</v>
      </c>
      <c r="AY1440" t="s">
        <v>17346</v>
      </c>
      <c r="AZ1440" t="s">
        <v>17347</v>
      </c>
      <c r="BB1440">
        <v>336.59</v>
      </c>
      <c r="BC1440">
        <v>0.11</v>
      </c>
      <c r="BD1440">
        <v>1.48</v>
      </c>
      <c r="BE1440">
        <v>1.53</v>
      </c>
      <c r="BF1440">
        <v>1.39</v>
      </c>
      <c r="BG1440" t="s">
        <v>17348</v>
      </c>
      <c r="BH1440" t="s">
        <v>17346</v>
      </c>
      <c r="BI1440" t="s">
        <v>17347</v>
      </c>
      <c r="BJ1440" t="s">
        <v>101</v>
      </c>
      <c r="BK1440" t="s">
        <v>17349</v>
      </c>
      <c r="BL1440" t="s">
        <v>10020</v>
      </c>
      <c r="BN1440" t="s">
        <v>14623</v>
      </c>
    </row>
    <row r="1441" spans="1:66" x14ac:dyDescent="0.25">
      <c r="A1441" t="str">
        <f>HYPERLINK("https://elite.finviz.com/quote.ashx?t=TREE&amp;ty=c&amp;p=d&amp;b=1", "TREE")</f>
        <v>TREE</v>
      </c>
      <c r="B1441">
        <v>6</v>
      </c>
      <c r="C1441">
        <v>127.03</v>
      </c>
      <c r="D1441">
        <v>51.56</v>
      </c>
      <c r="E1441" t="s">
        <v>17350</v>
      </c>
      <c r="F1441" t="s">
        <v>67</v>
      </c>
      <c r="G1441" t="s">
        <v>550</v>
      </c>
      <c r="H1441" t="s">
        <v>6613</v>
      </c>
      <c r="I1441" t="s">
        <v>70</v>
      </c>
      <c r="J1441" t="s">
        <v>321</v>
      </c>
      <c r="K1441">
        <v>941.81</v>
      </c>
      <c r="L1441">
        <v>69.150000000000006</v>
      </c>
      <c r="M1441" t="s">
        <v>747</v>
      </c>
      <c r="N1441">
        <v>20206</v>
      </c>
      <c r="P1441">
        <v>25.18</v>
      </c>
      <c r="R1441">
        <v>0.93</v>
      </c>
      <c r="S1441">
        <v>7.97</v>
      </c>
      <c r="V1441" t="s">
        <v>923</v>
      </c>
      <c r="AA1441">
        <v>-4.0599999999999996</v>
      </c>
      <c r="AE1441" t="s">
        <v>17351</v>
      </c>
      <c r="AF1441" t="s">
        <v>9019</v>
      </c>
      <c r="AG1441" t="s">
        <v>5273</v>
      </c>
      <c r="AH1441" t="s">
        <v>14050</v>
      </c>
      <c r="AI1441" t="s">
        <v>15416</v>
      </c>
      <c r="AJ1441" t="s">
        <v>1564</v>
      </c>
      <c r="AK1441" t="s">
        <v>1328</v>
      </c>
      <c r="AL1441">
        <v>1.22</v>
      </c>
      <c r="AM1441">
        <v>1.22</v>
      </c>
      <c r="AN1441">
        <v>4.7699999999999996</v>
      </c>
      <c r="AO1441" t="s">
        <v>17352</v>
      </c>
      <c r="AP1441" t="s">
        <v>2985</v>
      </c>
      <c r="AQ1441" t="s">
        <v>4073</v>
      </c>
      <c r="AR1441" t="s">
        <v>4690</v>
      </c>
      <c r="AS1441" t="s">
        <v>3542</v>
      </c>
      <c r="AT1441" t="s">
        <v>3586</v>
      </c>
      <c r="AU1441" t="s">
        <v>11337</v>
      </c>
      <c r="AV1441" t="s">
        <v>17353</v>
      </c>
      <c r="AW1441" t="s">
        <v>8416</v>
      </c>
      <c r="AX1441" t="s">
        <v>17354</v>
      </c>
      <c r="AY1441" t="s">
        <v>8416</v>
      </c>
      <c r="AZ1441" t="s">
        <v>17355</v>
      </c>
      <c r="BA1441">
        <v>1</v>
      </c>
      <c r="BB1441">
        <v>305.27999999999997</v>
      </c>
      <c r="BC1441">
        <v>0.23</v>
      </c>
      <c r="BD1441">
        <v>68.59</v>
      </c>
      <c r="BE1441">
        <v>69.61</v>
      </c>
      <c r="BF1441">
        <v>68.38</v>
      </c>
      <c r="BG1441" t="s">
        <v>17356</v>
      </c>
      <c r="BH1441" t="s">
        <v>17357</v>
      </c>
      <c r="BI1441" t="s">
        <v>17358</v>
      </c>
      <c r="BJ1441" t="s">
        <v>101</v>
      </c>
      <c r="BK1441" t="s">
        <v>17359</v>
      </c>
      <c r="BL1441" t="s">
        <v>15487</v>
      </c>
      <c r="BM1441" t="s">
        <v>14947</v>
      </c>
      <c r="BN1441" t="s">
        <v>14623</v>
      </c>
    </row>
    <row r="1442" spans="1:66" x14ac:dyDescent="0.25">
      <c r="A1442" t="str">
        <f>HYPERLINK("https://elite.finviz.com/quote.ashx?t=HAFC&amp;ty=c&amp;p=d&amp;b=1", "HAFC")</f>
        <v>HAFC</v>
      </c>
      <c r="B1442">
        <v>6</v>
      </c>
      <c r="C1442">
        <v>127.03</v>
      </c>
      <c r="D1442">
        <v>51.56</v>
      </c>
      <c r="E1442" t="s">
        <v>17360</v>
      </c>
      <c r="F1442" t="s">
        <v>67</v>
      </c>
      <c r="G1442" t="s">
        <v>550</v>
      </c>
      <c r="H1442" t="s">
        <v>697</v>
      </c>
      <c r="I1442" t="s">
        <v>70</v>
      </c>
      <c r="J1442" t="s">
        <v>321</v>
      </c>
      <c r="K1442">
        <v>749.84</v>
      </c>
      <c r="L1442">
        <v>24.89</v>
      </c>
      <c r="M1442" t="s">
        <v>193</v>
      </c>
      <c r="N1442">
        <v>20979</v>
      </c>
      <c r="O1442">
        <v>11.53</v>
      </c>
      <c r="P1442">
        <v>8.93</v>
      </c>
      <c r="R1442">
        <v>1.73</v>
      </c>
      <c r="S1442">
        <v>0.98</v>
      </c>
      <c r="T1442" t="s">
        <v>8625</v>
      </c>
      <c r="U1442">
        <v>1.06</v>
      </c>
      <c r="V1442" t="s">
        <v>4827</v>
      </c>
      <c r="W1442" t="s">
        <v>164</v>
      </c>
      <c r="X1442" t="s">
        <v>16257</v>
      </c>
      <c r="Y1442" t="s">
        <v>969</v>
      </c>
      <c r="Z1442" t="s">
        <v>17361</v>
      </c>
      <c r="AA1442">
        <v>2.16</v>
      </c>
      <c r="AB1442" t="s">
        <v>374</v>
      </c>
      <c r="AC1442" t="s">
        <v>7297</v>
      </c>
      <c r="AE1442" t="s">
        <v>3035</v>
      </c>
      <c r="AF1442" t="s">
        <v>3168</v>
      </c>
      <c r="AG1442" t="s">
        <v>12048</v>
      </c>
      <c r="AH1442" t="s">
        <v>387</v>
      </c>
      <c r="AI1442" t="s">
        <v>9827</v>
      </c>
      <c r="AJ1442" t="s">
        <v>164</v>
      </c>
      <c r="AK1442" t="s">
        <v>17362</v>
      </c>
      <c r="AL1442">
        <v>0.14000000000000001</v>
      </c>
      <c r="AN1442">
        <v>0.39</v>
      </c>
      <c r="AP1442" t="s">
        <v>8087</v>
      </c>
      <c r="AQ1442" t="s">
        <v>1625</v>
      </c>
      <c r="AR1442" t="s">
        <v>909</v>
      </c>
      <c r="AS1442" t="s">
        <v>5420</v>
      </c>
      <c r="AT1442" t="s">
        <v>2486</v>
      </c>
      <c r="AU1442" t="s">
        <v>92</v>
      </c>
      <c r="AV1442" t="s">
        <v>3066</v>
      </c>
      <c r="AW1442" t="s">
        <v>6755</v>
      </c>
      <c r="AX1442" t="s">
        <v>9864</v>
      </c>
      <c r="AY1442" t="s">
        <v>16396</v>
      </c>
      <c r="AZ1442" t="s">
        <v>13065</v>
      </c>
      <c r="BA1442">
        <v>2</v>
      </c>
      <c r="BB1442">
        <v>166.91</v>
      </c>
      <c r="BC1442">
        <v>0.45</v>
      </c>
      <c r="BD1442">
        <v>24.82</v>
      </c>
      <c r="BE1442">
        <v>25.35</v>
      </c>
      <c r="BF1442">
        <v>24.85</v>
      </c>
      <c r="BG1442" t="s">
        <v>17363</v>
      </c>
      <c r="BH1442" t="s">
        <v>8689</v>
      </c>
      <c r="BI1442" t="s">
        <v>17364</v>
      </c>
      <c r="BJ1442" t="s">
        <v>101</v>
      </c>
      <c r="BK1442" t="s">
        <v>3446</v>
      </c>
      <c r="BL1442" t="s">
        <v>5697</v>
      </c>
      <c r="BM1442" t="s">
        <v>15036</v>
      </c>
      <c r="BN1442" t="s">
        <v>14623</v>
      </c>
    </row>
    <row r="1443" spans="1:66" x14ac:dyDescent="0.25">
      <c r="A1443" t="str">
        <f>HYPERLINK("https://elite.finviz.com/quote.ashx?t=CFFN&amp;ty=c&amp;p=d&amp;b=1", "CFFN")</f>
        <v>CFFN</v>
      </c>
      <c r="B1443">
        <v>6</v>
      </c>
      <c r="C1443">
        <v>127.03</v>
      </c>
      <c r="D1443">
        <v>51.58</v>
      </c>
      <c r="E1443" t="s">
        <v>17365</v>
      </c>
      <c r="F1443" t="s">
        <v>67</v>
      </c>
      <c r="G1443" t="s">
        <v>550</v>
      </c>
      <c r="H1443" t="s">
        <v>697</v>
      </c>
      <c r="I1443" t="s">
        <v>70</v>
      </c>
      <c r="J1443" t="s">
        <v>321</v>
      </c>
      <c r="K1443">
        <v>848.6</v>
      </c>
      <c r="L1443">
        <v>6.39</v>
      </c>
      <c r="M1443" t="s">
        <v>164</v>
      </c>
      <c r="N1443">
        <v>72258</v>
      </c>
      <c r="O1443">
        <v>13.57</v>
      </c>
      <c r="P1443">
        <v>10.65</v>
      </c>
      <c r="Q1443">
        <v>0.66</v>
      </c>
      <c r="R1443">
        <v>2.06</v>
      </c>
      <c r="S1443">
        <v>0.81</v>
      </c>
      <c r="T1443" t="s">
        <v>3054</v>
      </c>
      <c r="U1443">
        <v>0.34</v>
      </c>
      <c r="V1443" t="s">
        <v>4066</v>
      </c>
      <c r="W1443" t="s">
        <v>164</v>
      </c>
      <c r="X1443" t="s">
        <v>164</v>
      </c>
      <c r="Y1443" t="s">
        <v>164</v>
      </c>
      <c r="Z1443" t="s">
        <v>17366</v>
      </c>
      <c r="AA1443">
        <v>0.47</v>
      </c>
      <c r="AB1443" t="s">
        <v>17367</v>
      </c>
      <c r="AC1443" t="s">
        <v>7014</v>
      </c>
      <c r="AD1443" t="s">
        <v>14815</v>
      </c>
      <c r="AE1443" t="s">
        <v>10237</v>
      </c>
      <c r="AF1443" t="s">
        <v>2911</v>
      </c>
      <c r="AG1443" t="s">
        <v>352</v>
      </c>
      <c r="AH1443" t="s">
        <v>3948</v>
      </c>
      <c r="AI1443" t="s">
        <v>1001</v>
      </c>
      <c r="AJ1443" t="s">
        <v>227</v>
      </c>
      <c r="AK1443" t="s">
        <v>3935</v>
      </c>
      <c r="AL1443">
        <v>0.05</v>
      </c>
      <c r="AN1443">
        <v>1.98</v>
      </c>
      <c r="AP1443" t="s">
        <v>2067</v>
      </c>
      <c r="AQ1443" t="s">
        <v>536</v>
      </c>
      <c r="AR1443" t="s">
        <v>7423</v>
      </c>
      <c r="AS1443" t="s">
        <v>2339</v>
      </c>
      <c r="AT1443" t="s">
        <v>2197</v>
      </c>
      <c r="AU1443" t="s">
        <v>3208</v>
      </c>
      <c r="AV1443" t="s">
        <v>929</v>
      </c>
      <c r="AW1443" t="s">
        <v>2204</v>
      </c>
      <c r="AX1443" t="s">
        <v>2891</v>
      </c>
      <c r="AY1443" t="s">
        <v>13219</v>
      </c>
      <c r="AZ1443" t="s">
        <v>5351</v>
      </c>
      <c r="BA1443">
        <v>3</v>
      </c>
      <c r="BB1443">
        <v>678</v>
      </c>
      <c r="BC1443">
        <v>0.38</v>
      </c>
      <c r="BD1443">
        <v>6.39</v>
      </c>
      <c r="BE1443">
        <v>6.45</v>
      </c>
      <c r="BF1443">
        <v>6.39</v>
      </c>
      <c r="BG1443" t="s">
        <v>17368</v>
      </c>
      <c r="BH1443" t="s">
        <v>17369</v>
      </c>
      <c r="BI1443" t="s">
        <v>17370</v>
      </c>
      <c r="BJ1443" t="s">
        <v>101</v>
      </c>
      <c r="BK1443" t="s">
        <v>8966</v>
      </c>
      <c r="BL1443" t="s">
        <v>8691</v>
      </c>
      <c r="BM1443" t="s">
        <v>6028</v>
      </c>
      <c r="BN1443" t="s">
        <v>14623</v>
      </c>
    </row>
    <row r="1444" spans="1:66" x14ac:dyDescent="0.25">
      <c r="A1444" t="str">
        <f>HYPERLINK("https://elite.finviz.com/quote.ashx?t=NRDS&amp;ty=c&amp;p=d&amp;b=1", "NRDS")</f>
        <v>NRDS</v>
      </c>
      <c r="B1444">
        <v>6</v>
      </c>
      <c r="C1444">
        <v>127.03</v>
      </c>
      <c r="D1444">
        <v>51.59</v>
      </c>
      <c r="E1444" t="s">
        <v>17371</v>
      </c>
      <c r="F1444" t="s">
        <v>67</v>
      </c>
      <c r="G1444" t="s">
        <v>598</v>
      </c>
      <c r="H1444" t="s">
        <v>599</v>
      </c>
      <c r="I1444" t="s">
        <v>70</v>
      </c>
      <c r="J1444" t="s">
        <v>321</v>
      </c>
      <c r="K1444">
        <v>823.85</v>
      </c>
      <c r="L1444">
        <v>10.84</v>
      </c>
      <c r="M1444" t="s">
        <v>3000</v>
      </c>
      <c r="N1444">
        <v>76834</v>
      </c>
      <c r="O1444">
        <v>17.440000000000001</v>
      </c>
      <c r="P1444">
        <v>15.33</v>
      </c>
      <c r="Q1444">
        <v>0.71</v>
      </c>
      <c r="R1444">
        <v>1.07</v>
      </c>
      <c r="S1444">
        <v>2.09</v>
      </c>
      <c r="Z1444" t="s">
        <v>164</v>
      </c>
      <c r="AA1444">
        <v>0.62</v>
      </c>
      <c r="AC1444" t="s">
        <v>2759</v>
      </c>
      <c r="AD1444" t="s">
        <v>4467</v>
      </c>
      <c r="AE1444" t="s">
        <v>7633</v>
      </c>
      <c r="AF1444" t="s">
        <v>8290</v>
      </c>
      <c r="AG1444" t="s">
        <v>1719</v>
      </c>
      <c r="AH1444" t="s">
        <v>1887</v>
      </c>
      <c r="AI1444" t="s">
        <v>10237</v>
      </c>
      <c r="AJ1444" t="s">
        <v>164</v>
      </c>
      <c r="AK1444" t="s">
        <v>8862</v>
      </c>
      <c r="AL1444">
        <v>3.44</v>
      </c>
      <c r="AM1444">
        <v>3.44</v>
      </c>
      <c r="AN1444">
        <v>0.05</v>
      </c>
      <c r="AO1444" t="s">
        <v>17372</v>
      </c>
      <c r="AP1444" t="s">
        <v>1452</v>
      </c>
      <c r="AQ1444" t="s">
        <v>5455</v>
      </c>
      <c r="AR1444" t="s">
        <v>3325</v>
      </c>
      <c r="AS1444" t="s">
        <v>4677</v>
      </c>
      <c r="AT1444" t="s">
        <v>2418</v>
      </c>
      <c r="AU1444" t="s">
        <v>715</v>
      </c>
      <c r="AV1444" t="s">
        <v>1313</v>
      </c>
      <c r="AW1444" t="s">
        <v>9148</v>
      </c>
      <c r="AX1444" t="s">
        <v>8719</v>
      </c>
      <c r="AY1444" t="s">
        <v>17373</v>
      </c>
      <c r="AZ1444" t="s">
        <v>17374</v>
      </c>
      <c r="BA1444">
        <v>1.5</v>
      </c>
      <c r="BB1444">
        <v>514.54999999999995</v>
      </c>
      <c r="BC1444">
        <v>0.53</v>
      </c>
      <c r="BD1444">
        <v>10.8</v>
      </c>
      <c r="BE1444">
        <v>10.92</v>
      </c>
      <c r="BF1444">
        <v>10.8</v>
      </c>
      <c r="BG1444" t="s">
        <v>17375</v>
      </c>
      <c r="BH1444" t="s">
        <v>13629</v>
      </c>
      <c r="BI1444" t="s">
        <v>17376</v>
      </c>
      <c r="BJ1444" t="s">
        <v>101</v>
      </c>
      <c r="BK1444" t="s">
        <v>8634</v>
      </c>
      <c r="BL1444" t="s">
        <v>2737</v>
      </c>
      <c r="BM1444" t="s">
        <v>13771</v>
      </c>
      <c r="BN1444" t="s">
        <v>14623</v>
      </c>
    </row>
    <row r="1445" spans="1:66" x14ac:dyDescent="0.25">
      <c r="A1445" t="str">
        <f>HYPERLINK("https://elite.finviz.com/quote.ashx?t=DC&amp;ty=c&amp;p=d&amp;b=1", "DC")</f>
        <v>DC</v>
      </c>
      <c r="B1445">
        <v>6</v>
      </c>
      <c r="C1445">
        <v>127.03</v>
      </c>
      <c r="D1445">
        <v>51.63</v>
      </c>
      <c r="E1445" t="s">
        <v>17377</v>
      </c>
      <c r="F1445" t="s">
        <v>67</v>
      </c>
      <c r="G1445" t="s">
        <v>355</v>
      </c>
      <c r="H1445" t="s">
        <v>1103</v>
      </c>
      <c r="I1445" t="s">
        <v>70</v>
      </c>
      <c r="J1445" t="s">
        <v>383</v>
      </c>
      <c r="K1445">
        <v>508.36</v>
      </c>
      <c r="L1445">
        <v>4.53</v>
      </c>
      <c r="M1445" t="s">
        <v>4699</v>
      </c>
      <c r="N1445">
        <v>336361</v>
      </c>
      <c r="S1445">
        <v>4.08</v>
      </c>
      <c r="AA1445">
        <v>-0.27</v>
      </c>
      <c r="AC1445" t="s">
        <v>17378</v>
      </c>
      <c r="AI1445" t="s">
        <v>4996</v>
      </c>
      <c r="AJ1445" t="s">
        <v>164</v>
      </c>
      <c r="AK1445" t="s">
        <v>5315</v>
      </c>
      <c r="AL1445">
        <v>14.77</v>
      </c>
      <c r="AM1445">
        <v>14.77</v>
      </c>
      <c r="AN1445">
        <v>0</v>
      </c>
      <c r="AR1445" t="s">
        <v>5163</v>
      </c>
      <c r="AS1445" t="s">
        <v>7971</v>
      </c>
      <c r="AT1445" t="s">
        <v>5153</v>
      </c>
      <c r="AU1445" t="s">
        <v>1243</v>
      </c>
      <c r="AV1445" t="s">
        <v>17379</v>
      </c>
      <c r="AW1445" t="s">
        <v>2272</v>
      </c>
      <c r="AX1445" t="s">
        <v>11035</v>
      </c>
      <c r="AY1445" t="s">
        <v>2272</v>
      </c>
      <c r="AZ1445" t="s">
        <v>17380</v>
      </c>
      <c r="BA1445">
        <v>1</v>
      </c>
      <c r="BB1445">
        <v>902.96</v>
      </c>
      <c r="BC1445">
        <v>1.31</v>
      </c>
      <c r="BD1445">
        <v>4.53</v>
      </c>
      <c r="BE1445">
        <v>4.6100000000000003</v>
      </c>
      <c r="BF1445">
        <v>4.49</v>
      </c>
      <c r="BG1445" t="s">
        <v>17381</v>
      </c>
      <c r="BH1445" t="s">
        <v>9642</v>
      </c>
      <c r="BI1445" t="s">
        <v>17382</v>
      </c>
      <c r="BJ1445" t="s">
        <v>101</v>
      </c>
      <c r="BK1445" t="s">
        <v>7804</v>
      </c>
      <c r="BL1445" t="s">
        <v>17383</v>
      </c>
      <c r="BM1445" t="s">
        <v>17384</v>
      </c>
      <c r="BN1445" t="s">
        <v>14623</v>
      </c>
    </row>
    <row r="1446" spans="1:66" x14ac:dyDescent="0.25">
      <c r="A1446" t="str">
        <f>HYPERLINK("https://elite.finviz.com/quote.ashx?t=GIII&amp;ty=c&amp;p=d&amp;b=1", "GIII")</f>
        <v>GIII</v>
      </c>
      <c r="B1446">
        <v>6</v>
      </c>
      <c r="C1446">
        <v>127.03</v>
      </c>
      <c r="D1446">
        <v>51.64</v>
      </c>
      <c r="E1446" t="s">
        <v>17385</v>
      </c>
      <c r="F1446" t="s">
        <v>67</v>
      </c>
      <c r="G1446" t="s">
        <v>813</v>
      </c>
      <c r="H1446" t="s">
        <v>7446</v>
      </c>
      <c r="I1446" t="s">
        <v>70</v>
      </c>
      <c r="J1446" t="s">
        <v>321</v>
      </c>
      <c r="K1446">
        <v>1126.6600000000001</v>
      </c>
      <c r="L1446">
        <v>26.69</v>
      </c>
      <c r="M1446" t="s">
        <v>3227</v>
      </c>
      <c r="N1446">
        <v>53036</v>
      </c>
      <c r="O1446">
        <v>6.61</v>
      </c>
      <c r="P1446">
        <v>9.41</v>
      </c>
      <c r="R1446">
        <v>0.36</v>
      </c>
      <c r="S1446">
        <v>0.66</v>
      </c>
      <c r="Z1446" t="s">
        <v>164</v>
      </c>
      <c r="AA1446">
        <v>4.04</v>
      </c>
      <c r="AB1446" t="s">
        <v>5380</v>
      </c>
      <c r="AC1446" t="s">
        <v>5383</v>
      </c>
      <c r="AD1446" t="s">
        <v>6214</v>
      </c>
      <c r="AE1446" t="s">
        <v>5380</v>
      </c>
      <c r="AF1446" t="s">
        <v>995</v>
      </c>
      <c r="AG1446" t="s">
        <v>4494</v>
      </c>
      <c r="AH1446" t="s">
        <v>6480</v>
      </c>
      <c r="AI1446" t="s">
        <v>12314</v>
      </c>
      <c r="AJ1446" t="s">
        <v>149</v>
      </c>
      <c r="AK1446" t="s">
        <v>13449</v>
      </c>
      <c r="AL1446">
        <v>2.21</v>
      </c>
      <c r="AM1446">
        <v>1.26</v>
      </c>
      <c r="AN1446">
        <v>0.17</v>
      </c>
      <c r="AO1446" t="s">
        <v>16432</v>
      </c>
      <c r="AP1446" t="s">
        <v>1388</v>
      </c>
      <c r="AQ1446" t="s">
        <v>3733</v>
      </c>
      <c r="AR1446" t="s">
        <v>2273</v>
      </c>
      <c r="AS1446" t="s">
        <v>2317</v>
      </c>
      <c r="AT1446" t="s">
        <v>5312</v>
      </c>
      <c r="AU1446" t="s">
        <v>1050</v>
      </c>
      <c r="AV1446" t="s">
        <v>4938</v>
      </c>
      <c r="AW1446" t="s">
        <v>6074</v>
      </c>
      <c r="AX1446" t="s">
        <v>2883</v>
      </c>
      <c r="AY1446" t="s">
        <v>17386</v>
      </c>
      <c r="AZ1446" t="s">
        <v>12003</v>
      </c>
      <c r="BA1446">
        <v>3</v>
      </c>
      <c r="BB1446">
        <v>644.26</v>
      </c>
      <c r="BC1446">
        <v>0.28999999999999998</v>
      </c>
      <c r="BD1446">
        <v>26.7</v>
      </c>
      <c r="BE1446">
        <v>26.91</v>
      </c>
      <c r="BF1446">
        <v>26.53</v>
      </c>
      <c r="BG1446" t="s">
        <v>17387</v>
      </c>
      <c r="BH1446" t="s">
        <v>17388</v>
      </c>
      <c r="BI1446" t="s">
        <v>17389</v>
      </c>
      <c r="BJ1446" t="s">
        <v>101</v>
      </c>
      <c r="BK1446" t="s">
        <v>5540</v>
      </c>
      <c r="BL1446" t="s">
        <v>10819</v>
      </c>
      <c r="BM1446" t="s">
        <v>11617</v>
      </c>
      <c r="BN1446" t="s">
        <v>14623</v>
      </c>
    </row>
    <row r="1447" spans="1:66" x14ac:dyDescent="0.25">
      <c r="A1447" t="str">
        <f>HYPERLINK("https://elite.finviz.com/quote.ashx?t=FF&amp;ty=c&amp;p=d&amp;b=1", "FF")</f>
        <v>FF</v>
      </c>
      <c r="B1447">
        <v>6</v>
      </c>
      <c r="C1447">
        <v>127.03</v>
      </c>
      <c r="D1447">
        <v>51.72</v>
      </c>
      <c r="E1447" t="s">
        <v>17390</v>
      </c>
      <c r="F1447" t="s">
        <v>67</v>
      </c>
      <c r="G1447" t="s">
        <v>355</v>
      </c>
      <c r="H1447" t="s">
        <v>1147</v>
      </c>
      <c r="I1447" t="s">
        <v>70</v>
      </c>
      <c r="J1447" t="s">
        <v>71</v>
      </c>
      <c r="K1447">
        <v>172.58</v>
      </c>
      <c r="L1447">
        <v>3.94</v>
      </c>
      <c r="M1447" t="s">
        <v>84</v>
      </c>
      <c r="N1447">
        <v>14697</v>
      </c>
      <c r="R1447">
        <v>1.04</v>
      </c>
      <c r="S1447">
        <v>0.97</v>
      </c>
      <c r="T1447" t="s">
        <v>614</v>
      </c>
      <c r="U1447">
        <v>0.24</v>
      </c>
      <c r="V1447" t="s">
        <v>17391</v>
      </c>
      <c r="W1447" t="s">
        <v>164</v>
      </c>
      <c r="X1447" t="s">
        <v>164</v>
      </c>
      <c r="Y1447" t="s">
        <v>164</v>
      </c>
      <c r="Z1447" t="s">
        <v>10860</v>
      </c>
      <c r="AA1447">
        <v>-0.6</v>
      </c>
      <c r="AB1447" t="s">
        <v>13921</v>
      </c>
      <c r="AC1447" t="s">
        <v>17392</v>
      </c>
      <c r="AE1447" t="s">
        <v>17393</v>
      </c>
      <c r="AF1447" t="s">
        <v>4692</v>
      </c>
      <c r="AG1447" t="s">
        <v>2941</v>
      </c>
      <c r="AH1447" t="s">
        <v>14286</v>
      </c>
      <c r="AJ1447" t="s">
        <v>3358</v>
      </c>
      <c r="AK1447" t="s">
        <v>3799</v>
      </c>
      <c r="AL1447">
        <v>4.16</v>
      </c>
      <c r="AM1447">
        <v>3.85</v>
      </c>
      <c r="AN1447">
        <v>0</v>
      </c>
      <c r="AO1447" t="s">
        <v>2752</v>
      </c>
      <c r="AP1447" t="s">
        <v>299</v>
      </c>
      <c r="AQ1447" t="s">
        <v>2126</v>
      </c>
      <c r="AR1447" t="s">
        <v>2356</v>
      </c>
      <c r="AS1447" t="s">
        <v>3456</v>
      </c>
      <c r="AT1447" t="s">
        <v>4271</v>
      </c>
      <c r="AU1447" t="s">
        <v>6842</v>
      </c>
      <c r="AV1447" t="s">
        <v>16335</v>
      </c>
      <c r="AW1447" t="s">
        <v>2746</v>
      </c>
      <c r="AX1447" t="s">
        <v>7669</v>
      </c>
      <c r="AY1447" t="s">
        <v>6248</v>
      </c>
      <c r="AZ1447" t="s">
        <v>7669</v>
      </c>
      <c r="BA1447">
        <v>1</v>
      </c>
      <c r="BB1447">
        <v>221.2</v>
      </c>
      <c r="BC1447">
        <v>0.23</v>
      </c>
      <c r="BD1447">
        <v>3.91</v>
      </c>
      <c r="BE1447">
        <v>3.94</v>
      </c>
      <c r="BF1447">
        <v>3.89</v>
      </c>
      <c r="BG1447" t="s">
        <v>17394</v>
      </c>
      <c r="BH1447" t="s">
        <v>16332</v>
      </c>
      <c r="BI1447" t="s">
        <v>17395</v>
      </c>
      <c r="BJ1447" t="s">
        <v>101</v>
      </c>
      <c r="BK1447" t="s">
        <v>4538</v>
      </c>
      <c r="BL1447" t="s">
        <v>5846</v>
      </c>
      <c r="BM1447" t="s">
        <v>12930</v>
      </c>
      <c r="BN1447" t="s">
        <v>14623</v>
      </c>
    </row>
    <row r="1448" spans="1:66" x14ac:dyDescent="0.25">
      <c r="A1448" t="str">
        <f>HYPERLINK("https://elite.finviz.com/quote.ashx?t=RMAX&amp;ty=c&amp;p=d&amp;b=1", "RMAX")</f>
        <v>RMAX</v>
      </c>
      <c r="B1448">
        <v>6</v>
      </c>
      <c r="C1448">
        <v>127.03</v>
      </c>
      <c r="D1448">
        <v>51.76</v>
      </c>
      <c r="E1448" t="s">
        <v>17396</v>
      </c>
      <c r="F1448" t="s">
        <v>67</v>
      </c>
      <c r="G1448" t="s">
        <v>68</v>
      </c>
      <c r="H1448" t="s">
        <v>7494</v>
      </c>
      <c r="I1448" t="s">
        <v>70</v>
      </c>
      <c r="J1448" t="s">
        <v>71</v>
      </c>
      <c r="K1448">
        <v>311.23</v>
      </c>
      <c r="L1448">
        <v>9.5500000000000007</v>
      </c>
      <c r="M1448" t="s">
        <v>2468</v>
      </c>
      <c r="N1448">
        <v>19165</v>
      </c>
      <c r="O1448">
        <v>20.28</v>
      </c>
      <c r="P1448">
        <v>7.13</v>
      </c>
      <c r="Q1448">
        <v>3.61</v>
      </c>
      <c r="R1448">
        <v>1.04</v>
      </c>
      <c r="S1448">
        <v>0.43</v>
      </c>
      <c r="V1448" t="s">
        <v>17397</v>
      </c>
      <c r="Z1448" t="s">
        <v>164</v>
      </c>
      <c r="AA1448">
        <v>0.47</v>
      </c>
      <c r="AC1448" t="s">
        <v>2388</v>
      </c>
      <c r="AD1448" t="s">
        <v>3949</v>
      </c>
      <c r="AE1448" t="s">
        <v>9711</v>
      </c>
      <c r="AF1448" t="s">
        <v>8985</v>
      </c>
      <c r="AG1448" t="s">
        <v>2195</v>
      </c>
      <c r="AH1448" t="s">
        <v>9240</v>
      </c>
      <c r="AI1448" t="s">
        <v>4377</v>
      </c>
      <c r="AJ1448" t="s">
        <v>2906</v>
      </c>
      <c r="AK1448" t="s">
        <v>14925</v>
      </c>
      <c r="AL1448">
        <v>1.41</v>
      </c>
      <c r="AM1448">
        <v>1.41</v>
      </c>
      <c r="AN1448">
        <v>1.05</v>
      </c>
      <c r="AO1448" t="s">
        <v>17398</v>
      </c>
      <c r="AP1448" t="s">
        <v>7735</v>
      </c>
      <c r="AQ1448" t="s">
        <v>1391</v>
      </c>
      <c r="AR1448" t="s">
        <v>8013</v>
      </c>
      <c r="AS1448" t="s">
        <v>7484</v>
      </c>
      <c r="AT1448" t="s">
        <v>7137</v>
      </c>
      <c r="AU1448" t="s">
        <v>11629</v>
      </c>
      <c r="AV1448" t="s">
        <v>1507</v>
      </c>
      <c r="AW1448" t="s">
        <v>10518</v>
      </c>
      <c r="AX1448" t="s">
        <v>2561</v>
      </c>
      <c r="AY1448" t="s">
        <v>17399</v>
      </c>
      <c r="AZ1448" t="s">
        <v>8856</v>
      </c>
      <c r="BA1448">
        <v>3.5</v>
      </c>
      <c r="BB1448">
        <v>241.1</v>
      </c>
      <c r="BC1448">
        <v>0.28000000000000003</v>
      </c>
      <c r="BD1448">
        <v>9.57</v>
      </c>
      <c r="BE1448">
        <v>9.66</v>
      </c>
      <c r="BF1448">
        <v>9.5399999999999991</v>
      </c>
      <c r="BG1448" t="s">
        <v>17400</v>
      </c>
      <c r="BH1448" t="s">
        <v>17401</v>
      </c>
      <c r="BI1448" t="s">
        <v>8856</v>
      </c>
      <c r="BJ1448" t="s">
        <v>101</v>
      </c>
      <c r="BK1448" t="s">
        <v>2471</v>
      </c>
      <c r="BL1448" t="s">
        <v>2922</v>
      </c>
      <c r="BM1448" t="s">
        <v>15857</v>
      </c>
      <c r="BN1448" t="s">
        <v>14623</v>
      </c>
    </row>
    <row r="1449" spans="1:66" x14ac:dyDescent="0.25">
      <c r="A1449" t="str">
        <f>HYPERLINK("https://elite.finviz.com/quote.ashx?t=TCRT&amp;ty=c&amp;p=d&amp;b=1", "TCRT")</f>
        <v>TCRT</v>
      </c>
      <c r="B1449">
        <v>6</v>
      </c>
      <c r="C1449">
        <v>127.03</v>
      </c>
      <c r="D1449">
        <v>51.76</v>
      </c>
      <c r="E1449" t="s">
        <v>17402</v>
      </c>
      <c r="F1449" t="s">
        <v>107</v>
      </c>
      <c r="G1449" t="s">
        <v>428</v>
      </c>
      <c r="H1449" t="s">
        <v>429</v>
      </c>
      <c r="I1449" t="s">
        <v>70</v>
      </c>
      <c r="J1449" t="s">
        <v>321</v>
      </c>
      <c r="K1449">
        <v>5.51</v>
      </c>
      <c r="L1449">
        <v>2.5</v>
      </c>
      <c r="M1449" t="s">
        <v>164</v>
      </c>
      <c r="N1449">
        <v>1614</v>
      </c>
      <c r="R1449">
        <v>551</v>
      </c>
      <c r="S1449">
        <v>1.42</v>
      </c>
      <c r="AA1449">
        <v>-2.46</v>
      </c>
      <c r="AB1449" t="s">
        <v>17403</v>
      </c>
      <c r="AC1449" t="s">
        <v>6603</v>
      </c>
      <c r="AE1449" t="s">
        <v>164</v>
      </c>
      <c r="AF1449" t="s">
        <v>17404</v>
      </c>
      <c r="AH1449" t="s">
        <v>579</v>
      </c>
      <c r="AI1449" t="s">
        <v>8795</v>
      </c>
      <c r="AJ1449" t="s">
        <v>164</v>
      </c>
      <c r="AK1449" t="s">
        <v>4294</v>
      </c>
      <c r="AL1449">
        <v>3.48</v>
      </c>
      <c r="AM1449">
        <v>3.48</v>
      </c>
      <c r="AN1449">
        <v>0</v>
      </c>
      <c r="AO1449" t="s">
        <v>17405</v>
      </c>
      <c r="AP1449" t="s">
        <v>17406</v>
      </c>
      <c r="AQ1449" t="s">
        <v>17407</v>
      </c>
      <c r="AR1449" t="s">
        <v>1114</v>
      </c>
      <c r="AS1449" t="s">
        <v>346</v>
      </c>
      <c r="AT1449" t="s">
        <v>3949</v>
      </c>
      <c r="AU1449" t="s">
        <v>2630</v>
      </c>
      <c r="AV1449" t="s">
        <v>5166</v>
      </c>
      <c r="AW1449" t="s">
        <v>17408</v>
      </c>
      <c r="AX1449" t="s">
        <v>17409</v>
      </c>
      <c r="AY1449" t="s">
        <v>17410</v>
      </c>
      <c r="AZ1449" t="s">
        <v>12695</v>
      </c>
      <c r="BA1449">
        <v>3</v>
      </c>
      <c r="BB1449">
        <v>138.68</v>
      </c>
      <c r="BC1449">
        <v>0.04</v>
      </c>
      <c r="BD1449">
        <v>2.5</v>
      </c>
      <c r="BE1449">
        <v>2.5</v>
      </c>
      <c r="BF1449">
        <v>2.4500000000000002</v>
      </c>
      <c r="BG1449" t="s">
        <v>17411</v>
      </c>
      <c r="BH1449" t="s">
        <v>3107</v>
      </c>
      <c r="BI1449" t="s">
        <v>12695</v>
      </c>
      <c r="BJ1449" t="s">
        <v>101</v>
      </c>
      <c r="BK1449" t="s">
        <v>3092</v>
      </c>
      <c r="BL1449" t="s">
        <v>17412</v>
      </c>
      <c r="BM1449" t="s">
        <v>17413</v>
      </c>
      <c r="BN1449" t="s">
        <v>14623</v>
      </c>
    </row>
    <row r="1450" spans="1:66" x14ac:dyDescent="0.25">
      <c r="A1450" t="str">
        <f>HYPERLINK("https://elite.finviz.com/quote.ashx?t=BCAL&amp;ty=c&amp;p=d&amp;b=1", "BCAL")</f>
        <v>BCAL</v>
      </c>
      <c r="B1450">
        <v>6</v>
      </c>
      <c r="C1450">
        <v>127.03</v>
      </c>
      <c r="D1450">
        <v>51.77</v>
      </c>
      <c r="E1450" t="s">
        <v>17414</v>
      </c>
      <c r="F1450" t="s">
        <v>67</v>
      </c>
      <c r="G1450" t="s">
        <v>550</v>
      </c>
      <c r="H1450" t="s">
        <v>697</v>
      </c>
      <c r="I1450" t="s">
        <v>70</v>
      </c>
      <c r="J1450" t="s">
        <v>321</v>
      </c>
      <c r="K1450">
        <v>552.79999999999995</v>
      </c>
      <c r="L1450">
        <v>17</v>
      </c>
      <c r="M1450" t="s">
        <v>2294</v>
      </c>
      <c r="N1450">
        <v>8383</v>
      </c>
      <c r="O1450">
        <v>19.64</v>
      </c>
      <c r="P1450">
        <v>10.58</v>
      </c>
      <c r="R1450">
        <v>2.34</v>
      </c>
      <c r="S1450">
        <v>1.01</v>
      </c>
      <c r="Z1450" t="s">
        <v>164</v>
      </c>
      <c r="AA1450">
        <v>0.87</v>
      </c>
      <c r="AB1450" t="s">
        <v>16750</v>
      </c>
      <c r="AC1450" t="s">
        <v>14418</v>
      </c>
      <c r="AE1450" t="s">
        <v>10396</v>
      </c>
      <c r="AF1450" t="s">
        <v>5605</v>
      </c>
      <c r="AG1450" t="s">
        <v>643</v>
      </c>
      <c r="AH1450" t="s">
        <v>14664</v>
      </c>
      <c r="AI1450" t="s">
        <v>4173</v>
      </c>
      <c r="AJ1450" t="s">
        <v>164</v>
      </c>
      <c r="AK1450" t="s">
        <v>9329</v>
      </c>
      <c r="AL1450">
        <v>0.2</v>
      </c>
      <c r="AN1450">
        <v>0.13</v>
      </c>
      <c r="AP1450" t="s">
        <v>5068</v>
      </c>
      <c r="AQ1450" t="s">
        <v>2709</v>
      </c>
      <c r="AR1450" t="s">
        <v>3916</v>
      </c>
      <c r="AS1450" t="s">
        <v>2307</v>
      </c>
      <c r="AT1450" t="s">
        <v>110</v>
      </c>
      <c r="AU1450" t="s">
        <v>4394</v>
      </c>
      <c r="AV1450" t="s">
        <v>10114</v>
      </c>
      <c r="AW1450" t="s">
        <v>8380</v>
      </c>
      <c r="AX1450" t="s">
        <v>4130</v>
      </c>
      <c r="AY1450" t="s">
        <v>4875</v>
      </c>
      <c r="AZ1450" t="s">
        <v>6742</v>
      </c>
      <c r="BA1450">
        <v>1.67</v>
      </c>
      <c r="BB1450">
        <v>131.81</v>
      </c>
      <c r="BC1450">
        <v>0.22</v>
      </c>
      <c r="BD1450">
        <v>17.04</v>
      </c>
      <c r="BE1450">
        <v>17.100000000000001</v>
      </c>
      <c r="BF1450">
        <v>17</v>
      </c>
      <c r="BG1450" t="s">
        <v>17415</v>
      </c>
      <c r="BH1450" t="s">
        <v>4875</v>
      </c>
      <c r="BI1450" t="s">
        <v>17416</v>
      </c>
      <c r="BJ1450" t="s">
        <v>101</v>
      </c>
      <c r="BK1450" t="s">
        <v>10542</v>
      </c>
      <c r="BL1450" t="s">
        <v>2018</v>
      </c>
      <c r="BM1450" t="s">
        <v>9497</v>
      </c>
      <c r="BN1450" t="s">
        <v>14623</v>
      </c>
    </row>
    <row r="1451" spans="1:66" x14ac:dyDescent="0.25">
      <c r="A1451" t="str">
        <f>HYPERLINK("https://elite.finviz.com/quote.ashx?t=NPO&amp;ty=c&amp;p=d&amp;b=1", "NPO")</f>
        <v>NPO</v>
      </c>
      <c r="B1451">
        <v>6</v>
      </c>
      <c r="C1451">
        <v>127.03</v>
      </c>
      <c r="D1451">
        <v>51.78</v>
      </c>
      <c r="E1451" t="s">
        <v>17417</v>
      </c>
      <c r="F1451" t="s">
        <v>67</v>
      </c>
      <c r="G1451" t="s">
        <v>260</v>
      </c>
      <c r="H1451" t="s">
        <v>261</v>
      </c>
      <c r="I1451" t="s">
        <v>70</v>
      </c>
      <c r="J1451" t="s">
        <v>71</v>
      </c>
      <c r="K1451">
        <v>4684.41</v>
      </c>
      <c r="L1451">
        <v>222.5</v>
      </c>
      <c r="M1451" t="s">
        <v>5036</v>
      </c>
      <c r="N1451">
        <v>28338</v>
      </c>
      <c r="O1451">
        <v>55.69</v>
      </c>
      <c r="P1451">
        <v>25.37</v>
      </c>
      <c r="R1451">
        <v>4.34</v>
      </c>
      <c r="S1451">
        <v>3.13</v>
      </c>
      <c r="T1451" t="s">
        <v>2418</v>
      </c>
      <c r="U1451">
        <v>1.23</v>
      </c>
      <c r="V1451" t="s">
        <v>7315</v>
      </c>
      <c r="W1451" t="s">
        <v>6150</v>
      </c>
      <c r="X1451" t="s">
        <v>975</v>
      </c>
      <c r="Y1451" t="s">
        <v>3482</v>
      </c>
      <c r="Z1451" t="s">
        <v>12481</v>
      </c>
      <c r="AA1451">
        <v>4</v>
      </c>
      <c r="AB1451" t="s">
        <v>17418</v>
      </c>
      <c r="AC1451" t="s">
        <v>3002</v>
      </c>
      <c r="AE1451" t="s">
        <v>275</v>
      </c>
      <c r="AF1451" t="s">
        <v>1207</v>
      </c>
      <c r="AG1451" t="s">
        <v>4698</v>
      </c>
      <c r="AH1451" t="s">
        <v>1496</v>
      </c>
      <c r="AI1451" t="s">
        <v>1180</v>
      </c>
      <c r="AJ1451" t="s">
        <v>600</v>
      </c>
      <c r="AK1451" t="s">
        <v>2348</v>
      </c>
      <c r="AL1451">
        <v>2.4900000000000002</v>
      </c>
      <c r="AM1451">
        <v>1.65</v>
      </c>
      <c r="AN1451">
        <v>0.32</v>
      </c>
      <c r="AO1451" t="s">
        <v>14738</v>
      </c>
      <c r="AP1451" t="s">
        <v>4941</v>
      </c>
      <c r="AQ1451" t="s">
        <v>7566</v>
      </c>
      <c r="AR1451" t="s">
        <v>6003</v>
      </c>
      <c r="AS1451" t="s">
        <v>2619</v>
      </c>
      <c r="AT1451" t="s">
        <v>969</v>
      </c>
      <c r="AU1451" t="s">
        <v>2186</v>
      </c>
      <c r="AV1451" t="s">
        <v>8364</v>
      </c>
      <c r="AW1451" t="s">
        <v>5621</v>
      </c>
      <c r="AX1451" t="s">
        <v>7605</v>
      </c>
      <c r="AY1451" t="s">
        <v>5621</v>
      </c>
      <c r="AZ1451" t="s">
        <v>1057</v>
      </c>
      <c r="BA1451">
        <v>1</v>
      </c>
      <c r="BB1451">
        <v>122.94</v>
      </c>
      <c r="BC1451">
        <v>0.81</v>
      </c>
      <c r="BD1451">
        <v>220.88</v>
      </c>
      <c r="BE1451">
        <v>224</v>
      </c>
      <c r="BF1451">
        <v>221.15</v>
      </c>
      <c r="BG1451" t="s">
        <v>17419</v>
      </c>
      <c r="BH1451" t="s">
        <v>5621</v>
      </c>
      <c r="BI1451" t="s">
        <v>17420</v>
      </c>
      <c r="BJ1451" t="s">
        <v>101</v>
      </c>
      <c r="BK1451" t="s">
        <v>3190</v>
      </c>
      <c r="BL1451" t="s">
        <v>9973</v>
      </c>
      <c r="BM1451" t="s">
        <v>8393</v>
      </c>
      <c r="BN1451" t="s">
        <v>14623</v>
      </c>
    </row>
    <row r="1452" spans="1:66" x14ac:dyDescent="0.25">
      <c r="A1452" t="str">
        <f>HYPERLINK("https://elite.finviz.com/quote.ashx?t=J&amp;ty=c&amp;p=d&amp;b=1", "J")</f>
        <v>J</v>
      </c>
      <c r="B1452">
        <v>6</v>
      </c>
      <c r="C1452">
        <v>127.03</v>
      </c>
      <c r="D1452">
        <v>51.78</v>
      </c>
      <c r="E1452" t="s">
        <v>17421</v>
      </c>
      <c r="F1452" t="s">
        <v>195</v>
      </c>
      <c r="G1452" t="s">
        <v>260</v>
      </c>
      <c r="H1452" t="s">
        <v>2944</v>
      </c>
      <c r="I1452" t="s">
        <v>70</v>
      </c>
      <c r="J1452" t="s">
        <v>71</v>
      </c>
      <c r="K1452">
        <v>17594.09</v>
      </c>
      <c r="L1452">
        <v>147.19</v>
      </c>
      <c r="M1452" t="s">
        <v>4308</v>
      </c>
      <c r="N1452">
        <v>49379</v>
      </c>
      <c r="O1452">
        <v>36.78</v>
      </c>
      <c r="P1452">
        <v>20.89</v>
      </c>
      <c r="Q1452">
        <v>2.54</v>
      </c>
      <c r="R1452">
        <v>1.49</v>
      </c>
      <c r="S1452">
        <v>4.6100000000000003</v>
      </c>
      <c r="T1452" t="s">
        <v>6463</v>
      </c>
      <c r="U1452">
        <v>1.25</v>
      </c>
      <c r="V1452" t="s">
        <v>4186</v>
      </c>
      <c r="W1452" t="s">
        <v>7510</v>
      </c>
      <c r="X1452" t="s">
        <v>4903</v>
      </c>
      <c r="Y1452" t="s">
        <v>1009</v>
      </c>
      <c r="Z1452" t="s">
        <v>9325</v>
      </c>
      <c r="AA1452">
        <v>4</v>
      </c>
      <c r="AB1452" t="s">
        <v>3407</v>
      </c>
      <c r="AD1452" t="s">
        <v>6795</v>
      </c>
      <c r="AE1452" t="s">
        <v>6887</v>
      </c>
      <c r="AF1452" t="s">
        <v>2594</v>
      </c>
      <c r="AG1452" t="s">
        <v>4537</v>
      </c>
      <c r="AH1452" t="s">
        <v>11300</v>
      </c>
      <c r="AI1452" t="s">
        <v>1204</v>
      </c>
      <c r="AJ1452" t="s">
        <v>406</v>
      </c>
      <c r="AK1452" t="s">
        <v>17422</v>
      </c>
      <c r="AL1452">
        <v>1.39</v>
      </c>
      <c r="AM1452">
        <v>1.39</v>
      </c>
      <c r="AN1452">
        <v>0.79</v>
      </c>
      <c r="AO1452" t="s">
        <v>5261</v>
      </c>
      <c r="AP1452" t="s">
        <v>6392</v>
      </c>
      <c r="AQ1452" t="s">
        <v>4690</v>
      </c>
      <c r="AR1452" t="s">
        <v>909</v>
      </c>
      <c r="AS1452" t="s">
        <v>6990</v>
      </c>
      <c r="AT1452" t="s">
        <v>7464</v>
      </c>
      <c r="AU1452" t="s">
        <v>3447</v>
      </c>
      <c r="AV1452" t="s">
        <v>4067</v>
      </c>
      <c r="AW1452" t="s">
        <v>12274</v>
      </c>
      <c r="AX1452" t="s">
        <v>3793</v>
      </c>
      <c r="AY1452" t="s">
        <v>12274</v>
      </c>
      <c r="AZ1452" t="s">
        <v>17379</v>
      </c>
      <c r="BA1452">
        <v>2</v>
      </c>
      <c r="BB1452">
        <v>683.07</v>
      </c>
      <c r="BC1452">
        <v>0.25</v>
      </c>
      <c r="BD1452">
        <v>146.28</v>
      </c>
      <c r="BE1452">
        <v>148.53</v>
      </c>
      <c r="BF1452">
        <v>146.53</v>
      </c>
      <c r="BG1452" t="s">
        <v>17423</v>
      </c>
      <c r="BH1452" t="s">
        <v>12274</v>
      </c>
      <c r="BI1452" t="s">
        <v>17424</v>
      </c>
      <c r="BJ1452" t="s">
        <v>101</v>
      </c>
      <c r="BK1452" t="s">
        <v>7553</v>
      </c>
      <c r="BL1452" t="s">
        <v>8464</v>
      </c>
      <c r="BM1452" t="s">
        <v>4116</v>
      </c>
      <c r="BN1452" t="s">
        <v>14623</v>
      </c>
    </row>
    <row r="1453" spans="1:66" x14ac:dyDescent="0.25">
      <c r="A1453" t="str">
        <f>HYPERLINK("https://elite.finviz.com/quote.ashx?t=WSBC&amp;ty=c&amp;p=d&amp;b=1", "WSBC")</f>
        <v>WSBC</v>
      </c>
      <c r="B1453">
        <v>6</v>
      </c>
      <c r="C1453">
        <v>127.03</v>
      </c>
      <c r="D1453">
        <v>51.78</v>
      </c>
      <c r="E1453" t="s">
        <v>17425</v>
      </c>
      <c r="F1453" t="s">
        <v>67</v>
      </c>
      <c r="G1453" t="s">
        <v>550</v>
      </c>
      <c r="H1453" t="s">
        <v>697</v>
      </c>
      <c r="I1453" t="s">
        <v>70</v>
      </c>
      <c r="J1453" t="s">
        <v>321</v>
      </c>
      <c r="K1453">
        <v>3075.99</v>
      </c>
      <c r="L1453">
        <v>32.04</v>
      </c>
      <c r="M1453" t="s">
        <v>2294</v>
      </c>
      <c r="N1453">
        <v>60122</v>
      </c>
      <c r="O1453">
        <v>19.260000000000002</v>
      </c>
      <c r="P1453">
        <v>8.34</v>
      </c>
      <c r="Q1453">
        <v>0.88</v>
      </c>
      <c r="R1453">
        <v>2.65</v>
      </c>
      <c r="S1453">
        <v>0.84</v>
      </c>
      <c r="T1453" t="s">
        <v>5685</v>
      </c>
      <c r="U1453">
        <v>1.48</v>
      </c>
      <c r="V1453" t="s">
        <v>4548</v>
      </c>
      <c r="W1453" t="s">
        <v>2080</v>
      </c>
      <c r="X1453" t="s">
        <v>4204</v>
      </c>
      <c r="Y1453" t="s">
        <v>4204</v>
      </c>
      <c r="Z1453" t="s">
        <v>12837</v>
      </c>
      <c r="AA1453">
        <v>1.66</v>
      </c>
      <c r="AB1453" t="s">
        <v>8621</v>
      </c>
      <c r="AC1453" t="s">
        <v>8058</v>
      </c>
      <c r="AD1453" t="s">
        <v>4398</v>
      </c>
      <c r="AE1453" t="s">
        <v>11877</v>
      </c>
      <c r="AF1453" t="s">
        <v>10648</v>
      </c>
      <c r="AG1453" t="s">
        <v>1533</v>
      </c>
      <c r="AH1453" t="s">
        <v>17426</v>
      </c>
      <c r="AI1453" t="s">
        <v>8125</v>
      </c>
      <c r="AJ1453" t="s">
        <v>2624</v>
      </c>
      <c r="AK1453" t="s">
        <v>17427</v>
      </c>
      <c r="AL1453">
        <v>7.0000000000000007E-2</v>
      </c>
      <c r="AN1453">
        <v>0.57999999999999996</v>
      </c>
      <c r="AP1453" t="s">
        <v>10803</v>
      </c>
      <c r="AQ1453" t="s">
        <v>3614</v>
      </c>
      <c r="AR1453" t="s">
        <v>908</v>
      </c>
      <c r="AS1453" t="s">
        <v>5258</v>
      </c>
      <c r="AT1453" t="s">
        <v>5242</v>
      </c>
      <c r="AU1453" t="s">
        <v>6829</v>
      </c>
      <c r="AV1453" t="s">
        <v>6156</v>
      </c>
      <c r="AW1453" t="s">
        <v>13981</v>
      </c>
      <c r="AX1453" t="s">
        <v>801</v>
      </c>
      <c r="AY1453" t="s">
        <v>10666</v>
      </c>
      <c r="AZ1453" t="s">
        <v>5664</v>
      </c>
      <c r="BA1453">
        <v>1.86</v>
      </c>
      <c r="BB1453">
        <v>590.38</v>
      </c>
      <c r="BC1453">
        <v>0.36</v>
      </c>
      <c r="BD1453">
        <v>32.119999999999997</v>
      </c>
      <c r="BE1453">
        <v>32.409999999999997</v>
      </c>
      <c r="BF1453">
        <v>31.99</v>
      </c>
      <c r="BG1453" t="s">
        <v>17428</v>
      </c>
      <c r="BH1453" t="s">
        <v>17429</v>
      </c>
      <c r="BI1453" t="s">
        <v>17430</v>
      </c>
      <c r="BJ1453" t="s">
        <v>101</v>
      </c>
      <c r="BK1453" t="s">
        <v>102</v>
      </c>
      <c r="BL1453" t="s">
        <v>5253</v>
      </c>
      <c r="BM1453" t="s">
        <v>5658</v>
      </c>
      <c r="BN1453" t="s">
        <v>14623</v>
      </c>
    </row>
    <row r="1454" spans="1:66" x14ac:dyDescent="0.25">
      <c r="A1454" t="str">
        <f>HYPERLINK("https://elite.finviz.com/quote.ashx?t=PHIN&amp;ty=c&amp;p=d&amp;b=1", "PHIN")</f>
        <v>PHIN</v>
      </c>
      <c r="B1454">
        <v>6</v>
      </c>
      <c r="C1454">
        <v>127.03</v>
      </c>
      <c r="D1454">
        <v>51.8</v>
      </c>
      <c r="E1454" t="s">
        <v>17431</v>
      </c>
      <c r="F1454" t="s">
        <v>67</v>
      </c>
      <c r="G1454" t="s">
        <v>813</v>
      </c>
      <c r="H1454" t="s">
        <v>814</v>
      </c>
      <c r="I1454" t="s">
        <v>70</v>
      </c>
      <c r="J1454" t="s">
        <v>71</v>
      </c>
      <c r="K1454">
        <v>2238.52</v>
      </c>
      <c r="L1454">
        <v>57.54</v>
      </c>
      <c r="M1454" t="s">
        <v>1648</v>
      </c>
      <c r="N1454">
        <v>28825</v>
      </c>
      <c r="O1454">
        <v>22.22</v>
      </c>
      <c r="P1454">
        <v>10.7</v>
      </c>
      <c r="Q1454">
        <v>1.31</v>
      </c>
      <c r="R1454">
        <v>0.67</v>
      </c>
      <c r="S1454">
        <v>1.38</v>
      </c>
      <c r="T1454" t="s">
        <v>2424</v>
      </c>
      <c r="U1454">
        <v>1.06</v>
      </c>
      <c r="V1454" t="s">
        <v>4186</v>
      </c>
      <c r="W1454" t="s">
        <v>1647</v>
      </c>
      <c r="Z1454" t="s">
        <v>6733</v>
      </c>
      <c r="AA1454">
        <v>2.59</v>
      </c>
      <c r="AB1454" t="s">
        <v>17088</v>
      </c>
      <c r="AD1454" t="s">
        <v>13470</v>
      </c>
      <c r="AE1454" t="s">
        <v>7468</v>
      </c>
      <c r="AF1454" t="s">
        <v>2201</v>
      </c>
      <c r="AG1454" t="s">
        <v>2297</v>
      </c>
      <c r="AH1454" t="s">
        <v>1776</v>
      </c>
      <c r="AI1454" t="s">
        <v>9562</v>
      </c>
      <c r="AJ1454" t="s">
        <v>4759</v>
      </c>
      <c r="AK1454" t="s">
        <v>17432</v>
      </c>
      <c r="AL1454">
        <v>1.86</v>
      </c>
      <c r="AM1454">
        <v>1.36</v>
      </c>
      <c r="AN1454">
        <v>0.64</v>
      </c>
      <c r="AO1454" t="s">
        <v>5492</v>
      </c>
      <c r="AP1454" t="s">
        <v>4718</v>
      </c>
      <c r="AQ1454" t="s">
        <v>4294</v>
      </c>
      <c r="AR1454" t="s">
        <v>6975</v>
      </c>
      <c r="AS1454" t="s">
        <v>6003</v>
      </c>
      <c r="AT1454" t="s">
        <v>6407</v>
      </c>
      <c r="AU1454" t="s">
        <v>2419</v>
      </c>
      <c r="AV1454" t="s">
        <v>9044</v>
      </c>
      <c r="AW1454" t="s">
        <v>6739</v>
      </c>
      <c r="AX1454" t="s">
        <v>3161</v>
      </c>
      <c r="AY1454" t="s">
        <v>6739</v>
      </c>
      <c r="AZ1454" t="s">
        <v>11470</v>
      </c>
      <c r="BA1454">
        <v>2.2000000000000002</v>
      </c>
      <c r="BB1454">
        <v>444.23</v>
      </c>
      <c r="BC1454">
        <v>0.23</v>
      </c>
      <c r="BD1454">
        <v>57.65</v>
      </c>
      <c r="BE1454">
        <v>58.15</v>
      </c>
      <c r="BF1454">
        <v>57.45</v>
      </c>
      <c r="BG1454" t="s">
        <v>17433</v>
      </c>
      <c r="BH1454" t="s">
        <v>6739</v>
      </c>
      <c r="BI1454" t="s">
        <v>12833</v>
      </c>
      <c r="BJ1454" t="s">
        <v>101</v>
      </c>
      <c r="BK1454" t="s">
        <v>7796</v>
      </c>
      <c r="BL1454" t="s">
        <v>6934</v>
      </c>
      <c r="BM1454" t="s">
        <v>4620</v>
      </c>
      <c r="BN1454" t="s">
        <v>14623</v>
      </c>
    </row>
    <row r="1455" spans="1:66" x14ac:dyDescent="0.25">
      <c r="A1455" t="str">
        <f>HYPERLINK("https://elite.finviz.com/quote.ashx?t=SYPR&amp;ty=c&amp;p=d&amp;b=1", "SYPR")</f>
        <v>SYPR</v>
      </c>
      <c r="B1455">
        <v>6</v>
      </c>
      <c r="C1455">
        <v>127.03</v>
      </c>
      <c r="D1455">
        <v>51.8</v>
      </c>
      <c r="E1455" t="s">
        <v>17434</v>
      </c>
      <c r="F1455" t="s">
        <v>107</v>
      </c>
      <c r="G1455" t="s">
        <v>813</v>
      </c>
      <c r="H1455" t="s">
        <v>814</v>
      </c>
      <c r="I1455" t="s">
        <v>70</v>
      </c>
      <c r="J1455" t="s">
        <v>321</v>
      </c>
      <c r="K1455">
        <v>49.55</v>
      </c>
      <c r="L1455">
        <v>2.15</v>
      </c>
      <c r="M1455" t="s">
        <v>580</v>
      </c>
      <c r="N1455">
        <v>15830</v>
      </c>
      <c r="R1455">
        <v>0.38</v>
      </c>
      <c r="S1455">
        <v>2.65</v>
      </c>
      <c r="V1455" t="s">
        <v>17435</v>
      </c>
      <c r="AA1455">
        <v>-0.11</v>
      </c>
      <c r="AC1455" t="s">
        <v>6694</v>
      </c>
      <c r="AE1455" t="s">
        <v>6538</v>
      </c>
      <c r="AF1455" t="s">
        <v>1369</v>
      </c>
      <c r="AG1455" t="s">
        <v>1558</v>
      </c>
      <c r="AH1455" t="s">
        <v>1443</v>
      </c>
      <c r="AI1455" t="s">
        <v>17436</v>
      </c>
      <c r="AJ1455" t="s">
        <v>6871</v>
      </c>
      <c r="AK1455" t="s">
        <v>1099</v>
      </c>
      <c r="AL1455">
        <v>1.38</v>
      </c>
      <c r="AM1455">
        <v>0.43</v>
      </c>
      <c r="AN1455">
        <v>1.02</v>
      </c>
      <c r="AO1455" t="s">
        <v>3186</v>
      </c>
      <c r="AP1455" t="s">
        <v>4902</v>
      </c>
      <c r="AQ1455" t="s">
        <v>9498</v>
      </c>
      <c r="AR1455" t="s">
        <v>3066</v>
      </c>
      <c r="AS1455" t="s">
        <v>2796</v>
      </c>
      <c r="AT1455" t="s">
        <v>182</v>
      </c>
      <c r="AU1455" t="s">
        <v>636</v>
      </c>
      <c r="AV1455" t="s">
        <v>5127</v>
      </c>
      <c r="AW1455" t="s">
        <v>17437</v>
      </c>
      <c r="AX1455" t="s">
        <v>4885</v>
      </c>
      <c r="AY1455" t="s">
        <v>17438</v>
      </c>
      <c r="AZ1455" t="s">
        <v>17439</v>
      </c>
      <c r="BA1455">
        <v>3</v>
      </c>
      <c r="BB1455">
        <v>140.47999999999999</v>
      </c>
      <c r="BC1455">
        <v>0.4</v>
      </c>
      <c r="BD1455">
        <v>2.15</v>
      </c>
      <c r="BE1455">
        <v>2.1800000000000002</v>
      </c>
      <c r="BF1455">
        <v>2.11</v>
      </c>
      <c r="BG1455" t="s">
        <v>17440</v>
      </c>
      <c r="BH1455" t="s">
        <v>17441</v>
      </c>
      <c r="BI1455" t="s">
        <v>17442</v>
      </c>
      <c r="BJ1455" t="s">
        <v>101</v>
      </c>
      <c r="BK1455" t="s">
        <v>2355</v>
      </c>
      <c r="BL1455" t="s">
        <v>7753</v>
      </c>
      <c r="BM1455" t="s">
        <v>11986</v>
      </c>
      <c r="BN1455" t="s">
        <v>14623</v>
      </c>
    </row>
    <row r="1456" spans="1:66" x14ac:dyDescent="0.25">
      <c r="A1456" t="str">
        <f>HYPERLINK("https://elite.finviz.com/quote.ashx?t=FDBC&amp;ty=c&amp;p=d&amp;b=1", "FDBC")</f>
        <v>FDBC</v>
      </c>
      <c r="B1456">
        <v>6</v>
      </c>
      <c r="C1456">
        <v>127.03</v>
      </c>
      <c r="D1456">
        <v>51.81</v>
      </c>
      <c r="E1456" t="s">
        <v>17443</v>
      </c>
      <c r="F1456" t="s">
        <v>67</v>
      </c>
      <c r="G1456" t="s">
        <v>550</v>
      </c>
      <c r="H1456" t="s">
        <v>697</v>
      </c>
      <c r="I1456" t="s">
        <v>70</v>
      </c>
      <c r="J1456" t="s">
        <v>321</v>
      </c>
      <c r="K1456">
        <v>257.79000000000002</v>
      </c>
      <c r="L1456">
        <v>44.7</v>
      </c>
      <c r="M1456" t="s">
        <v>3761</v>
      </c>
      <c r="N1456">
        <v>1003</v>
      </c>
      <c r="O1456">
        <v>10.91</v>
      </c>
      <c r="R1456">
        <v>1.93</v>
      </c>
      <c r="S1456">
        <v>1.18</v>
      </c>
      <c r="T1456" t="s">
        <v>3244</v>
      </c>
      <c r="U1456">
        <v>1.6</v>
      </c>
      <c r="V1456" t="s">
        <v>3046</v>
      </c>
      <c r="W1456" t="s">
        <v>7682</v>
      </c>
      <c r="X1456" t="s">
        <v>5122</v>
      </c>
      <c r="Y1456" t="s">
        <v>4114</v>
      </c>
      <c r="Z1456" t="s">
        <v>13118</v>
      </c>
      <c r="AA1456">
        <v>4.0999999999999996</v>
      </c>
      <c r="AB1456" t="s">
        <v>269</v>
      </c>
      <c r="AC1456" t="s">
        <v>2822</v>
      </c>
      <c r="AE1456" t="s">
        <v>2862</v>
      </c>
      <c r="AF1456" t="s">
        <v>11292</v>
      </c>
      <c r="AG1456" t="s">
        <v>16934</v>
      </c>
      <c r="AH1456" t="s">
        <v>11292</v>
      </c>
      <c r="AJ1456" t="s">
        <v>1249</v>
      </c>
      <c r="AK1456" t="s">
        <v>13045</v>
      </c>
      <c r="AL1456">
        <v>0.18</v>
      </c>
      <c r="AN1456">
        <v>0.08</v>
      </c>
      <c r="AP1456" t="s">
        <v>5691</v>
      </c>
      <c r="AQ1456" t="s">
        <v>7072</v>
      </c>
      <c r="AR1456" t="s">
        <v>2201</v>
      </c>
      <c r="AS1456" t="s">
        <v>648</v>
      </c>
      <c r="AT1456" t="s">
        <v>4191</v>
      </c>
      <c r="AU1456" t="s">
        <v>3173</v>
      </c>
      <c r="AV1456" t="s">
        <v>2876</v>
      </c>
      <c r="AW1456" t="s">
        <v>11313</v>
      </c>
      <c r="AX1456" t="s">
        <v>11140</v>
      </c>
      <c r="AY1456" t="s">
        <v>17444</v>
      </c>
      <c r="AZ1456" t="s">
        <v>7902</v>
      </c>
      <c r="BB1456">
        <v>11.49</v>
      </c>
      <c r="BC1456">
        <v>0.31</v>
      </c>
      <c r="BD1456">
        <v>44.29</v>
      </c>
      <c r="BE1456">
        <v>44.29</v>
      </c>
      <c r="BF1456">
        <v>44.29</v>
      </c>
      <c r="BG1456" t="s">
        <v>17445</v>
      </c>
      <c r="BH1456" t="s">
        <v>17446</v>
      </c>
      <c r="BI1456" t="s">
        <v>17447</v>
      </c>
      <c r="BJ1456" t="s">
        <v>101</v>
      </c>
      <c r="BK1456" t="s">
        <v>14569</v>
      </c>
      <c r="BL1456" t="s">
        <v>4499</v>
      </c>
      <c r="BM1456" t="s">
        <v>6827</v>
      </c>
      <c r="BN1456" t="s">
        <v>14623</v>
      </c>
    </row>
    <row r="1457" spans="1:66" x14ac:dyDescent="0.25">
      <c r="A1457" t="str">
        <f>HYPERLINK("https://elite.finviz.com/quote.ashx?t=HTLD&amp;ty=c&amp;p=d&amp;b=1", "HTLD")</f>
        <v>HTLD</v>
      </c>
      <c r="B1457">
        <v>6</v>
      </c>
      <c r="C1457">
        <v>127.03</v>
      </c>
      <c r="D1457">
        <v>51.85</v>
      </c>
      <c r="E1457" t="s">
        <v>17448</v>
      </c>
      <c r="F1457" t="s">
        <v>67</v>
      </c>
      <c r="G1457" t="s">
        <v>260</v>
      </c>
      <c r="H1457" t="s">
        <v>6190</v>
      </c>
      <c r="I1457" t="s">
        <v>70</v>
      </c>
      <c r="J1457" t="s">
        <v>321</v>
      </c>
      <c r="K1457">
        <v>659.83</v>
      </c>
      <c r="L1457">
        <v>8.52</v>
      </c>
      <c r="M1457" t="s">
        <v>193</v>
      </c>
      <c r="N1457">
        <v>44693</v>
      </c>
      <c r="P1457">
        <v>145.16</v>
      </c>
      <c r="R1457">
        <v>0.71</v>
      </c>
      <c r="S1457">
        <v>0.84</v>
      </c>
      <c r="T1457" t="s">
        <v>2125</v>
      </c>
      <c r="U1457">
        <v>0.08</v>
      </c>
      <c r="V1457" t="s">
        <v>17449</v>
      </c>
      <c r="W1457" t="s">
        <v>164</v>
      </c>
      <c r="X1457" t="s">
        <v>164</v>
      </c>
      <c r="Y1457" t="s">
        <v>164</v>
      </c>
      <c r="AA1457">
        <v>-0.46</v>
      </c>
      <c r="AE1457" t="s">
        <v>17450</v>
      </c>
      <c r="AF1457" t="s">
        <v>8241</v>
      </c>
      <c r="AG1457" t="s">
        <v>2891</v>
      </c>
      <c r="AH1457" t="s">
        <v>1046</v>
      </c>
      <c r="AI1457" t="s">
        <v>15608</v>
      </c>
      <c r="AJ1457" t="s">
        <v>4976</v>
      </c>
      <c r="AK1457" t="s">
        <v>5876</v>
      </c>
      <c r="AL1457">
        <v>0.95</v>
      </c>
      <c r="AM1457">
        <v>0.95</v>
      </c>
      <c r="AN1457">
        <v>0.25</v>
      </c>
      <c r="AO1457" t="s">
        <v>2219</v>
      </c>
      <c r="AP1457" t="s">
        <v>3423</v>
      </c>
      <c r="AQ1457" t="s">
        <v>156</v>
      </c>
      <c r="AR1457" t="s">
        <v>4154</v>
      </c>
      <c r="AS1457" t="s">
        <v>205</v>
      </c>
      <c r="AT1457" t="s">
        <v>580</v>
      </c>
      <c r="AU1457" t="s">
        <v>352</v>
      </c>
      <c r="AV1457" t="s">
        <v>17451</v>
      </c>
      <c r="AW1457" t="s">
        <v>4222</v>
      </c>
      <c r="AX1457" t="s">
        <v>16940</v>
      </c>
      <c r="AY1457" t="s">
        <v>1995</v>
      </c>
      <c r="AZ1457" t="s">
        <v>10803</v>
      </c>
      <c r="BA1457">
        <v>3.67</v>
      </c>
      <c r="BB1457">
        <v>654.22</v>
      </c>
      <c r="BC1457">
        <v>0.24</v>
      </c>
      <c r="BD1457">
        <v>8.5</v>
      </c>
      <c r="BE1457">
        <v>8.6300000000000008</v>
      </c>
      <c r="BF1457">
        <v>8.4700000000000006</v>
      </c>
      <c r="BG1457" t="s">
        <v>17452</v>
      </c>
      <c r="BH1457" t="s">
        <v>17453</v>
      </c>
      <c r="BI1457" t="s">
        <v>17454</v>
      </c>
      <c r="BJ1457" t="s">
        <v>101</v>
      </c>
      <c r="BK1457" t="s">
        <v>6614</v>
      </c>
      <c r="BL1457" t="s">
        <v>1884</v>
      </c>
      <c r="BM1457" t="s">
        <v>17455</v>
      </c>
      <c r="BN1457" t="s">
        <v>14623</v>
      </c>
    </row>
    <row r="1458" spans="1:66" x14ac:dyDescent="0.25">
      <c r="A1458" t="str">
        <f>HYPERLINK("https://elite.finviz.com/quote.ashx?t=TSE&amp;ty=c&amp;p=d&amp;b=1", "TSE")</f>
        <v>TSE</v>
      </c>
      <c r="B1458">
        <v>6</v>
      </c>
      <c r="C1458">
        <v>127.03</v>
      </c>
      <c r="D1458">
        <v>51.86</v>
      </c>
      <c r="E1458" t="s">
        <v>17456</v>
      </c>
      <c r="F1458" t="s">
        <v>67</v>
      </c>
      <c r="G1458" t="s">
        <v>355</v>
      </c>
      <c r="H1458" t="s">
        <v>1147</v>
      </c>
      <c r="I1458" t="s">
        <v>70</v>
      </c>
      <c r="J1458" t="s">
        <v>71</v>
      </c>
      <c r="K1458">
        <v>91.32</v>
      </c>
      <c r="L1458">
        <v>2.54</v>
      </c>
      <c r="M1458" t="s">
        <v>655</v>
      </c>
      <c r="N1458">
        <v>81747</v>
      </c>
      <c r="R1458">
        <v>0.03</v>
      </c>
      <c r="T1458" t="s">
        <v>4276</v>
      </c>
      <c r="U1458">
        <v>0.04</v>
      </c>
      <c r="V1458" t="s">
        <v>2573</v>
      </c>
      <c r="W1458" t="s">
        <v>17457</v>
      </c>
      <c r="X1458" t="s">
        <v>17458</v>
      </c>
      <c r="Y1458" t="s">
        <v>17459</v>
      </c>
      <c r="AA1458">
        <v>-10.98</v>
      </c>
      <c r="AD1458" t="s">
        <v>3490</v>
      </c>
      <c r="AE1458" t="s">
        <v>2587</v>
      </c>
      <c r="AF1458" t="s">
        <v>17460</v>
      </c>
      <c r="AG1458" t="s">
        <v>3937</v>
      </c>
      <c r="AH1458" t="s">
        <v>17461</v>
      </c>
      <c r="AI1458" t="s">
        <v>17462</v>
      </c>
      <c r="AJ1458" t="s">
        <v>3035</v>
      </c>
      <c r="AK1458" t="s">
        <v>17463</v>
      </c>
      <c r="AL1458">
        <v>1.42</v>
      </c>
      <c r="AM1458">
        <v>0.89</v>
      </c>
      <c r="AO1458" t="s">
        <v>12465</v>
      </c>
      <c r="AP1458" t="s">
        <v>5444</v>
      </c>
      <c r="AQ1458" t="s">
        <v>7200</v>
      </c>
      <c r="AR1458" t="s">
        <v>6584</v>
      </c>
      <c r="AS1458" t="s">
        <v>291</v>
      </c>
      <c r="AT1458" t="s">
        <v>305</v>
      </c>
      <c r="AU1458" t="s">
        <v>4623</v>
      </c>
      <c r="AV1458" t="s">
        <v>16200</v>
      </c>
      <c r="AW1458" t="s">
        <v>17464</v>
      </c>
      <c r="AX1458" t="s">
        <v>14067</v>
      </c>
      <c r="AY1458" t="s">
        <v>5001</v>
      </c>
      <c r="AZ1458" t="s">
        <v>14067</v>
      </c>
      <c r="BA1458">
        <v>2.6</v>
      </c>
      <c r="BB1458">
        <v>388.19</v>
      </c>
      <c r="BC1458">
        <v>0.75</v>
      </c>
      <c r="BD1458">
        <v>2.57</v>
      </c>
      <c r="BE1458">
        <v>2.64</v>
      </c>
      <c r="BF1458">
        <v>2.54</v>
      </c>
      <c r="BG1458" t="s">
        <v>17465</v>
      </c>
      <c r="BH1458" t="s">
        <v>17466</v>
      </c>
      <c r="BI1458" t="s">
        <v>14067</v>
      </c>
      <c r="BJ1458" t="s">
        <v>101</v>
      </c>
      <c r="BK1458" t="s">
        <v>12829</v>
      </c>
      <c r="BL1458" t="s">
        <v>17467</v>
      </c>
      <c r="BM1458" t="s">
        <v>17468</v>
      </c>
      <c r="BN1458" t="s">
        <v>14623</v>
      </c>
    </row>
    <row r="1459" spans="1:66" x14ac:dyDescent="0.25">
      <c r="A1459" t="str">
        <f>HYPERLINK("https://elite.finviz.com/quote.ashx?t=JAKK&amp;ty=c&amp;p=d&amp;b=1", "JAKK")</f>
        <v>JAKK</v>
      </c>
      <c r="B1459">
        <v>6</v>
      </c>
      <c r="C1459">
        <v>127.03</v>
      </c>
      <c r="D1459">
        <v>51.86</v>
      </c>
      <c r="E1459" t="s">
        <v>17469</v>
      </c>
      <c r="F1459" t="s">
        <v>67</v>
      </c>
      <c r="G1459" t="s">
        <v>813</v>
      </c>
      <c r="H1459" t="s">
        <v>5941</v>
      </c>
      <c r="I1459" t="s">
        <v>70</v>
      </c>
      <c r="J1459" t="s">
        <v>321</v>
      </c>
      <c r="K1459">
        <v>202.2</v>
      </c>
      <c r="L1459">
        <v>18.14</v>
      </c>
      <c r="M1459" t="s">
        <v>2560</v>
      </c>
      <c r="N1459">
        <v>12102</v>
      </c>
      <c r="O1459">
        <v>5.36</v>
      </c>
      <c r="P1459">
        <v>6.01</v>
      </c>
      <c r="R1459">
        <v>0.3</v>
      </c>
      <c r="S1459">
        <v>0.86</v>
      </c>
      <c r="T1459" t="s">
        <v>4299</v>
      </c>
      <c r="U1459">
        <v>0.75</v>
      </c>
      <c r="V1459" t="s">
        <v>4882</v>
      </c>
      <c r="Z1459" t="s">
        <v>164</v>
      </c>
      <c r="AA1459">
        <v>3.39</v>
      </c>
      <c r="AE1459" t="s">
        <v>1559</v>
      </c>
      <c r="AF1459" t="s">
        <v>3325</v>
      </c>
      <c r="AG1459" t="s">
        <v>4892</v>
      </c>
      <c r="AH1459" t="s">
        <v>17470</v>
      </c>
      <c r="AI1459" t="s">
        <v>17471</v>
      </c>
      <c r="AJ1459" t="s">
        <v>4673</v>
      </c>
      <c r="AK1459" t="s">
        <v>1974</v>
      </c>
      <c r="AL1459">
        <v>1.71</v>
      </c>
      <c r="AM1459">
        <v>1.24</v>
      </c>
      <c r="AN1459">
        <v>0.24</v>
      </c>
      <c r="AO1459" t="s">
        <v>3273</v>
      </c>
      <c r="AP1459" t="s">
        <v>5025</v>
      </c>
      <c r="AQ1459" t="s">
        <v>3949</v>
      </c>
      <c r="AR1459" t="s">
        <v>2108</v>
      </c>
      <c r="AS1459" t="s">
        <v>4976</v>
      </c>
      <c r="AT1459" t="s">
        <v>102</v>
      </c>
      <c r="AU1459" t="s">
        <v>2509</v>
      </c>
      <c r="AV1459" t="s">
        <v>6891</v>
      </c>
      <c r="AW1459" t="s">
        <v>12001</v>
      </c>
      <c r="AX1459" t="s">
        <v>1089</v>
      </c>
      <c r="AY1459" t="s">
        <v>6837</v>
      </c>
      <c r="AZ1459" t="s">
        <v>1089</v>
      </c>
      <c r="BA1459">
        <v>1</v>
      </c>
      <c r="BB1459">
        <v>130.03</v>
      </c>
      <c r="BC1459">
        <v>0.33</v>
      </c>
      <c r="BD1459">
        <v>18.11</v>
      </c>
      <c r="BE1459">
        <v>18.3</v>
      </c>
      <c r="BF1459">
        <v>18.05</v>
      </c>
      <c r="BG1459" t="s">
        <v>17472</v>
      </c>
      <c r="BH1459" t="s">
        <v>10187</v>
      </c>
      <c r="BI1459" t="s">
        <v>17473</v>
      </c>
      <c r="BJ1459" t="s">
        <v>101</v>
      </c>
      <c r="BK1459" t="s">
        <v>10222</v>
      </c>
      <c r="BL1459" t="s">
        <v>4649</v>
      </c>
      <c r="BM1459" t="s">
        <v>17474</v>
      </c>
      <c r="BN1459" t="s">
        <v>14623</v>
      </c>
    </row>
    <row r="1460" spans="1:66" x14ac:dyDescent="0.25">
      <c r="A1460" t="str">
        <f>HYPERLINK("https://elite.finviz.com/quote.ashx?t=CPF&amp;ty=c&amp;p=d&amp;b=1", "CPF")</f>
        <v>CPF</v>
      </c>
      <c r="B1460">
        <v>6</v>
      </c>
      <c r="C1460">
        <v>127.03</v>
      </c>
      <c r="D1460">
        <v>51.89</v>
      </c>
      <c r="E1460" t="s">
        <v>17475</v>
      </c>
      <c r="F1460" t="s">
        <v>67</v>
      </c>
      <c r="G1460" t="s">
        <v>550</v>
      </c>
      <c r="H1460" t="s">
        <v>697</v>
      </c>
      <c r="I1460" t="s">
        <v>70</v>
      </c>
      <c r="J1460" t="s">
        <v>71</v>
      </c>
      <c r="K1460">
        <v>821.98</v>
      </c>
      <c r="L1460">
        <v>30.46</v>
      </c>
      <c r="M1460" t="s">
        <v>4703</v>
      </c>
      <c r="N1460">
        <v>11090</v>
      </c>
      <c r="O1460">
        <v>13.64</v>
      </c>
      <c r="P1460">
        <v>9.57</v>
      </c>
      <c r="Q1460">
        <v>0.75</v>
      </c>
      <c r="R1460">
        <v>2.35</v>
      </c>
      <c r="S1460">
        <v>1.44</v>
      </c>
      <c r="T1460" t="s">
        <v>6726</v>
      </c>
      <c r="U1460">
        <v>1.07</v>
      </c>
      <c r="V1460" t="s">
        <v>4882</v>
      </c>
      <c r="W1460" t="s">
        <v>164</v>
      </c>
      <c r="X1460" t="s">
        <v>648</v>
      </c>
      <c r="Y1460" t="s">
        <v>307</v>
      </c>
      <c r="Z1460" t="s">
        <v>17476</v>
      </c>
      <c r="AA1460">
        <v>2.23</v>
      </c>
      <c r="AB1460" t="s">
        <v>1108</v>
      </c>
      <c r="AC1460" t="s">
        <v>3495</v>
      </c>
      <c r="AD1460" t="s">
        <v>2738</v>
      </c>
      <c r="AE1460" t="s">
        <v>5929</v>
      </c>
      <c r="AF1460" t="s">
        <v>3776</v>
      </c>
      <c r="AG1460" t="s">
        <v>614</v>
      </c>
      <c r="AH1460" t="s">
        <v>2233</v>
      </c>
      <c r="AI1460" t="s">
        <v>2523</v>
      </c>
      <c r="AJ1460" t="s">
        <v>17477</v>
      </c>
      <c r="AK1460" t="s">
        <v>17478</v>
      </c>
      <c r="AL1460">
        <v>0.1</v>
      </c>
      <c r="AN1460">
        <v>0.28999999999999998</v>
      </c>
      <c r="AP1460" t="s">
        <v>1300</v>
      </c>
      <c r="AQ1460" t="s">
        <v>9972</v>
      </c>
      <c r="AR1460" t="s">
        <v>2868</v>
      </c>
      <c r="AS1460" t="s">
        <v>6151</v>
      </c>
      <c r="AT1460" t="s">
        <v>3940</v>
      </c>
      <c r="AU1460" t="s">
        <v>3433</v>
      </c>
      <c r="AV1460" t="s">
        <v>5607</v>
      </c>
      <c r="AW1460" t="s">
        <v>4653</v>
      </c>
      <c r="AX1460" t="s">
        <v>620</v>
      </c>
      <c r="AY1460" t="s">
        <v>15366</v>
      </c>
      <c r="AZ1460" t="s">
        <v>16590</v>
      </c>
      <c r="BA1460">
        <v>2</v>
      </c>
      <c r="BB1460">
        <v>155.01</v>
      </c>
      <c r="BC1460">
        <v>0.25</v>
      </c>
      <c r="BD1460">
        <v>30.55</v>
      </c>
      <c r="BE1460">
        <v>30.56</v>
      </c>
      <c r="BF1460">
        <v>30.38</v>
      </c>
      <c r="BG1460" t="s">
        <v>17479</v>
      </c>
      <c r="BH1460" t="s">
        <v>17480</v>
      </c>
      <c r="BI1460" t="s">
        <v>17481</v>
      </c>
      <c r="BJ1460" t="s">
        <v>101</v>
      </c>
      <c r="BK1460" t="s">
        <v>2459</v>
      </c>
      <c r="BL1460" t="s">
        <v>5248</v>
      </c>
      <c r="BM1460" t="s">
        <v>1215</v>
      </c>
      <c r="BN1460" t="s">
        <v>14623</v>
      </c>
    </row>
    <row r="1461" spans="1:66" x14ac:dyDescent="0.25">
      <c r="A1461" t="str">
        <f>HYPERLINK("https://elite.finviz.com/quote.ashx?t=BCML&amp;ty=c&amp;p=d&amp;b=1", "BCML")</f>
        <v>BCML</v>
      </c>
      <c r="B1461">
        <v>6</v>
      </c>
      <c r="C1461">
        <v>127.03</v>
      </c>
      <c r="D1461">
        <v>51.9</v>
      </c>
      <c r="E1461" t="s">
        <v>17482</v>
      </c>
      <c r="F1461" t="s">
        <v>67</v>
      </c>
      <c r="G1461" t="s">
        <v>550</v>
      </c>
      <c r="H1461" t="s">
        <v>697</v>
      </c>
      <c r="I1461" t="s">
        <v>70</v>
      </c>
      <c r="J1461" t="s">
        <v>321</v>
      </c>
      <c r="K1461">
        <v>324.64999999999998</v>
      </c>
      <c r="L1461">
        <v>29.72</v>
      </c>
      <c r="M1461" t="s">
        <v>5253</v>
      </c>
      <c r="N1461">
        <v>2270</v>
      </c>
      <c r="O1461">
        <v>13.63</v>
      </c>
      <c r="P1461">
        <v>11.14</v>
      </c>
      <c r="R1461">
        <v>2.33</v>
      </c>
      <c r="S1461">
        <v>0.98</v>
      </c>
      <c r="T1461" t="s">
        <v>4800</v>
      </c>
      <c r="U1461">
        <v>0.75</v>
      </c>
      <c r="V1461" t="s">
        <v>7788</v>
      </c>
      <c r="W1461" t="s">
        <v>6206</v>
      </c>
      <c r="Z1461" t="s">
        <v>11870</v>
      </c>
      <c r="AA1461">
        <v>2.1800000000000002</v>
      </c>
      <c r="AB1461" t="s">
        <v>6770</v>
      </c>
      <c r="AC1461" t="s">
        <v>5150</v>
      </c>
      <c r="AE1461" t="s">
        <v>4946</v>
      </c>
      <c r="AF1461" t="s">
        <v>828</v>
      </c>
      <c r="AG1461" t="s">
        <v>10273</v>
      </c>
      <c r="AH1461" t="s">
        <v>4204</v>
      </c>
      <c r="AI1461" t="s">
        <v>3435</v>
      </c>
      <c r="AJ1461" t="s">
        <v>164</v>
      </c>
      <c r="AK1461" t="s">
        <v>1060</v>
      </c>
      <c r="AL1461">
        <v>0.19</v>
      </c>
      <c r="AN1461">
        <v>0.26</v>
      </c>
      <c r="AP1461" t="s">
        <v>13642</v>
      </c>
      <c r="AQ1461" t="s">
        <v>4314</v>
      </c>
      <c r="AR1461" t="s">
        <v>1902</v>
      </c>
      <c r="AS1461" t="s">
        <v>5121</v>
      </c>
      <c r="AT1461" t="s">
        <v>1714</v>
      </c>
      <c r="AU1461" t="s">
        <v>2383</v>
      </c>
      <c r="AV1461" t="s">
        <v>1388</v>
      </c>
      <c r="AW1461" t="s">
        <v>9160</v>
      </c>
      <c r="AX1461" t="s">
        <v>1794</v>
      </c>
      <c r="AY1461" t="s">
        <v>9160</v>
      </c>
      <c r="AZ1461" t="s">
        <v>6042</v>
      </c>
      <c r="BA1461">
        <v>1.67</v>
      </c>
      <c r="BB1461">
        <v>20.94</v>
      </c>
      <c r="BC1461">
        <v>0.39</v>
      </c>
      <c r="BD1461">
        <v>29.52</v>
      </c>
      <c r="BE1461">
        <v>29.72</v>
      </c>
      <c r="BF1461">
        <v>29.72</v>
      </c>
      <c r="BG1461" t="s">
        <v>17483</v>
      </c>
      <c r="BH1461" t="s">
        <v>9160</v>
      </c>
      <c r="BI1461" t="s">
        <v>17484</v>
      </c>
      <c r="BJ1461" t="s">
        <v>101</v>
      </c>
      <c r="BK1461" t="s">
        <v>3952</v>
      </c>
      <c r="BL1461" t="s">
        <v>1360</v>
      </c>
      <c r="BM1461" t="s">
        <v>277</v>
      </c>
      <c r="BN1461" t="s">
        <v>14623</v>
      </c>
    </row>
    <row r="1462" spans="1:66" x14ac:dyDescent="0.25">
      <c r="A1462" t="str">
        <f>HYPERLINK("https://elite.finviz.com/quote.ashx?t=ASLE&amp;ty=c&amp;p=d&amp;b=1", "ASLE")</f>
        <v>ASLE</v>
      </c>
      <c r="B1462">
        <v>6</v>
      </c>
      <c r="C1462">
        <v>127.03</v>
      </c>
      <c r="D1462">
        <v>51.9</v>
      </c>
      <c r="E1462" t="s">
        <v>17485</v>
      </c>
      <c r="F1462" t="s">
        <v>67</v>
      </c>
      <c r="G1462" t="s">
        <v>260</v>
      </c>
      <c r="H1462" t="s">
        <v>7188</v>
      </c>
      <c r="I1462" t="s">
        <v>70</v>
      </c>
      <c r="J1462" t="s">
        <v>321</v>
      </c>
      <c r="K1462">
        <v>397.55</v>
      </c>
      <c r="L1462">
        <v>8.43</v>
      </c>
      <c r="M1462" t="s">
        <v>1488</v>
      </c>
      <c r="N1462">
        <v>29831</v>
      </c>
      <c r="O1462">
        <v>59.63</v>
      </c>
      <c r="P1462">
        <v>12.67</v>
      </c>
      <c r="Q1462">
        <v>0.67</v>
      </c>
      <c r="R1462">
        <v>1.1299999999999999</v>
      </c>
      <c r="S1462">
        <v>0.95</v>
      </c>
      <c r="Z1462" t="s">
        <v>164</v>
      </c>
      <c r="AA1462">
        <v>0.14000000000000001</v>
      </c>
      <c r="AB1462" t="s">
        <v>17486</v>
      </c>
      <c r="AC1462" t="s">
        <v>17487</v>
      </c>
      <c r="AD1462" t="s">
        <v>12577</v>
      </c>
      <c r="AE1462" t="s">
        <v>4328</v>
      </c>
      <c r="AF1462" t="s">
        <v>914</v>
      </c>
      <c r="AH1462" t="s">
        <v>7500</v>
      </c>
      <c r="AI1462" t="s">
        <v>17488</v>
      </c>
      <c r="AJ1462" t="s">
        <v>3752</v>
      </c>
      <c r="AK1462" t="s">
        <v>17489</v>
      </c>
      <c r="AL1462">
        <v>3.87</v>
      </c>
      <c r="AM1462">
        <v>0.76</v>
      </c>
      <c r="AN1462">
        <v>0.36</v>
      </c>
      <c r="AO1462" t="s">
        <v>17490</v>
      </c>
      <c r="AP1462" t="s">
        <v>891</v>
      </c>
      <c r="AQ1462" t="s">
        <v>2219</v>
      </c>
      <c r="AR1462" t="s">
        <v>3542</v>
      </c>
      <c r="AS1462" t="s">
        <v>3205</v>
      </c>
      <c r="AT1462" t="s">
        <v>2059</v>
      </c>
      <c r="AU1462" t="s">
        <v>1310</v>
      </c>
      <c r="AV1462" t="s">
        <v>6892</v>
      </c>
      <c r="AW1462" t="s">
        <v>16867</v>
      </c>
      <c r="AX1462" t="s">
        <v>16087</v>
      </c>
      <c r="AY1462" t="s">
        <v>16867</v>
      </c>
      <c r="AZ1462" t="s">
        <v>17491</v>
      </c>
      <c r="BA1462">
        <v>3</v>
      </c>
      <c r="BB1462">
        <v>425.17</v>
      </c>
      <c r="BC1462">
        <v>0.25</v>
      </c>
      <c r="BD1462">
        <v>8.33</v>
      </c>
      <c r="BE1462">
        <v>8.5</v>
      </c>
      <c r="BF1462">
        <v>8.36</v>
      </c>
      <c r="BG1462" t="s">
        <v>17492</v>
      </c>
      <c r="BH1462" t="s">
        <v>17493</v>
      </c>
      <c r="BI1462" t="s">
        <v>17491</v>
      </c>
      <c r="BJ1462" t="s">
        <v>101</v>
      </c>
      <c r="BK1462" t="s">
        <v>3392</v>
      </c>
      <c r="BL1462" t="s">
        <v>5745</v>
      </c>
      <c r="BM1462" t="s">
        <v>17494</v>
      </c>
      <c r="BN1462" t="s">
        <v>14623</v>
      </c>
    </row>
    <row r="1463" spans="1:66" x14ac:dyDescent="0.25">
      <c r="A1463" t="str">
        <f>HYPERLINK("https://elite.finviz.com/quote.ashx?t=OSIS&amp;ty=c&amp;p=d&amp;b=1", "OSIS")</f>
        <v>OSIS</v>
      </c>
      <c r="B1463">
        <v>6</v>
      </c>
      <c r="C1463">
        <v>127.03</v>
      </c>
      <c r="D1463">
        <v>51.93</v>
      </c>
      <c r="E1463" t="s">
        <v>17495</v>
      </c>
      <c r="F1463" t="s">
        <v>67</v>
      </c>
      <c r="G1463" t="s">
        <v>108</v>
      </c>
      <c r="H1463" t="s">
        <v>3346</v>
      </c>
      <c r="I1463" t="s">
        <v>70</v>
      </c>
      <c r="J1463" t="s">
        <v>321</v>
      </c>
      <c r="K1463">
        <v>3947.36</v>
      </c>
      <c r="L1463">
        <v>234.6</v>
      </c>
      <c r="M1463" t="s">
        <v>5158</v>
      </c>
      <c r="N1463">
        <v>22105</v>
      </c>
      <c r="O1463">
        <v>26.97</v>
      </c>
      <c r="P1463">
        <v>20.89</v>
      </c>
      <c r="Q1463">
        <v>2.67</v>
      </c>
      <c r="R1463">
        <v>2.2999999999999998</v>
      </c>
      <c r="S1463">
        <v>4.1399999999999997</v>
      </c>
      <c r="Z1463" t="s">
        <v>164</v>
      </c>
      <c r="AA1463">
        <v>8.6999999999999993</v>
      </c>
      <c r="AB1463" t="s">
        <v>1228</v>
      </c>
      <c r="AC1463" t="s">
        <v>12025</v>
      </c>
      <c r="AD1463" t="s">
        <v>3099</v>
      </c>
      <c r="AE1463" t="s">
        <v>5656</v>
      </c>
      <c r="AF1463" t="s">
        <v>6598</v>
      </c>
      <c r="AG1463" t="s">
        <v>238</v>
      </c>
      <c r="AH1463" t="s">
        <v>2732</v>
      </c>
      <c r="AI1463" t="s">
        <v>4275</v>
      </c>
      <c r="AJ1463" t="s">
        <v>2827</v>
      </c>
      <c r="AK1463" t="s">
        <v>17496</v>
      </c>
      <c r="AL1463">
        <v>2.04</v>
      </c>
      <c r="AM1463">
        <v>1.46</v>
      </c>
      <c r="AN1463">
        <v>0.72</v>
      </c>
      <c r="AO1463" t="s">
        <v>4761</v>
      </c>
      <c r="AP1463" t="s">
        <v>13511</v>
      </c>
      <c r="AQ1463" t="s">
        <v>7858</v>
      </c>
      <c r="AR1463" t="s">
        <v>3469</v>
      </c>
      <c r="AS1463" t="s">
        <v>5132</v>
      </c>
      <c r="AT1463" t="s">
        <v>406</v>
      </c>
      <c r="AU1463" t="s">
        <v>179</v>
      </c>
      <c r="AV1463" t="s">
        <v>3751</v>
      </c>
      <c r="AW1463" t="s">
        <v>1770</v>
      </c>
      <c r="AX1463" t="s">
        <v>3270</v>
      </c>
      <c r="AY1463" t="s">
        <v>1770</v>
      </c>
      <c r="AZ1463" t="s">
        <v>12321</v>
      </c>
      <c r="BA1463">
        <v>1.33</v>
      </c>
      <c r="BB1463">
        <v>179.47</v>
      </c>
      <c r="BC1463">
        <v>0.43</v>
      </c>
      <c r="BD1463">
        <v>231.63</v>
      </c>
      <c r="BE1463">
        <v>235.32</v>
      </c>
      <c r="BF1463">
        <v>231.9</v>
      </c>
      <c r="BG1463" t="s">
        <v>17497</v>
      </c>
      <c r="BH1463" t="s">
        <v>1770</v>
      </c>
      <c r="BI1463" t="s">
        <v>17498</v>
      </c>
      <c r="BJ1463" t="s">
        <v>101</v>
      </c>
      <c r="BK1463" t="s">
        <v>3343</v>
      </c>
      <c r="BL1463" t="s">
        <v>1325</v>
      </c>
      <c r="BM1463" t="s">
        <v>9209</v>
      </c>
      <c r="BN1463" t="s">
        <v>14623</v>
      </c>
    </row>
    <row r="1464" spans="1:66" x14ac:dyDescent="0.25">
      <c r="A1464" t="str">
        <f>HYPERLINK("https://elite.finviz.com/quote.ashx?t=SBDS&amp;ty=c&amp;p=d&amp;b=1", "SBDS")</f>
        <v>SBDS</v>
      </c>
      <c r="B1464">
        <v>6</v>
      </c>
      <c r="C1464">
        <v>127.03</v>
      </c>
      <c r="D1464">
        <v>51.93</v>
      </c>
      <c r="E1464" t="s">
        <v>17499</v>
      </c>
      <c r="F1464" t="s">
        <v>107</v>
      </c>
      <c r="G1464" t="s">
        <v>813</v>
      </c>
      <c r="H1464" t="s">
        <v>4388</v>
      </c>
      <c r="I1464" t="s">
        <v>70</v>
      </c>
      <c r="J1464" t="s">
        <v>71</v>
      </c>
      <c r="K1464">
        <v>37.1</v>
      </c>
      <c r="L1464">
        <v>14.99</v>
      </c>
      <c r="M1464" t="s">
        <v>2448</v>
      </c>
      <c r="N1464">
        <v>1088</v>
      </c>
      <c r="R1464">
        <v>0.09</v>
      </c>
      <c r="S1464">
        <v>0.21</v>
      </c>
      <c r="AA1464">
        <v>-90.15</v>
      </c>
      <c r="AC1464" t="s">
        <v>17500</v>
      </c>
      <c r="AE1464" t="s">
        <v>11979</v>
      </c>
      <c r="AF1464" t="s">
        <v>926</v>
      </c>
      <c r="AG1464" t="s">
        <v>17501</v>
      </c>
      <c r="AH1464" t="s">
        <v>17502</v>
      </c>
      <c r="AJ1464" t="s">
        <v>164</v>
      </c>
      <c r="AK1464" t="s">
        <v>3169</v>
      </c>
      <c r="AL1464">
        <v>3.62</v>
      </c>
      <c r="AM1464">
        <v>1.57</v>
      </c>
      <c r="AN1464">
        <v>2.34</v>
      </c>
      <c r="AO1464" t="s">
        <v>9486</v>
      </c>
      <c r="AP1464" t="s">
        <v>10170</v>
      </c>
      <c r="AQ1464" t="s">
        <v>17503</v>
      </c>
      <c r="AR1464" t="s">
        <v>7298</v>
      </c>
      <c r="AS1464" t="s">
        <v>10393</v>
      </c>
      <c r="AT1464" t="s">
        <v>1303</v>
      </c>
      <c r="AU1464" t="s">
        <v>7622</v>
      </c>
      <c r="AV1464" t="s">
        <v>17504</v>
      </c>
      <c r="AW1464" t="s">
        <v>17505</v>
      </c>
      <c r="AX1464" t="s">
        <v>17506</v>
      </c>
      <c r="AY1464" t="s">
        <v>17507</v>
      </c>
      <c r="AZ1464" t="s">
        <v>17508</v>
      </c>
      <c r="BA1464">
        <v>3</v>
      </c>
      <c r="BB1464">
        <v>18.149999999999999</v>
      </c>
      <c r="BC1464">
        <v>0.21</v>
      </c>
      <c r="BD1464">
        <v>14</v>
      </c>
      <c r="BE1464">
        <v>13.75</v>
      </c>
      <c r="BF1464">
        <v>13.74</v>
      </c>
      <c r="BG1464" t="s">
        <v>17509</v>
      </c>
      <c r="BH1464" t="s">
        <v>17510</v>
      </c>
      <c r="BI1464" t="s">
        <v>17508</v>
      </c>
      <c r="BJ1464" t="s">
        <v>101</v>
      </c>
      <c r="BK1464" t="s">
        <v>10254</v>
      </c>
      <c r="BL1464" t="s">
        <v>1849</v>
      </c>
      <c r="BM1464" t="s">
        <v>17511</v>
      </c>
      <c r="BN1464" t="s">
        <v>14623</v>
      </c>
    </row>
    <row r="1465" spans="1:66" x14ac:dyDescent="0.25">
      <c r="A1465" t="str">
        <f>HYPERLINK("https://elite.finviz.com/quote.ashx?t=RAIN&amp;ty=c&amp;p=d&amp;b=1", "RAIN")</f>
        <v>RAIN</v>
      </c>
      <c r="B1465">
        <v>6</v>
      </c>
      <c r="C1465">
        <v>127.03</v>
      </c>
      <c r="D1465">
        <v>51.95</v>
      </c>
      <c r="E1465" t="s">
        <v>17512</v>
      </c>
      <c r="F1465" t="s">
        <v>107</v>
      </c>
      <c r="G1465" t="s">
        <v>260</v>
      </c>
      <c r="H1465" t="s">
        <v>4347</v>
      </c>
      <c r="I1465" t="s">
        <v>70</v>
      </c>
      <c r="J1465" t="s">
        <v>321</v>
      </c>
      <c r="K1465">
        <v>38.619999999999997</v>
      </c>
      <c r="L1465">
        <v>5.09</v>
      </c>
      <c r="M1465" t="s">
        <v>5380</v>
      </c>
      <c r="N1465">
        <v>4818</v>
      </c>
      <c r="AA1465">
        <v>-0.1</v>
      </c>
      <c r="AJ1465" t="s">
        <v>770</v>
      </c>
      <c r="AK1465" t="s">
        <v>4067</v>
      </c>
      <c r="AL1465">
        <v>0.04</v>
      </c>
      <c r="AM1465">
        <v>0.04</v>
      </c>
      <c r="AR1465" t="s">
        <v>3117</v>
      </c>
      <c r="AS1465" t="s">
        <v>13470</v>
      </c>
      <c r="AT1465" t="s">
        <v>308</v>
      </c>
      <c r="AU1465" t="s">
        <v>9905</v>
      </c>
      <c r="AV1465" t="s">
        <v>3797</v>
      </c>
      <c r="AW1465" t="s">
        <v>3072</v>
      </c>
      <c r="AX1465" t="s">
        <v>8685</v>
      </c>
      <c r="AY1465" t="s">
        <v>8846</v>
      </c>
      <c r="AZ1465" t="s">
        <v>17513</v>
      </c>
      <c r="BB1465">
        <v>13.06</v>
      </c>
      <c r="BC1465">
        <v>1.3</v>
      </c>
      <c r="BD1465">
        <v>5.03</v>
      </c>
      <c r="BE1465">
        <v>5.18</v>
      </c>
      <c r="BF1465">
        <v>5</v>
      </c>
      <c r="BG1465" t="s">
        <v>17514</v>
      </c>
      <c r="BH1465" t="s">
        <v>8846</v>
      </c>
      <c r="BI1465" t="s">
        <v>17513</v>
      </c>
      <c r="BJ1465" t="s">
        <v>101</v>
      </c>
      <c r="BK1465" t="s">
        <v>14621</v>
      </c>
      <c r="BL1465" t="s">
        <v>17515</v>
      </c>
      <c r="BM1465" t="s">
        <v>15740</v>
      </c>
      <c r="BN1465" t="s">
        <v>14623</v>
      </c>
    </row>
    <row r="1466" spans="1:66" x14ac:dyDescent="0.25">
      <c r="A1466" t="str">
        <f>HYPERLINK("https://elite.finviz.com/quote.ashx?t=RL&amp;ty=c&amp;p=d&amp;b=1", "RL")</f>
        <v>RL</v>
      </c>
      <c r="B1466">
        <v>6</v>
      </c>
      <c r="C1466">
        <v>127.03</v>
      </c>
      <c r="D1466">
        <v>51.95</v>
      </c>
      <c r="E1466" t="s">
        <v>17516</v>
      </c>
      <c r="F1466" t="s">
        <v>195</v>
      </c>
      <c r="G1466" t="s">
        <v>813</v>
      </c>
      <c r="H1466" t="s">
        <v>7446</v>
      </c>
      <c r="I1466" t="s">
        <v>70</v>
      </c>
      <c r="J1466" t="s">
        <v>71</v>
      </c>
      <c r="K1466">
        <v>18682.990000000002</v>
      </c>
      <c r="L1466">
        <v>308.33999999999997</v>
      </c>
      <c r="M1466" t="s">
        <v>7338</v>
      </c>
      <c r="N1466">
        <v>138320</v>
      </c>
      <c r="O1466">
        <v>24.61</v>
      </c>
      <c r="P1466">
        <v>18.989999999999998</v>
      </c>
      <c r="Q1466">
        <v>1.76</v>
      </c>
      <c r="R1466">
        <v>2.56</v>
      </c>
      <c r="S1466">
        <v>7.43</v>
      </c>
      <c r="T1466" t="s">
        <v>273</v>
      </c>
      <c r="U1466">
        <v>3.47</v>
      </c>
      <c r="V1466" t="s">
        <v>4741</v>
      </c>
      <c r="W1466" t="s">
        <v>3962</v>
      </c>
      <c r="X1466" t="s">
        <v>6593</v>
      </c>
      <c r="Y1466" t="s">
        <v>3482</v>
      </c>
      <c r="Z1466" t="s">
        <v>9386</v>
      </c>
      <c r="AA1466">
        <v>12.53</v>
      </c>
      <c r="AB1466" t="s">
        <v>4450</v>
      </c>
      <c r="AC1466" t="s">
        <v>9865</v>
      </c>
      <c r="AD1466" t="s">
        <v>4747</v>
      </c>
      <c r="AE1466" t="s">
        <v>9830</v>
      </c>
      <c r="AF1466" t="s">
        <v>7699</v>
      </c>
      <c r="AG1466" t="s">
        <v>465</v>
      </c>
      <c r="AH1466" t="s">
        <v>5609</v>
      </c>
      <c r="AI1466" t="s">
        <v>11494</v>
      </c>
      <c r="AJ1466" t="s">
        <v>13366</v>
      </c>
      <c r="AK1466" t="s">
        <v>17517</v>
      </c>
      <c r="AL1466">
        <v>1.84</v>
      </c>
      <c r="AM1466">
        <v>1.3</v>
      </c>
      <c r="AN1466">
        <v>1.29</v>
      </c>
      <c r="AO1466" t="s">
        <v>17518</v>
      </c>
      <c r="AP1466" t="s">
        <v>3756</v>
      </c>
      <c r="AQ1466" t="s">
        <v>6085</v>
      </c>
      <c r="AR1466" t="s">
        <v>6151</v>
      </c>
      <c r="AS1466" t="s">
        <v>2273</v>
      </c>
      <c r="AT1466" t="s">
        <v>2694</v>
      </c>
      <c r="AU1466" t="s">
        <v>2619</v>
      </c>
      <c r="AV1466" t="s">
        <v>6722</v>
      </c>
      <c r="AW1466" t="s">
        <v>6080</v>
      </c>
      <c r="AX1466" t="s">
        <v>9545</v>
      </c>
      <c r="AY1466" t="s">
        <v>6080</v>
      </c>
      <c r="AZ1466" t="s">
        <v>7185</v>
      </c>
      <c r="BA1466">
        <v>1.74</v>
      </c>
      <c r="BB1466">
        <v>656.72</v>
      </c>
      <c r="BC1466">
        <v>0.74</v>
      </c>
      <c r="BD1466">
        <v>302.89</v>
      </c>
      <c r="BE1466">
        <v>311.01</v>
      </c>
      <c r="BF1466">
        <v>307.20999999999998</v>
      </c>
      <c r="BG1466" t="s">
        <v>17519</v>
      </c>
      <c r="BH1466" t="s">
        <v>6080</v>
      </c>
      <c r="BI1466" t="s">
        <v>17520</v>
      </c>
      <c r="BJ1466" t="s">
        <v>101</v>
      </c>
      <c r="BK1466" t="s">
        <v>7216</v>
      </c>
      <c r="BL1466" t="s">
        <v>11128</v>
      </c>
      <c r="BM1466" t="s">
        <v>6045</v>
      </c>
      <c r="BN1466" t="s">
        <v>14623</v>
      </c>
    </row>
    <row r="1467" spans="1:66" x14ac:dyDescent="0.25">
      <c r="A1467" t="str">
        <f>HYPERLINK("https://elite.finviz.com/quote.ashx?t=INDB&amp;ty=c&amp;p=d&amp;b=1", "INDB")</f>
        <v>INDB</v>
      </c>
      <c r="B1467">
        <v>6</v>
      </c>
      <c r="C1467">
        <v>127.03</v>
      </c>
      <c r="D1467">
        <v>51.97</v>
      </c>
      <c r="E1467" t="s">
        <v>17521</v>
      </c>
      <c r="F1467" t="s">
        <v>67</v>
      </c>
      <c r="G1467" t="s">
        <v>550</v>
      </c>
      <c r="H1467" t="s">
        <v>697</v>
      </c>
      <c r="I1467" t="s">
        <v>70</v>
      </c>
      <c r="J1467" t="s">
        <v>321</v>
      </c>
      <c r="K1467">
        <v>3505.7</v>
      </c>
      <c r="L1467">
        <v>70.349999999999994</v>
      </c>
      <c r="M1467" t="s">
        <v>6192</v>
      </c>
      <c r="N1467">
        <v>36939</v>
      </c>
      <c r="O1467">
        <v>15.88</v>
      </c>
      <c r="P1467">
        <v>9.56</v>
      </c>
      <c r="R1467">
        <v>3.54</v>
      </c>
      <c r="S1467">
        <v>0.98</v>
      </c>
      <c r="T1467" t="s">
        <v>4677</v>
      </c>
      <c r="U1467">
        <v>2.3199999999999998</v>
      </c>
      <c r="V1467" t="s">
        <v>2598</v>
      </c>
      <c r="W1467" t="s">
        <v>5111</v>
      </c>
      <c r="X1467" t="s">
        <v>4254</v>
      </c>
      <c r="Y1467" t="s">
        <v>5611</v>
      </c>
      <c r="Z1467" t="s">
        <v>17522</v>
      </c>
      <c r="AA1467">
        <v>4.43</v>
      </c>
      <c r="AB1467" t="s">
        <v>7019</v>
      </c>
      <c r="AC1467" t="s">
        <v>1863</v>
      </c>
      <c r="AE1467" t="s">
        <v>9130</v>
      </c>
      <c r="AF1467" t="s">
        <v>1953</v>
      </c>
      <c r="AG1467" t="s">
        <v>2377</v>
      </c>
      <c r="AH1467" t="s">
        <v>5111</v>
      </c>
      <c r="AI1467" t="s">
        <v>6770</v>
      </c>
      <c r="AJ1467" t="s">
        <v>10175</v>
      </c>
      <c r="AK1467" t="s">
        <v>7348</v>
      </c>
      <c r="AL1467">
        <v>0.12</v>
      </c>
      <c r="AN1467">
        <v>0.25</v>
      </c>
      <c r="AP1467" t="s">
        <v>15766</v>
      </c>
      <c r="AQ1467" t="s">
        <v>14050</v>
      </c>
      <c r="AR1467" t="s">
        <v>4710</v>
      </c>
      <c r="AS1467" t="s">
        <v>901</v>
      </c>
      <c r="AT1467" t="s">
        <v>2103</v>
      </c>
      <c r="AU1467" t="s">
        <v>2146</v>
      </c>
      <c r="AV1467" t="s">
        <v>1282</v>
      </c>
      <c r="AW1467" t="s">
        <v>5650</v>
      </c>
      <c r="AX1467" t="s">
        <v>2169</v>
      </c>
      <c r="AY1467" t="s">
        <v>12282</v>
      </c>
      <c r="AZ1467" t="s">
        <v>9951</v>
      </c>
      <c r="BA1467">
        <v>2</v>
      </c>
      <c r="BB1467">
        <v>392.65</v>
      </c>
      <c r="BC1467">
        <v>0.33</v>
      </c>
      <c r="BD1467">
        <v>70.41</v>
      </c>
      <c r="BE1467">
        <v>71.37</v>
      </c>
      <c r="BF1467">
        <v>70.2</v>
      </c>
      <c r="BG1467" t="s">
        <v>17523</v>
      </c>
      <c r="BH1467" t="s">
        <v>15470</v>
      </c>
      <c r="BI1467" t="s">
        <v>17524</v>
      </c>
      <c r="BJ1467" t="s">
        <v>101</v>
      </c>
      <c r="BK1467" t="s">
        <v>3071</v>
      </c>
      <c r="BL1467" t="s">
        <v>11639</v>
      </c>
      <c r="BM1467" t="s">
        <v>10042</v>
      </c>
      <c r="BN1467" t="s">
        <v>14623</v>
      </c>
    </row>
    <row r="1468" spans="1:66" x14ac:dyDescent="0.25">
      <c r="A1468" t="str">
        <f>HYPERLINK("https://elite.finviz.com/quote.ashx?t=FACT&amp;ty=c&amp;p=d&amp;b=1", "FACT")</f>
        <v>FACT</v>
      </c>
      <c r="B1468">
        <v>6</v>
      </c>
      <c r="C1468">
        <v>127.03</v>
      </c>
      <c r="D1468">
        <v>51.97</v>
      </c>
      <c r="E1468" t="s">
        <v>17525</v>
      </c>
      <c r="F1468" t="s">
        <v>107</v>
      </c>
      <c r="G1468" t="s">
        <v>550</v>
      </c>
      <c r="H1468" t="s">
        <v>2120</v>
      </c>
      <c r="I1468" t="s">
        <v>70</v>
      </c>
      <c r="J1468" t="s">
        <v>321</v>
      </c>
      <c r="K1468">
        <v>250.25</v>
      </c>
      <c r="L1468">
        <v>10.29</v>
      </c>
      <c r="M1468" t="s">
        <v>164</v>
      </c>
      <c r="N1468">
        <v>0</v>
      </c>
      <c r="O1468">
        <v>83.12</v>
      </c>
      <c r="S1468">
        <v>1.44</v>
      </c>
      <c r="AA1468">
        <v>0.12</v>
      </c>
      <c r="AK1468" t="s">
        <v>17526</v>
      </c>
      <c r="AL1468">
        <v>14.55</v>
      </c>
      <c r="AM1468">
        <v>14.55</v>
      </c>
      <c r="AN1468">
        <v>0</v>
      </c>
      <c r="AR1468" t="s">
        <v>2215</v>
      </c>
      <c r="AS1468" t="s">
        <v>4507</v>
      </c>
      <c r="AT1468" t="s">
        <v>7709</v>
      </c>
      <c r="AU1468" t="s">
        <v>4494</v>
      </c>
      <c r="AV1468" t="s">
        <v>2195</v>
      </c>
      <c r="AW1468" t="s">
        <v>3388</v>
      </c>
      <c r="AX1468" t="s">
        <v>2734</v>
      </c>
      <c r="AY1468" t="s">
        <v>3388</v>
      </c>
      <c r="AZ1468" t="s">
        <v>5045</v>
      </c>
      <c r="BB1468">
        <v>65.64</v>
      </c>
      <c r="BC1468">
        <v>0</v>
      </c>
      <c r="BD1468">
        <v>10.29</v>
      </c>
      <c r="BE1468">
        <v>10.29</v>
      </c>
      <c r="BF1468">
        <v>10.29</v>
      </c>
      <c r="BG1468" t="s">
        <v>17527</v>
      </c>
      <c r="BH1468" t="s">
        <v>3388</v>
      </c>
      <c r="BI1468" t="s">
        <v>5045</v>
      </c>
      <c r="BJ1468" t="s">
        <v>101</v>
      </c>
      <c r="BK1468" t="s">
        <v>910</v>
      </c>
      <c r="BL1468" t="s">
        <v>3670</v>
      </c>
      <c r="BN1468" t="s">
        <v>14623</v>
      </c>
    </row>
    <row r="1469" spans="1:66" x14ac:dyDescent="0.25">
      <c r="A1469" t="str">
        <f>HYPERLINK("https://elite.finviz.com/quote.ashx?t=KPTI&amp;ty=c&amp;p=d&amp;b=1", "KPTI")</f>
        <v>KPTI</v>
      </c>
      <c r="B1469">
        <v>6</v>
      </c>
      <c r="C1469">
        <v>127.03</v>
      </c>
      <c r="D1469">
        <v>51.98</v>
      </c>
      <c r="E1469" t="s">
        <v>17528</v>
      </c>
      <c r="F1469" t="s">
        <v>107</v>
      </c>
      <c r="G1469" t="s">
        <v>428</v>
      </c>
      <c r="H1469" t="s">
        <v>429</v>
      </c>
      <c r="I1469" t="s">
        <v>70</v>
      </c>
      <c r="J1469" t="s">
        <v>321</v>
      </c>
      <c r="K1469">
        <v>55.63</v>
      </c>
      <c r="L1469">
        <v>6.42</v>
      </c>
      <c r="M1469" t="s">
        <v>9600</v>
      </c>
      <c r="N1469">
        <v>14411</v>
      </c>
      <c r="R1469">
        <v>0.41</v>
      </c>
      <c r="AA1469">
        <v>-14.61</v>
      </c>
      <c r="AB1469" t="s">
        <v>17529</v>
      </c>
      <c r="AC1469" t="s">
        <v>7656</v>
      </c>
      <c r="AD1469" t="s">
        <v>12343</v>
      </c>
      <c r="AE1469" t="s">
        <v>2562</v>
      </c>
      <c r="AF1469" t="s">
        <v>11400</v>
      </c>
      <c r="AG1469" t="s">
        <v>17530</v>
      </c>
      <c r="AH1469" t="s">
        <v>10687</v>
      </c>
      <c r="AI1469" t="s">
        <v>2220</v>
      </c>
      <c r="AJ1469" t="s">
        <v>148</v>
      </c>
      <c r="AK1469" t="s">
        <v>4572</v>
      </c>
      <c r="AL1469">
        <v>0.99</v>
      </c>
      <c r="AM1469">
        <v>0.94</v>
      </c>
      <c r="AO1469" t="s">
        <v>17531</v>
      </c>
      <c r="AP1469" t="s">
        <v>15854</v>
      </c>
      <c r="AQ1469" t="s">
        <v>17532</v>
      </c>
      <c r="AR1469" t="s">
        <v>15034</v>
      </c>
      <c r="AS1469" t="s">
        <v>2794</v>
      </c>
      <c r="AT1469" t="s">
        <v>2197</v>
      </c>
      <c r="AU1469" t="s">
        <v>6343</v>
      </c>
      <c r="AV1469" t="s">
        <v>14331</v>
      </c>
      <c r="AW1469" t="s">
        <v>17533</v>
      </c>
      <c r="AX1469" t="s">
        <v>3489</v>
      </c>
      <c r="AY1469" t="s">
        <v>17534</v>
      </c>
      <c r="AZ1469" t="s">
        <v>17535</v>
      </c>
      <c r="BA1469">
        <v>2</v>
      </c>
      <c r="BB1469">
        <v>174.25</v>
      </c>
      <c r="BC1469">
        <v>0.28999999999999998</v>
      </c>
      <c r="BD1469">
        <v>6.66</v>
      </c>
      <c r="BE1469">
        <v>6.64</v>
      </c>
      <c r="BF1469">
        <v>6.64</v>
      </c>
      <c r="BG1469" t="s">
        <v>17536</v>
      </c>
      <c r="BH1469" t="s">
        <v>17537</v>
      </c>
      <c r="BI1469" t="s">
        <v>17535</v>
      </c>
      <c r="BJ1469" t="s">
        <v>101</v>
      </c>
      <c r="BK1469" t="s">
        <v>17538</v>
      </c>
      <c r="BL1469" t="s">
        <v>17539</v>
      </c>
      <c r="BM1469" t="s">
        <v>17540</v>
      </c>
      <c r="BN1469" t="s">
        <v>14623</v>
      </c>
    </row>
    <row r="1470" spans="1:66" x14ac:dyDescent="0.25">
      <c r="A1470" t="str">
        <f>HYPERLINK("https://elite.finviz.com/quote.ashx?t=AZO&amp;ty=c&amp;p=d&amp;b=1", "AZO")</f>
        <v>AZO</v>
      </c>
      <c r="B1470">
        <v>6</v>
      </c>
      <c r="C1470">
        <v>127.03</v>
      </c>
      <c r="D1470">
        <v>51.98</v>
      </c>
      <c r="E1470" t="s">
        <v>17541</v>
      </c>
      <c r="F1470" t="s">
        <v>195</v>
      </c>
      <c r="G1470" t="s">
        <v>813</v>
      </c>
      <c r="H1470" t="s">
        <v>814</v>
      </c>
      <c r="I1470" t="s">
        <v>70</v>
      </c>
      <c r="J1470" t="s">
        <v>71</v>
      </c>
      <c r="K1470">
        <v>69819.8</v>
      </c>
      <c r="L1470">
        <v>4173.6499999999996</v>
      </c>
      <c r="M1470" t="s">
        <v>3344</v>
      </c>
      <c r="N1470">
        <v>18695</v>
      </c>
      <c r="O1470">
        <v>28.81</v>
      </c>
      <c r="P1470">
        <v>23.01</v>
      </c>
      <c r="Q1470">
        <v>2.46</v>
      </c>
      <c r="R1470">
        <v>3.69</v>
      </c>
      <c r="Z1470" t="s">
        <v>164</v>
      </c>
      <c r="AA1470">
        <v>144.88999999999999</v>
      </c>
      <c r="AB1470" t="s">
        <v>4850</v>
      </c>
      <c r="AC1470" t="s">
        <v>2289</v>
      </c>
      <c r="AD1470" t="s">
        <v>13358</v>
      </c>
      <c r="AE1470" t="s">
        <v>2582</v>
      </c>
      <c r="AF1470" t="s">
        <v>3758</v>
      </c>
      <c r="AG1470" t="s">
        <v>3664</v>
      </c>
      <c r="AH1470" t="s">
        <v>1763</v>
      </c>
      <c r="AI1470" t="s">
        <v>552</v>
      </c>
      <c r="AJ1470" t="s">
        <v>11883</v>
      </c>
      <c r="AK1470" t="s">
        <v>17542</v>
      </c>
      <c r="AL1470">
        <v>0.88</v>
      </c>
      <c r="AM1470">
        <v>0.14000000000000001</v>
      </c>
      <c r="AO1470" t="s">
        <v>11259</v>
      </c>
      <c r="AP1470" t="s">
        <v>8576</v>
      </c>
      <c r="AQ1470" t="s">
        <v>7553</v>
      </c>
      <c r="AR1470" t="s">
        <v>4873</v>
      </c>
      <c r="AS1470" t="s">
        <v>1129</v>
      </c>
      <c r="AT1470" t="s">
        <v>8357</v>
      </c>
      <c r="AU1470" t="s">
        <v>1933</v>
      </c>
      <c r="AV1470" t="s">
        <v>2685</v>
      </c>
      <c r="AW1470" t="s">
        <v>4893</v>
      </c>
      <c r="AX1470" t="s">
        <v>5706</v>
      </c>
      <c r="AY1470" t="s">
        <v>4893</v>
      </c>
      <c r="AZ1470" t="s">
        <v>17543</v>
      </c>
      <c r="BA1470">
        <v>1.46</v>
      </c>
      <c r="BB1470">
        <v>125.66</v>
      </c>
      <c r="BC1470">
        <v>0.52</v>
      </c>
      <c r="BD1470">
        <v>4136.07</v>
      </c>
      <c r="BE1470">
        <v>4164.97</v>
      </c>
      <c r="BF1470">
        <v>4118.29</v>
      </c>
      <c r="BG1470" t="s">
        <v>17544</v>
      </c>
      <c r="BH1470" t="s">
        <v>4893</v>
      </c>
      <c r="BI1470" t="s">
        <v>17545</v>
      </c>
      <c r="BJ1470" t="s">
        <v>101</v>
      </c>
      <c r="BK1470" t="s">
        <v>583</v>
      </c>
      <c r="BL1470" t="s">
        <v>2984</v>
      </c>
      <c r="BM1470" t="s">
        <v>17546</v>
      </c>
      <c r="BN1470" t="s">
        <v>14623</v>
      </c>
    </row>
    <row r="1471" spans="1:66" x14ac:dyDescent="0.25">
      <c r="A1471" t="str">
        <f>HYPERLINK("https://elite.finviz.com/quote.ashx?t=LSBK&amp;ty=c&amp;p=d&amp;b=1", "LSBK")</f>
        <v>LSBK</v>
      </c>
      <c r="B1471">
        <v>6</v>
      </c>
      <c r="C1471">
        <v>127.03</v>
      </c>
      <c r="D1471">
        <v>51.98</v>
      </c>
      <c r="E1471" t="s">
        <v>17547</v>
      </c>
      <c r="F1471" t="s">
        <v>107</v>
      </c>
      <c r="G1471" t="s">
        <v>550</v>
      </c>
      <c r="H1471" t="s">
        <v>697</v>
      </c>
      <c r="I1471" t="s">
        <v>70</v>
      </c>
      <c r="J1471" t="s">
        <v>321</v>
      </c>
      <c r="K1471">
        <v>100.35</v>
      </c>
      <c r="L1471">
        <v>13.02</v>
      </c>
      <c r="M1471" t="s">
        <v>1998</v>
      </c>
      <c r="N1471">
        <v>9468</v>
      </c>
      <c r="O1471">
        <v>17.329999999999998</v>
      </c>
      <c r="R1471">
        <v>2.63</v>
      </c>
      <c r="S1471">
        <v>1.0900000000000001</v>
      </c>
      <c r="T1471" t="s">
        <v>2361</v>
      </c>
      <c r="U1471">
        <v>0.36</v>
      </c>
      <c r="V1471" t="s">
        <v>4827</v>
      </c>
      <c r="X1471" t="s">
        <v>164</v>
      </c>
      <c r="Y1471" t="s">
        <v>2496</v>
      </c>
      <c r="Z1471" t="s">
        <v>2427</v>
      </c>
      <c r="AA1471">
        <v>0.75</v>
      </c>
      <c r="AB1471" t="s">
        <v>3292</v>
      </c>
      <c r="AC1471" t="s">
        <v>5395</v>
      </c>
      <c r="AE1471" t="s">
        <v>1559</v>
      </c>
      <c r="AF1471" t="s">
        <v>11159</v>
      </c>
      <c r="AG1471" t="s">
        <v>5319</v>
      </c>
      <c r="AH1471" t="s">
        <v>3482</v>
      </c>
      <c r="AJ1471" t="s">
        <v>164</v>
      </c>
      <c r="AK1471" t="s">
        <v>9864</v>
      </c>
      <c r="AL1471">
        <v>0.24</v>
      </c>
      <c r="AN1471">
        <v>0.02</v>
      </c>
      <c r="AP1471" t="s">
        <v>433</v>
      </c>
      <c r="AQ1471" t="s">
        <v>6721</v>
      </c>
      <c r="AR1471" t="s">
        <v>3019</v>
      </c>
      <c r="AS1471" t="s">
        <v>3551</v>
      </c>
      <c r="AT1471" t="s">
        <v>240</v>
      </c>
      <c r="AU1471" t="s">
        <v>633</v>
      </c>
      <c r="AV1471" t="s">
        <v>5587</v>
      </c>
      <c r="AW1471" t="s">
        <v>17548</v>
      </c>
      <c r="AX1471" t="s">
        <v>2863</v>
      </c>
      <c r="AY1471" t="s">
        <v>17548</v>
      </c>
      <c r="AZ1471" t="s">
        <v>11307</v>
      </c>
      <c r="BB1471">
        <v>51.54</v>
      </c>
      <c r="BC1471">
        <v>0.65</v>
      </c>
      <c r="BD1471">
        <v>13.04</v>
      </c>
      <c r="BE1471">
        <v>13.22</v>
      </c>
      <c r="BF1471">
        <v>13.01</v>
      </c>
      <c r="BG1471" t="s">
        <v>17549</v>
      </c>
      <c r="BH1471" t="s">
        <v>17548</v>
      </c>
      <c r="BI1471" t="s">
        <v>17550</v>
      </c>
      <c r="BJ1471" t="s">
        <v>101</v>
      </c>
      <c r="BK1471" t="s">
        <v>8209</v>
      </c>
      <c r="BL1471" t="s">
        <v>8401</v>
      </c>
      <c r="BM1471" t="s">
        <v>17551</v>
      </c>
      <c r="BN1471" t="s">
        <v>14623</v>
      </c>
    </row>
    <row r="1472" spans="1:66" x14ac:dyDescent="0.25">
      <c r="A1472" t="str">
        <f>HYPERLINK("https://elite.finviz.com/quote.ashx?t=PBFS&amp;ty=c&amp;p=d&amp;b=1", "PBFS")</f>
        <v>PBFS</v>
      </c>
      <c r="B1472">
        <v>6</v>
      </c>
      <c r="C1472">
        <v>127.03</v>
      </c>
      <c r="D1472">
        <v>51.99</v>
      </c>
      <c r="E1472" t="s">
        <v>17552</v>
      </c>
      <c r="F1472" t="s">
        <v>67</v>
      </c>
      <c r="G1472" t="s">
        <v>550</v>
      </c>
      <c r="H1472" t="s">
        <v>697</v>
      </c>
      <c r="I1472" t="s">
        <v>70</v>
      </c>
      <c r="J1472" t="s">
        <v>321</v>
      </c>
      <c r="K1472">
        <v>333.64</v>
      </c>
      <c r="L1472">
        <v>13.19</v>
      </c>
      <c r="M1472" t="s">
        <v>183</v>
      </c>
      <c r="N1472">
        <v>2505</v>
      </c>
      <c r="O1472">
        <v>15.76</v>
      </c>
      <c r="R1472">
        <v>2.88</v>
      </c>
      <c r="S1472">
        <v>1.04</v>
      </c>
      <c r="Z1472" t="s">
        <v>164</v>
      </c>
      <c r="AA1472">
        <v>0.84</v>
      </c>
      <c r="AB1472" t="s">
        <v>17553</v>
      </c>
      <c r="AC1472" t="s">
        <v>949</v>
      </c>
      <c r="AE1472" t="s">
        <v>12003</v>
      </c>
      <c r="AF1472" t="s">
        <v>15197</v>
      </c>
      <c r="AG1472" t="s">
        <v>5383</v>
      </c>
      <c r="AH1472" t="s">
        <v>685</v>
      </c>
      <c r="AJ1472" t="s">
        <v>164</v>
      </c>
      <c r="AK1472" t="s">
        <v>12598</v>
      </c>
      <c r="AL1472">
        <v>0.28000000000000003</v>
      </c>
      <c r="AN1472">
        <v>0</v>
      </c>
      <c r="AP1472" t="s">
        <v>2961</v>
      </c>
      <c r="AQ1472" t="s">
        <v>339</v>
      </c>
      <c r="AR1472" t="s">
        <v>4873</v>
      </c>
      <c r="AS1472" t="s">
        <v>2202</v>
      </c>
      <c r="AT1472" t="s">
        <v>1938</v>
      </c>
      <c r="AU1472" t="s">
        <v>3456</v>
      </c>
      <c r="AV1472" t="s">
        <v>5227</v>
      </c>
      <c r="AW1472" t="s">
        <v>16782</v>
      </c>
      <c r="AX1472" t="s">
        <v>3335</v>
      </c>
      <c r="AY1472" t="s">
        <v>16782</v>
      </c>
      <c r="AZ1472" t="s">
        <v>3138</v>
      </c>
      <c r="BB1472">
        <v>24.25</v>
      </c>
      <c r="BC1472">
        <v>0.37</v>
      </c>
      <c r="BD1472">
        <v>13.17</v>
      </c>
      <c r="BE1472">
        <v>13.21</v>
      </c>
      <c r="BF1472">
        <v>13.11</v>
      </c>
      <c r="BG1472" t="s">
        <v>17554</v>
      </c>
      <c r="BH1472" t="s">
        <v>14901</v>
      </c>
      <c r="BI1472" t="s">
        <v>14388</v>
      </c>
      <c r="BJ1472" t="s">
        <v>101</v>
      </c>
      <c r="BK1472" t="s">
        <v>12450</v>
      </c>
      <c r="BL1472" t="s">
        <v>6388</v>
      </c>
      <c r="BM1472" t="s">
        <v>7789</v>
      </c>
      <c r="BN1472" t="s">
        <v>14623</v>
      </c>
    </row>
    <row r="1473" spans="1:66" x14ac:dyDescent="0.25">
      <c r="A1473" t="str">
        <f>HYPERLINK("https://elite.finviz.com/quote.ashx?t=INGM&amp;ty=c&amp;p=d&amp;b=1", "INGM")</f>
        <v>INGM</v>
      </c>
      <c r="B1473">
        <v>6</v>
      </c>
      <c r="C1473">
        <v>127.03</v>
      </c>
      <c r="D1473">
        <v>51.99</v>
      </c>
      <c r="E1473" t="s">
        <v>17555</v>
      </c>
      <c r="F1473" t="s">
        <v>107</v>
      </c>
      <c r="G1473" t="s">
        <v>108</v>
      </c>
      <c r="H1473" t="s">
        <v>1322</v>
      </c>
      <c r="I1473" t="s">
        <v>70</v>
      </c>
      <c r="J1473" t="s">
        <v>71</v>
      </c>
      <c r="K1473">
        <v>4830.74</v>
      </c>
      <c r="L1473">
        <v>20.57</v>
      </c>
      <c r="M1473" t="s">
        <v>6182</v>
      </c>
      <c r="N1473">
        <v>73508</v>
      </c>
      <c r="O1473">
        <v>18.09</v>
      </c>
      <c r="P1473">
        <v>6.45</v>
      </c>
      <c r="Q1473">
        <v>2.6</v>
      </c>
      <c r="R1473">
        <v>0.1</v>
      </c>
      <c r="S1473">
        <v>1.19</v>
      </c>
      <c r="T1473" t="s">
        <v>2186</v>
      </c>
      <c r="U1473">
        <v>0.23</v>
      </c>
      <c r="V1473" t="s">
        <v>10236</v>
      </c>
      <c r="Z1473" t="s">
        <v>164</v>
      </c>
      <c r="AA1473">
        <v>1.1399999999999999</v>
      </c>
      <c r="AB1473" t="s">
        <v>16243</v>
      </c>
      <c r="AC1473" t="s">
        <v>4919</v>
      </c>
      <c r="AD1473" t="s">
        <v>2585</v>
      </c>
      <c r="AE1473" t="s">
        <v>912</v>
      </c>
      <c r="AF1473" t="s">
        <v>2304</v>
      </c>
      <c r="AG1473" t="s">
        <v>2290</v>
      </c>
      <c r="AH1473" t="s">
        <v>6587</v>
      </c>
      <c r="AI1473" t="s">
        <v>1050</v>
      </c>
      <c r="AJ1473" t="s">
        <v>164</v>
      </c>
      <c r="AK1473" t="s">
        <v>5265</v>
      </c>
      <c r="AL1473">
        <v>1.39</v>
      </c>
      <c r="AM1473">
        <v>0.93</v>
      </c>
      <c r="AN1473">
        <v>1.03</v>
      </c>
      <c r="AO1473" t="s">
        <v>3566</v>
      </c>
      <c r="AP1473" t="s">
        <v>4946</v>
      </c>
      <c r="AQ1473" t="s">
        <v>2362</v>
      </c>
      <c r="AR1473" t="s">
        <v>2789</v>
      </c>
      <c r="AS1473" t="s">
        <v>1761</v>
      </c>
      <c r="AT1473" t="s">
        <v>698</v>
      </c>
      <c r="AU1473" t="s">
        <v>8016</v>
      </c>
      <c r="AV1473" t="s">
        <v>4600</v>
      </c>
      <c r="AW1473" t="s">
        <v>6253</v>
      </c>
      <c r="AX1473" t="s">
        <v>4621</v>
      </c>
      <c r="AY1473" t="s">
        <v>14489</v>
      </c>
      <c r="AZ1473" t="s">
        <v>17556</v>
      </c>
      <c r="BA1473">
        <v>1.93</v>
      </c>
      <c r="BB1473">
        <v>338.96</v>
      </c>
      <c r="BC1473">
        <v>0.76</v>
      </c>
      <c r="BD1473">
        <v>20.52</v>
      </c>
      <c r="BE1473">
        <v>20.64</v>
      </c>
      <c r="BF1473">
        <v>20.41</v>
      </c>
      <c r="BG1473" t="s">
        <v>17557</v>
      </c>
      <c r="BH1473" t="s">
        <v>14489</v>
      </c>
      <c r="BI1473" t="s">
        <v>17556</v>
      </c>
      <c r="BJ1473" t="s">
        <v>101</v>
      </c>
      <c r="BK1473" t="s">
        <v>2638</v>
      </c>
      <c r="BL1473" t="s">
        <v>6124</v>
      </c>
      <c r="BN1473" t="s">
        <v>14623</v>
      </c>
    </row>
    <row r="1474" spans="1:66" x14ac:dyDescent="0.25">
      <c r="A1474" t="str">
        <f>HYPERLINK("https://elite.finviz.com/quote.ashx?t=EGHA&amp;ty=c&amp;p=d&amp;b=1", "EGHA")</f>
        <v>EGHA</v>
      </c>
      <c r="B1474">
        <v>6</v>
      </c>
      <c r="C1474">
        <v>127.03</v>
      </c>
      <c r="D1474">
        <v>51.99</v>
      </c>
      <c r="E1474" t="s">
        <v>17558</v>
      </c>
      <c r="F1474" t="s">
        <v>107</v>
      </c>
      <c r="G1474" t="s">
        <v>550</v>
      </c>
      <c r="H1474" t="s">
        <v>2120</v>
      </c>
      <c r="I1474" t="s">
        <v>70</v>
      </c>
      <c r="J1474" t="s">
        <v>321</v>
      </c>
      <c r="K1474">
        <v>205.61</v>
      </c>
      <c r="L1474">
        <v>10.029999999999999</v>
      </c>
      <c r="M1474" t="s">
        <v>164</v>
      </c>
      <c r="N1474">
        <v>0</v>
      </c>
      <c r="S1474">
        <v>1.41</v>
      </c>
      <c r="AJ1474" t="s">
        <v>164</v>
      </c>
      <c r="AK1474" t="s">
        <v>1360</v>
      </c>
      <c r="AL1474">
        <v>11.68</v>
      </c>
      <c r="AM1474">
        <v>11.68</v>
      </c>
      <c r="AN1474">
        <v>0</v>
      </c>
      <c r="AR1474" t="s">
        <v>164</v>
      </c>
      <c r="AS1474" t="s">
        <v>4507</v>
      </c>
      <c r="AT1474" t="s">
        <v>2275</v>
      </c>
      <c r="AU1474" t="s">
        <v>211</v>
      </c>
      <c r="AV1474" t="s">
        <v>211</v>
      </c>
      <c r="AW1474" t="s">
        <v>5309</v>
      </c>
      <c r="AX1474" t="s">
        <v>4689</v>
      </c>
      <c r="AY1474" t="s">
        <v>5309</v>
      </c>
      <c r="AZ1474" t="s">
        <v>4689</v>
      </c>
      <c r="BB1474">
        <v>61.86</v>
      </c>
      <c r="BC1474">
        <v>0</v>
      </c>
      <c r="BD1474">
        <v>10.029999999999999</v>
      </c>
      <c r="BE1474">
        <v>10.029999999999999</v>
      </c>
      <c r="BF1474">
        <v>10.029999999999999</v>
      </c>
      <c r="BG1474" t="s">
        <v>17559</v>
      </c>
      <c r="BH1474" t="s">
        <v>5309</v>
      </c>
      <c r="BI1474" t="s">
        <v>4689</v>
      </c>
      <c r="BJ1474" t="s">
        <v>101</v>
      </c>
      <c r="BN1474" t="s">
        <v>14623</v>
      </c>
    </row>
    <row r="1475" spans="1:66" x14ac:dyDescent="0.25">
      <c r="A1475" t="str">
        <f>HYPERLINK("https://elite.finviz.com/quote.ashx?t=LB&amp;ty=c&amp;p=d&amp;b=1", "LB")</f>
        <v>LB</v>
      </c>
      <c r="B1475">
        <v>6</v>
      </c>
      <c r="C1475">
        <v>127.03</v>
      </c>
      <c r="D1475">
        <v>52.01</v>
      </c>
      <c r="E1475" t="s">
        <v>17560</v>
      </c>
      <c r="F1475" t="s">
        <v>107</v>
      </c>
      <c r="G1475" t="s">
        <v>1048</v>
      </c>
      <c r="H1475" t="s">
        <v>8341</v>
      </c>
      <c r="I1475" t="s">
        <v>70</v>
      </c>
      <c r="J1475" t="s">
        <v>71</v>
      </c>
      <c r="K1475">
        <v>4148.66</v>
      </c>
      <c r="L1475">
        <v>54.19</v>
      </c>
      <c r="M1475" t="s">
        <v>9925</v>
      </c>
      <c r="N1475">
        <v>43330</v>
      </c>
      <c r="O1475">
        <v>140.51</v>
      </c>
      <c r="P1475">
        <v>22.25</v>
      </c>
      <c r="Q1475">
        <v>2.42</v>
      </c>
      <c r="R1475">
        <v>26.51</v>
      </c>
      <c r="S1475">
        <v>5.12</v>
      </c>
      <c r="T1475" t="s">
        <v>3169</v>
      </c>
      <c r="U1475">
        <v>0.4</v>
      </c>
      <c r="V1475" t="s">
        <v>6223</v>
      </c>
      <c r="Z1475" t="s">
        <v>12636</v>
      </c>
      <c r="AA1475">
        <v>0.39</v>
      </c>
      <c r="AD1475" t="s">
        <v>4662</v>
      </c>
      <c r="AF1475" t="s">
        <v>17561</v>
      </c>
      <c r="AH1475" t="s">
        <v>17562</v>
      </c>
      <c r="AI1475" t="s">
        <v>9170</v>
      </c>
      <c r="AJ1475" t="s">
        <v>17563</v>
      </c>
      <c r="AK1475" t="s">
        <v>8620</v>
      </c>
      <c r="AL1475">
        <v>4.26</v>
      </c>
      <c r="AM1475">
        <v>4.26</v>
      </c>
      <c r="AN1475">
        <v>1.39</v>
      </c>
      <c r="AO1475" t="s">
        <v>17564</v>
      </c>
      <c r="AP1475" t="s">
        <v>17565</v>
      </c>
      <c r="AQ1475" t="s">
        <v>6751</v>
      </c>
      <c r="AR1475" t="s">
        <v>3949</v>
      </c>
      <c r="AS1475" t="s">
        <v>2647</v>
      </c>
      <c r="AT1475" t="s">
        <v>2640</v>
      </c>
      <c r="AU1475" t="s">
        <v>1338</v>
      </c>
      <c r="AV1475" t="s">
        <v>4318</v>
      </c>
      <c r="AW1475" t="s">
        <v>4218</v>
      </c>
      <c r="AX1475" t="s">
        <v>5128</v>
      </c>
      <c r="AY1475" t="s">
        <v>17566</v>
      </c>
      <c r="AZ1475" t="s">
        <v>11489</v>
      </c>
      <c r="BA1475">
        <v>1.89</v>
      </c>
      <c r="BB1475">
        <v>582.23</v>
      </c>
      <c r="BC1475">
        <v>0.26</v>
      </c>
      <c r="BD1475">
        <v>54.38</v>
      </c>
      <c r="BE1475">
        <v>54.75</v>
      </c>
      <c r="BF1475">
        <v>54.01</v>
      </c>
      <c r="BG1475" t="s">
        <v>17567</v>
      </c>
      <c r="BH1475" t="s">
        <v>17566</v>
      </c>
      <c r="BI1475" t="s">
        <v>17568</v>
      </c>
      <c r="BJ1475" t="s">
        <v>101</v>
      </c>
      <c r="BK1475" t="s">
        <v>157</v>
      </c>
      <c r="BL1475" t="s">
        <v>17569</v>
      </c>
      <c r="BM1475" t="s">
        <v>771</v>
      </c>
      <c r="BN1475" t="s">
        <v>14623</v>
      </c>
    </row>
    <row r="1476" spans="1:66" x14ac:dyDescent="0.25">
      <c r="A1476" t="str">
        <f>HYPERLINK("https://elite.finviz.com/quote.ashx?t=RSVR&amp;ty=c&amp;p=d&amp;b=1", "RSVR")</f>
        <v>RSVR</v>
      </c>
      <c r="B1476">
        <v>6</v>
      </c>
      <c r="C1476">
        <v>127.03</v>
      </c>
      <c r="D1476">
        <v>52.02</v>
      </c>
      <c r="E1476" t="s">
        <v>17570</v>
      </c>
      <c r="F1476" t="s">
        <v>67</v>
      </c>
      <c r="G1476" t="s">
        <v>598</v>
      </c>
      <c r="H1476" t="s">
        <v>4247</v>
      </c>
      <c r="I1476" t="s">
        <v>70</v>
      </c>
      <c r="J1476" t="s">
        <v>321</v>
      </c>
      <c r="K1476">
        <v>517.24</v>
      </c>
      <c r="L1476">
        <v>7.89</v>
      </c>
      <c r="M1476" t="s">
        <v>6245</v>
      </c>
      <c r="N1476">
        <v>4717</v>
      </c>
      <c r="O1476">
        <v>69.209999999999994</v>
      </c>
      <c r="P1476">
        <v>49.31</v>
      </c>
      <c r="R1476">
        <v>3.2</v>
      </c>
      <c r="S1476">
        <v>1.4</v>
      </c>
      <c r="Z1476" t="s">
        <v>164</v>
      </c>
      <c r="AA1476">
        <v>0.11</v>
      </c>
      <c r="AB1476" t="s">
        <v>17571</v>
      </c>
      <c r="AE1476" t="s">
        <v>3305</v>
      </c>
      <c r="AF1476" t="s">
        <v>2095</v>
      </c>
      <c r="AH1476" t="s">
        <v>6421</v>
      </c>
      <c r="AI1476" t="s">
        <v>17572</v>
      </c>
      <c r="AJ1476" t="s">
        <v>2197</v>
      </c>
      <c r="AK1476" t="s">
        <v>10337</v>
      </c>
      <c r="AL1476">
        <v>1.29</v>
      </c>
      <c r="AM1476">
        <v>1.29</v>
      </c>
      <c r="AN1476">
        <v>1.07</v>
      </c>
      <c r="AO1476" t="s">
        <v>17573</v>
      </c>
      <c r="AP1476" t="s">
        <v>11147</v>
      </c>
      <c r="AQ1476" t="s">
        <v>5907</v>
      </c>
      <c r="AR1476" t="s">
        <v>206</v>
      </c>
      <c r="AS1476" t="s">
        <v>2868</v>
      </c>
      <c r="AT1476" t="s">
        <v>6182</v>
      </c>
      <c r="AU1476" t="s">
        <v>6117</v>
      </c>
      <c r="AV1476" t="s">
        <v>3551</v>
      </c>
      <c r="AW1476" t="s">
        <v>9018</v>
      </c>
      <c r="AX1476" t="s">
        <v>466</v>
      </c>
      <c r="AY1476" t="s">
        <v>17574</v>
      </c>
      <c r="AZ1476" t="s">
        <v>7710</v>
      </c>
      <c r="BA1476">
        <v>1</v>
      </c>
      <c r="BB1476">
        <v>75.260000000000005</v>
      </c>
      <c r="BC1476">
        <v>0.22</v>
      </c>
      <c r="BD1476">
        <v>7.83</v>
      </c>
      <c r="BE1476">
        <v>7.89</v>
      </c>
      <c r="BF1476">
        <v>7.83</v>
      </c>
      <c r="BG1476" t="s">
        <v>17575</v>
      </c>
      <c r="BH1476" t="s">
        <v>17576</v>
      </c>
      <c r="BI1476" t="s">
        <v>17005</v>
      </c>
      <c r="BJ1476" t="s">
        <v>101</v>
      </c>
      <c r="BK1476" t="s">
        <v>3205</v>
      </c>
      <c r="BL1476" t="s">
        <v>5455</v>
      </c>
      <c r="BM1476" t="s">
        <v>2146</v>
      </c>
      <c r="BN1476" t="s">
        <v>14623</v>
      </c>
    </row>
    <row r="1477" spans="1:66" x14ac:dyDescent="0.25">
      <c r="A1477" t="str">
        <f>HYPERLINK("https://elite.finviz.com/quote.ashx?t=BGSF&amp;ty=c&amp;p=d&amp;b=1", "BGSF")</f>
        <v>BGSF</v>
      </c>
      <c r="B1477">
        <v>6</v>
      </c>
      <c r="C1477">
        <v>127.03</v>
      </c>
      <c r="D1477">
        <v>52.06</v>
      </c>
      <c r="E1477" t="s">
        <v>17577</v>
      </c>
      <c r="F1477" t="s">
        <v>107</v>
      </c>
      <c r="G1477" t="s">
        <v>260</v>
      </c>
      <c r="H1477" t="s">
        <v>8693</v>
      </c>
      <c r="I1477" t="s">
        <v>70</v>
      </c>
      <c r="J1477" t="s">
        <v>71</v>
      </c>
      <c r="K1477">
        <v>77.09</v>
      </c>
      <c r="L1477">
        <v>6.9</v>
      </c>
      <c r="M1477" t="s">
        <v>3757</v>
      </c>
      <c r="N1477">
        <v>54864</v>
      </c>
      <c r="R1477">
        <v>0.35</v>
      </c>
      <c r="S1477">
        <v>0.98</v>
      </c>
      <c r="V1477" t="s">
        <v>700</v>
      </c>
      <c r="AA1477">
        <v>-0.56999999999999995</v>
      </c>
      <c r="AE1477" t="s">
        <v>17578</v>
      </c>
      <c r="AF1477" t="s">
        <v>5045</v>
      </c>
      <c r="AG1477" t="s">
        <v>7243</v>
      </c>
      <c r="AH1477" t="s">
        <v>17579</v>
      </c>
      <c r="AI1477" t="s">
        <v>17580</v>
      </c>
      <c r="AJ1477" t="s">
        <v>164</v>
      </c>
      <c r="AK1477" t="s">
        <v>5580</v>
      </c>
      <c r="AL1477">
        <v>1.64</v>
      </c>
      <c r="AM1477">
        <v>1.64</v>
      </c>
      <c r="AN1477">
        <v>0.61</v>
      </c>
      <c r="AO1477" t="s">
        <v>17581</v>
      </c>
      <c r="AP1477" t="s">
        <v>2190</v>
      </c>
      <c r="AQ1477" t="s">
        <v>5686</v>
      </c>
      <c r="AR1477" t="s">
        <v>616</v>
      </c>
      <c r="AS1477" t="s">
        <v>2293</v>
      </c>
      <c r="AT1477" t="s">
        <v>2864</v>
      </c>
      <c r="AU1477" t="s">
        <v>7938</v>
      </c>
      <c r="AV1477" t="s">
        <v>17582</v>
      </c>
      <c r="AW1477" t="s">
        <v>2872</v>
      </c>
      <c r="AX1477" t="s">
        <v>10659</v>
      </c>
      <c r="AY1477" t="s">
        <v>6958</v>
      </c>
      <c r="AZ1477" t="s">
        <v>17583</v>
      </c>
      <c r="BA1477">
        <v>1</v>
      </c>
      <c r="BB1477">
        <v>201.19</v>
      </c>
      <c r="BC1477">
        <v>0.97</v>
      </c>
      <c r="BD1477">
        <v>6.78</v>
      </c>
      <c r="BE1477">
        <v>7.06</v>
      </c>
      <c r="BF1477">
        <v>6.9</v>
      </c>
      <c r="BG1477" t="s">
        <v>17584</v>
      </c>
      <c r="BH1477" t="s">
        <v>17585</v>
      </c>
      <c r="BI1477" t="s">
        <v>17583</v>
      </c>
      <c r="BJ1477" t="s">
        <v>101</v>
      </c>
      <c r="BK1477" t="s">
        <v>3189</v>
      </c>
      <c r="BL1477" t="s">
        <v>13707</v>
      </c>
      <c r="BM1477" t="s">
        <v>1153</v>
      </c>
      <c r="BN1477" t="s">
        <v>14623</v>
      </c>
    </row>
    <row r="1478" spans="1:66" x14ac:dyDescent="0.25">
      <c r="A1478" t="str">
        <f>HYPERLINK("https://elite.finviz.com/quote.ashx?t=CARV&amp;ty=c&amp;p=d&amp;b=1", "CARV")</f>
        <v>CARV</v>
      </c>
      <c r="B1478">
        <v>6</v>
      </c>
      <c r="C1478">
        <v>127.03</v>
      </c>
      <c r="D1478">
        <v>52.06</v>
      </c>
      <c r="E1478" t="s">
        <v>17586</v>
      </c>
      <c r="F1478" t="s">
        <v>107</v>
      </c>
      <c r="G1478" t="s">
        <v>550</v>
      </c>
      <c r="H1478" t="s">
        <v>697</v>
      </c>
      <c r="I1478" t="s">
        <v>70</v>
      </c>
      <c r="J1478" t="s">
        <v>321</v>
      </c>
      <c r="K1478">
        <v>11.83</v>
      </c>
      <c r="L1478">
        <v>2.33</v>
      </c>
      <c r="M1478" t="s">
        <v>295</v>
      </c>
      <c r="N1478">
        <v>930</v>
      </c>
      <c r="R1478">
        <v>0.31</v>
      </c>
      <c r="S1478">
        <v>1.8</v>
      </c>
      <c r="V1478" t="s">
        <v>17587</v>
      </c>
      <c r="AA1478">
        <v>-2.44</v>
      </c>
      <c r="AB1478" t="s">
        <v>17588</v>
      </c>
      <c r="AC1478" t="s">
        <v>6214</v>
      </c>
      <c r="AE1478" t="s">
        <v>11805</v>
      </c>
      <c r="AF1478" t="s">
        <v>2877</v>
      </c>
      <c r="AG1478" t="s">
        <v>2446</v>
      </c>
      <c r="AH1478" t="s">
        <v>291</v>
      </c>
      <c r="AJ1478" t="s">
        <v>164</v>
      </c>
      <c r="AK1478" t="s">
        <v>11151</v>
      </c>
      <c r="AL1478">
        <v>0.16</v>
      </c>
      <c r="AN1478">
        <v>1.03</v>
      </c>
      <c r="AP1478" t="s">
        <v>17589</v>
      </c>
      <c r="AQ1478" t="s">
        <v>17589</v>
      </c>
      <c r="AR1478" t="s">
        <v>8960</v>
      </c>
      <c r="AS1478" t="s">
        <v>7683</v>
      </c>
      <c r="AT1478" t="s">
        <v>10194</v>
      </c>
      <c r="AU1478" t="s">
        <v>8054</v>
      </c>
      <c r="AV1478" t="s">
        <v>6984</v>
      </c>
      <c r="AW1478" t="s">
        <v>17590</v>
      </c>
      <c r="AX1478" t="s">
        <v>17591</v>
      </c>
      <c r="AY1478" t="s">
        <v>17590</v>
      </c>
      <c r="AZ1478" t="s">
        <v>17592</v>
      </c>
      <c r="BB1478">
        <v>112.91</v>
      </c>
      <c r="BC1478">
        <v>0.03</v>
      </c>
      <c r="BD1478">
        <v>2.2599999999999998</v>
      </c>
      <c r="BE1478">
        <v>2.2599999999999998</v>
      </c>
      <c r="BF1478">
        <v>2.2599999999999998</v>
      </c>
      <c r="BG1478" t="s">
        <v>17593</v>
      </c>
      <c r="BH1478" t="s">
        <v>11018</v>
      </c>
      <c r="BI1478" t="s">
        <v>17594</v>
      </c>
      <c r="BJ1478" t="s">
        <v>101</v>
      </c>
      <c r="BK1478" t="s">
        <v>10156</v>
      </c>
      <c r="BL1478" t="s">
        <v>10241</v>
      </c>
      <c r="BM1478" t="s">
        <v>631</v>
      </c>
      <c r="BN1478" t="s">
        <v>14623</v>
      </c>
    </row>
    <row r="1479" spans="1:66" x14ac:dyDescent="0.25">
      <c r="A1479" t="str">
        <f>HYPERLINK("https://elite.finviz.com/quote.ashx?t=CSGS&amp;ty=c&amp;p=d&amp;b=1", "CSGS")</f>
        <v>CSGS</v>
      </c>
      <c r="B1479">
        <v>6</v>
      </c>
      <c r="C1479">
        <v>127.03</v>
      </c>
      <c r="D1479">
        <v>52.06</v>
      </c>
      <c r="E1479" t="s">
        <v>17595</v>
      </c>
      <c r="F1479" t="s">
        <v>67</v>
      </c>
      <c r="G1479" t="s">
        <v>108</v>
      </c>
      <c r="H1479" t="s">
        <v>109</v>
      </c>
      <c r="I1479" t="s">
        <v>70</v>
      </c>
      <c r="J1479" t="s">
        <v>321</v>
      </c>
      <c r="K1479">
        <v>1873.11</v>
      </c>
      <c r="L1479">
        <v>65.11</v>
      </c>
      <c r="M1479" t="s">
        <v>3736</v>
      </c>
      <c r="N1479">
        <v>32763</v>
      </c>
      <c r="O1479">
        <v>22.56</v>
      </c>
      <c r="P1479">
        <v>12.72</v>
      </c>
      <c r="Q1479">
        <v>4.3099999999999996</v>
      </c>
      <c r="R1479">
        <v>1.55</v>
      </c>
      <c r="S1479">
        <v>6.47</v>
      </c>
      <c r="T1479" t="s">
        <v>2202</v>
      </c>
      <c r="U1479">
        <v>1.26</v>
      </c>
      <c r="V1479" t="s">
        <v>7552</v>
      </c>
      <c r="W1479" t="s">
        <v>5114</v>
      </c>
      <c r="X1479" t="s">
        <v>6593</v>
      </c>
      <c r="Y1479" t="s">
        <v>3530</v>
      </c>
      <c r="Z1479" t="s">
        <v>7908</v>
      </c>
      <c r="AA1479">
        <v>2.89</v>
      </c>
      <c r="AB1479" t="s">
        <v>4409</v>
      </c>
      <c r="AC1479" t="s">
        <v>1926</v>
      </c>
      <c r="AD1479" t="s">
        <v>3758</v>
      </c>
      <c r="AE1479" t="s">
        <v>6770</v>
      </c>
      <c r="AF1479" t="s">
        <v>4908</v>
      </c>
      <c r="AG1479" t="s">
        <v>8818</v>
      </c>
      <c r="AH1479" t="s">
        <v>342</v>
      </c>
      <c r="AI1479" t="s">
        <v>2019</v>
      </c>
      <c r="AJ1479" t="s">
        <v>164</v>
      </c>
      <c r="AK1479" t="s">
        <v>17596</v>
      </c>
      <c r="AL1479">
        <v>1.56</v>
      </c>
      <c r="AM1479">
        <v>1.56</v>
      </c>
      <c r="AN1479">
        <v>1.94</v>
      </c>
      <c r="AO1479" t="s">
        <v>1384</v>
      </c>
      <c r="AP1479" t="s">
        <v>2913</v>
      </c>
      <c r="AQ1479" t="s">
        <v>11629</v>
      </c>
      <c r="AR1479" t="s">
        <v>3925</v>
      </c>
      <c r="AS1479" t="s">
        <v>5968</v>
      </c>
      <c r="AT1479" t="s">
        <v>6192</v>
      </c>
      <c r="AU1479" t="s">
        <v>180</v>
      </c>
      <c r="AV1479" t="s">
        <v>2124</v>
      </c>
      <c r="AW1479" t="s">
        <v>9098</v>
      </c>
      <c r="AX1479" t="s">
        <v>2922</v>
      </c>
      <c r="AY1479" t="s">
        <v>2893</v>
      </c>
      <c r="AZ1479" t="s">
        <v>12379</v>
      </c>
      <c r="BA1479">
        <v>1.22</v>
      </c>
      <c r="BB1479">
        <v>255.19</v>
      </c>
      <c r="BC1479">
        <v>0.45</v>
      </c>
      <c r="BD1479">
        <v>64.89</v>
      </c>
      <c r="BE1479">
        <v>65.209999999999994</v>
      </c>
      <c r="BF1479">
        <v>64.260000000000005</v>
      </c>
      <c r="BG1479" t="s">
        <v>17597</v>
      </c>
      <c r="BH1479" t="s">
        <v>11786</v>
      </c>
      <c r="BI1479" t="s">
        <v>17598</v>
      </c>
      <c r="BJ1479" t="s">
        <v>101</v>
      </c>
      <c r="BK1479" t="s">
        <v>273</v>
      </c>
      <c r="BL1479" t="s">
        <v>7010</v>
      </c>
      <c r="BM1479" t="s">
        <v>5550</v>
      </c>
      <c r="BN1479" t="s">
        <v>14623</v>
      </c>
    </row>
    <row r="1480" spans="1:66" x14ac:dyDescent="0.25">
      <c r="A1480" t="str">
        <f>HYPERLINK("https://elite.finviz.com/quote.ashx?t=HIPO&amp;ty=c&amp;p=d&amp;b=1", "HIPO")</f>
        <v>HIPO</v>
      </c>
      <c r="B1480">
        <v>6</v>
      </c>
      <c r="C1480">
        <v>127.03</v>
      </c>
      <c r="D1480">
        <v>52.07</v>
      </c>
      <c r="E1480" t="s">
        <v>17599</v>
      </c>
      <c r="F1480" t="s">
        <v>67</v>
      </c>
      <c r="G1480" t="s">
        <v>550</v>
      </c>
      <c r="H1480" t="s">
        <v>4407</v>
      </c>
      <c r="I1480" t="s">
        <v>70</v>
      </c>
      <c r="J1480" t="s">
        <v>71</v>
      </c>
      <c r="K1480">
        <v>874.06</v>
      </c>
      <c r="L1480">
        <v>34.92</v>
      </c>
      <c r="M1480" t="s">
        <v>3336</v>
      </c>
      <c r="N1480">
        <v>14617</v>
      </c>
      <c r="R1480">
        <v>2.06</v>
      </c>
      <c r="S1480">
        <v>2.68</v>
      </c>
      <c r="AA1480">
        <v>-0.42</v>
      </c>
      <c r="AB1480" t="s">
        <v>8749</v>
      </c>
      <c r="AC1480" t="s">
        <v>4888</v>
      </c>
      <c r="AE1480" t="s">
        <v>17600</v>
      </c>
      <c r="AF1480" t="s">
        <v>17601</v>
      </c>
      <c r="AH1480" t="s">
        <v>13761</v>
      </c>
      <c r="AI1480" t="s">
        <v>17602</v>
      </c>
      <c r="AJ1480" t="s">
        <v>2604</v>
      </c>
      <c r="AK1480" t="s">
        <v>4072</v>
      </c>
      <c r="AL1480">
        <v>1.53</v>
      </c>
      <c r="AN1480">
        <v>0.16</v>
      </c>
      <c r="AP1480" t="s">
        <v>11949</v>
      </c>
      <c r="AQ1480" t="s">
        <v>17603</v>
      </c>
      <c r="AR1480" t="s">
        <v>2494</v>
      </c>
      <c r="AS1480" t="s">
        <v>2821</v>
      </c>
      <c r="AT1480" t="s">
        <v>8053</v>
      </c>
      <c r="AU1480" t="s">
        <v>3776</v>
      </c>
      <c r="AV1480" t="s">
        <v>1059</v>
      </c>
      <c r="AW1480" t="s">
        <v>3561</v>
      </c>
      <c r="AX1480" t="s">
        <v>17604</v>
      </c>
      <c r="AY1480" t="s">
        <v>3561</v>
      </c>
      <c r="AZ1480" t="s">
        <v>17605</v>
      </c>
      <c r="BA1480">
        <v>1.8</v>
      </c>
      <c r="BB1480">
        <v>202.08</v>
      </c>
      <c r="BC1480">
        <v>0.25</v>
      </c>
      <c r="BD1480">
        <v>34.75</v>
      </c>
      <c r="BE1480">
        <v>35.21</v>
      </c>
      <c r="BF1480">
        <v>34.630000000000003</v>
      </c>
      <c r="BG1480" t="s">
        <v>17606</v>
      </c>
      <c r="BH1480" t="s">
        <v>17607</v>
      </c>
      <c r="BI1480" t="s">
        <v>17608</v>
      </c>
      <c r="BJ1480" t="s">
        <v>101</v>
      </c>
      <c r="BK1480" t="s">
        <v>7199</v>
      </c>
      <c r="BL1480" t="s">
        <v>16242</v>
      </c>
      <c r="BM1480" t="s">
        <v>17609</v>
      </c>
      <c r="BN1480" t="s">
        <v>14623</v>
      </c>
    </row>
    <row r="1481" spans="1:66" x14ac:dyDescent="0.25">
      <c r="A1481" t="str">
        <f>HYPERLINK("https://elite.finviz.com/quote.ashx?t=VTOL&amp;ty=c&amp;p=d&amp;b=1", "VTOL")</f>
        <v>VTOL</v>
      </c>
      <c r="B1481">
        <v>6</v>
      </c>
      <c r="C1481">
        <v>127.03</v>
      </c>
      <c r="D1481">
        <v>52.07</v>
      </c>
      <c r="E1481" t="s">
        <v>17610</v>
      </c>
      <c r="F1481" t="s">
        <v>67</v>
      </c>
      <c r="G1481" t="s">
        <v>1048</v>
      </c>
      <c r="H1481" t="s">
        <v>8341</v>
      </c>
      <c r="I1481" t="s">
        <v>70</v>
      </c>
      <c r="J1481" t="s">
        <v>71</v>
      </c>
      <c r="K1481">
        <v>1085.42</v>
      </c>
      <c r="L1481">
        <v>37.67</v>
      </c>
      <c r="M1481" t="s">
        <v>6478</v>
      </c>
      <c r="N1481">
        <v>10908</v>
      </c>
      <c r="O1481">
        <v>9.42</v>
      </c>
      <c r="P1481">
        <v>7.47</v>
      </c>
      <c r="Q1481">
        <v>0.71</v>
      </c>
      <c r="R1481">
        <v>0.75</v>
      </c>
      <c r="S1481">
        <v>1.1000000000000001</v>
      </c>
      <c r="Z1481" t="s">
        <v>164</v>
      </c>
      <c r="AA1481">
        <v>4</v>
      </c>
      <c r="AD1481" t="s">
        <v>2948</v>
      </c>
      <c r="AE1481" t="s">
        <v>4172</v>
      </c>
      <c r="AF1481" t="s">
        <v>6183</v>
      </c>
      <c r="AG1481" t="s">
        <v>11425</v>
      </c>
      <c r="AH1481" t="s">
        <v>5685</v>
      </c>
      <c r="AI1481" t="s">
        <v>9461</v>
      </c>
      <c r="AJ1481" t="s">
        <v>17611</v>
      </c>
      <c r="AK1481" t="s">
        <v>17612</v>
      </c>
      <c r="AL1481">
        <v>1.81</v>
      </c>
      <c r="AM1481">
        <v>1.44</v>
      </c>
      <c r="AN1481">
        <v>0.98</v>
      </c>
      <c r="AO1481" t="s">
        <v>4851</v>
      </c>
      <c r="AP1481" t="s">
        <v>7019</v>
      </c>
      <c r="AQ1481" t="s">
        <v>3100</v>
      </c>
      <c r="AR1481" t="s">
        <v>5929</v>
      </c>
      <c r="AS1481" t="s">
        <v>2619</v>
      </c>
      <c r="AT1481" t="s">
        <v>4494</v>
      </c>
      <c r="AU1481" t="s">
        <v>2185</v>
      </c>
      <c r="AV1481" t="s">
        <v>5318</v>
      </c>
      <c r="AW1481" t="s">
        <v>6080</v>
      </c>
      <c r="AX1481" t="s">
        <v>3734</v>
      </c>
      <c r="AY1481" t="s">
        <v>6080</v>
      </c>
      <c r="AZ1481" t="s">
        <v>492</v>
      </c>
      <c r="BA1481">
        <v>1</v>
      </c>
      <c r="BB1481">
        <v>168.74</v>
      </c>
      <c r="BC1481">
        <v>0.23</v>
      </c>
      <c r="BD1481">
        <v>37.19</v>
      </c>
      <c r="BE1481">
        <v>38.43</v>
      </c>
      <c r="BF1481">
        <v>37.42</v>
      </c>
      <c r="BG1481" t="s">
        <v>17613</v>
      </c>
      <c r="BH1481" t="s">
        <v>17614</v>
      </c>
      <c r="BI1481" t="s">
        <v>17615</v>
      </c>
      <c r="BJ1481" t="s">
        <v>101</v>
      </c>
      <c r="BK1481" t="s">
        <v>13468</v>
      </c>
      <c r="BL1481" t="s">
        <v>5749</v>
      </c>
      <c r="BM1481" t="s">
        <v>3925</v>
      </c>
      <c r="BN1481" t="s">
        <v>14623</v>
      </c>
    </row>
    <row r="1482" spans="1:66" x14ac:dyDescent="0.25">
      <c r="A1482" t="str">
        <f>HYPERLINK("https://elite.finviz.com/quote.ashx?t=FIBK&amp;ty=c&amp;p=d&amp;b=1", "FIBK")</f>
        <v>FIBK</v>
      </c>
      <c r="B1482">
        <v>6</v>
      </c>
      <c r="C1482">
        <v>127.03</v>
      </c>
      <c r="D1482">
        <v>52.09</v>
      </c>
      <c r="E1482" t="s">
        <v>17616</v>
      </c>
      <c r="F1482" t="s">
        <v>67</v>
      </c>
      <c r="G1482" t="s">
        <v>550</v>
      </c>
      <c r="H1482" t="s">
        <v>697</v>
      </c>
      <c r="I1482" t="s">
        <v>70</v>
      </c>
      <c r="J1482" t="s">
        <v>321</v>
      </c>
      <c r="K1482">
        <v>3403.65</v>
      </c>
      <c r="L1482">
        <v>32.46</v>
      </c>
      <c r="M1482" t="s">
        <v>2197</v>
      </c>
      <c r="N1482">
        <v>140948</v>
      </c>
      <c r="O1482">
        <v>14.62</v>
      </c>
      <c r="P1482">
        <v>12.39</v>
      </c>
      <c r="Q1482">
        <v>1.59</v>
      </c>
      <c r="R1482">
        <v>2.38</v>
      </c>
      <c r="S1482">
        <v>0.99</v>
      </c>
      <c r="T1482" t="s">
        <v>3036</v>
      </c>
      <c r="U1482">
        <v>1.88</v>
      </c>
      <c r="V1482" t="s">
        <v>893</v>
      </c>
      <c r="W1482" t="s">
        <v>164</v>
      </c>
      <c r="X1482" t="s">
        <v>3874</v>
      </c>
      <c r="Y1482" t="s">
        <v>1388</v>
      </c>
      <c r="Z1482" t="s">
        <v>17617</v>
      </c>
      <c r="AA1482">
        <v>2.2200000000000002</v>
      </c>
      <c r="AB1482" t="s">
        <v>16883</v>
      </c>
      <c r="AC1482" t="s">
        <v>5558</v>
      </c>
      <c r="AD1482" t="s">
        <v>7019</v>
      </c>
      <c r="AE1482" t="s">
        <v>1863</v>
      </c>
      <c r="AF1482" t="s">
        <v>10597</v>
      </c>
      <c r="AG1482" t="s">
        <v>1099</v>
      </c>
      <c r="AH1482" t="s">
        <v>1153</v>
      </c>
      <c r="AI1482" t="s">
        <v>8982</v>
      </c>
      <c r="AJ1482" t="s">
        <v>2899</v>
      </c>
      <c r="AK1482" t="s">
        <v>17618</v>
      </c>
      <c r="AL1482">
        <v>0.09</v>
      </c>
      <c r="AN1482">
        <v>0.34</v>
      </c>
      <c r="AP1482" t="s">
        <v>12146</v>
      </c>
      <c r="AQ1482" t="s">
        <v>325</v>
      </c>
      <c r="AR1482" t="s">
        <v>5263</v>
      </c>
      <c r="AS1482" t="s">
        <v>714</v>
      </c>
      <c r="AT1482" t="s">
        <v>10808</v>
      </c>
      <c r="AU1482" t="s">
        <v>5331</v>
      </c>
      <c r="AV1482" t="s">
        <v>10714</v>
      </c>
      <c r="AW1482" t="s">
        <v>4396</v>
      </c>
      <c r="AX1482" t="s">
        <v>1570</v>
      </c>
      <c r="AY1482" t="s">
        <v>879</v>
      </c>
      <c r="AZ1482" t="s">
        <v>666</v>
      </c>
      <c r="BA1482">
        <v>2.25</v>
      </c>
      <c r="BB1482">
        <v>911.35</v>
      </c>
      <c r="BC1482">
        <v>0.54</v>
      </c>
      <c r="BD1482">
        <v>32.69</v>
      </c>
      <c r="BE1482">
        <v>33.1</v>
      </c>
      <c r="BF1482">
        <v>32.43</v>
      </c>
      <c r="BG1482" t="s">
        <v>17619</v>
      </c>
      <c r="BH1482" t="s">
        <v>17620</v>
      </c>
      <c r="BI1482" t="s">
        <v>17621</v>
      </c>
      <c r="BJ1482" t="s">
        <v>101</v>
      </c>
      <c r="BK1482" t="s">
        <v>1161</v>
      </c>
      <c r="BL1482" t="s">
        <v>12555</v>
      </c>
      <c r="BM1482" t="s">
        <v>3372</v>
      </c>
      <c r="BN1482" t="s">
        <v>14623</v>
      </c>
    </row>
    <row r="1483" spans="1:66" x14ac:dyDescent="0.25">
      <c r="A1483" t="str">
        <f>HYPERLINK("https://elite.finviz.com/quote.ashx?t=QUAD&amp;ty=c&amp;p=d&amp;b=1", "QUAD")</f>
        <v>QUAD</v>
      </c>
      <c r="B1483">
        <v>6</v>
      </c>
      <c r="C1483">
        <v>127.03</v>
      </c>
      <c r="D1483">
        <v>52.11</v>
      </c>
      <c r="E1483" t="s">
        <v>17622</v>
      </c>
      <c r="F1483" t="s">
        <v>67</v>
      </c>
      <c r="G1483" t="s">
        <v>260</v>
      </c>
      <c r="H1483" t="s">
        <v>1077</v>
      </c>
      <c r="I1483" t="s">
        <v>70</v>
      </c>
      <c r="J1483" t="s">
        <v>71</v>
      </c>
      <c r="K1483">
        <v>331.86</v>
      </c>
      <c r="L1483">
        <v>6.57</v>
      </c>
      <c r="M1483" t="s">
        <v>3226</v>
      </c>
      <c r="N1483">
        <v>34430</v>
      </c>
      <c r="P1483">
        <v>5.87</v>
      </c>
      <c r="R1483">
        <v>0.13</v>
      </c>
      <c r="S1483">
        <v>3.85</v>
      </c>
      <c r="T1483" t="s">
        <v>5467</v>
      </c>
      <c r="U1483">
        <v>0.27</v>
      </c>
      <c r="V1483" t="s">
        <v>1440</v>
      </c>
      <c r="Y1483" t="s">
        <v>3139</v>
      </c>
      <c r="AA1483">
        <v>-0.31</v>
      </c>
      <c r="AC1483" t="s">
        <v>8694</v>
      </c>
      <c r="AD1483" t="s">
        <v>17623</v>
      </c>
      <c r="AE1483" t="s">
        <v>17624</v>
      </c>
      <c r="AF1483" t="s">
        <v>5061</v>
      </c>
      <c r="AG1483" t="s">
        <v>1529</v>
      </c>
      <c r="AH1483" t="s">
        <v>17625</v>
      </c>
      <c r="AI1483" t="s">
        <v>227</v>
      </c>
      <c r="AJ1483" t="s">
        <v>164</v>
      </c>
      <c r="AK1483" t="s">
        <v>17626</v>
      </c>
      <c r="AL1483">
        <v>0.92</v>
      </c>
      <c r="AM1483">
        <v>0.64</v>
      </c>
      <c r="AN1483">
        <v>6.14</v>
      </c>
      <c r="AO1483" t="s">
        <v>7969</v>
      </c>
      <c r="AP1483" t="s">
        <v>2774</v>
      </c>
      <c r="AQ1483" t="s">
        <v>1714</v>
      </c>
      <c r="AR1483" t="s">
        <v>4216</v>
      </c>
      <c r="AS1483" t="s">
        <v>6770</v>
      </c>
      <c r="AT1483" t="s">
        <v>240</v>
      </c>
      <c r="AU1483" t="s">
        <v>4269</v>
      </c>
      <c r="AV1483" t="s">
        <v>2521</v>
      </c>
      <c r="AW1483" t="s">
        <v>1153</v>
      </c>
      <c r="AX1483" t="s">
        <v>10781</v>
      </c>
      <c r="AY1483" t="s">
        <v>17627</v>
      </c>
      <c r="AZ1483" t="s">
        <v>12258</v>
      </c>
      <c r="BA1483">
        <v>1</v>
      </c>
      <c r="BB1483">
        <v>253.83</v>
      </c>
      <c r="BC1483">
        <v>0.48</v>
      </c>
      <c r="BD1483">
        <v>6.55</v>
      </c>
      <c r="BE1483">
        <v>6.68</v>
      </c>
      <c r="BF1483">
        <v>6.53</v>
      </c>
      <c r="BG1483" t="s">
        <v>17628</v>
      </c>
      <c r="BH1483" t="s">
        <v>10900</v>
      </c>
      <c r="BI1483" t="s">
        <v>17629</v>
      </c>
      <c r="BJ1483" t="s">
        <v>101</v>
      </c>
      <c r="BK1483" t="s">
        <v>1055</v>
      </c>
      <c r="BL1483" t="s">
        <v>11840</v>
      </c>
      <c r="BM1483" t="s">
        <v>10661</v>
      </c>
      <c r="BN1483" t="s">
        <v>14623</v>
      </c>
    </row>
    <row r="1484" spans="1:66" x14ac:dyDescent="0.25">
      <c r="A1484" t="str">
        <f>HYPERLINK("https://elite.finviz.com/quote.ashx?t=ANIP&amp;ty=c&amp;p=d&amp;b=1", "ANIP")</f>
        <v>ANIP</v>
      </c>
      <c r="B1484">
        <v>6</v>
      </c>
      <c r="C1484">
        <v>127.03</v>
      </c>
      <c r="D1484">
        <v>52.12</v>
      </c>
      <c r="E1484" t="s">
        <v>17630</v>
      </c>
      <c r="F1484" t="s">
        <v>67</v>
      </c>
      <c r="G1484" t="s">
        <v>428</v>
      </c>
      <c r="H1484" t="s">
        <v>1296</v>
      </c>
      <c r="I1484" t="s">
        <v>70</v>
      </c>
      <c r="J1484" t="s">
        <v>321</v>
      </c>
      <c r="K1484">
        <v>2025.29</v>
      </c>
      <c r="L1484">
        <v>93.33</v>
      </c>
      <c r="M1484" t="s">
        <v>3227</v>
      </c>
      <c r="N1484">
        <v>18834</v>
      </c>
      <c r="P1484">
        <v>11.73</v>
      </c>
      <c r="R1484">
        <v>2.71</v>
      </c>
      <c r="S1484">
        <v>4.6399999999999997</v>
      </c>
      <c r="AA1484">
        <v>-0.77</v>
      </c>
      <c r="AB1484" t="s">
        <v>13242</v>
      </c>
      <c r="AD1484" t="s">
        <v>7295</v>
      </c>
      <c r="AE1484" t="s">
        <v>8824</v>
      </c>
      <c r="AF1484" t="s">
        <v>5916</v>
      </c>
      <c r="AG1484" t="s">
        <v>11397</v>
      </c>
      <c r="AH1484" t="s">
        <v>13152</v>
      </c>
      <c r="AI1484" t="s">
        <v>6517</v>
      </c>
      <c r="AJ1484" t="s">
        <v>6340</v>
      </c>
      <c r="AK1484" t="s">
        <v>17631</v>
      </c>
      <c r="AL1484">
        <v>2.54</v>
      </c>
      <c r="AM1484">
        <v>1.96</v>
      </c>
      <c r="AN1484">
        <v>1.48</v>
      </c>
      <c r="AO1484" t="s">
        <v>16856</v>
      </c>
      <c r="AP1484" t="s">
        <v>3024</v>
      </c>
      <c r="AQ1484" t="s">
        <v>5365</v>
      </c>
      <c r="AR1484" t="s">
        <v>5256</v>
      </c>
      <c r="AS1484" t="s">
        <v>248</v>
      </c>
      <c r="AT1484" t="s">
        <v>4646</v>
      </c>
      <c r="AU1484" t="s">
        <v>8650</v>
      </c>
      <c r="AV1484" t="s">
        <v>12983</v>
      </c>
      <c r="AW1484" t="s">
        <v>10713</v>
      </c>
      <c r="AX1484" t="s">
        <v>17632</v>
      </c>
      <c r="AY1484" t="s">
        <v>10713</v>
      </c>
      <c r="AZ1484" t="s">
        <v>4812</v>
      </c>
      <c r="BA1484">
        <v>1.38</v>
      </c>
      <c r="BB1484">
        <v>464.95</v>
      </c>
      <c r="BC1484">
        <v>0.14000000000000001</v>
      </c>
      <c r="BD1484">
        <v>93.37</v>
      </c>
      <c r="BE1484">
        <v>94.76</v>
      </c>
      <c r="BF1484">
        <v>93.48</v>
      </c>
      <c r="BG1484" t="s">
        <v>17633</v>
      </c>
      <c r="BH1484" t="s">
        <v>17634</v>
      </c>
      <c r="BI1484" t="s">
        <v>17635</v>
      </c>
      <c r="BJ1484" t="s">
        <v>101</v>
      </c>
      <c r="BK1484" t="s">
        <v>17636</v>
      </c>
      <c r="BL1484" t="s">
        <v>16078</v>
      </c>
      <c r="BM1484" t="s">
        <v>17637</v>
      </c>
      <c r="BN1484" t="s">
        <v>14623</v>
      </c>
    </row>
    <row r="1485" spans="1:66" x14ac:dyDescent="0.25">
      <c r="A1485" t="str">
        <f>HYPERLINK("https://elite.finviz.com/quote.ashx?t=CMC&amp;ty=c&amp;p=d&amp;b=1", "CMC")</f>
        <v>CMC</v>
      </c>
      <c r="B1485">
        <v>6</v>
      </c>
      <c r="C1485">
        <v>127.03</v>
      </c>
      <c r="D1485">
        <v>52.13</v>
      </c>
      <c r="E1485" t="s">
        <v>17638</v>
      </c>
      <c r="F1485" t="s">
        <v>67</v>
      </c>
      <c r="G1485" t="s">
        <v>355</v>
      </c>
      <c r="H1485" t="s">
        <v>10220</v>
      </c>
      <c r="I1485" t="s">
        <v>70</v>
      </c>
      <c r="J1485" t="s">
        <v>71</v>
      </c>
      <c r="K1485">
        <v>6470.93</v>
      </c>
      <c r="L1485">
        <v>57.81</v>
      </c>
      <c r="M1485" t="s">
        <v>3446</v>
      </c>
      <c r="N1485">
        <v>63573</v>
      </c>
      <c r="O1485">
        <v>186.31</v>
      </c>
      <c r="P1485">
        <v>11.83</v>
      </c>
      <c r="Q1485">
        <v>37.71</v>
      </c>
      <c r="R1485">
        <v>0.84</v>
      </c>
      <c r="S1485">
        <v>1.58</v>
      </c>
      <c r="T1485" t="s">
        <v>2650</v>
      </c>
      <c r="U1485">
        <v>0.72</v>
      </c>
      <c r="V1485" t="s">
        <v>17639</v>
      </c>
      <c r="W1485" t="s">
        <v>229</v>
      </c>
      <c r="X1485" t="s">
        <v>7655</v>
      </c>
      <c r="Y1485" t="s">
        <v>1159</v>
      </c>
      <c r="Z1485" t="s">
        <v>11856</v>
      </c>
      <c r="AA1485">
        <v>0.31</v>
      </c>
      <c r="AB1485" t="s">
        <v>9751</v>
      </c>
      <c r="AC1485" t="s">
        <v>6316</v>
      </c>
      <c r="AD1485" t="s">
        <v>912</v>
      </c>
      <c r="AE1485" t="s">
        <v>3509</v>
      </c>
      <c r="AF1485" t="s">
        <v>334</v>
      </c>
      <c r="AG1485" t="s">
        <v>2065</v>
      </c>
      <c r="AH1485" t="s">
        <v>5686</v>
      </c>
      <c r="AI1485" t="s">
        <v>5863</v>
      </c>
      <c r="AJ1485" t="s">
        <v>2785</v>
      </c>
      <c r="AK1485" t="s">
        <v>9446</v>
      </c>
      <c r="AL1485">
        <v>2.86</v>
      </c>
      <c r="AM1485">
        <v>2</v>
      </c>
      <c r="AN1485">
        <v>0.33</v>
      </c>
      <c r="AO1485" t="s">
        <v>5408</v>
      </c>
      <c r="AP1485" t="s">
        <v>1160</v>
      </c>
      <c r="AQ1485" t="s">
        <v>4801</v>
      </c>
      <c r="AR1485" t="s">
        <v>1761</v>
      </c>
      <c r="AS1485" t="s">
        <v>715</v>
      </c>
      <c r="AT1485" t="s">
        <v>1714</v>
      </c>
      <c r="AU1485" t="s">
        <v>4499</v>
      </c>
      <c r="AV1485" t="s">
        <v>7724</v>
      </c>
      <c r="AW1485" t="s">
        <v>2304</v>
      </c>
      <c r="AX1485" t="s">
        <v>1150</v>
      </c>
      <c r="AY1485" t="s">
        <v>3561</v>
      </c>
      <c r="AZ1485" t="s">
        <v>5042</v>
      </c>
      <c r="BA1485">
        <v>2.4300000000000002</v>
      </c>
      <c r="BB1485">
        <v>948.73</v>
      </c>
      <c r="BC1485">
        <v>0.24</v>
      </c>
      <c r="BD1485">
        <v>57.63</v>
      </c>
      <c r="BE1485">
        <v>58.28</v>
      </c>
      <c r="BF1485">
        <v>57.73</v>
      </c>
      <c r="BG1485" t="s">
        <v>17640</v>
      </c>
      <c r="BH1485" t="s">
        <v>3561</v>
      </c>
      <c r="BI1485" t="s">
        <v>17641</v>
      </c>
      <c r="BJ1485" t="s">
        <v>101</v>
      </c>
      <c r="BK1485" t="s">
        <v>10611</v>
      </c>
      <c r="BL1485" t="s">
        <v>9044</v>
      </c>
      <c r="BM1485" t="s">
        <v>4077</v>
      </c>
      <c r="BN1485" t="s">
        <v>14623</v>
      </c>
    </row>
    <row r="1486" spans="1:66" x14ac:dyDescent="0.25">
      <c r="A1486" t="str">
        <f>HYPERLINK("https://elite.finviz.com/quote.ashx?t=HFWA&amp;ty=c&amp;p=d&amp;b=1", "HFWA")</f>
        <v>HFWA</v>
      </c>
      <c r="B1486">
        <v>6</v>
      </c>
      <c r="C1486">
        <v>127.03</v>
      </c>
      <c r="D1486">
        <v>52.14</v>
      </c>
      <c r="E1486" t="s">
        <v>17642</v>
      </c>
      <c r="F1486" t="s">
        <v>67</v>
      </c>
      <c r="G1486" t="s">
        <v>550</v>
      </c>
      <c r="H1486" t="s">
        <v>697</v>
      </c>
      <c r="I1486" t="s">
        <v>70</v>
      </c>
      <c r="J1486" t="s">
        <v>321</v>
      </c>
      <c r="K1486">
        <v>833.55</v>
      </c>
      <c r="L1486">
        <v>24.55</v>
      </c>
      <c r="M1486" t="s">
        <v>2213</v>
      </c>
      <c r="N1486">
        <v>17303</v>
      </c>
      <c r="O1486">
        <v>17.14</v>
      </c>
      <c r="P1486">
        <v>10.64</v>
      </c>
      <c r="R1486">
        <v>2.56</v>
      </c>
      <c r="S1486">
        <v>0.94</v>
      </c>
      <c r="T1486" t="s">
        <v>162</v>
      </c>
      <c r="U1486">
        <v>0.95</v>
      </c>
      <c r="V1486" t="s">
        <v>2859</v>
      </c>
      <c r="W1486" t="s">
        <v>4104</v>
      </c>
      <c r="X1486" t="s">
        <v>8625</v>
      </c>
      <c r="Y1486" t="s">
        <v>3480</v>
      </c>
      <c r="Z1486" t="s">
        <v>4485</v>
      </c>
      <c r="AA1486">
        <v>1.43</v>
      </c>
      <c r="AB1486" t="s">
        <v>17643</v>
      </c>
      <c r="AC1486" t="s">
        <v>11163</v>
      </c>
      <c r="AE1486" t="s">
        <v>4999</v>
      </c>
      <c r="AF1486" t="s">
        <v>191</v>
      </c>
      <c r="AG1486" t="s">
        <v>2385</v>
      </c>
      <c r="AH1486" t="s">
        <v>1356</v>
      </c>
      <c r="AI1486" t="s">
        <v>4429</v>
      </c>
      <c r="AJ1486" t="s">
        <v>164</v>
      </c>
      <c r="AK1486" t="s">
        <v>17644</v>
      </c>
      <c r="AL1486">
        <v>0.06</v>
      </c>
      <c r="AN1486">
        <v>0.32</v>
      </c>
      <c r="AP1486" t="s">
        <v>12156</v>
      </c>
      <c r="AQ1486" t="s">
        <v>11141</v>
      </c>
      <c r="AR1486" t="s">
        <v>7338</v>
      </c>
      <c r="AS1486" t="s">
        <v>5780</v>
      </c>
      <c r="AT1486" t="s">
        <v>8425</v>
      </c>
      <c r="AU1486" t="s">
        <v>3635</v>
      </c>
      <c r="AV1486" t="s">
        <v>2582</v>
      </c>
      <c r="AW1486" t="s">
        <v>6080</v>
      </c>
      <c r="AX1486" t="s">
        <v>7655</v>
      </c>
      <c r="AY1486" t="s">
        <v>10855</v>
      </c>
      <c r="AZ1486" t="s">
        <v>17645</v>
      </c>
      <c r="BA1486">
        <v>2.33</v>
      </c>
      <c r="BB1486">
        <v>170.64</v>
      </c>
      <c r="BC1486">
        <v>0.36</v>
      </c>
      <c r="BD1486">
        <v>24.6</v>
      </c>
      <c r="BE1486">
        <v>24.87</v>
      </c>
      <c r="BF1486">
        <v>24.49</v>
      </c>
      <c r="BG1486" t="s">
        <v>17646</v>
      </c>
      <c r="BH1486" t="s">
        <v>16630</v>
      </c>
      <c r="BI1486" t="s">
        <v>17647</v>
      </c>
      <c r="BJ1486" t="s">
        <v>101</v>
      </c>
      <c r="BK1486" t="s">
        <v>304</v>
      </c>
      <c r="BL1486" t="s">
        <v>1022</v>
      </c>
      <c r="BM1486" t="s">
        <v>3924</v>
      </c>
      <c r="BN1486" t="s">
        <v>14623</v>
      </c>
    </row>
    <row r="1487" spans="1:66" x14ac:dyDescent="0.25">
      <c r="A1487" t="str">
        <f>HYPERLINK("https://elite.finviz.com/quote.ashx?t=QLYS&amp;ty=c&amp;p=d&amp;b=1", "QLYS")</f>
        <v>QLYS</v>
      </c>
      <c r="B1487">
        <v>6</v>
      </c>
      <c r="C1487">
        <v>127.03</v>
      </c>
      <c r="D1487">
        <v>52.16</v>
      </c>
      <c r="E1487" t="s">
        <v>17648</v>
      </c>
      <c r="F1487" t="s">
        <v>67</v>
      </c>
      <c r="G1487" t="s">
        <v>108</v>
      </c>
      <c r="H1487" t="s">
        <v>109</v>
      </c>
      <c r="I1487" t="s">
        <v>70</v>
      </c>
      <c r="J1487" t="s">
        <v>321</v>
      </c>
      <c r="K1487">
        <v>4877.99</v>
      </c>
      <c r="L1487">
        <v>135.13999999999999</v>
      </c>
      <c r="M1487" t="s">
        <v>4955</v>
      </c>
      <c r="N1487">
        <v>48263</v>
      </c>
      <c r="O1487">
        <v>26.92</v>
      </c>
      <c r="P1487">
        <v>20.11</v>
      </c>
      <c r="Q1487">
        <v>5.23</v>
      </c>
      <c r="R1487">
        <v>7.66</v>
      </c>
      <c r="S1487">
        <v>9.61</v>
      </c>
      <c r="Z1487" t="s">
        <v>164</v>
      </c>
      <c r="AA1487">
        <v>5.0199999999999996</v>
      </c>
      <c r="AB1487" t="s">
        <v>6901</v>
      </c>
      <c r="AC1487" t="s">
        <v>7122</v>
      </c>
      <c r="AD1487" t="s">
        <v>6527</v>
      </c>
      <c r="AE1487" t="s">
        <v>2403</v>
      </c>
      <c r="AF1487" t="s">
        <v>4961</v>
      </c>
      <c r="AG1487" t="s">
        <v>95</v>
      </c>
      <c r="AH1487" t="s">
        <v>1491</v>
      </c>
      <c r="AI1487" t="s">
        <v>1777</v>
      </c>
      <c r="AJ1487" t="s">
        <v>17649</v>
      </c>
      <c r="AK1487" t="s">
        <v>17650</v>
      </c>
      <c r="AL1487">
        <v>1.28</v>
      </c>
      <c r="AM1487">
        <v>1.28</v>
      </c>
      <c r="AN1487">
        <v>0.11</v>
      </c>
      <c r="AO1487" t="s">
        <v>11832</v>
      </c>
      <c r="AP1487" t="s">
        <v>4721</v>
      </c>
      <c r="AQ1487" t="s">
        <v>3306</v>
      </c>
      <c r="AR1487" t="s">
        <v>2307</v>
      </c>
      <c r="AS1487" t="s">
        <v>2808</v>
      </c>
      <c r="AT1487" t="s">
        <v>3336</v>
      </c>
      <c r="AU1487" t="s">
        <v>3344</v>
      </c>
      <c r="AV1487" t="s">
        <v>1547</v>
      </c>
      <c r="AW1487" t="s">
        <v>4215</v>
      </c>
      <c r="AX1487" t="s">
        <v>4718</v>
      </c>
      <c r="AY1487" t="s">
        <v>5034</v>
      </c>
      <c r="AZ1487" t="s">
        <v>876</v>
      </c>
      <c r="BA1487">
        <v>2.92</v>
      </c>
      <c r="BB1487">
        <v>320.64</v>
      </c>
      <c r="BC1487">
        <v>0.53</v>
      </c>
      <c r="BD1487">
        <v>135.36000000000001</v>
      </c>
      <c r="BE1487">
        <v>136.05000000000001</v>
      </c>
      <c r="BF1487">
        <v>134.26</v>
      </c>
      <c r="BG1487" t="s">
        <v>17651</v>
      </c>
      <c r="BH1487" t="s">
        <v>17652</v>
      </c>
      <c r="BI1487" t="s">
        <v>17653</v>
      </c>
      <c r="BJ1487" t="s">
        <v>101</v>
      </c>
      <c r="BK1487" t="s">
        <v>6080</v>
      </c>
      <c r="BL1487" t="s">
        <v>4324</v>
      </c>
      <c r="BM1487" t="s">
        <v>3664</v>
      </c>
      <c r="BN1487" t="s">
        <v>14623</v>
      </c>
    </row>
    <row r="1488" spans="1:66" x14ac:dyDescent="0.25">
      <c r="A1488" t="str">
        <f>HYPERLINK("https://elite.finviz.com/quote.ashx?t=HWKN&amp;ty=c&amp;p=d&amp;b=1", "HWKN")</f>
        <v>HWKN</v>
      </c>
      <c r="B1488">
        <v>6</v>
      </c>
      <c r="C1488">
        <v>127.03</v>
      </c>
      <c r="D1488">
        <v>52.18</v>
      </c>
      <c r="E1488" t="s">
        <v>17654</v>
      </c>
      <c r="F1488" t="s">
        <v>67</v>
      </c>
      <c r="G1488" t="s">
        <v>355</v>
      </c>
      <c r="H1488" t="s">
        <v>1147</v>
      </c>
      <c r="I1488" t="s">
        <v>70</v>
      </c>
      <c r="J1488" t="s">
        <v>321</v>
      </c>
      <c r="K1488">
        <v>3603.6</v>
      </c>
      <c r="L1488">
        <v>172.61</v>
      </c>
      <c r="M1488" t="s">
        <v>4308</v>
      </c>
      <c r="N1488">
        <v>13226</v>
      </c>
      <c r="O1488">
        <v>42.51</v>
      </c>
      <c r="P1488">
        <v>34.83</v>
      </c>
      <c r="Q1488">
        <v>4.83</v>
      </c>
      <c r="R1488">
        <v>3.56</v>
      </c>
      <c r="S1488">
        <v>7.38</v>
      </c>
      <c r="T1488" t="s">
        <v>7464</v>
      </c>
      <c r="U1488">
        <v>0.73</v>
      </c>
      <c r="V1488" t="s">
        <v>3046</v>
      </c>
      <c r="W1488" t="s">
        <v>821</v>
      </c>
      <c r="X1488" t="s">
        <v>9227</v>
      </c>
      <c r="Y1488" t="s">
        <v>2192</v>
      </c>
      <c r="Z1488" t="s">
        <v>9972</v>
      </c>
      <c r="AA1488">
        <v>4.0599999999999996</v>
      </c>
      <c r="AB1488" t="s">
        <v>8364</v>
      </c>
      <c r="AC1488" t="s">
        <v>5727</v>
      </c>
      <c r="AD1488" t="s">
        <v>1370</v>
      </c>
      <c r="AE1488" t="s">
        <v>2200</v>
      </c>
      <c r="AF1488" t="s">
        <v>2447</v>
      </c>
      <c r="AG1488" t="s">
        <v>13198</v>
      </c>
      <c r="AH1488" t="s">
        <v>11845</v>
      </c>
      <c r="AI1488" t="s">
        <v>2293</v>
      </c>
      <c r="AJ1488" t="s">
        <v>164</v>
      </c>
      <c r="AK1488" t="s">
        <v>17655</v>
      </c>
      <c r="AL1488">
        <v>2.31</v>
      </c>
      <c r="AM1488">
        <v>1.45</v>
      </c>
      <c r="AN1488">
        <v>0.64</v>
      </c>
      <c r="AO1488" t="s">
        <v>5041</v>
      </c>
      <c r="AP1488" t="s">
        <v>845</v>
      </c>
      <c r="AQ1488" t="s">
        <v>5700</v>
      </c>
      <c r="AR1488" t="s">
        <v>7088</v>
      </c>
      <c r="AS1488" t="s">
        <v>2543</v>
      </c>
      <c r="AT1488" t="s">
        <v>3112</v>
      </c>
      <c r="AU1488" t="s">
        <v>2339</v>
      </c>
      <c r="AV1488" t="s">
        <v>8728</v>
      </c>
      <c r="AW1488" t="s">
        <v>12921</v>
      </c>
      <c r="AX1488" t="s">
        <v>11493</v>
      </c>
      <c r="AY1488" t="s">
        <v>12921</v>
      </c>
      <c r="AZ1488" t="s">
        <v>11678</v>
      </c>
      <c r="BA1488">
        <v>2</v>
      </c>
      <c r="BB1488">
        <v>189.3</v>
      </c>
      <c r="BC1488">
        <v>0.25</v>
      </c>
      <c r="BD1488">
        <v>171.54</v>
      </c>
      <c r="BE1488">
        <v>172.52</v>
      </c>
      <c r="BF1488">
        <v>171.54</v>
      </c>
      <c r="BG1488" t="s">
        <v>17656</v>
      </c>
      <c r="BH1488" t="s">
        <v>12921</v>
      </c>
      <c r="BI1488" t="s">
        <v>17657</v>
      </c>
      <c r="BJ1488" t="s">
        <v>101</v>
      </c>
      <c r="BK1488" t="s">
        <v>7789</v>
      </c>
      <c r="BL1488" t="s">
        <v>3356</v>
      </c>
      <c r="BM1488" t="s">
        <v>17658</v>
      </c>
      <c r="BN1488" t="s">
        <v>14623</v>
      </c>
    </row>
    <row r="1489" spans="1:66" x14ac:dyDescent="0.25">
      <c r="A1489" t="str">
        <f>HYPERLINK("https://elite.finviz.com/quote.ashx?t=POWW&amp;ty=c&amp;p=d&amp;b=1", "POWW")</f>
        <v>POWW</v>
      </c>
      <c r="B1489">
        <v>6</v>
      </c>
      <c r="C1489">
        <v>127.03</v>
      </c>
      <c r="D1489">
        <v>52.18</v>
      </c>
      <c r="E1489" t="s">
        <v>17659</v>
      </c>
      <c r="F1489" t="s">
        <v>67</v>
      </c>
      <c r="G1489" t="s">
        <v>260</v>
      </c>
      <c r="H1489" t="s">
        <v>4779</v>
      </c>
      <c r="I1489" t="s">
        <v>70</v>
      </c>
      <c r="J1489" t="s">
        <v>321</v>
      </c>
      <c r="K1489">
        <v>170.34</v>
      </c>
      <c r="L1489">
        <v>1.45</v>
      </c>
      <c r="M1489" t="s">
        <v>11402</v>
      </c>
      <c r="N1489">
        <v>106866</v>
      </c>
      <c r="R1489">
        <v>1.29</v>
      </c>
      <c r="S1489">
        <v>0.77</v>
      </c>
      <c r="AA1489">
        <v>-0.52</v>
      </c>
      <c r="AC1489" t="s">
        <v>3329</v>
      </c>
      <c r="AE1489" t="s">
        <v>7527</v>
      </c>
      <c r="AF1489" t="s">
        <v>17660</v>
      </c>
      <c r="AG1489" t="s">
        <v>877</v>
      </c>
      <c r="AH1489" t="s">
        <v>17661</v>
      </c>
      <c r="AI1489" t="s">
        <v>17662</v>
      </c>
      <c r="AJ1489" t="s">
        <v>164</v>
      </c>
      <c r="AK1489" t="s">
        <v>7083</v>
      </c>
      <c r="AL1489">
        <v>3.28</v>
      </c>
      <c r="AM1489">
        <v>3.28</v>
      </c>
      <c r="AN1489">
        <v>0.11</v>
      </c>
      <c r="AO1489" t="s">
        <v>14549</v>
      </c>
      <c r="AP1489" t="s">
        <v>13531</v>
      </c>
      <c r="AQ1489" t="s">
        <v>17663</v>
      </c>
      <c r="AR1489" t="s">
        <v>1160</v>
      </c>
      <c r="AS1489" t="s">
        <v>3057</v>
      </c>
      <c r="AT1489" t="s">
        <v>2197</v>
      </c>
      <c r="AU1489" t="s">
        <v>2351</v>
      </c>
      <c r="AV1489" t="s">
        <v>1324</v>
      </c>
      <c r="AW1489" t="s">
        <v>7307</v>
      </c>
      <c r="AX1489" t="s">
        <v>2039</v>
      </c>
      <c r="AY1489" t="s">
        <v>17576</v>
      </c>
      <c r="AZ1489" t="s">
        <v>17664</v>
      </c>
      <c r="BA1489">
        <v>2</v>
      </c>
      <c r="BB1489">
        <v>560.30999999999995</v>
      </c>
      <c r="BC1489">
        <v>0.67</v>
      </c>
      <c r="BD1489">
        <v>1.5</v>
      </c>
      <c r="BE1489">
        <v>1.5</v>
      </c>
      <c r="BF1489">
        <v>1.45</v>
      </c>
      <c r="BG1489" t="s">
        <v>17665</v>
      </c>
      <c r="BH1489" t="s">
        <v>17666</v>
      </c>
      <c r="BI1489" t="s">
        <v>17667</v>
      </c>
      <c r="BJ1489" t="s">
        <v>101</v>
      </c>
      <c r="BK1489" t="s">
        <v>904</v>
      </c>
      <c r="BL1489" t="s">
        <v>4916</v>
      </c>
      <c r="BM1489" t="s">
        <v>8225</v>
      </c>
      <c r="BN1489" t="s">
        <v>14623</v>
      </c>
    </row>
    <row r="1490" spans="1:66" x14ac:dyDescent="0.25">
      <c r="A1490" t="str">
        <f>HYPERLINK("https://elite.finviz.com/quote.ashx?t=IBO&amp;ty=c&amp;p=d&amp;b=1", "IBO")</f>
        <v>IBO</v>
      </c>
      <c r="B1490">
        <v>6</v>
      </c>
      <c r="C1490">
        <v>127.03</v>
      </c>
      <c r="D1490">
        <v>52.2</v>
      </c>
      <c r="E1490" t="s">
        <v>17668</v>
      </c>
      <c r="F1490" t="s">
        <v>107</v>
      </c>
      <c r="G1490" t="s">
        <v>428</v>
      </c>
      <c r="H1490" t="s">
        <v>429</v>
      </c>
      <c r="I1490" t="s">
        <v>70</v>
      </c>
      <c r="J1490" t="s">
        <v>383</v>
      </c>
      <c r="K1490">
        <v>7.92</v>
      </c>
      <c r="L1490">
        <v>0.65</v>
      </c>
      <c r="M1490" t="s">
        <v>698</v>
      </c>
      <c r="N1490">
        <v>41772</v>
      </c>
      <c r="R1490">
        <v>792.23</v>
      </c>
      <c r="AA1490">
        <v>-3.27</v>
      </c>
      <c r="AB1490" t="s">
        <v>17669</v>
      </c>
      <c r="AC1490" t="s">
        <v>17670</v>
      </c>
      <c r="AJ1490" t="s">
        <v>17510</v>
      </c>
      <c r="AK1490" t="s">
        <v>2841</v>
      </c>
      <c r="AL1490">
        <v>0.06</v>
      </c>
      <c r="AM1490">
        <v>0.04</v>
      </c>
      <c r="AO1490" t="s">
        <v>17671</v>
      </c>
      <c r="AP1490" t="s">
        <v>17672</v>
      </c>
      <c r="AQ1490" t="s">
        <v>17673</v>
      </c>
      <c r="AR1490" t="s">
        <v>5331</v>
      </c>
      <c r="AS1490" t="s">
        <v>1700</v>
      </c>
      <c r="AT1490" t="s">
        <v>5253</v>
      </c>
      <c r="AU1490" t="s">
        <v>2941</v>
      </c>
      <c r="AV1490" t="s">
        <v>14216</v>
      </c>
      <c r="AW1490" t="s">
        <v>1056</v>
      </c>
      <c r="AX1490" t="s">
        <v>5326</v>
      </c>
      <c r="AY1490" t="s">
        <v>17674</v>
      </c>
      <c r="AZ1490" t="s">
        <v>5496</v>
      </c>
      <c r="BB1490">
        <v>346.78</v>
      </c>
      <c r="BC1490">
        <v>0.42</v>
      </c>
      <c r="BD1490">
        <v>0.65</v>
      </c>
      <c r="BE1490">
        <v>0.65</v>
      </c>
      <c r="BF1490">
        <v>0.63</v>
      </c>
      <c r="BG1490" t="s">
        <v>17675</v>
      </c>
      <c r="BH1490" t="s">
        <v>17674</v>
      </c>
      <c r="BI1490" t="s">
        <v>5496</v>
      </c>
      <c r="BJ1490" t="s">
        <v>101</v>
      </c>
      <c r="BK1490" t="s">
        <v>10897</v>
      </c>
      <c r="BL1490" t="s">
        <v>10132</v>
      </c>
      <c r="BN1490" t="s">
        <v>14623</v>
      </c>
    </row>
    <row r="1491" spans="1:66" x14ac:dyDescent="0.25">
      <c r="A1491" t="str">
        <f>HYPERLINK("https://elite.finviz.com/quote.ashx?t=DTIL&amp;ty=c&amp;p=d&amp;b=1", "DTIL")</f>
        <v>DTIL</v>
      </c>
      <c r="B1491">
        <v>6</v>
      </c>
      <c r="C1491">
        <v>127.03</v>
      </c>
      <c r="D1491">
        <v>52.2</v>
      </c>
      <c r="E1491" t="s">
        <v>17676</v>
      </c>
      <c r="F1491" t="s">
        <v>107</v>
      </c>
      <c r="G1491" t="s">
        <v>428</v>
      </c>
      <c r="H1491" t="s">
        <v>429</v>
      </c>
      <c r="I1491" t="s">
        <v>70</v>
      </c>
      <c r="J1491" t="s">
        <v>321</v>
      </c>
      <c r="K1491">
        <v>58.23</v>
      </c>
      <c r="L1491">
        <v>4.9400000000000004</v>
      </c>
      <c r="M1491" t="s">
        <v>1083</v>
      </c>
      <c r="N1491">
        <v>9701</v>
      </c>
      <c r="R1491">
        <v>46.21</v>
      </c>
      <c r="S1491">
        <v>1.69</v>
      </c>
      <c r="Z1491" t="s">
        <v>164</v>
      </c>
      <c r="AA1491">
        <v>-8.81</v>
      </c>
      <c r="AE1491" t="s">
        <v>17677</v>
      </c>
      <c r="AF1491" t="s">
        <v>10962</v>
      </c>
      <c r="AG1491" t="s">
        <v>11052</v>
      </c>
      <c r="AH1491" t="s">
        <v>1194</v>
      </c>
      <c r="AI1491" t="s">
        <v>17678</v>
      </c>
      <c r="AJ1491" t="s">
        <v>4494</v>
      </c>
      <c r="AK1491" t="s">
        <v>17679</v>
      </c>
      <c r="AL1491">
        <v>5.18</v>
      </c>
      <c r="AM1491">
        <v>5.18</v>
      </c>
      <c r="AN1491">
        <v>0.86</v>
      </c>
      <c r="AO1491" t="s">
        <v>17680</v>
      </c>
      <c r="AP1491" t="s">
        <v>17681</v>
      </c>
      <c r="AQ1491" t="s">
        <v>17682</v>
      </c>
      <c r="AR1491" t="s">
        <v>7699</v>
      </c>
      <c r="AS1491" t="s">
        <v>3855</v>
      </c>
      <c r="AT1491" t="s">
        <v>4759</v>
      </c>
      <c r="AU1491" t="s">
        <v>206</v>
      </c>
      <c r="AV1491" t="s">
        <v>2641</v>
      </c>
      <c r="AW1491" t="s">
        <v>1200</v>
      </c>
      <c r="AX1491" t="s">
        <v>12266</v>
      </c>
      <c r="AY1491" t="s">
        <v>8841</v>
      </c>
      <c r="AZ1491" t="s">
        <v>4080</v>
      </c>
      <c r="BA1491">
        <v>1</v>
      </c>
      <c r="BB1491">
        <v>136.13999999999999</v>
      </c>
      <c r="BC1491">
        <v>0.25</v>
      </c>
      <c r="BD1491">
        <v>4.93</v>
      </c>
      <c r="BE1491">
        <v>5.03</v>
      </c>
      <c r="BF1491">
        <v>4.9400000000000004</v>
      </c>
      <c r="BG1491" t="s">
        <v>17683</v>
      </c>
      <c r="BH1491" t="s">
        <v>17684</v>
      </c>
      <c r="BI1491" t="s">
        <v>4080</v>
      </c>
      <c r="BJ1491" t="s">
        <v>101</v>
      </c>
      <c r="BK1491" t="s">
        <v>7401</v>
      </c>
      <c r="BL1491" t="s">
        <v>7781</v>
      </c>
      <c r="BM1491" t="s">
        <v>17685</v>
      </c>
      <c r="BN1491" t="s">
        <v>14623</v>
      </c>
    </row>
    <row r="1492" spans="1:66" x14ac:dyDescent="0.25">
      <c r="A1492" t="str">
        <f>HYPERLINK("https://elite.finviz.com/quote.ashx?t=LEGH&amp;ty=c&amp;p=d&amp;b=1", "LEGH")</f>
        <v>LEGH</v>
      </c>
      <c r="B1492">
        <v>6</v>
      </c>
      <c r="C1492">
        <v>127.03</v>
      </c>
      <c r="D1492">
        <v>52.21</v>
      </c>
      <c r="E1492" t="s">
        <v>17686</v>
      </c>
      <c r="F1492" t="s">
        <v>67</v>
      </c>
      <c r="G1492" t="s">
        <v>813</v>
      </c>
      <c r="H1492" t="s">
        <v>5054</v>
      </c>
      <c r="I1492" t="s">
        <v>70</v>
      </c>
      <c r="J1492" t="s">
        <v>321</v>
      </c>
      <c r="K1492">
        <v>650.54</v>
      </c>
      <c r="L1492">
        <v>27.25</v>
      </c>
      <c r="M1492" t="s">
        <v>3344</v>
      </c>
      <c r="N1492">
        <v>5127</v>
      </c>
      <c r="O1492">
        <v>12.12</v>
      </c>
      <c r="P1492">
        <v>10.88</v>
      </c>
      <c r="R1492">
        <v>3.53</v>
      </c>
      <c r="S1492">
        <v>1.27</v>
      </c>
      <c r="Z1492" t="s">
        <v>164</v>
      </c>
      <c r="AA1492">
        <v>2.25</v>
      </c>
      <c r="AB1492" t="s">
        <v>2398</v>
      </c>
      <c r="AC1492" t="s">
        <v>10359</v>
      </c>
      <c r="AE1492" t="s">
        <v>5726</v>
      </c>
      <c r="AF1492" t="s">
        <v>3466</v>
      </c>
      <c r="AG1492" t="s">
        <v>2195</v>
      </c>
      <c r="AH1492" t="s">
        <v>1843</v>
      </c>
      <c r="AI1492" t="s">
        <v>1794</v>
      </c>
      <c r="AJ1492" t="s">
        <v>164</v>
      </c>
      <c r="AK1492" t="s">
        <v>14654</v>
      </c>
      <c r="AL1492">
        <v>3.93</v>
      </c>
      <c r="AM1492">
        <v>2.65</v>
      </c>
      <c r="AN1492">
        <v>0</v>
      </c>
      <c r="AO1492" t="s">
        <v>7080</v>
      </c>
      <c r="AP1492" t="s">
        <v>8083</v>
      </c>
      <c r="AQ1492" t="s">
        <v>6934</v>
      </c>
      <c r="AR1492" t="s">
        <v>5779</v>
      </c>
      <c r="AS1492" t="s">
        <v>2892</v>
      </c>
      <c r="AT1492" t="s">
        <v>7137</v>
      </c>
      <c r="AU1492" t="s">
        <v>3887</v>
      </c>
      <c r="AV1492" t="s">
        <v>3491</v>
      </c>
      <c r="AW1492" t="s">
        <v>11163</v>
      </c>
      <c r="AX1492" t="s">
        <v>11506</v>
      </c>
      <c r="AY1492" t="s">
        <v>11163</v>
      </c>
      <c r="AZ1492" t="s">
        <v>3961</v>
      </c>
      <c r="BA1492">
        <v>1.5</v>
      </c>
      <c r="BB1492">
        <v>74.06</v>
      </c>
      <c r="BC1492">
        <v>0.25</v>
      </c>
      <c r="BD1492">
        <v>27.01</v>
      </c>
      <c r="BE1492">
        <v>27.4</v>
      </c>
      <c r="BF1492">
        <v>26.88</v>
      </c>
      <c r="BG1492" t="s">
        <v>17687</v>
      </c>
      <c r="BH1492" t="s">
        <v>11163</v>
      </c>
      <c r="BI1492" t="s">
        <v>17688</v>
      </c>
      <c r="BJ1492" t="s">
        <v>101</v>
      </c>
      <c r="BK1492" t="s">
        <v>10135</v>
      </c>
      <c r="BL1492" t="s">
        <v>334</v>
      </c>
      <c r="BM1492" t="s">
        <v>240</v>
      </c>
      <c r="BN1492" t="s">
        <v>14623</v>
      </c>
    </row>
    <row r="1493" spans="1:66" x14ac:dyDescent="0.25">
      <c r="A1493" t="str">
        <f>HYPERLINK("https://elite.finviz.com/quote.ashx?t=CVLT&amp;ty=c&amp;p=d&amp;b=1", "CVLT")</f>
        <v>CVLT</v>
      </c>
      <c r="B1493">
        <v>6</v>
      </c>
      <c r="C1493">
        <v>127.03</v>
      </c>
      <c r="D1493">
        <v>52.23</v>
      </c>
      <c r="E1493" t="s">
        <v>17689</v>
      </c>
      <c r="F1493" t="s">
        <v>67</v>
      </c>
      <c r="G1493" t="s">
        <v>108</v>
      </c>
      <c r="H1493" t="s">
        <v>136</v>
      </c>
      <c r="I1493" t="s">
        <v>70</v>
      </c>
      <c r="J1493" t="s">
        <v>321</v>
      </c>
      <c r="K1493">
        <v>8324.6200000000008</v>
      </c>
      <c r="L1493">
        <v>187.24</v>
      </c>
      <c r="M1493" t="s">
        <v>6572</v>
      </c>
      <c r="N1493">
        <v>109314</v>
      </c>
      <c r="O1493">
        <v>104.36</v>
      </c>
      <c r="P1493">
        <v>39.159999999999997</v>
      </c>
      <c r="Q1493">
        <v>6.98</v>
      </c>
      <c r="R1493">
        <v>7.91</v>
      </c>
      <c r="S1493">
        <v>22.85</v>
      </c>
      <c r="Z1493" t="s">
        <v>164</v>
      </c>
      <c r="AA1493">
        <v>1.79</v>
      </c>
      <c r="AB1493" t="s">
        <v>8381</v>
      </c>
      <c r="AD1493" t="s">
        <v>1625</v>
      </c>
      <c r="AE1493" t="s">
        <v>11368</v>
      </c>
      <c r="AF1493" t="s">
        <v>875</v>
      </c>
      <c r="AG1493" t="s">
        <v>2848</v>
      </c>
      <c r="AH1493" t="s">
        <v>17690</v>
      </c>
      <c r="AI1493" t="s">
        <v>2841</v>
      </c>
      <c r="AJ1493" t="s">
        <v>704</v>
      </c>
      <c r="AK1493" t="s">
        <v>15332</v>
      </c>
      <c r="AL1493">
        <v>1.24</v>
      </c>
      <c r="AM1493">
        <v>1.24</v>
      </c>
      <c r="AN1493">
        <v>0.08</v>
      </c>
      <c r="AO1493" t="s">
        <v>7675</v>
      </c>
      <c r="AP1493" t="s">
        <v>7616</v>
      </c>
      <c r="AQ1493" t="s">
        <v>2450</v>
      </c>
      <c r="AR1493" t="s">
        <v>3500</v>
      </c>
      <c r="AS1493" t="s">
        <v>2941</v>
      </c>
      <c r="AT1493" t="s">
        <v>1837</v>
      </c>
      <c r="AU1493" t="s">
        <v>2080</v>
      </c>
      <c r="AV1493" t="s">
        <v>369</v>
      </c>
      <c r="AW1493" t="s">
        <v>134</v>
      </c>
      <c r="AX1493" t="s">
        <v>9681</v>
      </c>
      <c r="AY1493" t="s">
        <v>134</v>
      </c>
      <c r="AZ1493" t="s">
        <v>17691</v>
      </c>
      <c r="BA1493">
        <v>1.83</v>
      </c>
      <c r="BB1493">
        <v>600.30999999999995</v>
      </c>
      <c r="BC1493">
        <v>0.64</v>
      </c>
      <c r="BD1493">
        <v>185.84</v>
      </c>
      <c r="BE1493">
        <v>187.2</v>
      </c>
      <c r="BF1493">
        <v>184.91</v>
      </c>
      <c r="BG1493" t="s">
        <v>17692</v>
      </c>
      <c r="BH1493" t="s">
        <v>134</v>
      </c>
      <c r="BI1493" t="s">
        <v>17693</v>
      </c>
      <c r="BJ1493" t="s">
        <v>101</v>
      </c>
      <c r="BK1493" t="s">
        <v>2816</v>
      </c>
      <c r="BL1493" t="s">
        <v>973</v>
      </c>
      <c r="BM1493" t="s">
        <v>9151</v>
      </c>
      <c r="BN1493" t="s">
        <v>14623</v>
      </c>
    </row>
    <row r="1494" spans="1:66" x14ac:dyDescent="0.25">
      <c r="A1494" t="str">
        <f>HYPERLINK("https://elite.finviz.com/quote.ashx?t=MDGL&amp;ty=c&amp;p=d&amp;b=1", "MDGL")</f>
        <v>MDGL</v>
      </c>
      <c r="B1494">
        <v>6</v>
      </c>
      <c r="C1494">
        <v>127.03</v>
      </c>
      <c r="D1494">
        <v>52.23</v>
      </c>
      <c r="E1494" t="s">
        <v>17694</v>
      </c>
      <c r="F1494" t="s">
        <v>67</v>
      </c>
      <c r="G1494" t="s">
        <v>428</v>
      </c>
      <c r="H1494" t="s">
        <v>429</v>
      </c>
      <c r="I1494" t="s">
        <v>70</v>
      </c>
      <c r="J1494" t="s">
        <v>321</v>
      </c>
      <c r="K1494">
        <v>9423.49</v>
      </c>
      <c r="L1494">
        <v>422.79</v>
      </c>
      <c r="M1494" t="s">
        <v>3752</v>
      </c>
      <c r="N1494">
        <v>51466</v>
      </c>
      <c r="P1494">
        <v>109.9</v>
      </c>
      <c r="R1494">
        <v>18.28</v>
      </c>
      <c r="S1494">
        <v>13.5</v>
      </c>
      <c r="AA1494">
        <v>-12.85</v>
      </c>
      <c r="AB1494" t="s">
        <v>1339</v>
      </c>
      <c r="AC1494" t="s">
        <v>14007</v>
      </c>
      <c r="AE1494" t="s">
        <v>17695</v>
      </c>
      <c r="AH1494" t="s">
        <v>17696</v>
      </c>
      <c r="AI1494" t="s">
        <v>17697</v>
      </c>
      <c r="AJ1494" t="s">
        <v>5857</v>
      </c>
      <c r="AK1494" t="s">
        <v>17698</v>
      </c>
      <c r="AL1494">
        <v>5.1100000000000003</v>
      </c>
      <c r="AM1494">
        <v>4.78</v>
      </c>
      <c r="AN1494">
        <v>0.18</v>
      </c>
      <c r="AO1494" t="s">
        <v>17699</v>
      </c>
      <c r="AP1494" t="s">
        <v>17700</v>
      </c>
      <c r="AQ1494" t="s">
        <v>15829</v>
      </c>
      <c r="AR1494" t="s">
        <v>2624</v>
      </c>
      <c r="AS1494" t="s">
        <v>2317</v>
      </c>
      <c r="AT1494" t="s">
        <v>2617</v>
      </c>
      <c r="AU1494" t="s">
        <v>7698</v>
      </c>
      <c r="AV1494" t="s">
        <v>8821</v>
      </c>
      <c r="AW1494" t="s">
        <v>5138</v>
      </c>
      <c r="AX1494" t="s">
        <v>17701</v>
      </c>
      <c r="AY1494" t="s">
        <v>5138</v>
      </c>
      <c r="AZ1494" t="s">
        <v>17702</v>
      </c>
      <c r="BA1494">
        <v>1.31</v>
      </c>
      <c r="BB1494">
        <v>382.43</v>
      </c>
      <c r="BC1494">
        <v>0.47</v>
      </c>
      <c r="BD1494">
        <v>422.99</v>
      </c>
      <c r="BE1494">
        <v>426.75</v>
      </c>
      <c r="BF1494">
        <v>419.67</v>
      </c>
      <c r="BG1494" t="s">
        <v>17703</v>
      </c>
      <c r="BH1494" t="s">
        <v>5138</v>
      </c>
      <c r="BI1494" t="s">
        <v>17704</v>
      </c>
      <c r="BJ1494" t="s">
        <v>101</v>
      </c>
      <c r="BK1494" t="s">
        <v>2540</v>
      </c>
      <c r="BL1494" t="s">
        <v>927</v>
      </c>
      <c r="BM1494" t="s">
        <v>17243</v>
      </c>
      <c r="BN1494" t="s">
        <v>14623</v>
      </c>
    </row>
    <row r="1495" spans="1:66" x14ac:dyDescent="0.25">
      <c r="A1495" t="str">
        <f>HYPERLINK("https://elite.finviz.com/quote.ashx?t=CYRX&amp;ty=c&amp;p=d&amp;b=1", "CYRX")</f>
        <v>CYRX</v>
      </c>
      <c r="B1495">
        <v>6</v>
      </c>
      <c r="C1495">
        <v>127.03</v>
      </c>
      <c r="D1495">
        <v>52.23</v>
      </c>
      <c r="E1495" t="s">
        <v>17705</v>
      </c>
      <c r="F1495" t="s">
        <v>67</v>
      </c>
      <c r="G1495" t="s">
        <v>260</v>
      </c>
      <c r="H1495" t="s">
        <v>7853</v>
      </c>
      <c r="I1495" t="s">
        <v>70</v>
      </c>
      <c r="J1495" t="s">
        <v>321</v>
      </c>
      <c r="K1495">
        <v>468.94</v>
      </c>
      <c r="L1495">
        <v>9.3699999999999992</v>
      </c>
      <c r="M1495" t="s">
        <v>241</v>
      </c>
      <c r="N1495">
        <v>87705</v>
      </c>
      <c r="R1495">
        <v>2.31</v>
      </c>
      <c r="S1495">
        <v>0.99</v>
      </c>
      <c r="AA1495">
        <v>-0.99</v>
      </c>
      <c r="AB1495" t="s">
        <v>9619</v>
      </c>
      <c r="AC1495" t="s">
        <v>12054</v>
      </c>
      <c r="AD1495" t="s">
        <v>7174</v>
      </c>
      <c r="AE1495" t="s">
        <v>3048</v>
      </c>
      <c r="AF1495" t="s">
        <v>7388</v>
      </c>
      <c r="AG1495" t="s">
        <v>17706</v>
      </c>
      <c r="AH1495" t="s">
        <v>17707</v>
      </c>
      <c r="AI1495" t="s">
        <v>17708</v>
      </c>
      <c r="AJ1495" t="s">
        <v>17709</v>
      </c>
      <c r="AK1495" t="s">
        <v>17710</v>
      </c>
      <c r="AL1495">
        <v>16.239999999999998</v>
      </c>
      <c r="AM1495">
        <v>15.47</v>
      </c>
      <c r="AN1495">
        <v>0.44</v>
      </c>
      <c r="AO1495" t="s">
        <v>17711</v>
      </c>
      <c r="AP1495" t="s">
        <v>11766</v>
      </c>
      <c r="AQ1495" t="s">
        <v>14463</v>
      </c>
      <c r="AR1495" t="s">
        <v>246</v>
      </c>
      <c r="AS1495" t="s">
        <v>2777</v>
      </c>
      <c r="AT1495" t="s">
        <v>386</v>
      </c>
      <c r="AU1495" t="s">
        <v>5726</v>
      </c>
      <c r="AV1495" t="s">
        <v>9086</v>
      </c>
      <c r="AW1495" t="s">
        <v>5059</v>
      </c>
      <c r="AX1495" t="s">
        <v>6398</v>
      </c>
      <c r="AY1495" t="s">
        <v>5059</v>
      </c>
      <c r="AZ1495" t="s">
        <v>14599</v>
      </c>
      <c r="BA1495">
        <v>1.2</v>
      </c>
      <c r="BB1495">
        <v>722.34</v>
      </c>
      <c r="BC1495">
        <v>0.43</v>
      </c>
      <c r="BD1495">
        <v>9.44</v>
      </c>
      <c r="BE1495">
        <v>9.74</v>
      </c>
      <c r="BF1495">
        <v>9.2899999999999991</v>
      </c>
      <c r="BG1495" t="s">
        <v>17712</v>
      </c>
      <c r="BH1495" t="s">
        <v>17713</v>
      </c>
      <c r="BI1495" t="s">
        <v>17714</v>
      </c>
      <c r="BJ1495" t="s">
        <v>101</v>
      </c>
      <c r="BK1495" t="s">
        <v>7897</v>
      </c>
      <c r="BL1495" t="s">
        <v>17715</v>
      </c>
      <c r="BM1495" t="s">
        <v>3794</v>
      </c>
      <c r="BN1495" t="s">
        <v>14623</v>
      </c>
    </row>
    <row r="1496" spans="1:66" x14ac:dyDescent="0.25">
      <c r="A1496" t="str">
        <f>HYPERLINK("https://elite.finviz.com/quote.ashx?t=SCOR&amp;ty=c&amp;p=d&amp;b=1", "SCOR")</f>
        <v>SCOR</v>
      </c>
      <c r="B1496">
        <v>6</v>
      </c>
      <c r="C1496">
        <v>127.03</v>
      </c>
      <c r="D1496">
        <v>52.24</v>
      </c>
      <c r="E1496" t="s">
        <v>17716</v>
      </c>
      <c r="F1496" t="s">
        <v>107</v>
      </c>
      <c r="G1496" t="s">
        <v>598</v>
      </c>
      <c r="H1496" t="s">
        <v>599</v>
      </c>
      <c r="I1496" t="s">
        <v>70</v>
      </c>
      <c r="J1496" t="s">
        <v>321</v>
      </c>
      <c r="K1496">
        <v>32.44</v>
      </c>
      <c r="L1496">
        <v>6.47</v>
      </c>
      <c r="M1496" t="s">
        <v>2609</v>
      </c>
      <c r="N1496">
        <v>1873</v>
      </c>
      <c r="P1496">
        <v>1.46</v>
      </c>
      <c r="R1496">
        <v>0.09</v>
      </c>
      <c r="AA1496">
        <v>-17.45</v>
      </c>
      <c r="AB1496" t="s">
        <v>3227</v>
      </c>
      <c r="AC1496" t="s">
        <v>17717</v>
      </c>
      <c r="AE1496" t="s">
        <v>2745</v>
      </c>
      <c r="AF1496" t="s">
        <v>3113</v>
      </c>
      <c r="AG1496" t="s">
        <v>196</v>
      </c>
      <c r="AH1496" t="s">
        <v>2484</v>
      </c>
      <c r="AI1496" t="s">
        <v>17718</v>
      </c>
      <c r="AJ1496" t="s">
        <v>164</v>
      </c>
      <c r="AK1496" t="s">
        <v>2270</v>
      </c>
      <c r="AL1496">
        <v>0.69</v>
      </c>
      <c r="AM1496">
        <v>0.69</v>
      </c>
      <c r="AN1496">
        <v>0.33</v>
      </c>
      <c r="AO1496" t="s">
        <v>1931</v>
      </c>
      <c r="AP1496" t="s">
        <v>7780</v>
      </c>
      <c r="AQ1496" t="s">
        <v>4309</v>
      </c>
      <c r="AR1496" t="s">
        <v>323</v>
      </c>
      <c r="AS1496" t="s">
        <v>4569</v>
      </c>
      <c r="AT1496" t="s">
        <v>3169</v>
      </c>
      <c r="AU1496" t="s">
        <v>2841</v>
      </c>
      <c r="AV1496" t="s">
        <v>2407</v>
      </c>
      <c r="AW1496" t="s">
        <v>17719</v>
      </c>
      <c r="AX1496" t="s">
        <v>3069</v>
      </c>
      <c r="AY1496" t="s">
        <v>17720</v>
      </c>
      <c r="AZ1496" t="s">
        <v>4452</v>
      </c>
      <c r="BA1496">
        <v>3</v>
      </c>
      <c r="BB1496">
        <v>15.4</v>
      </c>
      <c r="BC1496">
        <v>0.43</v>
      </c>
      <c r="BD1496">
        <v>6.35</v>
      </c>
      <c r="BE1496">
        <v>6.28</v>
      </c>
      <c r="BF1496">
        <v>6.25</v>
      </c>
      <c r="BG1496" t="s">
        <v>17721</v>
      </c>
      <c r="BH1496" t="s">
        <v>17722</v>
      </c>
      <c r="BI1496" t="s">
        <v>4452</v>
      </c>
      <c r="BJ1496" t="s">
        <v>101</v>
      </c>
      <c r="BK1496" t="s">
        <v>16853</v>
      </c>
      <c r="BL1496" t="s">
        <v>9148</v>
      </c>
      <c r="BM1496" t="s">
        <v>2023</v>
      </c>
      <c r="BN1496" t="s">
        <v>14623</v>
      </c>
    </row>
    <row r="1497" spans="1:66" x14ac:dyDescent="0.25">
      <c r="A1497" t="str">
        <f>HYPERLINK("https://elite.finviz.com/quote.ashx?t=DAIO&amp;ty=c&amp;p=d&amp;b=1", "DAIO")</f>
        <v>DAIO</v>
      </c>
      <c r="B1497">
        <v>6</v>
      </c>
      <c r="C1497">
        <v>127.03</v>
      </c>
      <c r="D1497">
        <v>52.25</v>
      </c>
      <c r="E1497" t="s">
        <v>17723</v>
      </c>
      <c r="F1497" t="s">
        <v>107</v>
      </c>
      <c r="G1497" t="s">
        <v>108</v>
      </c>
      <c r="H1497" t="s">
        <v>3346</v>
      </c>
      <c r="I1497" t="s">
        <v>70</v>
      </c>
      <c r="J1497" t="s">
        <v>321</v>
      </c>
      <c r="K1497">
        <v>30.98</v>
      </c>
      <c r="L1497">
        <v>3.3</v>
      </c>
      <c r="M1497" t="s">
        <v>306</v>
      </c>
      <c r="N1497">
        <v>75</v>
      </c>
      <c r="R1497">
        <v>1.36</v>
      </c>
      <c r="S1497">
        <v>1.79</v>
      </c>
      <c r="AA1497">
        <v>-0.28000000000000003</v>
      </c>
      <c r="AB1497" t="s">
        <v>17724</v>
      </c>
      <c r="AC1497" t="s">
        <v>14241</v>
      </c>
      <c r="AD1497" t="s">
        <v>6998</v>
      </c>
      <c r="AE1497" t="s">
        <v>76</v>
      </c>
      <c r="AF1497" t="s">
        <v>5301</v>
      </c>
      <c r="AG1497" t="s">
        <v>2880</v>
      </c>
      <c r="AH1497" t="s">
        <v>4807</v>
      </c>
      <c r="AI1497" t="s">
        <v>8192</v>
      </c>
      <c r="AJ1497" t="s">
        <v>3976</v>
      </c>
      <c r="AK1497" t="s">
        <v>15396</v>
      </c>
      <c r="AL1497">
        <v>4.0599999999999996</v>
      </c>
      <c r="AM1497">
        <v>2.89</v>
      </c>
      <c r="AN1497">
        <v>0.14000000000000001</v>
      </c>
      <c r="AO1497" t="s">
        <v>3563</v>
      </c>
      <c r="AP1497" t="s">
        <v>2705</v>
      </c>
      <c r="AQ1497" t="s">
        <v>10146</v>
      </c>
      <c r="AR1497" t="s">
        <v>3325</v>
      </c>
      <c r="AS1497" t="s">
        <v>3948</v>
      </c>
      <c r="AT1497" t="s">
        <v>2362</v>
      </c>
      <c r="AU1497" t="s">
        <v>7780</v>
      </c>
      <c r="AV1497" t="s">
        <v>2883</v>
      </c>
      <c r="AW1497" t="s">
        <v>4259</v>
      </c>
      <c r="AX1497" t="s">
        <v>3747</v>
      </c>
      <c r="AY1497" t="s">
        <v>4259</v>
      </c>
      <c r="AZ1497" t="s">
        <v>17725</v>
      </c>
      <c r="BA1497">
        <v>1</v>
      </c>
      <c r="BB1497">
        <v>40.619999999999997</v>
      </c>
      <c r="BC1497">
        <v>0.01</v>
      </c>
      <c r="BD1497">
        <v>3.28</v>
      </c>
      <c r="BE1497">
        <v>3.3</v>
      </c>
      <c r="BF1497">
        <v>3.3</v>
      </c>
      <c r="BG1497" t="s">
        <v>17726</v>
      </c>
      <c r="BH1497" t="s">
        <v>6367</v>
      </c>
      <c r="BI1497" t="s">
        <v>17727</v>
      </c>
      <c r="BJ1497" t="s">
        <v>101</v>
      </c>
      <c r="BK1497" t="s">
        <v>9703</v>
      </c>
      <c r="BL1497" t="s">
        <v>4724</v>
      </c>
      <c r="BM1497" t="s">
        <v>5140</v>
      </c>
      <c r="BN1497" t="s">
        <v>14623</v>
      </c>
    </row>
    <row r="1498" spans="1:66" x14ac:dyDescent="0.25">
      <c r="A1498" t="str">
        <f>HYPERLINK("https://elite.finviz.com/quote.ashx?t=SNEX&amp;ty=c&amp;p=d&amp;b=1", "SNEX")</f>
        <v>SNEX</v>
      </c>
      <c r="B1498">
        <v>6</v>
      </c>
      <c r="C1498">
        <v>127.03</v>
      </c>
      <c r="D1498">
        <v>52.25</v>
      </c>
      <c r="E1498" t="s">
        <v>17728</v>
      </c>
      <c r="F1498" t="s">
        <v>67</v>
      </c>
      <c r="G1498" t="s">
        <v>550</v>
      </c>
      <c r="H1498" t="s">
        <v>551</v>
      </c>
      <c r="I1498" t="s">
        <v>70</v>
      </c>
      <c r="J1498" t="s">
        <v>321</v>
      </c>
      <c r="K1498">
        <v>4761.57</v>
      </c>
      <c r="L1498">
        <v>97</v>
      </c>
      <c r="M1498" t="s">
        <v>5058</v>
      </c>
      <c r="N1498">
        <v>72033</v>
      </c>
      <c r="O1498">
        <v>16.53</v>
      </c>
      <c r="P1498">
        <v>13.27</v>
      </c>
      <c r="Q1498">
        <v>1.1000000000000001</v>
      </c>
      <c r="R1498">
        <v>0.04</v>
      </c>
      <c r="S1498">
        <v>2.4</v>
      </c>
      <c r="Z1498" t="s">
        <v>164</v>
      </c>
      <c r="AA1498">
        <v>5.87</v>
      </c>
      <c r="AB1498" t="s">
        <v>17729</v>
      </c>
      <c r="AC1498" t="s">
        <v>1007</v>
      </c>
      <c r="AD1498" t="s">
        <v>8078</v>
      </c>
      <c r="AE1498" t="s">
        <v>7147</v>
      </c>
      <c r="AF1498" t="s">
        <v>1654</v>
      </c>
      <c r="AG1498" t="s">
        <v>3034</v>
      </c>
      <c r="AH1498" t="s">
        <v>17730</v>
      </c>
      <c r="AI1498" t="s">
        <v>12760</v>
      </c>
      <c r="AJ1498" t="s">
        <v>2204</v>
      </c>
      <c r="AK1498" t="s">
        <v>17731</v>
      </c>
      <c r="AL1498">
        <v>0.71</v>
      </c>
      <c r="AM1498">
        <v>0.68</v>
      </c>
      <c r="AN1498">
        <v>7.32</v>
      </c>
      <c r="AO1498" t="s">
        <v>2789</v>
      </c>
      <c r="AP1498" t="s">
        <v>4280</v>
      </c>
      <c r="AQ1498" t="s">
        <v>430</v>
      </c>
      <c r="AR1498" t="s">
        <v>4765</v>
      </c>
      <c r="AS1498" t="s">
        <v>7088</v>
      </c>
      <c r="AT1498" t="s">
        <v>2263</v>
      </c>
      <c r="AU1498" t="s">
        <v>4881</v>
      </c>
      <c r="AV1498" t="s">
        <v>4188</v>
      </c>
      <c r="AW1498" t="s">
        <v>11663</v>
      </c>
      <c r="AX1498" t="s">
        <v>3073</v>
      </c>
      <c r="AY1498" t="s">
        <v>11663</v>
      </c>
      <c r="AZ1498" t="s">
        <v>17732</v>
      </c>
      <c r="BA1498">
        <v>1</v>
      </c>
      <c r="BB1498">
        <v>545.14</v>
      </c>
      <c r="BC1498">
        <v>0.47</v>
      </c>
      <c r="BD1498">
        <v>95.67</v>
      </c>
      <c r="BE1498">
        <v>97.72</v>
      </c>
      <c r="BF1498">
        <v>95.67</v>
      </c>
      <c r="BG1498" t="s">
        <v>17733</v>
      </c>
      <c r="BH1498" t="s">
        <v>11663</v>
      </c>
      <c r="BI1498" t="s">
        <v>17734</v>
      </c>
      <c r="BJ1498" t="s">
        <v>101</v>
      </c>
      <c r="BK1498" t="s">
        <v>4686</v>
      </c>
      <c r="BL1498" t="s">
        <v>4930</v>
      </c>
      <c r="BM1498" t="s">
        <v>17735</v>
      </c>
      <c r="BN1498" t="s">
        <v>14623</v>
      </c>
    </row>
    <row r="1499" spans="1:66" x14ac:dyDescent="0.25">
      <c r="A1499" t="str">
        <f>HYPERLINK("https://elite.finviz.com/quote.ashx?t=URI&amp;ty=c&amp;p=d&amp;b=1", "URI")</f>
        <v>URI</v>
      </c>
      <c r="B1499">
        <v>6</v>
      </c>
      <c r="C1499">
        <v>127.03</v>
      </c>
      <c r="D1499">
        <v>52.32</v>
      </c>
      <c r="E1499" t="s">
        <v>17736</v>
      </c>
      <c r="F1499" t="s">
        <v>195</v>
      </c>
      <c r="G1499" t="s">
        <v>260</v>
      </c>
      <c r="H1499" t="s">
        <v>7905</v>
      </c>
      <c r="I1499" t="s">
        <v>70</v>
      </c>
      <c r="J1499" t="s">
        <v>71</v>
      </c>
      <c r="K1499">
        <v>60522.42</v>
      </c>
      <c r="L1499">
        <v>940.65</v>
      </c>
      <c r="M1499" t="s">
        <v>4689</v>
      </c>
      <c r="N1499">
        <v>58715</v>
      </c>
      <c r="O1499">
        <v>24.33</v>
      </c>
      <c r="P1499">
        <v>19.559999999999999</v>
      </c>
      <c r="Q1499">
        <v>2.92</v>
      </c>
      <c r="R1499">
        <v>3.84</v>
      </c>
      <c r="S1499">
        <v>6.71</v>
      </c>
      <c r="T1499" t="s">
        <v>1764</v>
      </c>
      <c r="U1499">
        <v>7</v>
      </c>
      <c r="V1499" t="s">
        <v>8649</v>
      </c>
      <c r="W1499" t="s">
        <v>4852</v>
      </c>
      <c r="Z1499" t="s">
        <v>10519</v>
      </c>
      <c r="AA1499">
        <v>38.659999999999997</v>
      </c>
      <c r="AB1499" t="s">
        <v>17259</v>
      </c>
      <c r="AC1499" t="s">
        <v>5192</v>
      </c>
      <c r="AD1499" t="s">
        <v>10132</v>
      </c>
      <c r="AE1499" t="s">
        <v>954</v>
      </c>
      <c r="AF1499" t="s">
        <v>4594</v>
      </c>
      <c r="AG1499" t="s">
        <v>12553</v>
      </c>
      <c r="AH1499" t="s">
        <v>1091</v>
      </c>
      <c r="AI1499" t="s">
        <v>2263</v>
      </c>
      <c r="AJ1499" t="s">
        <v>6533</v>
      </c>
      <c r="AK1499" t="s">
        <v>16772</v>
      </c>
      <c r="AL1499">
        <v>0.86</v>
      </c>
      <c r="AM1499">
        <v>0.8</v>
      </c>
      <c r="AN1499">
        <v>1.6</v>
      </c>
      <c r="AO1499" t="s">
        <v>17737</v>
      </c>
      <c r="AP1499" t="s">
        <v>17690</v>
      </c>
      <c r="AQ1499" t="s">
        <v>5458</v>
      </c>
      <c r="AR1499" t="s">
        <v>1129</v>
      </c>
      <c r="AS1499" t="s">
        <v>2876</v>
      </c>
      <c r="AT1499" t="s">
        <v>2374</v>
      </c>
      <c r="AU1499" t="s">
        <v>5593</v>
      </c>
      <c r="AV1499" t="s">
        <v>7199</v>
      </c>
      <c r="AW1499" t="s">
        <v>5621</v>
      </c>
      <c r="AX1499" t="s">
        <v>14761</v>
      </c>
      <c r="AY1499" t="s">
        <v>5621</v>
      </c>
      <c r="AZ1499" t="s">
        <v>14873</v>
      </c>
      <c r="BA1499">
        <v>2.08</v>
      </c>
      <c r="BB1499">
        <v>570.38</v>
      </c>
      <c r="BC1499">
        <v>0.36</v>
      </c>
      <c r="BD1499">
        <v>931.25</v>
      </c>
      <c r="BE1499">
        <v>944.95</v>
      </c>
      <c r="BF1499">
        <v>931.09</v>
      </c>
      <c r="BG1499" t="s">
        <v>17738</v>
      </c>
      <c r="BH1499" t="s">
        <v>5621</v>
      </c>
      <c r="BI1499" t="s">
        <v>17739</v>
      </c>
      <c r="BJ1499" t="s">
        <v>101</v>
      </c>
      <c r="BK1499" t="s">
        <v>17740</v>
      </c>
      <c r="BL1499" t="s">
        <v>13535</v>
      </c>
      <c r="BM1499" t="s">
        <v>2976</v>
      </c>
      <c r="BN1499" t="s">
        <v>14623</v>
      </c>
    </row>
    <row r="1500" spans="1:66" x14ac:dyDescent="0.25">
      <c r="A1500" t="str">
        <f>HYPERLINK("https://elite.finviz.com/quote.ashx?t=KRNY&amp;ty=c&amp;p=d&amp;b=1", "KRNY")</f>
        <v>KRNY</v>
      </c>
      <c r="B1500">
        <v>6</v>
      </c>
      <c r="C1500">
        <v>127.03</v>
      </c>
      <c r="D1500">
        <v>52.33</v>
      </c>
      <c r="E1500" t="s">
        <v>17741</v>
      </c>
      <c r="F1500" t="s">
        <v>67</v>
      </c>
      <c r="G1500" t="s">
        <v>550</v>
      </c>
      <c r="H1500" t="s">
        <v>697</v>
      </c>
      <c r="I1500" t="s">
        <v>70</v>
      </c>
      <c r="J1500" t="s">
        <v>321</v>
      </c>
      <c r="K1500">
        <v>424.34</v>
      </c>
      <c r="L1500">
        <v>6.55</v>
      </c>
      <c r="M1500" t="s">
        <v>2486</v>
      </c>
      <c r="N1500">
        <v>52001</v>
      </c>
      <c r="O1500">
        <v>15.74</v>
      </c>
      <c r="R1500">
        <v>1.24</v>
      </c>
      <c r="S1500">
        <v>0.55000000000000004</v>
      </c>
      <c r="T1500" t="s">
        <v>3372</v>
      </c>
      <c r="U1500">
        <v>0.44</v>
      </c>
      <c r="V1500" t="s">
        <v>7906</v>
      </c>
      <c r="W1500" t="s">
        <v>164</v>
      </c>
      <c r="X1500" t="s">
        <v>84</v>
      </c>
      <c r="Y1500" t="s">
        <v>9159</v>
      </c>
      <c r="Z1500" t="s">
        <v>17742</v>
      </c>
      <c r="AA1500">
        <v>0.42</v>
      </c>
      <c r="AB1500" t="s">
        <v>6789</v>
      </c>
      <c r="AC1500" t="s">
        <v>3704</v>
      </c>
      <c r="AE1500" t="s">
        <v>6419</v>
      </c>
      <c r="AF1500" t="s">
        <v>5676</v>
      </c>
      <c r="AG1500" t="s">
        <v>3148</v>
      </c>
      <c r="AH1500" t="s">
        <v>2870</v>
      </c>
      <c r="AI1500" t="s">
        <v>5104</v>
      </c>
      <c r="AJ1500" t="s">
        <v>2275</v>
      </c>
      <c r="AK1500" t="s">
        <v>17743</v>
      </c>
      <c r="AL1500">
        <v>0.03</v>
      </c>
      <c r="AN1500">
        <v>1.7</v>
      </c>
      <c r="AP1500" t="s">
        <v>3648</v>
      </c>
      <c r="AQ1500" t="s">
        <v>2351</v>
      </c>
      <c r="AR1500" t="s">
        <v>3544</v>
      </c>
      <c r="AS1500" t="s">
        <v>2789</v>
      </c>
      <c r="AT1500" t="s">
        <v>2965</v>
      </c>
      <c r="AU1500" t="s">
        <v>8013</v>
      </c>
      <c r="AV1500" t="s">
        <v>2717</v>
      </c>
      <c r="AW1500" t="s">
        <v>5264</v>
      </c>
      <c r="AX1500" t="s">
        <v>5798</v>
      </c>
      <c r="AY1500" t="s">
        <v>441</v>
      </c>
      <c r="AZ1500" t="s">
        <v>774</v>
      </c>
      <c r="BA1500">
        <v>2</v>
      </c>
      <c r="BB1500">
        <v>368.44</v>
      </c>
      <c r="BC1500">
        <v>0.5</v>
      </c>
      <c r="BD1500">
        <v>6.58</v>
      </c>
      <c r="BE1500">
        <v>6.65</v>
      </c>
      <c r="BF1500">
        <v>6.55</v>
      </c>
      <c r="BG1500" t="s">
        <v>17744</v>
      </c>
      <c r="BH1500" t="s">
        <v>17745</v>
      </c>
      <c r="BI1500" t="s">
        <v>5998</v>
      </c>
      <c r="BJ1500" t="s">
        <v>101</v>
      </c>
      <c r="BK1500" t="s">
        <v>2509</v>
      </c>
      <c r="BL1500" t="s">
        <v>92</v>
      </c>
      <c r="BM1500" t="s">
        <v>3859</v>
      </c>
      <c r="BN1500" t="s">
        <v>14623</v>
      </c>
    </row>
    <row r="1501" spans="1:66" x14ac:dyDescent="0.25">
      <c r="A1501" t="str">
        <f>HYPERLINK("https://elite.finviz.com/quote.ashx?t=GLBZ&amp;ty=c&amp;p=d&amp;b=1", "GLBZ")</f>
        <v>GLBZ</v>
      </c>
      <c r="B1501">
        <v>6</v>
      </c>
      <c r="C1501">
        <v>127.03</v>
      </c>
      <c r="D1501">
        <v>52.34</v>
      </c>
      <c r="E1501" t="s">
        <v>17746</v>
      </c>
      <c r="F1501" t="s">
        <v>107</v>
      </c>
      <c r="G1501" t="s">
        <v>550</v>
      </c>
      <c r="H1501" t="s">
        <v>697</v>
      </c>
      <c r="I1501" t="s">
        <v>70</v>
      </c>
      <c r="J1501" t="s">
        <v>321</v>
      </c>
      <c r="K1501">
        <v>13.11</v>
      </c>
      <c r="L1501">
        <v>4.5199999999999996</v>
      </c>
      <c r="M1501" t="s">
        <v>3112</v>
      </c>
      <c r="N1501">
        <v>83</v>
      </c>
      <c r="O1501">
        <v>422.43</v>
      </c>
      <c r="R1501">
        <v>0.79</v>
      </c>
      <c r="S1501">
        <v>0.69</v>
      </c>
      <c r="V1501" t="s">
        <v>17747</v>
      </c>
      <c r="AA1501">
        <v>0.01</v>
      </c>
      <c r="AE1501" t="s">
        <v>1133</v>
      </c>
      <c r="AF1501" t="s">
        <v>275</v>
      </c>
      <c r="AG1501" t="s">
        <v>3047</v>
      </c>
      <c r="AH1501" t="s">
        <v>110</v>
      </c>
      <c r="AJ1501" t="s">
        <v>5745</v>
      </c>
      <c r="AK1501" t="s">
        <v>3776</v>
      </c>
      <c r="AL1501">
        <v>0.06</v>
      </c>
      <c r="AN1501">
        <v>0.69</v>
      </c>
      <c r="AP1501" t="s">
        <v>5159</v>
      </c>
      <c r="AQ1501" t="s">
        <v>2880</v>
      </c>
      <c r="AR1501" t="s">
        <v>304</v>
      </c>
      <c r="AS1501" t="s">
        <v>4189</v>
      </c>
      <c r="AT1501" t="s">
        <v>344</v>
      </c>
      <c r="AU1501" t="s">
        <v>7437</v>
      </c>
      <c r="AV1501" t="s">
        <v>626</v>
      </c>
      <c r="AW1501" t="s">
        <v>219</v>
      </c>
      <c r="AX1501" t="s">
        <v>9721</v>
      </c>
      <c r="AY1501" t="s">
        <v>17748</v>
      </c>
      <c r="AZ1501" t="s">
        <v>9721</v>
      </c>
      <c r="BB1501">
        <v>7.5</v>
      </c>
      <c r="BC1501">
        <v>0.04</v>
      </c>
      <c r="BD1501">
        <v>4.5</v>
      </c>
      <c r="BE1501">
        <v>4.46</v>
      </c>
      <c r="BF1501">
        <v>4.46</v>
      </c>
      <c r="BG1501" t="s">
        <v>17749</v>
      </c>
      <c r="BH1501" t="s">
        <v>17750</v>
      </c>
      <c r="BI1501" t="s">
        <v>8664</v>
      </c>
      <c r="BJ1501" t="s">
        <v>101</v>
      </c>
      <c r="BK1501" t="s">
        <v>4229</v>
      </c>
      <c r="BL1501" t="s">
        <v>17437</v>
      </c>
      <c r="BM1501" t="s">
        <v>2101</v>
      </c>
      <c r="BN1501" t="s">
        <v>14623</v>
      </c>
    </row>
    <row r="1502" spans="1:66" x14ac:dyDescent="0.25">
      <c r="A1502" t="str">
        <f>HYPERLINK("https://elite.finviz.com/quote.ashx?t=NODK&amp;ty=c&amp;p=d&amp;b=1", "NODK")</f>
        <v>NODK</v>
      </c>
      <c r="B1502">
        <v>6</v>
      </c>
      <c r="C1502">
        <v>127.03</v>
      </c>
      <c r="D1502">
        <v>52.35</v>
      </c>
      <c r="E1502" t="s">
        <v>17751</v>
      </c>
      <c r="F1502" t="s">
        <v>67</v>
      </c>
      <c r="G1502" t="s">
        <v>550</v>
      </c>
      <c r="H1502" t="s">
        <v>4407</v>
      </c>
      <c r="I1502" t="s">
        <v>70</v>
      </c>
      <c r="J1502" t="s">
        <v>321</v>
      </c>
      <c r="K1502">
        <v>280.14999999999998</v>
      </c>
      <c r="L1502">
        <v>13.55</v>
      </c>
      <c r="M1502" t="s">
        <v>8979</v>
      </c>
      <c r="N1502">
        <v>1404</v>
      </c>
      <c r="O1502">
        <v>185.87</v>
      </c>
      <c r="R1502">
        <v>0.9</v>
      </c>
      <c r="S1502">
        <v>1.1499999999999999</v>
      </c>
      <c r="Z1502" t="s">
        <v>164</v>
      </c>
      <c r="AA1502">
        <v>7.0000000000000007E-2</v>
      </c>
      <c r="AB1502" t="s">
        <v>9709</v>
      </c>
      <c r="AC1502" t="s">
        <v>6004</v>
      </c>
      <c r="AE1502" t="s">
        <v>17129</v>
      </c>
      <c r="AF1502" t="s">
        <v>4494</v>
      </c>
      <c r="AG1502" t="s">
        <v>8818</v>
      </c>
      <c r="AH1502" t="s">
        <v>17752</v>
      </c>
      <c r="AJ1502" t="s">
        <v>164</v>
      </c>
      <c r="AK1502" t="s">
        <v>7490</v>
      </c>
      <c r="AL1502">
        <v>0.96</v>
      </c>
      <c r="AN1502">
        <v>0.01</v>
      </c>
      <c r="AP1502" t="s">
        <v>4946</v>
      </c>
      <c r="AQ1502" t="s">
        <v>3336</v>
      </c>
      <c r="AR1502" t="s">
        <v>7338</v>
      </c>
      <c r="AS1502" t="s">
        <v>2876</v>
      </c>
      <c r="AT1502" t="s">
        <v>3358</v>
      </c>
      <c r="AU1502" t="s">
        <v>4499</v>
      </c>
      <c r="AV1502" t="s">
        <v>2176</v>
      </c>
      <c r="AW1502" t="s">
        <v>7532</v>
      </c>
      <c r="AX1502" t="s">
        <v>537</v>
      </c>
      <c r="AY1502" t="s">
        <v>2588</v>
      </c>
      <c r="AZ1502" t="s">
        <v>293</v>
      </c>
      <c r="BB1502">
        <v>12.89</v>
      </c>
      <c r="BC1502">
        <v>0.39</v>
      </c>
      <c r="BD1502">
        <v>13.63</v>
      </c>
      <c r="BE1502">
        <v>13.63</v>
      </c>
      <c r="BF1502">
        <v>13.63</v>
      </c>
      <c r="BG1502" t="s">
        <v>17753</v>
      </c>
      <c r="BH1502" t="s">
        <v>17754</v>
      </c>
      <c r="BI1502" t="s">
        <v>17755</v>
      </c>
      <c r="BJ1502" t="s">
        <v>101</v>
      </c>
      <c r="BK1502" t="s">
        <v>1129</v>
      </c>
      <c r="BL1502" t="s">
        <v>706</v>
      </c>
      <c r="BM1502" t="s">
        <v>6088</v>
      </c>
      <c r="BN1502" t="s">
        <v>14623</v>
      </c>
    </row>
    <row r="1503" spans="1:66" x14ac:dyDescent="0.25">
      <c r="A1503" t="str">
        <f>HYPERLINK("https://elite.finviz.com/quote.ashx?t=CNDT&amp;ty=c&amp;p=d&amp;b=1", "CNDT")</f>
        <v>CNDT</v>
      </c>
      <c r="B1503">
        <v>6</v>
      </c>
      <c r="C1503">
        <v>127.03</v>
      </c>
      <c r="D1503">
        <v>52.36</v>
      </c>
      <c r="E1503" t="s">
        <v>17756</v>
      </c>
      <c r="F1503" t="s">
        <v>67</v>
      </c>
      <c r="G1503" t="s">
        <v>108</v>
      </c>
      <c r="H1503" t="s">
        <v>1322</v>
      </c>
      <c r="I1503" t="s">
        <v>70</v>
      </c>
      <c r="J1503" t="s">
        <v>321</v>
      </c>
      <c r="K1503">
        <v>444.54</v>
      </c>
      <c r="L1503">
        <v>2.81</v>
      </c>
      <c r="M1503" t="s">
        <v>4552</v>
      </c>
      <c r="N1503">
        <v>201044</v>
      </c>
      <c r="O1503">
        <v>91.36</v>
      </c>
      <c r="P1503">
        <v>140.69999999999999</v>
      </c>
      <c r="R1503">
        <v>0.14000000000000001</v>
      </c>
      <c r="S1503">
        <v>0.57999999999999996</v>
      </c>
      <c r="Z1503" t="s">
        <v>164</v>
      </c>
      <c r="AA1503">
        <v>0.03</v>
      </c>
      <c r="AE1503" t="s">
        <v>4521</v>
      </c>
      <c r="AF1503" t="s">
        <v>14915</v>
      </c>
      <c r="AG1503" t="s">
        <v>2604</v>
      </c>
      <c r="AH1503" t="s">
        <v>4929</v>
      </c>
      <c r="AI1503" t="s">
        <v>8086</v>
      </c>
      <c r="AJ1503" t="s">
        <v>1022</v>
      </c>
      <c r="AK1503" t="s">
        <v>5469</v>
      </c>
      <c r="AL1503">
        <v>1.65</v>
      </c>
      <c r="AM1503">
        <v>1.65</v>
      </c>
      <c r="AN1503">
        <v>0.91</v>
      </c>
      <c r="AO1503" t="s">
        <v>14918</v>
      </c>
      <c r="AP1503" t="s">
        <v>14462</v>
      </c>
      <c r="AQ1503" t="s">
        <v>3446</v>
      </c>
      <c r="AR1503" t="s">
        <v>3874</v>
      </c>
      <c r="AS1503" t="s">
        <v>2493</v>
      </c>
      <c r="AT1503" t="s">
        <v>7709</v>
      </c>
      <c r="AU1503" t="s">
        <v>2647</v>
      </c>
      <c r="AV1503" t="s">
        <v>703</v>
      </c>
      <c r="AW1503" t="s">
        <v>8190</v>
      </c>
      <c r="AX1503" t="s">
        <v>13206</v>
      </c>
      <c r="AY1503" t="s">
        <v>17757</v>
      </c>
      <c r="AZ1503" t="s">
        <v>5935</v>
      </c>
      <c r="BA1503">
        <v>1</v>
      </c>
      <c r="BB1503">
        <v>984.67</v>
      </c>
      <c r="BC1503">
        <v>0.72</v>
      </c>
      <c r="BD1503">
        <v>2.78</v>
      </c>
      <c r="BE1503">
        <v>2.84</v>
      </c>
      <c r="BF1503">
        <v>2.76</v>
      </c>
      <c r="BG1503" t="s">
        <v>17758</v>
      </c>
      <c r="BH1503" t="s">
        <v>17759</v>
      </c>
      <c r="BI1503" t="s">
        <v>8429</v>
      </c>
      <c r="BJ1503" t="s">
        <v>101</v>
      </c>
      <c r="BK1503" t="s">
        <v>6075</v>
      </c>
      <c r="BL1503" t="s">
        <v>6149</v>
      </c>
      <c r="BM1503" t="s">
        <v>3072</v>
      </c>
      <c r="BN1503" t="s">
        <v>14623</v>
      </c>
    </row>
    <row r="1504" spans="1:66" x14ac:dyDescent="0.25">
      <c r="A1504" t="str">
        <f>HYPERLINK("https://elite.finviz.com/quote.ashx?t=JOUT&amp;ty=c&amp;p=d&amp;b=1", "JOUT")</f>
        <v>JOUT</v>
      </c>
      <c r="B1504">
        <v>6</v>
      </c>
      <c r="C1504">
        <v>127.03</v>
      </c>
      <c r="D1504">
        <v>52.36</v>
      </c>
      <c r="E1504" t="s">
        <v>17760</v>
      </c>
      <c r="F1504" t="s">
        <v>67</v>
      </c>
      <c r="G1504" t="s">
        <v>813</v>
      </c>
      <c r="H1504" t="s">
        <v>5941</v>
      </c>
      <c r="I1504" t="s">
        <v>70</v>
      </c>
      <c r="J1504" t="s">
        <v>321</v>
      </c>
      <c r="K1504">
        <v>414.09</v>
      </c>
      <c r="L1504">
        <v>40.35</v>
      </c>
      <c r="M1504" t="s">
        <v>1764</v>
      </c>
      <c r="N1504">
        <v>6456</v>
      </c>
      <c r="P1504">
        <v>38.43</v>
      </c>
      <c r="R1504">
        <v>0.74</v>
      </c>
      <c r="S1504">
        <v>0.92</v>
      </c>
      <c r="T1504" t="s">
        <v>2317</v>
      </c>
      <c r="U1504">
        <v>1.32</v>
      </c>
      <c r="V1504" t="s">
        <v>2573</v>
      </c>
      <c r="W1504" t="s">
        <v>995</v>
      </c>
      <c r="X1504" t="s">
        <v>511</v>
      </c>
      <c r="Y1504" t="s">
        <v>7866</v>
      </c>
      <c r="AA1504">
        <v>-3.88</v>
      </c>
      <c r="AE1504" t="s">
        <v>7582</v>
      </c>
      <c r="AF1504" t="s">
        <v>16867</v>
      </c>
      <c r="AG1504" t="s">
        <v>3552</v>
      </c>
      <c r="AH1504" t="s">
        <v>215</v>
      </c>
      <c r="AI1504" t="s">
        <v>17761</v>
      </c>
      <c r="AJ1504" t="s">
        <v>164</v>
      </c>
      <c r="AK1504" t="s">
        <v>15298</v>
      </c>
      <c r="AL1504">
        <v>3.98</v>
      </c>
      <c r="AM1504">
        <v>2.4300000000000002</v>
      </c>
      <c r="AN1504">
        <v>0.1</v>
      </c>
      <c r="AO1504" t="s">
        <v>11338</v>
      </c>
      <c r="AP1504" t="s">
        <v>7455</v>
      </c>
      <c r="AQ1504" t="s">
        <v>94</v>
      </c>
      <c r="AR1504" t="s">
        <v>5187</v>
      </c>
      <c r="AS1504" t="s">
        <v>4394</v>
      </c>
      <c r="AT1504" t="s">
        <v>1202</v>
      </c>
      <c r="AU1504" t="s">
        <v>3343</v>
      </c>
      <c r="AV1504" t="s">
        <v>3819</v>
      </c>
      <c r="AW1504" t="s">
        <v>1200</v>
      </c>
      <c r="AX1504" t="s">
        <v>14665</v>
      </c>
      <c r="AY1504" t="s">
        <v>1200</v>
      </c>
      <c r="AZ1504" t="s">
        <v>17762</v>
      </c>
      <c r="BA1504">
        <v>1</v>
      </c>
      <c r="BB1504">
        <v>64.73</v>
      </c>
      <c r="BC1504">
        <v>0.35</v>
      </c>
      <c r="BD1504">
        <v>40.06</v>
      </c>
      <c r="BE1504">
        <v>40.659999999999997</v>
      </c>
      <c r="BF1504">
        <v>39.65</v>
      </c>
      <c r="BG1504" t="s">
        <v>17763</v>
      </c>
      <c r="BH1504" t="s">
        <v>17764</v>
      </c>
      <c r="BI1504" t="s">
        <v>17765</v>
      </c>
      <c r="BJ1504" t="s">
        <v>101</v>
      </c>
      <c r="BK1504" t="s">
        <v>6896</v>
      </c>
      <c r="BL1504" t="s">
        <v>15985</v>
      </c>
      <c r="BM1504" t="s">
        <v>185</v>
      </c>
      <c r="BN1504" t="s">
        <v>14623</v>
      </c>
    </row>
    <row r="1505" spans="1:66" x14ac:dyDescent="0.25">
      <c r="A1505" t="str">
        <f>HYPERLINK("https://elite.finviz.com/quote.ashx?t=ATXS&amp;ty=c&amp;p=d&amp;b=1", "ATXS")</f>
        <v>ATXS</v>
      </c>
      <c r="B1505">
        <v>6</v>
      </c>
      <c r="C1505">
        <v>127.03</v>
      </c>
      <c r="D1505">
        <v>52.38</v>
      </c>
      <c r="E1505" t="s">
        <v>17766</v>
      </c>
      <c r="F1505" t="s">
        <v>67</v>
      </c>
      <c r="G1505" t="s">
        <v>428</v>
      </c>
      <c r="H1505" t="s">
        <v>429</v>
      </c>
      <c r="I1505" t="s">
        <v>70</v>
      </c>
      <c r="J1505" t="s">
        <v>321</v>
      </c>
      <c r="K1505">
        <v>409.15</v>
      </c>
      <c r="L1505">
        <v>7.25</v>
      </c>
      <c r="M1505" t="s">
        <v>7780</v>
      </c>
      <c r="N1505">
        <v>42138</v>
      </c>
      <c r="S1505">
        <v>2.48</v>
      </c>
      <c r="AA1505">
        <v>-2.0299999999999998</v>
      </c>
      <c r="AB1505" t="s">
        <v>12693</v>
      </c>
      <c r="AC1505" t="s">
        <v>7003</v>
      </c>
      <c r="AD1505" t="s">
        <v>5354</v>
      </c>
      <c r="AI1505" t="s">
        <v>7088</v>
      </c>
      <c r="AJ1505" t="s">
        <v>164</v>
      </c>
      <c r="AK1505" t="s">
        <v>17767</v>
      </c>
      <c r="AL1505">
        <v>14.89</v>
      </c>
      <c r="AM1505">
        <v>14.89</v>
      </c>
      <c r="AN1505">
        <v>0.02</v>
      </c>
      <c r="AR1505" t="s">
        <v>1507</v>
      </c>
      <c r="AS1505" t="s">
        <v>661</v>
      </c>
      <c r="AT1505" t="s">
        <v>1842</v>
      </c>
      <c r="AU1505" t="s">
        <v>4995</v>
      </c>
      <c r="AV1505" t="s">
        <v>4087</v>
      </c>
      <c r="AW1505" t="s">
        <v>5741</v>
      </c>
      <c r="AX1505" t="s">
        <v>5050</v>
      </c>
      <c r="AY1505" t="s">
        <v>17768</v>
      </c>
      <c r="AZ1505" t="s">
        <v>17769</v>
      </c>
      <c r="BA1505">
        <v>1</v>
      </c>
      <c r="BB1505">
        <v>323.32</v>
      </c>
      <c r="BC1505">
        <v>0.46</v>
      </c>
      <c r="BD1505">
        <v>7.15</v>
      </c>
      <c r="BE1505">
        <v>7.36</v>
      </c>
      <c r="BF1505">
        <v>7.15</v>
      </c>
      <c r="BG1505" t="s">
        <v>17770</v>
      </c>
      <c r="BH1505" t="s">
        <v>13235</v>
      </c>
      <c r="BI1505" t="s">
        <v>17771</v>
      </c>
      <c r="BJ1505" t="s">
        <v>101</v>
      </c>
      <c r="BK1505" t="s">
        <v>11541</v>
      </c>
      <c r="BL1505" t="s">
        <v>4876</v>
      </c>
      <c r="BM1505" t="s">
        <v>17678</v>
      </c>
      <c r="BN1505" t="s">
        <v>14623</v>
      </c>
    </row>
    <row r="1506" spans="1:66" x14ac:dyDescent="0.25">
      <c r="A1506" t="str">
        <f>HYPERLINK("https://elite.finviz.com/quote.ashx?t=ACON&amp;ty=c&amp;p=d&amp;b=1", "ACON")</f>
        <v>ACON</v>
      </c>
      <c r="B1506">
        <v>6</v>
      </c>
      <c r="C1506">
        <v>127.03</v>
      </c>
      <c r="D1506">
        <v>52.43</v>
      </c>
      <c r="E1506" t="s">
        <v>17772</v>
      </c>
      <c r="F1506" t="s">
        <v>107</v>
      </c>
      <c r="G1506" t="s">
        <v>428</v>
      </c>
      <c r="H1506" t="s">
        <v>2075</v>
      </c>
      <c r="I1506" t="s">
        <v>70</v>
      </c>
      <c r="J1506" t="s">
        <v>321</v>
      </c>
      <c r="K1506">
        <v>4.5999999999999996</v>
      </c>
      <c r="L1506">
        <v>7.89</v>
      </c>
      <c r="M1506" t="s">
        <v>196</v>
      </c>
      <c r="N1506">
        <v>6339</v>
      </c>
      <c r="R1506">
        <v>76.64</v>
      </c>
      <c r="S1506">
        <v>0.32</v>
      </c>
      <c r="AA1506">
        <v>-2920.94</v>
      </c>
      <c r="AB1506" t="s">
        <v>17773</v>
      </c>
      <c r="AC1506" t="s">
        <v>13550</v>
      </c>
      <c r="AE1506" t="s">
        <v>8697</v>
      </c>
      <c r="AF1506" t="s">
        <v>6227</v>
      </c>
      <c r="AG1506" t="s">
        <v>6293</v>
      </c>
      <c r="AH1506" t="s">
        <v>3706</v>
      </c>
      <c r="AI1506" t="s">
        <v>17774</v>
      </c>
      <c r="AK1506" t="s">
        <v>698</v>
      </c>
      <c r="AL1506">
        <v>23.71</v>
      </c>
      <c r="AM1506">
        <v>23.71</v>
      </c>
      <c r="AN1506">
        <v>0</v>
      </c>
      <c r="AO1506" t="s">
        <v>17775</v>
      </c>
      <c r="AP1506" t="s">
        <v>17776</v>
      </c>
      <c r="AQ1506" t="s">
        <v>17777</v>
      </c>
      <c r="AR1506" t="s">
        <v>1110</v>
      </c>
      <c r="AS1506" t="s">
        <v>276</v>
      </c>
      <c r="AT1506" t="s">
        <v>1768</v>
      </c>
      <c r="AU1506" t="s">
        <v>2776</v>
      </c>
      <c r="AV1506" t="s">
        <v>17778</v>
      </c>
      <c r="AW1506" t="s">
        <v>3578</v>
      </c>
      <c r="AX1506" t="s">
        <v>7134</v>
      </c>
      <c r="AY1506" t="s">
        <v>11463</v>
      </c>
      <c r="AZ1506" t="s">
        <v>17779</v>
      </c>
      <c r="BA1506">
        <v>1</v>
      </c>
      <c r="BB1506">
        <v>13.93</v>
      </c>
      <c r="BC1506">
        <v>1.62</v>
      </c>
      <c r="BD1506">
        <v>8.0299999999999994</v>
      </c>
      <c r="BE1506">
        <v>8.11</v>
      </c>
      <c r="BF1506">
        <v>7.91</v>
      </c>
      <c r="BG1506" t="s">
        <v>17780</v>
      </c>
      <c r="BH1506" t="s">
        <v>579</v>
      </c>
      <c r="BI1506" t="s">
        <v>17779</v>
      </c>
      <c r="BJ1506" t="s">
        <v>101</v>
      </c>
      <c r="BK1506" t="s">
        <v>1700</v>
      </c>
      <c r="BL1506" t="s">
        <v>12185</v>
      </c>
      <c r="BM1506" t="s">
        <v>1141</v>
      </c>
      <c r="BN1506" t="s">
        <v>14623</v>
      </c>
    </row>
    <row r="1507" spans="1:66" x14ac:dyDescent="0.25">
      <c r="A1507" t="str">
        <f>HYPERLINK("https://elite.finviz.com/quote.ashx?t=TDW&amp;ty=c&amp;p=d&amp;b=1", "TDW")</f>
        <v>TDW</v>
      </c>
      <c r="B1507">
        <v>6</v>
      </c>
      <c r="C1507">
        <v>127.03</v>
      </c>
      <c r="D1507">
        <v>52.43</v>
      </c>
      <c r="E1507" t="s">
        <v>17781</v>
      </c>
      <c r="F1507" t="s">
        <v>67</v>
      </c>
      <c r="G1507" t="s">
        <v>1048</v>
      </c>
      <c r="H1507" t="s">
        <v>8341</v>
      </c>
      <c r="I1507" t="s">
        <v>70</v>
      </c>
      <c r="J1507" t="s">
        <v>71</v>
      </c>
      <c r="K1507">
        <v>2861.87</v>
      </c>
      <c r="L1507">
        <v>57.82</v>
      </c>
      <c r="M1507" t="s">
        <v>1864</v>
      </c>
      <c r="N1507">
        <v>134884</v>
      </c>
      <c r="O1507">
        <v>15</v>
      </c>
      <c r="P1507">
        <v>13.36</v>
      </c>
      <c r="Q1507">
        <v>0.78</v>
      </c>
      <c r="R1507">
        <v>2.1</v>
      </c>
      <c r="S1507">
        <v>2.5099999999999998</v>
      </c>
      <c r="T1507" t="s">
        <v>5577</v>
      </c>
      <c r="V1507" t="s">
        <v>17782</v>
      </c>
      <c r="Z1507" t="s">
        <v>164</v>
      </c>
      <c r="AA1507">
        <v>3.86</v>
      </c>
      <c r="AD1507" t="s">
        <v>758</v>
      </c>
      <c r="AE1507" t="s">
        <v>4114</v>
      </c>
      <c r="AF1507" t="s">
        <v>9016</v>
      </c>
      <c r="AG1507" t="s">
        <v>2397</v>
      </c>
      <c r="AH1507" t="s">
        <v>227</v>
      </c>
      <c r="AI1507" t="s">
        <v>17783</v>
      </c>
      <c r="AJ1507" t="s">
        <v>141</v>
      </c>
      <c r="AK1507" t="s">
        <v>14786</v>
      </c>
      <c r="AL1507">
        <v>2.11</v>
      </c>
      <c r="AM1507">
        <v>2.04</v>
      </c>
      <c r="AN1507">
        <v>0.55000000000000004</v>
      </c>
      <c r="AO1507" t="s">
        <v>12618</v>
      </c>
      <c r="AP1507" t="s">
        <v>7254</v>
      </c>
      <c r="AQ1507" t="s">
        <v>11140</v>
      </c>
      <c r="AR1507" t="s">
        <v>1100</v>
      </c>
      <c r="AS1507" t="s">
        <v>3325</v>
      </c>
      <c r="AT1507" t="s">
        <v>2275</v>
      </c>
      <c r="AU1507" t="s">
        <v>2624</v>
      </c>
      <c r="AV1507" t="s">
        <v>3128</v>
      </c>
      <c r="AW1507" t="s">
        <v>501</v>
      </c>
      <c r="AX1507" t="s">
        <v>6703</v>
      </c>
      <c r="AY1507" t="s">
        <v>4456</v>
      </c>
      <c r="AZ1507" t="s">
        <v>11793</v>
      </c>
      <c r="BA1507">
        <v>2.78</v>
      </c>
      <c r="BB1507">
        <v>861.98</v>
      </c>
      <c r="BC1507">
        <v>0.55000000000000004</v>
      </c>
      <c r="BD1507">
        <v>58.54</v>
      </c>
      <c r="BE1507">
        <v>59.65</v>
      </c>
      <c r="BF1507">
        <v>57.66</v>
      </c>
      <c r="BG1507" t="s">
        <v>17784</v>
      </c>
      <c r="BH1507" t="s">
        <v>17785</v>
      </c>
      <c r="BI1507" t="s">
        <v>17786</v>
      </c>
      <c r="BJ1507" t="s">
        <v>101</v>
      </c>
      <c r="BK1507" t="s">
        <v>12726</v>
      </c>
      <c r="BL1507" t="s">
        <v>11912</v>
      </c>
      <c r="BM1507" t="s">
        <v>17787</v>
      </c>
      <c r="BN1507" t="s">
        <v>14623</v>
      </c>
    </row>
    <row r="1508" spans="1:66" x14ac:dyDescent="0.25">
      <c r="A1508" t="str">
        <f>HYPERLINK("https://elite.finviz.com/quote.ashx?t=PACH&amp;ty=c&amp;p=d&amp;b=1", "PACH")</f>
        <v>PACH</v>
      </c>
      <c r="B1508">
        <v>6</v>
      </c>
      <c r="C1508">
        <v>127.03</v>
      </c>
      <c r="D1508">
        <v>52.45</v>
      </c>
      <c r="E1508" t="s">
        <v>17788</v>
      </c>
      <c r="F1508" t="s">
        <v>107</v>
      </c>
      <c r="G1508" t="s">
        <v>550</v>
      </c>
      <c r="H1508" t="s">
        <v>2120</v>
      </c>
      <c r="I1508" t="s">
        <v>70</v>
      </c>
      <c r="J1508" t="s">
        <v>321</v>
      </c>
      <c r="K1508">
        <v>314.95999999999998</v>
      </c>
      <c r="L1508">
        <v>9.9600000000000009</v>
      </c>
      <c r="M1508" t="s">
        <v>406</v>
      </c>
      <c r="N1508">
        <v>33</v>
      </c>
      <c r="S1508">
        <v>1.3</v>
      </c>
      <c r="AA1508">
        <v>0</v>
      </c>
      <c r="AJ1508" t="s">
        <v>164</v>
      </c>
      <c r="AK1508" t="s">
        <v>9651</v>
      </c>
      <c r="AL1508">
        <v>38.18</v>
      </c>
      <c r="AM1508">
        <v>38.18</v>
      </c>
      <c r="AN1508">
        <v>0</v>
      </c>
      <c r="AR1508" t="s">
        <v>4237</v>
      </c>
      <c r="AS1508" t="s">
        <v>4539</v>
      </c>
      <c r="AT1508" t="s">
        <v>4539</v>
      </c>
      <c r="AU1508" t="s">
        <v>580</v>
      </c>
      <c r="AV1508" t="s">
        <v>580</v>
      </c>
      <c r="AW1508" t="s">
        <v>3388</v>
      </c>
      <c r="AX1508" t="s">
        <v>497</v>
      </c>
      <c r="AY1508" t="s">
        <v>3388</v>
      </c>
      <c r="AZ1508" t="s">
        <v>497</v>
      </c>
      <c r="BB1508">
        <v>135.25</v>
      </c>
      <c r="BC1508">
        <v>0</v>
      </c>
      <c r="BD1508">
        <v>9.9600000000000009</v>
      </c>
      <c r="BE1508">
        <v>9.9700000000000006</v>
      </c>
      <c r="BF1508">
        <v>9.9700000000000006</v>
      </c>
      <c r="BG1508" t="s">
        <v>17789</v>
      </c>
      <c r="BH1508" t="s">
        <v>3388</v>
      </c>
      <c r="BI1508" t="s">
        <v>497</v>
      </c>
      <c r="BJ1508" t="s">
        <v>101</v>
      </c>
      <c r="BN1508" t="s">
        <v>14623</v>
      </c>
    </row>
    <row r="1509" spans="1:66" x14ac:dyDescent="0.25">
      <c r="A1509" t="str">
        <f>HYPERLINK("https://elite.finviz.com/quote.ashx?t=CALX&amp;ty=c&amp;p=d&amp;b=1", "CALX")</f>
        <v>CALX</v>
      </c>
      <c r="B1509">
        <v>6</v>
      </c>
      <c r="C1509">
        <v>127.03</v>
      </c>
      <c r="D1509">
        <v>52.46</v>
      </c>
      <c r="E1509" t="s">
        <v>17790</v>
      </c>
      <c r="F1509" t="s">
        <v>67</v>
      </c>
      <c r="G1509" t="s">
        <v>108</v>
      </c>
      <c r="H1509" t="s">
        <v>109</v>
      </c>
      <c r="I1509" t="s">
        <v>70</v>
      </c>
      <c r="J1509" t="s">
        <v>71</v>
      </c>
      <c r="K1509">
        <v>3996.27</v>
      </c>
      <c r="L1509">
        <v>61.19</v>
      </c>
      <c r="M1509" t="s">
        <v>1564</v>
      </c>
      <c r="N1509">
        <v>32718</v>
      </c>
      <c r="P1509">
        <v>36.74</v>
      </c>
      <c r="R1509">
        <v>4.5999999999999996</v>
      </c>
      <c r="S1509">
        <v>5.17</v>
      </c>
      <c r="AA1509">
        <v>-0.41</v>
      </c>
      <c r="AC1509" t="s">
        <v>3091</v>
      </c>
      <c r="AD1509" t="s">
        <v>17791</v>
      </c>
      <c r="AE1509" t="s">
        <v>4397</v>
      </c>
      <c r="AF1509" t="s">
        <v>12450</v>
      </c>
      <c r="AG1509" t="s">
        <v>2867</v>
      </c>
      <c r="AH1509" t="s">
        <v>8580</v>
      </c>
      <c r="AI1509" t="s">
        <v>12524</v>
      </c>
      <c r="AJ1509" t="s">
        <v>16540</v>
      </c>
      <c r="AK1509" t="s">
        <v>8905</v>
      </c>
      <c r="AL1509">
        <v>4.55</v>
      </c>
      <c r="AM1509">
        <v>3.65</v>
      </c>
      <c r="AN1509">
        <v>0.01</v>
      </c>
      <c r="AO1509" t="s">
        <v>13215</v>
      </c>
      <c r="AP1509" t="s">
        <v>5621</v>
      </c>
      <c r="AQ1509" t="s">
        <v>10262</v>
      </c>
      <c r="AR1509" t="s">
        <v>5121</v>
      </c>
      <c r="AS1509" t="s">
        <v>4547</v>
      </c>
      <c r="AT1509" t="s">
        <v>6194</v>
      </c>
      <c r="AU1509" t="s">
        <v>1981</v>
      </c>
      <c r="AV1509" t="s">
        <v>14088</v>
      </c>
      <c r="AW1509" t="s">
        <v>5246</v>
      </c>
      <c r="AX1509" t="s">
        <v>7684</v>
      </c>
      <c r="AY1509" t="s">
        <v>5246</v>
      </c>
      <c r="AZ1509" t="s">
        <v>17792</v>
      </c>
      <c r="BA1509">
        <v>1.56</v>
      </c>
      <c r="BB1509">
        <v>689.23</v>
      </c>
      <c r="BC1509">
        <v>0.17</v>
      </c>
      <c r="BD1509">
        <v>61.43</v>
      </c>
      <c r="BE1509">
        <v>61.75</v>
      </c>
      <c r="BF1509">
        <v>61.03</v>
      </c>
      <c r="BG1509" t="s">
        <v>17793</v>
      </c>
      <c r="BH1509" t="s">
        <v>14439</v>
      </c>
      <c r="BI1509" t="s">
        <v>17794</v>
      </c>
      <c r="BJ1509" t="s">
        <v>101</v>
      </c>
      <c r="BK1509" t="s">
        <v>11036</v>
      </c>
      <c r="BL1509" t="s">
        <v>17795</v>
      </c>
      <c r="BM1509" t="s">
        <v>17796</v>
      </c>
      <c r="BN1509" t="s">
        <v>14623</v>
      </c>
    </row>
    <row r="1510" spans="1:66" x14ac:dyDescent="0.25">
      <c r="A1510" t="str">
        <f>HYPERLINK("https://elite.finviz.com/quote.ashx?t=NTRB&amp;ty=c&amp;p=d&amp;b=1", "NTRB")</f>
        <v>NTRB</v>
      </c>
      <c r="B1510">
        <v>6</v>
      </c>
      <c r="C1510">
        <v>127.03</v>
      </c>
      <c r="D1510">
        <v>52.49</v>
      </c>
      <c r="E1510" t="s">
        <v>17797</v>
      </c>
      <c r="F1510" t="s">
        <v>107</v>
      </c>
      <c r="G1510" t="s">
        <v>428</v>
      </c>
      <c r="H1510" t="s">
        <v>429</v>
      </c>
      <c r="I1510" t="s">
        <v>70</v>
      </c>
      <c r="J1510" t="s">
        <v>321</v>
      </c>
      <c r="K1510">
        <v>84.61</v>
      </c>
      <c r="L1510">
        <v>7.03</v>
      </c>
      <c r="M1510" t="s">
        <v>1119</v>
      </c>
      <c r="N1510">
        <v>7215</v>
      </c>
      <c r="R1510">
        <v>32.79</v>
      </c>
      <c r="S1510">
        <v>9.9499999999999993</v>
      </c>
      <c r="AA1510">
        <v>-2.87</v>
      </c>
      <c r="AB1510" t="s">
        <v>4635</v>
      </c>
      <c r="AC1510" t="s">
        <v>17798</v>
      </c>
      <c r="AE1510" t="s">
        <v>9986</v>
      </c>
      <c r="AF1510" t="s">
        <v>2722</v>
      </c>
      <c r="AG1510" t="s">
        <v>17799</v>
      </c>
      <c r="AH1510" t="s">
        <v>17800</v>
      </c>
      <c r="AI1510" t="s">
        <v>164</v>
      </c>
      <c r="AJ1510" t="s">
        <v>164</v>
      </c>
      <c r="AK1510" t="s">
        <v>2892</v>
      </c>
      <c r="AL1510">
        <v>4.78</v>
      </c>
      <c r="AM1510">
        <v>4.7</v>
      </c>
      <c r="AN1510">
        <v>0.03</v>
      </c>
      <c r="AO1510" t="s">
        <v>11448</v>
      </c>
      <c r="AP1510" t="s">
        <v>17801</v>
      </c>
      <c r="AQ1510" t="s">
        <v>17802</v>
      </c>
      <c r="AR1510" t="s">
        <v>1310</v>
      </c>
      <c r="AS1510" t="s">
        <v>699</v>
      </c>
      <c r="AT1510" t="s">
        <v>5164</v>
      </c>
      <c r="AU1510" t="s">
        <v>227</v>
      </c>
      <c r="AV1510" t="s">
        <v>10425</v>
      </c>
      <c r="AW1510" t="s">
        <v>4831</v>
      </c>
      <c r="AX1510" t="s">
        <v>10851</v>
      </c>
      <c r="AY1510" t="s">
        <v>14409</v>
      </c>
      <c r="AZ1510" t="s">
        <v>17803</v>
      </c>
      <c r="BA1510">
        <v>1</v>
      </c>
      <c r="BB1510">
        <v>116.57</v>
      </c>
      <c r="BC1510">
        <v>0.22</v>
      </c>
      <c r="BD1510">
        <v>7.17</v>
      </c>
      <c r="BE1510">
        <v>7.23</v>
      </c>
      <c r="BF1510">
        <v>7</v>
      </c>
      <c r="BG1510" t="s">
        <v>17804</v>
      </c>
      <c r="BH1510" t="s">
        <v>17805</v>
      </c>
      <c r="BI1510" t="s">
        <v>17806</v>
      </c>
      <c r="BJ1510" t="s">
        <v>101</v>
      </c>
      <c r="BK1510" t="s">
        <v>388</v>
      </c>
      <c r="BL1510" t="s">
        <v>7010</v>
      </c>
      <c r="BM1510" t="s">
        <v>2385</v>
      </c>
      <c r="BN1510" t="s">
        <v>14623</v>
      </c>
    </row>
    <row r="1511" spans="1:66" x14ac:dyDescent="0.25">
      <c r="A1511" t="str">
        <f>HYPERLINK("https://elite.finviz.com/quote.ashx?t=MSCI&amp;ty=c&amp;p=d&amp;b=1", "MSCI")</f>
        <v>MSCI</v>
      </c>
      <c r="B1511">
        <v>6</v>
      </c>
      <c r="C1511">
        <v>127.03</v>
      </c>
      <c r="D1511">
        <v>52.5</v>
      </c>
      <c r="E1511" t="s">
        <v>17807</v>
      </c>
      <c r="F1511" t="s">
        <v>195</v>
      </c>
      <c r="G1511" t="s">
        <v>550</v>
      </c>
      <c r="H1511" t="s">
        <v>16129</v>
      </c>
      <c r="I1511" t="s">
        <v>70</v>
      </c>
      <c r="J1511" t="s">
        <v>71</v>
      </c>
      <c r="K1511">
        <v>44201.47</v>
      </c>
      <c r="L1511">
        <v>571.34</v>
      </c>
      <c r="M1511" t="s">
        <v>102</v>
      </c>
      <c r="N1511">
        <v>76840</v>
      </c>
      <c r="O1511">
        <v>37.85</v>
      </c>
      <c r="P1511">
        <v>29.83</v>
      </c>
      <c r="Q1511">
        <v>3.13</v>
      </c>
      <c r="R1511">
        <v>14.8</v>
      </c>
      <c r="T1511" t="s">
        <v>5692</v>
      </c>
      <c r="U1511">
        <v>7</v>
      </c>
      <c r="V1511" t="s">
        <v>3046</v>
      </c>
      <c r="W1511" t="s">
        <v>874</v>
      </c>
      <c r="X1511" t="s">
        <v>17808</v>
      </c>
      <c r="Y1511" t="s">
        <v>14660</v>
      </c>
      <c r="Z1511" t="s">
        <v>16730</v>
      </c>
      <c r="AA1511">
        <v>15.09</v>
      </c>
      <c r="AB1511" t="s">
        <v>1005</v>
      </c>
      <c r="AC1511" t="s">
        <v>7192</v>
      </c>
      <c r="AD1511" t="s">
        <v>231</v>
      </c>
      <c r="AE1511" t="s">
        <v>3505</v>
      </c>
      <c r="AF1511" t="s">
        <v>3188</v>
      </c>
      <c r="AG1511" t="s">
        <v>1369</v>
      </c>
      <c r="AH1511" t="s">
        <v>1078</v>
      </c>
      <c r="AI1511" t="s">
        <v>6842</v>
      </c>
      <c r="AJ1511" t="s">
        <v>2638</v>
      </c>
      <c r="AK1511" t="s">
        <v>17809</v>
      </c>
      <c r="AL1511">
        <v>0.86</v>
      </c>
      <c r="AM1511">
        <v>0.86</v>
      </c>
      <c r="AO1511" t="s">
        <v>17810</v>
      </c>
      <c r="AP1511" t="s">
        <v>4603</v>
      </c>
      <c r="AQ1511" t="s">
        <v>8936</v>
      </c>
      <c r="AR1511" t="s">
        <v>6990</v>
      </c>
      <c r="AS1511" t="s">
        <v>206</v>
      </c>
      <c r="AT1511" t="s">
        <v>3169</v>
      </c>
      <c r="AU1511" t="s">
        <v>6990</v>
      </c>
      <c r="AV1511" t="s">
        <v>2880</v>
      </c>
      <c r="AW1511" t="s">
        <v>5195</v>
      </c>
      <c r="AX1511" t="s">
        <v>11728</v>
      </c>
      <c r="AY1511" t="s">
        <v>4647</v>
      </c>
      <c r="AZ1511" t="s">
        <v>9972</v>
      </c>
      <c r="BA1511">
        <v>1.81</v>
      </c>
      <c r="BB1511">
        <v>758.88</v>
      </c>
      <c r="BC1511">
        <v>0.36</v>
      </c>
      <c r="BD1511">
        <v>564.66</v>
      </c>
      <c r="BE1511">
        <v>572.22</v>
      </c>
      <c r="BF1511">
        <v>565.36</v>
      </c>
      <c r="BG1511" t="s">
        <v>17811</v>
      </c>
      <c r="BH1511" t="s">
        <v>11427</v>
      </c>
      <c r="BI1511" t="s">
        <v>17812</v>
      </c>
      <c r="BJ1511" t="s">
        <v>101</v>
      </c>
      <c r="BK1511" t="s">
        <v>2694</v>
      </c>
      <c r="BL1511" t="s">
        <v>5055</v>
      </c>
      <c r="BM1511" t="s">
        <v>2609</v>
      </c>
      <c r="BN1511" t="s">
        <v>14623</v>
      </c>
    </row>
    <row r="1512" spans="1:66" x14ac:dyDescent="0.25">
      <c r="A1512" t="str">
        <f>HYPERLINK("https://elite.finviz.com/quote.ashx?t=RGEN&amp;ty=c&amp;p=d&amp;b=1", "RGEN")</f>
        <v>RGEN</v>
      </c>
      <c r="B1512">
        <v>6</v>
      </c>
      <c r="C1512">
        <v>127.03</v>
      </c>
      <c r="D1512">
        <v>52.5</v>
      </c>
      <c r="E1512" t="s">
        <v>17813</v>
      </c>
      <c r="F1512" t="s">
        <v>107</v>
      </c>
      <c r="G1512" t="s">
        <v>428</v>
      </c>
      <c r="H1512" t="s">
        <v>2161</v>
      </c>
      <c r="I1512" t="s">
        <v>70</v>
      </c>
      <c r="J1512" t="s">
        <v>321</v>
      </c>
      <c r="K1512">
        <v>6915.47</v>
      </c>
      <c r="L1512">
        <v>122.93</v>
      </c>
      <c r="M1512" t="s">
        <v>5577</v>
      </c>
      <c r="N1512">
        <v>115481</v>
      </c>
      <c r="P1512">
        <v>56.03</v>
      </c>
      <c r="R1512">
        <v>10.26</v>
      </c>
      <c r="S1512">
        <v>3.35</v>
      </c>
      <c r="AA1512">
        <v>-0.25</v>
      </c>
      <c r="AD1512" t="s">
        <v>6903</v>
      </c>
      <c r="AE1512" t="s">
        <v>7858</v>
      </c>
      <c r="AF1512" t="s">
        <v>6533</v>
      </c>
      <c r="AG1512" t="s">
        <v>1085</v>
      </c>
      <c r="AH1512" t="s">
        <v>15086</v>
      </c>
      <c r="AI1512" t="s">
        <v>5742</v>
      </c>
      <c r="AJ1512" t="s">
        <v>1413</v>
      </c>
      <c r="AK1512" t="s">
        <v>17814</v>
      </c>
      <c r="AL1512">
        <v>8.59</v>
      </c>
      <c r="AM1512">
        <v>7.32</v>
      </c>
      <c r="AN1512">
        <v>0.33</v>
      </c>
      <c r="AO1512" t="s">
        <v>17815</v>
      </c>
      <c r="AP1512" t="s">
        <v>2647</v>
      </c>
      <c r="AQ1512" t="s">
        <v>1180</v>
      </c>
      <c r="AR1512" t="s">
        <v>8013</v>
      </c>
      <c r="AS1512" t="s">
        <v>3481</v>
      </c>
      <c r="AT1512" t="s">
        <v>1952</v>
      </c>
      <c r="AU1512" t="s">
        <v>4710</v>
      </c>
      <c r="AV1512" t="s">
        <v>2632</v>
      </c>
      <c r="AW1512" t="s">
        <v>972</v>
      </c>
      <c r="AX1512" t="s">
        <v>5788</v>
      </c>
      <c r="AY1512" t="s">
        <v>17816</v>
      </c>
      <c r="AZ1512" t="s">
        <v>4331</v>
      </c>
      <c r="BA1512">
        <v>1.46</v>
      </c>
      <c r="BB1512">
        <v>824.44</v>
      </c>
      <c r="BC1512">
        <v>0.49</v>
      </c>
      <c r="BD1512">
        <v>121.68</v>
      </c>
      <c r="BE1512">
        <v>124.11</v>
      </c>
      <c r="BF1512">
        <v>121.99</v>
      </c>
      <c r="BG1512" t="s">
        <v>17817</v>
      </c>
      <c r="BH1512" t="s">
        <v>9182</v>
      </c>
      <c r="BI1512" t="s">
        <v>17818</v>
      </c>
      <c r="BJ1512" t="s">
        <v>101</v>
      </c>
      <c r="BK1512" t="s">
        <v>4809</v>
      </c>
      <c r="BL1512" t="s">
        <v>601</v>
      </c>
      <c r="BM1512" t="s">
        <v>374</v>
      </c>
      <c r="BN1512" t="s">
        <v>14623</v>
      </c>
    </row>
    <row r="1513" spans="1:66" x14ac:dyDescent="0.25">
      <c r="A1513" t="str">
        <f>HYPERLINK("https://elite.finviz.com/quote.ashx?t=GYRO&amp;ty=c&amp;p=d&amp;b=1", "GYRO")</f>
        <v>GYRO</v>
      </c>
      <c r="B1513">
        <v>6</v>
      </c>
      <c r="C1513">
        <v>127.03</v>
      </c>
      <c r="D1513">
        <v>52.51</v>
      </c>
      <c r="E1513" t="s">
        <v>17819</v>
      </c>
      <c r="F1513" t="s">
        <v>107</v>
      </c>
      <c r="G1513" t="s">
        <v>68</v>
      </c>
      <c r="H1513" t="s">
        <v>7494</v>
      </c>
      <c r="I1513" t="s">
        <v>70</v>
      </c>
      <c r="J1513" t="s">
        <v>321</v>
      </c>
      <c r="K1513">
        <v>22.19</v>
      </c>
      <c r="L1513">
        <v>10.09</v>
      </c>
      <c r="M1513" t="s">
        <v>2868</v>
      </c>
      <c r="N1513">
        <v>2305</v>
      </c>
      <c r="V1513" t="s">
        <v>17820</v>
      </c>
      <c r="AJ1513" t="s">
        <v>1358</v>
      </c>
      <c r="AK1513" t="s">
        <v>7344</v>
      </c>
      <c r="AR1513" t="s">
        <v>4873</v>
      </c>
      <c r="AS1513" t="s">
        <v>4323</v>
      </c>
      <c r="AT1513" t="s">
        <v>1083</v>
      </c>
      <c r="AU1513" t="s">
        <v>2419</v>
      </c>
      <c r="AV1513" t="s">
        <v>7575</v>
      </c>
      <c r="AW1513" t="s">
        <v>16988</v>
      </c>
      <c r="AX1513" t="s">
        <v>112</v>
      </c>
      <c r="AY1513" t="s">
        <v>16988</v>
      </c>
      <c r="AZ1513" t="s">
        <v>5297</v>
      </c>
      <c r="BB1513">
        <v>9.44</v>
      </c>
      <c r="BC1513">
        <v>0.87</v>
      </c>
      <c r="BD1513">
        <v>9.8699999999999992</v>
      </c>
      <c r="BE1513">
        <v>9.85</v>
      </c>
      <c r="BF1513">
        <v>9.85</v>
      </c>
      <c r="BG1513" t="s">
        <v>17821</v>
      </c>
      <c r="BH1513" t="s">
        <v>17822</v>
      </c>
      <c r="BI1513" t="s">
        <v>17823</v>
      </c>
      <c r="BJ1513" t="s">
        <v>101</v>
      </c>
      <c r="BK1513" t="s">
        <v>8212</v>
      </c>
      <c r="BL1513" t="s">
        <v>1928</v>
      </c>
      <c r="BM1513" t="s">
        <v>435</v>
      </c>
      <c r="BN1513" t="s">
        <v>14623</v>
      </c>
    </row>
    <row r="1514" spans="1:66" x14ac:dyDescent="0.25">
      <c r="A1514" t="str">
        <f>HYPERLINK("https://elite.finviz.com/quote.ashx?t=GDOT&amp;ty=c&amp;p=d&amp;b=1", "GDOT")</f>
        <v>GDOT</v>
      </c>
      <c r="B1514">
        <v>6</v>
      </c>
      <c r="C1514">
        <v>127.03</v>
      </c>
      <c r="D1514">
        <v>52.52</v>
      </c>
      <c r="E1514" t="s">
        <v>17824</v>
      </c>
      <c r="F1514" t="s">
        <v>67</v>
      </c>
      <c r="G1514" t="s">
        <v>550</v>
      </c>
      <c r="H1514" t="s">
        <v>3744</v>
      </c>
      <c r="I1514" t="s">
        <v>70</v>
      </c>
      <c r="J1514" t="s">
        <v>71</v>
      </c>
      <c r="K1514">
        <v>777.98</v>
      </c>
      <c r="L1514">
        <v>14.04</v>
      </c>
      <c r="M1514" t="s">
        <v>14331</v>
      </c>
      <c r="N1514">
        <v>116450</v>
      </c>
      <c r="P1514">
        <v>9.43</v>
      </c>
      <c r="R1514">
        <v>0.4</v>
      </c>
      <c r="S1514">
        <v>0.84</v>
      </c>
      <c r="AA1514">
        <v>-0.44</v>
      </c>
      <c r="AE1514" t="s">
        <v>6022</v>
      </c>
      <c r="AF1514" t="s">
        <v>713</v>
      </c>
      <c r="AG1514" t="s">
        <v>2237</v>
      </c>
      <c r="AH1514" t="s">
        <v>13137</v>
      </c>
      <c r="AI1514" t="s">
        <v>1389</v>
      </c>
      <c r="AJ1514" t="s">
        <v>1938</v>
      </c>
      <c r="AK1514" t="s">
        <v>17825</v>
      </c>
      <c r="AL1514">
        <v>0.69</v>
      </c>
      <c r="AM1514">
        <v>0.69</v>
      </c>
      <c r="AN1514">
        <v>0.08</v>
      </c>
      <c r="AO1514" t="s">
        <v>12556</v>
      </c>
      <c r="AP1514" t="s">
        <v>169</v>
      </c>
      <c r="AQ1514" t="s">
        <v>11260</v>
      </c>
      <c r="AR1514" t="s">
        <v>6419</v>
      </c>
      <c r="AS1514" t="s">
        <v>5467</v>
      </c>
      <c r="AT1514" t="s">
        <v>9084</v>
      </c>
      <c r="AU1514" t="s">
        <v>1935</v>
      </c>
      <c r="AV1514" t="s">
        <v>10348</v>
      </c>
      <c r="AW1514" t="s">
        <v>4692</v>
      </c>
      <c r="AX1514" t="s">
        <v>610</v>
      </c>
      <c r="AY1514" t="s">
        <v>4692</v>
      </c>
      <c r="AZ1514" t="s">
        <v>17826</v>
      </c>
      <c r="BA1514">
        <v>1.67</v>
      </c>
      <c r="BB1514">
        <v>795.59</v>
      </c>
      <c r="BC1514">
        <v>0.52</v>
      </c>
      <c r="BD1514">
        <v>14.34</v>
      </c>
      <c r="BE1514">
        <v>14.6</v>
      </c>
      <c r="BF1514">
        <v>14.04</v>
      </c>
      <c r="BG1514" t="s">
        <v>17827</v>
      </c>
      <c r="BH1514" t="s">
        <v>17828</v>
      </c>
      <c r="BI1514" t="s">
        <v>17826</v>
      </c>
      <c r="BJ1514" t="s">
        <v>101</v>
      </c>
      <c r="BK1514" t="s">
        <v>12635</v>
      </c>
      <c r="BL1514" t="s">
        <v>7191</v>
      </c>
      <c r="BM1514" t="s">
        <v>14050</v>
      </c>
      <c r="BN1514" t="s">
        <v>14623</v>
      </c>
    </row>
    <row r="1515" spans="1:66" x14ac:dyDescent="0.25">
      <c r="A1515" t="str">
        <f>HYPERLINK("https://elite.finviz.com/quote.ashx?t=WABC&amp;ty=c&amp;p=d&amp;b=1", "WABC")</f>
        <v>WABC</v>
      </c>
      <c r="B1515">
        <v>6</v>
      </c>
      <c r="C1515">
        <v>127.03</v>
      </c>
      <c r="D1515">
        <v>52.6</v>
      </c>
      <c r="E1515" t="s">
        <v>17829</v>
      </c>
      <c r="F1515" t="s">
        <v>67</v>
      </c>
      <c r="G1515" t="s">
        <v>550</v>
      </c>
      <c r="H1515" t="s">
        <v>697</v>
      </c>
      <c r="I1515" t="s">
        <v>70</v>
      </c>
      <c r="J1515" t="s">
        <v>321</v>
      </c>
      <c r="K1515">
        <v>1262.02</v>
      </c>
      <c r="L1515">
        <v>49.56</v>
      </c>
      <c r="M1515" t="s">
        <v>2468</v>
      </c>
      <c r="N1515">
        <v>17986</v>
      </c>
      <c r="O1515">
        <v>10.35</v>
      </c>
      <c r="P1515">
        <v>12.19</v>
      </c>
      <c r="R1515">
        <v>4.3499999999999996</v>
      </c>
      <c r="S1515">
        <v>1.38</v>
      </c>
      <c r="T1515" t="s">
        <v>9130</v>
      </c>
      <c r="U1515">
        <v>1.8</v>
      </c>
      <c r="V1515" t="s">
        <v>4827</v>
      </c>
      <c r="W1515" t="s">
        <v>180</v>
      </c>
      <c r="X1515" t="s">
        <v>3916</v>
      </c>
      <c r="Y1515" t="s">
        <v>9136</v>
      </c>
      <c r="Z1515" t="s">
        <v>17830</v>
      </c>
      <c r="AA1515">
        <v>4.79</v>
      </c>
      <c r="AB1515" t="s">
        <v>11525</v>
      </c>
      <c r="AC1515" t="s">
        <v>3327</v>
      </c>
      <c r="AE1515" t="s">
        <v>7543</v>
      </c>
      <c r="AF1515" t="s">
        <v>17831</v>
      </c>
      <c r="AG1515" t="s">
        <v>848</v>
      </c>
      <c r="AH1515" t="s">
        <v>3725</v>
      </c>
      <c r="AI1515" t="s">
        <v>585</v>
      </c>
      <c r="AJ1515" t="s">
        <v>2213</v>
      </c>
      <c r="AK1515" t="s">
        <v>17832</v>
      </c>
      <c r="AL1515">
        <v>0.28999999999999998</v>
      </c>
      <c r="AN1515">
        <v>0.13</v>
      </c>
      <c r="AP1515" t="s">
        <v>17833</v>
      </c>
      <c r="AQ1515" t="s">
        <v>17834</v>
      </c>
      <c r="AR1515" t="s">
        <v>1760</v>
      </c>
      <c r="AS1515" t="s">
        <v>5258</v>
      </c>
      <c r="AT1515" t="s">
        <v>4623</v>
      </c>
      <c r="AU1515" t="s">
        <v>3493</v>
      </c>
      <c r="AV1515" t="s">
        <v>1358</v>
      </c>
      <c r="AW1515" t="s">
        <v>13745</v>
      </c>
      <c r="AX1515" t="s">
        <v>5455</v>
      </c>
      <c r="AY1515" t="s">
        <v>1622</v>
      </c>
      <c r="AZ1515" t="s">
        <v>1643</v>
      </c>
      <c r="BA1515">
        <v>3</v>
      </c>
      <c r="BB1515">
        <v>140.69</v>
      </c>
      <c r="BC1515">
        <v>0.45</v>
      </c>
      <c r="BD1515">
        <v>49.67</v>
      </c>
      <c r="BE1515">
        <v>50.15</v>
      </c>
      <c r="BF1515">
        <v>49.7</v>
      </c>
      <c r="BG1515" t="s">
        <v>17835</v>
      </c>
      <c r="BH1515" t="s">
        <v>13268</v>
      </c>
      <c r="BI1515" t="s">
        <v>17836</v>
      </c>
      <c r="BJ1515" t="s">
        <v>101</v>
      </c>
      <c r="BK1515" t="s">
        <v>6151</v>
      </c>
      <c r="BL1515" t="s">
        <v>5120</v>
      </c>
      <c r="BM1515" t="s">
        <v>4273</v>
      </c>
      <c r="BN1515" t="s">
        <v>14623</v>
      </c>
    </row>
    <row r="1516" spans="1:66" x14ac:dyDescent="0.25">
      <c r="A1516" t="str">
        <f>HYPERLINK("https://elite.finviz.com/quote.ashx?t=PNTG&amp;ty=c&amp;p=d&amp;b=1", "PNTG")</f>
        <v>PNTG</v>
      </c>
      <c r="B1516">
        <v>6</v>
      </c>
      <c r="C1516">
        <v>127.03</v>
      </c>
      <c r="D1516">
        <v>52.61</v>
      </c>
      <c r="E1516" t="s">
        <v>17837</v>
      </c>
      <c r="F1516" t="s">
        <v>67</v>
      </c>
      <c r="G1516" t="s">
        <v>428</v>
      </c>
      <c r="H1516" t="s">
        <v>3160</v>
      </c>
      <c r="I1516" t="s">
        <v>70</v>
      </c>
      <c r="J1516" t="s">
        <v>321</v>
      </c>
      <c r="K1516">
        <v>862.63</v>
      </c>
      <c r="L1516">
        <v>24.96</v>
      </c>
      <c r="M1516" t="s">
        <v>2082</v>
      </c>
      <c r="N1516">
        <v>41869</v>
      </c>
      <c r="O1516">
        <v>31.92</v>
      </c>
      <c r="P1516">
        <v>19.3</v>
      </c>
      <c r="Q1516">
        <v>1.82</v>
      </c>
      <c r="R1516">
        <v>1.08</v>
      </c>
      <c r="S1516">
        <v>2.75</v>
      </c>
      <c r="Z1516" t="s">
        <v>164</v>
      </c>
      <c r="AA1516">
        <v>0.78</v>
      </c>
      <c r="AB1516" t="s">
        <v>9247</v>
      </c>
      <c r="AC1516" t="s">
        <v>8909</v>
      </c>
      <c r="AD1516" t="s">
        <v>4807</v>
      </c>
      <c r="AE1516" t="s">
        <v>12618</v>
      </c>
      <c r="AF1516" t="s">
        <v>2963</v>
      </c>
      <c r="AG1516" t="s">
        <v>6497</v>
      </c>
      <c r="AH1516" t="s">
        <v>17838</v>
      </c>
      <c r="AI1516" t="s">
        <v>164</v>
      </c>
      <c r="AJ1516" t="s">
        <v>4963</v>
      </c>
      <c r="AK1516" t="s">
        <v>17839</v>
      </c>
      <c r="AL1516">
        <v>1.21</v>
      </c>
      <c r="AM1516">
        <v>1.21</v>
      </c>
      <c r="AN1516">
        <v>1</v>
      </c>
      <c r="AO1516" t="s">
        <v>3798</v>
      </c>
      <c r="AP1516" t="s">
        <v>2205</v>
      </c>
      <c r="AQ1516" t="s">
        <v>3542</v>
      </c>
      <c r="AR1516" t="s">
        <v>2356</v>
      </c>
      <c r="AS1516" t="s">
        <v>5187</v>
      </c>
      <c r="AT1516" t="s">
        <v>6478</v>
      </c>
      <c r="AU1516" t="s">
        <v>2146</v>
      </c>
      <c r="AV1516" t="s">
        <v>2288</v>
      </c>
      <c r="AW1516" t="s">
        <v>3431</v>
      </c>
      <c r="AX1516" t="s">
        <v>4295</v>
      </c>
      <c r="AY1516" t="s">
        <v>9040</v>
      </c>
      <c r="AZ1516" t="s">
        <v>7217</v>
      </c>
      <c r="BA1516">
        <v>1.8</v>
      </c>
      <c r="BB1516">
        <v>366.67</v>
      </c>
      <c r="BC1516">
        <v>0.4</v>
      </c>
      <c r="BD1516">
        <v>24.55</v>
      </c>
      <c r="BE1516">
        <v>24.95</v>
      </c>
      <c r="BF1516">
        <v>24.3</v>
      </c>
      <c r="BG1516" t="s">
        <v>17840</v>
      </c>
      <c r="BH1516" t="s">
        <v>17841</v>
      </c>
      <c r="BI1516" t="s">
        <v>17842</v>
      </c>
      <c r="BJ1516" t="s">
        <v>101</v>
      </c>
      <c r="BK1516" t="s">
        <v>16448</v>
      </c>
      <c r="BL1516" t="s">
        <v>6597</v>
      </c>
      <c r="BM1516" t="s">
        <v>17843</v>
      </c>
      <c r="BN1516" t="s">
        <v>14623</v>
      </c>
    </row>
    <row r="1517" spans="1:66" x14ac:dyDescent="0.25">
      <c r="A1517" t="str">
        <f>HYPERLINK("https://elite.finviz.com/quote.ashx?t=AREN&amp;ty=c&amp;p=d&amp;b=1", "AREN")</f>
        <v>AREN</v>
      </c>
      <c r="B1517">
        <v>6</v>
      </c>
      <c r="C1517">
        <v>127.03</v>
      </c>
      <c r="D1517">
        <v>52.61</v>
      </c>
      <c r="E1517" t="s">
        <v>17844</v>
      </c>
      <c r="F1517" t="s">
        <v>67</v>
      </c>
      <c r="G1517" t="s">
        <v>598</v>
      </c>
      <c r="H1517" t="s">
        <v>599</v>
      </c>
      <c r="I1517" t="s">
        <v>70</v>
      </c>
      <c r="J1517" t="s">
        <v>383</v>
      </c>
      <c r="K1517">
        <v>301.64999999999998</v>
      </c>
      <c r="L1517">
        <v>6.36</v>
      </c>
      <c r="M1517" t="s">
        <v>6204</v>
      </c>
      <c r="N1517">
        <v>20580</v>
      </c>
      <c r="O1517">
        <v>2.4300000000000002</v>
      </c>
      <c r="P1517">
        <v>6.98</v>
      </c>
      <c r="R1517">
        <v>2.06</v>
      </c>
      <c r="AA1517">
        <v>2.62</v>
      </c>
      <c r="AB1517" t="s">
        <v>2972</v>
      </c>
      <c r="AC1517" t="s">
        <v>11802</v>
      </c>
      <c r="AE1517" t="s">
        <v>17845</v>
      </c>
      <c r="AF1517" t="s">
        <v>14579</v>
      </c>
      <c r="AG1517" t="s">
        <v>9483</v>
      </c>
      <c r="AH1517" t="s">
        <v>17846</v>
      </c>
      <c r="AI1517" t="s">
        <v>4080</v>
      </c>
      <c r="AJ1517" t="s">
        <v>164</v>
      </c>
      <c r="AK1517" t="s">
        <v>2653</v>
      </c>
      <c r="AL1517">
        <v>1.82</v>
      </c>
      <c r="AM1517">
        <v>1.82</v>
      </c>
      <c r="AO1517" t="s">
        <v>4477</v>
      </c>
      <c r="AP1517" t="s">
        <v>2972</v>
      </c>
      <c r="AQ1517" t="s">
        <v>15123</v>
      </c>
      <c r="AR1517" t="s">
        <v>2447</v>
      </c>
      <c r="AS1517" t="s">
        <v>5847</v>
      </c>
      <c r="AT1517" t="s">
        <v>3443</v>
      </c>
      <c r="AU1517" t="s">
        <v>6572</v>
      </c>
      <c r="AV1517" t="s">
        <v>15319</v>
      </c>
      <c r="AW1517" t="s">
        <v>12467</v>
      </c>
      <c r="AX1517" t="s">
        <v>2117</v>
      </c>
      <c r="AY1517" t="s">
        <v>17847</v>
      </c>
      <c r="AZ1517" t="s">
        <v>17848</v>
      </c>
      <c r="BA1517">
        <v>1</v>
      </c>
      <c r="BB1517">
        <v>259.04000000000002</v>
      </c>
      <c r="BC1517">
        <v>0.28000000000000003</v>
      </c>
      <c r="BD1517">
        <v>6.52</v>
      </c>
      <c r="BE1517">
        <v>6.57</v>
      </c>
      <c r="BF1517">
        <v>6.3</v>
      </c>
      <c r="BG1517" t="s">
        <v>17849</v>
      </c>
      <c r="BH1517" t="s">
        <v>17850</v>
      </c>
      <c r="BI1517" t="s">
        <v>17851</v>
      </c>
      <c r="BJ1517" t="s">
        <v>101</v>
      </c>
      <c r="BK1517" t="s">
        <v>2760</v>
      </c>
      <c r="BL1517" t="s">
        <v>17852</v>
      </c>
      <c r="BM1517" t="s">
        <v>17853</v>
      </c>
      <c r="BN1517" t="s">
        <v>14623</v>
      </c>
    </row>
    <row r="1518" spans="1:66" x14ac:dyDescent="0.25">
      <c r="A1518" t="str">
        <f>HYPERLINK("https://elite.finviz.com/quote.ashx?t=CNFR&amp;ty=c&amp;p=d&amp;b=1", "CNFR")</f>
        <v>CNFR</v>
      </c>
      <c r="B1518">
        <v>6</v>
      </c>
      <c r="C1518">
        <v>127.03</v>
      </c>
      <c r="D1518">
        <v>52.63</v>
      </c>
      <c r="E1518" t="s">
        <v>17854</v>
      </c>
      <c r="F1518" t="s">
        <v>107</v>
      </c>
      <c r="G1518" t="s">
        <v>550</v>
      </c>
      <c r="H1518" t="s">
        <v>4407</v>
      </c>
      <c r="I1518" t="s">
        <v>70</v>
      </c>
      <c r="J1518" t="s">
        <v>321</v>
      </c>
      <c r="K1518">
        <v>15.04</v>
      </c>
      <c r="L1518">
        <v>1.23</v>
      </c>
      <c r="M1518" t="s">
        <v>6127</v>
      </c>
      <c r="N1518">
        <v>13145</v>
      </c>
      <c r="O1518">
        <v>0.5</v>
      </c>
      <c r="R1518">
        <v>0.24</v>
      </c>
      <c r="S1518">
        <v>0.53</v>
      </c>
      <c r="Z1518" t="s">
        <v>164</v>
      </c>
      <c r="AA1518">
        <v>2.4500000000000002</v>
      </c>
      <c r="AE1518" t="s">
        <v>17855</v>
      </c>
      <c r="AF1518" t="s">
        <v>17856</v>
      </c>
      <c r="AG1518" t="s">
        <v>972</v>
      </c>
      <c r="AH1518" t="s">
        <v>8140</v>
      </c>
      <c r="AJ1518" t="s">
        <v>5336</v>
      </c>
      <c r="AK1518" t="s">
        <v>6770</v>
      </c>
      <c r="AL1518">
        <v>0.9</v>
      </c>
      <c r="AN1518">
        <v>0.64</v>
      </c>
      <c r="AP1518" t="s">
        <v>12504</v>
      </c>
      <c r="AQ1518" t="s">
        <v>3584</v>
      </c>
      <c r="AR1518" t="s">
        <v>4558</v>
      </c>
      <c r="AS1518" t="s">
        <v>15409</v>
      </c>
      <c r="AT1518" t="s">
        <v>229</v>
      </c>
      <c r="AU1518" t="s">
        <v>9547</v>
      </c>
      <c r="AV1518" t="s">
        <v>13650</v>
      </c>
      <c r="AW1518" t="s">
        <v>17857</v>
      </c>
      <c r="AX1518" t="s">
        <v>4196</v>
      </c>
      <c r="AY1518" t="s">
        <v>17857</v>
      </c>
      <c r="AZ1518" t="s">
        <v>17858</v>
      </c>
      <c r="BA1518">
        <v>5</v>
      </c>
      <c r="BB1518">
        <v>818.78</v>
      </c>
      <c r="BC1518">
        <v>0.06</v>
      </c>
      <c r="BD1518">
        <v>1.25</v>
      </c>
      <c r="BE1518">
        <v>1.25</v>
      </c>
      <c r="BF1518">
        <v>1.22</v>
      </c>
      <c r="BG1518" t="s">
        <v>17859</v>
      </c>
      <c r="BH1518" t="s">
        <v>17860</v>
      </c>
      <c r="BI1518" t="s">
        <v>17858</v>
      </c>
      <c r="BJ1518" t="s">
        <v>101</v>
      </c>
      <c r="BK1518" t="s">
        <v>7002</v>
      </c>
      <c r="BL1518" t="s">
        <v>12434</v>
      </c>
      <c r="BM1518" t="s">
        <v>3428</v>
      </c>
      <c r="BN1518" t="s">
        <v>14623</v>
      </c>
    </row>
    <row r="1519" spans="1:66" x14ac:dyDescent="0.25">
      <c r="A1519" t="str">
        <f>HYPERLINK("https://elite.finviz.com/quote.ashx?t=CLRO&amp;ty=c&amp;p=d&amp;b=1", "CLRO")</f>
        <v>CLRO</v>
      </c>
      <c r="B1519">
        <v>6</v>
      </c>
      <c r="C1519">
        <v>127.03</v>
      </c>
      <c r="D1519">
        <v>52.64</v>
      </c>
      <c r="E1519" t="s">
        <v>17861</v>
      </c>
      <c r="F1519" t="s">
        <v>107</v>
      </c>
      <c r="G1519" t="s">
        <v>108</v>
      </c>
      <c r="H1519" t="s">
        <v>1921</v>
      </c>
      <c r="I1519" t="s">
        <v>70</v>
      </c>
      <c r="J1519" t="s">
        <v>321</v>
      </c>
      <c r="K1519">
        <v>8.8800000000000008</v>
      </c>
      <c r="L1519">
        <v>5.12</v>
      </c>
      <c r="M1519" t="s">
        <v>3388</v>
      </c>
      <c r="N1519">
        <v>4368</v>
      </c>
      <c r="R1519">
        <v>0.92</v>
      </c>
      <c r="S1519">
        <v>0.59</v>
      </c>
      <c r="V1519" t="s">
        <v>17862</v>
      </c>
      <c r="AA1519">
        <v>-7.02</v>
      </c>
      <c r="AB1519" t="s">
        <v>273</v>
      </c>
      <c r="AC1519" t="s">
        <v>12712</v>
      </c>
      <c r="AE1519" t="s">
        <v>2964</v>
      </c>
      <c r="AF1519" t="s">
        <v>10366</v>
      </c>
      <c r="AG1519" t="s">
        <v>3917</v>
      </c>
      <c r="AH1519" t="s">
        <v>4743</v>
      </c>
      <c r="AK1519" t="s">
        <v>5497</v>
      </c>
      <c r="AL1519">
        <v>2.25</v>
      </c>
      <c r="AM1519">
        <v>1.07</v>
      </c>
      <c r="AN1519">
        <v>0.24</v>
      </c>
      <c r="AO1519" t="s">
        <v>2660</v>
      </c>
      <c r="AP1519" t="s">
        <v>17863</v>
      </c>
      <c r="AQ1519" t="s">
        <v>17864</v>
      </c>
      <c r="AR1519" t="s">
        <v>684</v>
      </c>
      <c r="AS1519" t="s">
        <v>3076</v>
      </c>
      <c r="AT1519" t="s">
        <v>5859</v>
      </c>
      <c r="AU1519" t="s">
        <v>4403</v>
      </c>
      <c r="AV1519" t="s">
        <v>17865</v>
      </c>
      <c r="AW1519" t="s">
        <v>17866</v>
      </c>
      <c r="AX1519" t="s">
        <v>14067</v>
      </c>
      <c r="AY1519" t="s">
        <v>17867</v>
      </c>
      <c r="AZ1519" t="s">
        <v>14067</v>
      </c>
      <c r="BA1519">
        <v>1</v>
      </c>
      <c r="BB1519">
        <v>699.73</v>
      </c>
      <c r="BC1519">
        <v>0.02</v>
      </c>
      <c r="BD1519">
        <v>5.14</v>
      </c>
      <c r="BE1519">
        <v>5.25</v>
      </c>
      <c r="BF1519">
        <v>5.05</v>
      </c>
      <c r="BG1519" t="s">
        <v>17868</v>
      </c>
      <c r="BH1519" t="s">
        <v>17869</v>
      </c>
      <c r="BI1519" t="s">
        <v>17870</v>
      </c>
      <c r="BJ1519" t="s">
        <v>101</v>
      </c>
      <c r="BK1519" t="s">
        <v>2616</v>
      </c>
      <c r="BL1519" t="s">
        <v>17871</v>
      </c>
      <c r="BM1519" t="s">
        <v>17872</v>
      </c>
      <c r="BN1519" t="s">
        <v>14623</v>
      </c>
    </row>
    <row r="1520" spans="1:66" x14ac:dyDescent="0.25">
      <c r="A1520" t="str">
        <f>HYPERLINK("https://elite.finviz.com/quote.ashx?t=ARDT&amp;ty=c&amp;p=d&amp;b=1", "ARDT")</f>
        <v>ARDT</v>
      </c>
      <c r="B1520">
        <v>6</v>
      </c>
      <c r="C1520">
        <v>127.03</v>
      </c>
      <c r="D1520">
        <v>52.64</v>
      </c>
      <c r="E1520" t="s">
        <v>17873</v>
      </c>
      <c r="F1520" t="s">
        <v>67</v>
      </c>
      <c r="G1520" t="s">
        <v>428</v>
      </c>
      <c r="H1520" t="s">
        <v>3160</v>
      </c>
      <c r="I1520" t="s">
        <v>70</v>
      </c>
      <c r="J1520" t="s">
        <v>71</v>
      </c>
      <c r="K1520">
        <v>1870.6</v>
      </c>
      <c r="L1520">
        <v>13.07</v>
      </c>
      <c r="M1520" t="s">
        <v>110</v>
      </c>
      <c r="N1520">
        <v>92943</v>
      </c>
      <c r="O1520">
        <v>7.29</v>
      </c>
      <c r="P1520">
        <v>6.69</v>
      </c>
      <c r="Q1520">
        <v>0.69</v>
      </c>
      <c r="R1520">
        <v>0.3</v>
      </c>
      <c r="S1520">
        <v>1.49</v>
      </c>
      <c r="Z1520" t="s">
        <v>164</v>
      </c>
      <c r="AA1520">
        <v>1.79</v>
      </c>
      <c r="AB1520" t="s">
        <v>847</v>
      </c>
      <c r="AD1520" t="s">
        <v>5738</v>
      </c>
      <c r="AE1520" t="s">
        <v>9037</v>
      </c>
      <c r="AF1520" t="s">
        <v>7010</v>
      </c>
      <c r="AG1520" t="s">
        <v>5082</v>
      </c>
      <c r="AH1520" t="s">
        <v>2819</v>
      </c>
      <c r="AI1520" t="s">
        <v>17874</v>
      </c>
      <c r="AJ1520" t="s">
        <v>164</v>
      </c>
      <c r="AK1520" t="s">
        <v>3918</v>
      </c>
      <c r="AL1520">
        <v>2.13</v>
      </c>
      <c r="AM1520">
        <v>2</v>
      </c>
      <c r="AN1520">
        <v>1.81</v>
      </c>
      <c r="AO1520" t="s">
        <v>17875</v>
      </c>
      <c r="AP1520" t="s">
        <v>8054</v>
      </c>
      <c r="AQ1520" t="s">
        <v>1981</v>
      </c>
      <c r="AR1520" t="s">
        <v>5497</v>
      </c>
      <c r="AS1520" t="s">
        <v>3205</v>
      </c>
      <c r="AT1520" t="s">
        <v>2560</v>
      </c>
      <c r="AU1520" t="s">
        <v>3126</v>
      </c>
      <c r="AV1520" t="s">
        <v>6480</v>
      </c>
      <c r="AW1520" t="s">
        <v>6783</v>
      </c>
      <c r="AX1520" t="s">
        <v>17206</v>
      </c>
      <c r="AY1520" t="s">
        <v>17876</v>
      </c>
      <c r="AZ1520" t="s">
        <v>17206</v>
      </c>
      <c r="BA1520">
        <v>1.42</v>
      </c>
      <c r="BB1520">
        <v>425.5</v>
      </c>
      <c r="BC1520">
        <v>0.77</v>
      </c>
      <c r="BD1520">
        <v>13.19</v>
      </c>
      <c r="BE1520">
        <v>13.29</v>
      </c>
      <c r="BF1520">
        <v>13.06</v>
      </c>
      <c r="BG1520" t="s">
        <v>17877</v>
      </c>
      <c r="BH1520" t="s">
        <v>17876</v>
      </c>
      <c r="BI1520" t="s">
        <v>17206</v>
      </c>
      <c r="BJ1520" t="s">
        <v>101</v>
      </c>
      <c r="BK1520" t="s">
        <v>8607</v>
      </c>
      <c r="BL1520" t="s">
        <v>3495</v>
      </c>
      <c r="BM1520" t="s">
        <v>17878</v>
      </c>
      <c r="BN1520" t="s">
        <v>14623</v>
      </c>
    </row>
    <row r="1521" spans="1:66" x14ac:dyDescent="0.25">
      <c r="A1521" t="str">
        <f>HYPERLINK("https://elite.finviz.com/quote.ashx?t=HQI&amp;ty=c&amp;p=d&amp;b=1", "HQI")</f>
        <v>HQI</v>
      </c>
      <c r="B1521">
        <v>6</v>
      </c>
      <c r="C1521">
        <v>127.03</v>
      </c>
      <c r="D1521">
        <v>52.64</v>
      </c>
      <c r="E1521" t="s">
        <v>17879</v>
      </c>
      <c r="F1521" t="s">
        <v>67</v>
      </c>
      <c r="G1521" t="s">
        <v>260</v>
      </c>
      <c r="H1521" t="s">
        <v>8693</v>
      </c>
      <c r="I1521" t="s">
        <v>70</v>
      </c>
      <c r="J1521" t="s">
        <v>321</v>
      </c>
      <c r="K1521">
        <v>140.15</v>
      </c>
      <c r="L1521">
        <v>9.94</v>
      </c>
      <c r="M1521" t="s">
        <v>2423</v>
      </c>
      <c r="N1521">
        <v>2672</v>
      </c>
      <c r="O1521">
        <v>57.62</v>
      </c>
      <c r="P1521">
        <v>19.88</v>
      </c>
      <c r="R1521">
        <v>4.3</v>
      </c>
      <c r="S1521">
        <v>2.12</v>
      </c>
      <c r="T1521" t="s">
        <v>92</v>
      </c>
      <c r="U1521">
        <v>0.24</v>
      </c>
      <c r="V1521" t="s">
        <v>4882</v>
      </c>
      <c r="W1521" t="s">
        <v>164</v>
      </c>
      <c r="X1521" t="s">
        <v>6829</v>
      </c>
      <c r="Z1521" t="s">
        <v>17880</v>
      </c>
      <c r="AA1521">
        <v>0.17</v>
      </c>
      <c r="AB1521" t="s">
        <v>14292</v>
      </c>
      <c r="AD1521" t="s">
        <v>2827</v>
      </c>
      <c r="AE1521" t="s">
        <v>11333</v>
      </c>
      <c r="AF1521" t="s">
        <v>12145</v>
      </c>
      <c r="AG1521" t="s">
        <v>10519</v>
      </c>
      <c r="AH1521" t="s">
        <v>17881</v>
      </c>
      <c r="AI1521" t="s">
        <v>2621</v>
      </c>
      <c r="AJ1521" t="s">
        <v>164</v>
      </c>
      <c r="AK1521" t="s">
        <v>10221</v>
      </c>
      <c r="AL1521">
        <v>2.23</v>
      </c>
      <c r="AM1521">
        <v>2.23</v>
      </c>
      <c r="AN1521">
        <v>7.0000000000000007E-2</v>
      </c>
      <c r="AO1521" t="s">
        <v>17882</v>
      </c>
      <c r="AP1521" t="s">
        <v>17883</v>
      </c>
      <c r="AQ1521" t="s">
        <v>8808</v>
      </c>
      <c r="AR1521" t="s">
        <v>3035</v>
      </c>
      <c r="AS1521" t="s">
        <v>1088</v>
      </c>
      <c r="AT1521" t="s">
        <v>7124</v>
      </c>
      <c r="AU1521" t="s">
        <v>2644</v>
      </c>
      <c r="AV1521" t="s">
        <v>5372</v>
      </c>
      <c r="AW1521" t="s">
        <v>2252</v>
      </c>
      <c r="AX1521" t="s">
        <v>6076</v>
      </c>
      <c r="AY1521" t="s">
        <v>17884</v>
      </c>
      <c r="AZ1521" t="s">
        <v>6076</v>
      </c>
      <c r="BA1521">
        <v>1</v>
      </c>
      <c r="BB1521">
        <v>12.07</v>
      </c>
      <c r="BC1521">
        <v>0.79</v>
      </c>
      <c r="BD1521">
        <v>9.9</v>
      </c>
      <c r="BE1521">
        <v>10</v>
      </c>
      <c r="BF1521">
        <v>9.94</v>
      </c>
      <c r="BG1521" t="s">
        <v>17885</v>
      </c>
      <c r="BH1521" t="s">
        <v>17886</v>
      </c>
      <c r="BI1521" t="s">
        <v>17887</v>
      </c>
      <c r="BJ1521" t="s">
        <v>101</v>
      </c>
      <c r="BK1521" t="s">
        <v>132</v>
      </c>
      <c r="BL1521" t="s">
        <v>17888</v>
      </c>
      <c r="BM1521" t="s">
        <v>9743</v>
      </c>
      <c r="BN1521" t="s">
        <v>14623</v>
      </c>
    </row>
    <row r="1522" spans="1:66" x14ac:dyDescent="0.25">
      <c r="A1522" t="str">
        <f>HYPERLINK("https://elite.finviz.com/quote.ashx?t=JMSB&amp;ty=c&amp;p=d&amp;b=1", "JMSB")</f>
        <v>JMSB</v>
      </c>
      <c r="B1522">
        <v>6</v>
      </c>
      <c r="C1522">
        <v>127.03</v>
      </c>
      <c r="D1522">
        <v>52.66</v>
      </c>
      <c r="E1522" t="s">
        <v>17889</v>
      </c>
      <c r="F1522" t="s">
        <v>67</v>
      </c>
      <c r="G1522" t="s">
        <v>550</v>
      </c>
      <c r="H1522" t="s">
        <v>697</v>
      </c>
      <c r="I1522" t="s">
        <v>70</v>
      </c>
      <c r="J1522" t="s">
        <v>321</v>
      </c>
      <c r="K1522">
        <v>288.79000000000002</v>
      </c>
      <c r="L1522">
        <v>20.309999999999999</v>
      </c>
      <c r="M1522" t="s">
        <v>183</v>
      </c>
      <c r="N1522">
        <v>2495</v>
      </c>
      <c r="O1522">
        <v>15.31</v>
      </c>
      <c r="R1522">
        <v>2.5499999999999998</v>
      </c>
      <c r="S1522">
        <v>1.1399999999999999</v>
      </c>
      <c r="T1522" t="s">
        <v>5116</v>
      </c>
      <c r="U1522">
        <v>0.3</v>
      </c>
      <c r="V1522" t="s">
        <v>17890</v>
      </c>
      <c r="W1522" t="s">
        <v>5539</v>
      </c>
      <c r="Z1522" t="s">
        <v>7902</v>
      </c>
      <c r="AA1522">
        <v>1.33</v>
      </c>
      <c r="AB1522" t="s">
        <v>17257</v>
      </c>
      <c r="AC1522" t="s">
        <v>6842</v>
      </c>
      <c r="AE1522" t="s">
        <v>2739</v>
      </c>
      <c r="AF1522" t="s">
        <v>14993</v>
      </c>
      <c r="AG1522" t="s">
        <v>7407</v>
      </c>
      <c r="AH1522" t="s">
        <v>911</v>
      </c>
      <c r="AI1522" t="s">
        <v>4907</v>
      </c>
      <c r="AJ1522" t="s">
        <v>6990</v>
      </c>
      <c r="AK1522" t="s">
        <v>1172</v>
      </c>
      <c r="AL1522">
        <v>0.09</v>
      </c>
      <c r="AN1522">
        <v>0.4</v>
      </c>
      <c r="AP1522" t="s">
        <v>5443</v>
      </c>
      <c r="AQ1522" t="s">
        <v>1001</v>
      </c>
      <c r="AR1522" t="s">
        <v>4945</v>
      </c>
      <c r="AS1522" t="s">
        <v>901</v>
      </c>
      <c r="AT1522" t="s">
        <v>1409</v>
      </c>
      <c r="AU1522" t="s">
        <v>4495</v>
      </c>
      <c r="AV1522" t="s">
        <v>2010</v>
      </c>
      <c r="AW1522" t="s">
        <v>402</v>
      </c>
      <c r="AX1522" t="s">
        <v>5837</v>
      </c>
      <c r="AY1522" t="s">
        <v>10323</v>
      </c>
      <c r="AZ1522" t="s">
        <v>1125</v>
      </c>
      <c r="BA1522">
        <v>1</v>
      </c>
      <c r="BB1522">
        <v>18.07</v>
      </c>
      <c r="BC1522">
        <v>0.49</v>
      </c>
      <c r="BD1522">
        <v>20.28</v>
      </c>
      <c r="BE1522">
        <v>20.28</v>
      </c>
      <c r="BF1522">
        <v>20.28</v>
      </c>
      <c r="BG1522" t="s">
        <v>17891</v>
      </c>
      <c r="BH1522" t="s">
        <v>17892</v>
      </c>
      <c r="BI1522" t="s">
        <v>17893</v>
      </c>
      <c r="BJ1522" t="s">
        <v>101</v>
      </c>
      <c r="BK1522" t="s">
        <v>2250</v>
      </c>
      <c r="BL1522" t="s">
        <v>2601</v>
      </c>
      <c r="BM1522" t="s">
        <v>7236</v>
      </c>
      <c r="BN1522" t="s">
        <v>14623</v>
      </c>
    </row>
    <row r="1523" spans="1:66" x14ac:dyDescent="0.25">
      <c r="A1523" t="str">
        <f>HYPERLINK("https://elite.finviz.com/quote.ashx?t=DLPN&amp;ty=c&amp;p=d&amp;b=1", "DLPN")</f>
        <v>DLPN</v>
      </c>
      <c r="B1523">
        <v>6</v>
      </c>
      <c r="C1523">
        <v>127.03</v>
      </c>
      <c r="D1523">
        <v>52.67</v>
      </c>
      <c r="E1523" t="s">
        <v>17894</v>
      </c>
      <c r="F1523" t="s">
        <v>107</v>
      </c>
      <c r="G1523" t="s">
        <v>598</v>
      </c>
      <c r="H1523" t="s">
        <v>1020</v>
      </c>
      <c r="I1523" t="s">
        <v>70</v>
      </c>
      <c r="J1523" t="s">
        <v>321</v>
      </c>
      <c r="K1523">
        <v>15.22</v>
      </c>
      <c r="L1523">
        <v>1.27</v>
      </c>
      <c r="M1523" t="s">
        <v>5895</v>
      </c>
      <c r="N1523">
        <v>5125</v>
      </c>
      <c r="P1523">
        <v>5.77</v>
      </c>
      <c r="R1523">
        <v>0.3</v>
      </c>
      <c r="S1523">
        <v>1.8</v>
      </c>
      <c r="AA1523">
        <v>-2.1</v>
      </c>
      <c r="AB1523" t="s">
        <v>10247</v>
      </c>
      <c r="AC1523" t="s">
        <v>4961</v>
      </c>
      <c r="AE1523" t="s">
        <v>5969</v>
      </c>
      <c r="AF1523" t="s">
        <v>6202</v>
      </c>
      <c r="AG1523" t="s">
        <v>583</v>
      </c>
      <c r="AH1523" t="s">
        <v>142</v>
      </c>
      <c r="AI1523" t="s">
        <v>17895</v>
      </c>
      <c r="AJ1523" t="s">
        <v>7978</v>
      </c>
      <c r="AK1523" t="s">
        <v>3170</v>
      </c>
      <c r="AL1523">
        <v>0.76</v>
      </c>
      <c r="AM1523">
        <v>0.76</v>
      </c>
      <c r="AN1523">
        <v>3.63</v>
      </c>
      <c r="AO1523" t="s">
        <v>6084</v>
      </c>
      <c r="AP1523" t="s">
        <v>4967</v>
      </c>
      <c r="AQ1523" t="s">
        <v>10683</v>
      </c>
      <c r="AR1523" t="s">
        <v>4551</v>
      </c>
      <c r="AS1523" t="s">
        <v>204</v>
      </c>
      <c r="AT1523" t="s">
        <v>2274</v>
      </c>
      <c r="AU1523" t="s">
        <v>636</v>
      </c>
      <c r="AV1523" t="s">
        <v>6474</v>
      </c>
      <c r="AW1523" t="s">
        <v>17896</v>
      </c>
      <c r="AX1523" t="s">
        <v>2366</v>
      </c>
      <c r="AY1523" t="s">
        <v>17896</v>
      </c>
      <c r="AZ1523" t="s">
        <v>12100</v>
      </c>
      <c r="BA1523">
        <v>1</v>
      </c>
      <c r="BB1523">
        <v>238.52</v>
      </c>
      <c r="BC1523">
        <v>0.08</v>
      </c>
      <c r="BD1523">
        <v>1.29</v>
      </c>
      <c r="BE1523">
        <v>1.28</v>
      </c>
      <c r="BF1523">
        <v>1.26</v>
      </c>
      <c r="BG1523" t="s">
        <v>17897</v>
      </c>
      <c r="BH1523" t="s">
        <v>3320</v>
      </c>
      <c r="BI1523" t="s">
        <v>12100</v>
      </c>
      <c r="BJ1523" t="s">
        <v>101</v>
      </c>
      <c r="BK1523" t="s">
        <v>9523</v>
      </c>
      <c r="BL1523" t="s">
        <v>5759</v>
      </c>
      <c r="BM1523" t="s">
        <v>8016</v>
      </c>
      <c r="BN1523" t="s">
        <v>14623</v>
      </c>
    </row>
    <row r="1524" spans="1:66" x14ac:dyDescent="0.25">
      <c r="A1524" t="str">
        <f>HYPERLINK("https://elite.finviz.com/quote.ashx?t=HEI-A&amp;ty=c&amp;p=d&amp;b=1", "HEI-A")</f>
        <v>HEI-A</v>
      </c>
      <c r="B1524">
        <v>6</v>
      </c>
      <c r="C1524">
        <v>127.03</v>
      </c>
      <c r="D1524">
        <v>52.68</v>
      </c>
      <c r="E1524" t="s">
        <v>17898</v>
      </c>
      <c r="F1524" t="s">
        <v>107</v>
      </c>
      <c r="G1524" t="s">
        <v>260</v>
      </c>
      <c r="H1524" t="s">
        <v>4779</v>
      </c>
      <c r="I1524" t="s">
        <v>70</v>
      </c>
      <c r="J1524" t="s">
        <v>71</v>
      </c>
      <c r="K1524">
        <v>38905.53</v>
      </c>
      <c r="L1524">
        <v>252.49</v>
      </c>
      <c r="M1524" t="s">
        <v>2125</v>
      </c>
      <c r="N1524">
        <v>16206</v>
      </c>
      <c r="O1524">
        <v>55.33</v>
      </c>
      <c r="P1524">
        <v>47.67</v>
      </c>
      <c r="Q1524">
        <v>3.24</v>
      </c>
      <c r="R1524">
        <v>9.07</v>
      </c>
      <c r="S1524">
        <v>8.49</v>
      </c>
      <c r="T1524" t="s">
        <v>1324</v>
      </c>
      <c r="U1524">
        <v>0.23</v>
      </c>
      <c r="W1524" t="s">
        <v>3450</v>
      </c>
      <c r="X1524" t="s">
        <v>3181</v>
      </c>
      <c r="Y1524" t="s">
        <v>712</v>
      </c>
      <c r="Z1524" t="s">
        <v>4641</v>
      </c>
      <c r="AA1524">
        <v>4.5599999999999996</v>
      </c>
      <c r="AB1524" t="s">
        <v>5240</v>
      </c>
      <c r="AC1524" t="s">
        <v>875</v>
      </c>
      <c r="AD1524" t="s">
        <v>2866</v>
      </c>
      <c r="AE1524" t="s">
        <v>4390</v>
      </c>
      <c r="AF1524" t="s">
        <v>7115</v>
      </c>
      <c r="AG1524" t="s">
        <v>4558</v>
      </c>
      <c r="AH1524" t="s">
        <v>1552</v>
      </c>
      <c r="AI1524" t="s">
        <v>6331</v>
      </c>
      <c r="AJ1524" t="s">
        <v>2468</v>
      </c>
      <c r="AK1524" t="s">
        <v>4603</v>
      </c>
      <c r="AL1524">
        <v>3.35</v>
      </c>
      <c r="AM1524">
        <v>1.51</v>
      </c>
      <c r="AN1524">
        <v>0.59</v>
      </c>
      <c r="AO1524" t="s">
        <v>17899</v>
      </c>
      <c r="AP1524" t="s">
        <v>15907</v>
      </c>
      <c r="AQ1524" t="s">
        <v>1625</v>
      </c>
      <c r="AR1524" t="s">
        <v>2087</v>
      </c>
      <c r="AS1524" t="s">
        <v>1599</v>
      </c>
      <c r="AT1524" t="s">
        <v>1409</v>
      </c>
      <c r="AU1524" t="s">
        <v>5577</v>
      </c>
      <c r="AV1524" t="s">
        <v>7400</v>
      </c>
      <c r="AW1524" t="s">
        <v>77</v>
      </c>
      <c r="AX1524" t="s">
        <v>9186</v>
      </c>
      <c r="AY1524" t="s">
        <v>77</v>
      </c>
      <c r="AZ1524" t="s">
        <v>13726</v>
      </c>
      <c r="BA1524">
        <v>1.81</v>
      </c>
      <c r="BB1524">
        <v>225.63</v>
      </c>
      <c r="BC1524">
        <v>0.25</v>
      </c>
      <c r="BD1524">
        <v>250.27</v>
      </c>
      <c r="BE1524">
        <v>254.49</v>
      </c>
      <c r="BF1524">
        <v>251.57</v>
      </c>
      <c r="BG1524" t="s">
        <v>17900</v>
      </c>
      <c r="BH1524" t="s">
        <v>77</v>
      </c>
      <c r="BI1524" t="s">
        <v>17901</v>
      </c>
      <c r="BJ1524" t="s">
        <v>101</v>
      </c>
      <c r="BK1524" t="s">
        <v>8985</v>
      </c>
      <c r="BL1524" t="s">
        <v>5950</v>
      </c>
      <c r="BM1524" t="s">
        <v>3514</v>
      </c>
      <c r="BN1524" t="s">
        <v>14623</v>
      </c>
    </row>
    <row r="1525" spans="1:66" x14ac:dyDescent="0.25">
      <c r="A1525" t="str">
        <f>HYPERLINK("https://elite.finviz.com/quote.ashx?t=BELFB&amp;ty=c&amp;p=d&amp;b=1", "BELFB")</f>
        <v>BELFB</v>
      </c>
      <c r="B1525">
        <v>6</v>
      </c>
      <c r="C1525">
        <v>127.03</v>
      </c>
      <c r="D1525">
        <v>52.71</v>
      </c>
      <c r="E1525" t="s">
        <v>17902</v>
      </c>
      <c r="F1525" t="s">
        <v>67</v>
      </c>
      <c r="G1525" t="s">
        <v>108</v>
      </c>
      <c r="H1525" t="s">
        <v>3346</v>
      </c>
      <c r="I1525" t="s">
        <v>70</v>
      </c>
      <c r="J1525" t="s">
        <v>321</v>
      </c>
      <c r="K1525">
        <v>1754.68</v>
      </c>
      <c r="L1525">
        <v>142.4</v>
      </c>
      <c r="M1525" t="s">
        <v>4191</v>
      </c>
      <c r="N1525">
        <v>24915</v>
      </c>
      <c r="O1525">
        <v>34.97</v>
      </c>
      <c r="P1525">
        <v>21.45</v>
      </c>
      <c r="Q1525">
        <v>2.6</v>
      </c>
      <c r="R1525">
        <v>2.95</v>
      </c>
      <c r="S1525">
        <v>4.3499999999999996</v>
      </c>
      <c r="T1525" t="s">
        <v>4266</v>
      </c>
      <c r="U1525">
        <v>0.35</v>
      </c>
      <c r="V1525" t="s">
        <v>7373</v>
      </c>
      <c r="W1525" t="s">
        <v>164</v>
      </c>
      <c r="X1525" t="s">
        <v>164</v>
      </c>
      <c r="Y1525" t="s">
        <v>164</v>
      </c>
      <c r="Z1525" t="s">
        <v>10714</v>
      </c>
      <c r="AA1525">
        <v>4.07</v>
      </c>
      <c r="AB1525" t="s">
        <v>5003</v>
      </c>
      <c r="AD1525" t="s">
        <v>1455</v>
      </c>
      <c r="AE1525" t="s">
        <v>1204</v>
      </c>
      <c r="AF1525" t="s">
        <v>1938</v>
      </c>
      <c r="AG1525" t="s">
        <v>3494</v>
      </c>
      <c r="AH1525" t="s">
        <v>14932</v>
      </c>
      <c r="AI1525" t="s">
        <v>16516</v>
      </c>
      <c r="AJ1525" t="s">
        <v>2059</v>
      </c>
      <c r="AK1525" t="s">
        <v>17903</v>
      </c>
      <c r="AL1525">
        <v>3.05</v>
      </c>
      <c r="AM1525">
        <v>1.72</v>
      </c>
      <c r="AN1525">
        <v>0.69</v>
      </c>
      <c r="AO1525" t="s">
        <v>15625</v>
      </c>
      <c r="AP1525" t="s">
        <v>333</v>
      </c>
      <c r="AQ1525" t="s">
        <v>3664</v>
      </c>
      <c r="AR1525" t="s">
        <v>121</v>
      </c>
      <c r="AS1525" t="s">
        <v>2494</v>
      </c>
      <c r="AT1525" t="s">
        <v>9084</v>
      </c>
      <c r="AU1525" t="s">
        <v>8843</v>
      </c>
      <c r="AV1525" t="s">
        <v>11886</v>
      </c>
      <c r="AW1525" t="s">
        <v>2401</v>
      </c>
      <c r="AX1525" t="s">
        <v>9129</v>
      </c>
      <c r="AY1525" t="s">
        <v>2401</v>
      </c>
      <c r="AZ1525" t="s">
        <v>17904</v>
      </c>
      <c r="BA1525">
        <v>1.17</v>
      </c>
      <c r="BB1525">
        <v>150.26</v>
      </c>
      <c r="BC1525">
        <v>0.59</v>
      </c>
      <c r="BD1525">
        <v>142.72</v>
      </c>
      <c r="BE1525">
        <v>142.63999999999999</v>
      </c>
      <c r="BF1525">
        <v>140.77000000000001</v>
      </c>
      <c r="BG1525" t="s">
        <v>17905</v>
      </c>
      <c r="BH1525" t="s">
        <v>2401</v>
      </c>
      <c r="BI1525" t="s">
        <v>17906</v>
      </c>
      <c r="BJ1525" t="s">
        <v>101</v>
      </c>
      <c r="BK1525" t="s">
        <v>17209</v>
      </c>
      <c r="BL1525" t="s">
        <v>17907</v>
      </c>
      <c r="BM1525" t="s">
        <v>17908</v>
      </c>
      <c r="BN1525" t="s">
        <v>14623</v>
      </c>
    </row>
    <row r="1526" spans="1:66" x14ac:dyDescent="0.25">
      <c r="A1526" t="str">
        <f>HYPERLINK("https://elite.finviz.com/quote.ashx?t=AMST&amp;ty=c&amp;p=d&amp;b=1", "AMST")</f>
        <v>AMST</v>
      </c>
      <c r="B1526">
        <v>6</v>
      </c>
      <c r="C1526">
        <v>127.03</v>
      </c>
      <c r="D1526">
        <v>52.71</v>
      </c>
      <c r="E1526" t="s">
        <v>17909</v>
      </c>
      <c r="F1526" t="s">
        <v>107</v>
      </c>
      <c r="G1526" t="s">
        <v>108</v>
      </c>
      <c r="H1526" t="s">
        <v>136</v>
      </c>
      <c r="I1526" t="s">
        <v>70</v>
      </c>
      <c r="J1526" t="s">
        <v>321</v>
      </c>
      <c r="K1526">
        <v>14.41</v>
      </c>
      <c r="L1526">
        <v>3.15</v>
      </c>
      <c r="M1526" t="s">
        <v>3446</v>
      </c>
      <c r="N1526">
        <v>11430</v>
      </c>
      <c r="R1526">
        <v>180.07</v>
      </c>
      <c r="S1526">
        <v>4</v>
      </c>
      <c r="AA1526">
        <v>-1.37</v>
      </c>
      <c r="AB1526" t="s">
        <v>8559</v>
      </c>
      <c r="AC1526" t="s">
        <v>2740</v>
      </c>
      <c r="AE1526" t="s">
        <v>17910</v>
      </c>
      <c r="AF1526" t="s">
        <v>17911</v>
      </c>
      <c r="AG1526" t="s">
        <v>17912</v>
      </c>
      <c r="AH1526" t="s">
        <v>6687</v>
      </c>
      <c r="AI1526" t="s">
        <v>164</v>
      </c>
      <c r="AJ1526" t="s">
        <v>164</v>
      </c>
      <c r="AK1526" t="s">
        <v>4114</v>
      </c>
      <c r="AL1526">
        <v>14.88</v>
      </c>
      <c r="AM1526">
        <v>14.88</v>
      </c>
      <c r="AN1526">
        <v>0</v>
      </c>
      <c r="AO1526" t="s">
        <v>17913</v>
      </c>
      <c r="AP1526" t="s">
        <v>17914</v>
      </c>
      <c r="AQ1526" t="s">
        <v>17915</v>
      </c>
      <c r="AR1526" t="s">
        <v>3688</v>
      </c>
      <c r="AS1526" t="s">
        <v>1927</v>
      </c>
      <c r="AT1526" t="s">
        <v>5132</v>
      </c>
      <c r="AU1526" t="s">
        <v>1886</v>
      </c>
      <c r="AV1526" t="s">
        <v>1215</v>
      </c>
      <c r="AW1526" t="s">
        <v>17373</v>
      </c>
      <c r="AX1526" t="s">
        <v>15950</v>
      </c>
      <c r="AY1526" t="s">
        <v>17916</v>
      </c>
      <c r="AZ1526" t="s">
        <v>17917</v>
      </c>
      <c r="BB1526">
        <v>718.75</v>
      </c>
      <c r="BC1526">
        <v>0.06</v>
      </c>
      <c r="BD1526">
        <v>3.14</v>
      </c>
      <c r="BE1526">
        <v>3.2</v>
      </c>
      <c r="BF1526">
        <v>3.14</v>
      </c>
      <c r="BG1526" t="s">
        <v>17918</v>
      </c>
      <c r="BH1526" t="s">
        <v>17919</v>
      </c>
      <c r="BI1526" t="s">
        <v>17920</v>
      </c>
      <c r="BJ1526" t="s">
        <v>101</v>
      </c>
      <c r="BK1526" t="s">
        <v>15950</v>
      </c>
      <c r="BL1526" t="s">
        <v>11368</v>
      </c>
      <c r="BM1526" t="s">
        <v>17921</v>
      </c>
      <c r="BN1526" t="s">
        <v>14623</v>
      </c>
    </row>
    <row r="1527" spans="1:66" x14ac:dyDescent="0.25">
      <c r="A1527" t="str">
        <f>HYPERLINK("https://elite.finviz.com/quote.ashx?t=SVCC&amp;ty=c&amp;p=d&amp;b=1", "SVCC")</f>
        <v>SVCC</v>
      </c>
      <c r="B1527">
        <v>6</v>
      </c>
      <c r="C1527">
        <v>127.03</v>
      </c>
      <c r="D1527">
        <v>52.73</v>
      </c>
      <c r="E1527" t="s">
        <v>17922</v>
      </c>
      <c r="F1527" t="s">
        <v>107</v>
      </c>
      <c r="G1527" t="s">
        <v>550</v>
      </c>
      <c r="H1527" t="s">
        <v>2120</v>
      </c>
      <c r="I1527" t="s">
        <v>70</v>
      </c>
      <c r="J1527" t="s">
        <v>321</v>
      </c>
      <c r="K1527">
        <v>163.79</v>
      </c>
      <c r="L1527">
        <v>10.27</v>
      </c>
      <c r="M1527" t="s">
        <v>1648</v>
      </c>
      <c r="N1527">
        <v>701</v>
      </c>
      <c r="O1527">
        <v>98.18</v>
      </c>
      <c r="S1527">
        <v>1.49</v>
      </c>
      <c r="AA1527">
        <v>0.1</v>
      </c>
      <c r="AJ1527" t="s">
        <v>164</v>
      </c>
      <c r="AK1527" t="s">
        <v>17923</v>
      </c>
      <c r="AL1527">
        <v>5.53</v>
      </c>
      <c r="AM1527">
        <v>5.53</v>
      </c>
      <c r="AN1527">
        <v>0</v>
      </c>
      <c r="AR1527" t="s">
        <v>8228</v>
      </c>
      <c r="AS1527" t="s">
        <v>6182</v>
      </c>
      <c r="AT1527" t="s">
        <v>7709</v>
      </c>
      <c r="AU1527" t="s">
        <v>4308</v>
      </c>
      <c r="AV1527" t="s">
        <v>4881</v>
      </c>
      <c r="AW1527" t="s">
        <v>4312</v>
      </c>
      <c r="AX1527" t="s">
        <v>633</v>
      </c>
      <c r="AY1527" t="s">
        <v>4312</v>
      </c>
      <c r="AZ1527" t="s">
        <v>4294</v>
      </c>
      <c r="BB1527">
        <v>20.13</v>
      </c>
      <c r="BC1527">
        <v>0.12</v>
      </c>
      <c r="BD1527">
        <v>10.29</v>
      </c>
      <c r="BE1527">
        <v>10.31</v>
      </c>
      <c r="BF1527">
        <v>10.27</v>
      </c>
      <c r="BG1527" t="s">
        <v>17924</v>
      </c>
      <c r="BH1527" t="s">
        <v>4312</v>
      </c>
      <c r="BI1527" t="s">
        <v>4294</v>
      </c>
      <c r="BJ1527" t="s">
        <v>101</v>
      </c>
      <c r="BK1527" t="s">
        <v>3173</v>
      </c>
      <c r="BN1527" t="s">
        <v>14623</v>
      </c>
    </row>
    <row r="1528" spans="1:66" x14ac:dyDescent="0.25">
      <c r="A1528" t="str">
        <f>HYPERLINK("https://elite.finviz.com/quote.ashx?t=LAKE&amp;ty=c&amp;p=d&amp;b=1", "LAKE")</f>
        <v>LAKE</v>
      </c>
      <c r="B1528">
        <v>6</v>
      </c>
      <c r="C1528">
        <v>127.03</v>
      </c>
      <c r="D1528">
        <v>52.75</v>
      </c>
      <c r="E1528" t="s">
        <v>17925</v>
      </c>
      <c r="F1528" t="s">
        <v>67</v>
      </c>
      <c r="G1528" t="s">
        <v>813</v>
      </c>
      <c r="H1528" t="s">
        <v>7446</v>
      </c>
      <c r="I1528" t="s">
        <v>70</v>
      </c>
      <c r="J1528" t="s">
        <v>321</v>
      </c>
      <c r="K1528">
        <v>142.69999999999999</v>
      </c>
      <c r="L1528">
        <v>14.91</v>
      </c>
      <c r="M1528" t="s">
        <v>439</v>
      </c>
      <c r="N1528">
        <v>33155</v>
      </c>
      <c r="P1528">
        <v>11.02</v>
      </c>
      <c r="R1528">
        <v>0.74</v>
      </c>
      <c r="S1528">
        <v>0.97</v>
      </c>
      <c r="T1528" t="s">
        <v>2785</v>
      </c>
      <c r="U1528">
        <v>0.12</v>
      </c>
      <c r="V1528" t="s">
        <v>3046</v>
      </c>
      <c r="W1528" t="s">
        <v>164</v>
      </c>
      <c r="AA1528">
        <v>-2.81</v>
      </c>
      <c r="AE1528" t="s">
        <v>17926</v>
      </c>
      <c r="AF1528" t="s">
        <v>563</v>
      </c>
      <c r="AG1528" t="s">
        <v>2559</v>
      </c>
      <c r="AH1528" t="s">
        <v>13149</v>
      </c>
      <c r="AI1528" t="s">
        <v>17927</v>
      </c>
      <c r="AJ1528" t="s">
        <v>5253</v>
      </c>
      <c r="AK1528" t="s">
        <v>17928</v>
      </c>
      <c r="AL1528">
        <v>3.66</v>
      </c>
      <c r="AM1528">
        <v>1.41</v>
      </c>
      <c r="AN1528">
        <v>0.28999999999999998</v>
      </c>
      <c r="AO1528" t="s">
        <v>4157</v>
      </c>
      <c r="AP1528" t="s">
        <v>4154</v>
      </c>
      <c r="AQ1528" t="s">
        <v>16624</v>
      </c>
      <c r="AR1528" t="s">
        <v>2643</v>
      </c>
      <c r="AS1528" t="s">
        <v>2764</v>
      </c>
      <c r="AT1528" t="s">
        <v>1417</v>
      </c>
      <c r="AU1528" t="s">
        <v>2082</v>
      </c>
      <c r="AV1528" t="s">
        <v>16619</v>
      </c>
      <c r="AW1528" t="s">
        <v>9927</v>
      </c>
      <c r="AX1528" t="s">
        <v>2715</v>
      </c>
      <c r="AY1528" t="s">
        <v>17929</v>
      </c>
      <c r="AZ1528" t="s">
        <v>2122</v>
      </c>
      <c r="BA1528">
        <v>1</v>
      </c>
      <c r="BB1528">
        <v>148.09</v>
      </c>
      <c r="BC1528">
        <v>0.8</v>
      </c>
      <c r="BD1528">
        <v>14.87</v>
      </c>
      <c r="BE1528">
        <v>14.99</v>
      </c>
      <c r="BF1528">
        <v>14.83</v>
      </c>
      <c r="BG1528" t="s">
        <v>17930</v>
      </c>
      <c r="BH1528" t="s">
        <v>14001</v>
      </c>
      <c r="BI1528" t="s">
        <v>17931</v>
      </c>
      <c r="BJ1528" t="s">
        <v>101</v>
      </c>
      <c r="BK1528" t="s">
        <v>6598</v>
      </c>
      <c r="BL1528" t="s">
        <v>7069</v>
      </c>
      <c r="BM1528" t="s">
        <v>17932</v>
      </c>
      <c r="BN1528" t="s">
        <v>14623</v>
      </c>
    </row>
    <row r="1529" spans="1:66" x14ac:dyDescent="0.25">
      <c r="A1529" t="str">
        <f>HYPERLINK("https://elite.finviz.com/quote.ashx?t=CSTL&amp;ty=c&amp;p=d&amp;b=1", "CSTL")</f>
        <v>CSTL</v>
      </c>
      <c r="B1529">
        <v>6</v>
      </c>
      <c r="C1529">
        <v>127.03</v>
      </c>
      <c r="D1529">
        <v>52.82</v>
      </c>
      <c r="E1529" t="s">
        <v>17933</v>
      </c>
      <c r="F1529" t="s">
        <v>67</v>
      </c>
      <c r="G1529" t="s">
        <v>428</v>
      </c>
      <c r="H1529" t="s">
        <v>4202</v>
      </c>
      <c r="I1529" t="s">
        <v>70</v>
      </c>
      <c r="J1529" t="s">
        <v>321</v>
      </c>
      <c r="K1529">
        <v>658.7</v>
      </c>
      <c r="L1529">
        <v>22.71</v>
      </c>
      <c r="M1529" t="s">
        <v>770</v>
      </c>
      <c r="N1529">
        <v>26167</v>
      </c>
      <c r="R1529">
        <v>1.9</v>
      </c>
      <c r="S1529">
        <v>1.45</v>
      </c>
      <c r="Z1529" t="s">
        <v>164</v>
      </c>
      <c r="AA1529">
        <v>-0.36</v>
      </c>
      <c r="AE1529" t="s">
        <v>8466</v>
      </c>
      <c r="AF1529" t="s">
        <v>17934</v>
      </c>
      <c r="AG1529" t="s">
        <v>17935</v>
      </c>
      <c r="AH1529" t="s">
        <v>5721</v>
      </c>
      <c r="AI1529" t="s">
        <v>11001</v>
      </c>
      <c r="AJ1529" t="s">
        <v>12760</v>
      </c>
      <c r="AK1529" t="s">
        <v>13184</v>
      </c>
      <c r="AL1529">
        <v>6.85</v>
      </c>
      <c r="AM1529">
        <v>6.69</v>
      </c>
      <c r="AN1529">
        <v>0.08</v>
      </c>
      <c r="AO1529" t="s">
        <v>17936</v>
      </c>
      <c r="AP1529" t="s">
        <v>217</v>
      </c>
      <c r="AQ1529" t="s">
        <v>81</v>
      </c>
      <c r="AR1529" t="s">
        <v>3855</v>
      </c>
      <c r="AS1529" t="s">
        <v>5620</v>
      </c>
      <c r="AT1529" t="s">
        <v>6359</v>
      </c>
      <c r="AU1529" t="s">
        <v>6293</v>
      </c>
      <c r="AV1529" t="s">
        <v>372</v>
      </c>
      <c r="AW1529" t="s">
        <v>4410</v>
      </c>
      <c r="AX1529" t="s">
        <v>2072</v>
      </c>
      <c r="AY1529" t="s">
        <v>17937</v>
      </c>
      <c r="AZ1529" t="s">
        <v>2072</v>
      </c>
      <c r="BA1529">
        <v>1.1200000000000001</v>
      </c>
      <c r="BB1529">
        <v>515.69000000000005</v>
      </c>
      <c r="BC1529">
        <v>0.18</v>
      </c>
      <c r="BD1529">
        <v>22.74</v>
      </c>
      <c r="BE1529">
        <v>23.01</v>
      </c>
      <c r="BF1529">
        <v>22.34</v>
      </c>
      <c r="BG1529" t="s">
        <v>17938</v>
      </c>
      <c r="BH1529" t="s">
        <v>17939</v>
      </c>
      <c r="BI1529" t="s">
        <v>17940</v>
      </c>
      <c r="BJ1529" t="s">
        <v>101</v>
      </c>
      <c r="BK1529" t="s">
        <v>2371</v>
      </c>
      <c r="BL1529" t="s">
        <v>1925</v>
      </c>
      <c r="BM1529" t="s">
        <v>627</v>
      </c>
      <c r="BN1529" t="s">
        <v>14623</v>
      </c>
    </row>
    <row r="1530" spans="1:66" x14ac:dyDescent="0.25">
      <c r="A1530" t="str">
        <f>HYPERLINK("https://elite.finviz.com/quote.ashx?t=KGEI&amp;ty=c&amp;p=d&amp;b=1", "KGEI")</f>
        <v>KGEI</v>
      </c>
      <c r="B1530">
        <v>6</v>
      </c>
      <c r="C1530">
        <v>127.03</v>
      </c>
      <c r="D1530">
        <v>52.85</v>
      </c>
      <c r="E1530" t="s">
        <v>17941</v>
      </c>
      <c r="F1530" t="s">
        <v>67</v>
      </c>
      <c r="G1530" t="s">
        <v>1048</v>
      </c>
      <c r="H1530" t="s">
        <v>1049</v>
      </c>
      <c r="I1530" t="s">
        <v>70</v>
      </c>
      <c r="J1530" t="s">
        <v>321</v>
      </c>
      <c r="K1530">
        <v>202.43</v>
      </c>
      <c r="L1530">
        <v>5.72</v>
      </c>
      <c r="M1530" t="s">
        <v>6463</v>
      </c>
      <c r="N1530">
        <v>8116</v>
      </c>
      <c r="O1530">
        <v>10.74</v>
      </c>
      <c r="P1530">
        <v>9.5299999999999994</v>
      </c>
      <c r="R1530">
        <v>3.52</v>
      </c>
      <c r="S1530">
        <v>1.02</v>
      </c>
      <c r="Z1530" t="s">
        <v>164</v>
      </c>
      <c r="AA1530">
        <v>0.53</v>
      </c>
      <c r="AB1530" t="s">
        <v>17942</v>
      </c>
      <c r="AE1530" t="s">
        <v>3204</v>
      </c>
      <c r="AF1530" t="s">
        <v>17943</v>
      </c>
      <c r="AG1530" t="s">
        <v>1398</v>
      </c>
      <c r="AH1530" t="s">
        <v>5447</v>
      </c>
      <c r="AI1530" t="s">
        <v>164</v>
      </c>
      <c r="AJ1530" t="s">
        <v>164</v>
      </c>
      <c r="AK1530" t="s">
        <v>17125</v>
      </c>
      <c r="AL1530">
        <v>0.39</v>
      </c>
      <c r="AM1530">
        <v>0.39</v>
      </c>
      <c r="AN1530">
        <v>0.16</v>
      </c>
      <c r="AO1530" t="s">
        <v>7291</v>
      </c>
      <c r="AP1530" t="s">
        <v>17944</v>
      </c>
      <c r="AQ1530" t="s">
        <v>2359</v>
      </c>
      <c r="AR1530" t="s">
        <v>9651</v>
      </c>
      <c r="AS1530" t="s">
        <v>5592</v>
      </c>
      <c r="AT1530" t="s">
        <v>2356</v>
      </c>
      <c r="AU1530" t="s">
        <v>211</v>
      </c>
      <c r="AV1530" t="s">
        <v>10983</v>
      </c>
      <c r="AW1530" t="s">
        <v>1323</v>
      </c>
      <c r="AX1530" t="s">
        <v>7727</v>
      </c>
      <c r="AY1530" t="s">
        <v>17945</v>
      </c>
      <c r="AZ1530" t="s">
        <v>17946</v>
      </c>
      <c r="BA1530">
        <v>1</v>
      </c>
      <c r="BB1530">
        <v>238.27</v>
      </c>
      <c r="BC1530">
        <v>0.12</v>
      </c>
      <c r="BD1530">
        <v>5.67</v>
      </c>
      <c r="BE1530">
        <v>5.74</v>
      </c>
      <c r="BF1530">
        <v>5.68</v>
      </c>
      <c r="BG1530" t="s">
        <v>17947</v>
      </c>
      <c r="BH1530" t="s">
        <v>17948</v>
      </c>
      <c r="BI1530" t="s">
        <v>17949</v>
      </c>
      <c r="BJ1530" t="s">
        <v>101</v>
      </c>
      <c r="BK1530" t="s">
        <v>16135</v>
      </c>
      <c r="BL1530" t="s">
        <v>17950</v>
      </c>
      <c r="BM1530" t="s">
        <v>17951</v>
      </c>
      <c r="BN1530" t="s">
        <v>14623</v>
      </c>
    </row>
    <row r="1531" spans="1:66" x14ac:dyDescent="0.25">
      <c r="A1531" t="str">
        <f>HYPERLINK("https://elite.finviz.com/quote.ashx?t=FVR&amp;ty=c&amp;p=d&amp;b=1", "FVR")</f>
        <v>FVR</v>
      </c>
      <c r="B1531">
        <v>6</v>
      </c>
      <c r="C1531">
        <v>127.03</v>
      </c>
      <c r="D1531">
        <v>52.86</v>
      </c>
      <c r="E1531" t="s">
        <v>17952</v>
      </c>
      <c r="F1531" t="s">
        <v>67</v>
      </c>
      <c r="G1531" t="s">
        <v>68</v>
      </c>
      <c r="H1531" t="s">
        <v>4656</v>
      </c>
      <c r="I1531" t="s">
        <v>70</v>
      </c>
      <c r="J1531" t="s">
        <v>71</v>
      </c>
      <c r="K1531">
        <v>374.49</v>
      </c>
      <c r="L1531">
        <v>13.44</v>
      </c>
      <c r="M1531" t="s">
        <v>4271</v>
      </c>
      <c r="N1531">
        <v>8905</v>
      </c>
      <c r="R1531">
        <v>5.87</v>
      </c>
      <c r="S1531">
        <v>0.74</v>
      </c>
      <c r="T1531" t="s">
        <v>1474</v>
      </c>
      <c r="U1531">
        <v>0.65</v>
      </c>
      <c r="V1531" t="s">
        <v>198</v>
      </c>
      <c r="AA1531">
        <v>-1.1599999999999999</v>
      </c>
      <c r="AD1531" t="s">
        <v>5859</v>
      </c>
      <c r="AI1531" t="s">
        <v>17953</v>
      </c>
      <c r="AJ1531" t="s">
        <v>2195</v>
      </c>
      <c r="AK1531" t="s">
        <v>17954</v>
      </c>
      <c r="AL1531">
        <v>2.09</v>
      </c>
      <c r="AM1531">
        <v>2.09</v>
      </c>
      <c r="AN1531">
        <v>0.9</v>
      </c>
      <c r="AO1531" t="s">
        <v>5908</v>
      </c>
      <c r="AP1531" t="s">
        <v>6064</v>
      </c>
      <c r="AQ1531" t="s">
        <v>17955</v>
      </c>
      <c r="AR1531" t="s">
        <v>1761</v>
      </c>
      <c r="AS1531" t="s">
        <v>1560</v>
      </c>
      <c r="AT1531" t="s">
        <v>2213</v>
      </c>
      <c r="AU1531" t="s">
        <v>5164</v>
      </c>
      <c r="AV1531" t="s">
        <v>6080</v>
      </c>
      <c r="AW1531" t="s">
        <v>1904</v>
      </c>
      <c r="AX1531" t="s">
        <v>2710</v>
      </c>
      <c r="AY1531" t="s">
        <v>17956</v>
      </c>
      <c r="AZ1531" t="s">
        <v>17259</v>
      </c>
      <c r="BA1531">
        <v>2.33</v>
      </c>
      <c r="BB1531">
        <v>196.91</v>
      </c>
      <c r="BC1531">
        <v>0.16</v>
      </c>
      <c r="BD1531">
        <v>13.37</v>
      </c>
      <c r="BE1531">
        <v>13.63</v>
      </c>
      <c r="BF1531">
        <v>13.42</v>
      </c>
      <c r="BG1531" t="s">
        <v>17957</v>
      </c>
      <c r="BH1531" t="s">
        <v>17956</v>
      </c>
      <c r="BI1531" t="s">
        <v>17259</v>
      </c>
      <c r="BJ1531" t="s">
        <v>101</v>
      </c>
      <c r="BK1531" t="s">
        <v>2053</v>
      </c>
      <c r="BL1531" t="s">
        <v>212</v>
      </c>
      <c r="BN1531" t="s">
        <v>14623</v>
      </c>
    </row>
    <row r="1532" spans="1:66" x14ac:dyDescent="0.25">
      <c r="A1532" t="str">
        <f>HYPERLINK("https://elite.finviz.com/quote.ashx?t=CATO&amp;ty=c&amp;p=d&amp;b=1", "CATO")</f>
        <v>CATO</v>
      </c>
      <c r="B1532">
        <v>6</v>
      </c>
      <c r="C1532">
        <v>127.03</v>
      </c>
      <c r="D1532">
        <v>52.87</v>
      </c>
      <c r="E1532" t="s">
        <v>17958</v>
      </c>
      <c r="F1532" t="s">
        <v>107</v>
      </c>
      <c r="G1532" t="s">
        <v>813</v>
      </c>
      <c r="H1532" t="s">
        <v>4488</v>
      </c>
      <c r="I1532" t="s">
        <v>70</v>
      </c>
      <c r="J1532" t="s">
        <v>71</v>
      </c>
      <c r="K1532">
        <v>83.44</v>
      </c>
      <c r="L1532">
        <v>4.2300000000000004</v>
      </c>
      <c r="M1532" t="s">
        <v>5721</v>
      </c>
      <c r="N1532">
        <v>7012</v>
      </c>
      <c r="R1532">
        <v>0.13</v>
      </c>
      <c r="S1532">
        <v>0.48</v>
      </c>
      <c r="T1532" t="s">
        <v>289</v>
      </c>
      <c r="U1532">
        <v>0.17</v>
      </c>
      <c r="V1532" t="s">
        <v>17959</v>
      </c>
      <c r="W1532" t="s">
        <v>1427</v>
      </c>
      <c r="X1532" t="s">
        <v>165</v>
      </c>
      <c r="Y1532" t="s">
        <v>3162</v>
      </c>
      <c r="AA1532">
        <v>-0.98</v>
      </c>
      <c r="AE1532" t="s">
        <v>2304</v>
      </c>
      <c r="AF1532" t="s">
        <v>5578</v>
      </c>
      <c r="AG1532" t="s">
        <v>8358</v>
      </c>
      <c r="AH1532" t="s">
        <v>5907</v>
      </c>
      <c r="AJ1532" t="s">
        <v>164</v>
      </c>
      <c r="AK1532" t="s">
        <v>2797</v>
      </c>
      <c r="AL1532">
        <v>1.29</v>
      </c>
      <c r="AM1532">
        <v>0.73</v>
      </c>
      <c r="AN1532">
        <v>0.75</v>
      </c>
      <c r="AO1532" t="s">
        <v>11953</v>
      </c>
      <c r="AP1532" t="s">
        <v>5913</v>
      </c>
      <c r="AQ1532" t="s">
        <v>11402</v>
      </c>
      <c r="AR1532" t="s">
        <v>5779</v>
      </c>
      <c r="AS1532" t="s">
        <v>3066</v>
      </c>
      <c r="AT1532" t="s">
        <v>103</v>
      </c>
      <c r="AU1532" t="s">
        <v>5976</v>
      </c>
      <c r="AV1532" t="s">
        <v>15710</v>
      </c>
      <c r="AW1532" t="s">
        <v>17960</v>
      </c>
      <c r="AX1532" t="s">
        <v>15911</v>
      </c>
      <c r="AY1532" t="s">
        <v>13268</v>
      </c>
      <c r="AZ1532" t="s">
        <v>17961</v>
      </c>
      <c r="BA1532">
        <v>3</v>
      </c>
      <c r="BB1532">
        <v>90.15</v>
      </c>
      <c r="BC1532">
        <v>0.28000000000000003</v>
      </c>
      <c r="BD1532">
        <v>4.2699999999999996</v>
      </c>
      <c r="BE1532">
        <v>4.2699999999999996</v>
      </c>
      <c r="BF1532">
        <v>4.25</v>
      </c>
      <c r="BG1532" t="s">
        <v>17962</v>
      </c>
      <c r="BH1532" t="s">
        <v>472</v>
      </c>
      <c r="BI1532" t="s">
        <v>17963</v>
      </c>
      <c r="BJ1532" t="s">
        <v>101</v>
      </c>
      <c r="BK1532" t="s">
        <v>12846</v>
      </c>
      <c r="BL1532" t="s">
        <v>4378</v>
      </c>
      <c r="BM1532" t="s">
        <v>10064</v>
      </c>
      <c r="BN1532" t="s">
        <v>14623</v>
      </c>
    </row>
    <row r="1533" spans="1:66" x14ac:dyDescent="0.25">
      <c r="A1533" t="str">
        <f>HYPERLINK("https://elite.finviz.com/quote.ashx?t=MESA&amp;ty=c&amp;p=d&amp;b=1", "MESA")</f>
        <v>MESA</v>
      </c>
      <c r="B1533">
        <v>6</v>
      </c>
      <c r="C1533">
        <v>127.03</v>
      </c>
      <c r="D1533">
        <v>52.89</v>
      </c>
      <c r="E1533" t="s">
        <v>17964</v>
      </c>
      <c r="F1533" t="s">
        <v>107</v>
      </c>
      <c r="G1533" t="s">
        <v>260</v>
      </c>
      <c r="H1533" t="s">
        <v>5362</v>
      </c>
      <c r="I1533" t="s">
        <v>70</v>
      </c>
      <c r="J1533" t="s">
        <v>321</v>
      </c>
      <c r="K1533">
        <v>54.84</v>
      </c>
      <c r="L1533">
        <v>1.31</v>
      </c>
      <c r="M1533" t="s">
        <v>10808</v>
      </c>
      <c r="N1533">
        <v>12535</v>
      </c>
      <c r="R1533">
        <v>0.14000000000000001</v>
      </c>
      <c r="AA1533">
        <v>-4.29</v>
      </c>
      <c r="AE1533" t="s">
        <v>3473</v>
      </c>
      <c r="AF1533" t="s">
        <v>6533</v>
      </c>
      <c r="AG1533" t="s">
        <v>4374</v>
      </c>
      <c r="AH1533" t="s">
        <v>16448</v>
      </c>
      <c r="AJ1533" t="s">
        <v>164</v>
      </c>
      <c r="AK1533" t="s">
        <v>7866</v>
      </c>
      <c r="AL1533">
        <v>0.76</v>
      </c>
      <c r="AM1533">
        <v>0.67</v>
      </c>
      <c r="AO1533" t="s">
        <v>2913</v>
      </c>
      <c r="AP1533" t="s">
        <v>3447</v>
      </c>
      <c r="AQ1533" t="s">
        <v>17965</v>
      </c>
      <c r="AR1533" t="s">
        <v>749</v>
      </c>
      <c r="AS1533" t="s">
        <v>7971</v>
      </c>
      <c r="AT1533" t="s">
        <v>8053</v>
      </c>
      <c r="AU1533" t="s">
        <v>1207</v>
      </c>
      <c r="AV1533" t="s">
        <v>9350</v>
      </c>
      <c r="AW1533" t="s">
        <v>1537</v>
      </c>
      <c r="AX1533" t="s">
        <v>12046</v>
      </c>
      <c r="AY1533" t="s">
        <v>1537</v>
      </c>
      <c r="AZ1533" t="s">
        <v>17966</v>
      </c>
      <c r="BA1533">
        <v>3</v>
      </c>
      <c r="BB1533">
        <v>112.5</v>
      </c>
      <c r="BC1533">
        <v>0.4</v>
      </c>
      <c r="BD1533">
        <v>1.32</v>
      </c>
      <c r="BE1533">
        <v>1.33</v>
      </c>
      <c r="BF1533">
        <v>1.3</v>
      </c>
      <c r="BG1533" t="s">
        <v>17967</v>
      </c>
      <c r="BH1533" t="s">
        <v>9078</v>
      </c>
      <c r="BI1533" t="s">
        <v>17968</v>
      </c>
      <c r="BJ1533" t="s">
        <v>101</v>
      </c>
      <c r="BK1533" t="s">
        <v>5103</v>
      </c>
      <c r="BL1533" t="s">
        <v>12351</v>
      </c>
      <c r="BM1533" t="s">
        <v>8594</v>
      </c>
      <c r="BN1533" t="s">
        <v>14623</v>
      </c>
    </row>
    <row r="1534" spans="1:66" x14ac:dyDescent="0.25">
      <c r="A1534" t="str">
        <f>HYPERLINK("https://elite.finviz.com/quote.ashx?t=DCO&amp;ty=c&amp;p=d&amp;b=1", "DCO")</f>
        <v>DCO</v>
      </c>
      <c r="B1534">
        <v>6</v>
      </c>
      <c r="C1534">
        <v>127.03</v>
      </c>
      <c r="D1534">
        <v>52.91</v>
      </c>
      <c r="E1534" t="s">
        <v>17969</v>
      </c>
      <c r="F1534" t="s">
        <v>67</v>
      </c>
      <c r="G1534" t="s">
        <v>260</v>
      </c>
      <c r="H1534" t="s">
        <v>4779</v>
      </c>
      <c r="I1534" t="s">
        <v>70</v>
      </c>
      <c r="J1534" t="s">
        <v>71</v>
      </c>
      <c r="K1534">
        <v>1388.65</v>
      </c>
      <c r="L1534">
        <v>93.05</v>
      </c>
      <c r="M1534" t="s">
        <v>9136</v>
      </c>
      <c r="N1534">
        <v>11663</v>
      </c>
      <c r="O1534">
        <v>35.229999999999997</v>
      </c>
      <c r="P1534">
        <v>20.65</v>
      </c>
      <c r="Q1534">
        <v>2.13</v>
      </c>
      <c r="R1534">
        <v>1.75</v>
      </c>
      <c r="S1534">
        <v>1.96</v>
      </c>
      <c r="V1534" t="s">
        <v>17970</v>
      </c>
      <c r="Z1534" t="s">
        <v>164</v>
      </c>
      <c r="AA1534">
        <v>2.64</v>
      </c>
      <c r="AB1534" t="s">
        <v>17971</v>
      </c>
      <c r="AC1534" t="s">
        <v>3704</v>
      </c>
      <c r="AD1534" t="s">
        <v>6860</v>
      </c>
      <c r="AE1534" t="s">
        <v>3208</v>
      </c>
      <c r="AF1534" t="s">
        <v>5642</v>
      </c>
      <c r="AG1534" t="s">
        <v>4946</v>
      </c>
      <c r="AH1534" t="s">
        <v>4216</v>
      </c>
      <c r="AI1534" t="s">
        <v>1310</v>
      </c>
      <c r="AJ1534" t="s">
        <v>164</v>
      </c>
      <c r="AK1534" t="s">
        <v>13970</v>
      </c>
      <c r="AL1534">
        <v>3.24</v>
      </c>
      <c r="AM1534">
        <v>2.14</v>
      </c>
      <c r="AN1534">
        <v>0.36</v>
      </c>
      <c r="AO1534" t="s">
        <v>5580</v>
      </c>
      <c r="AP1534" t="s">
        <v>9636</v>
      </c>
      <c r="AQ1534" t="s">
        <v>5620</v>
      </c>
      <c r="AR1534" t="s">
        <v>5188</v>
      </c>
      <c r="AS1534" t="s">
        <v>715</v>
      </c>
      <c r="AT1534" t="s">
        <v>7124</v>
      </c>
      <c r="AU1534" t="s">
        <v>3757</v>
      </c>
      <c r="AV1534" t="s">
        <v>6877</v>
      </c>
      <c r="AW1534" t="s">
        <v>11513</v>
      </c>
      <c r="AX1534" t="s">
        <v>1515</v>
      </c>
      <c r="AY1534" t="s">
        <v>11513</v>
      </c>
      <c r="AZ1534" t="s">
        <v>11343</v>
      </c>
      <c r="BA1534">
        <v>1</v>
      </c>
      <c r="BB1534">
        <v>137.34</v>
      </c>
      <c r="BC1534">
        <v>0.3</v>
      </c>
      <c r="BD1534">
        <v>91.63</v>
      </c>
      <c r="BE1534">
        <v>93.64</v>
      </c>
      <c r="BF1534">
        <v>91.91</v>
      </c>
      <c r="BG1534" t="s">
        <v>17972</v>
      </c>
      <c r="BH1534" t="s">
        <v>11513</v>
      </c>
      <c r="BI1534" t="s">
        <v>17973</v>
      </c>
      <c r="BJ1534" t="s">
        <v>101</v>
      </c>
      <c r="BK1534" t="s">
        <v>1090</v>
      </c>
      <c r="BL1534" t="s">
        <v>17974</v>
      </c>
      <c r="BM1534" t="s">
        <v>13922</v>
      </c>
      <c r="BN1534" t="s">
        <v>14623</v>
      </c>
    </row>
    <row r="1535" spans="1:66" x14ac:dyDescent="0.25">
      <c r="A1535" t="str">
        <f>HYPERLINK("https://elite.finviz.com/quote.ashx?t=HWBK&amp;ty=c&amp;p=d&amp;b=1", "HWBK")</f>
        <v>HWBK</v>
      </c>
      <c r="B1535">
        <v>6</v>
      </c>
      <c r="C1535">
        <v>127.03</v>
      </c>
      <c r="D1535">
        <v>52.91</v>
      </c>
      <c r="E1535" t="s">
        <v>17975</v>
      </c>
      <c r="F1535" t="s">
        <v>67</v>
      </c>
      <c r="G1535" t="s">
        <v>550</v>
      </c>
      <c r="H1535" t="s">
        <v>697</v>
      </c>
      <c r="I1535" t="s">
        <v>70</v>
      </c>
      <c r="J1535" t="s">
        <v>321</v>
      </c>
      <c r="K1535">
        <v>219.96</v>
      </c>
      <c r="L1535">
        <v>31.85</v>
      </c>
      <c r="M1535" t="s">
        <v>2421</v>
      </c>
      <c r="N1535">
        <v>1196</v>
      </c>
      <c r="O1535">
        <v>10.76</v>
      </c>
      <c r="R1535">
        <v>2.0099999999999998</v>
      </c>
      <c r="S1535">
        <v>1.4</v>
      </c>
      <c r="T1535" t="s">
        <v>5121</v>
      </c>
      <c r="U1535">
        <v>0.78</v>
      </c>
      <c r="V1535" t="s">
        <v>3833</v>
      </c>
      <c r="W1535" t="s">
        <v>1110</v>
      </c>
      <c r="X1535" t="s">
        <v>3079</v>
      </c>
      <c r="Y1535" t="s">
        <v>5096</v>
      </c>
      <c r="Z1535" t="s">
        <v>5401</v>
      </c>
      <c r="AA1535">
        <v>2.96</v>
      </c>
      <c r="AB1535" t="s">
        <v>1892</v>
      </c>
      <c r="AC1535" t="s">
        <v>1926</v>
      </c>
      <c r="AE1535" t="s">
        <v>617</v>
      </c>
      <c r="AF1535" t="s">
        <v>5193</v>
      </c>
      <c r="AG1535" t="s">
        <v>466</v>
      </c>
      <c r="AH1535" t="s">
        <v>1445</v>
      </c>
      <c r="AJ1535" t="s">
        <v>164</v>
      </c>
      <c r="AK1535" t="s">
        <v>5348</v>
      </c>
      <c r="AL1535">
        <v>0.26</v>
      </c>
      <c r="AN1535">
        <v>1.23</v>
      </c>
      <c r="AP1535" t="s">
        <v>3015</v>
      </c>
      <c r="AQ1535" t="s">
        <v>4592</v>
      </c>
      <c r="AR1535" t="s">
        <v>2522</v>
      </c>
      <c r="AS1535" t="s">
        <v>2146</v>
      </c>
      <c r="AT1535" t="s">
        <v>406</v>
      </c>
      <c r="AU1535" t="s">
        <v>3334</v>
      </c>
      <c r="AV1535" t="s">
        <v>3506</v>
      </c>
      <c r="AW1535" t="s">
        <v>1821</v>
      </c>
      <c r="AX1535" t="s">
        <v>1777</v>
      </c>
      <c r="AY1535" t="s">
        <v>1108</v>
      </c>
      <c r="AZ1535" t="s">
        <v>8563</v>
      </c>
      <c r="BB1535">
        <v>22.8</v>
      </c>
      <c r="BC1535">
        <v>0.19</v>
      </c>
      <c r="BD1535">
        <v>31.2</v>
      </c>
      <c r="BE1535">
        <v>31.2</v>
      </c>
      <c r="BF1535">
        <v>31.2</v>
      </c>
      <c r="BG1535" t="s">
        <v>17976</v>
      </c>
      <c r="BH1535" t="s">
        <v>1108</v>
      </c>
      <c r="BI1535" t="s">
        <v>17977</v>
      </c>
      <c r="BJ1535" t="s">
        <v>101</v>
      </c>
      <c r="BK1535" t="s">
        <v>14942</v>
      </c>
      <c r="BL1535" t="s">
        <v>6690</v>
      </c>
      <c r="BM1535" t="s">
        <v>4934</v>
      </c>
      <c r="BN1535" t="s">
        <v>14623</v>
      </c>
    </row>
    <row r="1536" spans="1:66" x14ac:dyDescent="0.25">
      <c r="A1536" t="str">
        <f>HYPERLINK("https://elite.finviz.com/quote.ashx?t=WHWK&amp;ty=c&amp;p=d&amp;b=1", "WHWK")</f>
        <v>WHWK</v>
      </c>
      <c r="B1536">
        <v>6</v>
      </c>
      <c r="C1536">
        <v>127.03</v>
      </c>
      <c r="D1536">
        <v>52.93</v>
      </c>
      <c r="E1536" t="s">
        <v>17978</v>
      </c>
      <c r="F1536" t="s">
        <v>107</v>
      </c>
      <c r="G1536" t="s">
        <v>428</v>
      </c>
      <c r="H1536" t="s">
        <v>429</v>
      </c>
      <c r="I1536" t="s">
        <v>70</v>
      </c>
      <c r="J1536" t="s">
        <v>321</v>
      </c>
      <c r="K1536">
        <v>89.07</v>
      </c>
      <c r="L1536">
        <v>1.89</v>
      </c>
      <c r="M1536" t="s">
        <v>164</v>
      </c>
      <c r="N1536">
        <v>3732</v>
      </c>
      <c r="R1536">
        <v>4.12</v>
      </c>
      <c r="S1536">
        <v>0.52</v>
      </c>
      <c r="AA1536">
        <v>-7.0000000000000007E-2</v>
      </c>
      <c r="AB1536" t="s">
        <v>17979</v>
      </c>
      <c r="AC1536" t="s">
        <v>6515</v>
      </c>
      <c r="AD1536" t="s">
        <v>5114</v>
      </c>
      <c r="AE1536" t="s">
        <v>11663</v>
      </c>
      <c r="AF1536" t="s">
        <v>16838</v>
      </c>
      <c r="AH1536" t="s">
        <v>579</v>
      </c>
      <c r="AI1536" t="s">
        <v>17980</v>
      </c>
      <c r="AJ1536" t="s">
        <v>164</v>
      </c>
      <c r="AK1536" t="s">
        <v>13827</v>
      </c>
      <c r="AL1536">
        <v>20.41</v>
      </c>
      <c r="AM1536">
        <v>20.41</v>
      </c>
      <c r="AN1536">
        <v>0</v>
      </c>
      <c r="AO1536" t="s">
        <v>17981</v>
      </c>
      <c r="AP1536" t="s">
        <v>17982</v>
      </c>
      <c r="AQ1536" t="s">
        <v>17983</v>
      </c>
      <c r="AR1536" t="s">
        <v>322</v>
      </c>
      <c r="AS1536" t="s">
        <v>3066</v>
      </c>
      <c r="AT1536" t="s">
        <v>4271</v>
      </c>
      <c r="AU1536" t="s">
        <v>169</v>
      </c>
      <c r="AV1536" t="s">
        <v>5773</v>
      </c>
      <c r="AW1536" t="s">
        <v>11592</v>
      </c>
      <c r="AX1536" t="s">
        <v>5118</v>
      </c>
      <c r="AY1536" t="s">
        <v>6863</v>
      </c>
      <c r="AZ1536" t="s">
        <v>8124</v>
      </c>
      <c r="BA1536">
        <v>3</v>
      </c>
      <c r="BB1536">
        <v>108.65</v>
      </c>
      <c r="BC1536">
        <v>0.12</v>
      </c>
      <c r="BD1536">
        <v>1.89</v>
      </c>
      <c r="BE1536">
        <v>1.93</v>
      </c>
      <c r="BF1536">
        <v>1.89</v>
      </c>
      <c r="BG1536" t="s">
        <v>17984</v>
      </c>
      <c r="BH1536" t="s">
        <v>17985</v>
      </c>
      <c r="BI1536" t="s">
        <v>17986</v>
      </c>
      <c r="BJ1536" t="s">
        <v>101</v>
      </c>
      <c r="BK1536" t="s">
        <v>2190</v>
      </c>
      <c r="BL1536" t="s">
        <v>6194</v>
      </c>
      <c r="BM1536" t="s">
        <v>164</v>
      </c>
      <c r="BN1536" t="s">
        <v>14623</v>
      </c>
    </row>
    <row r="1537" spans="1:66" x14ac:dyDescent="0.25">
      <c r="A1537" t="str">
        <f>HYPERLINK("https://elite.finviz.com/quote.ashx?t=NMAI&amp;ty=c&amp;p=d&amp;b=1", "NMAI")</f>
        <v>NMAI</v>
      </c>
      <c r="B1537">
        <v>6</v>
      </c>
      <c r="C1537">
        <v>127.03</v>
      </c>
      <c r="D1537">
        <v>52.95</v>
      </c>
      <c r="E1537" t="s">
        <v>17987</v>
      </c>
      <c r="F1537" t="s">
        <v>107</v>
      </c>
      <c r="G1537" t="s">
        <v>550</v>
      </c>
      <c r="H1537" t="s">
        <v>2597</v>
      </c>
      <c r="I1537" t="s">
        <v>70</v>
      </c>
      <c r="J1537" t="s">
        <v>71</v>
      </c>
      <c r="K1537">
        <v>429.53</v>
      </c>
      <c r="L1537">
        <v>12.85</v>
      </c>
      <c r="M1537" t="s">
        <v>4865</v>
      </c>
      <c r="N1537">
        <v>19035</v>
      </c>
      <c r="O1537">
        <v>7.79</v>
      </c>
      <c r="T1537" t="s">
        <v>6168</v>
      </c>
      <c r="U1537">
        <v>1.34</v>
      </c>
      <c r="V1537" t="s">
        <v>3833</v>
      </c>
      <c r="W1537" t="s">
        <v>7092</v>
      </c>
      <c r="X1537" t="s">
        <v>17988</v>
      </c>
      <c r="Z1537" t="s">
        <v>17989</v>
      </c>
      <c r="AA1537">
        <v>1.65</v>
      </c>
      <c r="AK1537" t="s">
        <v>1054</v>
      </c>
      <c r="AR1537" t="s">
        <v>2644</v>
      </c>
      <c r="AS1537" t="s">
        <v>3013</v>
      </c>
      <c r="AT1537" t="s">
        <v>211</v>
      </c>
      <c r="AU1537" t="s">
        <v>5380</v>
      </c>
      <c r="AV1537" t="s">
        <v>1981</v>
      </c>
      <c r="AW1537" t="s">
        <v>7243</v>
      </c>
      <c r="AX1537" t="s">
        <v>3469</v>
      </c>
      <c r="AY1537" t="s">
        <v>11242</v>
      </c>
      <c r="AZ1537" t="s">
        <v>4311</v>
      </c>
      <c r="BB1537">
        <v>110.81</v>
      </c>
      <c r="BC1537">
        <v>0.61</v>
      </c>
      <c r="BD1537">
        <v>12.76</v>
      </c>
      <c r="BE1537">
        <v>12.95</v>
      </c>
      <c r="BF1537">
        <v>12.82</v>
      </c>
      <c r="BG1537" t="s">
        <v>17990</v>
      </c>
      <c r="BH1537" t="s">
        <v>17991</v>
      </c>
      <c r="BI1537" t="s">
        <v>4311</v>
      </c>
      <c r="BJ1537" t="s">
        <v>101</v>
      </c>
      <c r="BK1537" t="s">
        <v>901</v>
      </c>
      <c r="BL1537" t="s">
        <v>3952</v>
      </c>
      <c r="BM1537" t="s">
        <v>2968</v>
      </c>
      <c r="BN1537" t="s">
        <v>14623</v>
      </c>
    </row>
    <row r="1538" spans="1:66" x14ac:dyDescent="0.25">
      <c r="A1538" t="str">
        <f>HYPERLINK("https://elite.finviz.com/quote.ashx?t=FENC&amp;ty=c&amp;p=d&amp;b=1", "FENC")</f>
        <v>FENC</v>
      </c>
      <c r="B1538">
        <v>6</v>
      </c>
      <c r="C1538">
        <v>127.03</v>
      </c>
      <c r="D1538">
        <v>52.96</v>
      </c>
      <c r="E1538" t="s">
        <v>17992</v>
      </c>
      <c r="F1538" t="s">
        <v>67</v>
      </c>
      <c r="G1538" t="s">
        <v>428</v>
      </c>
      <c r="H1538" t="s">
        <v>429</v>
      </c>
      <c r="I1538" t="s">
        <v>70</v>
      </c>
      <c r="J1538" t="s">
        <v>321</v>
      </c>
      <c r="K1538">
        <v>246.3</v>
      </c>
      <c r="L1538">
        <v>8.85</v>
      </c>
      <c r="M1538" t="s">
        <v>3257</v>
      </c>
      <c r="N1538">
        <v>13500</v>
      </c>
      <c r="P1538">
        <v>13.25</v>
      </c>
      <c r="R1538">
        <v>7.4</v>
      </c>
      <c r="AA1538">
        <v>-0.42</v>
      </c>
      <c r="AB1538" t="s">
        <v>17993</v>
      </c>
      <c r="AC1538" t="s">
        <v>14843</v>
      </c>
      <c r="AE1538" t="s">
        <v>17994</v>
      </c>
      <c r="AH1538" t="s">
        <v>10113</v>
      </c>
      <c r="AI1538" t="s">
        <v>17995</v>
      </c>
      <c r="AJ1538" t="s">
        <v>530</v>
      </c>
      <c r="AK1538" t="s">
        <v>17996</v>
      </c>
      <c r="AL1538">
        <v>4.8499999999999996</v>
      </c>
      <c r="AM1538">
        <v>4.59</v>
      </c>
      <c r="AO1538" t="s">
        <v>17997</v>
      </c>
      <c r="AP1538" t="s">
        <v>17998</v>
      </c>
      <c r="AQ1538" t="s">
        <v>8392</v>
      </c>
      <c r="AR1538" t="s">
        <v>3530</v>
      </c>
      <c r="AS1538" t="s">
        <v>6936</v>
      </c>
      <c r="AT1538" t="s">
        <v>3358</v>
      </c>
      <c r="AU1538" t="s">
        <v>4658</v>
      </c>
      <c r="AV1538" t="s">
        <v>10109</v>
      </c>
      <c r="AW1538" t="s">
        <v>746</v>
      </c>
      <c r="AX1538" t="s">
        <v>7640</v>
      </c>
      <c r="AY1538" t="s">
        <v>746</v>
      </c>
      <c r="AZ1538" t="s">
        <v>17999</v>
      </c>
      <c r="BA1538">
        <v>1</v>
      </c>
      <c r="BB1538">
        <v>69.900000000000006</v>
      </c>
      <c r="BC1538">
        <v>0.69</v>
      </c>
      <c r="BD1538">
        <v>8.6999999999999993</v>
      </c>
      <c r="BE1538">
        <v>8.89</v>
      </c>
      <c r="BF1538">
        <v>8.67</v>
      </c>
      <c r="BG1538" t="s">
        <v>18000</v>
      </c>
      <c r="BH1538" t="s">
        <v>18001</v>
      </c>
      <c r="BI1538" t="s">
        <v>18002</v>
      </c>
      <c r="BJ1538" t="s">
        <v>101</v>
      </c>
      <c r="BK1538" t="s">
        <v>296</v>
      </c>
      <c r="BL1538" t="s">
        <v>18003</v>
      </c>
      <c r="BM1538" t="s">
        <v>18004</v>
      </c>
      <c r="BN1538" t="s">
        <v>14623</v>
      </c>
    </row>
    <row r="1539" spans="1:66" x14ac:dyDescent="0.25">
      <c r="A1539" t="str">
        <f>HYPERLINK("https://elite.finviz.com/quote.ashx?t=ESHA&amp;ty=c&amp;p=d&amp;b=1", "ESHA")</f>
        <v>ESHA</v>
      </c>
      <c r="B1539">
        <v>6</v>
      </c>
      <c r="C1539">
        <v>127.03</v>
      </c>
      <c r="D1539">
        <v>52.97</v>
      </c>
      <c r="E1539" t="s">
        <v>18005</v>
      </c>
      <c r="F1539" t="s">
        <v>107</v>
      </c>
      <c r="G1539" t="s">
        <v>550</v>
      </c>
      <c r="H1539" t="s">
        <v>2120</v>
      </c>
      <c r="I1539" t="s">
        <v>70</v>
      </c>
      <c r="J1539" t="s">
        <v>321</v>
      </c>
      <c r="K1539">
        <v>44.97</v>
      </c>
      <c r="L1539">
        <v>11.53</v>
      </c>
      <c r="M1539" t="s">
        <v>164</v>
      </c>
      <c r="N1539">
        <v>0</v>
      </c>
      <c r="S1539">
        <v>6.39</v>
      </c>
      <c r="Z1539" t="s">
        <v>164</v>
      </c>
      <c r="AA1539">
        <v>-0.09</v>
      </c>
      <c r="AJ1539" t="s">
        <v>164</v>
      </c>
      <c r="AK1539" t="s">
        <v>7006</v>
      </c>
      <c r="AL1539">
        <v>0.31</v>
      </c>
      <c r="AM1539">
        <v>0.31</v>
      </c>
      <c r="AN1539">
        <v>0</v>
      </c>
      <c r="AR1539" t="s">
        <v>3758</v>
      </c>
      <c r="AS1539" t="s">
        <v>901</v>
      </c>
      <c r="AT1539" t="s">
        <v>2217</v>
      </c>
      <c r="AU1539" t="s">
        <v>1453</v>
      </c>
      <c r="AV1539" t="s">
        <v>9478</v>
      </c>
      <c r="AW1539" t="s">
        <v>13208</v>
      </c>
      <c r="AX1539" t="s">
        <v>6420</v>
      </c>
      <c r="AY1539" t="s">
        <v>13208</v>
      </c>
      <c r="AZ1539" t="s">
        <v>8662</v>
      </c>
      <c r="BB1539">
        <v>5.13</v>
      </c>
      <c r="BC1539">
        <v>0</v>
      </c>
      <c r="BD1539">
        <v>11.53</v>
      </c>
      <c r="BE1539">
        <v>11.53</v>
      </c>
      <c r="BF1539">
        <v>11.53</v>
      </c>
      <c r="BG1539" t="s">
        <v>18006</v>
      </c>
      <c r="BH1539" t="s">
        <v>13208</v>
      </c>
      <c r="BI1539" t="s">
        <v>6184</v>
      </c>
      <c r="BJ1539" t="s">
        <v>101</v>
      </c>
      <c r="BK1539" t="s">
        <v>1090</v>
      </c>
      <c r="BL1539" t="s">
        <v>9342</v>
      </c>
      <c r="BM1539" t="s">
        <v>18007</v>
      </c>
      <c r="BN1539" t="s">
        <v>14623</v>
      </c>
    </row>
    <row r="1540" spans="1:66" x14ac:dyDescent="0.25">
      <c r="A1540" t="str">
        <f>HYPERLINK("https://elite.finviz.com/quote.ashx?t=SIGI&amp;ty=c&amp;p=d&amp;b=1", "SIGI")</f>
        <v>SIGI</v>
      </c>
      <c r="B1540">
        <v>6</v>
      </c>
      <c r="C1540">
        <v>127.03</v>
      </c>
      <c r="D1540">
        <v>52.97</v>
      </c>
      <c r="E1540" t="s">
        <v>18008</v>
      </c>
      <c r="F1540" t="s">
        <v>67</v>
      </c>
      <c r="G1540" t="s">
        <v>550</v>
      </c>
      <c r="H1540" t="s">
        <v>4407</v>
      </c>
      <c r="I1540" t="s">
        <v>70</v>
      </c>
      <c r="J1540" t="s">
        <v>321</v>
      </c>
      <c r="K1540">
        <v>4831.83</v>
      </c>
      <c r="L1540">
        <v>79.41</v>
      </c>
      <c r="M1540" t="s">
        <v>2650</v>
      </c>
      <c r="N1540">
        <v>52052</v>
      </c>
      <c r="O1540">
        <v>13</v>
      </c>
      <c r="P1540">
        <v>9.7100000000000009</v>
      </c>
      <c r="Q1540">
        <v>0.34</v>
      </c>
      <c r="R1540">
        <v>0.95</v>
      </c>
      <c r="S1540">
        <v>1.52</v>
      </c>
      <c r="T1540" t="s">
        <v>2087</v>
      </c>
      <c r="U1540">
        <v>1.52</v>
      </c>
      <c r="V1540" t="s">
        <v>3046</v>
      </c>
      <c r="W1540" t="s">
        <v>2867</v>
      </c>
      <c r="X1540" t="s">
        <v>7976</v>
      </c>
      <c r="Y1540" t="s">
        <v>10407</v>
      </c>
      <c r="Z1540" t="s">
        <v>6713</v>
      </c>
      <c r="AA1540">
        <v>6.11</v>
      </c>
      <c r="AB1540" t="s">
        <v>12539</v>
      </c>
      <c r="AC1540" t="s">
        <v>7750</v>
      </c>
      <c r="AD1540" t="s">
        <v>1177</v>
      </c>
      <c r="AE1540" t="s">
        <v>2392</v>
      </c>
      <c r="AF1540" t="s">
        <v>9097</v>
      </c>
      <c r="AG1540" t="s">
        <v>9187</v>
      </c>
      <c r="AH1540" t="s">
        <v>177</v>
      </c>
      <c r="AI1540" t="s">
        <v>10010</v>
      </c>
      <c r="AJ1540" t="s">
        <v>2195</v>
      </c>
      <c r="AK1540" t="s">
        <v>10492</v>
      </c>
      <c r="AL1540">
        <v>0.48</v>
      </c>
      <c r="AN1540">
        <v>0.27</v>
      </c>
      <c r="AP1540" t="s">
        <v>185</v>
      </c>
      <c r="AQ1540" t="s">
        <v>5150</v>
      </c>
      <c r="AR1540" t="s">
        <v>3544</v>
      </c>
      <c r="AS1540" t="s">
        <v>4256</v>
      </c>
      <c r="AT1540" t="s">
        <v>5055</v>
      </c>
      <c r="AU1540" t="s">
        <v>430</v>
      </c>
      <c r="AV1540" t="s">
        <v>8055</v>
      </c>
      <c r="AW1540" t="s">
        <v>15022</v>
      </c>
      <c r="AX1540" t="s">
        <v>531</v>
      </c>
      <c r="AY1540" t="s">
        <v>2013</v>
      </c>
      <c r="AZ1540" t="s">
        <v>531</v>
      </c>
      <c r="BA1540">
        <v>2.78</v>
      </c>
      <c r="BB1540">
        <v>588.64</v>
      </c>
      <c r="BC1540">
        <v>0.31</v>
      </c>
      <c r="BD1540">
        <v>78.430000000000007</v>
      </c>
      <c r="BE1540">
        <v>79.959999999999994</v>
      </c>
      <c r="BF1540">
        <v>78.88</v>
      </c>
      <c r="BG1540" t="s">
        <v>18009</v>
      </c>
      <c r="BH1540" t="s">
        <v>18010</v>
      </c>
      <c r="BI1540" t="s">
        <v>18011</v>
      </c>
      <c r="BJ1540" t="s">
        <v>101</v>
      </c>
      <c r="BK1540" t="s">
        <v>6436</v>
      </c>
      <c r="BL1540" t="s">
        <v>8621</v>
      </c>
      <c r="BM1540" t="s">
        <v>10885</v>
      </c>
      <c r="BN1540" t="s">
        <v>14623</v>
      </c>
    </row>
    <row r="1541" spans="1:66" x14ac:dyDescent="0.25">
      <c r="A1541" t="str">
        <f>HYPERLINK("https://elite.finviz.com/quote.ashx?t=LNKB&amp;ty=c&amp;p=d&amp;b=1", "LNKB")</f>
        <v>LNKB</v>
      </c>
      <c r="B1541">
        <v>6</v>
      </c>
      <c r="C1541">
        <v>127.03</v>
      </c>
      <c r="D1541">
        <v>52.97</v>
      </c>
      <c r="E1541" t="s">
        <v>18012</v>
      </c>
      <c r="F1541" t="s">
        <v>67</v>
      </c>
      <c r="G1541" t="s">
        <v>550</v>
      </c>
      <c r="H1541" t="s">
        <v>697</v>
      </c>
      <c r="I1541" t="s">
        <v>70</v>
      </c>
      <c r="J1541" t="s">
        <v>321</v>
      </c>
      <c r="K1541">
        <v>273.75</v>
      </c>
      <c r="L1541">
        <v>7.31</v>
      </c>
      <c r="M1541" t="s">
        <v>3358</v>
      </c>
      <c r="N1541">
        <v>14115</v>
      </c>
      <c r="O1541">
        <v>7.27</v>
      </c>
      <c r="P1541">
        <v>7.86</v>
      </c>
      <c r="R1541">
        <v>1.61</v>
      </c>
      <c r="S1541">
        <v>0.92</v>
      </c>
      <c r="T1541" t="s">
        <v>2647</v>
      </c>
      <c r="U1541">
        <v>0.3</v>
      </c>
      <c r="V1541" t="s">
        <v>4882</v>
      </c>
      <c r="W1541" t="s">
        <v>164</v>
      </c>
      <c r="X1541" t="s">
        <v>17403</v>
      </c>
      <c r="Z1541" t="s">
        <v>10987</v>
      </c>
      <c r="AA1541">
        <v>1.01</v>
      </c>
      <c r="AB1541" t="s">
        <v>18013</v>
      </c>
      <c r="AC1541" t="s">
        <v>2276</v>
      </c>
      <c r="AE1541" t="s">
        <v>9213</v>
      </c>
      <c r="AF1541" t="s">
        <v>10291</v>
      </c>
      <c r="AG1541" t="s">
        <v>18014</v>
      </c>
      <c r="AH1541" t="s">
        <v>7322</v>
      </c>
      <c r="AI1541" t="s">
        <v>7272</v>
      </c>
      <c r="AJ1541" t="s">
        <v>5549</v>
      </c>
      <c r="AK1541" t="s">
        <v>18015</v>
      </c>
      <c r="AL1541">
        <v>0.13</v>
      </c>
      <c r="AN1541">
        <v>0.4</v>
      </c>
      <c r="AP1541" t="s">
        <v>3457</v>
      </c>
      <c r="AQ1541" t="s">
        <v>10516</v>
      </c>
      <c r="AR1541" t="s">
        <v>4710</v>
      </c>
      <c r="AS1541" t="s">
        <v>451</v>
      </c>
      <c r="AT1541" t="s">
        <v>4782</v>
      </c>
      <c r="AU1541" t="s">
        <v>9136</v>
      </c>
      <c r="AV1541" t="s">
        <v>1761</v>
      </c>
      <c r="AW1541" t="s">
        <v>3595</v>
      </c>
      <c r="AX1541" t="s">
        <v>483</v>
      </c>
      <c r="AY1541" t="s">
        <v>5594</v>
      </c>
      <c r="AZ1541" t="s">
        <v>1667</v>
      </c>
      <c r="BA1541">
        <v>2</v>
      </c>
      <c r="BB1541">
        <v>52.58</v>
      </c>
      <c r="BC1541">
        <v>0.95</v>
      </c>
      <c r="BD1541">
        <v>7.3</v>
      </c>
      <c r="BE1541">
        <v>7.39</v>
      </c>
      <c r="BF1541">
        <v>7.31</v>
      </c>
      <c r="BG1541" t="s">
        <v>18016</v>
      </c>
      <c r="BH1541" t="s">
        <v>7350</v>
      </c>
      <c r="BI1541" t="s">
        <v>14700</v>
      </c>
      <c r="BJ1541" t="s">
        <v>101</v>
      </c>
      <c r="BK1541" t="s">
        <v>3559</v>
      </c>
      <c r="BL1541" t="s">
        <v>3205</v>
      </c>
      <c r="BM1541" t="s">
        <v>10812</v>
      </c>
      <c r="BN1541" t="s">
        <v>14623</v>
      </c>
    </row>
    <row r="1542" spans="1:66" x14ac:dyDescent="0.25">
      <c r="A1542" t="str">
        <f>HYPERLINK("https://elite.finviz.com/quote.ashx?t=KE&amp;ty=c&amp;p=d&amp;b=1", "KE")</f>
        <v>KE</v>
      </c>
      <c r="B1542">
        <v>6</v>
      </c>
      <c r="C1542">
        <v>127.03</v>
      </c>
      <c r="D1542">
        <v>53.01</v>
      </c>
      <c r="E1542" t="s">
        <v>18017</v>
      </c>
      <c r="F1542" t="s">
        <v>67</v>
      </c>
      <c r="G1542" t="s">
        <v>260</v>
      </c>
      <c r="H1542" t="s">
        <v>1128</v>
      </c>
      <c r="I1542" t="s">
        <v>70</v>
      </c>
      <c r="J1542" t="s">
        <v>321</v>
      </c>
      <c r="K1542">
        <v>718.08</v>
      </c>
      <c r="L1542">
        <v>29.65</v>
      </c>
      <c r="M1542" t="s">
        <v>1938</v>
      </c>
      <c r="N1542">
        <v>41241</v>
      </c>
      <c r="O1542">
        <v>43.89</v>
      </c>
      <c r="P1542">
        <v>20.55</v>
      </c>
      <c r="R1542">
        <v>0.48</v>
      </c>
      <c r="S1542">
        <v>1.26</v>
      </c>
      <c r="Z1542" t="s">
        <v>164</v>
      </c>
      <c r="AA1542">
        <v>0.68</v>
      </c>
      <c r="AB1542" t="s">
        <v>15097</v>
      </c>
      <c r="AC1542" t="s">
        <v>7568</v>
      </c>
      <c r="AE1542" t="s">
        <v>4899</v>
      </c>
      <c r="AF1542" t="s">
        <v>7284</v>
      </c>
      <c r="AG1542" t="s">
        <v>6936</v>
      </c>
      <c r="AH1542" t="s">
        <v>1450</v>
      </c>
      <c r="AI1542" t="s">
        <v>5744</v>
      </c>
      <c r="AJ1542" t="s">
        <v>164</v>
      </c>
      <c r="AK1542" t="s">
        <v>18018</v>
      </c>
      <c r="AL1542">
        <v>2.2000000000000002</v>
      </c>
      <c r="AM1542">
        <v>1.34</v>
      </c>
      <c r="AN1542">
        <v>0.28000000000000003</v>
      </c>
      <c r="AO1542" t="s">
        <v>6420</v>
      </c>
      <c r="AP1542" t="s">
        <v>3170</v>
      </c>
      <c r="AQ1542" t="s">
        <v>1279</v>
      </c>
      <c r="AR1542" t="s">
        <v>2108</v>
      </c>
      <c r="AS1542" t="s">
        <v>5593</v>
      </c>
      <c r="AT1542" t="s">
        <v>1000</v>
      </c>
      <c r="AU1542" t="s">
        <v>12222</v>
      </c>
      <c r="AV1542" t="s">
        <v>18019</v>
      </c>
      <c r="AW1542" t="s">
        <v>4438</v>
      </c>
      <c r="AX1542" t="s">
        <v>4166</v>
      </c>
      <c r="AY1542" t="s">
        <v>4438</v>
      </c>
      <c r="AZ1542" t="s">
        <v>18020</v>
      </c>
      <c r="BA1542">
        <v>1.5</v>
      </c>
      <c r="BB1542">
        <v>212.99</v>
      </c>
      <c r="BC1542">
        <v>0.68</v>
      </c>
      <c r="BD1542">
        <v>29.81</v>
      </c>
      <c r="BE1542">
        <v>29.7</v>
      </c>
      <c r="BF1542">
        <v>29.5</v>
      </c>
      <c r="BG1542" t="s">
        <v>18021</v>
      </c>
      <c r="BH1542" t="s">
        <v>4438</v>
      </c>
      <c r="BI1542" t="s">
        <v>18022</v>
      </c>
      <c r="BJ1542" t="s">
        <v>101</v>
      </c>
      <c r="BK1542" t="s">
        <v>7331</v>
      </c>
      <c r="BL1542" t="s">
        <v>15661</v>
      </c>
      <c r="BM1542" t="s">
        <v>5317</v>
      </c>
      <c r="BN1542" t="s">
        <v>14623</v>
      </c>
    </row>
    <row r="1543" spans="1:66" x14ac:dyDescent="0.25">
      <c r="A1543" t="str">
        <f>HYPERLINK("https://elite.finviz.com/quote.ashx?t=ONFO&amp;ty=c&amp;p=d&amp;b=1", "ONFO")</f>
        <v>ONFO</v>
      </c>
      <c r="B1543">
        <v>6</v>
      </c>
      <c r="C1543">
        <v>127.03</v>
      </c>
      <c r="D1543">
        <v>53.01</v>
      </c>
      <c r="E1543" t="s">
        <v>18023</v>
      </c>
      <c r="F1543" t="s">
        <v>107</v>
      </c>
      <c r="G1543" t="s">
        <v>598</v>
      </c>
      <c r="H1543" t="s">
        <v>599</v>
      </c>
      <c r="I1543" t="s">
        <v>70</v>
      </c>
      <c r="J1543" t="s">
        <v>321</v>
      </c>
      <c r="K1543">
        <v>5.87</v>
      </c>
      <c r="L1543">
        <v>1.1399999999999999</v>
      </c>
      <c r="M1543" t="s">
        <v>1783</v>
      </c>
      <c r="N1543">
        <v>43812</v>
      </c>
      <c r="R1543">
        <v>0.56000000000000005</v>
      </c>
      <c r="S1543">
        <v>1.91</v>
      </c>
      <c r="AA1543">
        <v>-0.41</v>
      </c>
      <c r="AB1543" t="s">
        <v>5257</v>
      </c>
      <c r="AC1543" t="s">
        <v>6816</v>
      </c>
      <c r="AE1543" t="s">
        <v>18024</v>
      </c>
      <c r="AF1543" t="s">
        <v>8320</v>
      </c>
      <c r="AG1543" t="s">
        <v>18025</v>
      </c>
      <c r="AH1543" t="s">
        <v>12915</v>
      </c>
      <c r="AJ1543" t="s">
        <v>164</v>
      </c>
      <c r="AK1543" t="s">
        <v>2424</v>
      </c>
      <c r="AL1543">
        <v>0.5</v>
      </c>
      <c r="AM1543">
        <v>0.49</v>
      </c>
      <c r="AN1543">
        <v>0.87</v>
      </c>
      <c r="AO1543" t="s">
        <v>492</v>
      </c>
      <c r="AP1543" t="s">
        <v>17611</v>
      </c>
      <c r="AQ1543" t="s">
        <v>638</v>
      </c>
      <c r="AR1543" t="s">
        <v>582</v>
      </c>
      <c r="AS1543" t="s">
        <v>6466</v>
      </c>
      <c r="AT1543" t="s">
        <v>3520</v>
      </c>
      <c r="AU1543" t="s">
        <v>1776</v>
      </c>
      <c r="AV1543" t="s">
        <v>124</v>
      </c>
      <c r="AW1543" t="s">
        <v>18026</v>
      </c>
      <c r="AX1543" t="s">
        <v>1054</v>
      </c>
      <c r="AY1543" t="s">
        <v>18026</v>
      </c>
      <c r="AZ1543" t="s">
        <v>18027</v>
      </c>
      <c r="BA1543">
        <v>1</v>
      </c>
      <c r="BB1543">
        <v>576.03</v>
      </c>
      <c r="BC1543">
        <v>0.27</v>
      </c>
      <c r="BD1543">
        <v>1.1599999999999999</v>
      </c>
      <c r="BE1543">
        <v>1.1599999999999999</v>
      </c>
      <c r="BF1543">
        <v>1.1200000000000001</v>
      </c>
      <c r="BG1543" t="s">
        <v>18028</v>
      </c>
      <c r="BH1543" t="s">
        <v>18029</v>
      </c>
      <c r="BI1543" t="s">
        <v>18030</v>
      </c>
      <c r="BJ1543" t="s">
        <v>101</v>
      </c>
      <c r="BK1543" t="s">
        <v>3997</v>
      </c>
      <c r="BL1543" t="s">
        <v>1826</v>
      </c>
      <c r="BM1543" t="s">
        <v>4087</v>
      </c>
      <c r="BN1543" t="s">
        <v>14623</v>
      </c>
    </row>
    <row r="1544" spans="1:66" x14ac:dyDescent="0.25">
      <c r="A1544" t="str">
        <f>HYPERLINK("https://elite.finviz.com/quote.ashx?t=ECPG&amp;ty=c&amp;p=d&amp;b=1", "ECPG")</f>
        <v>ECPG</v>
      </c>
      <c r="B1544">
        <v>6</v>
      </c>
      <c r="C1544">
        <v>127.03</v>
      </c>
      <c r="D1544">
        <v>53.01</v>
      </c>
      <c r="E1544" t="s">
        <v>18031</v>
      </c>
      <c r="F1544" t="s">
        <v>67</v>
      </c>
      <c r="G1544" t="s">
        <v>550</v>
      </c>
      <c r="H1544" t="s">
        <v>3744</v>
      </c>
      <c r="I1544" t="s">
        <v>70</v>
      </c>
      <c r="J1544" t="s">
        <v>321</v>
      </c>
      <c r="K1544">
        <v>1008.18</v>
      </c>
      <c r="L1544">
        <v>43.81</v>
      </c>
      <c r="M1544" t="s">
        <v>1763</v>
      </c>
      <c r="N1544">
        <v>59362</v>
      </c>
      <c r="P1544">
        <v>5.31</v>
      </c>
      <c r="R1544">
        <v>0.69</v>
      </c>
      <c r="S1544">
        <v>1.1299999999999999</v>
      </c>
      <c r="AA1544">
        <v>-3.75</v>
      </c>
      <c r="AE1544" t="s">
        <v>5038</v>
      </c>
      <c r="AF1544" t="s">
        <v>17105</v>
      </c>
      <c r="AG1544" t="s">
        <v>2826</v>
      </c>
      <c r="AH1544" t="s">
        <v>6792</v>
      </c>
      <c r="AI1544" t="s">
        <v>11678</v>
      </c>
      <c r="AJ1544" t="s">
        <v>164</v>
      </c>
      <c r="AK1544" t="s">
        <v>18032</v>
      </c>
      <c r="AL1544">
        <v>1.1200000000000001</v>
      </c>
      <c r="AM1544">
        <v>1.1200000000000001</v>
      </c>
      <c r="AN1544">
        <v>4.43</v>
      </c>
      <c r="AO1544" t="s">
        <v>16661</v>
      </c>
      <c r="AP1544" t="s">
        <v>3750</v>
      </c>
      <c r="AQ1544" t="s">
        <v>1892</v>
      </c>
      <c r="AR1544" t="s">
        <v>4204</v>
      </c>
      <c r="AS1544" t="s">
        <v>4687</v>
      </c>
      <c r="AT1544" t="s">
        <v>4538</v>
      </c>
      <c r="AU1544" t="s">
        <v>4077</v>
      </c>
      <c r="AV1544" t="s">
        <v>661</v>
      </c>
      <c r="AW1544" t="s">
        <v>4705</v>
      </c>
      <c r="AX1544" t="s">
        <v>6515</v>
      </c>
      <c r="AY1544" t="s">
        <v>18033</v>
      </c>
      <c r="AZ1544" t="s">
        <v>18034</v>
      </c>
      <c r="BA1544">
        <v>1.4</v>
      </c>
      <c r="BB1544">
        <v>302.08999999999997</v>
      </c>
      <c r="BC1544">
        <v>0.69</v>
      </c>
      <c r="BD1544">
        <v>43.55</v>
      </c>
      <c r="BE1544">
        <v>44.4</v>
      </c>
      <c r="BF1544">
        <v>43.55</v>
      </c>
      <c r="BG1544" t="s">
        <v>18035</v>
      </c>
      <c r="BH1544" t="s">
        <v>18036</v>
      </c>
      <c r="BI1544" t="s">
        <v>18037</v>
      </c>
      <c r="BJ1544" t="s">
        <v>101</v>
      </c>
      <c r="BK1544" t="s">
        <v>821</v>
      </c>
      <c r="BL1544" t="s">
        <v>10412</v>
      </c>
      <c r="BM1544" t="s">
        <v>3792</v>
      </c>
      <c r="BN1544" t="s">
        <v>14623</v>
      </c>
    </row>
    <row r="1545" spans="1:66" x14ac:dyDescent="0.25">
      <c r="A1545" t="str">
        <f>HYPERLINK("https://elite.finviz.com/quote.ashx?t=EXOD&amp;ty=c&amp;p=d&amp;b=1", "EXOD")</f>
        <v>EXOD</v>
      </c>
      <c r="B1545">
        <v>6</v>
      </c>
      <c r="C1545">
        <v>127.03</v>
      </c>
      <c r="D1545">
        <v>53.01</v>
      </c>
      <c r="E1545" t="s">
        <v>18038</v>
      </c>
      <c r="F1545" t="s">
        <v>107</v>
      </c>
      <c r="G1545" t="s">
        <v>108</v>
      </c>
      <c r="H1545" t="s">
        <v>109</v>
      </c>
      <c r="I1545" t="s">
        <v>70</v>
      </c>
      <c r="J1545" t="s">
        <v>383</v>
      </c>
      <c r="K1545">
        <v>855.19</v>
      </c>
      <c r="L1545">
        <v>29.42</v>
      </c>
      <c r="M1545" t="s">
        <v>2201</v>
      </c>
      <c r="N1545">
        <v>21875</v>
      </c>
      <c r="O1545">
        <v>9.0399999999999991</v>
      </c>
      <c r="P1545">
        <v>32.15</v>
      </c>
      <c r="R1545">
        <v>6.75</v>
      </c>
      <c r="S1545">
        <v>3.07</v>
      </c>
      <c r="Z1545" t="s">
        <v>164</v>
      </c>
      <c r="AA1545">
        <v>3.26</v>
      </c>
      <c r="AD1545" t="s">
        <v>15454</v>
      </c>
      <c r="AF1545" t="s">
        <v>6330</v>
      </c>
      <c r="AG1545" t="s">
        <v>18039</v>
      </c>
      <c r="AH1545" t="s">
        <v>10648</v>
      </c>
      <c r="AI1545" t="s">
        <v>18040</v>
      </c>
      <c r="AJ1545" t="s">
        <v>7709</v>
      </c>
      <c r="AK1545" t="s">
        <v>246</v>
      </c>
      <c r="AL1545">
        <v>6.51</v>
      </c>
      <c r="AM1545">
        <v>6.51</v>
      </c>
      <c r="AN1545">
        <v>0</v>
      </c>
      <c r="AO1545" t="s">
        <v>18041</v>
      </c>
      <c r="AP1545" t="s">
        <v>4558</v>
      </c>
      <c r="AQ1545" t="s">
        <v>18042</v>
      </c>
      <c r="AR1545" t="s">
        <v>8650</v>
      </c>
      <c r="AS1545" t="s">
        <v>262</v>
      </c>
      <c r="AT1545" t="s">
        <v>713</v>
      </c>
      <c r="AU1545" t="s">
        <v>2201</v>
      </c>
      <c r="AV1545" t="s">
        <v>4209</v>
      </c>
      <c r="AW1545" t="s">
        <v>5186</v>
      </c>
      <c r="AX1545" t="s">
        <v>3861</v>
      </c>
      <c r="AY1545" t="s">
        <v>8265</v>
      </c>
      <c r="AZ1545" t="s">
        <v>4725</v>
      </c>
      <c r="BA1545">
        <v>1</v>
      </c>
      <c r="BB1545">
        <v>127.99</v>
      </c>
      <c r="BC1545">
        <v>0.6</v>
      </c>
      <c r="BD1545">
        <v>28.9</v>
      </c>
      <c r="BE1545">
        <v>29.46</v>
      </c>
      <c r="BF1545">
        <v>28.92</v>
      </c>
      <c r="BG1545" t="s">
        <v>18043</v>
      </c>
      <c r="BH1545" t="s">
        <v>8265</v>
      </c>
      <c r="BI1545" t="s">
        <v>18044</v>
      </c>
      <c r="BJ1545" t="s">
        <v>101</v>
      </c>
      <c r="BK1545" t="s">
        <v>9075</v>
      </c>
      <c r="BL1545" t="s">
        <v>15512</v>
      </c>
      <c r="BM1545" t="s">
        <v>10158</v>
      </c>
      <c r="BN1545" t="s">
        <v>14623</v>
      </c>
    </row>
    <row r="1546" spans="1:66" x14ac:dyDescent="0.25">
      <c r="A1546" t="str">
        <f>HYPERLINK("https://elite.finviz.com/quote.ashx?t=MARPS&amp;ty=c&amp;p=d&amp;b=1", "MARPS")</f>
        <v>MARPS</v>
      </c>
      <c r="B1546">
        <v>6</v>
      </c>
      <c r="C1546">
        <v>127.03</v>
      </c>
      <c r="D1546">
        <v>53.03</v>
      </c>
      <c r="E1546" t="s">
        <v>18045</v>
      </c>
      <c r="F1546" t="s">
        <v>107</v>
      </c>
      <c r="G1546" t="s">
        <v>1048</v>
      </c>
      <c r="H1546" t="s">
        <v>3915</v>
      </c>
      <c r="I1546" t="s">
        <v>70</v>
      </c>
      <c r="J1546" t="s">
        <v>321</v>
      </c>
      <c r="K1546">
        <v>9.52</v>
      </c>
      <c r="L1546">
        <v>4.76</v>
      </c>
      <c r="M1546" t="s">
        <v>4690</v>
      </c>
      <c r="N1546">
        <v>2257</v>
      </c>
      <c r="O1546">
        <v>13.09</v>
      </c>
      <c r="R1546">
        <v>9.15</v>
      </c>
      <c r="S1546">
        <v>9.7899999999999991</v>
      </c>
      <c r="T1546" t="s">
        <v>1495</v>
      </c>
      <c r="U1546">
        <v>0.36</v>
      </c>
      <c r="V1546" t="s">
        <v>4882</v>
      </c>
      <c r="W1546" t="s">
        <v>7447</v>
      </c>
      <c r="X1546" t="s">
        <v>12846</v>
      </c>
      <c r="Y1546" t="s">
        <v>5084</v>
      </c>
      <c r="Z1546" t="s">
        <v>18046</v>
      </c>
      <c r="AA1546">
        <v>0.36</v>
      </c>
      <c r="AB1546" t="s">
        <v>18047</v>
      </c>
      <c r="AC1546" t="s">
        <v>4839</v>
      </c>
      <c r="AE1546" t="s">
        <v>3376</v>
      </c>
      <c r="AF1546" t="s">
        <v>7500</v>
      </c>
      <c r="AG1546" t="s">
        <v>6475</v>
      </c>
      <c r="AH1546" t="s">
        <v>431</v>
      </c>
      <c r="AJ1546" t="s">
        <v>164</v>
      </c>
      <c r="AK1546" t="s">
        <v>4324</v>
      </c>
      <c r="AN1546">
        <v>0</v>
      </c>
      <c r="AP1546" t="s">
        <v>11720</v>
      </c>
      <c r="AQ1546" t="s">
        <v>11720</v>
      </c>
      <c r="AR1546" t="s">
        <v>2150</v>
      </c>
      <c r="AS1546" t="s">
        <v>756</v>
      </c>
      <c r="AT1546" t="s">
        <v>2175</v>
      </c>
      <c r="AU1546" t="s">
        <v>307</v>
      </c>
      <c r="AV1546" t="s">
        <v>6278</v>
      </c>
      <c r="AW1546" t="s">
        <v>10617</v>
      </c>
      <c r="AX1546" t="s">
        <v>485</v>
      </c>
      <c r="AY1546" t="s">
        <v>18048</v>
      </c>
      <c r="AZ1546" t="s">
        <v>18049</v>
      </c>
      <c r="BB1546">
        <v>10.71</v>
      </c>
      <c r="BC1546">
        <v>0.75</v>
      </c>
      <c r="BD1546">
        <v>4.57</v>
      </c>
      <c r="BE1546">
        <v>4.83</v>
      </c>
      <c r="BF1546">
        <v>4.5599999999999996</v>
      </c>
      <c r="BG1546" t="s">
        <v>18050</v>
      </c>
      <c r="BH1546" t="s">
        <v>18051</v>
      </c>
      <c r="BI1546" t="s">
        <v>18052</v>
      </c>
      <c r="BJ1546" t="s">
        <v>101</v>
      </c>
      <c r="BK1546" t="s">
        <v>3837</v>
      </c>
      <c r="BL1546" t="s">
        <v>5050</v>
      </c>
      <c r="BM1546" t="s">
        <v>2871</v>
      </c>
      <c r="BN1546" t="s">
        <v>14623</v>
      </c>
    </row>
    <row r="1547" spans="1:66" x14ac:dyDescent="0.25">
      <c r="A1547" t="str">
        <f>HYPERLINK("https://elite.finviz.com/quote.ashx?t=SPH&amp;ty=c&amp;p=d&amp;b=1", "SPH")</f>
        <v>SPH</v>
      </c>
      <c r="B1547">
        <v>6</v>
      </c>
      <c r="C1547">
        <v>127.03</v>
      </c>
      <c r="D1547">
        <v>53.06</v>
      </c>
      <c r="E1547" t="s">
        <v>18053</v>
      </c>
      <c r="F1547" t="s">
        <v>107</v>
      </c>
      <c r="G1547" t="s">
        <v>287</v>
      </c>
      <c r="H1547" t="s">
        <v>3541</v>
      </c>
      <c r="I1547" t="s">
        <v>70</v>
      </c>
      <c r="J1547" t="s">
        <v>71</v>
      </c>
      <c r="K1547">
        <v>1220.43</v>
      </c>
      <c r="L1547">
        <v>18.64</v>
      </c>
      <c r="M1547" t="s">
        <v>4955</v>
      </c>
      <c r="N1547">
        <v>12266</v>
      </c>
      <c r="O1547">
        <v>12.58</v>
      </c>
      <c r="P1547">
        <v>10.08</v>
      </c>
      <c r="Q1547">
        <v>1.84</v>
      </c>
      <c r="R1547">
        <v>0.85</v>
      </c>
      <c r="S1547">
        <v>1.89</v>
      </c>
      <c r="T1547" t="s">
        <v>12450</v>
      </c>
      <c r="U1547">
        <v>1.3</v>
      </c>
      <c r="V1547" t="s">
        <v>6057</v>
      </c>
      <c r="W1547" t="s">
        <v>164</v>
      </c>
      <c r="X1547" t="s">
        <v>2219</v>
      </c>
      <c r="Y1547" t="s">
        <v>11400</v>
      </c>
      <c r="Z1547" t="s">
        <v>18054</v>
      </c>
      <c r="AA1547">
        <v>1.48</v>
      </c>
      <c r="AB1547" t="s">
        <v>4071</v>
      </c>
      <c r="AC1547" t="s">
        <v>3169</v>
      </c>
      <c r="AD1547" t="s">
        <v>8276</v>
      </c>
      <c r="AE1547" t="s">
        <v>336</v>
      </c>
      <c r="AF1547" t="s">
        <v>5055</v>
      </c>
      <c r="AG1547" t="s">
        <v>2864</v>
      </c>
      <c r="AH1547" t="s">
        <v>3544</v>
      </c>
      <c r="AI1547" t="s">
        <v>17548</v>
      </c>
      <c r="AJ1547" t="s">
        <v>2426</v>
      </c>
      <c r="AK1547" t="s">
        <v>4579</v>
      </c>
      <c r="AL1547">
        <v>0.7</v>
      </c>
      <c r="AM1547">
        <v>0.46</v>
      </c>
      <c r="AN1547">
        <v>2.09</v>
      </c>
      <c r="AO1547" t="s">
        <v>9039</v>
      </c>
      <c r="AP1547" t="s">
        <v>8684</v>
      </c>
      <c r="AQ1547" t="s">
        <v>506</v>
      </c>
      <c r="AR1547" t="s">
        <v>2339</v>
      </c>
      <c r="AS1547" t="s">
        <v>4946</v>
      </c>
      <c r="AT1547" t="s">
        <v>3047</v>
      </c>
      <c r="AU1547" t="s">
        <v>2125</v>
      </c>
      <c r="AV1547" t="s">
        <v>16782</v>
      </c>
      <c r="AW1547" t="s">
        <v>3554</v>
      </c>
      <c r="AX1547" t="s">
        <v>7622</v>
      </c>
      <c r="AY1547" t="s">
        <v>18055</v>
      </c>
      <c r="AZ1547" t="s">
        <v>3171</v>
      </c>
      <c r="BA1547">
        <v>3</v>
      </c>
      <c r="BB1547">
        <v>118.94</v>
      </c>
      <c r="BC1547">
        <v>0.37</v>
      </c>
      <c r="BD1547">
        <v>18.670000000000002</v>
      </c>
      <c r="BE1547">
        <v>18.739999999999998</v>
      </c>
      <c r="BF1547">
        <v>18.600000000000001</v>
      </c>
      <c r="BG1547" t="s">
        <v>18056</v>
      </c>
      <c r="BH1547" t="s">
        <v>18057</v>
      </c>
      <c r="BI1547" t="s">
        <v>18058</v>
      </c>
      <c r="BJ1547" t="s">
        <v>101</v>
      </c>
      <c r="BK1547" t="s">
        <v>6156</v>
      </c>
      <c r="BL1547" t="s">
        <v>13806</v>
      </c>
      <c r="BM1547" t="s">
        <v>5885</v>
      </c>
      <c r="BN1547" t="s">
        <v>14623</v>
      </c>
    </row>
    <row r="1548" spans="1:66" x14ac:dyDescent="0.25">
      <c r="A1548" t="str">
        <f>HYPERLINK("https://elite.finviz.com/quote.ashx?t=CPS&amp;ty=c&amp;p=d&amp;b=1", "CPS")</f>
        <v>CPS</v>
      </c>
      <c r="B1548">
        <v>6</v>
      </c>
      <c r="C1548">
        <v>127.03</v>
      </c>
      <c r="D1548">
        <v>53.09</v>
      </c>
      <c r="E1548" t="s">
        <v>18059</v>
      </c>
      <c r="F1548" t="s">
        <v>67</v>
      </c>
      <c r="G1548" t="s">
        <v>813</v>
      </c>
      <c r="H1548" t="s">
        <v>814</v>
      </c>
      <c r="I1548" t="s">
        <v>70</v>
      </c>
      <c r="J1548" t="s">
        <v>71</v>
      </c>
      <c r="K1548">
        <v>646.27</v>
      </c>
      <c r="L1548">
        <v>36.65</v>
      </c>
      <c r="M1548" t="s">
        <v>1648</v>
      </c>
      <c r="N1548">
        <v>26110</v>
      </c>
      <c r="O1548">
        <v>22.69</v>
      </c>
      <c r="P1548">
        <v>16.54</v>
      </c>
      <c r="R1548">
        <v>0.24</v>
      </c>
      <c r="AA1548">
        <v>1.62</v>
      </c>
      <c r="AB1548" t="s">
        <v>18060</v>
      </c>
      <c r="AE1548" t="s">
        <v>3315</v>
      </c>
      <c r="AF1548" t="s">
        <v>5591</v>
      </c>
      <c r="AG1548" t="s">
        <v>4531</v>
      </c>
      <c r="AH1548" t="s">
        <v>9925</v>
      </c>
      <c r="AI1548" t="s">
        <v>18061</v>
      </c>
      <c r="AJ1548" t="s">
        <v>164</v>
      </c>
      <c r="AK1548" t="s">
        <v>12230</v>
      </c>
      <c r="AL1548">
        <v>1.4</v>
      </c>
      <c r="AM1548">
        <v>1.1100000000000001</v>
      </c>
      <c r="AO1548" t="s">
        <v>4110</v>
      </c>
      <c r="AP1548" t="s">
        <v>5685</v>
      </c>
      <c r="AQ1548" t="s">
        <v>344</v>
      </c>
      <c r="AR1548" t="s">
        <v>2523</v>
      </c>
      <c r="AS1548" t="s">
        <v>3519</v>
      </c>
      <c r="AT1548" t="s">
        <v>2012</v>
      </c>
      <c r="AU1548" t="s">
        <v>8456</v>
      </c>
      <c r="AV1548" t="s">
        <v>16026</v>
      </c>
      <c r="AW1548" t="s">
        <v>13200</v>
      </c>
      <c r="AX1548" t="s">
        <v>3854</v>
      </c>
      <c r="AY1548" t="s">
        <v>13200</v>
      </c>
      <c r="AZ1548" t="s">
        <v>18062</v>
      </c>
      <c r="BA1548">
        <v>1.67</v>
      </c>
      <c r="BB1548">
        <v>205.44</v>
      </c>
      <c r="BC1548">
        <v>0.45</v>
      </c>
      <c r="BD1548">
        <v>36.72</v>
      </c>
      <c r="BE1548">
        <v>36.89</v>
      </c>
      <c r="BF1548">
        <v>36.4</v>
      </c>
      <c r="BG1548" t="s">
        <v>18063</v>
      </c>
      <c r="BH1548" t="s">
        <v>18064</v>
      </c>
      <c r="BI1548" t="s">
        <v>18065</v>
      </c>
      <c r="BJ1548" t="s">
        <v>101</v>
      </c>
      <c r="BK1548" t="s">
        <v>7630</v>
      </c>
      <c r="BL1548" t="s">
        <v>13617</v>
      </c>
      <c r="BM1548" t="s">
        <v>18066</v>
      </c>
      <c r="BN1548" t="s">
        <v>14623</v>
      </c>
    </row>
    <row r="1549" spans="1:66" x14ac:dyDescent="0.25">
      <c r="A1549" t="str">
        <f>HYPERLINK("https://elite.finviz.com/quote.ashx?t=CZWI&amp;ty=c&amp;p=d&amp;b=1", "CZWI")</f>
        <v>CZWI</v>
      </c>
      <c r="B1549">
        <v>6</v>
      </c>
      <c r="C1549">
        <v>127.03</v>
      </c>
      <c r="D1549">
        <v>53.09</v>
      </c>
      <c r="E1549" t="s">
        <v>18067</v>
      </c>
      <c r="F1549" t="s">
        <v>67</v>
      </c>
      <c r="G1549" t="s">
        <v>550</v>
      </c>
      <c r="H1549" t="s">
        <v>697</v>
      </c>
      <c r="I1549" t="s">
        <v>70</v>
      </c>
      <c r="J1549" t="s">
        <v>321</v>
      </c>
      <c r="K1549">
        <v>161.22999999999999</v>
      </c>
      <c r="L1549">
        <v>16.329999999999998</v>
      </c>
      <c r="M1549" t="s">
        <v>1324</v>
      </c>
      <c r="N1549">
        <v>3281</v>
      </c>
      <c r="O1549">
        <v>13.19</v>
      </c>
      <c r="P1549">
        <v>9.75</v>
      </c>
      <c r="R1549">
        <v>1.65</v>
      </c>
      <c r="S1549">
        <v>0.89</v>
      </c>
      <c r="T1549" t="s">
        <v>2876</v>
      </c>
      <c r="U1549">
        <v>0.36</v>
      </c>
      <c r="V1549" t="s">
        <v>18068</v>
      </c>
      <c r="W1549" t="s">
        <v>4288</v>
      </c>
      <c r="X1549" t="s">
        <v>2595</v>
      </c>
      <c r="Y1549" t="s">
        <v>1066</v>
      </c>
      <c r="Z1549" t="s">
        <v>6696</v>
      </c>
      <c r="AA1549">
        <v>1.24</v>
      </c>
      <c r="AB1549" t="s">
        <v>9592</v>
      </c>
      <c r="AC1549" t="s">
        <v>2200</v>
      </c>
      <c r="AE1549" t="s">
        <v>3634</v>
      </c>
      <c r="AF1549" t="s">
        <v>4377</v>
      </c>
      <c r="AG1549" t="s">
        <v>8125</v>
      </c>
      <c r="AH1549" t="s">
        <v>3670</v>
      </c>
      <c r="AI1549" t="s">
        <v>5743</v>
      </c>
      <c r="AJ1549" t="s">
        <v>747</v>
      </c>
      <c r="AK1549" t="s">
        <v>18069</v>
      </c>
      <c r="AL1549">
        <v>0.06</v>
      </c>
      <c r="AN1549">
        <v>0.34</v>
      </c>
      <c r="AP1549" t="s">
        <v>11239</v>
      </c>
      <c r="AQ1549" t="s">
        <v>1959</v>
      </c>
      <c r="AR1549" t="s">
        <v>2609</v>
      </c>
      <c r="AS1549" t="s">
        <v>2217</v>
      </c>
      <c r="AT1549" t="s">
        <v>8979</v>
      </c>
      <c r="AU1549" t="s">
        <v>2317</v>
      </c>
      <c r="AV1549" t="s">
        <v>2698</v>
      </c>
      <c r="AW1549" t="s">
        <v>5195</v>
      </c>
      <c r="AX1549" t="s">
        <v>10403</v>
      </c>
      <c r="AY1549" t="s">
        <v>6074</v>
      </c>
      <c r="AZ1549" t="s">
        <v>1875</v>
      </c>
      <c r="BA1549">
        <v>1</v>
      </c>
      <c r="BB1549">
        <v>52.89</v>
      </c>
      <c r="BC1549">
        <v>0.22</v>
      </c>
      <c r="BD1549">
        <v>16.32</v>
      </c>
      <c r="BE1549">
        <v>16.420000000000002</v>
      </c>
      <c r="BF1549">
        <v>16.34</v>
      </c>
      <c r="BG1549" t="s">
        <v>18070</v>
      </c>
      <c r="BH1549" t="s">
        <v>6074</v>
      </c>
      <c r="BI1549" t="s">
        <v>18071</v>
      </c>
      <c r="BJ1549" t="s">
        <v>101</v>
      </c>
      <c r="BK1549" t="s">
        <v>2710</v>
      </c>
      <c r="BL1549" t="s">
        <v>1110</v>
      </c>
      <c r="BM1549" t="s">
        <v>980</v>
      </c>
      <c r="BN1549" t="s">
        <v>14623</v>
      </c>
    </row>
    <row r="1550" spans="1:66" x14ac:dyDescent="0.25">
      <c r="A1550" t="str">
        <f>HYPERLINK("https://elite.finviz.com/quote.ashx?t=HEI&amp;ty=c&amp;p=d&amp;b=1", "HEI")</f>
        <v>HEI</v>
      </c>
      <c r="B1550">
        <v>6</v>
      </c>
      <c r="C1550">
        <v>127.03</v>
      </c>
      <c r="D1550">
        <v>53.1</v>
      </c>
      <c r="E1550" t="s">
        <v>17898</v>
      </c>
      <c r="F1550" t="s">
        <v>107</v>
      </c>
      <c r="G1550" t="s">
        <v>260</v>
      </c>
      <c r="H1550" t="s">
        <v>4779</v>
      </c>
      <c r="I1550" t="s">
        <v>70</v>
      </c>
      <c r="J1550" t="s">
        <v>71</v>
      </c>
      <c r="K1550">
        <v>38926.82</v>
      </c>
      <c r="L1550">
        <v>320.92</v>
      </c>
      <c r="M1550" t="s">
        <v>2759</v>
      </c>
      <c r="N1550">
        <v>35778</v>
      </c>
      <c r="O1550">
        <v>70.33</v>
      </c>
      <c r="P1550">
        <v>60.59</v>
      </c>
      <c r="Q1550">
        <v>4.12</v>
      </c>
      <c r="R1550">
        <v>9.08</v>
      </c>
      <c r="S1550">
        <v>10.79</v>
      </c>
      <c r="T1550" t="s">
        <v>580</v>
      </c>
      <c r="U1550">
        <v>0.23</v>
      </c>
      <c r="V1550" t="s">
        <v>17306</v>
      </c>
      <c r="W1550" t="s">
        <v>3450</v>
      </c>
      <c r="X1550" t="s">
        <v>3181</v>
      </c>
      <c r="Y1550" t="s">
        <v>712</v>
      </c>
      <c r="Z1550" t="s">
        <v>4641</v>
      </c>
      <c r="AA1550">
        <v>4.5599999999999996</v>
      </c>
      <c r="AB1550" t="s">
        <v>5240</v>
      </c>
      <c r="AC1550" t="s">
        <v>875</v>
      </c>
      <c r="AD1550" t="s">
        <v>2866</v>
      </c>
      <c r="AE1550" t="s">
        <v>4390</v>
      </c>
      <c r="AF1550" t="s">
        <v>7115</v>
      </c>
      <c r="AG1550" t="s">
        <v>4558</v>
      </c>
      <c r="AH1550" t="s">
        <v>1552</v>
      </c>
      <c r="AI1550" t="s">
        <v>6331</v>
      </c>
      <c r="AJ1550" t="s">
        <v>1554</v>
      </c>
      <c r="AK1550" t="s">
        <v>14240</v>
      </c>
      <c r="AL1550">
        <v>3.35</v>
      </c>
      <c r="AM1550">
        <v>1.51</v>
      </c>
      <c r="AN1550">
        <v>0.59</v>
      </c>
      <c r="AO1550" t="s">
        <v>17899</v>
      </c>
      <c r="AP1550" t="s">
        <v>15907</v>
      </c>
      <c r="AQ1550" t="s">
        <v>1625</v>
      </c>
      <c r="AR1550" t="s">
        <v>5071</v>
      </c>
      <c r="AS1550" t="s">
        <v>2808</v>
      </c>
      <c r="AT1550" t="s">
        <v>1763</v>
      </c>
      <c r="AU1550" t="s">
        <v>2881</v>
      </c>
      <c r="AV1550" t="s">
        <v>12222</v>
      </c>
      <c r="AW1550" t="s">
        <v>12259</v>
      </c>
      <c r="AX1550" t="s">
        <v>3204</v>
      </c>
      <c r="AY1550" t="s">
        <v>12259</v>
      </c>
      <c r="AZ1550" t="s">
        <v>5935</v>
      </c>
      <c r="BA1550">
        <v>1.81</v>
      </c>
      <c r="BB1550">
        <v>407.56</v>
      </c>
      <c r="BC1550">
        <v>0.31</v>
      </c>
      <c r="BD1550">
        <v>317.93</v>
      </c>
      <c r="BE1550">
        <v>323.51</v>
      </c>
      <c r="BF1550">
        <v>318.85000000000002</v>
      </c>
      <c r="BG1550" t="s">
        <v>18072</v>
      </c>
      <c r="BH1550" t="s">
        <v>12259</v>
      </c>
      <c r="BI1550" t="s">
        <v>18073</v>
      </c>
      <c r="BJ1550" t="s">
        <v>101</v>
      </c>
      <c r="BK1550" t="s">
        <v>3286</v>
      </c>
      <c r="BL1550" t="s">
        <v>5886</v>
      </c>
      <c r="BM1550" t="s">
        <v>6969</v>
      </c>
      <c r="BN1550" t="s">
        <v>14623</v>
      </c>
    </row>
    <row r="1551" spans="1:66" x14ac:dyDescent="0.25">
      <c r="A1551" t="str">
        <f>HYPERLINK("https://elite.finviz.com/quote.ashx?t=GRBK&amp;ty=c&amp;p=d&amp;b=1", "GRBK")</f>
        <v>GRBK</v>
      </c>
      <c r="B1551">
        <v>6</v>
      </c>
      <c r="C1551">
        <v>127.03</v>
      </c>
      <c r="D1551">
        <v>53.11</v>
      </c>
      <c r="E1551" t="s">
        <v>18074</v>
      </c>
      <c r="F1551" t="s">
        <v>67</v>
      </c>
      <c r="G1551" t="s">
        <v>813</v>
      </c>
      <c r="H1551" t="s">
        <v>5054</v>
      </c>
      <c r="I1551" t="s">
        <v>70</v>
      </c>
      <c r="J1551" t="s">
        <v>71</v>
      </c>
      <c r="K1551">
        <v>3115.25</v>
      </c>
      <c r="L1551">
        <v>71.510000000000005</v>
      </c>
      <c r="M1551" t="s">
        <v>3019</v>
      </c>
      <c r="N1551">
        <v>42633</v>
      </c>
      <c r="O1551">
        <v>9.14</v>
      </c>
      <c r="P1551">
        <v>10.36</v>
      </c>
      <c r="R1551">
        <v>1.46</v>
      </c>
      <c r="S1551">
        <v>1.86</v>
      </c>
      <c r="Z1551" t="s">
        <v>164</v>
      </c>
      <c r="AA1551">
        <v>7.82</v>
      </c>
      <c r="AB1551" t="s">
        <v>3339</v>
      </c>
      <c r="AC1551" t="s">
        <v>18075</v>
      </c>
      <c r="AE1551" t="s">
        <v>7650</v>
      </c>
      <c r="AF1551" t="s">
        <v>6474</v>
      </c>
      <c r="AG1551" t="s">
        <v>5769</v>
      </c>
      <c r="AH1551" t="s">
        <v>1180</v>
      </c>
      <c r="AI1551" t="s">
        <v>8225</v>
      </c>
      <c r="AJ1551" t="s">
        <v>5789</v>
      </c>
      <c r="AK1551" t="s">
        <v>18076</v>
      </c>
      <c r="AL1551">
        <v>9.75</v>
      </c>
      <c r="AM1551">
        <v>0.85</v>
      </c>
      <c r="AN1551">
        <v>0.17</v>
      </c>
      <c r="AO1551" t="s">
        <v>16322</v>
      </c>
      <c r="AP1551" t="s">
        <v>8153</v>
      </c>
      <c r="AQ1551" t="s">
        <v>3840</v>
      </c>
      <c r="AR1551" t="s">
        <v>3842</v>
      </c>
      <c r="AS1551" t="s">
        <v>2273</v>
      </c>
      <c r="AT1551" t="s">
        <v>1358</v>
      </c>
      <c r="AU1551" t="s">
        <v>2384</v>
      </c>
      <c r="AV1551" t="s">
        <v>1629</v>
      </c>
      <c r="AW1551" t="s">
        <v>3704</v>
      </c>
      <c r="AX1551" t="s">
        <v>535</v>
      </c>
      <c r="AY1551" t="s">
        <v>18077</v>
      </c>
      <c r="AZ1551" t="s">
        <v>14169</v>
      </c>
      <c r="BA1551">
        <v>2.33</v>
      </c>
      <c r="BB1551">
        <v>253.43</v>
      </c>
      <c r="BC1551">
        <v>0.59</v>
      </c>
      <c r="BD1551">
        <v>70.510000000000005</v>
      </c>
      <c r="BE1551">
        <v>71.959999999999994</v>
      </c>
      <c r="BF1551">
        <v>71.11</v>
      </c>
      <c r="BG1551" t="s">
        <v>18078</v>
      </c>
      <c r="BH1551" t="s">
        <v>10358</v>
      </c>
      <c r="BI1551" t="s">
        <v>18079</v>
      </c>
      <c r="BJ1551" t="s">
        <v>101</v>
      </c>
      <c r="BK1551" t="s">
        <v>1116</v>
      </c>
      <c r="BL1551" t="s">
        <v>9140</v>
      </c>
      <c r="BM1551" t="s">
        <v>15466</v>
      </c>
      <c r="BN1551" t="s">
        <v>14623</v>
      </c>
    </row>
    <row r="1552" spans="1:66" x14ac:dyDescent="0.25">
      <c r="A1552" t="str">
        <f>HYPERLINK("https://elite.finviz.com/quote.ashx?t=INR&amp;ty=c&amp;p=d&amp;b=1", "INR")</f>
        <v>INR</v>
      </c>
      <c r="B1552">
        <v>6</v>
      </c>
      <c r="C1552">
        <v>127.03</v>
      </c>
      <c r="D1552">
        <v>53.14</v>
      </c>
      <c r="E1552" t="s">
        <v>18080</v>
      </c>
      <c r="F1552" t="s">
        <v>67</v>
      </c>
      <c r="G1552" t="s">
        <v>1048</v>
      </c>
      <c r="H1552" t="s">
        <v>1049</v>
      </c>
      <c r="I1552" t="s">
        <v>70</v>
      </c>
      <c r="J1552" t="s">
        <v>71</v>
      </c>
      <c r="K1552">
        <v>861.4</v>
      </c>
      <c r="L1552">
        <v>14.15</v>
      </c>
      <c r="M1552" t="s">
        <v>6478</v>
      </c>
      <c r="N1552">
        <v>50536</v>
      </c>
      <c r="P1552">
        <v>4.51</v>
      </c>
      <c r="R1552">
        <v>2.89</v>
      </c>
      <c r="S1552">
        <v>21.26</v>
      </c>
      <c r="AA1552">
        <v>-0.42</v>
      </c>
      <c r="AB1552" t="s">
        <v>4213</v>
      </c>
      <c r="AD1552" t="s">
        <v>18081</v>
      </c>
      <c r="AF1552" t="s">
        <v>3069</v>
      </c>
      <c r="AH1552" t="s">
        <v>4641</v>
      </c>
      <c r="AI1552" t="s">
        <v>18082</v>
      </c>
      <c r="AJ1552" t="s">
        <v>3487</v>
      </c>
      <c r="AK1552" t="s">
        <v>18083</v>
      </c>
      <c r="AL1552">
        <v>0.42</v>
      </c>
      <c r="AM1552">
        <v>0.42</v>
      </c>
      <c r="AN1552">
        <v>3.52</v>
      </c>
      <c r="AO1552" t="s">
        <v>11952</v>
      </c>
      <c r="AP1552" t="s">
        <v>8830</v>
      </c>
      <c r="AQ1552" t="s">
        <v>438</v>
      </c>
      <c r="AR1552" t="s">
        <v>165</v>
      </c>
      <c r="AS1552" t="s">
        <v>749</v>
      </c>
      <c r="AT1552" t="s">
        <v>2201</v>
      </c>
      <c r="AU1552" t="s">
        <v>3226</v>
      </c>
      <c r="AV1552" t="s">
        <v>18084</v>
      </c>
      <c r="AW1552" t="s">
        <v>18085</v>
      </c>
      <c r="AX1552" t="s">
        <v>2291</v>
      </c>
      <c r="AY1552" t="s">
        <v>18086</v>
      </c>
      <c r="AZ1552" t="s">
        <v>2291</v>
      </c>
      <c r="BA1552">
        <v>1.1100000000000001</v>
      </c>
      <c r="BB1552">
        <v>345.98</v>
      </c>
      <c r="BC1552">
        <v>0.52</v>
      </c>
      <c r="BD1552">
        <v>13.97</v>
      </c>
      <c r="BE1552">
        <v>14.27</v>
      </c>
      <c r="BF1552">
        <v>13.87</v>
      </c>
      <c r="BG1552" t="s">
        <v>18087</v>
      </c>
      <c r="BH1552" t="s">
        <v>18086</v>
      </c>
      <c r="BI1552" t="s">
        <v>2291</v>
      </c>
      <c r="BJ1552" t="s">
        <v>101</v>
      </c>
      <c r="BK1552" t="s">
        <v>17058</v>
      </c>
      <c r="BL1552" t="s">
        <v>11868</v>
      </c>
      <c r="BN1552" t="s">
        <v>14623</v>
      </c>
    </row>
    <row r="1553" spans="1:66" x14ac:dyDescent="0.25">
      <c r="A1553" t="str">
        <f>HYPERLINK("https://elite.finviz.com/quote.ashx?t=RGNX&amp;ty=c&amp;p=d&amp;b=1", "RGNX")</f>
        <v>RGNX</v>
      </c>
      <c r="B1553">
        <v>6</v>
      </c>
      <c r="C1553">
        <v>127.03</v>
      </c>
      <c r="D1553">
        <v>53.17</v>
      </c>
      <c r="E1553" t="s">
        <v>18088</v>
      </c>
      <c r="F1553" t="s">
        <v>67</v>
      </c>
      <c r="G1553" t="s">
        <v>428</v>
      </c>
      <c r="H1553" t="s">
        <v>429</v>
      </c>
      <c r="I1553" t="s">
        <v>70</v>
      </c>
      <c r="J1553" t="s">
        <v>321</v>
      </c>
      <c r="K1553">
        <v>472.57</v>
      </c>
      <c r="L1553">
        <v>9.36</v>
      </c>
      <c r="M1553" t="s">
        <v>3752</v>
      </c>
      <c r="N1553">
        <v>48362</v>
      </c>
      <c r="R1553">
        <v>3.03</v>
      </c>
      <c r="S1553">
        <v>2.21</v>
      </c>
      <c r="AA1553">
        <v>-3.46</v>
      </c>
      <c r="AC1553" t="s">
        <v>8792</v>
      </c>
      <c r="AD1553" t="s">
        <v>8474</v>
      </c>
      <c r="AE1553" t="s">
        <v>8816</v>
      </c>
      <c r="AF1553" t="s">
        <v>18089</v>
      </c>
      <c r="AG1553" t="s">
        <v>7287</v>
      </c>
      <c r="AH1553" t="s">
        <v>10747</v>
      </c>
      <c r="AI1553" t="s">
        <v>13166</v>
      </c>
      <c r="AJ1553" t="s">
        <v>7270</v>
      </c>
      <c r="AK1553" t="s">
        <v>8482</v>
      </c>
      <c r="AL1553">
        <v>3.13</v>
      </c>
      <c r="AM1553">
        <v>3.13</v>
      </c>
      <c r="AN1553">
        <v>1.27</v>
      </c>
      <c r="AO1553" t="s">
        <v>18090</v>
      </c>
      <c r="AP1553" t="s">
        <v>18091</v>
      </c>
      <c r="AQ1553" t="s">
        <v>18092</v>
      </c>
      <c r="AR1553" t="s">
        <v>351</v>
      </c>
      <c r="AS1553" t="s">
        <v>2408</v>
      </c>
      <c r="AT1553" t="s">
        <v>2641</v>
      </c>
      <c r="AU1553" t="s">
        <v>4641</v>
      </c>
      <c r="AV1553" t="s">
        <v>7301</v>
      </c>
      <c r="AW1553" t="s">
        <v>2101</v>
      </c>
      <c r="AX1553" t="s">
        <v>8797</v>
      </c>
      <c r="AY1553" t="s">
        <v>3004</v>
      </c>
      <c r="AZ1553" t="s">
        <v>18093</v>
      </c>
      <c r="BA1553">
        <v>1.38</v>
      </c>
      <c r="BB1553">
        <v>594.21</v>
      </c>
      <c r="BC1553">
        <v>0.28999999999999998</v>
      </c>
      <c r="BD1553">
        <v>9.36</v>
      </c>
      <c r="BE1553">
        <v>9.4499999999999993</v>
      </c>
      <c r="BF1553">
        <v>9.18</v>
      </c>
      <c r="BG1553" t="s">
        <v>18094</v>
      </c>
      <c r="BH1553" t="s">
        <v>18095</v>
      </c>
      <c r="BI1553" t="s">
        <v>18093</v>
      </c>
      <c r="BJ1553" t="s">
        <v>101</v>
      </c>
      <c r="BK1553" t="s">
        <v>1492</v>
      </c>
      <c r="BL1553" t="s">
        <v>15197</v>
      </c>
      <c r="BM1553" t="s">
        <v>6816</v>
      </c>
      <c r="BN1553" t="s">
        <v>14623</v>
      </c>
    </row>
    <row r="1554" spans="1:66" x14ac:dyDescent="0.25">
      <c r="A1554" t="str">
        <f>HYPERLINK("https://elite.finviz.com/quote.ashx?t=BLBD&amp;ty=c&amp;p=d&amp;b=1", "BLBD")</f>
        <v>BLBD</v>
      </c>
      <c r="B1554">
        <v>6</v>
      </c>
      <c r="C1554">
        <v>127.03</v>
      </c>
      <c r="D1554">
        <v>53.18</v>
      </c>
      <c r="E1554" t="s">
        <v>18096</v>
      </c>
      <c r="F1554" t="s">
        <v>67</v>
      </c>
      <c r="G1554" t="s">
        <v>260</v>
      </c>
      <c r="H1554" t="s">
        <v>320</v>
      </c>
      <c r="I1554" t="s">
        <v>70</v>
      </c>
      <c r="J1554" t="s">
        <v>321</v>
      </c>
      <c r="K1554">
        <v>1838.91</v>
      </c>
      <c r="L1554">
        <v>57.99</v>
      </c>
      <c r="M1554" t="s">
        <v>4191</v>
      </c>
      <c r="N1554">
        <v>59506</v>
      </c>
      <c r="O1554">
        <v>16.559999999999999</v>
      </c>
      <c r="P1554">
        <v>13.6</v>
      </c>
      <c r="Q1554">
        <v>1.7</v>
      </c>
      <c r="R1554">
        <v>1.29</v>
      </c>
      <c r="S1554">
        <v>8.23</v>
      </c>
      <c r="Z1554" t="s">
        <v>164</v>
      </c>
      <c r="AA1554">
        <v>3.5</v>
      </c>
      <c r="AC1554" t="s">
        <v>4991</v>
      </c>
      <c r="AD1554" t="s">
        <v>4965</v>
      </c>
      <c r="AE1554" t="s">
        <v>11505</v>
      </c>
      <c r="AF1554" t="s">
        <v>9399</v>
      </c>
      <c r="AG1554" t="s">
        <v>3088</v>
      </c>
      <c r="AH1554" t="s">
        <v>4331</v>
      </c>
      <c r="AI1554" t="s">
        <v>3591</v>
      </c>
      <c r="AJ1554" t="s">
        <v>18097</v>
      </c>
      <c r="AK1554" t="s">
        <v>11913</v>
      </c>
      <c r="AL1554">
        <v>1.58</v>
      </c>
      <c r="AM1554">
        <v>0.92</v>
      </c>
      <c r="AN1554">
        <v>0.41</v>
      </c>
      <c r="AO1554" t="s">
        <v>13652</v>
      </c>
      <c r="AP1554" t="s">
        <v>2019</v>
      </c>
      <c r="AQ1554" t="s">
        <v>1282</v>
      </c>
      <c r="AR1554" t="s">
        <v>5929</v>
      </c>
      <c r="AS1554" t="s">
        <v>4945</v>
      </c>
      <c r="AT1554" t="s">
        <v>2197</v>
      </c>
      <c r="AU1554" t="s">
        <v>3507</v>
      </c>
      <c r="AV1554" t="s">
        <v>6458</v>
      </c>
      <c r="AW1554" t="s">
        <v>4888</v>
      </c>
      <c r="AX1554" t="s">
        <v>13579</v>
      </c>
      <c r="AY1554" t="s">
        <v>4888</v>
      </c>
      <c r="AZ1554" t="s">
        <v>18098</v>
      </c>
      <c r="BA1554">
        <v>1.38</v>
      </c>
      <c r="BB1554">
        <v>576.41</v>
      </c>
      <c r="BC1554">
        <v>0.36</v>
      </c>
      <c r="BD1554">
        <v>58.12</v>
      </c>
      <c r="BE1554">
        <v>59.03</v>
      </c>
      <c r="BF1554">
        <v>57.92</v>
      </c>
      <c r="BG1554" t="s">
        <v>18099</v>
      </c>
      <c r="BH1554" t="s">
        <v>4888</v>
      </c>
      <c r="BI1554" t="s">
        <v>18100</v>
      </c>
      <c r="BJ1554" t="s">
        <v>101</v>
      </c>
      <c r="BK1554" t="s">
        <v>209</v>
      </c>
      <c r="BL1554" t="s">
        <v>17121</v>
      </c>
      <c r="BM1554" t="s">
        <v>3230</v>
      </c>
      <c r="BN1554" t="s">
        <v>14623</v>
      </c>
    </row>
    <row r="1555" spans="1:66" x14ac:dyDescent="0.25">
      <c r="A1555" t="str">
        <f>HYPERLINK("https://elite.finviz.com/quote.ashx?t=TTSH&amp;ty=c&amp;p=d&amp;b=1", "TTSH")</f>
        <v>TTSH</v>
      </c>
      <c r="B1555">
        <v>6</v>
      </c>
      <c r="C1555">
        <v>127.03</v>
      </c>
      <c r="D1555">
        <v>53.18</v>
      </c>
      <c r="E1555" t="s">
        <v>18101</v>
      </c>
      <c r="F1555" t="s">
        <v>67</v>
      </c>
      <c r="G1555" t="s">
        <v>813</v>
      </c>
      <c r="H1555" t="s">
        <v>4265</v>
      </c>
      <c r="I1555" t="s">
        <v>70</v>
      </c>
      <c r="J1555" t="s">
        <v>321</v>
      </c>
      <c r="K1555">
        <v>292.29000000000002</v>
      </c>
      <c r="L1555">
        <v>6.53</v>
      </c>
      <c r="M1555" t="s">
        <v>6871</v>
      </c>
      <c r="N1555">
        <v>6072</v>
      </c>
      <c r="R1555">
        <v>0.86</v>
      </c>
      <c r="S1555">
        <v>2.36</v>
      </c>
      <c r="V1555" t="s">
        <v>18102</v>
      </c>
      <c r="Z1555" t="s">
        <v>164</v>
      </c>
      <c r="AA1555">
        <v>0</v>
      </c>
      <c r="AB1555" t="s">
        <v>18103</v>
      </c>
      <c r="AE1555" t="s">
        <v>9148</v>
      </c>
      <c r="AF1555" t="s">
        <v>1080</v>
      </c>
      <c r="AG1555" t="s">
        <v>6719</v>
      </c>
      <c r="AH1555" t="s">
        <v>12274</v>
      </c>
      <c r="AJ1555" t="s">
        <v>1279</v>
      </c>
      <c r="AK1555" t="s">
        <v>1697</v>
      </c>
      <c r="AL1555">
        <v>1.53</v>
      </c>
      <c r="AM1555">
        <v>0.49</v>
      </c>
      <c r="AN1555">
        <v>1.1399999999999999</v>
      </c>
      <c r="AO1555" t="s">
        <v>9493</v>
      </c>
      <c r="AP1555" t="s">
        <v>5549</v>
      </c>
      <c r="AQ1555" t="s">
        <v>1249</v>
      </c>
      <c r="AR1555" t="s">
        <v>4686</v>
      </c>
      <c r="AS1555" t="s">
        <v>2839</v>
      </c>
      <c r="AT1555" t="s">
        <v>1769</v>
      </c>
      <c r="AU1555" t="s">
        <v>648</v>
      </c>
      <c r="AV1555" t="s">
        <v>3000</v>
      </c>
      <c r="AW1555" t="s">
        <v>7811</v>
      </c>
      <c r="AX1555" t="s">
        <v>10541</v>
      </c>
      <c r="AY1555" t="s">
        <v>3193</v>
      </c>
      <c r="AZ1555" t="s">
        <v>1724</v>
      </c>
      <c r="BA1555">
        <v>1</v>
      </c>
      <c r="BB1555">
        <v>50.68</v>
      </c>
      <c r="BC1555">
        <v>0.43</v>
      </c>
      <c r="BD1555">
        <v>6.55</v>
      </c>
      <c r="BE1555">
        <v>6.52</v>
      </c>
      <c r="BF1555">
        <v>6.5</v>
      </c>
      <c r="BG1555" t="s">
        <v>18104</v>
      </c>
      <c r="BH1555" t="s">
        <v>18105</v>
      </c>
      <c r="BI1555" t="s">
        <v>18106</v>
      </c>
      <c r="BJ1555" t="s">
        <v>101</v>
      </c>
      <c r="BK1555" t="s">
        <v>15172</v>
      </c>
      <c r="BL1555" t="s">
        <v>6871</v>
      </c>
      <c r="BM1555" t="s">
        <v>5153</v>
      </c>
      <c r="BN1555" t="s">
        <v>14623</v>
      </c>
    </row>
    <row r="1556" spans="1:66" x14ac:dyDescent="0.25">
      <c r="A1556" t="str">
        <f>HYPERLINK("https://elite.finviz.com/quote.ashx?t=NWPX&amp;ty=c&amp;p=d&amp;b=1", "NWPX")</f>
        <v>NWPX</v>
      </c>
      <c r="B1556">
        <v>6</v>
      </c>
      <c r="C1556">
        <v>127.03</v>
      </c>
      <c r="D1556">
        <v>53.2</v>
      </c>
      <c r="E1556" t="s">
        <v>18107</v>
      </c>
      <c r="F1556" t="s">
        <v>67</v>
      </c>
      <c r="G1556" t="s">
        <v>355</v>
      </c>
      <c r="H1556" t="s">
        <v>10220</v>
      </c>
      <c r="I1556" t="s">
        <v>70</v>
      </c>
      <c r="J1556" t="s">
        <v>321</v>
      </c>
      <c r="K1556">
        <v>502.29</v>
      </c>
      <c r="L1556">
        <v>52.03</v>
      </c>
      <c r="M1556" t="s">
        <v>3000</v>
      </c>
      <c r="N1556">
        <v>7932</v>
      </c>
      <c r="O1556">
        <v>15.67</v>
      </c>
      <c r="P1556">
        <v>13.83</v>
      </c>
      <c r="R1556">
        <v>1.01</v>
      </c>
      <c r="S1556">
        <v>1.35</v>
      </c>
      <c r="Z1556" t="s">
        <v>164</v>
      </c>
      <c r="AA1556">
        <v>3.32</v>
      </c>
      <c r="AB1556" t="s">
        <v>18108</v>
      </c>
      <c r="AC1556" t="s">
        <v>6726</v>
      </c>
      <c r="AD1556" t="s">
        <v>11402</v>
      </c>
      <c r="AE1556" t="s">
        <v>2581</v>
      </c>
      <c r="AF1556" t="s">
        <v>9253</v>
      </c>
      <c r="AG1556" t="s">
        <v>1514</v>
      </c>
      <c r="AH1556" t="s">
        <v>205</v>
      </c>
      <c r="AI1556" t="s">
        <v>18109</v>
      </c>
      <c r="AJ1556" t="s">
        <v>4316</v>
      </c>
      <c r="AK1556" t="s">
        <v>18110</v>
      </c>
      <c r="AL1556">
        <v>3.95</v>
      </c>
      <c r="AM1556">
        <v>2.81</v>
      </c>
      <c r="AN1556">
        <v>0.37</v>
      </c>
      <c r="AO1556" t="s">
        <v>8057</v>
      </c>
      <c r="AP1556" t="s">
        <v>6272</v>
      </c>
      <c r="AQ1556" t="s">
        <v>8843</v>
      </c>
      <c r="AR1556" t="s">
        <v>1768</v>
      </c>
      <c r="AS1556" t="s">
        <v>4687</v>
      </c>
      <c r="AT1556" t="s">
        <v>2402</v>
      </c>
      <c r="AU1556" t="s">
        <v>6593</v>
      </c>
      <c r="AV1556" t="s">
        <v>3270</v>
      </c>
      <c r="AW1556" t="s">
        <v>5650</v>
      </c>
      <c r="AX1556" t="s">
        <v>9301</v>
      </c>
      <c r="AY1556" t="s">
        <v>13208</v>
      </c>
      <c r="AZ1556" t="s">
        <v>5347</v>
      </c>
      <c r="BA1556">
        <v>2</v>
      </c>
      <c r="BB1556">
        <v>69.45</v>
      </c>
      <c r="BC1556">
        <v>0.4</v>
      </c>
      <c r="BD1556">
        <v>51.84</v>
      </c>
      <c r="BE1556">
        <v>52.71</v>
      </c>
      <c r="BF1556">
        <v>51.92</v>
      </c>
      <c r="BG1556" t="s">
        <v>18111</v>
      </c>
      <c r="BH1556" t="s">
        <v>18112</v>
      </c>
      <c r="BI1556" t="s">
        <v>18113</v>
      </c>
      <c r="BJ1556" t="s">
        <v>101</v>
      </c>
      <c r="BK1556" t="s">
        <v>8565</v>
      </c>
      <c r="BL1556" t="s">
        <v>18114</v>
      </c>
      <c r="BM1556" t="s">
        <v>10750</v>
      </c>
      <c r="BN1556" t="s">
        <v>14623</v>
      </c>
    </row>
    <row r="1557" spans="1:66" x14ac:dyDescent="0.25">
      <c r="A1557" t="str">
        <f>HYPERLINK("https://elite.finviz.com/quote.ashx?t=NINE&amp;ty=c&amp;p=d&amp;b=1", "NINE")</f>
        <v>NINE</v>
      </c>
      <c r="B1557">
        <v>6</v>
      </c>
      <c r="C1557">
        <v>127.03</v>
      </c>
      <c r="D1557">
        <v>53.2</v>
      </c>
      <c r="E1557" t="s">
        <v>18115</v>
      </c>
      <c r="F1557" t="s">
        <v>107</v>
      </c>
      <c r="G1557" t="s">
        <v>1048</v>
      </c>
      <c r="H1557" t="s">
        <v>8341</v>
      </c>
      <c r="I1557" t="s">
        <v>70</v>
      </c>
      <c r="J1557" t="s">
        <v>71</v>
      </c>
      <c r="K1557">
        <v>29.94</v>
      </c>
      <c r="L1557">
        <v>0.69</v>
      </c>
      <c r="M1557" t="s">
        <v>2449</v>
      </c>
      <c r="N1557">
        <v>259030</v>
      </c>
      <c r="R1557">
        <v>0.05</v>
      </c>
      <c r="AA1557">
        <v>-0.91</v>
      </c>
      <c r="AB1557" t="s">
        <v>2008</v>
      </c>
      <c r="AC1557" t="s">
        <v>5967</v>
      </c>
      <c r="AE1557" t="s">
        <v>5187</v>
      </c>
      <c r="AF1557" t="s">
        <v>3374</v>
      </c>
      <c r="AG1557" t="s">
        <v>2023</v>
      </c>
      <c r="AH1557" t="s">
        <v>2740</v>
      </c>
      <c r="AI1557" t="s">
        <v>18116</v>
      </c>
      <c r="AJ1557" t="s">
        <v>411</v>
      </c>
      <c r="AK1557" t="s">
        <v>3760</v>
      </c>
      <c r="AL1557">
        <v>1.87</v>
      </c>
      <c r="AM1557">
        <v>1.29</v>
      </c>
      <c r="AO1557" t="s">
        <v>6388</v>
      </c>
      <c r="AP1557" t="s">
        <v>5425</v>
      </c>
      <c r="AQ1557" t="s">
        <v>12466</v>
      </c>
      <c r="AR1557" t="s">
        <v>3506</v>
      </c>
      <c r="AS1557" t="s">
        <v>3530</v>
      </c>
      <c r="AT1557" t="s">
        <v>7338</v>
      </c>
      <c r="AU1557" t="s">
        <v>6732</v>
      </c>
      <c r="AV1557" t="s">
        <v>3135</v>
      </c>
      <c r="AW1557" t="s">
        <v>18117</v>
      </c>
      <c r="AX1557" t="s">
        <v>18118</v>
      </c>
      <c r="AY1557" t="s">
        <v>18119</v>
      </c>
      <c r="AZ1557" t="s">
        <v>6452</v>
      </c>
      <c r="BA1557">
        <v>5</v>
      </c>
      <c r="BB1557">
        <v>836.02</v>
      </c>
      <c r="BC1557">
        <v>1.0900000000000001</v>
      </c>
      <c r="BD1557">
        <v>0.68</v>
      </c>
      <c r="BE1557">
        <v>0.7</v>
      </c>
      <c r="BF1557">
        <v>0.67</v>
      </c>
      <c r="BG1557" t="s">
        <v>18120</v>
      </c>
      <c r="BH1557" t="s">
        <v>9589</v>
      </c>
      <c r="BI1557" t="s">
        <v>18121</v>
      </c>
      <c r="BJ1557" t="s">
        <v>101</v>
      </c>
      <c r="BK1557" t="s">
        <v>10852</v>
      </c>
      <c r="BL1557" t="s">
        <v>18122</v>
      </c>
      <c r="BM1557" t="s">
        <v>18123</v>
      </c>
      <c r="BN1557" t="s">
        <v>14623</v>
      </c>
    </row>
    <row r="1558" spans="1:66" x14ac:dyDescent="0.25">
      <c r="A1558" t="str">
        <f>HYPERLINK("https://elite.finviz.com/quote.ashx?t=WNEB&amp;ty=c&amp;p=d&amp;b=1", "WNEB")</f>
        <v>WNEB</v>
      </c>
      <c r="B1558">
        <v>6</v>
      </c>
      <c r="C1558">
        <v>127.03</v>
      </c>
      <c r="D1558">
        <v>53.21</v>
      </c>
      <c r="E1558" t="s">
        <v>18124</v>
      </c>
      <c r="F1558" t="s">
        <v>67</v>
      </c>
      <c r="G1558" t="s">
        <v>550</v>
      </c>
      <c r="H1558" t="s">
        <v>697</v>
      </c>
      <c r="I1558" t="s">
        <v>70</v>
      </c>
      <c r="J1558" t="s">
        <v>321</v>
      </c>
      <c r="K1558">
        <v>250.2</v>
      </c>
      <c r="L1558">
        <v>12.21</v>
      </c>
      <c r="M1558" t="s">
        <v>1554</v>
      </c>
      <c r="N1558">
        <v>5976</v>
      </c>
      <c r="O1558">
        <v>20.76</v>
      </c>
      <c r="P1558">
        <v>14.65</v>
      </c>
      <c r="R1558">
        <v>1.97</v>
      </c>
      <c r="S1558">
        <v>1.05</v>
      </c>
      <c r="T1558" t="s">
        <v>679</v>
      </c>
      <c r="U1558">
        <v>0.28000000000000003</v>
      </c>
      <c r="V1558" t="s">
        <v>2859</v>
      </c>
      <c r="W1558" t="s">
        <v>164</v>
      </c>
      <c r="X1558" t="s">
        <v>4079</v>
      </c>
      <c r="Y1558" t="s">
        <v>9936</v>
      </c>
      <c r="Z1558" t="s">
        <v>3125</v>
      </c>
      <c r="AA1558">
        <v>0.59</v>
      </c>
      <c r="AB1558" t="s">
        <v>5570</v>
      </c>
      <c r="AC1558" t="s">
        <v>3925</v>
      </c>
      <c r="AE1558" t="s">
        <v>3126</v>
      </c>
      <c r="AF1558" t="s">
        <v>2877</v>
      </c>
      <c r="AG1558" t="s">
        <v>370</v>
      </c>
      <c r="AH1558" t="s">
        <v>4512</v>
      </c>
      <c r="AI1558" t="s">
        <v>18125</v>
      </c>
      <c r="AJ1558" t="s">
        <v>2003</v>
      </c>
      <c r="AK1558" t="s">
        <v>2679</v>
      </c>
      <c r="AL1558">
        <v>0.08</v>
      </c>
      <c r="AN1558">
        <v>0.51</v>
      </c>
      <c r="AP1558" t="s">
        <v>302</v>
      </c>
      <c r="AQ1558" t="s">
        <v>2200</v>
      </c>
      <c r="AR1558" t="s">
        <v>2496</v>
      </c>
      <c r="AS1558" t="s">
        <v>4276</v>
      </c>
      <c r="AT1558" t="s">
        <v>241</v>
      </c>
      <c r="AU1558" t="s">
        <v>3433</v>
      </c>
      <c r="AV1558" t="s">
        <v>10128</v>
      </c>
      <c r="AW1558" t="s">
        <v>6499</v>
      </c>
      <c r="AX1558" t="s">
        <v>18126</v>
      </c>
      <c r="AY1558" t="s">
        <v>6499</v>
      </c>
      <c r="AZ1558" t="s">
        <v>14576</v>
      </c>
      <c r="BA1558">
        <v>2.33</v>
      </c>
      <c r="BB1558">
        <v>119.64</v>
      </c>
      <c r="BC1558">
        <v>0.18</v>
      </c>
      <c r="BD1558">
        <v>12.23</v>
      </c>
      <c r="BE1558">
        <v>12.48</v>
      </c>
      <c r="BF1558">
        <v>12.2</v>
      </c>
      <c r="BG1558" t="s">
        <v>18127</v>
      </c>
      <c r="BH1558" t="s">
        <v>6499</v>
      </c>
      <c r="BI1558" t="s">
        <v>18128</v>
      </c>
      <c r="BJ1558" t="s">
        <v>101</v>
      </c>
      <c r="BK1558" t="s">
        <v>4905</v>
      </c>
      <c r="BL1558" t="s">
        <v>5251</v>
      </c>
      <c r="BM1558" t="s">
        <v>17307</v>
      </c>
      <c r="BN1558" t="s">
        <v>14623</v>
      </c>
    </row>
    <row r="1559" spans="1:66" x14ac:dyDescent="0.25">
      <c r="A1559" t="str">
        <f>HYPERLINK("https://elite.finviz.com/quote.ashx?t=TECTP&amp;ty=c&amp;p=d&amp;b=1", "TECTP")</f>
        <v>TECTP</v>
      </c>
      <c r="B1559">
        <v>6</v>
      </c>
      <c r="C1559">
        <v>127.03</v>
      </c>
      <c r="D1559">
        <v>53.24</v>
      </c>
      <c r="E1559" t="s">
        <v>18129</v>
      </c>
      <c r="F1559" t="s">
        <v>107</v>
      </c>
      <c r="G1559" t="s">
        <v>550</v>
      </c>
      <c r="H1559" t="s">
        <v>697</v>
      </c>
      <c r="I1559" t="s">
        <v>70</v>
      </c>
      <c r="J1559" t="s">
        <v>321</v>
      </c>
      <c r="L1559">
        <v>10.85</v>
      </c>
      <c r="M1559" t="s">
        <v>164</v>
      </c>
      <c r="N1559">
        <v>2</v>
      </c>
      <c r="T1559" t="s">
        <v>8319</v>
      </c>
      <c r="U1559">
        <v>1.17</v>
      </c>
      <c r="V1559" t="s">
        <v>6057</v>
      </c>
      <c r="W1559" t="s">
        <v>2067</v>
      </c>
      <c r="X1559" t="s">
        <v>4077</v>
      </c>
      <c r="Y1559" t="s">
        <v>7211</v>
      </c>
      <c r="AR1559" t="s">
        <v>6156</v>
      </c>
      <c r="AS1559" t="s">
        <v>149</v>
      </c>
      <c r="AT1559" t="s">
        <v>306</v>
      </c>
      <c r="AU1559" t="s">
        <v>2571</v>
      </c>
      <c r="AV1559" t="s">
        <v>5132</v>
      </c>
      <c r="AW1559" t="s">
        <v>11642</v>
      </c>
      <c r="AX1559" t="s">
        <v>4873</v>
      </c>
      <c r="AY1559" t="s">
        <v>11642</v>
      </c>
      <c r="AZ1559" t="s">
        <v>2653</v>
      </c>
      <c r="BB1559">
        <v>4.55</v>
      </c>
      <c r="BC1559">
        <v>0</v>
      </c>
      <c r="BD1559">
        <v>10.85</v>
      </c>
      <c r="BE1559">
        <v>10.85</v>
      </c>
      <c r="BF1559">
        <v>10.85</v>
      </c>
      <c r="BG1559" t="s">
        <v>18130</v>
      </c>
      <c r="BH1559" t="s">
        <v>11642</v>
      </c>
      <c r="BI1559" t="s">
        <v>18131</v>
      </c>
      <c r="BJ1559" t="s">
        <v>101</v>
      </c>
      <c r="BK1559" t="s">
        <v>2743</v>
      </c>
      <c r="BL1559" t="s">
        <v>1026</v>
      </c>
      <c r="BM1559" t="s">
        <v>2316</v>
      </c>
      <c r="BN1559" t="s">
        <v>14623</v>
      </c>
    </row>
    <row r="1560" spans="1:66" x14ac:dyDescent="0.25">
      <c r="A1560" t="str">
        <f>HYPERLINK("https://elite.finviz.com/quote.ashx?t=ROLR&amp;ty=c&amp;p=d&amp;b=1", "ROLR")</f>
        <v>ROLR</v>
      </c>
      <c r="B1560">
        <v>6</v>
      </c>
      <c r="C1560">
        <v>127.03</v>
      </c>
      <c r="D1560">
        <v>53.27</v>
      </c>
      <c r="E1560" t="s">
        <v>18132</v>
      </c>
      <c r="F1560" t="s">
        <v>107</v>
      </c>
      <c r="G1560" t="s">
        <v>813</v>
      </c>
      <c r="H1560" t="s">
        <v>10266</v>
      </c>
      <c r="I1560" t="s">
        <v>70</v>
      </c>
      <c r="J1560" t="s">
        <v>383</v>
      </c>
      <c r="K1560">
        <v>25.61</v>
      </c>
      <c r="L1560">
        <v>3.02</v>
      </c>
      <c r="M1560" t="s">
        <v>4600</v>
      </c>
      <c r="N1560">
        <v>332</v>
      </c>
      <c r="R1560">
        <v>0.87</v>
      </c>
      <c r="S1560">
        <v>9.7100000000000009</v>
      </c>
      <c r="AA1560">
        <v>-0.77</v>
      </c>
      <c r="AE1560" t="s">
        <v>1282</v>
      </c>
      <c r="AF1560" t="s">
        <v>17189</v>
      </c>
      <c r="AH1560" t="s">
        <v>5761</v>
      </c>
      <c r="AJ1560" t="s">
        <v>5116</v>
      </c>
      <c r="AK1560" t="s">
        <v>6156</v>
      </c>
      <c r="AL1560">
        <v>0.43</v>
      </c>
      <c r="AM1560">
        <v>0.43</v>
      </c>
      <c r="AN1560">
        <v>0.35</v>
      </c>
      <c r="AO1560" t="s">
        <v>18133</v>
      </c>
      <c r="AP1560" t="s">
        <v>9364</v>
      </c>
      <c r="AQ1560" t="s">
        <v>17118</v>
      </c>
      <c r="AR1560" t="s">
        <v>12048</v>
      </c>
      <c r="AS1560" t="s">
        <v>1066</v>
      </c>
      <c r="AT1560" t="s">
        <v>2808</v>
      </c>
      <c r="AU1560" t="s">
        <v>13358</v>
      </c>
      <c r="AV1560" t="s">
        <v>14242</v>
      </c>
      <c r="AW1560" t="s">
        <v>8162</v>
      </c>
      <c r="AX1560" t="s">
        <v>18134</v>
      </c>
      <c r="AY1560" t="s">
        <v>18135</v>
      </c>
      <c r="AZ1560" t="s">
        <v>9112</v>
      </c>
      <c r="BA1560">
        <v>1</v>
      </c>
      <c r="BB1560">
        <v>24.47</v>
      </c>
      <c r="BC1560">
        <v>0.05</v>
      </c>
      <c r="BD1560">
        <v>2.95</v>
      </c>
      <c r="BE1560">
        <v>2.89</v>
      </c>
      <c r="BF1560">
        <v>2.89</v>
      </c>
      <c r="BG1560" t="s">
        <v>18136</v>
      </c>
      <c r="BH1560" t="s">
        <v>18135</v>
      </c>
      <c r="BI1560" t="s">
        <v>9112</v>
      </c>
      <c r="BJ1560" t="s">
        <v>101</v>
      </c>
      <c r="BK1560" t="s">
        <v>4299</v>
      </c>
      <c r="BL1560" t="s">
        <v>9725</v>
      </c>
      <c r="BN1560" t="s">
        <v>14623</v>
      </c>
    </row>
    <row r="1561" spans="1:66" x14ac:dyDescent="0.25">
      <c r="A1561" t="str">
        <f>HYPERLINK("https://elite.finviz.com/quote.ashx?t=BIPC&amp;ty=c&amp;p=d&amp;b=1", "BIPC")</f>
        <v>BIPC</v>
      </c>
      <c r="B1561">
        <v>6</v>
      </c>
      <c r="C1561">
        <v>127.03</v>
      </c>
      <c r="D1561">
        <v>53.31</v>
      </c>
      <c r="E1561" t="s">
        <v>18137</v>
      </c>
      <c r="F1561" t="s">
        <v>67</v>
      </c>
      <c r="G1561" t="s">
        <v>287</v>
      </c>
      <c r="H1561" t="s">
        <v>3541</v>
      </c>
      <c r="I1561" t="s">
        <v>70</v>
      </c>
      <c r="J1561" t="s">
        <v>71</v>
      </c>
      <c r="K1561">
        <v>5380.31</v>
      </c>
      <c r="L1561">
        <v>40.74</v>
      </c>
      <c r="M1561" t="s">
        <v>5263</v>
      </c>
      <c r="N1561">
        <v>112865</v>
      </c>
      <c r="R1561">
        <v>1.47</v>
      </c>
      <c r="T1561" t="s">
        <v>4077</v>
      </c>
      <c r="U1561">
        <v>1.7</v>
      </c>
      <c r="V1561" t="s">
        <v>4882</v>
      </c>
      <c r="W1561" t="s">
        <v>8852</v>
      </c>
      <c r="X1561" t="s">
        <v>2124</v>
      </c>
      <c r="AA1561">
        <v>-8.6300000000000008</v>
      </c>
      <c r="AB1561" t="s">
        <v>12912</v>
      </c>
      <c r="AE1561" t="s">
        <v>8086</v>
      </c>
      <c r="AF1561" t="s">
        <v>11690</v>
      </c>
      <c r="AG1561" t="s">
        <v>5438</v>
      </c>
      <c r="AH1561" t="s">
        <v>4430</v>
      </c>
      <c r="AI1561" t="s">
        <v>18138</v>
      </c>
      <c r="AJ1561" t="s">
        <v>164</v>
      </c>
      <c r="AK1561" t="s">
        <v>13984</v>
      </c>
      <c r="AL1561">
        <v>0.5</v>
      </c>
      <c r="AM1561">
        <v>0.5</v>
      </c>
      <c r="AO1561" t="s">
        <v>18139</v>
      </c>
      <c r="AP1561" t="s">
        <v>1498</v>
      </c>
      <c r="AQ1561" t="s">
        <v>18140</v>
      </c>
      <c r="AR1561" t="s">
        <v>342</v>
      </c>
      <c r="AS1561" t="s">
        <v>1439</v>
      </c>
      <c r="AT1561" t="s">
        <v>2644</v>
      </c>
      <c r="AU1561" t="s">
        <v>2185</v>
      </c>
      <c r="AV1561" t="s">
        <v>203</v>
      </c>
      <c r="AW1561" t="s">
        <v>759</v>
      </c>
      <c r="AX1561" t="s">
        <v>6674</v>
      </c>
      <c r="AY1561" t="s">
        <v>6827</v>
      </c>
      <c r="AZ1561" t="s">
        <v>14704</v>
      </c>
      <c r="BA1561">
        <v>3</v>
      </c>
      <c r="BB1561">
        <v>583.67999999999995</v>
      </c>
      <c r="BC1561">
        <v>0.68</v>
      </c>
      <c r="BD1561">
        <v>39.92</v>
      </c>
      <c r="BE1561">
        <v>40.81</v>
      </c>
      <c r="BF1561">
        <v>40.04</v>
      </c>
      <c r="BG1561" t="s">
        <v>18141</v>
      </c>
      <c r="BH1561" t="s">
        <v>14628</v>
      </c>
      <c r="BI1561" t="s">
        <v>12818</v>
      </c>
      <c r="BJ1561" t="s">
        <v>101</v>
      </c>
      <c r="BK1561" t="s">
        <v>9938</v>
      </c>
      <c r="BL1561" t="s">
        <v>6532</v>
      </c>
      <c r="BM1561" t="s">
        <v>3423</v>
      </c>
      <c r="BN1561" t="s">
        <v>14623</v>
      </c>
    </row>
    <row r="1562" spans="1:66" x14ac:dyDescent="0.25">
      <c r="A1562" t="str">
        <f>HYPERLINK("https://elite.finviz.com/quote.ashx?t=EBMT&amp;ty=c&amp;p=d&amp;b=1", "EBMT")</f>
        <v>EBMT</v>
      </c>
      <c r="B1562">
        <v>6</v>
      </c>
      <c r="C1562">
        <v>127.03</v>
      </c>
      <c r="D1562">
        <v>53.35</v>
      </c>
      <c r="E1562" t="s">
        <v>18142</v>
      </c>
      <c r="F1562" t="s">
        <v>67</v>
      </c>
      <c r="G1562" t="s">
        <v>550</v>
      </c>
      <c r="H1562" t="s">
        <v>697</v>
      </c>
      <c r="I1562" t="s">
        <v>70</v>
      </c>
      <c r="J1562" t="s">
        <v>321</v>
      </c>
      <c r="K1562">
        <v>138.16999999999999</v>
      </c>
      <c r="L1562">
        <v>17.38</v>
      </c>
      <c r="M1562" t="s">
        <v>3226</v>
      </c>
      <c r="N1562">
        <v>2117</v>
      </c>
      <c r="O1562">
        <v>10.8</v>
      </c>
      <c r="P1562">
        <v>9.0500000000000007</v>
      </c>
      <c r="Q1562">
        <v>0.48</v>
      </c>
      <c r="R1562">
        <v>1.1000000000000001</v>
      </c>
      <c r="S1562">
        <v>0.76</v>
      </c>
      <c r="T1562" t="s">
        <v>6770</v>
      </c>
      <c r="U1562">
        <v>0.56999999999999995</v>
      </c>
      <c r="V1562" t="s">
        <v>3046</v>
      </c>
      <c r="W1562" t="s">
        <v>164</v>
      </c>
      <c r="X1562" t="s">
        <v>2796</v>
      </c>
      <c r="Y1562" t="s">
        <v>9478</v>
      </c>
      <c r="Z1562" t="s">
        <v>18143</v>
      </c>
      <c r="AA1562">
        <v>1.61</v>
      </c>
      <c r="AB1562" t="s">
        <v>16445</v>
      </c>
      <c r="AC1562" t="s">
        <v>10546</v>
      </c>
      <c r="AD1562" t="s">
        <v>361</v>
      </c>
      <c r="AE1562" t="s">
        <v>2823</v>
      </c>
      <c r="AF1562" t="s">
        <v>2340</v>
      </c>
      <c r="AG1562" t="s">
        <v>8530</v>
      </c>
      <c r="AH1562" t="s">
        <v>6593</v>
      </c>
      <c r="AI1562" t="s">
        <v>10819</v>
      </c>
      <c r="AJ1562" t="s">
        <v>8380</v>
      </c>
      <c r="AK1562" t="s">
        <v>9389</v>
      </c>
      <c r="AL1562">
        <v>0.04</v>
      </c>
      <c r="AN1562">
        <v>0.99</v>
      </c>
      <c r="AP1562" t="s">
        <v>6466</v>
      </c>
      <c r="AQ1562" t="s">
        <v>2085</v>
      </c>
      <c r="AR1562" t="s">
        <v>2201</v>
      </c>
      <c r="AS1562" t="s">
        <v>2424</v>
      </c>
      <c r="AT1562" t="s">
        <v>4191</v>
      </c>
      <c r="AU1562" t="s">
        <v>90</v>
      </c>
      <c r="AV1562" t="s">
        <v>8229</v>
      </c>
      <c r="AW1562" t="s">
        <v>12274</v>
      </c>
      <c r="AX1562" t="s">
        <v>14148</v>
      </c>
      <c r="AY1562" t="s">
        <v>12333</v>
      </c>
      <c r="AZ1562" t="s">
        <v>245</v>
      </c>
      <c r="BA1562">
        <v>3</v>
      </c>
      <c r="BB1562">
        <v>45.17</v>
      </c>
      <c r="BC1562">
        <v>0.17</v>
      </c>
      <c r="BD1562">
        <v>17.309999999999999</v>
      </c>
      <c r="BE1562">
        <v>17.41</v>
      </c>
      <c r="BF1562">
        <v>17.32</v>
      </c>
      <c r="BG1562" t="s">
        <v>18144</v>
      </c>
      <c r="BH1562" t="s">
        <v>6695</v>
      </c>
      <c r="BI1562" t="s">
        <v>18145</v>
      </c>
      <c r="BJ1562" t="s">
        <v>101</v>
      </c>
      <c r="BK1562" t="s">
        <v>4795</v>
      </c>
      <c r="BL1562" t="s">
        <v>6118</v>
      </c>
      <c r="BM1562" t="s">
        <v>847</v>
      </c>
      <c r="BN1562" t="s">
        <v>14623</v>
      </c>
    </row>
    <row r="1563" spans="1:66" x14ac:dyDescent="0.25">
      <c r="A1563" t="str">
        <f>HYPERLINK("https://elite.finviz.com/quote.ashx?t=FORA&amp;ty=c&amp;p=d&amp;b=1", "FORA")</f>
        <v>FORA</v>
      </c>
      <c r="B1563">
        <v>6</v>
      </c>
      <c r="C1563">
        <v>127.03</v>
      </c>
      <c r="D1563">
        <v>53.35</v>
      </c>
      <c r="E1563" t="s">
        <v>18146</v>
      </c>
      <c r="F1563" t="s">
        <v>107</v>
      </c>
      <c r="G1563" t="s">
        <v>428</v>
      </c>
      <c r="H1563" t="s">
        <v>2075</v>
      </c>
      <c r="I1563" t="s">
        <v>70</v>
      </c>
      <c r="J1563" t="s">
        <v>321</v>
      </c>
      <c r="K1563">
        <v>68.760000000000005</v>
      </c>
      <c r="L1563">
        <v>2.21</v>
      </c>
      <c r="M1563" t="s">
        <v>914</v>
      </c>
      <c r="N1563">
        <v>6397</v>
      </c>
      <c r="P1563">
        <v>24.56</v>
      </c>
      <c r="R1563">
        <v>2.75</v>
      </c>
      <c r="S1563">
        <v>2.23</v>
      </c>
      <c r="AA1563">
        <v>-0.03</v>
      </c>
      <c r="AB1563" t="s">
        <v>1888</v>
      </c>
      <c r="AC1563" t="s">
        <v>18147</v>
      </c>
      <c r="AE1563" t="s">
        <v>1458</v>
      </c>
      <c r="AF1563" t="s">
        <v>614</v>
      </c>
      <c r="AH1563" t="s">
        <v>8873</v>
      </c>
      <c r="AI1563" t="s">
        <v>1647</v>
      </c>
      <c r="AJ1563" t="s">
        <v>164</v>
      </c>
      <c r="AK1563" t="s">
        <v>3857</v>
      </c>
      <c r="AL1563">
        <v>2.6</v>
      </c>
      <c r="AM1563">
        <v>2.6</v>
      </c>
      <c r="AN1563">
        <v>0.22</v>
      </c>
      <c r="AO1563" t="s">
        <v>11470</v>
      </c>
      <c r="AP1563" t="s">
        <v>18148</v>
      </c>
      <c r="AQ1563" t="s">
        <v>5725</v>
      </c>
      <c r="AR1563" t="s">
        <v>2384</v>
      </c>
      <c r="AS1563" t="s">
        <v>3496</v>
      </c>
      <c r="AT1563" t="s">
        <v>2646</v>
      </c>
      <c r="AU1563" t="s">
        <v>5658</v>
      </c>
      <c r="AV1563" t="s">
        <v>4641</v>
      </c>
      <c r="AW1563" t="s">
        <v>15230</v>
      </c>
      <c r="AX1563" t="s">
        <v>11671</v>
      </c>
      <c r="AY1563" t="s">
        <v>1520</v>
      </c>
      <c r="AZ1563" t="s">
        <v>11671</v>
      </c>
      <c r="BA1563">
        <v>1</v>
      </c>
      <c r="BB1563">
        <v>34.93</v>
      </c>
      <c r="BC1563">
        <v>0.65</v>
      </c>
      <c r="BD1563">
        <v>2.2000000000000002</v>
      </c>
      <c r="BE1563">
        <v>2.2799999999999998</v>
      </c>
      <c r="BF1563">
        <v>2.2000000000000002</v>
      </c>
      <c r="BG1563" t="s">
        <v>18149</v>
      </c>
      <c r="BH1563" t="s">
        <v>5233</v>
      </c>
      <c r="BI1563" t="s">
        <v>18150</v>
      </c>
      <c r="BJ1563" t="s">
        <v>101</v>
      </c>
      <c r="BK1563" t="s">
        <v>18151</v>
      </c>
      <c r="BL1563" t="s">
        <v>4996</v>
      </c>
      <c r="BM1563" t="s">
        <v>3456</v>
      </c>
      <c r="BN1563" t="s">
        <v>14623</v>
      </c>
    </row>
    <row r="1564" spans="1:66" x14ac:dyDescent="0.25">
      <c r="A1564" t="str">
        <f>HYPERLINK("https://elite.finviz.com/quote.ashx?t=TAYD&amp;ty=c&amp;p=d&amp;b=1", "TAYD")</f>
        <v>TAYD</v>
      </c>
      <c r="B1564">
        <v>6</v>
      </c>
      <c r="C1564">
        <v>127.03</v>
      </c>
      <c r="D1564">
        <v>53.36</v>
      </c>
      <c r="E1564" t="s">
        <v>18152</v>
      </c>
      <c r="F1564" t="s">
        <v>107</v>
      </c>
      <c r="G1564" t="s">
        <v>260</v>
      </c>
      <c r="H1564" t="s">
        <v>261</v>
      </c>
      <c r="I1564" t="s">
        <v>70</v>
      </c>
      <c r="J1564" t="s">
        <v>321</v>
      </c>
      <c r="K1564">
        <v>152.99</v>
      </c>
      <c r="L1564">
        <v>48.61</v>
      </c>
      <c r="M1564" t="s">
        <v>2468</v>
      </c>
      <c r="N1564">
        <v>736</v>
      </c>
      <c r="O1564">
        <v>16.93</v>
      </c>
      <c r="P1564">
        <v>16.940000000000001</v>
      </c>
      <c r="R1564">
        <v>3.3</v>
      </c>
      <c r="S1564">
        <v>2.46</v>
      </c>
      <c r="Z1564" t="s">
        <v>164</v>
      </c>
      <c r="AA1564">
        <v>2.87</v>
      </c>
      <c r="AB1564" t="s">
        <v>18153</v>
      </c>
      <c r="AC1564" t="s">
        <v>11296</v>
      </c>
      <c r="AD1564" t="s">
        <v>3486</v>
      </c>
      <c r="AE1564" t="s">
        <v>122</v>
      </c>
      <c r="AF1564" t="s">
        <v>5699</v>
      </c>
      <c r="AG1564" t="s">
        <v>797</v>
      </c>
      <c r="AH1564" t="s">
        <v>4503</v>
      </c>
      <c r="AI1564" t="s">
        <v>16956</v>
      </c>
      <c r="AJ1564" t="s">
        <v>2650</v>
      </c>
      <c r="AK1564" t="s">
        <v>14368</v>
      </c>
      <c r="AL1564">
        <v>5.88</v>
      </c>
      <c r="AM1564">
        <v>5.03</v>
      </c>
      <c r="AN1564">
        <v>0</v>
      </c>
      <c r="AO1564" t="s">
        <v>18154</v>
      </c>
      <c r="AP1564" t="s">
        <v>6974</v>
      </c>
      <c r="AQ1564" t="s">
        <v>948</v>
      </c>
      <c r="AR1564" t="s">
        <v>5025</v>
      </c>
      <c r="AS1564" t="s">
        <v>5100</v>
      </c>
      <c r="AT1564" t="s">
        <v>344</v>
      </c>
      <c r="AU1564" t="s">
        <v>4104</v>
      </c>
      <c r="AV1564" t="s">
        <v>6672</v>
      </c>
      <c r="AW1564" t="s">
        <v>15437</v>
      </c>
      <c r="AX1564" t="s">
        <v>14549</v>
      </c>
      <c r="AY1564" t="s">
        <v>14400</v>
      </c>
      <c r="AZ1564" t="s">
        <v>15557</v>
      </c>
      <c r="BA1564">
        <v>1</v>
      </c>
      <c r="BB1564">
        <v>16.920000000000002</v>
      </c>
      <c r="BC1564">
        <v>0.15</v>
      </c>
      <c r="BD1564">
        <v>48.71</v>
      </c>
      <c r="BE1564">
        <v>48.58</v>
      </c>
      <c r="BF1564">
        <v>47</v>
      </c>
      <c r="BG1564" t="s">
        <v>18155</v>
      </c>
      <c r="BH1564" t="s">
        <v>10955</v>
      </c>
      <c r="BI1564" t="s">
        <v>18156</v>
      </c>
      <c r="BJ1564" t="s">
        <v>101</v>
      </c>
      <c r="BK1564" t="s">
        <v>3115</v>
      </c>
      <c r="BL1564" t="s">
        <v>18157</v>
      </c>
      <c r="BM1564" t="s">
        <v>18158</v>
      </c>
      <c r="BN1564" t="s">
        <v>14623</v>
      </c>
    </row>
    <row r="1565" spans="1:66" x14ac:dyDescent="0.25">
      <c r="A1565" t="str">
        <f>HYPERLINK("https://elite.finviz.com/quote.ashx?t=ALCY&amp;ty=c&amp;p=d&amp;b=1", "ALCY")</f>
        <v>ALCY</v>
      </c>
      <c r="B1565">
        <v>6</v>
      </c>
      <c r="C1565">
        <v>127.03</v>
      </c>
      <c r="D1565">
        <v>53.38</v>
      </c>
      <c r="E1565" t="s">
        <v>18159</v>
      </c>
      <c r="F1565" t="s">
        <v>107</v>
      </c>
      <c r="G1565" t="s">
        <v>550</v>
      </c>
      <c r="H1565" t="s">
        <v>2120</v>
      </c>
      <c r="I1565" t="s">
        <v>70</v>
      </c>
      <c r="J1565" t="s">
        <v>321</v>
      </c>
      <c r="K1565">
        <v>53.12</v>
      </c>
      <c r="L1565">
        <v>11.72</v>
      </c>
      <c r="M1565" t="s">
        <v>7867</v>
      </c>
      <c r="N1565">
        <v>289</v>
      </c>
      <c r="S1565">
        <v>11.62</v>
      </c>
      <c r="Z1565" t="s">
        <v>164</v>
      </c>
      <c r="AA1565">
        <v>0</v>
      </c>
      <c r="AJ1565" t="s">
        <v>164</v>
      </c>
      <c r="AK1565" t="s">
        <v>4579</v>
      </c>
      <c r="AL1565">
        <v>0.09</v>
      </c>
      <c r="AM1565">
        <v>0.09</v>
      </c>
      <c r="AN1565">
        <v>0.25</v>
      </c>
      <c r="AR1565" t="s">
        <v>744</v>
      </c>
      <c r="AS1565" t="s">
        <v>2789</v>
      </c>
      <c r="AT1565" t="s">
        <v>1303</v>
      </c>
      <c r="AU1565" t="s">
        <v>2201</v>
      </c>
      <c r="AV1565" t="s">
        <v>2066</v>
      </c>
      <c r="AW1565" t="s">
        <v>7621</v>
      </c>
      <c r="AX1565" t="s">
        <v>7108</v>
      </c>
      <c r="AY1565" t="s">
        <v>10240</v>
      </c>
      <c r="AZ1565" t="s">
        <v>7108</v>
      </c>
      <c r="BB1565">
        <v>17.36</v>
      </c>
      <c r="BC1565">
        <v>0.06</v>
      </c>
      <c r="BD1565">
        <v>11.99</v>
      </c>
      <c r="BE1565">
        <v>11.72</v>
      </c>
      <c r="BF1565">
        <v>11.72</v>
      </c>
      <c r="BG1565" t="s">
        <v>18160</v>
      </c>
      <c r="BH1565" t="s">
        <v>10240</v>
      </c>
      <c r="BI1565" t="s">
        <v>2415</v>
      </c>
      <c r="BJ1565" t="s">
        <v>101</v>
      </c>
      <c r="BK1565" t="s">
        <v>234</v>
      </c>
      <c r="BL1565" t="s">
        <v>10714</v>
      </c>
      <c r="BM1565" t="s">
        <v>1206</v>
      </c>
      <c r="BN1565" t="s">
        <v>14623</v>
      </c>
    </row>
    <row r="1566" spans="1:66" x14ac:dyDescent="0.25">
      <c r="A1566" t="str">
        <f>HYPERLINK("https://elite.finviz.com/quote.ashx?t=GWRS&amp;ty=c&amp;p=d&amp;b=1", "GWRS")</f>
        <v>GWRS</v>
      </c>
      <c r="B1566">
        <v>6</v>
      </c>
      <c r="C1566">
        <v>127.03</v>
      </c>
      <c r="D1566">
        <v>53.38</v>
      </c>
      <c r="E1566" t="s">
        <v>18161</v>
      </c>
      <c r="F1566" t="s">
        <v>67</v>
      </c>
      <c r="G1566" t="s">
        <v>287</v>
      </c>
      <c r="H1566" t="s">
        <v>13133</v>
      </c>
      <c r="I1566" t="s">
        <v>70</v>
      </c>
      <c r="J1566" t="s">
        <v>321</v>
      </c>
      <c r="K1566">
        <v>274.87</v>
      </c>
      <c r="L1566">
        <v>10.01</v>
      </c>
      <c r="M1566" t="s">
        <v>227</v>
      </c>
      <c r="N1566">
        <v>7913</v>
      </c>
      <c r="O1566">
        <v>45.19</v>
      </c>
      <c r="P1566">
        <v>36.380000000000003</v>
      </c>
      <c r="R1566">
        <v>5.0599999999999996</v>
      </c>
      <c r="S1566">
        <v>3.58</v>
      </c>
      <c r="T1566" t="s">
        <v>305</v>
      </c>
      <c r="U1566">
        <v>0.3</v>
      </c>
      <c r="V1566" t="s">
        <v>5925</v>
      </c>
      <c r="W1566" t="s">
        <v>821</v>
      </c>
      <c r="X1566" t="s">
        <v>1279</v>
      </c>
      <c r="Y1566" t="s">
        <v>5253</v>
      </c>
      <c r="Z1566" t="s">
        <v>18162</v>
      </c>
      <c r="AA1566">
        <v>0.22</v>
      </c>
      <c r="AB1566" t="s">
        <v>800</v>
      </c>
      <c r="AC1566" t="s">
        <v>10042</v>
      </c>
      <c r="AE1566" t="s">
        <v>5497</v>
      </c>
      <c r="AF1566" t="s">
        <v>3837</v>
      </c>
      <c r="AG1566" t="s">
        <v>3100</v>
      </c>
      <c r="AH1566" t="s">
        <v>3602</v>
      </c>
      <c r="AI1566" t="s">
        <v>4688</v>
      </c>
      <c r="AJ1566" t="s">
        <v>5653</v>
      </c>
      <c r="AK1566" t="s">
        <v>16590</v>
      </c>
      <c r="AL1566">
        <v>1.0900000000000001</v>
      </c>
      <c r="AM1566">
        <v>1.0900000000000001</v>
      </c>
      <c r="AN1566">
        <v>1.61</v>
      </c>
      <c r="AO1566" t="s">
        <v>12998</v>
      </c>
      <c r="AP1566" t="s">
        <v>7629</v>
      </c>
      <c r="AQ1566" t="s">
        <v>4409</v>
      </c>
      <c r="AR1566" t="s">
        <v>1439</v>
      </c>
      <c r="AS1566" t="s">
        <v>1438</v>
      </c>
      <c r="AT1566" t="s">
        <v>3487</v>
      </c>
      <c r="AU1566" t="s">
        <v>3976</v>
      </c>
      <c r="AV1566" t="s">
        <v>2206</v>
      </c>
      <c r="AW1566" t="s">
        <v>4210</v>
      </c>
      <c r="AX1566" t="s">
        <v>3837</v>
      </c>
      <c r="AY1566" t="s">
        <v>18163</v>
      </c>
      <c r="AZ1566" t="s">
        <v>3837</v>
      </c>
      <c r="BA1566">
        <v>1</v>
      </c>
      <c r="BB1566">
        <v>57.76</v>
      </c>
      <c r="BC1566">
        <v>0.48</v>
      </c>
      <c r="BD1566">
        <v>9.94</v>
      </c>
      <c r="BE1566">
        <v>10.08</v>
      </c>
      <c r="BF1566">
        <v>9.94</v>
      </c>
      <c r="BG1566" t="s">
        <v>18164</v>
      </c>
      <c r="BH1566" t="s">
        <v>16703</v>
      </c>
      <c r="BI1566" t="s">
        <v>18165</v>
      </c>
      <c r="BJ1566" t="s">
        <v>101</v>
      </c>
      <c r="BK1566" t="s">
        <v>8053</v>
      </c>
      <c r="BL1566" t="s">
        <v>7243</v>
      </c>
      <c r="BM1566" t="s">
        <v>6686</v>
      </c>
      <c r="BN1566" t="s">
        <v>14623</v>
      </c>
    </row>
    <row r="1567" spans="1:66" x14ac:dyDescent="0.25">
      <c r="A1567" t="str">
        <f>HYPERLINK("https://elite.finviz.com/quote.ashx?t=LYEL&amp;ty=c&amp;p=d&amp;b=1", "LYEL")</f>
        <v>LYEL</v>
      </c>
      <c r="B1567">
        <v>6</v>
      </c>
      <c r="C1567">
        <v>127.03</v>
      </c>
      <c r="D1567">
        <v>53.48</v>
      </c>
      <c r="E1567" t="s">
        <v>18166</v>
      </c>
      <c r="F1567" t="s">
        <v>107</v>
      </c>
      <c r="G1567" t="s">
        <v>428</v>
      </c>
      <c r="H1567" t="s">
        <v>429</v>
      </c>
      <c r="I1567" t="s">
        <v>70</v>
      </c>
      <c r="J1567" t="s">
        <v>321</v>
      </c>
      <c r="K1567">
        <v>242.64</v>
      </c>
      <c r="L1567">
        <v>12.63</v>
      </c>
      <c r="M1567" t="s">
        <v>4203</v>
      </c>
      <c r="N1567">
        <v>14042</v>
      </c>
      <c r="R1567">
        <v>4044.02</v>
      </c>
      <c r="S1567">
        <v>0.63</v>
      </c>
      <c r="AA1567">
        <v>-24.3</v>
      </c>
      <c r="AB1567" t="s">
        <v>10375</v>
      </c>
      <c r="AC1567" t="s">
        <v>9207</v>
      </c>
      <c r="AD1567" t="s">
        <v>12507</v>
      </c>
      <c r="AE1567" t="s">
        <v>821</v>
      </c>
      <c r="AF1567" t="s">
        <v>5305</v>
      </c>
      <c r="AG1567" t="s">
        <v>18167</v>
      </c>
      <c r="AH1567" t="s">
        <v>140</v>
      </c>
      <c r="AI1567" t="s">
        <v>3834</v>
      </c>
      <c r="AJ1567" t="s">
        <v>430</v>
      </c>
      <c r="AK1567" t="s">
        <v>683</v>
      </c>
      <c r="AL1567">
        <v>7.65</v>
      </c>
      <c r="AM1567">
        <v>7.65</v>
      </c>
      <c r="AN1567">
        <v>0.16</v>
      </c>
      <c r="AO1567" t="s">
        <v>18168</v>
      </c>
      <c r="AP1567" t="s">
        <v>18169</v>
      </c>
      <c r="AQ1567" t="s">
        <v>18170</v>
      </c>
      <c r="AR1567" t="s">
        <v>3433</v>
      </c>
      <c r="AS1567" t="s">
        <v>3602</v>
      </c>
      <c r="AT1567" t="s">
        <v>3227</v>
      </c>
      <c r="AU1567" t="s">
        <v>2447</v>
      </c>
      <c r="AV1567" t="s">
        <v>2095</v>
      </c>
      <c r="AW1567" t="s">
        <v>9631</v>
      </c>
      <c r="AX1567" t="s">
        <v>4935</v>
      </c>
      <c r="AY1567" t="s">
        <v>18171</v>
      </c>
      <c r="AZ1567" t="s">
        <v>6929</v>
      </c>
      <c r="BA1567">
        <v>3.5</v>
      </c>
      <c r="BB1567">
        <v>74.67</v>
      </c>
      <c r="BC1567">
        <v>0.67</v>
      </c>
      <c r="BD1567">
        <v>12.72</v>
      </c>
      <c r="BE1567">
        <v>12.97</v>
      </c>
      <c r="BF1567">
        <v>12.62</v>
      </c>
      <c r="BG1567" t="s">
        <v>18172</v>
      </c>
      <c r="BH1567" t="s">
        <v>18173</v>
      </c>
      <c r="BI1567" t="s">
        <v>6929</v>
      </c>
      <c r="BJ1567" t="s">
        <v>101</v>
      </c>
      <c r="BK1567" t="s">
        <v>6364</v>
      </c>
      <c r="BL1567" t="s">
        <v>4476</v>
      </c>
      <c r="BM1567" t="s">
        <v>18174</v>
      </c>
      <c r="BN1567" t="s">
        <v>14623</v>
      </c>
    </row>
    <row r="1568" spans="1:66" x14ac:dyDescent="0.25">
      <c r="A1568" t="str">
        <f>HYPERLINK("https://elite.finviz.com/quote.ashx?t=PSTL&amp;ty=c&amp;p=d&amp;b=1", "PSTL")</f>
        <v>PSTL</v>
      </c>
      <c r="B1568">
        <v>6</v>
      </c>
      <c r="C1568">
        <v>127.03</v>
      </c>
      <c r="D1568">
        <v>53.5</v>
      </c>
      <c r="E1568" t="s">
        <v>18175</v>
      </c>
      <c r="F1568" t="s">
        <v>67</v>
      </c>
      <c r="G1568" t="s">
        <v>68</v>
      </c>
      <c r="H1568" t="s">
        <v>69</v>
      </c>
      <c r="I1568" t="s">
        <v>70</v>
      </c>
      <c r="J1568" t="s">
        <v>71</v>
      </c>
      <c r="K1568">
        <v>475.58</v>
      </c>
      <c r="L1568">
        <v>15.81</v>
      </c>
      <c r="M1568" t="s">
        <v>4955</v>
      </c>
      <c r="N1568">
        <v>43918</v>
      </c>
      <c r="O1568">
        <v>40.97</v>
      </c>
      <c r="P1568">
        <v>31.95</v>
      </c>
      <c r="Q1568">
        <v>1.21</v>
      </c>
      <c r="R1568">
        <v>5.48</v>
      </c>
      <c r="S1568">
        <v>1.53</v>
      </c>
      <c r="T1568" t="s">
        <v>283</v>
      </c>
      <c r="U1568">
        <v>0.89</v>
      </c>
      <c r="V1568" t="s">
        <v>5604</v>
      </c>
      <c r="W1568" t="s">
        <v>3447</v>
      </c>
      <c r="X1568" t="s">
        <v>1933</v>
      </c>
      <c r="Y1568" t="s">
        <v>9612</v>
      </c>
      <c r="Z1568" t="s">
        <v>18176</v>
      </c>
      <c r="AA1568">
        <v>0.39</v>
      </c>
      <c r="AB1568" t="s">
        <v>11467</v>
      </c>
      <c r="AD1568" t="s">
        <v>13504</v>
      </c>
      <c r="AE1568" t="s">
        <v>279</v>
      </c>
      <c r="AF1568" t="s">
        <v>816</v>
      </c>
      <c r="AG1568" t="s">
        <v>12797</v>
      </c>
      <c r="AH1568" t="s">
        <v>12335</v>
      </c>
      <c r="AI1568" t="s">
        <v>18177</v>
      </c>
      <c r="AJ1568" t="s">
        <v>3896</v>
      </c>
      <c r="AK1568" t="s">
        <v>18178</v>
      </c>
      <c r="AL1568">
        <v>1244.8900000000001</v>
      </c>
      <c r="AM1568">
        <v>1244.8900000000001</v>
      </c>
      <c r="AN1568">
        <v>1.4</v>
      </c>
      <c r="AO1568" t="s">
        <v>4796</v>
      </c>
      <c r="AP1568" t="s">
        <v>18179</v>
      </c>
      <c r="AQ1568" t="s">
        <v>4288</v>
      </c>
      <c r="AR1568" t="s">
        <v>2720</v>
      </c>
      <c r="AS1568" t="s">
        <v>3551</v>
      </c>
      <c r="AT1568" t="s">
        <v>4086</v>
      </c>
      <c r="AU1568" t="s">
        <v>2170</v>
      </c>
      <c r="AV1568" t="s">
        <v>945</v>
      </c>
      <c r="AW1568" t="s">
        <v>15052</v>
      </c>
      <c r="AX1568" t="s">
        <v>8781</v>
      </c>
      <c r="AY1568" t="s">
        <v>15052</v>
      </c>
      <c r="AZ1568" t="s">
        <v>8728</v>
      </c>
      <c r="BA1568">
        <v>1.57</v>
      </c>
      <c r="BB1568">
        <v>159.07</v>
      </c>
      <c r="BC1568">
        <v>0.97</v>
      </c>
      <c r="BD1568">
        <v>15.84</v>
      </c>
      <c r="BE1568">
        <v>16.02</v>
      </c>
      <c r="BF1568">
        <v>15.81</v>
      </c>
      <c r="BG1568" t="s">
        <v>18180</v>
      </c>
      <c r="BH1568" t="s">
        <v>15106</v>
      </c>
      <c r="BI1568" t="s">
        <v>13943</v>
      </c>
      <c r="BJ1568" t="s">
        <v>101</v>
      </c>
      <c r="BK1568" t="s">
        <v>3601</v>
      </c>
      <c r="BL1568" t="s">
        <v>7760</v>
      </c>
      <c r="BM1568" t="s">
        <v>1771</v>
      </c>
      <c r="BN1568" t="s">
        <v>14623</v>
      </c>
    </row>
    <row r="1569" spans="1:66" x14ac:dyDescent="0.25">
      <c r="A1569" t="str">
        <f>HYPERLINK("https://elite.finviz.com/quote.ashx?t=GBFH&amp;ty=c&amp;p=d&amp;b=1", "GBFH")</f>
        <v>GBFH</v>
      </c>
      <c r="B1569">
        <v>6</v>
      </c>
      <c r="C1569">
        <v>127.03</v>
      </c>
      <c r="D1569">
        <v>53.51</v>
      </c>
      <c r="E1569" t="s">
        <v>18181</v>
      </c>
      <c r="F1569" t="s">
        <v>67</v>
      </c>
      <c r="G1569" t="s">
        <v>550</v>
      </c>
      <c r="H1569" t="s">
        <v>697</v>
      </c>
      <c r="I1569" t="s">
        <v>70</v>
      </c>
      <c r="J1569" t="s">
        <v>321</v>
      </c>
      <c r="K1569">
        <v>578.37</v>
      </c>
      <c r="L1569">
        <v>40.5</v>
      </c>
      <c r="M1569" t="s">
        <v>6842</v>
      </c>
      <c r="N1569">
        <v>5608</v>
      </c>
      <c r="O1569">
        <v>29.69</v>
      </c>
      <c r="P1569">
        <v>16.2</v>
      </c>
      <c r="R1569">
        <v>5.8</v>
      </c>
      <c r="S1569">
        <v>3.81</v>
      </c>
      <c r="Z1569" t="s">
        <v>164</v>
      </c>
      <c r="AA1569">
        <v>1.36</v>
      </c>
      <c r="AB1569" t="s">
        <v>10558</v>
      </c>
      <c r="AC1569" t="s">
        <v>16083</v>
      </c>
      <c r="AE1569" t="s">
        <v>4373</v>
      </c>
      <c r="AF1569" t="s">
        <v>2684</v>
      </c>
      <c r="AG1569" t="s">
        <v>4000</v>
      </c>
      <c r="AH1569" t="s">
        <v>6795</v>
      </c>
      <c r="AI1569" t="s">
        <v>5104</v>
      </c>
      <c r="AJ1569" t="s">
        <v>5686</v>
      </c>
      <c r="AK1569" t="s">
        <v>3015</v>
      </c>
      <c r="AL1569">
        <v>0.31</v>
      </c>
      <c r="AN1569">
        <v>0.21</v>
      </c>
      <c r="AP1569" t="s">
        <v>7539</v>
      </c>
      <c r="AQ1569" t="s">
        <v>5761</v>
      </c>
      <c r="AR1569" t="s">
        <v>2384</v>
      </c>
      <c r="AS1569" t="s">
        <v>3670</v>
      </c>
      <c r="AT1569" t="s">
        <v>4881</v>
      </c>
      <c r="AU1569" t="s">
        <v>2195</v>
      </c>
      <c r="AV1569" t="s">
        <v>6684</v>
      </c>
      <c r="AW1569" t="s">
        <v>6783</v>
      </c>
      <c r="AX1569" t="s">
        <v>9861</v>
      </c>
      <c r="AY1569" t="s">
        <v>4095</v>
      </c>
      <c r="AZ1569" t="s">
        <v>18182</v>
      </c>
      <c r="BA1569">
        <v>1</v>
      </c>
      <c r="BB1569">
        <v>68.28</v>
      </c>
      <c r="BC1569">
        <v>0.28999999999999998</v>
      </c>
      <c r="BD1569">
        <v>40.28</v>
      </c>
      <c r="BE1569">
        <v>41.04</v>
      </c>
      <c r="BF1569">
        <v>39.869999999999997</v>
      </c>
      <c r="BG1569" t="s">
        <v>18183</v>
      </c>
      <c r="BH1569" t="s">
        <v>4095</v>
      </c>
      <c r="BI1569" t="s">
        <v>18184</v>
      </c>
      <c r="BJ1569" t="s">
        <v>101</v>
      </c>
      <c r="BK1569" t="s">
        <v>9860</v>
      </c>
      <c r="BL1569" t="s">
        <v>1822</v>
      </c>
      <c r="BM1569" t="s">
        <v>18185</v>
      </c>
      <c r="BN1569" t="s">
        <v>14623</v>
      </c>
    </row>
    <row r="1570" spans="1:66" x14ac:dyDescent="0.25">
      <c r="A1570" t="str">
        <f>HYPERLINK("https://elite.finviz.com/quote.ashx?t=ACCO&amp;ty=c&amp;p=d&amp;b=1", "ACCO")</f>
        <v>ACCO</v>
      </c>
      <c r="B1570">
        <v>6</v>
      </c>
      <c r="C1570">
        <v>127.03</v>
      </c>
      <c r="D1570">
        <v>53.52</v>
      </c>
      <c r="E1570" t="s">
        <v>18186</v>
      </c>
      <c r="F1570" t="s">
        <v>67</v>
      </c>
      <c r="G1570" t="s">
        <v>260</v>
      </c>
      <c r="H1570" t="s">
        <v>16271</v>
      </c>
      <c r="I1570" t="s">
        <v>70</v>
      </c>
      <c r="J1570" t="s">
        <v>71</v>
      </c>
      <c r="K1570">
        <v>365.4</v>
      </c>
      <c r="L1570">
        <v>4.05</v>
      </c>
      <c r="M1570" t="s">
        <v>1837</v>
      </c>
      <c r="N1570">
        <v>151895</v>
      </c>
      <c r="O1570">
        <v>8.4</v>
      </c>
      <c r="P1570">
        <v>3.75</v>
      </c>
      <c r="R1570">
        <v>0.23</v>
      </c>
      <c r="S1570">
        <v>0.56999999999999995</v>
      </c>
      <c r="T1570" t="s">
        <v>12465</v>
      </c>
      <c r="U1570">
        <v>0.3</v>
      </c>
      <c r="V1570" t="s">
        <v>4186</v>
      </c>
      <c r="W1570" t="s">
        <v>164</v>
      </c>
      <c r="X1570" t="s">
        <v>975</v>
      </c>
      <c r="Y1570" t="s">
        <v>371</v>
      </c>
      <c r="AA1570">
        <v>0.48</v>
      </c>
      <c r="AE1570" t="s">
        <v>4397</v>
      </c>
      <c r="AF1570" t="s">
        <v>15918</v>
      </c>
      <c r="AG1570" t="s">
        <v>10958</v>
      </c>
      <c r="AH1570" t="s">
        <v>13208</v>
      </c>
      <c r="AI1570" t="s">
        <v>1779</v>
      </c>
      <c r="AJ1570" t="s">
        <v>183</v>
      </c>
      <c r="AK1570" t="s">
        <v>18187</v>
      </c>
      <c r="AL1570">
        <v>1.85</v>
      </c>
      <c r="AM1570">
        <v>1.1499999999999999</v>
      </c>
      <c r="AN1570">
        <v>1.68</v>
      </c>
      <c r="AO1570" t="s">
        <v>8247</v>
      </c>
      <c r="AP1570" t="s">
        <v>296</v>
      </c>
      <c r="AQ1570" t="s">
        <v>4687</v>
      </c>
      <c r="AR1570" t="s">
        <v>4276</v>
      </c>
      <c r="AS1570" t="s">
        <v>2582</v>
      </c>
      <c r="AT1570" t="s">
        <v>1409</v>
      </c>
      <c r="AU1570" t="s">
        <v>5592</v>
      </c>
      <c r="AV1570" t="s">
        <v>11567</v>
      </c>
      <c r="AW1570" t="s">
        <v>18188</v>
      </c>
      <c r="AX1570" t="s">
        <v>850</v>
      </c>
      <c r="AY1570" t="s">
        <v>18189</v>
      </c>
      <c r="AZ1570" t="s">
        <v>1007</v>
      </c>
      <c r="BA1570">
        <v>1</v>
      </c>
      <c r="BB1570">
        <v>584.04999999999995</v>
      </c>
      <c r="BC1570">
        <v>0.92</v>
      </c>
      <c r="BD1570">
        <v>4.01</v>
      </c>
      <c r="BE1570">
        <v>4.07</v>
      </c>
      <c r="BF1570">
        <v>4.0199999999999996</v>
      </c>
      <c r="BG1570" t="s">
        <v>18190</v>
      </c>
      <c r="BH1570" t="s">
        <v>18191</v>
      </c>
      <c r="BI1570" t="s">
        <v>18192</v>
      </c>
      <c r="BJ1570" t="s">
        <v>101</v>
      </c>
      <c r="BK1570" t="s">
        <v>5756</v>
      </c>
      <c r="BL1570" t="s">
        <v>7915</v>
      </c>
      <c r="BM1570" t="s">
        <v>18193</v>
      </c>
      <c r="BN1570" t="s">
        <v>14623</v>
      </c>
    </row>
    <row r="1571" spans="1:66" x14ac:dyDescent="0.25">
      <c r="A1571" t="str">
        <f>HYPERLINK("https://elite.finviz.com/quote.ashx?t=USAC&amp;ty=c&amp;p=d&amp;b=1", "USAC")</f>
        <v>USAC</v>
      </c>
      <c r="B1571">
        <v>6</v>
      </c>
      <c r="C1571">
        <v>127.03</v>
      </c>
      <c r="D1571">
        <v>53.53</v>
      </c>
      <c r="E1571" t="s">
        <v>18194</v>
      </c>
      <c r="F1571" t="s">
        <v>107</v>
      </c>
      <c r="G1571" t="s">
        <v>1048</v>
      </c>
      <c r="H1571" t="s">
        <v>8341</v>
      </c>
      <c r="I1571" t="s">
        <v>70</v>
      </c>
      <c r="J1571" t="s">
        <v>71</v>
      </c>
      <c r="K1571">
        <v>2960.36</v>
      </c>
      <c r="L1571">
        <v>24.13</v>
      </c>
      <c r="M1571" t="s">
        <v>3336</v>
      </c>
      <c r="N1571">
        <v>20431</v>
      </c>
      <c r="O1571">
        <v>36.36</v>
      </c>
      <c r="P1571">
        <v>20.97</v>
      </c>
      <c r="Q1571">
        <v>1.4</v>
      </c>
      <c r="R1571">
        <v>3.02</v>
      </c>
      <c r="T1571" t="s">
        <v>9159</v>
      </c>
      <c r="U1571">
        <v>2.1</v>
      </c>
      <c r="V1571" t="s">
        <v>15179</v>
      </c>
      <c r="W1571" t="s">
        <v>164</v>
      </c>
      <c r="X1571" t="s">
        <v>164</v>
      </c>
      <c r="Y1571" t="s">
        <v>164</v>
      </c>
      <c r="Z1571" t="s">
        <v>18195</v>
      </c>
      <c r="AA1571">
        <v>0.66</v>
      </c>
      <c r="AD1571" t="s">
        <v>1059</v>
      </c>
      <c r="AE1571" t="s">
        <v>2848</v>
      </c>
      <c r="AF1571" t="s">
        <v>3815</v>
      </c>
      <c r="AG1571" t="s">
        <v>3777</v>
      </c>
      <c r="AH1571" t="s">
        <v>336</v>
      </c>
      <c r="AI1571" t="s">
        <v>3170</v>
      </c>
      <c r="AJ1571" t="s">
        <v>2215</v>
      </c>
      <c r="AK1571" t="s">
        <v>8912</v>
      </c>
      <c r="AL1571">
        <v>1.27</v>
      </c>
      <c r="AM1571">
        <v>0.56999999999999995</v>
      </c>
      <c r="AO1571" t="s">
        <v>9928</v>
      </c>
      <c r="AP1571" t="s">
        <v>18196</v>
      </c>
      <c r="AQ1571" t="s">
        <v>7938</v>
      </c>
      <c r="AR1571" t="s">
        <v>6937</v>
      </c>
      <c r="AS1571" t="s">
        <v>2582</v>
      </c>
      <c r="AT1571" t="s">
        <v>3487</v>
      </c>
      <c r="AU1571" t="s">
        <v>1764</v>
      </c>
      <c r="AV1571" t="s">
        <v>9098</v>
      </c>
      <c r="AW1571" t="s">
        <v>5061</v>
      </c>
      <c r="AX1571" t="s">
        <v>2196</v>
      </c>
      <c r="AY1571" t="s">
        <v>9825</v>
      </c>
      <c r="AZ1571" t="s">
        <v>95</v>
      </c>
      <c r="BA1571">
        <v>3.14</v>
      </c>
      <c r="BB1571">
        <v>203.95</v>
      </c>
      <c r="BC1571">
        <v>0.35</v>
      </c>
      <c r="BD1571">
        <v>24.01</v>
      </c>
      <c r="BE1571">
        <v>24.25</v>
      </c>
      <c r="BF1571">
        <v>24.03</v>
      </c>
      <c r="BG1571" t="s">
        <v>18197</v>
      </c>
      <c r="BH1571" t="s">
        <v>9825</v>
      </c>
      <c r="BI1571" t="s">
        <v>18198</v>
      </c>
      <c r="BJ1571" t="s">
        <v>101</v>
      </c>
      <c r="BK1571" t="s">
        <v>3940</v>
      </c>
      <c r="BL1571" t="s">
        <v>18199</v>
      </c>
      <c r="BM1571" t="s">
        <v>1104</v>
      </c>
      <c r="BN1571" t="s">
        <v>14623</v>
      </c>
    </row>
    <row r="1572" spans="1:66" x14ac:dyDescent="0.25">
      <c r="A1572" t="str">
        <f>HYPERLINK("https://elite.finviz.com/quote.ashx?t=MBI&amp;ty=c&amp;p=d&amp;b=1", "MBI")</f>
        <v>MBI</v>
      </c>
      <c r="B1572">
        <v>6</v>
      </c>
      <c r="C1572">
        <v>127.03</v>
      </c>
      <c r="D1572">
        <v>53.54</v>
      </c>
      <c r="E1572" t="s">
        <v>18200</v>
      </c>
      <c r="F1572" t="s">
        <v>67</v>
      </c>
      <c r="G1572" t="s">
        <v>550</v>
      </c>
      <c r="H1572" t="s">
        <v>4675</v>
      </c>
      <c r="I1572" t="s">
        <v>70</v>
      </c>
      <c r="J1572" t="s">
        <v>71</v>
      </c>
      <c r="K1572">
        <v>380.18</v>
      </c>
      <c r="L1572">
        <v>7.53</v>
      </c>
      <c r="M1572" t="s">
        <v>2486</v>
      </c>
      <c r="N1572">
        <v>10395</v>
      </c>
      <c r="R1572">
        <v>3.69</v>
      </c>
      <c r="V1572" t="s">
        <v>18201</v>
      </c>
      <c r="AA1572">
        <v>-4.59</v>
      </c>
      <c r="AB1572" t="s">
        <v>5070</v>
      </c>
      <c r="AC1572" t="s">
        <v>8450</v>
      </c>
      <c r="AD1572" t="s">
        <v>5338</v>
      </c>
      <c r="AE1572" t="s">
        <v>18202</v>
      </c>
      <c r="AF1572" t="s">
        <v>9403</v>
      </c>
      <c r="AG1572" t="s">
        <v>2295</v>
      </c>
      <c r="AH1572" t="s">
        <v>18203</v>
      </c>
      <c r="AI1572" t="s">
        <v>18204</v>
      </c>
      <c r="AJ1572" t="s">
        <v>1722</v>
      </c>
      <c r="AK1572" t="s">
        <v>13751</v>
      </c>
      <c r="AL1572">
        <v>1.77</v>
      </c>
      <c r="AP1572" t="s">
        <v>658</v>
      </c>
      <c r="AQ1572" t="s">
        <v>18205</v>
      </c>
      <c r="AR1572" t="s">
        <v>4173</v>
      </c>
      <c r="AS1572" t="s">
        <v>912</v>
      </c>
      <c r="AT1572" t="s">
        <v>13366</v>
      </c>
      <c r="AU1572" t="s">
        <v>5128</v>
      </c>
      <c r="AV1572" t="s">
        <v>16837</v>
      </c>
      <c r="AW1572" t="s">
        <v>10064</v>
      </c>
      <c r="AX1572" t="s">
        <v>18206</v>
      </c>
      <c r="AY1572" t="s">
        <v>10064</v>
      </c>
      <c r="AZ1572" t="s">
        <v>18207</v>
      </c>
      <c r="BA1572">
        <v>2.33</v>
      </c>
      <c r="BB1572">
        <v>403.25</v>
      </c>
      <c r="BC1572">
        <v>0.09</v>
      </c>
      <c r="BD1572">
        <v>7.56</v>
      </c>
      <c r="BE1572">
        <v>7.62</v>
      </c>
      <c r="BF1572">
        <v>7.59</v>
      </c>
      <c r="BG1572" t="s">
        <v>18208</v>
      </c>
      <c r="BH1572" t="s">
        <v>17507</v>
      </c>
      <c r="BI1572" t="s">
        <v>18209</v>
      </c>
      <c r="BJ1572" t="s">
        <v>101</v>
      </c>
      <c r="BK1572" t="s">
        <v>14975</v>
      </c>
      <c r="BL1572" t="s">
        <v>13369</v>
      </c>
      <c r="BM1572" t="s">
        <v>6828</v>
      </c>
      <c r="BN1572" t="s">
        <v>14623</v>
      </c>
    </row>
    <row r="1573" spans="1:66" x14ac:dyDescent="0.25">
      <c r="A1573" t="str">
        <f>HYPERLINK("https://elite.finviz.com/quote.ashx?t=FORR&amp;ty=c&amp;p=d&amp;b=1", "FORR")</f>
        <v>FORR</v>
      </c>
      <c r="B1573">
        <v>6</v>
      </c>
      <c r="C1573">
        <v>127.03</v>
      </c>
      <c r="D1573">
        <v>53.59</v>
      </c>
      <c r="E1573" t="s">
        <v>18210</v>
      </c>
      <c r="F1573" t="s">
        <v>67</v>
      </c>
      <c r="G1573" t="s">
        <v>260</v>
      </c>
      <c r="H1573" t="s">
        <v>2879</v>
      </c>
      <c r="I1573" t="s">
        <v>70</v>
      </c>
      <c r="J1573" t="s">
        <v>321</v>
      </c>
      <c r="K1573">
        <v>199.23</v>
      </c>
      <c r="L1573">
        <v>10.44</v>
      </c>
      <c r="M1573" t="s">
        <v>2087</v>
      </c>
      <c r="N1573">
        <v>11282</v>
      </c>
      <c r="P1573">
        <v>7.15</v>
      </c>
      <c r="R1573">
        <v>0.48</v>
      </c>
      <c r="S1573">
        <v>1.25</v>
      </c>
      <c r="V1573" t="s">
        <v>18211</v>
      </c>
      <c r="AA1573">
        <v>-4.7</v>
      </c>
      <c r="AC1573" t="s">
        <v>4409</v>
      </c>
      <c r="AE1573" t="s">
        <v>13780</v>
      </c>
      <c r="AF1573" t="s">
        <v>6976</v>
      </c>
      <c r="AG1573" t="s">
        <v>4953</v>
      </c>
      <c r="AH1573" t="s">
        <v>5371</v>
      </c>
      <c r="AI1573" t="s">
        <v>3118</v>
      </c>
      <c r="AJ1573" t="s">
        <v>164</v>
      </c>
      <c r="AK1573" t="s">
        <v>15390</v>
      </c>
      <c r="AL1573">
        <v>1</v>
      </c>
      <c r="AM1573">
        <v>1</v>
      </c>
      <c r="AN1573">
        <v>0.48</v>
      </c>
      <c r="AO1573" t="s">
        <v>8657</v>
      </c>
      <c r="AP1573" t="s">
        <v>2643</v>
      </c>
      <c r="AQ1573" t="s">
        <v>15857</v>
      </c>
      <c r="AR1573" t="s">
        <v>1872</v>
      </c>
      <c r="AS1573" t="s">
        <v>1087</v>
      </c>
      <c r="AT1573" t="s">
        <v>3544</v>
      </c>
      <c r="AU1573" t="s">
        <v>5779</v>
      </c>
      <c r="AV1573" t="s">
        <v>18212</v>
      </c>
      <c r="AW1573" t="s">
        <v>8831</v>
      </c>
      <c r="AX1573" t="s">
        <v>3923</v>
      </c>
      <c r="AY1573" t="s">
        <v>18213</v>
      </c>
      <c r="AZ1573" t="s">
        <v>18081</v>
      </c>
      <c r="BA1573">
        <v>3</v>
      </c>
      <c r="BB1573">
        <v>85.52</v>
      </c>
      <c r="BC1573">
        <v>0.47</v>
      </c>
      <c r="BD1573">
        <v>10.24</v>
      </c>
      <c r="BE1573">
        <v>10.56</v>
      </c>
      <c r="BF1573">
        <v>10.199999999999999</v>
      </c>
      <c r="BG1573" t="s">
        <v>18214</v>
      </c>
      <c r="BH1573" t="s">
        <v>18215</v>
      </c>
      <c r="BI1573" t="s">
        <v>10277</v>
      </c>
      <c r="BJ1573" t="s">
        <v>101</v>
      </c>
      <c r="BK1573" t="s">
        <v>8925</v>
      </c>
      <c r="BL1573" t="s">
        <v>6945</v>
      </c>
      <c r="BM1573" t="s">
        <v>18216</v>
      </c>
      <c r="BN1573" t="s">
        <v>14623</v>
      </c>
    </row>
    <row r="1574" spans="1:66" x14ac:dyDescent="0.25">
      <c r="A1574" t="str">
        <f>HYPERLINK("https://elite.finviz.com/quote.ashx?t=GBR&amp;ty=c&amp;p=d&amp;b=1", "GBR")</f>
        <v>GBR</v>
      </c>
      <c r="B1574">
        <v>6</v>
      </c>
      <c r="C1574">
        <v>127.03</v>
      </c>
      <c r="D1574">
        <v>53.6</v>
      </c>
      <c r="E1574" t="s">
        <v>18217</v>
      </c>
      <c r="F1574" t="s">
        <v>107</v>
      </c>
      <c r="G1574" t="s">
        <v>68</v>
      </c>
      <c r="H1574" t="s">
        <v>7494</v>
      </c>
      <c r="I1574" t="s">
        <v>70</v>
      </c>
      <c r="J1574" t="s">
        <v>383</v>
      </c>
      <c r="K1574">
        <v>5.52</v>
      </c>
      <c r="L1574">
        <v>1.08</v>
      </c>
      <c r="M1574" t="s">
        <v>4530</v>
      </c>
      <c r="N1574">
        <v>47038</v>
      </c>
      <c r="R1574">
        <v>36.799999999999997</v>
      </c>
      <c r="S1574">
        <v>1.23</v>
      </c>
      <c r="AA1574">
        <v>-0.01</v>
      </c>
      <c r="AC1574" t="s">
        <v>18218</v>
      </c>
      <c r="AE1574" t="s">
        <v>2484</v>
      </c>
      <c r="AF1574" t="s">
        <v>4109</v>
      </c>
      <c r="AG1574" t="s">
        <v>6421</v>
      </c>
      <c r="AH1574" t="s">
        <v>1515</v>
      </c>
      <c r="AJ1574" t="s">
        <v>18219</v>
      </c>
      <c r="AK1574" t="s">
        <v>5672</v>
      </c>
      <c r="AL1574">
        <v>5.37</v>
      </c>
      <c r="AM1574">
        <v>5.37</v>
      </c>
      <c r="AN1574">
        <v>0</v>
      </c>
      <c r="AO1574" t="s">
        <v>18220</v>
      </c>
      <c r="AP1574" t="s">
        <v>18221</v>
      </c>
      <c r="AQ1574" t="s">
        <v>17446</v>
      </c>
      <c r="AR1574" t="s">
        <v>9703</v>
      </c>
      <c r="AS1574" t="s">
        <v>9280</v>
      </c>
      <c r="AT1574" t="s">
        <v>3487</v>
      </c>
      <c r="AU1574" t="s">
        <v>2627</v>
      </c>
      <c r="AV1574" t="s">
        <v>7935</v>
      </c>
      <c r="AW1574" t="s">
        <v>18222</v>
      </c>
      <c r="AX1574" t="s">
        <v>5762</v>
      </c>
      <c r="AY1574" t="s">
        <v>18223</v>
      </c>
      <c r="AZ1574" t="s">
        <v>18224</v>
      </c>
      <c r="BB1574">
        <v>110.49</v>
      </c>
      <c r="BC1574">
        <v>1.5</v>
      </c>
      <c r="BD1574">
        <v>1.03</v>
      </c>
      <c r="BE1574">
        <v>1.07</v>
      </c>
      <c r="BF1574">
        <v>1.03</v>
      </c>
      <c r="BG1574" t="s">
        <v>18225</v>
      </c>
      <c r="BH1574" t="s">
        <v>18226</v>
      </c>
      <c r="BI1574" t="s">
        <v>7316</v>
      </c>
      <c r="BJ1574" t="s">
        <v>101</v>
      </c>
      <c r="BK1574" t="s">
        <v>149</v>
      </c>
      <c r="BL1574" t="s">
        <v>7726</v>
      </c>
      <c r="BM1574" t="s">
        <v>9417</v>
      </c>
      <c r="BN1574" t="s">
        <v>14623</v>
      </c>
    </row>
    <row r="1575" spans="1:66" x14ac:dyDescent="0.25">
      <c r="A1575" t="str">
        <f>HYPERLINK("https://elite.finviz.com/quote.ashx?t=AMBO&amp;ty=c&amp;p=d&amp;b=1", "AMBO")</f>
        <v>AMBO</v>
      </c>
      <c r="B1575">
        <v>6</v>
      </c>
      <c r="C1575">
        <v>127.03</v>
      </c>
      <c r="D1575">
        <v>53.62</v>
      </c>
      <c r="E1575" t="s">
        <v>18227</v>
      </c>
      <c r="F1575" t="s">
        <v>107</v>
      </c>
      <c r="G1575" t="s">
        <v>2244</v>
      </c>
      <c r="H1575" t="s">
        <v>2483</v>
      </c>
      <c r="I1575" t="s">
        <v>70</v>
      </c>
      <c r="J1575" t="s">
        <v>383</v>
      </c>
      <c r="K1575">
        <v>9.67</v>
      </c>
      <c r="L1575">
        <v>3.69</v>
      </c>
      <c r="M1575" t="s">
        <v>5778</v>
      </c>
      <c r="N1575">
        <v>252</v>
      </c>
      <c r="S1575">
        <v>1.22</v>
      </c>
      <c r="Z1575" t="s">
        <v>164</v>
      </c>
      <c r="AF1575" t="s">
        <v>18228</v>
      </c>
      <c r="AG1575" t="s">
        <v>18229</v>
      </c>
      <c r="AH1575" t="s">
        <v>2545</v>
      </c>
      <c r="AK1575" t="s">
        <v>344</v>
      </c>
      <c r="AL1575">
        <v>1.6</v>
      </c>
      <c r="AM1575">
        <v>1.6</v>
      </c>
      <c r="AN1575">
        <v>1.27</v>
      </c>
      <c r="AR1575" t="s">
        <v>10132</v>
      </c>
      <c r="AS1575" t="s">
        <v>4783</v>
      </c>
      <c r="AT1575" t="s">
        <v>2361</v>
      </c>
      <c r="AU1575" t="s">
        <v>6751</v>
      </c>
      <c r="AV1575" t="s">
        <v>3816</v>
      </c>
      <c r="AW1575" t="s">
        <v>7362</v>
      </c>
      <c r="AX1575" t="s">
        <v>2865</v>
      </c>
      <c r="AY1575" t="s">
        <v>6695</v>
      </c>
      <c r="AZ1575" t="s">
        <v>18230</v>
      </c>
      <c r="BA1575">
        <v>1</v>
      </c>
      <c r="BB1575">
        <v>24.39</v>
      </c>
      <c r="BC1575">
        <v>0.04</v>
      </c>
      <c r="BD1575">
        <v>3.78</v>
      </c>
      <c r="BE1575">
        <v>3.67</v>
      </c>
      <c r="BF1575">
        <v>3.67</v>
      </c>
      <c r="BG1575" t="s">
        <v>18231</v>
      </c>
      <c r="BH1575" t="s">
        <v>2855</v>
      </c>
      <c r="BI1575" t="s">
        <v>18232</v>
      </c>
      <c r="BJ1575" t="s">
        <v>101</v>
      </c>
      <c r="BK1575" t="s">
        <v>18233</v>
      </c>
      <c r="BL1575" t="s">
        <v>16314</v>
      </c>
      <c r="BM1575" t="s">
        <v>18234</v>
      </c>
      <c r="BN1575" t="s">
        <v>14623</v>
      </c>
    </row>
    <row r="1576" spans="1:66" x14ac:dyDescent="0.25">
      <c r="A1576" t="str">
        <f>HYPERLINK("https://elite.finviz.com/quote.ashx?t=PLXS&amp;ty=c&amp;p=d&amp;b=1", "PLXS")</f>
        <v>PLXS</v>
      </c>
      <c r="B1576">
        <v>6</v>
      </c>
      <c r="C1576">
        <v>127.03</v>
      </c>
      <c r="D1576">
        <v>53.62</v>
      </c>
      <c r="E1576" t="s">
        <v>18235</v>
      </c>
      <c r="F1576" t="s">
        <v>67</v>
      </c>
      <c r="G1576" t="s">
        <v>108</v>
      </c>
      <c r="H1576" t="s">
        <v>3346</v>
      </c>
      <c r="I1576" t="s">
        <v>70</v>
      </c>
      <c r="J1576" t="s">
        <v>321</v>
      </c>
      <c r="K1576">
        <v>3785.83</v>
      </c>
      <c r="L1576">
        <v>140.29</v>
      </c>
      <c r="M1576" t="s">
        <v>1358</v>
      </c>
      <c r="N1576">
        <v>26503</v>
      </c>
      <c r="O1576">
        <v>23.87</v>
      </c>
      <c r="P1576">
        <v>18.55</v>
      </c>
      <c r="Q1576">
        <v>1.9</v>
      </c>
      <c r="R1576">
        <v>0.94</v>
      </c>
      <c r="S1576">
        <v>2.67</v>
      </c>
      <c r="Z1576" t="s">
        <v>164</v>
      </c>
      <c r="AA1576">
        <v>5.88</v>
      </c>
      <c r="AB1576" t="s">
        <v>7289</v>
      </c>
      <c r="AC1576" t="s">
        <v>5256</v>
      </c>
      <c r="AD1576" t="s">
        <v>4906</v>
      </c>
      <c r="AE1576" t="s">
        <v>4255</v>
      </c>
      <c r="AF1576" t="s">
        <v>1871</v>
      </c>
      <c r="AG1576" t="s">
        <v>4908</v>
      </c>
      <c r="AH1576" t="s">
        <v>7090</v>
      </c>
      <c r="AI1576" t="s">
        <v>5877</v>
      </c>
      <c r="AJ1576" t="s">
        <v>1092</v>
      </c>
      <c r="AK1576" t="s">
        <v>15528</v>
      </c>
      <c r="AL1576">
        <v>1.58</v>
      </c>
      <c r="AM1576">
        <v>0.74</v>
      </c>
      <c r="AN1576">
        <v>0.13</v>
      </c>
      <c r="AO1576" t="s">
        <v>3468</v>
      </c>
      <c r="AP1576" t="s">
        <v>3303</v>
      </c>
      <c r="AQ1576" t="s">
        <v>4795</v>
      </c>
      <c r="AR1576" t="s">
        <v>2643</v>
      </c>
      <c r="AS1576" t="s">
        <v>3916</v>
      </c>
      <c r="AT1576" t="s">
        <v>3871</v>
      </c>
      <c r="AU1576" t="s">
        <v>2810</v>
      </c>
      <c r="AV1576" t="s">
        <v>213</v>
      </c>
      <c r="AW1576" t="s">
        <v>6499</v>
      </c>
      <c r="AX1576" t="s">
        <v>11368</v>
      </c>
      <c r="AY1576" t="s">
        <v>14980</v>
      </c>
      <c r="AZ1576" t="s">
        <v>4165</v>
      </c>
      <c r="BA1576">
        <v>2.12</v>
      </c>
      <c r="BB1576">
        <v>191.17</v>
      </c>
      <c r="BC1576">
        <v>0.49</v>
      </c>
      <c r="BD1576">
        <v>140.94</v>
      </c>
      <c r="BE1576">
        <v>141.02000000000001</v>
      </c>
      <c r="BF1576">
        <v>139.85</v>
      </c>
      <c r="BG1576" t="s">
        <v>18236</v>
      </c>
      <c r="BH1576" t="s">
        <v>14980</v>
      </c>
      <c r="BI1576" t="s">
        <v>18237</v>
      </c>
      <c r="BJ1576" t="s">
        <v>101</v>
      </c>
      <c r="BK1576" t="s">
        <v>1926</v>
      </c>
      <c r="BL1576" t="s">
        <v>635</v>
      </c>
      <c r="BM1576" t="s">
        <v>521</v>
      </c>
      <c r="BN1576" t="s">
        <v>14623</v>
      </c>
    </row>
    <row r="1577" spans="1:66" x14ac:dyDescent="0.25">
      <c r="A1577" t="str">
        <f>HYPERLINK("https://elite.finviz.com/quote.ashx?t=MDRR&amp;ty=c&amp;p=d&amp;b=1", "MDRR")</f>
        <v>MDRR</v>
      </c>
      <c r="B1577">
        <v>6</v>
      </c>
      <c r="C1577">
        <v>127.03</v>
      </c>
      <c r="D1577">
        <v>53.62</v>
      </c>
      <c r="E1577" t="s">
        <v>18238</v>
      </c>
      <c r="F1577" t="s">
        <v>107</v>
      </c>
      <c r="G1577" t="s">
        <v>68</v>
      </c>
      <c r="H1577" t="s">
        <v>4656</v>
      </c>
      <c r="I1577" t="s">
        <v>70</v>
      </c>
      <c r="J1577" t="s">
        <v>321</v>
      </c>
      <c r="K1577">
        <v>29.47</v>
      </c>
      <c r="L1577">
        <v>13.31</v>
      </c>
      <c r="M1577" t="s">
        <v>4280</v>
      </c>
      <c r="N1577">
        <v>20</v>
      </c>
      <c r="R1577">
        <v>3.05</v>
      </c>
      <c r="S1577">
        <v>1.34</v>
      </c>
      <c r="T1577" t="s">
        <v>1129</v>
      </c>
      <c r="U1577">
        <v>0.26</v>
      </c>
      <c r="V1577" t="s">
        <v>10903</v>
      </c>
      <c r="W1577" t="s">
        <v>18239</v>
      </c>
      <c r="X1577" t="s">
        <v>18240</v>
      </c>
      <c r="Y1577" t="s">
        <v>18241</v>
      </c>
      <c r="Z1577" t="s">
        <v>18242</v>
      </c>
      <c r="AA1577">
        <v>-1.8</v>
      </c>
      <c r="AE1577" t="s">
        <v>14645</v>
      </c>
      <c r="AF1577" t="s">
        <v>4073</v>
      </c>
      <c r="AG1577" t="s">
        <v>1100</v>
      </c>
      <c r="AH1577" t="s">
        <v>234</v>
      </c>
      <c r="AJ1577" t="s">
        <v>1955</v>
      </c>
      <c r="AK1577" t="s">
        <v>4815</v>
      </c>
      <c r="AL1577">
        <v>1.72</v>
      </c>
      <c r="AM1577">
        <v>1.72</v>
      </c>
      <c r="AN1577">
        <v>3.31</v>
      </c>
      <c r="AO1577" t="s">
        <v>5654</v>
      </c>
      <c r="AP1577" t="s">
        <v>283</v>
      </c>
      <c r="AQ1577" t="s">
        <v>18243</v>
      </c>
      <c r="AR1577" t="s">
        <v>1338</v>
      </c>
      <c r="AS1577" t="s">
        <v>4687</v>
      </c>
      <c r="AT1577" t="s">
        <v>406</v>
      </c>
      <c r="AU1577" t="s">
        <v>11337</v>
      </c>
      <c r="AV1577" t="s">
        <v>2093</v>
      </c>
      <c r="AW1577" t="s">
        <v>5932</v>
      </c>
      <c r="AX1577" t="s">
        <v>6835</v>
      </c>
      <c r="AY1577" t="s">
        <v>16540</v>
      </c>
      <c r="AZ1577" t="s">
        <v>16235</v>
      </c>
      <c r="BA1577">
        <v>1</v>
      </c>
      <c r="BB1577">
        <v>3.88</v>
      </c>
      <c r="BC1577">
        <v>0.02</v>
      </c>
      <c r="BD1577">
        <v>13.13</v>
      </c>
      <c r="BE1577">
        <v>13.31</v>
      </c>
      <c r="BF1577">
        <v>13.31</v>
      </c>
      <c r="BG1577" t="s">
        <v>18244</v>
      </c>
      <c r="BH1577" t="s">
        <v>18245</v>
      </c>
      <c r="BI1577" t="s">
        <v>8767</v>
      </c>
      <c r="BJ1577" t="s">
        <v>101</v>
      </c>
      <c r="BK1577" t="s">
        <v>5479</v>
      </c>
      <c r="BL1577" t="s">
        <v>6348</v>
      </c>
      <c r="BM1577" t="s">
        <v>7777</v>
      </c>
      <c r="BN1577" t="s">
        <v>14623</v>
      </c>
    </row>
    <row r="1578" spans="1:66" x14ac:dyDescent="0.25">
      <c r="A1578" t="str">
        <f>HYPERLINK("https://elite.finviz.com/quote.ashx?t=ASTE&amp;ty=c&amp;p=d&amp;b=1", "ASTE")</f>
        <v>ASTE</v>
      </c>
      <c r="B1578">
        <v>6</v>
      </c>
      <c r="C1578">
        <v>127.03</v>
      </c>
      <c r="D1578">
        <v>53.62</v>
      </c>
      <c r="E1578" t="s">
        <v>18246</v>
      </c>
      <c r="F1578" t="s">
        <v>67</v>
      </c>
      <c r="G1578" t="s">
        <v>260</v>
      </c>
      <c r="H1578" t="s">
        <v>320</v>
      </c>
      <c r="I1578" t="s">
        <v>70</v>
      </c>
      <c r="J1578" t="s">
        <v>321</v>
      </c>
      <c r="K1578">
        <v>1076.25</v>
      </c>
      <c r="L1578">
        <v>47.05</v>
      </c>
      <c r="M1578" t="s">
        <v>2641</v>
      </c>
      <c r="N1578">
        <v>21377</v>
      </c>
      <c r="O1578">
        <v>23.58</v>
      </c>
      <c r="P1578">
        <v>14.75</v>
      </c>
      <c r="R1578">
        <v>0.82</v>
      </c>
      <c r="S1578">
        <v>1.59</v>
      </c>
      <c r="T1578" t="s">
        <v>3018</v>
      </c>
      <c r="U1578">
        <v>0.52</v>
      </c>
      <c r="V1578" t="s">
        <v>893</v>
      </c>
      <c r="W1578" t="s">
        <v>164</v>
      </c>
      <c r="X1578" t="s">
        <v>912</v>
      </c>
      <c r="Y1578" t="s">
        <v>6121</v>
      </c>
      <c r="Z1578" t="s">
        <v>18247</v>
      </c>
      <c r="AA1578">
        <v>2</v>
      </c>
      <c r="AB1578" t="s">
        <v>18248</v>
      </c>
      <c r="AC1578" t="s">
        <v>18249</v>
      </c>
      <c r="AE1578" t="s">
        <v>6732</v>
      </c>
      <c r="AF1578" t="s">
        <v>370</v>
      </c>
      <c r="AG1578" t="s">
        <v>5660</v>
      </c>
      <c r="AH1578" t="s">
        <v>8058</v>
      </c>
      <c r="AI1578" t="s">
        <v>3562</v>
      </c>
      <c r="AJ1578" t="s">
        <v>5312</v>
      </c>
      <c r="AK1578" t="s">
        <v>18250</v>
      </c>
      <c r="AL1578">
        <v>2.71</v>
      </c>
      <c r="AM1578">
        <v>1.08</v>
      </c>
      <c r="AN1578">
        <v>0.14000000000000001</v>
      </c>
      <c r="AO1578" t="s">
        <v>4112</v>
      </c>
      <c r="AP1578" t="s">
        <v>2447</v>
      </c>
      <c r="AQ1578" t="s">
        <v>2700</v>
      </c>
      <c r="AR1578" t="s">
        <v>4800</v>
      </c>
      <c r="AS1578" t="s">
        <v>465</v>
      </c>
      <c r="AT1578" t="s">
        <v>4507</v>
      </c>
      <c r="AU1578" t="s">
        <v>336</v>
      </c>
      <c r="AV1578" t="s">
        <v>3052</v>
      </c>
      <c r="AW1578" t="s">
        <v>3853</v>
      </c>
      <c r="AX1578" t="s">
        <v>5113</v>
      </c>
      <c r="AY1578" t="s">
        <v>3853</v>
      </c>
      <c r="AZ1578" t="s">
        <v>10035</v>
      </c>
      <c r="BA1578">
        <v>1</v>
      </c>
      <c r="BB1578">
        <v>193.07</v>
      </c>
      <c r="BC1578">
        <v>0.39</v>
      </c>
      <c r="BD1578">
        <v>46.91</v>
      </c>
      <c r="BE1578">
        <v>47.04</v>
      </c>
      <c r="BF1578">
        <v>46.94</v>
      </c>
      <c r="BG1578" t="s">
        <v>18251</v>
      </c>
      <c r="BH1578" t="s">
        <v>7840</v>
      </c>
      <c r="BI1578" t="s">
        <v>18252</v>
      </c>
      <c r="BJ1578" t="s">
        <v>101</v>
      </c>
      <c r="BK1578" t="s">
        <v>7556</v>
      </c>
      <c r="BL1578" t="s">
        <v>13144</v>
      </c>
      <c r="BM1578" t="s">
        <v>15241</v>
      </c>
      <c r="BN1578" t="s">
        <v>14623</v>
      </c>
    </row>
    <row r="1579" spans="1:66" x14ac:dyDescent="0.25">
      <c r="A1579" t="str">
        <f>HYPERLINK("https://elite.finviz.com/quote.ashx?t=GALT&amp;ty=c&amp;p=d&amp;b=1", "GALT")</f>
        <v>GALT</v>
      </c>
      <c r="B1579">
        <v>6</v>
      </c>
      <c r="C1579">
        <v>127.03</v>
      </c>
      <c r="D1579">
        <v>53.64</v>
      </c>
      <c r="E1579" t="s">
        <v>18253</v>
      </c>
      <c r="F1579" t="s">
        <v>107</v>
      </c>
      <c r="G1579" t="s">
        <v>428</v>
      </c>
      <c r="H1579" t="s">
        <v>429</v>
      </c>
      <c r="I1579" t="s">
        <v>70</v>
      </c>
      <c r="J1579" t="s">
        <v>321</v>
      </c>
      <c r="K1579">
        <v>300.44</v>
      </c>
      <c r="L1579">
        <v>4.6900000000000004</v>
      </c>
      <c r="M1579" t="s">
        <v>2195</v>
      </c>
      <c r="N1579">
        <v>46144</v>
      </c>
      <c r="AA1579">
        <v>-0.64</v>
      </c>
      <c r="AB1579" t="s">
        <v>17257</v>
      </c>
      <c r="AC1579" t="s">
        <v>18254</v>
      </c>
      <c r="AI1579" t="s">
        <v>2621</v>
      </c>
      <c r="AJ1579" t="s">
        <v>1547</v>
      </c>
      <c r="AK1579" t="s">
        <v>3190</v>
      </c>
      <c r="AL1579">
        <v>1.43</v>
      </c>
      <c r="AM1579">
        <v>1.43</v>
      </c>
      <c r="AR1579" t="s">
        <v>3053</v>
      </c>
      <c r="AS1579" t="s">
        <v>10542</v>
      </c>
      <c r="AT1579" t="s">
        <v>1510</v>
      </c>
      <c r="AU1579" t="s">
        <v>10558</v>
      </c>
      <c r="AV1579" t="s">
        <v>18255</v>
      </c>
      <c r="AW1579" t="s">
        <v>15206</v>
      </c>
      <c r="AX1579" t="s">
        <v>16356</v>
      </c>
      <c r="AY1579" t="s">
        <v>15206</v>
      </c>
      <c r="AZ1579" t="s">
        <v>18256</v>
      </c>
      <c r="BA1579">
        <v>1</v>
      </c>
      <c r="BB1579">
        <v>349.3</v>
      </c>
      <c r="BC1579">
        <v>0.47</v>
      </c>
      <c r="BD1579">
        <v>4.6100000000000003</v>
      </c>
      <c r="BE1579">
        <v>4.79</v>
      </c>
      <c r="BF1579">
        <v>4.5</v>
      </c>
      <c r="BG1579" t="s">
        <v>18257</v>
      </c>
      <c r="BH1579" t="s">
        <v>9921</v>
      </c>
      <c r="BI1579" t="s">
        <v>18258</v>
      </c>
      <c r="BJ1579" t="s">
        <v>101</v>
      </c>
      <c r="BK1579" t="s">
        <v>10684</v>
      </c>
      <c r="BL1579" t="s">
        <v>13275</v>
      </c>
      <c r="BM1579" t="s">
        <v>18259</v>
      </c>
      <c r="BN1579" t="s">
        <v>14623</v>
      </c>
    </row>
    <row r="1580" spans="1:66" x14ac:dyDescent="0.25">
      <c r="A1580" t="str">
        <f>HYPERLINK("https://elite.finviz.com/quote.ashx?t=PKE&amp;ty=c&amp;p=d&amp;b=1", "PKE")</f>
        <v>PKE</v>
      </c>
      <c r="B1580">
        <v>6</v>
      </c>
      <c r="C1580">
        <v>127.03</v>
      </c>
      <c r="D1580">
        <v>53.65</v>
      </c>
      <c r="E1580" t="s">
        <v>18260</v>
      </c>
      <c r="F1580" t="s">
        <v>67</v>
      </c>
      <c r="G1580" t="s">
        <v>260</v>
      </c>
      <c r="H1580" t="s">
        <v>4779</v>
      </c>
      <c r="I1580" t="s">
        <v>70</v>
      </c>
      <c r="J1580" t="s">
        <v>71</v>
      </c>
      <c r="K1580">
        <v>379.25</v>
      </c>
      <c r="L1580">
        <v>19.100000000000001</v>
      </c>
      <c r="M1580" t="s">
        <v>5745</v>
      </c>
      <c r="N1580">
        <v>8724</v>
      </c>
      <c r="O1580">
        <v>55.07</v>
      </c>
      <c r="R1580">
        <v>5.98</v>
      </c>
      <c r="S1580">
        <v>3.61</v>
      </c>
      <c r="T1580" t="s">
        <v>2273</v>
      </c>
      <c r="U1580">
        <v>0.5</v>
      </c>
      <c r="V1580" t="s">
        <v>700</v>
      </c>
      <c r="W1580" t="s">
        <v>164</v>
      </c>
      <c r="X1580" t="s">
        <v>4512</v>
      </c>
      <c r="Y1580" t="s">
        <v>371</v>
      </c>
      <c r="Z1580" t="s">
        <v>18261</v>
      </c>
      <c r="AA1580">
        <v>0.35</v>
      </c>
      <c r="AB1580" t="s">
        <v>14444</v>
      </c>
      <c r="AC1580" t="s">
        <v>13088</v>
      </c>
      <c r="AE1580" t="s">
        <v>6799</v>
      </c>
      <c r="AF1580" t="s">
        <v>3450</v>
      </c>
      <c r="AG1580" t="s">
        <v>1022</v>
      </c>
      <c r="AH1580" t="s">
        <v>2794</v>
      </c>
      <c r="AJ1580" t="s">
        <v>164</v>
      </c>
      <c r="AK1580" t="s">
        <v>12858</v>
      </c>
      <c r="AL1580">
        <v>8.6199999999999992</v>
      </c>
      <c r="AM1580">
        <v>7.96</v>
      </c>
      <c r="AN1580">
        <v>0</v>
      </c>
      <c r="AO1580" t="s">
        <v>8687</v>
      </c>
      <c r="AP1580" t="s">
        <v>2470</v>
      </c>
      <c r="AQ1580" t="s">
        <v>8188</v>
      </c>
      <c r="AR1580" t="s">
        <v>5779</v>
      </c>
      <c r="AS1580" t="s">
        <v>2234</v>
      </c>
      <c r="AT1580" t="s">
        <v>497</v>
      </c>
      <c r="AU1580" t="s">
        <v>2333</v>
      </c>
      <c r="AV1580" t="s">
        <v>4327</v>
      </c>
      <c r="AW1580" t="s">
        <v>12610</v>
      </c>
      <c r="AX1580" t="s">
        <v>2377</v>
      </c>
      <c r="AY1580" t="s">
        <v>12610</v>
      </c>
      <c r="AZ1580" t="s">
        <v>18262</v>
      </c>
      <c r="BA1580">
        <v>1</v>
      </c>
      <c r="BB1580">
        <v>143.53</v>
      </c>
      <c r="BC1580">
        <v>0.21</v>
      </c>
      <c r="BD1580">
        <v>18.86</v>
      </c>
      <c r="BE1580">
        <v>19.32</v>
      </c>
      <c r="BF1580">
        <v>18.989999999999998</v>
      </c>
      <c r="BG1580" t="s">
        <v>18263</v>
      </c>
      <c r="BH1580" t="s">
        <v>12610</v>
      </c>
      <c r="BI1580" t="s">
        <v>18264</v>
      </c>
      <c r="BJ1580" t="s">
        <v>101</v>
      </c>
      <c r="BK1580" t="s">
        <v>12682</v>
      </c>
      <c r="BL1580" t="s">
        <v>9402</v>
      </c>
      <c r="BM1580" t="s">
        <v>1397</v>
      </c>
      <c r="BN1580" t="s">
        <v>14623</v>
      </c>
    </row>
    <row r="1581" spans="1:66" x14ac:dyDescent="0.25">
      <c r="A1581" t="str">
        <f>HYPERLINK("https://elite.finviz.com/quote.ashx?t=HHH&amp;ty=c&amp;p=d&amp;b=1", "HHH")</f>
        <v>HHH</v>
      </c>
      <c r="B1581">
        <v>6</v>
      </c>
      <c r="C1581">
        <v>127.03</v>
      </c>
      <c r="D1581">
        <v>53.67</v>
      </c>
      <c r="E1581" t="s">
        <v>18265</v>
      </c>
      <c r="F1581" t="s">
        <v>107</v>
      </c>
      <c r="G1581" t="s">
        <v>68</v>
      </c>
      <c r="H1581" t="s">
        <v>18266</v>
      </c>
      <c r="I1581" t="s">
        <v>70</v>
      </c>
      <c r="J1581" t="s">
        <v>71</v>
      </c>
      <c r="K1581">
        <v>4710.4799999999996</v>
      </c>
      <c r="L1581">
        <v>79.3</v>
      </c>
      <c r="M1581" t="s">
        <v>3344</v>
      </c>
      <c r="N1581">
        <v>104004</v>
      </c>
      <c r="O1581">
        <v>17.32</v>
      </c>
      <c r="P1581">
        <v>17.98</v>
      </c>
      <c r="Q1581">
        <v>5.3</v>
      </c>
      <c r="R1581">
        <v>2.66</v>
      </c>
      <c r="S1581">
        <v>1.29</v>
      </c>
      <c r="Z1581" t="s">
        <v>164</v>
      </c>
      <c r="AA1581">
        <v>4.58</v>
      </c>
      <c r="AB1581" t="s">
        <v>12440</v>
      </c>
      <c r="AC1581" t="s">
        <v>18267</v>
      </c>
      <c r="AD1581" t="s">
        <v>2317</v>
      </c>
      <c r="AE1581" t="s">
        <v>10789</v>
      </c>
      <c r="AF1581" t="s">
        <v>2448</v>
      </c>
      <c r="AG1581" t="s">
        <v>2174</v>
      </c>
      <c r="AH1581" t="s">
        <v>1029</v>
      </c>
      <c r="AI1581" t="s">
        <v>18268</v>
      </c>
      <c r="AJ1581" t="s">
        <v>2275</v>
      </c>
      <c r="AK1581" t="s">
        <v>18269</v>
      </c>
      <c r="AN1581">
        <v>1.43</v>
      </c>
      <c r="AO1581" t="s">
        <v>12257</v>
      </c>
      <c r="AP1581" t="s">
        <v>7244</v>
      </c>
      <c r="AQ1581" t="s">
        <v>3798</v>
      </c>
      <c r="AR1581" t="s">
        <v>2195</v>
      </c>
      <c r="AS1581" t="s">
        <v>5084</v>
      </c>
      <c r="AT1581" t="s">
        <v>1938</v>
      </c>
      <c r="AU1581" t="s">
        <v>8164</v>
      </c>
      <c r="AV1581" t="s">
        <v>6607</v>
      </c>
      <c r="AW1581" t="s">
        <v>2677</v>
      </c>
      <c r="AX1581" t="s">
        <v>6131</v>
      </c>
      <c r="AY1581" t="s">
        <v>6798</v>
      </c>
      <c r="AZ1581" t="s">
        <v>13179</v>
      </c>
      <c r="BA1581">
        <v>1.6</v>
      </c>
      <c r="BB1581">
        <v>385.07</v>
      </c>
      <c r="BC1581">
        <v>0.95</v>
      </c>
      <c r="BD1581">
        <v>78.59</v>
      </c>
      <c r="BE1581">
        <v>79.75</v>
      </c>
      <c r="BF1581">
        <v>78.06</v>
      </c>
      <c r="BG1581" t="s">
        <v>18270</v>
      </c>
      <c r="BH1581" t="s">
        <v>1410</v>
      </c>
      <c r="BI1581" t="s">
        <v>18271</v>
      </c>
      <c r="BJ1581" t="s">
        <v>101</v>
      </c>
      <c r="BK1581" t="s">
        <v>6830</v>
      </c>
      <c r="BL1581" t="s">
        <v>2744</v>
      </c>
      <c r="BM1581" t="s">
        <v>1560</v>
      </c>
      <c r="BN1581" t="s">
        <v>14623</v>
      </c>
    </row>
    <row r="1582" spans="1:66" x14ac:dyDescent="0.25">
      <c r="A1582" t="str">
        <f>HYPERLINK("https://elite.finviz.com/quote.ashx?t=STC&amp;ty=c&amp;p=d&amp;b=1", "STC")</f>
        <v>STC</v>
      </c>
      <c r="B1582">
        <v>6</v>
      </c>
      <c r="C1582">
        <v>127.03</v>
      </c>
      <c r="D1582">
        <v>53.67</v>
      </c>
      <c r="E1582" t="s">
        <v>18272</v>
      </c>
      <c r="F1582" t="s">
        <v>67</v>
      </c>
      <c r="G1582" t="s">
        <v>550</v>
      </c>
      <c r="H1582" t="s">
        <v>4407</v>
      </c>
      <c r="I1582" t="s">
        <v>70</v>
      </c>
      <c r="J1582" t="s">
        <v>71</v>
      </c>
      <c r="K1582">
        <v>2067.13</v>
      </c>
      <c r="L1582">
        <v>73.83</v>
      </c>
      <c r="M1582" t="s">
        <v>1324</v>
      </c>
      <c r="N1582">
        <v>9690</v>
      </c>
      <c r="O1582">
        <v>23.76</v>
      </c>
      <c r="P1582">
        <v>13.18</v>
      </c>
      <c r="Q1582">
        <v>0.91</v>
      </c>
      <c r="R1582">
        <v>0.77</v>
      </c>
      <c r="S1582">
        <v>1.43</v>
      </c>
      <c r="T1582" t="s">
        <v>2496</v>
      </c>
      <c r="U1582">
        <v>2.02</v>
      </c>
      <c r="V1582" t="s">
        <v>5925</v>
      </c>
      <c r="W1582" t="s">
        <v>3602</v>
      </c>
      <c r="X1582" t="s">
        <v>2905</v>
      </c>
      <c r="Y1582" t="s">
        <v>3468</v>
      </c>
      <c r="Z1582" t="s">
        <v>18273</v>
      </c>
      <c r="AA1582">
        <v>3.11</v>
      </c>
      <c r="AB1582" t="s">
        <v>18274</v>
      </c>
      <c r="AC1582" t="s">
        <v>8358</v>
      </c>
      <c r="AD1582" t="s">
        <v>11747</v>
      </c>
      <c r="AE1582" t="s">
        <v>1360</v>
      </c>
      <c r="AF1582" t="s">
        <v>2746</v>
      </c>
      <c r="AG1582" t="s">
        <v>1063</v>
      </c>
      <c r="AH1582" t="s">
        <v>2040</v>
      </c>
      <c r="AI1582" t="s">
        <v>4258</v>
      </c>
      <c r="AJ1582" t="s">
        <v>2007</v>
      </c>
      <c r="AK1582" t="s">
        <v>18275</v>
      </c>
      <c r="AL1582">
        <v>0.92</v>
      </c>
      <c r="AN1582">
        <v>0.4</v>
      </c>
      <c r="AP1582" t="s">
        <v>204</v>
      </c>
      <c r="AQ1582" t="s">
        <v>5593</v>
      </c>
      <c r="AR1582" t="s">
        <v>3916</v>
      </c>
      <c r="AS1582" t="s">
        <v>213</v>
      </c>
      <c r="AT1582" t="s">
        <v>3598</v>
      </c>
      <c r="AU1582" t="s">
        <v>3758</v>
      </c>
      <c r="AV1582" t="s">
        <v>9342</v>
      </c>
      <c r="AW1582" t="s">
        <v>14635</v>
      </c>
      <c r="AX1582" t="s">
        <v>10391</v>
      </c>
      <c r="AY1582" t="s">
        <v>11702</v>
      </c>
      <c r="AZ1582" t="s">
        <v>7138</v>
      </c>
      <c r="BA1582">
        <v>3</v>
      </c>
      <c r="BB1582">
        <v>188.93</v>
      </c>
      <c r="BC1582">
        <v>0.18</v>
      </c>
      <c r="BD1582">
        <v>73.760000000000005</v>
      </c>
      <c r="BE1582">
        <v>74.61</v>
      </c>
      <c r="BF1582">
        <v>73.84</v>
      </c>
      <c r="BG1582" t="s">
        <v>18276</v>
      </c>
      <c r="BH1582" t="s">
        <v>11385</v>
      </c>
      <c r="BI1582" t="s">
        <v>18277</v>
      </c>
      <c r="BJ1582" t="s">
        <v>101</v>
      </c>
      <c r="BK1582" t="s">
        <v>6723</v>
      </c>
      <c r="BL1582" t="s">
        <v>2274</v>
      </c>
      <c r="BM1582" t="s">
        <v>698</v>
      </c>
      <c r="BN1582" t="s">
        <v>14623</v>
      </c>
    </row>
    <row r="1583" spans="1:66" x14ac:dyDescent="0.25">
      <c r="A1583" t="str">
        <f>HYPERLINK("https://elite.finviz.com/quote.ashx?t=PDLB&amp;ty=c&amp;p=d&amp;b=1", "PDLB")</f>
        <v>PDLB</v>
      </c>
      <c r="B1583">
        <v>6</v>
      </c>
      <c r="C1583">
        <v>127.03</v>
      </c>
      <c r="D1583">
        <v>53.69</v>
      </c>
      <c r="E1583" t="s">
        <v>18278</v>
      </c>
      <c r="F1583" t="s">
        <v>67</v>
      </c>
      <c r="G1583" t="s">
        <v>550</v>
      </c>
      <c r="H1583" t="s">
        <v>697</v>
      </c>
      <c r="I1583" t="s">
        <v>70</v>
      </c>
      <c r="J1583" t="s">
        <v>321</v>
      </c>
      <c r="K1583">
        <v>356.66</v>
      </c>
      <c r="L1583">
        <v>14.86</v>
      </c>
      <c r="M1583" t="s">
        <v>171</v>
      </c>
      <c r="N1583">
        <v>4030</v>
      </c>
      <c r="O1583">
        <v>20.84</v>
      </c>
      <c r="P1583">
        <v>15.48</v>
      </c>
      <c r="R1583">
        <v>1.97</v>
      </c>
      <c r="S1583">
        <v>1.1399999999999999</v>
      </c>
      <c r="Z1583" t="s">
        <v>164</v>
      </c>
      <c r="AA1583">
        <v>0.71</v>
      </c>
      <c r="AB1583" t="s">
        <v>9027</v>
      </c>
      <c r="AE1583" t="s">
        <v>15044</v>
      </c>
      <c r="AF1583" t="s">
        <v>11467</v>
      </c>
      <c r="AG1583" t="s">
        <v>18279</v>
      </c>
      <c r="AH1583" t="s">
        <v>7617</v>
      </c>
      <c r="AI1583" t="s">
        <v>5784</v>
      </c>
      <c r="AJ1583" t="s">
        <v>164</v>
      </c>
      <c r="AK1583" t="s">
        <v>18280</v>
      </c>
      <c r="AL1583">
        <v>0.09</v>
      </c>
      <c r="AN1583">
        <v>1.0900000000000001</v>
      </c>
      <c r="AP1583" t="s">
        <v>1359</v>
      </c>
      <c r="AQ1583" t="s">
        <v>1133</v>
      </c>
      <c r="AR1583" t="s">
        <v>2572</v>
      </c>
      <c r="AS1583" t="s">
        <v>2554</v>
      </c>
      <c r="AT1583" t="s">
        <v>406</v>
      </c>
      <c r="AU1583" t="s">
        <v>6975</v>
      </c>
      <c r="AV1583" t="s">
        <v>5227</v>
      </c>
      <c r="AW1583" t="s">
        <v>3466</v>
      </c>
      <c r="AX1583" t="s">
        <v>224</v>
      </c>
      <c r="AY1583" t="s">
        <v>3466</v>
      </c>
      <c r="AZ1583" t="s">
        <v>18281</v>
      </c>
      <c r="BA1583">
        <v>1</v>
      </c>
      <c r="BB1583">
        <v>37.97</v>
      </c>
      <c r="BC1583">
        <v>0.38</v>
      </c>
      <c r="BD1583">
        <v>14.87</v>
      </c>
      <c r="BE1583">
        <v>14.85</v>
      </c>
      <c r="BF1583">
        <v>14.85</v>
      </c>
      <c r="BG1583" t="s">
        <v>18282</v>
      </c>
      <c r="BH1583" t="s">
        <v>3466</v>
      </c>
      <c r="BI1583" t="s">
        <v>18283</v>
      </c>
      <c r="BJ1583" t="s">
        <v>101</v>
      </c>
      <c r="BK1583" t="s">
        <v>336</v>
      </c>
      <c r="BL1583" t="s">
        <v>8400</v>
      </c>
      <c r="BM1583" t="s">
        <v>10924</v>
      </c>
      <c r="BN1583" t="s">
        <v>14623</v>
      </c>
    </row>
    <row r="1584" spans="1:66" x14ac:dyDescent="0.25">
      <c r="A1584" t="str">
        <f>HYPERLINK("https://elite.finviz.com/quote.ashx?t=GCTS&amp;ty=c&amp;p=d&amp;b=1", "GCTS")</f>
        <v>GCTS</v>
      </c>
      <c r="B1584">
        <v>6</v>
      </c>
      <c r="C1584">
        <v>127.03</v>
      </c>
      <c r="D1584">
        <v>53.76</v>
      </c>
      <c r="E1584" t="s">
        <v>18284</v>
      </c>
      <c r="F1584" t="s">
        <v>107</v>
      </c>
      <c r="G1584" t="s">
        <v>108</v>
      </c>
      <c r="H1584" t="s">
        <v>1808</v>
      </c>
      <c r="I1584" t="s">
        <v>70</v>
      </c>
      <c r="J1584" t="s">
        <v>71</v>
      </c>
      <c r="K1584">
        <v>86.65</v>
      </c>
      <c r="L1584">
        <v>1.55</v>
      </c>
      <c r="M1584" t="s">
        <v>2103</v>
      </c>
      <c r="N1584">
        <v>39370</v>
      </c>
      <c r="R1584">
        <v>14.28</v>
      </c>
      <c r="AA1584">
        <v>-0.67</v>
      </c>
      <c r="AE1584" t="s">
        <v>14240</v>
      </c>
      <c r="AH1584" t="s">
        <v>7793</v>
      </c>
      <c r="AI1584" t="s">
        <v>18285</v>
      </c>
      <c r="AJ1584" t="s">
        <v>5425</v>
      </c>
      <c r="AK1584" t="s">
        <v>2816</v>
      </c>
      <c r="AL1584">
        <v>0.21</v>
      </c>
      <c r="AM1584">
        <v>0.17</v>
      </c>
      <c r="AO1584" t="s">
        <v>14359</v>
      </c>
      <c r="AP1584" t="s">
        <v>18286</v>
      </c>
      <c r="AQ1584" t="s">
        <v>18287</v>
      </c>
      <c r="AR1584" t="s">
        <v>2796</v>
      </c>
      <c r="AS1584" t="s">
        <v>2231</v>
      </c>
      <c r="AT1584" t="s">
        <v>2356</v>
      </c>
      <c r="AU1584" t="s">
        <v>1370</v>
      </c>
      <c r="AV1584" t="s">
        <v>10011</v>
      </c>
      <c r="AW1584" t="s">
        <v>8795</v>
      </c>
      <c r="AX1584" t="s">
        <v>6621</v>
      </c>
      <c r="AY1584" t="s">
        <v>18288</v>
      </c>
      <c r="AZ1584" t="s">
        <v>18289</v>
      </c>
      <c r="BA1584">
        <v>1</v>
      </c>
      <c r="BB1584">
        <v>306.02999999999997</v>
      </c>
      <c r="BC1584">
        <v>0.45</v>
      </c>
      <c r="BD1584">
        <v>1.56</v>
      </c>
      <c r="BE1584">
        <v>1.61</v>
      </c>
      <c r="BF1584">
        <v>1.54</v>
      </c>
      <c r="BG1584" t="s">
        <v>18290</v>
      </c>
      <c r="BH1584" t="s">
        <v>18291</v>
      </c>
      <c r="BI1584" t="s">
        <v>18289</v>
      </c>
      <c r="BJ1584" t="s">
        <v>101</v>
      </c>
      <c r="BK1584" t="s">
        <v>9280</v>
      </c>
      <c r="BL1584" t="s">
        <v>16186</v>
      </c>
      <c r="BM1584" t="s">
        <v>18292</v>
      </c>
      <c r="BN1584" t="s">
        <v>14623</v>
      </c>
    </row>
    <row r="1585" spans="1:66" x14ac:dyDescent="0.25">
      <c r="A1585" t="str">
        <f>HYPERLINK("https://elite.finviz.com/quote.ashx?t=ZBIO&amp;ty=c&amp;p=d&amp;b=1", "ZBIO")</f>
        <v>ZBIO</v>
      </c>
      <c r="B1585">
        <v>6</v>
      </c>
      <c r="C1585">
        <v>127.03</v>
      </c>
      <c r="D1585">
        <v>53.76</v>
      </c>
      <c r="E1585" t="s">
        <v>18293</v>
      </c>
      <c r="F1585" t="s">
        <v>67</v>
      </c>
      <c r="G1585" t="s">
        <v>428</v>
      </c>
      <c r="H1585" t="s">
        <v>429</v>
      </c>
      <c r="I1585" t="s">
        <v>70</v>
      </c>
      <c r="J1585" t="s">
        <v>321</v>
      </c>
      <c r="K1585">
        <v>817.57</v>
      </c>
      <c r="L1585">
        <v>19.420000000000002</v>
      </c>
      <c r="M1585" t="s">
        <v>4744</v>
      </c>
      <c r="N1585">
        <v>14747</v>
      </c>
      <c r="R1585">
        <v>54.5</v>
      </c>
      <c r="S1585">
        <v>3.41</v>
      </c>
      <c r="AA1585">
        <v>-4.2300000000000004</v>
      </c>
      <c r="AB1585" t="s">
        <v>5640</v>
      </c>
      <c r="AD1585" t="s">
        <v>11448</v>
      </c>
      <c r="AI1585" t="s">
        <v>18294</v>
      </c>
      <c r="AJ1585" t="s">
        <v>164</v>
      </c>
      <c r="AK1585" t="s">
        <v>4608</v>
      </c>
      <c r="AL1585">
        <v>5.23</v>
      </c>
      <c r="AM1585">
        <v>5.23</v>
      </c>
      <c r="AN1585">
        <v>0</v>
      </c>
      <c r="AO1585" t="s">
        <v>18295</v>
      </c>
      <c r="AP1585" t="s">
        <v>18296</v>
      </c>
      <c r="AQ1585" t="s">
        <v>18297</v>
      </c>
      <c r="AR1585" t="s">
        <v>1507</v>
      </c>
      <c r="AS1585" t="s">
        <v>607</v>
      </c>
      <c r="AT1585" t="s">
        <v>4865</v>
      </c>
      <c r="AU1585" t="s">
        <v>11924</v>
      </c>
      <c r="AV1585" t="s">
        <v>11274</v>
      </c>
      <c r="AW1585" t="s">
        <v>18298</v>
      </c>
      <c r="AX1585" t="s">
        <v>13426</v>
      </c>
      <c r="AY1585" t="s">
        <v>17888</v>
      </c>
      <c r="AZ1585" t="s">
        <v>18299</v>
      </c>
      <c r="BA1585">
        <v>1</v>
      </c>
      <c r="BB1585">
        <v>204.77</v>
      </c>
      <c r="BC1585">
        <v>0.25</v>
      </c>
      <c r="BD1585">
        <v>18.62</v>
      </c>
      <c r="BE1585">
        <v>19.95</v>
      </c>
      <c r="BF1585">
        <v>18.739999999999998</v>
      </c>
      <c r="BG1585" t="s">
        <v>18300</v>
      </c>
      <c r="BH1585" t="s">
        <v>17888</v>
      </c>
      <c r="BI1585" t="s">
        <v>18299</v>
      </c>
      <c r="BJ1585" t="s">
        <v>101</v>
      </c>
      <c r="BK1585" t="s">
        <v>14625</v>
      </c>
      <c r="BL1585" t="s">
        <v>18301</v>
      </c>
      <c r="BM1585" t="s">
        <v>4759</v>
      </c>
      <c r="BN1585" t="s">
        <v>14623</v>
      </c>
    </row>
    <row r="1586" spans="1:66" x14ac:dyDescent="0.25">
      <c r="A1586" t="str">
        <f>HYPERLINK("https://elite.finviz.com/quote.ashx?t=ANRO&amp;ty=c&amp;p=d&amp;b=1", "ANRO")</f>
        <v>ANRO</v>
      </c>
      <c r="B1586">
        <v>6</v>
      </c>
      <c r="C1586">
        <v>127.03</v>
      </c>
      <c r="D1586">
        <v>53.78</v>
      </c>
      <c r="E1586" t="s">
        <v>18302</v>
      </c>
      <c r="F1586" t="s">
        <v>107</v>
      </c>
      <c r="G1586" t="s">
        <v>428</v>
      </c>
      <c r="H1586" t="s">
        <v>429</v>
      </c>
      <c r="I1586" t="s">
        <v>70</v>
      </c>
      <c r="J1586" t="s">
        <v>71</v>
      </c>
      <c r="K1586">
        <v>106</v>
      </c>
      <c r="L1586">
        <v>3.91</v>
      </c>
      <c r="M1586" t="s">
        <v>2735</v>
      </c>
      <c r="N1586">
        <v>20810</v>
      </c>
      <c r="S1586">
        <v>0.86</v>
      </c>
      <c r="AA1586">
        <v>-2.4</v>
      </c>
      <c r="AB1586" t="s">
        <v>18303</v>
      </c>
      <c r="AD1586" t="s">
        <v>1510</v>
      </c>
      <c r="AI1586" t="s">
        <v>5964</v>
      </c>
      <c r="AJ1586" t="s">
        <v>164</v>
      </c>
      <c r="AK1586" t="s">
        <v>18304</v>
      </c>
      <c r="AL1586">
        <v>18.43</v>
      </c>
      <c r="AM1586">
        <v>18.43</v>
      </c>
      <c r="AN1586">
        <v>0.22</v>
      </c>
      <c r="AR1586" t="s">
        <v>4293</v>
      </c>
      <c r="AS1586" t="s">
        <v>3121</v>
      </c>
      <c r="AT1586" t="s">
        <v>90</v>
      </c>
      <c r="AU1586" t="s">
        <v>13198</v>
      </c>
      <c r="AV1586" t="s">
        <v>7490</v>
      </c>
      <c r="AW1586" t="s">
        <v>4841</v>
      </c>
      <c r="AX1586" t="s">
        <v>18305</v>
      </c>
      <c r="AY1586" t="s">
        <v>14199</v>
      </c>
      <c r="AZ1586" t="s">
        <v>18306</v>
      </c>
      <c r="BA1586">
        <v>1.38</v>
      </c>
      <c r="BB1586">
        <v>158.15</v>
      </c>
      <c r="BC1586">
        <v>0.46</v>
      </c>
      <c r="BD1586">
        <v>3.8</v>
      </c>
      <c r="BE1586">
        <v>3.91</v>
      </c>
      <c r="BF1586">
        <v>3.77</v>
      </c>
      <c r="BG1586" t="s">
        <v>18307</v>
      </c>
      <c r="BH1586" t="s">
        <v>18308</v>
      </c>
      <c r="BI1586" t="s">
        <v>18306</v>
      </c>
      <c r="BJ1586" t="s">
        <v>101</v>
      </c>
      <c r="BK1586" t="s">
        <v>13223</v>
      </c>
      <c r="BL1586" t="s">
        <v>18309</v>
      </c>
      <c r="BM1586" t="s">
        <v>18310</v>
      </c>
      <c r="BN1586" t="s">
        <v>14623</v>
      </c>
    </row>
    <row r="1587" spans="1:66" x14ac:dyDescent="0.25">
      <c r="A1587" t="str">
        <f>HYPERLINK("https://elite.finviz.com/quote.ashx?t=CECO&amp;ty=c&amp;p=d&amp;b=1", "CECO")</f>
        <v>CECO</v>
      </c>
      <c r="B1587">
        <v>6</v>
      </c>
      <c r="C1587">
        <v>127.03</v>
      </c>
      <c r="D1587">
        <v>53.78</v>
      </c>
      <c r="E1587" t="s">
        <v>18311</v>
      </c>
      <c r="F1587" t="s">
        <v>67</v>
      </c>
      <c r="G1587" t="s">
        <v>260</v>
      </c>
      <c r="H1587" t="s">
        <v>4347</v>
      </c>
      <c r="I1587" t="s">
        <v>70</v>
      </c>
      <c r="J1587" t="s">
        <v>321</v>
      </c>
      <c r="K1587">
        <v>1720.84</v>
      </c>
      <c r="L1587">
        <v>48.71</v>
      </c>
      <c r="M1587" t="s">
        <v>4431</v>
      </c>
      <c r="N1587">
        <v>100618</v>
      </c>
      <c r="O1587">
        <v>34.03</v>
      </c>
      <c r="P1587">
        <v>31.16</v>
      </c>
      <c r="Q1587">
        <v>0.89</v>
      </c>
      <c r="R1587">
        <v>2.62</v>
      </c>
      <c r="S1587">
        <v>5.76</v>
      </c>
      <c r="V1587" t="s">
        <v>18312</v>
      </c>
      <c r="Z1587" t="s">
        <v>164</v>
      </c>
      <c r="AA1587">
        <v>1.43</v>
      </c>
      <c r="AB1587" t="s">
        <v>18313</v>
      </c>
      <c r="AC1587" t="s">
        <v>4921</v>
      </c>
      <c r="AD1587" t="s">
        <v>8825</v>
      </c>
      <c r="AE1587" t="s">
        <v>14195</v>
      </c>
      <c r="AF1587" t="s">
        <v>8627</v>
      </c>
      <c r="AG1587" t="s">
        <v>2627</v>
      </c>
      <c r="AH1587" t="s">
        <v>9776</v>
      </c>
      <c r="AI1587" t="s">
        <v>11694</v>
      </c>
      <c r="AJ1587" t="s">
        <v>5138</v>
      </c>
      <c r="AK1587" t="s">
        <v>10843</v>
      </c>
      <c r="AL1587">
        <v>1.34</v>
      </c>
      <c r="AM1587">
        <v>1.1299999999999999</v>
      </c>
      <c r="AN1587">
        <v>0.89</v>
      </c>
      <c r="AO1587" t="s">
        <v>14067</v>
      </c>
      <c r="AP1587" t="s">
        <v>7942</v>
      </c>
      <c r="AQ1587" t="s">
        <v>4293</v>
      </c>
      <c r="AR1587" t="s">
        <v>2811</v>
      </c>
      <c r="AS1587" t="s">
        <v>2732</v>
      </c>
      <c r="AT1587" t="s">
        <v>6117</v>
      </c>
      <c r="AU1587" t="s">
        <v>4815</v>
      </c>
      <c r="AV1587" t="s">
        <v>16167</v>
      </c>
      <c r="AW1587" t="s">
        <v>4635</v>
      </c>
      <c r="AX1587" t="s">
        <v>13493</v>
      </c>
      <c r="AY1587" t="s">
        <v>4635</v>
      </c>
      <c r="AZ1587" t="s">
        <v>18314</v>
      </c>
      <c r="BA1587">
        <v>1</v>
      </c>
      <c r="BB1587">
        <v>441.66</v>
      </c>
      <c r="BC1587">
        <v>0.8</v>
      </c>
      <c r="BD1587">
        <v>49.7</v>
      </c>
      <c r="BE1587">
        <v>49.97</v>
      </c>
      <c r="BF1587">
        <v>48.41</v>
      </c>
      <c r="BG1587" t="s">
        <v>18315</v>
      </c>
      <c r="BH1587" t="s">
        <v>4635</v>
      </c>
      <c r="BI1587" t="s">
        <v>18316</v>
      </c>
      <c r="BJ1587" t="s">
        <v>101</v>
      </c>
      <c r="BK1587" t="s">
        <v>12615</v>
      </c>
      <c r="BL1587" t="s">
        <v>1120</v>
      </c>
      <c r="BM1587" t="s">
        <v>13321</v>
      </c>
      <c r="BN1587" t="s">
        <v>14623</v>
      </c>
    </row>
    <row r="1588" spans="1:66" x14ac:dyDescent="0.25">
      <c r="A1588" t="str">
        <f>HYPERLINK("https://elite.finviz.com/quote.ashx?t=TR&amp;ty=c&amp;p=d&amp;b=1", "TR")</f>
        <v>TR</v>
      </c>
      <c r="B1588">
        <v>6</v>
      </c>
      <c r="C1588">
        <v>127.03</v>
      </c>
      <c r="D1588">
        <v>53.78</v>
      </c>
      <c r="E1588" t="s">
        <v>18317</v>
      </c>
      <c r="F1588" t="s">
        <v>67</v>
      </c>
      <c r="G1588" t="s">
        <v>2244</v>
      </c>
      <c r="H1588" t="s">
        <v>7398</v>
      </c>
      <c r="I1588" t="s">
        <v>70</v>
      </c>
      <c r="J1588" t="s">
        <v>71</v>
      </c>
      <c r="K1588">
        <v>3269.69</v>
      </c>
      <c r="L1588">
        <v>40.700000000000003</v>
      </c>
      <c r="M1588" t="s">
        <v>2418</v>
      </c>
      <c r="N1588">
        <v>14604</v>
      </c>
      <c r="O1588">
        <v>32.76</v>
      </c>
      <c r="R1588">
        <v>4.5199999999999996</v>
      </c>
      <c r="S1588">
        <v>3.32</v>
      </c>
      <c r="T1588" t="s">
        <v>7388</v>
      </c>
      <c r="U1588">
        <v>0.35</v>
      </c>
      <c r="V1588" t="s">
        <v>16780</v>
      </c>
      <c r="W1588" t="s">
        <v>4873</v>
      </c>
      <c r="X1588" t="s">
        <v>2735</v>
      </c>
      <c r="Y1588" t="s">
        <v>7088</v>
      </c>
      <c r="Z1588" t="s">
        <v>3471</v>
      </c>
      <c r="AA1588">
        <v>1.24</v>
      </c>
      <c r="AB1588" t="s">
        <v>5865</v>
      </c>
      <c r="AC1588" t="s">
        <v>5150</v>
      </c>
      <c r="AE1588" t="s">
        <v>1269</v>
      </c>
      <c r="AF1588" t="s">
        <v>6348</v>
      </c>
      <c r="AG1588" t="s">
        <v>6008</v>
      </c>
      <c r="AH1588" t="s">
        <v>2892</v>
      </c>
      <c r="AJ1588" t="s">
        <v>164</v>
      </c>
      <c r="AK1588" t="s">
        <v>11559</v>
      </c>
      <c r="AL1588">
        <v>3.99</v>
      </c>
      <c r="AM1588">
        <v>2.59</v>
      </c>
      <c r="AN1588">
        <v>0.02</v>
      </c>
      <c r="AO1588" t="s">
        <v>1823</v>
      </c>
      <c r="AP1588" t="s">
        <v>11482</v>
      </c>
      <c r="AQ1588" t="s">
        <v>3921</v>
      </c>
      <c r="AR1588" t="s">
        <v>633</v>
      </c>
      <c r="AS1588" t="s">
        <v>4800</v>
      </c>
      <c r="AT1588" t="s">
        <v>4237</v>
      </c>
      <c r="AU1588" t="s">
        <v>2789</v>
      </c>
      <c r="AV1588" t="s">
        <v>7804</v>
      </c>
      <c r="AW1588" t="s">
        <v>799</v>
      </c>
      <c r="AX1588" t="s">
        <v>2905</v>
      </c>
      <c r="AY1588" t="s">
        <v>799</v>
      </c>
      <c r="AZ1588" t="s">
        <v>16482</v>
      </c>
      <c r="BB1588">
        <v>245.97</v>
      </c>
      <c r="BC1588">
        <v>0.21</v>
      </c>
      <c r="BD1588">
        <v>40.479999999999997</v>
      </c>
      <c r="BE1588">
        <v>40.81</v>
      </c>
      <c r="BF1588">
        <v>40.47</v>
      </c>
      <c r="BG1588" t="s">
        <v>18318</v>
      </c>
      <c r="BH1588" t="s">
        <v>2914</v>
      </c>
      <c r="BI1588" t="s">
        <v>18319</v>
      </c>
      <c r="BJ1588" t="s">
        <v>101</v>
      </c>
      <c r="BK1588" t="s">
        <v>7308</v>
      </c>
      <c r="BL1588" t="s">
        <v>14788</v>
      </c>
      <c r="BM1588" t="s">
        <v>8411</v>
      </c>
      <c r="BN1588" t="s">
        <v>14623</v>
      </c>
    </row>
    <row r="1589" spans="1:66" x14ac:dyDescent="0.25">
      <c r="A1589" t="str">
        <f>HYPERLINK("https://elite.finviz.com/quote.ashx?t=EWBC&amp;ty=c&amp;p=d&amp;b=1", "EWBC")</f>
        <v>EWBC</v>
      </c>
      <c r="B1589">
        <v>6</v>
      </c>
      <c r="C1589">
        <v>127.03</v>
      </c>
      <c r="D1589">
        <v>53.8</v>
      </c>
      <c r="E1589" t="s">
        <v>18320</v>
      </c>
      <c r="F1589" t="s">
        <v>107</v>
      </c>
      <c r="G1589" t="s">
        <v>550</v>
      </c>
      <c r="H1589" t="s">
        <v>697</v>
      </c>
      <c r="I1589" t="s">
        <v>70</v>
      </c>
      <c r="J1589" t="s">
        <v>321</v>
      </c>
      <c r="K1589">
        <v>14840.65</v>
      </c>
      <c r="L1589">
        <v>107.68</v>
      </c>
      <c r="M1589" t="s">
        <v>2468</v>
      </c>
      <c r="N1589">
        <v>108156</v>
      </c>
      <c r="O1589">
        <v>12.58</v>
      </c>
      <c r="P1589">
        <v>11.24</v>
      </c>
      <c r="Q1589">
        <v>1.62</v>
      </c>
      <c r="R1589">
        <v>3.29</v>
      </c>
      <c r="S1589">
        <v>1.81</v>
      </c>
      <c r="T1589" t="s">
        <v>2876</v>
      </c>
      <c r="U1589">
        <v>2.35</v>
      </c>
      <c r="V1589" t="s">
        <v>4827</v>
      </c>
      <c r="W1589" t="s">
        <v>2722</v>
      </c>
      <c r="X1589" t="s">
        <v>731</v>
      </c>
      <c r="Y1589" t="s">
        <v>874</v>
      </c>
      <c r="Z1589" t="s">
        <v>11857</v>
      </c>
      <c r="AA1589">
        <v>8.56</v>
      </c>
      <c r="AB1589" t="s">
        <v>2514</v>
      </c>
      <c r="AC1589" t="s">
        <v>7068</v>
      </c>
      <c r="AD1589" t="s">
        <v>5122</v>
      </c>
      <c r="AE1589" t="s">
        <v>2408</v>
      </c>
      <c r="AF1589" t="s">
        <v>18321</v>
      </c>
      <c r="AG1589" t="s">
        <v>4914</v>
      </c>
      <c r="AH1589" t="s">
        <v>5425</v>
      </c>
      <c r="AI1589" t="s">
        <v>2426</v>
      </c>
      <c r="AJ1589" t="s">
        <v>6157</v>
      </c>
      <c r="AK1589" t="s">
        <v>18322</v>
      </c>
      <c r="AL1589">
        <v>0.14000000000000001</v>
      </c>
      <c r="AN1589">
        <v>0.44</v>
      </c>
      <c r="AP1589" t="s">
        <v>4200</v>
      </c>
      <c r="AQ1589" t="s">
        <v>1928</v>
      </c>
      <c r="AR1589" t="s">
        <v>92</v>
      </c>
      <c r="AS1589" t="s">
        <v>92</v>
      </c>
      <c r="AT1589" t="s">
        <v>2215</v>
      </c>
      <c r="AU1589" t="s">
        <v>5929</v>
      </c>
      <c r="AV1589" t="s">
        <v>7654</v>
      </c>
      <c r="AW1589" t="s">
        <v>4113</v>
      </c>
      <c r="AX1589" t="s">
        <v>2946</v>
      </c>
      <c r="AY1589" t="s">
        <v>15594</v>
      </c>
      <c r="AZ1589" t="s">
        <v>14145</v>
      </c>
      <c r="BA1589">
        <v>1.76</v>
      </c>
      <c r="BB1589">
        <v>925.99</v>
      </c>
      <c r="BC1589">
        <v>0.41</v>
      </c>
      <c r="BD1589">
        <v>107.91</v>
      </c>
      <c r="BE1589">
        <v>109.43</v>
      </c>
      <c r="BF1589">
        <v>107.47</v>
      </c>
      <c r="BG1589" t="s">
        <v>18323</v>
      </c>
      <c r="BH1589" t="s">
        <v>15594</v>
      </c>
      <c r="BI1589" t="s">
        <v>18324</v>
      </c>
      <c r="BJ1589" t="s">
        <v>101</v>
      </c>
      <c r="BK1589" t="s">
        <v>2772</v>
      </c>
      <c r="BL1589" t="s">
        <v>13792</v>
      </c>
      <c r="BM1589" t="s">
        <v>3273</v>
      </c>
      <c r="BN1589" t="s">
        <v>14623</v>
      </c>
    </row>
    <row r="1590" spans="1:66" x14ac:dyDescent="0.25">
      <c r="A1590" t="str">
        <f>HYPERLINK("https://elite.finviz.com/quote.ashx?t=EHAB&amp;ty=c&amp;p=d&amp;b=1", "EHAB")</f>
        <v>EHAB</v>
      </c>
      <c r="B1590">
        <v>6</v>
      </c>
      <c r="C1590">
        <v>127.03</v>
      </c>
      <c r="D1590">
        <v>53.82</v>
      </c>
      <c r="E1590" t="s">
        <v>18325</v>
      </c>
      <c r="F1590" t="s">
        <v>67</v>
      </c>
      <c r="G1590" t="s">
        <v>428</v>
      </c>
      <c r="H1590" t="s">
        <v>3160</v>
      </c>
      <c r="I1590" t="s">
        <v>70</v>
      </c>
      <c r="J1590" t="s">
        <v>71</v>
      </c>
      <c r="K1590">
        <v>408.31</v>
      </c>
      <c r="L1590">
        <v>8.06</v>
      </c>
      <c r="M1590" t="s">
        <v>747</v>
      </c>
      <c r="N1590">
        <v>39477</v>
      </c>
      <c r="P1590">
        <v>14.82</v>
      </c>
      <c r="R1590">
        <v>0.39</v>
      </c>
      <c r="S1590">
        <v>0.74</v>
      </c>
      <c r="AA1590">
        <v>-2.66</v>
      </c>
      <c r="AD1590" t="s">
        <v>16373</v>
      </c>
      <c r="AE1590" t="s">
        <v>3388</v>
      </c>
      <c r="AF1590" t="s">
        <v>1356</v>
      </c>
      <c r="AG1590" t="s">
        <v>4065</v>
      </c>
      <c r="AH1590" t="s">
        <v>206</v>
      </c>
      <c r="AI1590" t="s">
        <v>18326</v>
      </c>
      <c r="AJ1590" t="s">
        <v>183</v>
      </c>
      <c r="AK1590" t="s">
        <v>9650</v>
      </c>
      <c r="AL1590">
        <v>1.57</v>
      </c>
      <c r="AM1590">
        <v>1.57</v>
      </c>
      <c r="AN1590">
        <v>0.96</v>
      </c>
      <c r="AO1590" t="s">
        <v>16889</v>
      </c>
      <c r="AP1590" t="s">
        <v>5611</v>
      </c>
      <c r="AQ1590" t="s">
        <v>8021</v>
      </c>
      <c r="AR1590" t="s">
        <v>5593</v>
      </c>
      <c r="AS1590" t="s">
        <v>5779</v>
      </c>
      <c r="AT1590" t="s">
        <v>4780</v>
      </c>
      <c r="AU1590" t="s">
        <v>2124</v>
      </c>
      <c r="AV1590" t="s">
        <v>8542</v>
      </c>
      <c r="AW1590" t="s">
        <v>552</v>
      </c>
      <c r="AX1590" t="s">
        <v>4467</v>
      </c>
      <c r="AY1590" t="s">
        <v>10129</v>
      </c>
      <c r="AZ1590" t="s">
        <v>4467</v>
      </c>
      <c r="BA1590">
        <v>2.6</v>
      </c>
      <c r="BB1590">
        <v>623.23</v>
      </c>
      <c r="BC1590">
        <v>0.22</v>
      </c>
      <c r="BD1590">
        <v>7.99</v>
      </c>
      <c r="BE1590">
        <v>8.06</v>
      </c>
      <c r="BF1590">
        <v>8</v>
      </c>
      <c r="BG1590" t="s">
        <v>18327</v>
      </c>
      <c r="BH1590" t="s">
        <v>18328</v>
      </c>
      <c r="BI1590" t="s">
        <v>4467</v>
      </c>
      <c r="BJ1590" t="s">
        <v>101</v>
      </c>
      <c r="BK1590" t="s">
        <v>3193</v>
      </c>
      <c r="BL1590" t="s">
        <v>1884</v>
      </c>
      <c r="BM1590" t="s">
        <v>2759</v>
      </c>
      <c r="BN1590" t="s">
        <v>14623</v>
      </c>
    </row>
    <row r="1591" spans="1:66" x14ac:dyDescent="0.25">
      <c r="A1591" t="str">
        <f>HYPERLINK("https://elite.finviz.com/quote.ashx?t=LE&amp;ty=c&amp;p=d&amp;b=1", "LE")</f>
        <v>LE</v>
      </c>
      <c r="B1591">
        <v>6</v>
      </c>
      <c r="C1591">
        <v>127.03</v>
      </c>
      <c r="D1591">
        <v>53.85</v>
      </c>
      <c r="E1591" t="s">
        <v>18329</v>
      </c>
      <c r="F1591" t="s">
        <v>67</v>
      </c>
      <c r="G1591" t="s">
        <v>813</v>
      </c>
      <c r="H1591" t="s">
        <v>4488</v>
      </c>
      <c r="I1591" t="s">
        <v>70</v>
      </c>
      <c r="J1591" t="s">
        <v>321</v>
      </c>
      <c r="K1591">
        <v>453.17</v>
      </c>
      <c r="L1591">
        <v>14.85</v>
      </c>
      <c r="M1591" t="s">
        <v>2213</v>
      </c>
      <c r="N1591">
        <v>21669</v>
      </c>
      <c r="O1591">
        <v>79.97</v>
      </c>
      <c r="P1591">
        <v>15.85</v>
      </c>
      <c r="R1591">
        <v>0.34</v>
      </c>
      <c r="S1591">
        <v>2.0099999999999998</v>
      </c>
      <c r="Z1591" t="s">
        <v>164</v>
      </c>
      <c r="AA1591">
        <v>0.19</v>
      </c>
      <c r="AB1591" t="s">
        <v>4349</v>
      </c>
      <c r="AC1591" t="s">
        <v>9002</v>
      </c>
      <c r="AE1591" t="s">
        <v>3502</v>
      </c>
      <c r="AF1591" t="s">
        <v>10546</v>
      </c>
      <c r="AG1591" t="s">
        <v>2007</v>
      </c>
      <c r="AH1591" t="s">
        <v>7230</v>
      </c>
      <c r="AI1591" t="s">
        <v>9250</v>
      </c>
      <c r="AJ1591" t="s">
        <v>164</v>
      </c>
      <c r="AK1591" t="s">
        <v>7897</v>
      </c>
      <c r="AL1591">
        <v>1.62</v>
      </c>
      <c r="AM1591">
        <v>0.41</v>
      </c>
      <c r="AN1591">
        <v>1.29</v>
      </c>
      <c r="AO1591" t="s">
        <v>4612</v>
      </c>
      <c r="AP1591" t="s">
        <v>4690</v>
      </c>
      <c r="AQ1591" t="s">
        <v>8228</v>
      </c>
      <c r="AR1591" t="s">
        <v>1050</v>
      </c>
      <c r="AS1591" t="s">
        <v>2293</v>
      </c>
      <c r="AT1591" t="s">
        <v>2486</v>
      </c>
      <c r="AU1591" t="s">
        <v>7938</v>
      </c>
      <c r="AV1591" t="s">
        <v>10345</v>
      </c>
      <c r="AW1591" t="s">
        <v>8829</v>
      </c>
      <c r="AX1591" t="s">
        <v>13936</v>
      </c>
      <c r="AY1591" t="s">
        <v>5360</v>
      </c>
      <c r="AZ1591" t="s">
        <v>3963</v>
      </c>
      <c r="BA1591">
        <v>1</v>
      </c>
      <c r="BB1591">
        <v>396.46</v>
      </c>
      <c r="BC1591">
        <v>0.19</v>
      </c>
      <c r="BD1591">
        <v>14.88</v>
      </c>
      <c r="BE1591">
        <v>15.06</v>
      </c>
      <c r="BF1591">
        <v>14.75</v>
      </c>
      <c r="BG1591" t="s">
        <v>18330</v>
      </c>
      <c r="BH1591" t="s">
        <v>18331</v>
      </c>
      <c r="BI1591" t="s">
        <v>8375</v>
      </c>
      <c r="BJ1591" t="s">
        <v>101</v>
      </c>
      <c r="BK1591" t="s">
        <v>3799</v>
      </c>
      <c r="BL1591" t="s">
        <v>11165</v>
      </c>
      <c r="BM1591" t="s">
        <v>12908</v>
      </c>
      <c r="BN1591" t="s">
        <v>14623</v>
      </c>
    </row>
    <row r="1592" spans="1:66" x14ac:dyDescent="0.25">
      <c r="A1592" t="str">
        <f>HYPERLINK("https://elite.finviz.com/quote.ashx?t=TVAI&amp;ty=c&amp;p=d&amp;b=1", "TVAI")</f>
        <v>TVAI</v>
      </c>
      <c r="B1592">
        <v>6</v>
      </c>
      <c r="C1592">
        <v>127.03</v>
      </c>
      <c r="D1592">
        <v>53.85</v>
      </c>
      <c r="E1592" t="s">
        <v>18332</v>
      </c>
      <c r="F1592" t="s">
        <v>107</v>
      </c>
      <c r="G1592" t="s">
        <v>550</v>
      </c>
      <c r="H1592" t="s">
        <v>2120</v>
      </c>
      <c r="I1592" t="s">
        <v>70</v>
      </c>
      <c r="J1592" t="s">
        <v>321</v>
      </c>
      <c r="K1592">
        <v>273.08999999999997</v>
      </c>
      <c r="L1592">
        <v>10.039999999999999</v>
      </c>
      <c r="M1592" t="s">
        <v>164</v>
      </c>
      <c r="N1592">
        <v>0</v>
      </c>
      <c r="S1592">
        <v>1.4</v>
      </c>
      <c r="AJ1592" t="s">
        <v>164</v>
      </c>
      <c r="AK1592" t="s">
        <v>7117</v>
      </c>
      <c r="AL1592">
        <v>5.49</v>
      </c>
      <c r="AM1592">
        <v>5.49</v>
      </c>
      <c r="AN1592">
        <v>0</v>
      </c>
      <c r="AR1592" t="s">
        <v>2215</v>
      </c>
      <c r="AS1592" t="s">
        <v>4539</v>
      </c>
      <c r="AT1592" t="s">
        <v>164</v>
      </c>
      <c r="AU1592" t="s">
        <v>4266</v>
      </c>
      <c r="AV1592" t="s">
        <v>4266</v>
      </c>
      <c r="AW1592" t="s">
        <v>4528</v>
      </c>
      <c r="AX1592" t="s">
        <v>2554</v>
      </c>
      <c r="AY1592" t="s">
        <v>4528</v>
      </c>
      <c r="AZ1592" t="s">
        <v>2554</v>
      </c>
      <c r="BB1592">
        <v>74.489999999999995</v>
      </c>
      <c r="BC1592">
        <v>0</v>
      </c>
      <c r="BD1592">
        <v>10.039999999999999</v>
      </c>
      <c r="BE1592">
        <v>10.039999999999999</v>
      </c>
      <c r="BF1592">
        <v>10.039999999999999</v>
      </c>
      <c r="BG1592" t="s">
        <v>18333</v>
      </c>
      <c r="BH1592" t="s">
        <v>4528</v>
      </c>
      <c r="BI1592" t="s">
        <v>2554</v>
      </c>
      <c r="BJ1592" t="s">
        <v>101</v>
      </c>
      <c r="BN1592" t="s">
        <v>14623</v>
      </c>
    </row>
    <row r="1593" spans="1:66" x14ac:dyDescent="0.25">
      <c r="A1593" t="str">
        <f>HYPERLINK("https://elite.finviz.com/quote.ashx?t=APOG&amp;ty=c&amp;p=d&amp;b=1", "APOG")</f>
        <v>APOG</v>
      </c>
      <c r="B1593">
        <v>6</v>
      </c>
      <c r="C1593">
        <v>127.03</v>
      </c>
      <c r="D1593">
        <v>53.88</v>
      </c>
      <c r="E1593" t="s">
        <v>18334</v>
      </c>
      <c r="F1593" t="s">
        <v>67</v>
      </c>
      <c r="G1593" t="s">
        <v>260</v>
      </c>
      <c r="H1593" t="s">
        <v>3225</v>
      </c>
      <c r="I1593" t="s">
        <v>70</v>
      </c>
      <c r="J1593" t="s">
        <v>321</v>
      </c>
      <c r="K1593">
        <v>951.06</v>
      </c>
      <c r="L1593">
        <v>44.17</v>
      </c>
      <c r="M1593" t="s">
        <v>3493</v>
      </c>
      <c r="N1593">
        <v>20081</v>
      </c>
      <c r="O1593">
        <v>18.850000000000001</v>
      </c>
      <c r="P1593">
        <v>10.72</v>
      </c>
      <c r="R1593">
        <v>0.69</v>
      </c>
      <c r="S1593">
        <v>1.97</v>
      </c>
      <c r="T1593" t="s">
        <v>342</v>
      </c>
      <c r="U1593">
        <v>1.03</v>
      </c>
      <c r="V1593" t="s">
        <v>18335</v>
      </c>
      <c r="W1593" t="s">
        <v>2170</v>
      </c>
      <c r="X1593" t="s">
        <v>3432</v>
      </c>
      <c r="Y1593" t="s">
        <v>3181</v>
      </c>
      <c r="Z1593" t="s">
        <v>8253</v>
      </c>
      <c r="AA1593">
        <v>2.34</v>
      </c>
      <c r="AB1593" t="s">
        <v>18336</v>
      </c>
      <c r="AC1593" t="s">
        <v>6234</v>
      </c>
      <c r="AE1593" t="s">
        <v>1226</v>
      </c>
      <c r="AF1593" t="s">
        <v>102</v>
      </c>
      <c r="AG1593" t="s">
        <v>1564</v>
      </c>
      <c r="AH1593" t="s">
        <v>371</v>
      </c>
      <c r="AI1593" t="s">
        <v>3258</v>
      </c>
      <c r="AJ1593" t="s">
        <v>164</v>
      </c>
      <c r="AK1593" t="s">
        <v>18337</v>
      </c>
      <c r="AL1593">
        <v>1.77</v>
      </c>
      <c r="AM1593">
        <v>1.36</v>
      </c>
      <c r="AN1593">
        <v>0.78</v>
      </c>
      <c r="AO1593" t="s">
        <v>18338</v>
      </c>
      <c r="AP1593" t="s">
        <v>2446</v>
      </c>
      <c r="AQ1593" t="s">
        <v>8818</v>
      </c>
      <c r="AR1593" t="s">
        <v>3521</v>
      </c>
      <c r="AS1593" t="s">
        <v>5736</v>
      </c>
      <c r="AT1593" t="s">
        <v>2808</v>
      </c>
      <c r="AU1593" t="s">
        <v>7154</v>
      </c>
      <c r="AV1593" t="s">
        <v>2252</v>
      </c>
      <c r="AW1593" t="s">
        <v>818</v>
      </c>
      <c r="AX1593" t="s">
        <v>9300</v>
      </c>
      <c r="AY1593" t="s">
        <v>11091</v>
      </c>
      <c r="AZ1593" t="s">
        <v>672</v>
      </c>
      <c r="BA1593">
        <v>1.5</v>
      </c>
      <c r="BB1593">
        <v>223.21</v>
      </c>
      <c r="BC1593">
        <v>0.32</v>
      </c>
      <c r="BD1593">
        <v>43.78</v>
      </c>
      <c r="BE1593">
        <v>44.09</v>
      </c>
      <c r="BF1593">
        <v>43.78</v>
      </c>
      <c r="BG1593" t="s">
        <v>18339</v>
      </c>
      <c r="BH1593" t="s">
        <v>11091</v>
      </c>
      <c r="BI1593" t="s">
        <v>18340</v>
      </c>
      <c r="BJ1593" t="s">
        <v>101</v>
      </c>
      <c r="BK1593" t="s">
        <v>6226</v>
      </c>
      <c r="BL1593" t="s">
        <v>5766</v>
      </c>
      <c r="BM1593" t="s">
        <v>7941</v>
      </c>
      <c r="BN1593" t="s">
        <v>14623</v>
      </c>
    </row>
    <row r="1594" spans="1:66" x14ac:dyDescent="0.25">
      <c r="A1594" t="str">
        <f>HYPERLINK("https://elite.finviz.com/quote.ashx?t=LTRN&amp;ty=c&amp;p=d&amp;b=1", "LTRN")</f>
        <v>LTRN</v>
      </c>
      <c r="B1594">
        <v>6</v>
      </c>
      <c r="C1594">
        <v>127.03</v>
      </c>
      <c r="D1594">
        <v>53.91</v>
      </c>
      <c r="E1594" t="s">
        <v>18341</v>
      </c>
      <c r="F1594" t="s">
        <v>107</v>
      </c>
      <c r="G1594" t="s">
        <v>428</v>
      </c>
      <c r="H1594" t="s">
        <v>429</v>
      </c>
      <c r="I1594" t="s">
        <v>70</v>
      </c>
      <c r="J1594" t="s">
        <v>321</v>
      </c>
      <c r="K1594">
        <v>46.87</v>
      </c>
      <c r="L1594">
        <v>4.34</v>
      </c>
      <c r="M1594" t="s">
        <v>822</v>
      </c>
      <c r="N1594">
        <v>11824</v>
      </c>
      <c r="S1594">
        <v>3.74</v>
      </c>
      <c r="AA1594">
        <v>-1.79</v>
      </c>
      <c r="AB1594" t="s">
        <v>4740</v>
      </c>
      <c r="AC1594" t="s">
        <v>14957</v>
      </c>
      <c r="AD1594" t="s">
        <v>6204</v>
      </c>
      <c r="AI1594" t="s">
        <v>290</v>
      </c>
      <c r="AJ1594" t="s">
        <v>15690</v>
      </c>
      <c r="AK1594" t="s">
        <v>3614</v>
      </c>
      <c r="AL1594">
        <v>3.52</v>
      </c>
      <c r="AM1594">
        <v>3.52</v>
      </c>
      <c r="AN1594">
        <v>0.01</v>
      </c>
      <c r="AR1594" t="s">
        <v>8274</v>
      </c>
      <c r="AS1594" t="s">
        <v>6859</v>
      </c>
      <c r="AT1594" t="s">
        <v>7118</v>
      </c>
      <c r="AU1594" t="s">
        <v>969</v>
      </c>
      <c r="AV1594" t="s">
        <v>11867</v>
      </c>
      <c r="AW1594" t="s">
        <v>18342</v>
      </c>
      <c r="AX1594" t="s">
        <v>13278</v>
      </c>
      <c r="AY1594" t="s">
        <v>8742</v>
      </c>
      <c r="AZ1594" t="s">
        <v>18343</v>
      </c>
      <c r="BA1594">
        <v>1</v>
      </c>
      <c r="BB1594">
        <v>263.61</v>
      </c>
      <c r="BC1594">
        <v>0.16</v>
      </c>
      <c r="BD1594">
        <v>4.33</v>
      </c>
      <c r="BE1594">
        <v>4.38</v>
      </c>
      <c r="BF1594">
        <v>4.2</v>
      </c>
      <c r="BG1594" t="s">
        <v>18344</v>
      </c>
      <c r="BH1594" t="s">
        <v>11666</v>
      </c>
      <c r="BI1594" t="s">
        <v>12915</v>
      </c>
      <c r="BJ1594" t="s">
        <v>101</v>
      </c>
      <c r="BK1594" t="s">
        <v>4484</v>
      </c>
      <c r="BL1594" t="s">
        <v>685</v>
      </c>
      <c r="BM1594" t="s">
        <v>699</v>
      </c>
      <c r="BN1594" t="s">
        <v>14623</v>
      </c>
    </row>
    <row r="1595" spans="1:66" x14ac:dyDescent="0.25">
      <c r="A1595" t="str">
        <f>HYPERLINK("https://elite.finviz.com/quote.ashx?t=VIVS&amp;ty=c&amp;p=d&amp;b=1", "VIVS")</f>
        <v>VIVS</v>
      </c>
      <c r="B1595">
        <v>6</v>
      </c>
      <c r="C1595">
        <v>127.03</v>
      </c>
      <c r="D1595">
        <v>53.93</v>
      </c>
      <c r="E1595" t="s">
        <v>18345</v>
      </c>
      <c r="F1595" t="s">
        <v>107</v>
      </c>
      <c r="G1595" t="s">
        <v>428</v>
      </c>
      <c r="H1595" t="s">
        <v>429</v>
      </c>
      <c r="I1595" t="s">
        <v>70</v>
      </c>
      <c r="J1595" t="s">
        <v>321</v>
      </c>
      <c r="K1595">
        <v>8.81</v>
      </c>
      <c r="L1595">
        <v>3.39</v>
      </c>
      <c r="M1595" t="s">
        <v>196</v>
      </c>
      <c r="N1595">
        <v>12872</v>
      </c>
      <c r="R1595">
        <v>62.96</v>
      </c>
      <c r="S1595">
        <v>0.92</v>
      </c>
      <c r="AA1595">
        <v>-1.52</v>
      </c>
      <c r="AB1595" t="s">
        <v>1343</v>
      </c>
      <c r="AC1595" t="s">
        <v>734</v>
      </c>
      <c r="AE1595" t="s">
        <v>14119</v>
      </c>
      <c r="AF1595" t="s">
        <v>18346</v>
      </c>
      <c r="AG1595" t="s">
        <v>18347</v>
      </c>
      <c r="AH1595" t="s">
        <v>6822</v>
      </c>
      <c r="AI1595" t="s">
        <v>10066</v>
      </c>
      <c r="AJ1595" t="s">
        <v>164</v>
      </c>
      <c r="AK1595" t="s">
        <v>7978</v>
      </c>
      <c r="AL1595">
        <v>4.5199999999999996</v>
      </c>
      <c r="AM1595">
        <v>4.5199999999999996</v>
      </c>
      <c r="AN1595">
        <v>0.09</v>
      </c>
      <c r="AO1595" t="s">
        <v>18348</v>
      </c>
      <c r="AP1595" t="s">
        <v>18349</v>
      </c>
      <c r="AQ1595" t="s">
        <v>18350</v>
      </c>
      <c r="AR1595" t="s">
        <v>2627</v>
      </c>
      <c r="AS1595" t="s">
        <v>1477</v>
      </c>
      <c r="AT1595" t="s">
        <v>3976</v>
      </c>
      <c r="AU1595" t="s">
        <v>13829</v>
      </c>
      <c r="AV1595" t="s">
        <v>2848</v>
      </c>
      <c r="AW1595" t="s">
        <v>18351</v>
      </c>
      <c r="AX1595" t="s">
        <v>11491</v>
      </c>
      <c r="AY1595" t="s">
        <v>12724</v>
      </c>
      <c r="AZ1595" t="s">
        <v>18352</v>
      </c>
      <c r="BA1595">
        <v>3</v>
      </c>
      <c r="BB1595">
        <v>316.77</v>
      </c>
      <c r="BC1595">
        <v>0.14000000000000001</v>
      </c>
      <c r="BD1595">
        <v>3.45</v>
      </c>
      <c r="BE1595">
        <v>3.51</v>
      </c>
      <c r="BF1595">
        <v>3.32</v>
      </c>
      <c r="BG1595" t="s">
        <v>18353</v>
      </c>
      <c r="BH1595" t="s">
        <v>400</v>
      </c>
      <c r="BI1595" t="s">
        <v>18352</v>
      </c>
      <c r="BJ1595" t="s">
        <v>101</v>
      </c>
      <c r="BK1595" t="s">
        <v>18354</v>
      </c>
      <c r="BL1595" t="s">
        <v>6950</v>
      </c>
      <c r="BM1595" t="s">
        <v>18355</v>
      </c>
      <c r="BN1595" t="s">
        <v>14623</v>
      </c>
    </row>
    <row r="1596" spans="1:66" x14ac:dyDescent="0.25">
      <c r="A1596" t="str">
        <f>HYPERLINK("https://elite.finviz.com/quote.ashx?t=HWC&amp;ty=c&amp;p=d&amp;b=1", "HWC")</f>
        <v>HWC</v>
      </c>
      <c r="B1596">
        <v>6</v>
      </c>
      <c r="C1596">
        <v>127.03</v>
      </c>
      <c r="D1596">
        <v>53.94</v>
      </c>
      <c r="E1596" t="s">
        <v>18356</v>
      </c>
      <c r="F1596" t="s">
        <v>67</v>
      </c>
      <c r="G1596" t="s">
        <v>550</v>
      </c>
      <c r="H1596" t="s">
        <v>697</v>
      </c>
      <c r="I1596" t="s">
        <v>70</v>
      </c>
      <c r="J1596" t="s">
        <v>321</v>
      </c>
      <c r="K1596">
        <v>5343.38</v>
      </c>
      <c r="L1596">
        <v>63.04</v>
      </c>
      <c r="M1596" t="s">
        <v>629</v>
      </c>
      <c r="N1596">
        <v>118183</v>
      </c>
      <c r="O1596">
        <v>11.63</v>
      </c>
      <c r="P1596">
        <v>10.48</v>
      </c>
      <c r="Q1596">
        <v>1.33</v>
      </c>
      <c r="R1596">
        <v>2.66</v>
      </c>
      <c r="S1596">
        <v>1.23</v>
      </c>
      <c r="T1596" t="s">
        <v>7437</v>
      </c>
      <c r="U1596">
        <v>1.75</v>
      </c>
      <c r="V1596" t="s">
        <v>4548</v>
      </c>
      <c r="W1596" t="s">
        <v>2621</v>
      </c>
      <c r="X1596" t="s">
        <v>7216</v>
      </c>
      <c r="Y1596" t="s">
        <v>506</v>
      </c>
      <c r="Z1596" t="s">
        <v>13524</v>
      </c>
      <c r="AA1596">
        <v>5.42</v>
      </c>
      <c r="AB1596" t="s">
        <v>1409</v>
      </c>
      <c r="AC1596" t="s">
        <v>5319</v>
      </c>
      <c r="AD1596" t="s">
        <v>11639</v>
      </c>
      <c r="AE1596" t="s">
        <v>6245</v>
      </c>
      <c r="AF1596" t="s">
        <v>12975</v>
      </c>
      <c r="AG1596" t="s">
        <v>2521</v>
      </c>
      <c r="AH1596" t="s">
        <v>5273</v>
      </c>
      <c r="AI1596" t="s">
        <v>11402</v>
      </c>
      <c r="AJ1596" t="s">
        <v>1547</v>
      </c>
      <c r="AK1596" t="s">
        <v>1835</v>
      </c>
      <c r="AL1596">
        <v>0.12</v>
      </c>
      <c r="AN1596">
        <v>0.32</v>
      </c>
      <c r="AP1596" t="s">
        <v>18357</v>
      </c>
      <c r="AQ1596" t="s">
        <v>3353</v>
      </c>
      <c r="AR1596" t="s">
        <v>3487</v>
      </c>
      <c r="AS1596" t="s">
        <v>5084</v>
      </c>
      <c r="AT1596" t="s">
        <v>4237</v>
      </c>
      <c r="AU1596" t="s">
        <v>1776</v>
      </c>
      <c r="AV1596" t="s">
        <v>6085</v>
      </c>
      <c r="AW1596" t="s">
        <v>6464</v>
      </c>
      <c r="AX1596" t="s">
        <v>5248</v>
      </c>
      <c r="AY1596" t="s">
        <v>6464</v>
      </c>
      <c r="AZ1596" t="s">
        <v>5575</v>
      </c>
      <c r="BA1596">
        <v>1.44</v>
      </c>
      <c r="BB1596">
        <v>791.19</v>
      </c>
      <c r="BC1596">
        <v>0.53</v>
      </c>
      <c r="BD1596">
        <v>63.02</v>
      </c>
      <c r="BE1596">
        <v>63.85</v>
      </c>
      <c r="BF1596">
        <v>62.95</v>
      </c>
      <c r="BG1596" t="s">
        <v>18358</v>
      </c>
      <c r="BH1596" t="s">
        <v>3102</v>
      </c>
      <c r="BI1596" t="s">
        <v>18359</v>
      </c>
      <c r="BJ1596" t="s">
        <v>101</v>
      </c>
      <c r="BK1596" t="s">
        <v>827</v>
      </c>
      <c r="BL1596" t="s">
        <v>7321</v>
      </c>
      <c r="BM1596" t="s">
        <v>15481</v>
      </c>
      <c r="BN1596" t="s">
        <v>14623</v>
      </c>
    </row>
    <row r="1597" spans="1:66" x14ac:dyDescent="0.25">
      <c r="A1597" t="str">
        <f>HYPERLINK("https://elite.finviz.com/quote.ashx?t=WHD&amp;ty=c&amp;p=d&amp;b=1", "WHD")</f>
        <v>WHD</v>
      </c>
      <c r="B1597">
        <v>6</v>
      </c>
      <c r="C1597">
        <v>127.03</v>
      </c>
      <c r="D1597">
        <v>53.97</v>
      </c>
      <c r="E1597" t="s">
        <v>18360</v>
      </c>
      <c r="F1597" t="s">
        <v>67</v>
      </c>
      <c r="G1597" t="s">
        <v>1048</v>
      </c>
      <c r="H1597" t="s">
        <v>8341</v>
      </c>
      <c r="I1597" t="s">
        <v>70</v>
      </c>
      <c r="J1597" t="s">
        <v>71</v>
      </c>
      <c r="K1597">
        <v>3336.12</v>
      </c>
      <c r="L1597">
        <v>41.79</v>
      </c>
      <c r="M1597" t="s">
        <v>4710</v>
      </c>
      <c r="N1597">
        <v>68812</v>
      </c>
      <c r="O1597">
        <v>15.74</v>
      </c>
      <c r="P1597">
        <v>14.7</v>
      </c>
      <c r="Q1597">
        <v>3.27</v>
      </c>
      <c r="R1597">
        <v>2.98</v>
      </c>
      <c r="S1597">
        <v>2.5</v>
      </c>
      <c r="T1597" t="s">
        <v>5745</v>
      </c>
      <c r="U1597">
        <v>0.53</v>
      </c>
      <c r="V1597" t="s">
        <v>4882</v>
      </c>
      <c r="W1597" t="s">
        <v>9159</v>
      </c>
      <c r="X1597" t="s">
        <v>2605</v>
      </c>
      <c r="Y1597" t="s">
        <v>15701</v>
      </c>
      <c r="Z1597" t="s">
        <v>5063</v>
      </c>
      <c r="AA1597">
        <v>2.66</v>
      </c>
      <c r="AB1597" t="s">
        <v>9630</v>
      </c>
      <c r="AC1597" t="s">
        <v>2655</v>
      </c>
      <c r="AD1597" t="s">
        <v>454</v>
      </c>
      <c r="AE1597" t="s">
        <v>4203</v>
      </c>
      <c r="AF1597" t="s">
        <v>18361</v>
      </c>
      <c r="AG1597" t="s">
        <v>5405</v>
      </c>
      <c r="AH1597" t="s">
        <v>2934</v>
      </c>
      <c r="AI1597" t="s">
        <v>8230</v>
      </c>
      <c r="AJ1597" t="s">
        <v>6407</v>
      </c>
      <c r="AK1597" t="s">
        <v>18362</v>
      </c>
      <c r="AL1597">
        <v>4.8499999999999996</v>
      </c>
      <c r="AM1597">
        <v>3.48</v>
      </c>
      <c r="AN1597">
        <v>0.04</v>
      </c>
      <c r="AO1597" t="s">
        <v>18363</v>
      </c>
      <c r="AP1597" t="s">
        <v>7375</v>
      </c>
      <c r="AQ1597" t="s">
        <v>6501</v>
      </c>
      <c r="AR1597" t="s">
        <v>4569</v>
      </c>
      <c r="AS1597" t="s">
        <v>975</v>
      </c>
      <c r="AT1597" t="s">
        <v>4256</v>
      </c>
      <c r="AU1597" t="s">
        <v>4865</v>
      </c>
      <c r="AV1597" t="s">
        <v>18364</v>
      </c>
      <c r="AW1597" t="s">
        <v>18365</v>
      </c>
      <c r="AX1597" t="s">
        <v>10247</v>
      </c>
      <c r="AY1597" t="s">
        <v>18366</v>
      </c>
      <c r="AZ1597" t="s">
        <v>3899</v>
      </c>
      <c r="BA1597">
        <v>2.44</v>
      </c>
      <c r="BB1597">
        <v>653.66999999999996</v>
      </c>
      <c r="BC1597">
        <v>0.37</v>
      </c>
      <c r="BD1597">
        <v>40.81</v>
      </c>
      <c r="BE1597">
        <v>42.05</v>
      </c>
      <c r="BF1597">
        <v>41.12</v>
      </c>
      <c r="BG1597" t="s">
        <v>18367</v>
      </c>
      <c r="BH1597" t="s">
        <v>18366</v>
      </c>
      <c r="BI1597" t="s">
        <v>18368</v>
      </c>
      <c r="BJ1597" t="s">
        <v>101</v>
      </c>
      <c r="BK1597" t="s">
        <v>3140</v>
      </c>
      <c r="BL1597" t="s">
        <v>10332</v>
      </c>
      <c r="BM1597" t="s">
        <v>18369</v>
      </c>
      <c r="BN1597" t="s">
        <v>14623</v>
      </c>
    </row>
    <row r="1598" spans="1:66" x14ac:dyDescent="0.25">
      <c r="A1598" t="str">
        <f>HYPERLINK("https://elite.finviz.com/quote.ashx?t=GEOS&amp;ty=c&amp;p=d&amp;b=1", "GEOS")</f>
        <v>GEOS</v>
      </c>
      <c r="B1598">
        <v>6</v>
      </c>
      <c r="C1598">
        <v>127.03</v>
      </c>
      <c r="D1598">
        <v>53.99</v>
      </c>
      <c r="E1598" t="s">
        <v>18370</v>
      </c>
      <c r="F1598" t="s">
        <v>107</v>
      </c>
      <c r="G1598" t="s">
        <v>1048</v>
      </c>
      <c r="H1598" t="s">
        <v>8341</v>
      </c>
      <c r="I1598" t="s">
        <v>70</v>
      </c>
      <c r="J1598" t="s">
        <v>321</v>
      </c>
      <c r="K1598">
        <v>244.23</v>
      </c>
      <c r="L1598">
        <v>19.05</v>
      </c>
      <c r="M1598" t="s">
        <v>6499</v>
      </c>
      <c r="N1598">
        <v>57308</v>
      </c>
      <c r="R1598">
        <v>2.11</v>
      </c>
      <c r="S1598">
        <v>1.82</v>
      </c>
      <c r="AA1598">
        <v>-1.06</v>
      </c>
      <c r="AB1598" t="s">
        <v>480</v>
      </c>
      <c r="AC1598" t="s">
        <v>18371</v>
      </c>
      <c r="AE1598" t="s">
        <v>16801</v>
      </c>
      <c r="AF1598" t="s">
        <v>333</v>
      </c>
      <c r="AG1598" t="s">
        <v>3432</v>
      </c>
      <c r="AH1598" t="s">
        <v>12014</v>
      </c>
      <c r="AJ1598" t="s">
        <v>164</v>
      </c>
      <c r="AK1598" t="s">
        <v>8272</v>
      </c>
      <c r="AL1598">
        <v>5.9</v>
      </c>
      <c r="AM1598">
        <v>3.99</v>
      </c>
      <c r="AN1598">
        <v>0</v>
      </c>
      <c r="AO1598" t="s">
        <v>7500</v>
      </c>
      <c r="AP1598" t="s">
        <v>10819</v>
      </c>
      <c r="AQ1598" t="s">
        <v>508</v>
      </c>
      <c r="AR1598" t="s">
        <v>3951</v>
      </c>
      <c r="AS1598" t="s">
        <v>6330</v>
      </c>
      <c r="AT1598" t="s">
        <v>5736</v>
      </c>
      <c r="AU1598" t="s">
        <v>13830</v>
      </c>
      <c r="AV1598" t="s">
        <v>18372</v>
      </c>
      <c r="AW1598" t="s">
        <v>10885</v>
      </c>
      <c r="AX1598" t="s">
        <v>12133</v>
      </c>
      <c r="AY1598" t="s">
        <v>10885</v>
      </c>
      <c r="AZ1598" t="s">
        <v>18373</v>
      </c>
      <c r="BA1598">
        <v>1</v>
      </c>
      <c r="BB1598">
        <v>222.23</v>
      </c>
      <c r="BC1598">
        <v>0.91</v>
      </c>
      <c r="BD1598">
        <v>19.97</v>
      </c>
      <c r="BE1598">
        <v>20.03</v>
      </c>
      <c r="BF1598">
        <v>18.75</v>
      </c>
      <c r="BG1598" t="s">
        <v>18374</v>
      </c>
      <c r="BH1598" t="s">
        <v>18375</v>
      </c>
      <c r="BI1598" t="s">
        <v>18376</v>
      </c>
      <c r="BJ1598" t="s">
        <v>101</v>
      </c>
      <c r="BK1598" t="s">
        <v>767</v>
      </c>
      <c r="BL1598" t="s">
        <v>18377</v>
      </c>
      <c r="BM1598" t="s">
        <v>18378</v>
      </c>
      <c r="BN1598" t="s">
        <v>14623</v>
      </c>
    </row>
    <row r="1599" spans="1:66" x14ac:dyDescent="0.25">
      <c r="A1599" t="str">
        <f>HYPERLINK("https://elite.finviz.com/quote.ashx?t=GVA&amp;ty=c&amp;p=d&amp;b=1", "GVA")</f>
        <v>GVA</v>
      </c>
      <c r="B1599">
        <v>6</v>
      </c>
      <c r="C1599">
        <v>127.03</v>
      </c>
      <c r="D1599">
        <v>53.99</v>
      </c>
      <c r="E1599" t="s">
        <v>18379</v>
      </c>
      <c r="F1599" t="s">
        <v>67</v>
      </c>
      <c r="G1599" t="s">
        <v>260</v>
      </c>
      <c r="H1599" t="s">
        <v>2944</v>
      </c>
      <c r="I1599" t="s">
        <v>70</v>
      </c>
      <c r="J1599" t="s">
        <v>71</v>
      </c>
      <c r="K1599">
        <v>4766.5600000000004</v>
      </c>
      <c r="L1599">
        <v>108.86</v>
      </c>
      <c r="M1599" t="s">
        <v>497</v>
      </c>
      <c r="N1599">
        <v>22205</v>
      </c>
      <c r="O1599">
        <v>36.39</v>
      </c>
      <c r="P1599">
        <v>18.37</v>
      </c>
      <c r="Q1599">
        <v>0.98</v>
      </c>
      <c r="R1599">
        <v>1.17</v>
      </c>
      <c r="S1599">
        <v>4.4800000000000004</v>
      </c>
      <c r="T1599" t="s">
        <v>4801</v>
      </c>
      <c r="U1599">
        <v>0.52</v>
      </c>
      <c r="V1599" t="s">
        <v>198</v>
      </c>
      <c r="W1599" t="s">
        <v>164</v>
      </c>
      <c r="X1599" t="s">
        <v>164</v>
      </c>
      <c r="Y1599" t="s">
        <v>164</v>
      </c>
      <c r="Z1599" t="s">
        <v>18380</v>
      </c>
      <c r="AA1599">
        <v>2.99</v>
      </c>
      <c r="AB1599" t="s">
        <v>18381</v>
      </c>
      <c r="AD1599" t="s">
        <v>18382</v>
      </c>
      <c r="AE1599" t="s">
        <v>3121</v>
      </c>
      <c r="AF1599" t="s">
        <v>4269</v>
      </c>
      <c r="AG1599" t="s">
        <v>1902</v>
      </c>
      <c r="AH1599" t="s">
        <v>289</v>
      </c>
      <c r="AI1599" t="s">
        <v>4667</v>
      </c>
      <c r="AJ1599" t="s">
        <v>647</v>
      </c>
      <c r="AK1599" t="s">
        <v>18383</v>
      </c>
      <c r="AL1599">
        <v>1.57</v>
      </c>
      <c r="AM1599">
        <v>1.45</v>
      </c>
      <c r="AN1599">
        <v>0.79</v>
      </c>
      <c r="AO1599" t="s">
        <v>6747</v>
      </c>
      <c r="AP1599" t="s">
        <v>3066</v>
      </c>
      <c r="AQ1599" t="s">
        <v>162</v>
      </c>
      <c r="AR1599" t="s">
        <v>2339</v>
      </c>
      <c r="AS1599" t="s">
        <v>5258</v>
      </c>
      <c r="AT1599" t="s">
        <v>2290</v>
      </c>
      <c r="AU1599" t="s">
        <v>6475</v>
      </c>
      <c r="AV1599" t="s">
        <v>10006</v>
      </c>
      <c r="AW1599" t="s">
        <v>3845</v>
      </c>
      <c r="AX1599" t="s">
        <v>11501</v>
      </c>
      <c r="AY1599" t="s">
        <v>3845</v>
      </c>
      <c r="AZ1599" t="s">
        <v>18384</v>
      </c>
      <c r="BA1599">
        <v>1</v>
      </c>
      <c r="BB1599">
        <v>540.51</v>
      </c>
      <c r="BC1599">
        <v>0.14000000000000001</v>
      </c>
      <c r="BD1599">
        <v>108.63</v>
      </c>
      <c r="BE1599">
        <v>109.7</v>
      </c>
      <c r="BF1599">
        <v>108.53</v>
      </c>
      <c r="BG1599" t="s">
        <v>18385</v>
      </c>
      <c r="BH1599" t="s">
        <v>3845</v>
      </c>
      <c r="BI1599" t="s">
        <v>18386</v>
      </c>
      <c r="BJ1599" t="s">
        <v>101</v>
      </c>
      <c r="BK1599" t="s">
        <v>10508</v>
      </c>
      <c r="BL1599" t="s">
        <v>15154</v>
      </c>
      <c r="BM1599" t="s">
        <v>12759</v>
      </c>
      <c r="BN1599" t="s">
        <v>14623</v>
      </c>
    </row>
    <row r="1600" spans="1:66" x14ac:dyDescent="0.25">
      <c r="A1600" t="str">
        <f>HYPERLINK("https://elite.finviz.com/quote.ashx?t=FISI&amp;ty=c&amp;p=d&amp;b=1", "FISI")</f>
        <v>FISI</v>
      </c>
      <c r="B1600">
        <v>6</v>
      </c>
      <c r="C1600">
        <v>127.03</v>
      </c>
      <c r="D1600">
        <v>54.02</v>
      </c>
      <c r="E1600" t="s">
        <v>18387</v>
      </c>
      <c r="F1600" t="s">
        <v>67</v>
      </c>
      <c r="G1600" t="s">
        <v>550</v>
      </c>
      <c r="H1600" t="s">
        <v>697</v>
      </c>
      <c r="I1600" t="s">
        <v>70</v>
      </c>
      <c r="J1600" t="s">
        <v>321</v>
      </c>
      <c r="K1600">
        <v>547.92999999999995</v>
      </c>
      <c r="L1600">
        <v>27.22</v>
      </c>
      <c r="M1600" t="s">
        <v>3227</v>
      </c>
      <c r="N1600">
        <v>11931</v>
      </c>
      <c r="P1600">
        <v>7.02</v>
      </c>
      <c r="R1600">
        <v>2.14</v>
      </c>
      <c r="S1600">
        <v>0.94</v>
      </c>
      <c r="T1600" t="s">
        <v>371</v>
      </c>
      <c r="U1600">
        <v>1.23</v>
      </c>
      <c r="V1600" t="s">
        <v>3833</v>
      </c>
      <c r="W1600" t="s">
        <v>164</v>
      </c>
      <c r="X1600" t="s">
        <v>975</v>
      </c>
      <c r="Y1600" t="s">
        <v>3482</v>
      </c>
      <c r="AA1600">
        <v>-2.57</v>
      </c>
      <c r="AE1600" t="s">
        <v>12860</v>
      </c>
      <c r="AF1600" t="s">
        <v>710</v>
      </c>
      <c r="AG1600" t="s">
        <v>275</v>
      </c>
      <c r="AH1600" t="s">
        <v>4712</v>
      </c>
      <c r="AI1600" t="s">
        <v>92</v>
      </c>
      <c r="AJ1600" t="s">
        <v>164</v>
      </c>
      <c r="AK1600" t="s">
        <v>18388</v>
      </c>
      <c r="AL1600">
        <v>7.0000000000000007E-2</v>
      </c>
      <c r="AN1600">
        <v>0.41</v>
      </c>
      <c r="AP1600" t="s">
        <v>18389</v>
      </c>
      <c r="AQ1600" t="s">
        <v>1221</v>
      </c>
      <c r="AR1600" t="s">
        <v>8016</v>
      </c>
      <c r="AS1600" t="s">
        <v>3832</v>
      </c>
      <c r="AT1600" t="s">
        <v>1083</v>
      </c>
      <c r="AU1600" t="s">
        <v>179</v>
      </c>
      <c r="AV1600" t="s">
        <v>2700</v>
      </c>
      <c r="AW1600" t="s">
        <v>4168</v>
      </c>
      <c r="AX1600" t="s">
        <v>5738</v>
      </c>
      <c r="AY1600" t="s">
        <v>4325</v>
      </c>
      <c r="AZ1600" t="s">
        <v>6996</v>
      </c>
      <c r="BA1600">
        <v>1</v>
      </c>
      <c r="BB1600">
        <v>143.69</v>
      </c>
      <c r="BC1600">
        <v>0.28999999999999998</v>
      </c>
      <c r="BD1600">
        <v>27.23</v>
      </c>
      <c r="BE1600">
        <v>27.45</v>
      </c>
      <c r="BF1600">
        <v>27.17</v>
      </c>
      <c r="BG1600" t="s">
        <v>18390</v>
      </c>
      <c r="BH1600" t="s">
        <v>12860</v>
      </c>
      <c r="BI1600" t="s">
        <v>18391</v>
      </c>
      <c r="BJ1600" t="s">
        <v>101</v>
      </c>
      <c r="BK1600" t="s">
        <v>754</v>
      </c>
      <c r="BL1600" t="s">
        <v>10237</v>
      </c>
      <c r="BM1600" t="s">
        <v>4114</v>
      </c>
      <c r="BN1600" t="s">
        <v>14623</v>
      </c>
    </row>
    <row r="1601" spans="1:66" x14ac:dyDescent="0.25">
      <c r="A1601" t="str">
        <f>HYPERLINK("https://elite.finviz.com/quote.ashx?t=CWBC&amp;ty=c&amp;p=d&amp;b=1", "CWBC")</f>
        <v>CWBC</v>
      </c>
      <c r="B1601">
        <v>6</v>
      </c>
      <c r="C1601">
        <v>127.03</v>
      </c>
      <c r="D1601">
        <v>54.05</v>
      </c>
      <c r="E1601" t="s">
        <v>18392</v>
      </c>
      <c r="F1601" t="s">
        <v>67</v>
      </c>
      <c r="G1601" t="s">
        <v>550</v>
      </c>
      <c r="H1601" t="s">
        <v>697</v>
      </c>
      <c r="I1601" t="s">
        <v>70</v>
      </c>
      <c r="J1601" t="s">
        <v>321</v>
      </c>
      <c r="K1601">
        <v>405.76</v>
      </c>
      <c r="L1601">
        <v>21.21</v>
      </c>
      <c r="M1601" t="s">
        <v>148</v>
      </c>
      <c r="N1601">
        <v>9639</v>
      </c>
      <c r="O1601">
        <v>15.27</v>
      </c>
      <c r="P1601">
        <v>9.4600000000000009</v>
      </c>
      <c r="R1601">
        <v>2.13</v>
      </c>
      <c r="S1601">
        <v>1.07</v>
      </c>
      <c r="T1601" t="s">
        <v>1599</v>
      </c>
      <c r="U1601">
        <v>0.48</v>
      </c>
      <c r="V1601" t="s">
        <v>4066</v>
      </c>
      <c r="W1601" t="s">
        <v>164</v>
      </c>
      <c r="X1601" t="s">
        <v>3047</v>
      </c>
      <c r="Y1601" t="s">
        <v>5660</v>
      </c>
      <c r="Z1601" t="s">
        <v>13752</v>
      </c>
      <c r="AA1601">
        <v>1.39</v>
      </c>
      <c r="AB1601" t="s">
        <v>17945</v>
      </c>
      <c r="AC1601" t="s">
        <v>14418</v>
      </c>
      <c r="AE1601" t="s">
        <v>18393</v>
      </c>
      <c r="AF1601" t="s">
        <v>6651</v>
      </c>
      <c r="AG1601" t="s">
        <v>874</v>
      </c>
      <c r="AH1601" t="s">
        <v>6075</v>
      </c>
      <c r="AI1601" t="s">
        <v>117</v>
      </c>
      <c r="AJ1601" t="s">
        <v>2646</v>
      </c>
      <c r="AK1601" t="s">
        <v>5602</v>
      </c>
      <c r="AL1601">
        <v>0.06</v>
      </c>
      <c r="AN1601">
        <v>0.41</v>
      </c>
      <c r="AP1601" t="s">
        <v>2862</v>
      </c>
      <c r="AQ1601" t="s">
        <v>7650</v>
      </c>
      <c r="AR1601" t="s">
        <v>192</v>
      </c>
      <c r="AS1601" t="s">
        <v>3494</v>
      </c>
      <c r="AT1601" t="s">
        <v>1547</v>
      </c>
      <c r="AU1601" t="s">
        <v>5187</v>
      </c>
      <c r="AV1601" t="s">
        <v>5248</v>
      </c>
      <c r="AW1601" t="s">
        <v>3485</v>
      </c>
      <c r="AX1601" t="s">
        <v>11140</v>
      </c>
      <c r="AY1601" t="s">
        <v>5573</v>
      </c>
      <c r="AZ1601" t="s">
        <v>15735</v>
      </c>
      <c r="BA1601">
        <v>2</v>
      </c>
      <c r="BB1601">
        <v>62.74</v>
      </c>
      <c r="BC1601">
        <v>0.55000000000000004</v>
      </c>
      <c r="BD1601">
        <v>21.32</v>
      </c>
      <c r="BE1601">
        <v>21.49</v>
      </c>
      <c r="BF1601">
        <v>21.21</v>
      </c>
      <c r="BG1601" t="s">
        <v>18394</v>
      </c>
      <c r="BH1601" t="s">
        <v>16906</v>
      </c>
      <c r="BI1601" t="s">
        <v>18395</v>
      </c>
      <c r="BJ1601" t="s">
        <v>101</v>
      </c>
      <c r="BK1601" t="s">
        <v>10247</v>
      </c>
      <c r="BL1601" t="s">
        <v>6608</v>
      </c>
      <c r="BM1601" t="s">
        <v>2748</v>
      </c>
      <c r="BN1601" t="s">
        <v>14623</v>
      </c>
    </row>
    <row r="1602" spans="1:66" x14ac:dyDescent="0.25">
      <c r="A1602" t="str">
        <f>HYPERLINK("https://elite.finviz.com/quote.ashx?t=QNST&amp;ty=c&amp;p=d&amp;b=1", "QNST")</f>
        <v>QNST</v>
      </c>
      <c r="B1602">
        <v>6</v>
      </c>
      <c r="C1602">
        <v>127.03</v>
      </c>
      <c r="D1602">
        <v>54.07</v>
      </c>
      <c r="E1602" t="s">
        <v>18396</v>
      </c>
      <c r="F1602" t="s">
        <v>67</v>
      </c>
      <c r="G1602" t="s">
        <v>598</v>
      </c>
      <c r="H1602" t="s">
        <v>1020</v>
      </c>
      <c r="I1602" t="s">
        <v>70</v>
      </c>
      <c r="J1602" t="s">
        <v>321</v>
      </c>
      <c r="K1602">
        <v>939.98</v>
      </c>
      <c r="L1602">
        <v>16.36</v>
      </c>
      <c r="M1602" t="s">
        <v>969</v>
      </c>
      <c r="N1602">
        <v>41229</v>
      </c>
      <c r="O1602">
        <v>208.71</v>
      </c>
      <c r="P1602">
        <v>13.38</v>
      </c>
      <c r="R1602">
        <v>0.86</v>
      </c>
      <c r="S1602">
        <v>3.83</v>
      </c>
      <c r="Z1602" t="s">
        <v>164</v>
      </c>
      <c r="AA1602">
        <v>0.08</v>
      </c>
      <c r="AC1602" t="s">
        <v>12394</v>
      </c>
      <c r="AE1602" t="s">
        <v>18397</v>
      </c>
      <c r="AF1602" t="s">
        <v>9562</v>
      </c>
      <c r="AG1602" t="s">
        <v>2409</v>
      </c>
      <c r="AH1602" t="s">
        <v>8083</v>
      </c>
      <c r="AI1602" t="s">
        <v>6770</v>
      </c>
      <c r="AJ1602" t="s">
        <v>164</v>
      </c>
      <c r="AK1602" t="s">
        <v>18398</v>
      </c>
      <c r="AL1602">
        <v>1.51</v>
      </c>
      <c r="AM1602">
        <v>1.51</v>
      </c>
      <c r="AN1602">
        <v>0.04</v>
      </c>
      <c r="AO1602" t="s">
        <v>4852</v>
      </c>
      <c r="AP1602" t="s">
        <v>212</v>
      </c>
      <c r="AQ1602" t="s">
        <v>7464</v>
      </c>
      <c r="AR1602" t="s">
        <v>7088</v>
      </c>
      <c r="AS1602" t="s">
        <v>8013</v>
      </c>
      <c r="AT1602" t="s">
        <v>5158</v>
      </c>
      <c r="AU1602" t="s">
        <v>6118</v>
      </c>
      <c r="AV1602" t="s">
        <v>16742</v>
      </c>
      <c r="AW1602" t="s">
        <v>9780</v>
      </c>
      <c r="AX1602" t="s">
        <v>5795</v>
      </c>
      <c r="AY1602" t="s">
        <v>18399</v>
      </c>
      <c r="AZ1602" t="s">
        <v>5795</v>
      </c>
      <c r="BA1602">
        <v>1.4</v>
      </c>
      <c r="BB1602">
        <v>549.65</v>
      </c>
      <c r="BC1602">
        <v>0.26</v>
      </c>
      <c r="BD1602">
        <v>16.23</v>
      </c>
      <c r="BE1602">
        <v>16.39</v>
      </c>
      <c r="BF1602">
        <v>16.12</v>
      </c>
      <c r="BG1602" t="s">
        <v>18400</v>
      </c>
      <c r="BH1602" t="s">
        <v>18399</v>
      </c>
      <c r="BI1602" t="s">
        <v>18401</v>
      </c>
      <c r="BJ1602" t="s">
        <v>101</v>
      </c>
      <c r="BK1602" t="s">
        <v>6475</v>
      </c>
      <c r="BL1602" t="s">
        <v>12939</v>
      </c>
      <c r="BM1602" t="s">
        <v>6023</v>
      </c>
      <c r="BN1602" t="s">
        <v>14623</v>
      </c>
    </row>
    <row r="1603" spans="1:66" x14ac:dyDescent="0.25">
      <c r="A1603" t="str">
        <f>HYPERLINK("https://elite.finviz.com/quote.ashx?t=FFIC&amp;ty=c&amp;p=d&amp;b=1", "FFIC")</f>
        <v>FFIC</v>
      </c>
      <c r="B1603">
        <v>6</v>
      </c>
      <c r="C1603">
        <v>127.03</v>
      </c>
      <c r="D1603">
        <v>54.07</v>
      </c>
      <c r="E1603" t="s">
        <v>18402</v>
      </c>
      <c r="F1603" t="s">
        <v>67</v>
      </c>
      <c r="G1603" t="s">
        <v>550</v>
      </c>
      <c r="H1603" t="s">
        <v>697</v>
      </c>
      <c r="I1603" t="s">
        <v>70</v>
      </c>
      <c r="J1603" t="s">
        <v>321</v>
      </c>
      <c r="K1603">
        <v>466.78</v>
      </c>
      <c r="L1603">
        <v>13.82</v>
      </c>
      <c r="M1603" t="s">
        <v>4191</v>
      </c>
      <c r="N1603">
        <v>31196</v>
      </c>
      <c r="P1603">
        <v>9.5500000000000007</v>
      </c>
      <c r="R1603">
        <v>1.1000000000000001</v>
      </c>
      <c r="S1603">
        <v>0.66</v>
      </c>
      <c r="T1603" t="s">
        <v>463</v>
      </c>
      <c r="U1603">
        <v>0.88</v>
      </c>
      <c r="V1603" t="s">
        <v>4548</v>
      </c>
      <c r="W1603" t="s">
        <v>164</v>
      </c>
      <c r="X1603" t="s">
        <v>192</v>
      </c>
      <c r="Y1603" t="s">
        <v>3761</v>
      </c>
      <c r="AA1603">
        <v>-1.19</v>
      </c>
      <c r="AE1603" t="s">
        <v>15013</v>
      </c>
      <c r="AF1603" t="s">
        <v>10273</v>
      </c>
      <c r="AG1603" t="s">
        <v>2945</v>
      </c>
      <c r="AH1603" t="s">
        <v>7970</v>
      </c>
      <c r="AI1603" t="s">
        <v>5164</v>
      </c>
      <c r="AJ1603" t="s">
        <v>164</v>
      </c>
      <c r="AK1603" t="s">
        <v>18403</v>
      </c>
      <c r="AL1603">
        <v>0.04</v>
      </c>
      <c r="AN1603">
        <v>0.92</v>
      </c>
      <c r="AP1603" t="s">
        <v>972</v>
      </c>
      <c r="AQ1603" t="s">
        <v>9513</v>
      </c>
      <c r="AR1603" t="s">
        <v>5420</v>
      </c>
      <c r="AS1603" t="s">
        <v>206</v>
      </c>
      <c r="AT1603" t="s">
        <v>2103</v>
      </c>
      <c r="AU1603" t="s">
        <v>5027</v>
      </c>
      <c r="AV1603" t="s">
        <v>1950</v>
      </c>
      <c r="AW1603" t="s">
        <v>3853</v>
      </c>
      <c r="AX1603" t="s">
        <v>14157</v>
      </c>
      <c r="AY1603" t="s">
        <v>3498</v>
      </c>
      <c r="AZ1603" t="s">
        <v>1908</v>
      </c>
      <c r="BA1603">
        <v>2.75</v>
      </c>
      <c r="BB1603">
        <v>256.95999999999998</v>
      </c>
      <c r="BC1603">
        <v>0.43</v>
      </c>
      <c r="BD1603">
        <v>13.85</v>
      </c>
      <c r="BE1603">
        <v>14.04</v>
      </c>
      <c r="BF1603">
        <v>13.82</v>
      </c>
      <c r="BG1603" t="s">
        <v>18404</v>
      </c>
      <c r="BH1603" t="s">
        <v>18405</v>
      </c>
      <c r="BI1603" t="s">
        <v>5832</v>
      </c>
      <c r="BJ1603" t="s">
        <v>101</v>
      </c>
      <c r="BK1603" t="s">
        <v>16733</v>
      </c>
      <c r="BL1603" t="s">
        <v>4697</v>
      </c>
      <c r="BM1603" t="s">
        <v>5574</v>
      </c>
      <c r="BN1603" t="s">
        <v>14623</v>
      </c>
    </row>
    <row r="1604" spans="1:66" x14ac:dyDescent="0.25">
      <c r="A1604" t="str">
        <f>HYPERLINK("https://elite.finviz.com/quote.ashx?t=LTRX&amp;ty=c&amp;p=d&amp;b=1", "LTRX")</f>
        <v>LTRX</v>
      </c>
      <c r="B1604">
        <v>6</v>
      </c>
      <c r="C1604">
        <v>127.03</v>
      </c>
      <c r="D1604">
        <v>54.08</v>
      </c>
      <c r="E1604" t="s">
        <v>18406</v>
      </c>
      <c r="F1604" t="s">
        <v>107</v>
      </c>
      <c r="G1604" t="s">
        <v>108</v>
      </c>
      <c r="H1604" t="s">
        <v>1921</v>
      </c>
      <c r="I1604" t="s">
        <v>70</v>
      </c>
      <c r="J1604" t="s">
        <v>321</v>
      </c>
      <c r="K1604">
        <v>177.13</v>
      </c>
      <c r="L1604">
        <v>4.5199999999999996</v>
      </c>
      <c r="M1604" t="s">
        <v>4501</v>
      </c>
      <c r="N1604">
        <v>24435</v>
      </c>
      <c r="P1604">
        <v>14.75</v>
      </c>
      <c r="R1604">
        <v>1.44</v>
      </c>
      <c r="S1604">
        <v>2.38</v>
      </c>
      <c r="AA1604">
        <v>-0.28999999999999998</v>
      </c>
      <c r="AB1604" t="s">
        <v>4470</v>
      </c>
      <c r="AC1604" t="s">
        <v>2869</v>
      </c>
      <c r="AE1604" t="s">
        <v>18407</v>
      </c>
      <c r="AF1604" t="s">
        <v>2649</v>
      </c>
      <c r="AG1604" t="s">
        <v>849</v>
      </c>
      <c r="AH1604" t="s">
        <v>18408</v>
      </c>
      <c r="AI1604" t="s">
        <v>2914</v>
      </c>
      <c r="AJ1604" t="s">
        <v>2560</v>
      </c>
      <c r="AK1604" t="s">
        <v>2165</v>
      </c>
      <c r="AL1604">
        <v>2.54</v>
      </c>
      <c r="AM1604">
        <v>1.68</v>
      </c>
      <c r="AN1604">
        <v>0.28000000000000003</v>
      </c>
      <c r="AO1604" t="s">
        <v>8403</v>
      </c>
      <c r="AP1604" t="s">
        <v>16493</v>
      </c>
      <c r="AQ1604" t="s">
        <v>9731</v>
      </c>
      <c r="AR1604" t="s">
        <v>464</v>
      </c>
      <c r="AS1604" t="s">
        <v>1159</v>
      </c>
      <c r="AT1604" t="s">
        <v>5928</v>
      </c>
      <c r="AU1604" t="s">
        <v>555</v>
      </c>
      <c r="AV1604" t="s">
        <v>4017</v>
      </c>
      <c r="AW1604" t="s">
        <v>16226</v>
      </c>
      <c r="AX1604" t="s">
        <v>11956</v>
      </c>
      <c r="AY1604" t="s">
        <v>16226</v>
      </c>
      <c r="AZ1604" t="s">
        <v>18409</v>
      </c>
      <c r="BA1604">
        <v>1</v>
      </c>
      <c r="BB1604">
        <v>424.77</v>
      </c>
      <c r="BC1604">
        <v>0.2</v>
      </c>
      <c r="BD1604">
        <v>4.6100000000000003</v>
      </c>
      <c r="BE1604">
        <v>4.68</v>
      </c>
      <c r="BF1604">
        <v>4.55</v>
      </c>
      <c r="BG1604" t="s">
        <v>18410</v>
      </c>
      <c r="BH1604" t="s">
        <v>14255</v>
      </c>
      <c r="BI1604" t="s">
        <v>18411</v>
      </c>
      <c r="BJ1604" t="s">
        <v>101</v>
      </c>
      <c r="BK1604" t="s">
        <v>15390</v>
      </c>
      <c r="BL1604" t="s">
        <v>18412</v>
      </c>
      <c r="BM1604" t="s">
        <v>1811</v>
      </c>
      <c r="BN1604" t="s">
        <v>14623</v>
      </c>
    </row>
    <row r="1605" spans="1:66" x14ac:dyDescent="0.25">
      <c r="A1605" t="str">
        <f>HYPERLINK("https://elite.finviz.com/quote.ashx?t=EEX&amp;ty=c&amp;p=d&amp;b=1", "EEX")</f>
        <v>EEX</v>
      </c>
      <c r="B1605">
        <v>6</v>
      </c>
      <c r="C1605">
        <v>127.03</v>
      </c>
      <c r="D1605">
        <v>54.09</v>
      </c>
      <c r="E1605" t="s">
        <v>18413</v>
      </c>
      <c r="F1605" t="s">
        <v>67</v>
      </c>
      <c r="G1605" t="s">
        <v>598</v>
      </c>
      <c r="H1605" t="s">
        <v>1020</v>
      </c>
      <c r="I1605" t="s">
        <v>70</v>
      </c>
      <c r="J1605" t="s">
        <v>71</v>
      </c>
      <c r="K1605">
        <v>1021.54</v>
      </c>
      <c r="L1605">
        <v>5.16</v>
      </c>
      <c r="M1605" t="s">
        <v>3544</v>
      </c>
      <c r="N1605">
        <v>2661</v>
      </c>
      <c r="O1605">
        <v>129.32</v>
      </c>
      <c r="P1605">
        <v>24</v>
      </c>
      <c r="R1605">
        <v>2.36</v>
      </c>
      <c r="S1605">
        <v>2.62</v>
      </c>
      <c r="T1605" t="s">
        <v>5166</v>
      </c>
      <c r="U1605">
        <v>0.06</v>
      </c>
      <c r="V1605" t="s">
        <v>2708</v>
      </c>
      <c r="Y1605" t="s">
        <v>4998</v>
      </c>
      <c r="AA1605">
        <v>0.04</v>
      </c>
      <c r="AB1605" t="s">
        <v>18414</v>
      </c>
      <c r="AC1605" t="s">
        <v>18415</v>
      </c>
      <c r="AE1605" t="s">
        <v>1064</v>
      </c>
      <c r="AF1605" t="s">
        <v>12571</v>
      </c>
      <c r="AG1605" t="s">
        <v>6692</v>
      </c>
      <c r="AH1605" t="s">
        <v>4988</v>
      </c>
      <c r="AI1605" t="s">
        <v>1741</v>
      </c>
      <c r="AJ1605" t="s">
        <v>406</v>
      </c>
      <c r="AK1605" t="s">
        <v>2732</v>
      </c>
      <c r="AL1605">
        <v>1.05</v>
      </c>
      <c r="AM1605">
        <v>1.05</v>
      </c>
      <c r="AN1605">
        <v>1.32</v>
      </c>
      <c r="AO1605" t="s">
        <v>17083</v>
      </c>
      <c r="AP1605" t="s">
        <v>1085</v>
      </c>
      <c r="AQ1605" t="s">
        <v>2424</v>
      </c>
      <c r="AR1605" t="s">
        <v>1302</v>
      </c>
      <c r="AS1605" t="s">
        <v>8229</v>
      </c>
      <c r="AT1605" t="s">
        <v>9136</v>
      </c>
      <c r="AU1605" t="s">
        <v>90</v>
      </c>
      <c r="AV1605" t="s">
        <v>7760</v>
      </c>
      <c r="AW1605" t="s">
        <v>6345</v>
      </c>
      <c r="AX1605" t="s">
        <v>239</v>
      </c>
      <c r="AY1605" t="s">
        <v>6345</v>
      </c>
      <c r="AZ1605" t="s">
        <v>18125</v>
      </c>
      <c r="BA1605">
        <v>1</v>
      </c>
      <c r="BB1605">
        <v>58.2</v>
      </c>
      <c r="BC1605">
        <v>0.16</v>
      </c>
      <c r="BD1605">
        <v>5.05</v>
      </c>
      <c r="BE1605">
        <v>5.05</v>
      </c>
      <c r="BF1605">
        <v>5.05</v>
      </c>
      <c r="BG1605" t="s">
        <v>18416</v>
      </c>
      <c r="BH1605" t="s">
        <v>18417</v>
      </c>
      <c r="BI1605" t="s">
        <v>18418</v>
      </c>
      <c r="BJ1605" t="s">
        <v>101</v>
      </c>
      <c r="BK1605" t="s">
        <v>3480</v>
      </c>
      <c r="BL1605" t="s">
        <v>7631</v>
      </c>
      <c r="BM1605" t="s">
        <v>1297</v>
      </c>
      <c r="BN1605" t="s">
        <v>14623</v>
      </c>
    </row>
    <row r="1606" spans="1:66" x14ac:dyDescent="0.25">
      <c r="A1606" t="str">
        <f>HYPERLINK("https://elite.finviz.com/quote.ashx?t=NPK&amp;ty=c&amp;p=d&amp;b=1", "NPK")</f>
        <v>NPK</v>
      </c>
      <c r="B1606">
        <v>6</v>
      </c>
      <c r="C1606">
        <v>127.03</v>
      </c>
      <c r="D1606">
        <v>54.09</v>
      </c>
      <c r="E1606" t="s">
        <v>18419</v>
      </c>
      <c r="F1606" t="s">
        <v>67</v>
      </c>
      <c r="G1606" t="s">
        <v>260</v>
      </c>
      <c r="H1606" t="s">
        <v>4779</v>
      </c>
      <c r="I1606" t="s">
        <v>70</v>
      </c>
      <c r="J1606" t="s">
        <v>71</v>
      </c>
      <c r="K1606">
        <v>798.63</v>
      </c>
      <c r="L1606">
        <v>111.71</v>
      </c>
      <c r="M1606" t="s">
        <v>1409</v>
      </c>
      <c r="N1606">
        <v>3242</v>
      </c>
      <c r="O1606">
        <v>19.13</v>
      </c>
      <c r="R1606">
        <v>1.77</v>
      </c>
      <c r="S1606">
        <v>2.12</v>
      </c>
      <c r="T1606" t="s">
        <v>3493</v>
      </c>
      <c r="U1606">
        <v>1</v>
      </c>
      <c r="V1606" t="s">
        <v>18420</v>
      </c>
      <c r="W1606" t="s">
        <v>6206</v>
      </c>
      <c r="X1606" t="s">
        <v>14249</v>
      </c>
      <c r="Y1606" t="s">
        <v>701</v>
      </c>
      <c r="Z1606" t="s">
        <v>16915</v>
      </c>
      <c r="AA1606">
        <v>5.84</v>
      </c>
      <c r="AB1606" t="s">
        <v>10252</v>
      </c>
      <c r="AC1606" t="s">
        <v>2059</v>
      </c>
      <c r="AE1606" t="s">
        <v>12768</v>
      </c>
      <c r="AF1606" t="s">
        <v>5132</v>
      </c>
      <c r="AG1606" t="s">
        <v>5370</v>
      </c>
      <c r="AH1606" t="s">
        <v>13161</v>
      </c>
      <c r="AI1606" t="s">
        <v>7942</v>
      </c>
      <c r="AJ1606" t="s">
        <v>164</v>
      </c>
      <c r="AK1606" t="s">
        <v>18421</v>
      </c>
      <c r="AL1606">
        <v>4.21</v>
      </c>
      <c r="AM1606">
        <v>0.76</v>
      </c>
      <c r="AN1606">
        <v>0.06</v>
      </c>
      <c r="AO1606" t="s">
        <v>4468</v>
      </c>
      <c r="AP1606" t="s">
        <v>6076</v>
      </c>
      <c r="AQ1606" t="s">
        <v>2237</v>
      </c>
      <c r="AR1606" t="s">
        <v>1933</v>
      </c>
      <c r="AS1606" t="s">
        <v>3173</v>
      </c>
      <c r="AT1606" t="s">
        <v>7464</v>
      </c>
      <c r="AU1606" t="s">
        <v>3948</v>
      </c>
      <c r="AV1606" t="s">
        <v>2530</v>
      </c>
      <c r="AW1606" t="s">
        <v>309</v>
      </c>
      <c r="AX1606" t="s">
        <v>4944</v>
      </c>
      <c r="AY1606" t="s">
        <v>309</v>
      </c>
      <c r="AZ1606" t="s">
        <v>17064</v>
      </c>
      <c r="BB1606">
        <v>88.88</v>
      </c>
      <c r="BC1606">
        <v>0.13</v>
      </c>
      <c r="BD1606">
        <v>111.24</v>
      </c>
      <c r="BE1606">
        <v>111.78</v>
      </c>
      <c r="BF1606">
        <v>109.21</v>
      </c>
      <c r="BG1606" t="s">
        <v>18422</v>
      </c>
      <c r="BH1606" t="s">
        <v>309</v>
      </c>
      <c r="BI1606" t="s">
        <v>18423</v>
      </c>
      <c r="BJ1606" t="s">
        <v>101</v>
      </c>
      <c r="BK1606" t="s">
        <v>2711</v>
      </c>
      <c r="BL1606" t="s">
        <v>17690</v>
      </c>
      <c r="BM1606" t="s">
        <v>9316</v>
      </c>
      <c r="BN1606" t="s">
        <v>14623</v>
      </c>
    </row>
    <row r="1607" spans="1:66" x14ac:dyDescent="0.25">
      <c r="A1607" t="str">
        <f>HYPERLINK("https://elite.finviz.com/quote.ashx?t=EDUC&amp;ty=c&amp;p=d&amp;b=1", "EDUC")</f>
        <v>EDUC</v>
      </c>
      <c r="B1607">
        <v>6</v>
      </c>
      <c r="C1607">
        <v>127.03</v>
      </c>
      <c r="D1607">
        <v>54.11</v>
      </c>
      <c r="E1607" t="s">
        <v>18424</v>
      </c>
      <c r="F1607" t="s">
        <v>107</v>
      </c>
      <c r="G1607" t="s">
        <v>598</v>
      </c>
      <c r="H1607" t="s">
        <v>5379</v>
      </c>
      <c r="I1607" t="s">
        <v>70</v>
      </c>
      <c r="J1607" t="s">
        <v>321</v>
      </c>
      <c r="K1607">
        <v>11.67</v>
      </c>
      <c r="L1607">
        <v>1.36</v>
      </c>
      <c r="M1607" t="s">
        <v>164</v>
      </c>
      <c r="N1607">
        <v>10334</v>
      </c>
      <c r="R1607">
        <v>0.37</v>
      </c>
      <c r="S1607">
        <v>0.3</v>
      </c>
      <c r="V1607" t="s">
        <v>18425</v>
      </c>
      <c r="AA1607">
        <v>-0.6</v>
      </c>
      <c r="AE1607" t="s">
        <v>18426</v>
      </c>
      <c r="AF1607" t="s">
        <v>18427</v>
      </c>
      <c r="AG1607" t="s">
        <v>2099</v>
      </c>
      <c r="AH1607" t="s">
        <v>8310</v>
      </c>
      <c r="AJ1607" t="s">
        <v>164</v>
      </c>
      <c r="AK1607" t="s">
        <v>10109</v>
      </c>
      <c r="AL1607">
        <v>1.35</v>
      </c>
      <c r="AM1607">
        <v>0.65</v>
      </c>
      <c r="AN1607">
        <v>0.79</v>
      </c>
      <c r="AO1607" t="s">
        <v>13746</v>
      </c>
      <c r="AP1607" t="s">
        <v>17533</v>
      </c>
      <c r="AQ1607" t="s">
        <v>11347</v>
      </c>
      <c r="AR1607" t="s">
        <v>2783</v>
      </c>
      <c r="AS1607" t="s">
        <v>5579</v>
      </c>
      <c r="AT1607" t="s">
        <v>1767</v>
      </c>
      <c r="AU1607" t="s">
        <v>3171</v>
      </c>
      <c r="AV1607" t="s">
        <v>8402</v>
      </c>
      <c r="AW1607" t="s">
        <v>12545</v>
      </c>
      <c r="AX1607" t="s">
        <v>13010</v>
      </c>
      <c r="AY1607" t="s">
        <v>18428</v>
      </c>
      <c r="AZ1607" t="s">
        <v>8440</v>
      </c>
      <c r="BA1607">
        <v>1</v>
      </c>
      <c r="BB1607">
        <v>325.62</v>
      </c>
      <c r="BC1607">
        <v>0.11</v>
      </c>
      <c r="BD1607">
        <v>1.36</v>
      </c>
      <c r="BE1607">
        <v>1.32</v>
      </c>
      <c r="BF1607">
        <v>1.32</v>
      </c>
      <c r="BG1607" t="s">
        <v>18429</v>
      </c>
      <c r="BH1607" t="s">
        <v>18430</v>
      </c>
      <c r="BI1607" t="s">
        <v>18431</v>
      </c>
      <c r="BJ1607" t="s">
        <v>101</v>
      </c>
      <c r="BK1607" t="s">
        <v>9084</v>
      </c>
      <c r="BL1607" t="s">
        <v>229</v>
      </c>
      <c r="BM1607" t="s">
        <v>5854</v>
      </c>
      <c r="BN1607" t="s">
        <v>14623</v>
      </c>
    </row>
    <row r="1608" spans="1:66" x14ac:dyDescent="0.25">
      <c r="A1608" t="str">
        <f>HYPERLINK("https://elite.finviz.com/quote.ashx?t=COCO&amp;ty=c&amp;p=d&amp;b=1", "COCO")</f>
        <v>COCO</v>
      </c>
      <c r="B1608">
        <v>6</v>
      </c>
      <c r="C1608">
        <v>127.03</v>
      </c>
      <c r="D1608">
        <v>54.12</v>
      </c>
      <c r="E1608" t="s">
        <v>18432</v>
      </c>
      <c r="F1608" t="s">
        <v>67</v>
      </c>
      <c r="G1608" t="s">
        <v>2244</v>
      </c>
      <c r="H1608" t="s">
        <v>4568</v>
      </c>
      <c r="I1608" t="s">
        <v>70</v>
      </c>
      <c r="J1608" t="s">
        <v>321</v>
      </c>
      <c r="K1608">
        <v>2231.63</v>
      </c>
      <c r="L1608">
        <v>39.270000000000003</v>
      </c>
      <c r="M1608" t="s">
        <v>5253</v>
      </c>
      <c r="N1608">
        <v>106397</v>
      </c>
      <c r="O1608">
        <v>36.369999999999997</v>
      </c>
      <c r="P1608">
        <v>29.63</v>
      </c>
      <c r="Q1608">
        <v>2.0299999999999998</v>
      </c>
      <c r="R1608">
        <v>3.99</v>
      </c>
      <c r="S1608">
        <v>7.51</v>
      </c>
      <c r="Z1608" t="s">
        <v>164</v>
      </c>
      <c r="AA1608">
        <v>1.08</v>
      </c>
      <c r="AB1608" t="s">
        <v>15103</v>
      </c>
      <c r="AC1608" t="s">
        <v>18433</v>
      </c>
      <c r="AD1608" t="s">
        <v>2663</v>
      </c>
      <c r="AE1608" t="s">
        <v>8594</v>
      </c>
      <c r="AF1608" t="s">
        <v>2824</v>
      </c>
      <c r="AG1608" t="s">
        <v>3751</v>
      </c>
      <c r="AH1608" t="s">
        <v>728</v>
      </c>
      <c r="AI1608" t="s">
        <v>6226</v>
      </c>
      <c r="AJ1608" t="s">
        <v>18434</v>
      </c>
      <c r="AK1608" t="s">
        <v>7648</v>
      </c>
      <c r="AL1608">
        <v>3.51</v>
      </c>
      <c r="AM1608">
        <v>2.74</v>
      </c>
      <c r="AN1608">
        <v>0.05</v>
      </c>
      <c r="AO1608" t="s">
        <v>8124</v>
      </c>
      <c r="AP1608" t="s">
        <v>511</v>
      </c>
      <c r="AQ1608" t="s">
        <v>1492</v>
      </c>
      <c r="AR1608" t="s">
        <v>372</v>
      </c>
      <c r="AS1608" t="s">
        <v>2838</v>
      </c>
      <c r="AT1608" t="s">
        <v>1763</v>
      </c>
      <c r="AU1608" t="s">
        <v>7010</v>
      </c>
      <c r="AV1608" t="s">
        <v>6587</v>
      </c>
      <c r="AW1608" t="s">
        <v>3431</v>
      </c>
      <c r="AX1608" t="s">
        <v>7125</v>
      </c>
      <c r="AY1608" t="s">
        <v>3431</v>
      </c>
      <c r="AZ1608" t="s">
        <v>11695</v>
      </c>
      <c r="BA1608">
        <v>1.91</v>
      </c>
      <c r="BB1608">
        <v>914.55</v>
      </c>
      <c r="BC1608">
        <v>0.41</v>
      </c>
      <c r="BD1608">
        <v>39.01</v>
      </c>
      <c r="BE1608">
        <v>39.58</v>
      </c>
      <c r="BF1608">
        <v>39.020000000000003</v>
      </c>
      <c r="BG1608" t="s">
        <v>18435</v>
      </c>
      <c r="BH1608" t="s">
        <v>3431</v>
      </c>
      <c r="BI1608" t="s">
        <v>18436</v>
      </c>
      <c r="BJ1608" t="s">
        <v>101</v>
      </c>
      <c r="BK1608" t="s">
        <v>7654</v>
      </c>
      <c r="BL1608" t="s">
        <v>15404</v>
      </c>
      <c r="BM1608" t="s">
        <v>11324</v>
      </c>
      <c r="BN1608" t="s">
        <v>14623</v>
      </c>
    </row>
    <row r="1609" spans="1:66" x14ac:dyDescent="0.25">
      <c r="A1609" t="str">
        <f>HYPERLINK("https://elite.finviz.com/quote.ashx?t=KTB&amp;ty=c&amp;p=d&amp;b=1", "KTB")</f>
        <v>KTB</v>
      </c>
      <c r="B1609">
        <v>6</v>
      </c>
      <c r="C1609">
        <v>127.03</v>
      </c>
      <c r="D1609">
        <v>54.13</v>
      </c>
      <c r="E1609" t="s">
        <v>18437</v>
      </c>
      <c r="F1609" t="s">
        <v>67</v>
      </c>
      <c r="G1609" t="s">
        <v>813</v>
      </c>
      <c r="H1609" t="s">
        <v>7446</v>
      </c>
      <c r="I1609" t="s">
        <v>70</v>
      </c>
      <c r="J1609" t="s">
        <v>71</v>
      </c>
      <c r="K1609">
        <v>4413.1499999999996</v>
      </c>
      <c r="L1609">
        <v>79.41</v>
      </c>
      <c r="M1609" t="s">
        <v>3752</v>
      </c>
      <c r="N1609">
        <v>67796</v>
      </c>
      <c r="O1609">
        <v>17.71</v>
      </c>
      <c r="P1609">
        <v>13.5</v>
      </c>
      <c r="Q1609">
        <v>1.65</v>
      </c>
      <c r="R1609">
        <v>1.66</v>
      </c>
      <c r="S1609">
        <v>8.85</v>
      </c>
      <c r="T1609" t="s">
        <v>1768</v>
      </c>
      <c r="U1609">
        <v>2.08</v>
      </c>
      <c r="V1609" t="s">
        <v>163</v>
      </c>
      <c r="W1609" t="s">
        <v>2170</v>
      </c>
      <c r="X1609" t="s">
        <v>4966</v>
      </c>
      <c r="Y1609" t="s">
        <v>13198</v>
      </c>
      <c r="Z1609" t="s">
        <v>659</v>
      </c>
      <c r="AA1609">
        <v>4.4800000000000004</v>
      </c>
      <c r="AB1609" t="s">
        <v>2438</v>
      </c>
      <c r="AC1609" t="s">
        <v>7295</v>
      </c>
      <c r="AD1609" t="s">
        <v>5841</v>
      </c>
      <c r="AE1609" t="s">
        <v>2941</v>
      </c>
      <c r="AF1609" t="s">
        <v>3757</v>
      </c>
      <c r="AG1609" t="s">
        <v>149</v>
      </c>
      <c r="AH1609" t="s">
        <v>5389</v>
      </c>
      <c r="AI1609" t="s">
        <v>17538</v>
      </c>
      <c r="AJ1609" t="s">
        <v>164</v>
      </c>
      <c r="AK1609" t="s">
        <v>18438</v>
      </c>
      <c r="AL1609">
        <v>2.1800000000000002</v>
      </c>
      <c r="AM1609">
        <v>0.95</v>
      </c>
      <c r="AN1609">
        <v>3.07</v>
      </c>
      <c r="AO1609" t="s">
        <v>2444</v>
      </c>
      <c r="AP1609" t="s">
        <v>4620</v>
      </c>
      <c r="AQ1609" t="s">
        <v>369</v>
      </c>
      <c r="AR1609" t="s">
        <v>5121</v>
      </c>
      <c r="AS1609" t="s">
        <v>4687</v>
      </c>
      <c r="AT1609" t="s">
        <v>2694</v>
      </c>
      <c r="AU1609" t="s">
        <v>3526</v>
      </c>
      <c r="AV1609" t="s">
        <v>3581</v>
      </c>
      <c r="AW1609" t="s">
        <v>7289</v>
      </c>
      <c r="AX1609" t="s">
        <v>7266</v>
      </c>
      <c r="AY1609" t="s">
        <v>10770</v>
      </c>
      <c r="AZ1609" t="s">
        <v>18439</v>
      </c>
      <c r="BA1609">
        <v>2</v>
      </c>
      <c r="BB1609">
        <v>747.92</v>
      </c>
      <c r="BC1609">
        <v>0.32</v>
      </c>
      <c r="BD1609">
        <v>79.45</v>
      </c>
      <c r="BE1609">
        <v>80.06</v>
      </c>
      <c r="BF1609">
        <v>78.209999999999994</v>
      </c>
      <c r="BG1609" t="s">
        <v>18440</v>
      </c>
      <c r="BH1609" t="s">
        <v>10770</v>
      </c>
      <c r="BI1609" t="s">
        <v>18441</v>
      </c>
      <c r="BJ1609" t="s">
        <v>101</v>
      </c>
      <c r="BK1609" t="s">
        <v>17808</v>
      </c>
      <c r="BL1609" t="s">
        <v>3858</v>
      </c>
      <c r="BM1609" t="s">
        <v>2571</v>
      </c>
      <c r="BN1609" t="s">
        <v>14623</v>
      </c>
    </row>
    <row r="1610" spans="1:66" x14ac:dyDescent="0.25">
      <c r="A1610" t="str">
        <f>HYPERLINK("https://elite.finviz.com/quote.ashx?t=BWMN&amp;ty=c&amp;p=d&amp;b=1", "BWMN")</f>
        <v>BWMN</v>
      </c>
      <c r="B1610">
        <v>6</v>
      </c>
      <c r="C1610">
        <v>127.03</v>
      </c>
      <c r="D1610">
        <v>54.14</v>
      </c>
      <c r="E1610" t="s">
        <v>18442</v>
      </c>
      <c r="F1610" t="s">
        <v>67</v>
      </c>
      <c r="G1610" t="s">
        <v>260</v>
      </c>
      <c r="H1610" t="s">
        <v>2944</v>
      </c>
      <c r="I1610" t="s">
        <v>70</v>
      </c>
      <c r="J1610" t="s">
        <v>321</v>
      </c>
      <c r="K1610">
        <v>723.5</v>
      </c>
      <c r="L1610">
        <v>41.94</v>
      </c>
      <c r="M1610" t="s">
        <v>2560</v>
      </c>
      <c r="N1610">
        <v>8410</v>
      </c>
      <c r="O1610">
        <v>67.69</v>
      </c>
      <c r="P1610">
        <v>24.31</v>
      </c>
      <c r="R1610">
        <v>1.57</v>
      </c>
      <c r="S1610">
        <v>2.9</v>
      </c>
      <c r="Z1610" t="s">
        <v>164</v>
      </c>
      <c r="AA1610">
        <v>0.62</v>
      </c>
      <c r="AB1610" t="s">
        <v>8866</v>
      </c>
      <c r="AC1610" t="s">
        <v>6770</v>
      </c>
      <c r="AE1610" t="s">
        <v>7225</v>
      </c>
      <c r="AF1610" t="s">
        <v>14929</v>
      </c>
      <c r="AG1610" t="s">
        <v>11737</v>
      </c>
      <c r="AH1610" t="s">
        <v>4601</v>
      </c>
      <c r="AI1610" t="s">
        <v>18443</v>
      </c>
      <c r="AJ1610" t="s">
        <v>1510</v>
      </c>
      <c r="AK1610" t="s">
        <v>5486</v>
      </c>
      <c r="AL1610">
        <v>1.26</v>
      </c>
      <c r="AM1610">
        <v>1.26</v>
      </c>
      <c r="AN1610">
        <v>0.69</v>
      </c>
      <c r="AO1610" t="s">
        <v>6209</v>
      </c>
      <c r="AP1610" t="s">
        <v>2742</v>
      </c>
      <c r="AQ1610" t="s">
        <v>3842</v>
      </c>
      <c r="AR1610" t="s">
        <v>749</v>
      </c>
      <c r="AS1610" t="s">
        <v>911</v>
      </c>
      <c r="AT1610" t="s">
        <v>1547</v>
      </c>
      <c r="AU1610" t="s">
        <v>2521</v>
      </c>
      <c r="AV1610" t="s">
        <v>7266</v>
      </c>
      <c r="AW1610" t="s">
        <v>3321</v>
      </c>
      <c r="AX1610" t="s">
        <v>4200</v>
      </c>
      <c r="AY1610" t="s">
        <v>3321</v>
      </c>
      <c r="AZ1610" t="s">
        <v>18444</v>
      </c>
      <c r="BA1610">
        <v>1.1399999999999999</v>
      </c>
      <c r="BB1610">
        <v>147.11000000000001</v>
      </c>
      <c r="BC1610">
        <v>0.2</v>
      </c>
      <c r="BD1610">
        <v>41.87</v>
      </c>
      <c r="BE1610">
        <v>42.49</v>
      </c>
      <c r="BF1610">
        <v>41.94</v>
      </c>
      <c r="BG1610" t="s">
        <v>18445</v>
      </c>
      <c r="BH1610" t="s">
        <v>3321</v>
      </c>
      <c r="BI1610" t="s">
        <v>18446</v>
      </c>
      <c r="BJ1610" t="s">
        <v>101</v>
      </c>
      <c r="BK1610" t="s">
        <v>12767</v>
      </c>
      <c r="BL1610" t="s">
        <v>18447</v>
      </c>
      <c r="BM1610" t="s">
        <v>15352</v>
      </c>
      <c r="BN1610" t="s">
        <v>14623</v>
      </c>
    </row>
    <row r="1611" spans="1:66" x14ac:dyDescent="0.25">
      <c r="A1611" t="str">
        <f>HYPERLINK("https://elite.finviz.com/quote.ashx?t=JUNS&amp;ty=c&amp;p=d&amp;b=1", "JUNS")</f>
        <v>JUNS</v>
      </c>
      <c r="B1611">
        <v>6</v>
      </c>
      <c r="C1611">
        <v>127.03</v>
      </c>
      <c r="D1611">
        <v>54.14</v>
      </c>
      <c r="E1611" t="s">
        <v>18448</v>
      </c>
      <c r="F1611" t="s">
        <v>107</v>
      </c>
      <c r="G1611" t="s">
        <v>428</v>
      </c>
      <c r="H1611" t="s">
        <v>429</v>
      </c>
      <c r="I1611" t="s">
        <v>70</v>
      </c>
      <c r="J1611" t="s">
        <v>321</v>
      </c>
      <c r="K1611">
        <v>51.91</v>
      </c>
      <c r="L1611">
        <v>1.49</v>
      </c>
      <c r="M1611" t="s">
        <v>8286</v>
      </c>
      <c r="N1611">
        <v>45715</v>
      </c>
      <c r="P1611">
        <v>24.83</v>
      </c>
      <c r="S1611">
        <v>38.729999999999997</v>
      </c>
      <c r="AA1611">
        <v>-0.18</v>
      </c>
      <c r="AB1611" t="s">
        <v>14799</v>
      </c>
      <c r="AC1611" t="s">
        <v>18449</v>
      </c>
      <c r="AI1611" t="s">
        <v>164</v>
      </c>
      <c r="AJ1611" t="s">
        <v>580</v>
      </c>
      <c r="AK1611" t="s">
        <v>2880</v>
      </c>
      <c r="AL1611">
        <v>1.07</v>
      </c>
      <c r="AM1611">
        <v>1.07</v>
      </c>
      <c r="AN1611">
        <v>0.14000000000000001</v>
      </c>
      <c r="AR1611" t="s">
        <v>4867</v>
      </c>
      <c r="AS1611" t="s">
        <v>8240</v>
      </c>
      <c r="AT1611" t="s">
        <v>276</v>
      </c>
      <c r="AU1611" t="s">
        <v>372</v>
      </c>
      <c r="AV1611" t="s">
        <v>18450</v>
      </c>
      <c r="AW1611" t="s">
        <v>18451</v>
      </c>
      <c r="AX1611" t="s">
        <v>18452</v>
      </c>
      <c r="AY1611" t="s">
        <v>18453</v>
      </c>
      <c r="AZ1611" t="s">
        <v>18454</v>
      </c>
      <c r="BA1611">
        <v>1</v>
      </c>
      <c r="BB1611">
        <v>337.55</v>
      </c>
      <c r="BC1611">
        <v>0.48</v>
      </c>
      <c r="BD1611">
        <v>1.4</v>
      </c>
      <c r="BE1611">
        <v>1.49</v>
      </c>
      <c r="BF1611">
        <v>1.38</v>
      </c>
      <c r="BG1611" t="s">
        <v>18455</v>
      </c>
      <c r="BH1611" t="s">
        <v>18453</v>
      </c>
      <c r="BI1611" t="s">
        <v>18454</v>
      </c>
      <c r="BJ1611" t="s">
        <v>101</v>
      </c>
      <c r="BK1611" t="s">
        <v>18452</v>
      </c>
      <c r="BL1611" t="s">
        <v>18456</v>
      </c>
      <c r="BN1611" t="s">
        <v>14623</v>
      </c>
    </row>
    <row r="1612" spans="1:66" x14ac:dyDescent="0.25">
      <c r="A1612" t="str">
        <f>HYPERLINK("https://elite.finviz.com/quote.ashx?t=ANDE&amp;ty=c&amp;p=d&amp;b=1", "ANDE")</f>
        <v>ANDE</v>
      </c>
      <c r="B1612">
        <v>6</v>
      </c>
      <c r="C1612">
        <v>127.03</v>
      </c>
      <c r="D1612">
        <v>54.14</v>
      </c>
      <c r="E1612" t="s">
        <v>18457</v>
      </c>
      <c r="F1612" t="s">
        <v>67</v>
      </c>
      <c r="G1612" t="s">
        <v>2244</v>
      </c>
      <c r="H1612" t="s">
        <v>6825</v>
      </c>
      <c r="I1612" t="s">
        <v>70</v>
      </c>
      <c r="J1612" t="s">
        <v>321</v>
      </c>
      <c r="K1612">
        <v>1374.57</v>
      </c>
      <c r="L1612">
        <v>40.18</v>
      </c>
      <c r="M1612" t="s">
        <v>343</v>
      </c>
      <c r="N1612">
        <v>42550</v>
      </c>
      <c r="O1612">
        <v>17.12</v>
      </c>
      <c r="P1612">
        <v>10.97</v>
      </c>
      <c r="R1612">
        <v>0.12</v>
      </c>
      <c r="S1612">
        <v>1.01</v>
      </c>
      <c r="T1612" t="s">
        <v>2202</v>
      </c>
      <c r="U1612">
        <v>0.77</v>
      </c>
      <c r="V1612" t="s">
        <v>700</v>
      </c>
      <c r="W1612" t="s">
        <v>3469</v>
      </c>
      <c r="X1612" t="s">
        <v>5187</v>
      </c>
      <c r="Y1612" t="s">
        <v>5660</v>
      </c>
      <c r="Z1612" t="s">
        <v>6973</v>
      </c>
      <c r="AA1612">
        <v>2.35</v>
      </c>
      <c r="AB1612" t="s">
        <v>714</v>
      </c>
      <c r="AC1612" t="s">
        <v>12159</v>
      </c>
      <c r="AE1612" t="s">
        <v>217</v>
      </c>
      <c r="AF1612" t="s">
        <v>1904</v>
      </c>
      <c r="AG1612" t="s">
        <v>6106</v>
      </c>
      <c r="AH1612" t="s">
        <v>2715</v>
      </c>
      <c r="AI1612" t="s">
        <v>6503</v>
      </c>
      <c r="AJ1612" t="s">
        <v>164</v>
      </c>
      <c r="AK1612" t="s">
        <v>7868</v>
      </c>
      <c r="AL1612">
        <v>2.0099999999999998</v>
      </c>
      <c r="AM1612">
        <v>1.3</v>
      </c>
      <c r="AN1612">
        <v>0.55000000000000004</v>
      </c>
      <c r="AO1612" t="s">
        <v>2839</v>
      </c>
      <c r="AP1612" t="s">
        <v>907</v>
      </c>
      <c r="AQ1612" t="s">
        <v>3047</v>
      </c>
      <c r="AR1612" t="s">
        <v>1768</v>
      </c>
      <c r="AS1612" t="s">
        <v>648</v>
      </c>
      <c r="AT1612" t="s">
        <v>3112</v>
      </c>
      <c r="AU1612" t="s">
        <v>3433</v>
      </c>
      <c r="AV1612" t="s">
        <v>3832</v>
      </c>
      <c r="AW1612" t="s">
        <v>5040</v>
      </c>
      <c r="AX1612" t="s">
        <v>603</v>
      </c>
      <c r="AY1612" t="s">
        <v>2106</v>
      </c>
      <c r="AZ1612" t="s">
        <v>18458</v>
      </c>
      <c r="BA1612">
        <v>1.67</v>
      </c>
      <c r="BB1612">
        <v>367.04</v>
      </c>
      <c r="BC1612">
        <v>0.41</v>
      </c>
      <c r="BD1612">
        <v>39.69</v>
      </c>
      <c r="BE1612">
        <v>40.31</v>
      </c>
      <c r="BF1612">
        <v>39.72</v>
      </c>
      <c r="BG1612" t="s">
        <v>18459</v>
      </c>
      <c r="BH1612" t="s">
        <v>18460</v>
      </c>
      <c r="BI1612" t="s">
        <v>18461</v>
      </c>
      <c r="BJ1612" t="s">
        <v>101</v>
      </c>
      <c r="BK1612" t="s">
        <v>2399</v>
      </c>
      <c r="BL1612" t="s">
        <v>278</v>
      </c>
      <c r="BM1612" t="s">
        <v>18462</v>
      </c>
      <c r="BN1612" t="s">
        <v>14623</v>
      </c>
    </row>
    <row r="1613" spans="1:66" x14ac:dyDescent="0.25">
      <c r="A1613" t="str">
        <f>HYPERLINK("https://elite.finviz.com/quote.ashx?t=ESE&amp;ty=c&amp;p=d&amp;b=1", "ESE")</f>
        <v>ESE</v>
      </c>
      <c r="B1613">
        <v>6</v>
      </c>
      <c r="C1613">
        <v>127.03</v>
      </c>
      <c r="D1613">
        <v>54.15</v>
      </c>
      <c r="E1613" t="s">
        <v>18463</v>
      </c>
      <c r="F1613" t="s">
        <v>67</v>
      </c>
      <c r="G1613" t="s">
        <v>108</v>
      </c>
      <c r="H1613" t="s">
        <v>9222</v>
      </c>
      <c r="I1613" t="s">
        <v>70</v>
      </c>
      <c r="J1613" t="s">
        <v>71</v>
      </c>
      <c r="K1613">
        <v>5386.51</v>
      </c>
      <c r="L1613">
        <v>208.58</v>
      </c>
      <c r="M1613" t="s">
        <v>124</v>
      </c>
      <c r="N1613">
        <v>18392</v>
      </c>
      <c r="O1613">
        <v>46.99</v>
      </c>
      <c r="P1613">
        <v>28.73</v>
      </c>
      <c r="Q1613">
        <v>1.89</v>
      </c>
      <c r="R1613">
        <v>4.8600000000000003</v>
      </c>
      <c r="S1613">
        <v>4.0599999999999996</v>
      </c>
      <c r="T1613" t="s">
        <v>183</v>
      </c>
      <c r="U1613">
        <v>0.32</v>
      </c>
      <c r="V1613" t="s">
        <v>5149</v>
      </c>
      <c r="W1613" t="s">
        <v>164</v>
      </c>
      <c r="X1613" t="s">
        <v>164</v>
      </c>
      <c r="Y1613" t="s">
        <v>164</v>
      </c>
      <c r="Z1613" t="s">
        <v>6791</v>
      </c>
      <c r="AA1613">
        <v>4.4400000000000004</v>
      </c>
      <c r="AB1613" t="s">
        <v>3117</v>
      </c>
      <c r="AC1613" t="s">
        <v>5100</v>
      </c>
      <c r="AD1613" t="s">
        <v>8611</v>
      </c>
      <c r="AE1613" t="s">
        <v>5193</v>
      </c>
      <c r="AF1613" t="s">
        <v>17831</v>
      </c>
      <c r="AG1613" t="s">
        <v>3121</v>
      </c>
      <c r="AH1613" t="s">
        <v>5539</v>
      </c>
      <c r="AI1613" t="s">
        <v>2431</v>
      </c>
      <c r="AJ1613" t="s">
        <v>164</v>
      </c>
      <c r="AK1613" t="s">
        <v>18464</v>
      </c>
      <c r="AL1613">
        <v>1.52</v>
      </c>
      <c r="AM1613">
        <v>1.04</v>
      </c>
      <c r="AN1613">
        <v>0.45</v>
      </c>
      <c r="AO1613" t="s">
        <v>16149</v>
      </c>
      <c r="AP1613" t="s">
        <v>6230</v>
      </c>
      <c r="AQ1613" t="s">
        <v>1585</v>
      </c>
      <c r="AR1613" t="s">
        <v>5256</v>
      </c>
      <c r="AS1613" t="s">
        <v>1776</v>
      </c>
      <c r="AT1613" t="s">
        <v>2641</v>
      </c>
      <c r="AU1613" t="s">
        <v>7978</v>
      </c>
      <c r="AV1613" t="s">
        <v>2397</v>
      </c>
      <c r="AW1613" t="s">
        <v>4073</v>
      </c>
      <c r="AX1613" t="s">
        <v>8464</v>
      </c>
      <c r="AY1613" t="s">
        <v>4073</v>
      </c>
      <c r="AZ1613" t="s">
        <v>4472</v>
      </c>
      <c r="BA1613">
        <v>1</v>
      </c>
      <c r="BB1613">
        <v>213.28</v>
      </c>
      <c r="BC1613">
        <v>0.3</v>
      </c>
      <c r="BD1613">
        <v>209.28</v>
      </c>
      <c r="BE1613">
        <v>211.32</v>
      </c>
      <c r="BF1613">
        <v>208.41</v>
      </c>
      <c r="BG1613" t="s">
        <v>18465</v>
      </c>
      <c r="BH1613" t="s">
        <v>4073</v>
      </c>
      <c r="BI1613" t="s">
        <v>18466</v>
      </c>
      <c r="BJ1613" t="s">
        <v>101</v>
      </c>
      <c r="BK1613" t="s">
        <v>1653</v>
      </c>
      <c r="BL1613" t="s">
        <v>8281</v>
      </c>
      <c r="BM1613" t="s">
        <v>18467</v>
      </c>
      <c r="BN1613" t="s">
        <v>14623</v>
      </c>
    </row>
    <row r="1614" spans="1:66" x14ac:dyDescent="0.25">
      <c r="A1614" t="str">
        <f>HYPERLINK("https://elite.finviz.com/quote.ashx?t=PLCE&amp;ty=c&amp;p=d&amp;b=1", "PLCE")</f>
        <v>PLCE</v>
      </c>
      <c r="B1614">
        <v>6</v>
      </c>
      <c r="C1614">
        <v>127.03</v>
      </c>
      <c r="D1614">
        <v>54.15</v>
      </c>
      <c r="E1614" t="s">
        <v>18468</v>
      </c>
      <c r="F1614" t="s">
        <v>107</v>
      </c>
      <c r="G1614" t="s">
        <v>813</v>
      </c>
      <c r="H1614" t="s">
        <v>7446</v>
      </c>
      <c r="I1614" t="s">
        <v>70</v>
      </c>
      <c r="J1614" t="s">
        <v>321</v>
      </c>
      <c r="K1614">
        <v>145.65</v>
      </c>
      <c r="L1614">
        <v>6.57</v>
      </c>
      <c r="M1614" t="s">
        <v>4394</v>
      </c>
      <c r="N1614">
        <v>161625</v>
      </c>
      <c r="P1614">
        <v>13.26</v>
      </c>
      <c r="R1614">
        <v>0.11</v>
      </c>
      <c r="V1614" t="s">
        <v>18469</v>
      </c>
      <c r="AA1614">
        <v>-0.87</v>
      </c>
      <c r="AD1614" t="s">
        <v>1425</v>
      </c>
      <c r="AE1614" t="s">
        <v>384</v>
      </c>
      <c r="AF1614" t="s">
        <v>14906</v>
      </c>
      <c r="AG1614" t="s">
        <v>2593</v>
      </c>
      <c r="AH1614" t="s">
        <v>9471</v>
      </c>
      <c r="AI1614" t="s">
        <v>18470</v>
      </c>
      <c r="AJ1614" t="s">
        <v>164</v>
      </c>
      <c r="AK1614" t="s">
        <v>8922</v>
      </c>
      <c r="AL1614">
        <v>0.93</v>
      </c>
      <c r="AM1614">
        <v>0.17</v>
      </c>
      <c r="AO1614" t="s">
        <v>7374</v>
      </c>
      <c r="AP1614" t="s">
        <v>5058</v>
      </c>
      <c r="AQ1614" t="s">
        <v>4150</v>
      </c>
      <c r="AR1614" t="s">
        <v>7669</v>
      </c>
      <c r="AS1614" t="s">
        <v>10407</v>
      </c>
      <c r="AT1614" t="s">
        <v>102</v>
      </c>
      <c r="AU1614" t="s">
        <v>12847</v>
      </c>
      <c r="AV1614" t="s">
        <v>18212</v>
      </c>
      <c r="AW1614" t="s">
        <v>2588</v>
      </c>
      <c r="AX1614" t="s">
        <v>6806</v>
      </c>
      <c r="AY1614" t="s">
        <v>18471</v>
      </c>
      <c r="AZ1614" t="s">
        <v>15773</v>
      </c>
      <c r="BA1614">
        <v>3</v>
      </c>
      <c r="BB1614">
        <v>781.74</v>
      </c>
      <c r="BC1614">
        <v>0.73</v>
      </c>
      <c r="BD1614">
        <v>6.35</v>
      </c>
      <c r="BE1614">
        <v>6.7</v>
      </c>
      <c r="BF1614">
        <v>6.33</v>
      </c>
      <c r="BG1614" t="s">
        <v>18472</v>
      </c>
      <c r="BH1614" t="s">
        <v>2345</v>
      </c>
      <c r="BI1614" t="s">
        <v>15773</v>
      </c>
      <c r="BJ1614" t="s">
        <v>101</v>
      </c>
      <c r="BK1614" t="s">
        <v>18473</v>
      </c>
      <c r="BL1614" t="s">
        <v>18474</v>
      </c>
      <c r="BM1614" t="s">
        <v>18475</v>
      </c>
      <c r="BN1614" t="s">
        <v>14623</v>
      </c>
    </row>
    <row r="1615" spans="1:66" x14ac:dyDescent="0.25">
      <c r="A1615" t="str">
        <f>HYPERLINK("https://elite.finviz.com/quote.ashx?t=EWTX&amp;ty=c&amp;p=d&amp;b=1", "EWTX")</f>
        <v>EWTX</v>
      </c>
      <c r="B1615">
        <v>6</v>
      </c>
      <c r="C1615">
        <v>127.03</v>
      </c>
      <c r="D1615">
        <v>54.15</v>
      </c>
      <c r="E1615" t="s">
        <v>18476</v>
      </c>
      <c r="F1615" t="s">
        <v>67</v>
      </c>
      <c r="G1615" t="s">
        <v>428</v>
      </c>
      <c r="H1615" t="s">
        <v>429</v>
      </c>
      <c r="I1615" t="s">
        <v>70</v>
      </c>
      <c r="J1615" t="s">
        <v>321</v>
      </c>
      <c r="K1615">
        <v>1617.58</v>
      </c>
      <c r="L1615">
        <v>15.35</v>
      </c>
      <c r="M1615" t="s">
        <v>4916</v>
      </c>
      <c r="N1615">
        <v>204192</v>
      </c>
      <c r="S1615">
        <v>2.75</v>
      </c>
      <c r="AA1615">
        <v>-1.56</v>
      </c>
      <c r="AB1615" t="s">
        <v>9364</v>
      </c>
      <c r="AC1615" t="s">
        <v>18477</v>
      </c>
      <c r="AD1615" t="s">
        <v>7101</v>
      </c>
      <c r="AI1615" t="s">
        <v>9350</v>
      </c>
      <c r="AJ1615" t="s">
        <v>862</v>
      </c>
      <c r="AK1615" t="s">
        <v>18478</v>
      </c>
      <c r="AL1615">
        <v>28.87</v>
      </c>
      <c r="AM1615">
        <v>28.87</v>
      </c>
      <c r="AN1615">
        <v>0.01</v>
      </c>
      <c r="AR1615" t="s">
        <v>1388</v>
      </c>
      <c r="AS1615" t="s">
        <v>370</v>
      </c>
      <c r="AT1615" t="s">
        <v>4324</v>
      </c>
      <c r="AU1615" t="s">
        <v>262</v>
      </c>
      <c r="AV1615" t="s">
        <v>11237</v>
      </c>
      <c r="AW1615" t="s">
        <v>5707</v>
      </c>
      <c r="AX1615" t="s">
        <v>6681</v>
      </c>
      <c r="AY1615" t="s">
        <v>18479</v>
      </c>
      <c r="AZ1615" t="s">
        <v>18480</v>
      </c>
      <c r="BA1615">
        <v>1.46</v>
      </c>
      <c r="BB1615">
        <v>810.51</v>
      </c>
      <c r="BC1615">
        <v>0.89</v>
      </c>
      <c r="BD1615">
        <v>14.89</v>
      </c>
      <c r="BE1615">
        <v>15.4</v>
      </c>
      <c r="BF1615">
        <v>14.67</v>
      </c>
      <c r="BG1615" t="s">
        <v>18481</v>
      </c>
      <c r="BH1615" t="s">
        <v>18482</v>
      </c>
      <c r="BI1615" t="s">
        <v>18483</v>
      </c>
      <c r="BJ1615" t="s">
        <v>101</v>
      </c>
      <c r="BK1615" t="s">
        <v>10485</v>
      </c>
      <c r="BL1615" t="s">
        <v>18484</v>
      </c>
      <c r="BM1615" t="s">
        <v>18485</v>
      </c>
      <c r="BN1615" t="s">
        <v>14623</v>
      </c>
    </row>
    <row r="1616" spans="1:66" x14ac:dyDescent="0.25">
      <c r="A1616" t="str">
        <f>HYPERLINK("https://elite.finviz.com/quote.ashx?t=RHLD&amp;ty=c&amp;p=d&amp;b=1", "RHLD")</f>
        <v>RHLD</v>
      </c>
      <c r="B1616">
        <v>6</v>
      </c>
      <c r="C1616">
        <v>127.03</v>
      </c>
      <c r="D1616">
        <v>54.16</v>
      </c>
      <c r="E1616" t="s">
        <v>18486</v>
      </c>
      <c r="F1616" t="s">
        <v>67</v>
      </c>
      <c r="G1616" t="s">
        <v>260</v>
      </c>
      <c r="H1616" t="s">
        <v>1077</v>
      </c>
      <c r="I1616" t="s">
        <v>70</v>
      </c>
      <c r="J1616" t="s">
        <v>71</v>
      </c>
      <c r="K1616">
        <v>571.24</v>
      </c>
      <c r="L1616">
        <v>67</v>
      </c>
      <c r="M1616" t="s">
        <v>581</v>
      </c>
      <c r="N1616">
        <v>8274</v>
      </c>
      <c r="S1616">
        <v>59.44</v>
      </c>
      <c r="AJ1616" t="s">
        <v>164</v>
      </c>
      <c r="AK1616" t="s">
        <v>3938</v>
      </c>
      <c r="AL1616">
        <v>3.4</v>
      </c>
      <c r="AM1616">
        <v>2.71</v>
      </c>
      <c r="AN1616">
        <v>20.93</v>
      </c>
      <c r="AR1616" t="s">
        <v>3455</v>
      </c>
      <c r="AS1616" t="s">
        <v>2967</v>
      </c>
      <c r="AT1616" t="s">
        <v>1413</v>
      </c>
      <c r="AU1616" t="s">
        <v>928</v>
      </c>
      <c r="AV1616" t="s">
        <v>18487</v>
      </c>
      <c r="AW1616" t="s">
        <v>7200</v>
      </c>
      <c r="AX1616" t="s">
        <v>6228</v>
      </c>
      <c r="AY1616" t="s">
        <v>7200</v>
      </c>
      <c r="AZ1616" t="s">
        <v>18488</v>
      </c>
      <c r="BB1616">
        <v>80.650000000000006</v>
      </c>
      <c r="BC1616">
        <v>0.36</v>
      </c>
      <c r="BD1616">
        <v>66.28</v>
      </c>
      <c r="BE1616">
        <v>68.62</v>
      </c>
      <c r="BF1616">
        <v>66.760000000000005</v>
      </c>
      <c r="BG1616" t="s">
        <v>18489</v>
      </c>
      <c r="BH1616" t="s">
        <v>7200</v>
      </c>
      <c r="BI1616" t="s">
        <v>18488</v>
      </c>
      <c r="BJ1616" t="s">
        <v>101</v>
      </c>
      <c r="BK1616" t="s">
        <v>18490</v>
      </c>
      <c r="BL1616" t="s">
        <v>16141</v>
      </c>
      <c r="BN1616" t="s">
        <v>14623</v>
      </c>
    </row>
    <row r="1617" spans="1:66" x14ac:dyDescent="0.25">
      <c r="A1617" t="str">
        <f>HYPERLINK("https://elite.finviz.com/quote.ashx?t=PRPO&amp;ty=c&amp;p=d&amp;b=1", "PRPO")</f>
        <v>PRPO</v>
      </c>
      <c r="B1617">
        <v>6</v>
      </c>
      <c r="C1617">
        <v>127.03</v>
      </c>
      <c r="D1617">
        <v>54.16</v>
      </c>
      <c r="E1617" t="s">
        <v>18491</v>
      </c>
      <c r="F1617" t="s">
        <v>107</v>
      </c>
      <c r="G1617" t="s">
        <v>428</v>
      </c>
      <c r="H1617" t="s">
        <v>4202</v>
      </c>
      <c r="I1617" t="s">
        <v>70</v>
      </c>
      <c r="J1617" t="s">
        <v>321</v>
      </c>
      <c r="K1617">
        <v>28.76</v>
      </c>
      <c r="L1617">
        <v>17.760000000000002</v>
      </c>
      <c r="M1617" t="s">
        <v>8932</v>
      </c>
      <c r="N1617">
        <v>2544</v>
      </c>
      <c r="R1617">
        <v>1.35</v>
      </c>
      <c r="S1617">
        <v>2.19</v>
      </c>
      <c r="AA1617">
        <v>-1.21</v>
      </c>
      <c r="AB1617" t="s">
        <v>3529</v>
      </c>
      <c r="AC1617" t="s">
        <v>13667</v>
      </c>
      <c r="AE1617" t="s">
        <v>4859</v>
      </c>
      <c r="AF1617" t="s">
        <v>11514</v>
      </c>
      <c r="AG1617" t="s">
        <v>14806</v>
      </c>
      <c r="AH1617" t="s">
        <v>5701</v>
      </c>
      <c r="AJ1617" t="s">
        <v>756</v>
      </c>
      <c r="AK1617" t="s">
        <v>14918</v>
      </c>
      <c r="AL1617">
        <v>0.93</v>
      </c>
      <c r="AM1617">
        <v>0.69</v>
      </c>
      <c r="AN1617">
        <v>0.21</v>
      </c>
      <c r="AO1617" t="s">
        <v>18382</v>
      </c>
      <c r="AP1617" t="s">
        <v>11904</v>
      </c>
      <c r="AQ1617" t="s">
        <v>10559</v>
      </c>
      <c r="AR1617" t="s">
        <v>1110</v>
      </c>
      <c r="AS1617" t="s">
        <v>191</v>
      </c>
      <c r="AT1617" t="s">
        <v>364</v>
      </c>
      <c r="AU1617" t="s">
        <v>3003</v>
      </c>
      <c r="AV1617" t="s">
        <v>18492</v>
      </c>
      <c r="AW1617" t="s">
        <v>7274</v>
      </c>
      <c r="AX1617" t="s">
        <v>11749</v>
      </c>
      <c r="AY1617" t="s">
        <v>7274</v>
      </c>
      <c r="AZ1617" t="s">
        <v>18493</v>
      </c>
      <c r="BA1617">
        <v>1</v>
      </c>
      <c r="BB1617">
        <v>16.52</v>
      </c>
      <c r="BC1617">
        <v>0.54</v>
      </c>
      <c r="BD1617">
        <v>17.87</v>
      </c>
      <c r="BE1617">
        <v>18.18</v>
      </c>
      <c r="BF1617">
        <v>18.18</v>
      </c>
      <c r="BG1617" t="s">
        <v>18494</v>
      </c>
      <c r="BH1617" t="s">
        <v>579</v>
      </c>
      <c r="BI1617" t="s">
        <v>18493</v>
      </c>
      <c r="BJ1617" t="s">
        <v>101</v>
      </c>
      <c r="BK1617" t="s">
        <v>11155</v>
      </c>
      <c r="BL1617" t="s">
        <v>18495</v>
      </c>
      <c r="BM1617" t="s">
        <v>18496</v>
      </c>
      <c r="BN1617" t="s">
        <v>14623</v>
      </c>
    </row>
    <row r="1618" spans="1:66" x14ac:dyDescent="0.25">
      <c r="A1618" t="str">
        <f>HYPERLINK("https://elite.finviz.com/quote.ashx?t=BKE&amp;ty=c&amp;p=d&amp;b=1", "BKE")</f>
        <v>BKE</v>
      </c>
      <c r="B1618">
        <v>6</v>
      </c>
      <c r="C1618">
        <v>127.03</v>
      </c>
      <c r="D1618">
        <v>54.16</v>
      </c>
      <c r="E1618" t="s">
        <v>18497</v>
      </c>
      <c r="F1618" t="s">
        <v>67</v>
      </c>
      <c r="G1618" t="s">
        <v>813</v>
      </c>
      <c r="H1618" t="s">
        <v>4488</v>
      </c>
      <c r="I1618" t="s">
        <v>70</v>
      </c>
      <c r="J1618" t="s">
        <v>71</v>
      </c>
      <c r="K1618">
        <v>3026.42</v>
      </c>
      <c r="L1618">
        <v>59.16</v>
      </c>
      <c r="M1618" t="s">
        <v>1022</v>
      </c>
      <c r="N1618">
        <v>36694</v>
      </c>
      <c r="O1618">
        <v>14.82</v>
      </c>
      <c r="P1618">
        <v>14.07</v>
      </c>
      <c r="Q1618">
        <v>3.26</v>
      </c>
      <c r="R1618">
        <v>2.42</v>
      </c>
      <c r="S1618">
        <v>6.36</v>
      </c>
      <c r="T1618" t="s">
        <v>8843</v>
      </c>
      <c r="U1618">
        <v>1.38</v>
      </c>
      <c r="V1618" t="s">
        <v>7373</v>
      </c>
      <c r="W1618" t="s">
        <v>164</v>
      </c>
      <c r="X1618" t="s">
        <v>5610</v>
      </c>
      <c r="Y1618" t="s">
        <v>351</v>
      </c>
      <c r="Z1618" t="s">
        <v>10454</v>
      </c>
      <c r="AA1618">
        <v>3.99</v>
      </c>
      <c r="AB1618" t="s">
        <v>16335</v>
      </c>
      <c r="AC1618" t="s">
        <v>5676</v>
      </c>
      <c r="AD1618" t="s">
        <v>4104</v>
      </c>
      <c r="AE1618" t="s">
        <v>2186</v>
      </c>
      <c r="AF1618" t="s">
        <v>133</v>
      </c>
      <c r="AG1618" t="s">
        <v>216</v>
      </c>
      <c r="AH1618" t="s">
        <v>5579</v>
      </c>
      <c r="AI1618" t="s">
        <v>11336</v>
      </c>
      <c r="AJ1618" t="s">
        <v>609</v>
      </c>
      <c r="AK1618" t="s">
        <v>14139</v>
      </c>
      <c r="AL1618">
        <v>2.15</v>
      </c>
      <c r="AM1618">
        <v>1.53</v>
      </c>
      <c r="AN1618">
        <v>0.79</v>
      </c>
      <c r="AO1618" t="s">
        <v>1426</v>
      </c>
      <c r="AP1618" t="s">
        <v>6316</v>
      </c>
      <c r="AQ1618" t="s">
        <v>8579</v>
      </c>
      <c r="AR1618" t="s">
        <v>3925</v>
      </c>
      <c r="AS1618" t="s">
        <v>3208</v>
      </c>
      <c r="AT1618" t="s">
        <v>240</v>
      </c>
      <c r="AU1618" t="s">
        <v>6106</v>
      </c>
      <c r="AV1618" t="s">
        <v>3819</v>
      </c>
      <c r="AW1618" t="s">
        <v>3853</v>
      </c>
      <c r="AX1618" t="s">
        <v>16179</v>
      </c>
      <c r="AY1618" t="s">
        <v>3853</v>
      </c>
      <c r="AZ1618" t="s">
        <v>18498</v>
      </c>
      <c r="BA1618">
        <v>3</v>
      </c>
      <c r="BB1618">
        <v>520.4</v>
      </c>
      <c r="BC1618">
        <v>0.25</v>
      </c>
      <c r="BD1618">
        <v>58.77</v>
      </c>
      <c r="BE1618">
        <v>59.12</v>
      </c>
      <c r="BF1618">
        <v>58.38</v>
      </c>
      <c r="BG1618" t="s">
        <v>18499</v>
      </c>
      <c r="BH1618" t="s">
        <v>3853</v>
      </c>
      <c r="BI1618" t="s">
        <v>18500</v>
      </c>
      <c r="BJ1618" t="s">
        <v>101</v>
      </c>
      <c r="BK1618" t="s">
        <v>10712</v>
      </c>
      <c r="BL1618" t="s">
        <v>11858</v>
      </c>
      <c r="BM1618" t="s">
        <v>4205</v>
      </c>
      <c r="BN1618" t="s">
        <v>14623</v>
      </c>
    </row>
    <row r="1619" spans="1:66" x14ac:dyDescent="0.25">
      <c r="A1619" t="str">
        <f>HYPERLINK("https://elite.finviz.com/quote.ashx?t=VACH&amp;ty=c&amp;p=d&amp;b=1", "VACH")</f>
        <v>VACH</v>
      </c>
      <c r="B1619">
        <v>6</v>
      </c>
      <c r="C1619">
        <v>127.03</v>
      </c>
      <c r="D1619">
        <v>54.17</v>
      </c>
      <c r="E1619" t="s">
        <v>18501</v>
      </c>
      <c r="F1619" t="s">
        <v>107</v>
      </c>
      <c r="G1619" t="s">
        <v>550</v>
      </c>
      <c r="H1619" t="s">
        <v>2120</v>
      </c>
      <c r="I1619" t="s">
        <v>70</v>
      </c>
      <c r="J1619" t="s">
        <v>321</v>
      </c>
      <c r="K1619">
        <v>330.48</v>
      </c>
      <c r="L1619">
        <v>10.45</v>
      </c>
      <c r="M1619" t="s">
        <v>164</v>
      </c>
      <c r="N1619">
        <v>0</v>
      </c>
      <c r="O1619">
        <v>36.049999999999997</v>
      </c>
      <c r="S1619">
        <v>1.31</v>
      </c>
      <c r="Z1619" t="s">
        <v>164</v>
      </c>
      <c r="AA1619">
        <v>0.28999999999999998</v>
      </c>
      <c r="AJ1619" t="s">
        <v>164</v>
      </c>
      <c r="AK1619" t="s">
        <v>18502</v>
      </c>
      <c r="AL1619">
        <v>2.41</v>
      </c>
      <c r="AM1619">
        <v>2.41</v>
      </c>
      <c r="AN1619">
        <v>0</v>
      </c>
      <c r="AR1619" t="s">
        <v>273</v>
      </c>
      <c r="AS1619" t="s">
        <v>3000</v>
      </c>
      <c r="AT1619" t="s">
        <v>2275</v>
      </c>
      <c r="AU1619" t="s">
        <v>3446</v>
      </c>
      <c r="AV1619" t="s">
        <v>3916</v>
      </c>
      <c r="AW1619" t="s">
        <v>8139</v>
      </c>
      <c r="AX1619" t="s">
        <v>84</v>
      </c>
      <c r="AY1619" t="s">
        <v>134</v>
      </c>
      <c r="AZ1619" t="s">
        <v>5620</v>
      </c>
      <c r="BB1619">
        <v>6.42</v>
      </c>
      <c r="BC1619">
        <v>0</v>
      </c>
      <c r="BD1619">
        <v>10.45</v>
      </c>
      <c r="BE1619">
        <v>10.45</v>
      </c>
      <c r="BF1619">
        <v>10.45</v>
      </c>
      <c r="BG1619" t="s">
        <v>18503</v>
      </c>
      <c r="BH1619" t="s">
        <v>134</v>
      </c>
      <c r="BI1619" t="s">
        <v>5620</v>
      </c>
      <c r="BJ1619" t="s">
        <v>101</v>
      </c>
      <c r="BK1619" t="s">
        <v>4782</v>
      </c>
      <c r="BL1619" t="s">
        <v>4499</v>
      </c>
      <c r="BN1619" t="s">
        <v>14623</v>
      </c>
    </row>
    <row r="1620" spans="1:66" x14ac:dyDescent="0.25">
      <c r="A1620" t="str">
        <f>HYPERLINK("https://elite.finviz.com/quote.ashx?t=SRG&amp;ty=c&amp;p=d&amp;b=1", "SRG")</f>
        <v>SRG</v>
      </c>
      <c r="B1620">
        <v>6</v>
      </c>
      <c r="C1620">
        <v>127.03</v>
      </c>
      <c r="D1620">
        <v>54.21</v>
      </c>
      <c r="E1620" t="s">
        <v>18504</v>
      </c>
      <c r="F1620" t="s">
        <v>107</v>
      </c>
      <c r="G1620" t="s">
        <v>68</v>
      </c>
      <c r="H1620" t="s">
        <v>7494</v>
      </c>
      <c r="I1620" t="s">
        <v>70</v>
      </c>
      <c r="J1620" t="s">
        <v>71</v>
      </c>
      <c r="K1620">
        <v>225.3</v>
      </c>
      <c r="L1620">
        <v>4</v>
      </c>
      <c r="M1620" t="s">
        <v>1574</v>
      </c>
      <c r="N1620">
        <v>44725</v>
      </c>
      <c r="R1620">
        <v>13.43</v>
      </c>
      <c r="S1620">
        <v>0.64</v>
      </c>
      <c r="V1620" t="s">
        <v>18505</v>
      </c>
      <c r="AA1620">
        <v>-1.58</v>
      </c>
      <c r="AB1620" t="s">
        <v>12391</v>
      </c>
      <c r="AC1620" t="s">
        <v>16396</v>
      </c>
      <c r="AE1620" t="s">
        <v>15564</v>
      </c>
      <c r="AF1620" t="s">
        <v>18506</v>
      </c>
      <c r="AG1620" t="s">
        <v>13930</v>
      </c>
      <c r="AH1620" t="s">
        <v>7106</v>
      </c>
      <c r="AJ1620" t="s">
        <v>9925</v>
      </c>
      <c r="AK1620" t="s">
        <v>15344</v>
      </c>
      <c r="AN1620">
        <v>0.56999999999999995</v>
      </c>
      <c r="AO1620" t="s">
        <v>18507</v>
      </c>
      <c r="AP1620" t="s">
        <v>18508</v>
      </c>
      <c r="AQ1620" t="s">
        <v>18509</v>
      </c>
      <c r="AR1620" t="s">
        <v>5592</v>
      </c>
      <c r="AS1620" t="s">
        <v>2811</v>
      </c>
      <c r="AT1620" t="s">
        <v>575</v>
      </c>
      <c r="AU1620" t="s">
        <v>3857</v>
      </c>
      <c r="AV1620" t="s">
        <v>5038</v>
      </c>
      <c r="AW1620" t="s">
        <v>11846</v>
      </c>
      <c r="AX1620" t="s">
        <v>2191</v>
      </c>
      <c r="AY1620" t="s">
        <v>18510</v>
      </c>
      <c r="AZ1620" t="s">
        <v>18511</v>
      </c>
      <c r="BA1620">
        <v>1</v>
      </c>
      <c r="BB1620">
        <v>130.28</v>
      </c>
      <c r="BC1620">
        <v>1.21</v>
      </c>
      <c r="BD1620">
        <v>4.03</v>
      </c>
      <c r="BE1620">
        <v>4.05</v>
      </c>
      <c r="BF1620">
        <v>4.01</v>
      </c>
      <c r="BG1620" t="s">
        <v>18512</v>
      </c>
      <c r="BH1620" t="s">
        <v>18513</v>
      </c>
      <c r="BI1620" t="s">
        <v>18511</v>
      </c>
      <c r="BJ1620" t="s">
        <v>101</v>
      </c>
      <c r="BK1620" t="s">
        <v>10378</v>
      </c>
      <c r="BL1620" t="s">
        <v>6892</v>
      </c>
      <c r="BM1620" t="s">
        <v>8543</v>
      </c>
      <c r="BN1620" t="s">
        <v>14623</v>
      </c>
    </row>
    <row r="1621" spans="1:66" x14ac:dyDescent="0.25">
      <c r="A1621" t="str">
        <f>HYPERLINK("https://elite.finviz.com/quote.ashx?t=CRD-A&amp;ty=c&amp;p=d&amp;b=1", "CRD-A")</f>
        <v>CRD-A</v>
      </c>
      <c r="B1621">
        <v>6</v>
      </c>
      <c r="C1621">
        <v>127.03</v>
      </c>
      <c r="D1621">
        <v>54.24</v>
      </c>
      <c r="E1621" t="s">
        <v>18514</v>
      </c>
      <c r="F1621" t="s">
        <v>67</v>
      </c>
      <c r="G1621" t="s">
        <v>550</v>
      </c>
      <c r="H1621" t="s">
        <v>10916</v>
      </c>
      <c r="I1621" t="s">
        <v>70</v>
      </c>
      <c r="J1621" t="s">
        <v>71</v>
      </c>
      <c r="K1621">
        <v>531.78</v>
      </c>
      <c r="L1621">
        <v>11</v>
      </c>
      <c r="M1621" t="s">
        <v>3463</v>
      </c>
      <c r="N1621">
        <v>7357</v>
      </c>
      <c r="O1621">
        <v>18.489999999999998</v>
      </c>
      <c r="P1621">
        <v>9.82</v>
      </c>
      <c r="R1621">
        <v>0.39</v>
      </c>
      <c r="S1621">
        <v>3.08</v>
      </c>
      <c r="T1621" t="s">
        <v>4154</v>
      </c>
      <c r="U1621">
        <v>0.28999999999999998</v>
      </c>
      <c r="W1621" t="s">
        <v>2698</v>
      </c>
      <c r="X1621" t="s">
        <v>8966</v>
      </c>
      <c r="Y1621" t="s">
        <v>164</v>
      </c>
      <c r="Z1621" t="s">
        <v>11673</v>
      </c>
      <c r="AA1621">
        <v>0.59</v>
      </c>
      <c r="AB1621" t="s">
        <v>10581</v>
      </c>
      <c r="AC1621" t="s">
        <v>5394</v>
      </c>
      <c r="AE1621" t="s">
        <v>3057</v>
      </c>
      <c r="AF1621" t="s">
        <v>5210</v>
      </c>
      <c r="AG1621" t="s">
        <v>1104</v>
      </c>
      <c r="AH1621" t="s">
        <v>352</v>
      </c>
      <c r="AI1621" t="s">
        <v>9710</v>
      </c>
      <c r="AJ1621" t="s">
        <v>3598</v>
      </c>
      <c r="AK1621" t="s">
        <v>9009</v>
      </c>
      <c r="AL1621">
        <v>1.34</v>
      </c>
      <c r="AM1621">
        <v>1.34</v>
      </c>
      <c r="AN1621">
        <v>1.75</v>
      </c>
      <c r="AO1621" t="s">
        <v>3683</v>
      </c>
      <c r="AP1621" t="s">
        <v>5210</v>
      </c>
      <c r="AQ1621" t="s">
        <v>3544</v>
      </c>
      <c r="AR1621" t="s">
        <v>2543</v>
      </c>
      <c r="AS1621" t="s">
        <v>2233</v>
      </c>
      <c r="AT1621" t="s">
        <v>7338</v>
      </c>
      <c r="AU1621" t="s">
        <v>7453</v>
      </c>
      <c r="AV1621" t="s">
        <v>2290</v>
      </c>
      <c r="AW1621" t="s">
        <v>134</v>
      </c>
      <c r="AX1621" t="s">
        <v>771</v>
      </c>
      <c r="AY1621" t="s">
        <v>1053</v>
      </c>
      <c r="AZ1621" t="s">
        <v>771</v>
      </c>
      <c r="BA1621">
        <v>1</v>
      </c>
      <c r="BB1621">
        <v>61.01</v>
      </c>
      <c r="BC1621">
        <v>0.43</v>
      </c>
      <c r="BD1621">
        <v>10.93</v>
      </c>
      <c r="BE1621">
        <v>11.15</v>
      </c>
      <c r="BF1621">
        <v>10.84</v>
      </c>
      <c r="BG1621" t="s">
        <v>18515</v>
      </c>
      <c r="BH1621" t="s">
        <v>17983</v>
      </c>
      <c r="BI1621" t="s">
        <v>18516</v>
      </c>
      <c r="BJ1621" t="s">
        <v>101</v>
      </c>
      <c r="BK1621" t="s">
        <v>903</v>
      </c>
      <c r="BL1621" t="s">
        <v>4210</v>
      </c>
      <c r="BM1621" t="s">
        <v>1391</v>
      </c>
      <c r="BN1621" t="s">
        <v>14623</v>
      </c>
    </row>
    <row r="1622" spans="1:66" x14ac:dyDescent="0.25">
      <c r="A1622" t="str">
        <f>HYPERLINK("https://elite.finviz.com/quote.ashx?t=FLXS&amp;ty=c&amp;p=d&amp;b=1", "FLXS")</f>
        <v>FLXS</v>
      </c>
      <c r="B1622">
        <v>6</v>
      </c>
      <c r="C1622">
        <v>127.03</v>
      </c>
      <c r="D1622">
        <v>54.24</v>
      </c>
      <c r="E1622" t="s">
        <v>18517</v>
      </c>
      <c r="F1622" t="s">
        <v>67</v>
      </c>
      <c r="G1622" t="s">
        <v>813</v>
      </c>
      <c r="H1622" t="s">
        <v>3866</v>
      </c>
      <c r="I1622" t="s">
        <v>70</v>
      </c>
      <c r="J1622" t="s">
        <v>321</v>
      </c>
      <c r="K1622">
        <v>250.08</v>
      </c>
      <c r="L1622">
        <v>47.4</v>
      </c>
      <c r="M1622" t="s">
        <v>4856</v>
      </c>
      <c r="N1622">
        <v>2926</v>
      </c>
      <c r="O1622">
        <v>13.39</v>
      </c>
      <c r="P1622">
        <v>11.05</v>
      </c>
      <c r="R1622">
        <v>0.56999999999999995</v>
      </c>
      <c r="S1622">
        <v>1.5</v>
      </c>
      <c r="T1622" t="s">
        <v>192</v>
      </c>
      <c r="U1622">
        <v>0.74</v>
      </c>
      <c r="V1622" t="s">
        <v>13483</v>
      </c>
      <c r="W1622" t="s">
        <v>18267</v>
      </c>
      <c r="X1622" t="s">
        <v>1576</v>
      </c>
      <c r="Y1622" t="s">
        <v>164</v>
      </c>
      <c r="Z1622" t="s">
        <v>1746</v>
      </c>
      <c r="AA1622">
        <v>3.54</v>
      </c>
      <c r="AB1622" t="s">
        <v>1372</v>
      </c>
      <c r="AE1622" t="s">
        <v>6584</v>
      </c>
      <c r="AF1622" t="s">
        <v>9471</v>
      </c>
      <c r="AG1622" t="s">
        <v>749</v>
      </c>
      <c r="AH1622" t="s">
        <v>5369</v>
      </c>
      <c r="AI1622" t="s">
        <v>1057</v>
      </c>
      <c r="AJ1622" t="s">
        <v>1998</v>
      </c>
      <c r="AK1622" t="s">
        <v>18518</v>
      </c>
      <c r="AL1622">
        <v>2.78</v>
      </c>
      <c r="AM1622">
        <v>1.34</v>
      </c>
      <c r="AN1622">
        <v>0.35</v>
      </c>
      <c r="AO1622" t="s">
        <v>9501</v>
      </c>
      <c r="AP1622" t="s">
        <v>8054</v>
      </c>
      <c r="AQ1622" t="s">
        <v>247</v>
      </c>
      <c r="AR1622" t="s">
        <v>3325</v>
      </c>
      <c r="AS1622" t="s">
        <v>215</v>
      </c>
      <c r="AT1622" t="s">
        <v>3286</v>
      </c>
      <c r="AU1622" t="s">
        <v>1557</v>
      </c>
      <c r="AV1622" t="s">
        <v>3002</v>
      </c>
      <c r="AW1622" t="s">
        <v>8921</v>
      </c>
      <c r="AX1622" t="s">
        <v>18519</v>
      </c>
      <c r="AY1622" t="s">
        <v>18520</v>
      </c>
      <c r="AZ1622" t="s">
        <v>18521</v>
      </c>
      <c r="BA1622">
        <v>1</v>
      </c>
      <c r="BB1622">
        <v>31.06</v>
      </c>
      <c r="BC1622">
        <v>0.33</v>
      </c>
      <c r="BD1622">
        <v>46.76</v>
      </c>
      <c r="BE1622">
        <v>47.65</v>
      </c>
      <c r="BF1622">
        <v>47.29</v>
      </c>
      <c r="BG1622" t="s">
        <v>18522</v>
      </c>
      <c r="BH1622" t="s">
        <v>18520</v>
      </c>
      <c r="BI1622" t="s">
        <v>18523</v>
      </c>
      <c r="BJ1622" t="s">
        <v>101</v>
      </c>
      <c r="BK1622" t="s">
        <v>13722</v>
      </c>
      <c r="BL1622" t="s">
        <v>8462</v>
      </c>
      <c r="BM1622" t="s">
        <v>3672</v>
      </c>
      <c r="BN1622" t="s">
        <v>14623</v>
      </c>
    </row>
    <row r="1623" spans="1:66" x14ac:dyDescent="0.25">
      <c r="A1623" t="str">
        <f>HYPERLINK("https://elite.finviz.com/quote.ashx?t=UCTT&amp;ty=c&amp;p=d&amp;b=1", "UCTT")</f>
        <v>UCTT</v>
      </c>
      <c r="B1623">
        <v>6</v>
      </c>
      <c r="C1623">
        <v>127.03</v>
      </c>
      <c r="D1623">
        <v>54.26</v>
      </c>
      <c r="E1623" t="s">
        <v>18524</v>
      </c>
      <c r="F1623" t="s">
        <v>67</v>
      </c>
      <c r="G1623" t="s">
        <v>108</v>
      </c>
      <c r="H1623" t="s">
        <v>2097</v>
      </c>
      <c r="I1623" t="s">
        <v>70</v>
      </c>
      <c r="J1623" t="s">
        <v>321</v>
      </c>
      <c r="K1623">
        <v>1201.6400000000001</v>
      </c>
      <c r="L1623">
        <v>26.5</v>
      </c>
      <c r="M1623" t="s">
        <v>196</v>
      </c>
      <c r="N1623">
        <v>34639</v>
      </c>
      <c r="P1623">
        <v>18.43</v>
      </c>
      <c r="R1623">
        <v>0.56000000000000005</v>
      </c>
      <c r="S1623">
        <v>1.67</v>
      </c>
      <c r="Z1623" t="s">
        <v>164</v>
      </c>
      <c r="AA1623">
        <v>-3.39</v>
      </c>
      <c r="AB1623" t="s">
        <v>17768</v>
      </c>
      <c r="AD1623" t="s">
        <v>302</v>
      </c>
      <c r="AE1623" t="s">
        <v>4683</v>
      </c>
      <c r="AF1623" t="s">
        <v>2745</v>
      </c>
      <c r="AG1623" t="s">
        <v>2230</v>
      </c>
      <c r="AH1623" t="s">
        <v>4271</v>
      </c>
      <c r="AI1623" t="s">
        <v>164</v>
      </c>
      <c r="AJ1623" t="s">
        <v>6265</v>
      </c>
      <c r="AK1623" t="s">
        <v>18525</v>
      </c>
      <c r="AL1623">
        <v>3.06</v>
      </c>
      <c r="AM1623">
        <v>1.86</v>
      </c>
      <c r="AN1623">
        <v>0.9</v>
      </c>
      <c r="AO1623" t="s">
        <v>2530</v>
      </c>
      <c r="AP1623" t="s">
        <v>6150</v>
      </c>
      <c r="AQ1623" t="s">
        <v>4635</v>
      </c>
      <c r="AR1623" t="s">
        <v>5331</v>
      </c>
      <c r="AS1623" t="s">
        <v>122</v>
      </c>
      <c r="AT1623" t="s">
        <v>2742</v>
      </c>
      <c r="AU1623" t="s">
        <v>637</v>
      </c>
      <c r="AV1623" t="s">
        <v>211</v>
      </c>
      <c r="AW1623" t="s">
        <v>15690</v>
      </c>
      <c r="AX1623" t="s">
        <v>16644</v>
      </c>
      <c r="AY1623" t="s">
        <v>18526</v>
      </c>
      <c r="AZ1623" t="s">
        <v>18527</v>
      </c>
      <c r="BA1623">
        <v>1</v>
      </c>
      <c r="BB1623">
        <v>447.77</v>
      </c>
      <c r="BC1623">
        <v>0.27</v>
      </c>
      <c r="BD1623">
        <v>26.97</v>
      </c>
      <c r="BE1623">
        <v>26.98</v>
      </c>
      <c r="BF1623">
        <v>26.5</v>
      </c>
      <c r="BG1623" t="s">
        <v>18528</v>
      </c>
      <c r="BH1623" t="s">
        <v>18529</v>
      </c>
      <c r="BI1623" t="s">
        <v>18530</v>
      </c>
      <c r="BJ1623" t="s">
        <v>101</v>
      </c>
      <c r="BK1623" t="s">
        <v>949</v>
      </c>
      <c r="BL1623" t="s">
        <v>6474</v>
      </c>
      <c r="BM1623" t="s">
        <v>9576</v>
      </c>
      <c r="BN1623" t="s">
        <v>14623</v>
      </c>
    </row>
    <row r="1624" spans="1:66" x14ac:dyDescent="0.25">
      <c r="A1624" t="str">
        <f>HYPERLINK("https://elite.finviz.com/quote.ashx?t=KEYS&amp;ty=c&amp;p=d&amp;b=1", "KEYS")</f>
        <v>KEYS</v>
      </c>
      <c r="B1624">
        <v>6</v>
      </c>
      <c r="C1624">
        <v>127.03</v>
      </c>
      <c r="D1624">
        <v>54.27</v>
      </c>
      <c r="E1624" t="s">
        <v>18531</v>
      </c>
      <c r="F1624" t="s">
        <v>195</v>
      </c>
      <c r="G1624" t="s">
        <v>108</v>
      </c>
      <c r="H1624" t="s">
        <v>9222</v>
      </c>
      <c r="I1624" t="s">
        <v>70</v>
      </c>
      <c r="J1624" t="s">
        <v>71</v>
      </c>
      <c r="K1624">
        <v>29643.37</v>
      </c>
      <c r="L1624">
        <v>172.49</v>
      </c>
      <c r="M1624" t="s">
        <v>1324</v>
      </c>
      <c r="N1624">
        <v>90121</v>
      </c>
      <c r="O1624">
        <v>54.95</v>
      </c>
      <c r="P1624">
        <v>22</v>
      </c>
      <c r="Q1624">
        <v>4.5</v>
      </c>
      <c r="R1624">
        <v>5.65</v>
      </c>
      <c r="S1624">
        <v>5.23</v>
      </c>
      <c r="Z1624" t="s">
        <v>164</v>
      </c>
      <c r="AA1624">
        <v>3.14</v>
      </c>
      <c r="AB1624" t="s">
        <v>1884</v>
      </c>
      <c r="AC1624" t="s">
        <v>6056</v>
      </c>
      <c r="AD1624" t="s">
        <v>563</v>
      </c>
      <c r="AE1624" t="s">
        <v>1950</v>
      </c>
      <c r="AF1624" t="s">
        <v>182</v>
      </c>
      <c r="AG1624" t="s">
        <v>7154</v>
      </c>
      <c r="AH1624" t="s">
        <v>1395</v>
      </c>
      <c r="AI1624" t="s">
        <v>6937</v>
      </c>
      <c r="AJ1624" t="s">
        <v>7948</v>
      </c>
      <c r="AK1624" t="s">
        <v>18532</v>
      </c>
      <c r="AL1624">
        <v>3.57</v>
      </c>
      <c r="AM1624">
        <v>2.79</v>
      </c>
      <c r="AN1624">
        <v>0.49</v>
      </c>
      <c r="AO1624" t="s">
        <v>11535</v>
      </c>
      <c r="AP1624" t="s">
        <v>15417</v>
      </c>
      <c r="AQ1624" t="s">
        <v>6981</v>
      </c>
      <c r="AR1624" t="s">
        <v>3925</v>
      </c>
      <c r="AS1624" t="s">
        <v>3257</v>
      </c>
      <c r="AT1624" t="s">
        <v>3047</v>
      </c>
      <c r="AU1624" t="s">
        <v>4499</v>
      </c>
      <c r="AV1624" t="s">
        <v>4966</v>
      </c>
      <c r="AW1624" t="s">
        <v>5368</v>
      </c>
      <c r="AX1624" t="s">
        <v>4450</v>
      </c>
      <c r="AY1624" t="s">
        <v>10591</v>
      </c>
      <c r="AZ1624" t="s">
        <v>9189</v>
      </c>
      <c r="BA1624">
        <v>1.79</v>
      </c>
      <c r="BB1624">
        <v>935.15</v>
      </c>
      <c r="BC1624">
        <v>0.34</v>
      </c>
      <c r="BD1624">
        <v>172.33</v>
      </c>
      <c r="BE1624">
        <v>173.7</v>
      </c>
      <c r="BF1624">
        <v>171.88</v>
      </c>
      <c r="BG1624" t="s">
        <v>18533</v>
      </c>
      <c r="BH1624" t="s">
        <v>9443</v>
      </c>
      <c r="BI1624" t="s">
        <v>18534</v>
      </c>
      <c r="BJ1624" t="s">
        <v>101</v>
      </c>
      <c r="BK1624" t="s">
        <v>4678</v>
      </c>
      <c r="BL1624" t="s">
        <v>2399</v>
      </c>
      <c r="BM1624" t="s">
        <v>3644</v>
      </c>
      <c r="BN1624" t="s">
        <v>14623</v>
      </c>
    </row>
    <row r="1625" spans="1:66" x14ac:dyDescent="0.25">
      <c r="A1625" t="str">
        <f>HYPERLINK("https://elite.finviz.com/quote.ashx?t=USPH&amp;ty=c&amp;p=d&amp;b=1", "USPH")</f>
        <v>USPH</v>
      </c>
      <c r="B1625">
        <v>6</v>
      </c>
      <c r="C1625">
        <v>127.03</v>
      </c>
      <c r="D1625">
        <v>54.27</v>
      </c>
      <c r="E1625" t="s">
        <v>18535</v>
      </c>
      <c r="F1625" t="s">
        <v>67</v>
      </c>
      <c r="G1625" t="s">
        <v>428</v>
      </c>
      <c r="H1625" t="s">
        <v>3160</v>
      </c>
      <c r="I1625" t="s">
        <v>70</v>
      </c>
      <c r="J1625" t="s">
        <v>71</v>
      </c>
      <c r="K1625">
        <v>1259.05</v>
      </c>
      <c r="L1625">
        <v>82.81</v>
      </c>
      <c r="M1625" t="s">
        <v>141</v>
      </c>
      <c r="N1625">
        <v>12747</v>
      </c>
      <c r="O1625">
        <v>36.22</v>
      </c>
      <c r="P1625">
        <v>27.08</v>
      </c>
      <c r="Q1625">
        <v>3.25</v>
      </c>
      <c r="R1625">
        <v>1.73</v>
      </c>
      <c r="S1625">
        <v>2.5099999999999998</v>
      </c>
      <c r="T1625" t="s">
        <v>3916</v>
      </c>
      <c r="U1625">
        <v>1.79</v>
      </c>
      <c r="V1625" t="s">
        <v>4186</v>
      </c>
      <c r="W1625" t="s">
        <v>180</v>
      </c>
      <c r="X1625" t="s">
        <v>8286</v>
      </c>
      <c r="Y1625" t="s">
        <v>2093</v>
      </c>
      <c r="Z1625" t="s">
        <v>18536</v>
      </c>
      <c r="AA1625">
        <v>2.29</v>
      </c>
      <c r="AB1625" t="s">
        <v>9998</v>
      </c>
      <c r="AC1625" t="s">
        <v>8190</v>
      </c>
      <c r="AD1625" t="s">
        <v>8691</v>
      </c>
      <c r="AE1625" t="s">
        <v>5239</v>
      </c>
      <c r="AF1625" t="s">
        <v>5838</v>
      </c>
      <c r="AG1625" t="s">
        <v>8276</v>
      </c>
      <c r="AH1625" t="s">
        <v>1843</v>
      </c>
      <c r="AI1625" t="s">
        <v>6737</v>
      </c>
      <c r="AJ1625" t="s">
        <v>3328</v>
      </c>
      <c r="AK1625" t="s">
        <v>17263</v>
      </c>
      <c r="AL1625">
        <v>1.18</v>
      </c>
      <c r="AM1625">
        <v>1.18</v>
      </c>
      <c r="AN1625">
        <v>0.61</v>
      </c>
      <c r="AO1625" t="s">
        <v>12220</v>
      </c>
      <c r="AP1625" t="s">
        <v>3793</v>
      </c>
      <c r="AQ1625" t="s">
        <v>215</v>
      </c>
      <c r="AR1625" t="s">
        <v>170</v>
      </c>
      <c r="AS1625" t="s">
        <v>901</v>
      </c>
      <c r="AT1625" t="s">
        <v>2650</v>
      </c>
      <c r="AU1625" t="s">
        <v>90</v>
      </c>
      <c r="AV1625" t="s">
        <v>4294</v>
      </c>
      <c r="AW1625" t="s">
        <v>94</v>
      </c>
      <c r="AX1625" t="s">
        <v>8922</v>
      </c>
      <c r="AY1625" t="s">
        <v>15097</v>
      </c>
      <c r="AZ1625" t="s">
        <v>474</v>
      </c>
      <c r="BA1625">
        <v>1.29</v>
      </c>
      <c r="BB1625">
        <v>174.13</v>
      </c>
      <c r="BC1625">
        <v>0.26</v>
      </c>
      <c r="BD1625">
        <v>82.52</v>
      </c>
      <c r="BE1625">
        <v>83.86</v>
      </c>
      <c r="BF1625">
        <v>82.31</v>
      </c>
      <c r="BG1625" t="s">
        <v>18537</v>
      </c>
      <c r="BH1625" t="s">
        <v>14315</v>
      </c>
      <c r="BI1625" t="s">
        <v>18538</v>
      </c>
      <c r="BJ1625" t="s">
        <v>101</v>
      </c>
      <c r="BK1625" t="s">
        <v>9228</v>
      </c>
      <c r="BL1625" t="s">
        <v>1777</v>
      </c>
      <c r="BM1625" t="s">
        <v>13366</v>
      </c>
      <c r="BN1625" t="s">
        <v>14623</v>
      </c>
    </row>
    <row r="1626" spans="1:66" x14ac:dyDescent="0.25">
      <c r="A1626" t="str">
        <f>HYPERLINK("https://elite.finviz.com/quote.ashx?t=AVBH&amp;ty=c&amp;p=d&amp;b=1", "AVBH")</f>
        <v>AVBH</v>
      </c>
      <c r="B1626">
        <v>6</v>
      </c>
      <c r="C1626">
        <v>127.03</v>
      </c>
      <c r="D1626">
        <v>54.34</v>
      </c>
      <c r="E1626" t="s">
        <v>18539</v>
      </c>
      <c r="F1626" t="s">
        <v>107</v>
      </c>
      <c r="G1626" t="s">
        <v>550</v>
      </c>
      <c r="H1626" t="s">
        <v>697</v>
      </c>
      <c r="I1626" t="s">
        <v>70</v>
      </c>
      <c r="J1626" t="s">
        <v>321</v>
      </c>
      <c r="K1626">
        <v>277.45</v>
      </c>
      <c r="L1626">
        <v>25.37</v>
      </c>
      <c r="M1626" t="s">
        <v>164</v>
      </c>
      <c r="N1626">
        <v>9554</v>
      </c>
      <c r="O1626">
        <v>8.26</v>
      </c>
      <c r="P1626">
        <v>8.2799999999999994</v>
      </c>
      <c r="Q1626">
        <v>0.95</v>
      </c>
      <c r="R1626">
        <v>1.87</v>
      </c>
      <c r="S1626">
        <v>0.98</v>
      </c>
      <c r="Z1626" t="s">
        <v>164</v>
      </c>
      <c r="AA1626">
        <v>3.07</v>
      </c>
      <c r="AB1626" t="s">
        <v>602</v>
      </c>
      <c r="AC1626" t="s">
        <v>5102</v>
      </c>
      <c r="AD1626" t="s">
        <v>9159</v>
      </c>
      <c r="AE1626" t="s">
        <v>10619</v>
      </c>
      <c r="AF1626" t="s">
        <v>13427</v>
      </c>
      <c r="AG1626" t="s">
        <v>10829</v>
      </c>
      <c r="AH1626" t="s">
        <v>6871</v>
      </c>
      <c r="AJ1626" t="s">
        <v>164</v>
      </c>
      <c r="AK1626" t="s">
        <v>3413</v>
      </c>
      <c r="AL1626">
        <v>0.22</v>
      </c>
      <c r="AN1626">
        <v>0.82</v>
      </c>
      <c r="AP1626" t="s">
        <v>9461</v>
      </c>
      <c r="AQ1626" t="s">
        <v>6633</v>
      </c>
      <c r="AR1626" t="s">
        <v>307</v>
      </c>
      <c r="AS1626" t="s">
        <v>2201</v>
      </c>
      <c r="AT1626" t="s">
        <v>5721</v>
      </c>
      <c r="AU1626" t="s">
        <v>5163</v>
      </c>
      <c r="AV1626" t="s">
        <v>4941</v>
      </c>
      <c r="AW1626" t="s">
        <v>4653</v>
      </c>
      <c r="AX1626" t="s">
        <v>4331</v>
      </c>
      <c r="AY1626" t="s">
        <v>9070</v>
      </c>
      <c r="AZ1626" t="s">
        <v>4400</v>
      </c>
      <c r="BA1626">
        <v>1</v>
      </c>
      <c r="BB1626">
        <v>40.29</v>
      </c>
      <c r="BC1626">
        <v>0.84</v>
      </c>
      <c r="BD1626">
        <v>25.37</v>
      </c>
      <c r="BE1626">
        <v>25.65</v>
      </c>
      <c r="BF1626">
        <v>24.9</v>
      </c>
      <c r="BG1626" t="s">
        <v>18540</v>
      </c>
      <c r="BH1626" t="s">
        <v>2951</v>
      </c>
      <c r="BI1626" t="s">
        <v>18541</v>
      </c>
      <c r="BJ1626" t="s">
        <v>101</v>
      </c>
      <c r="BK1626" t="s">
        <v>7177</v>
      </c>
      <c r="BL1626" t="s">
        <v>416</v>
      </c>
      <c r="BM1626" t="s">
        <v>10454</v>
      </c>
      <c r="BN1626" t="s">
        <v>14623</v>
      </c>
    </row>
    <row r="1627" spans="1:66" x14ac:dyDescent="0.25">
      <c r="A1627" t="str">
        <f>HYPERLINK("https://elite.finviz.com/quote.ashx?t=FCUV&amp;ty=c&amp;p=d&amp;b=1", "FCUV")</f>
        <v>FCUV</v>
      </c>
      <c r="B1627">
        <v>6</v>
      </c>
      <c r="C1627">
        <v>127.03</v>
      </c>
      <c r="D1627">
        <v>54.35</v>
      </c>
      <c r="E1627" t="s">
        <v>18542</v>
      </c>
      <c r="F1627" t="s">
        <v>107</v>
      </c>
      <c r="G1627" t="s">
        <v>108</v>
      </c>
      <c r="H1627" t="s">
        <v>9222</v>
      </c>
      <c r="I1627" t="s">
        <v>70</v>
      </c>
      <c r="J1627" t="s">
        <v>321</v>
      </c>
      <c r="K1627">
        <v>21</v>
      </c>
      <c r="L1627">
        <v>2.85</v>
      </c>
      <c r="M1627" t="s">
        <v>2201</v>
      </c>
      <c r="N1627">
        <v>4509</v>
      </c>
      <c r="R1627">
        <v>48.83</v>
      </c>
      <c r="S1627">
        <v>24.33</v>
      </c>
      <c r="AA1627">
        <v>-0.42</v>
      </c>
      <c r="AB1627" t="s">
        <v>1776</v>
      </c>
      <c r="AC1627" t="s">
        <v>6990</v>
      </c>
      <c r="AE1627" t="s">
        <v>2436</v>
      </c>
      <c r="AF1627" t="s">
        <v>12231</v>
      </c>
      <c r="AG1627" t="s">
        <v>17845</v>
      </c>
      <c r="AH1627" t="s">
        <v>14873</v>
      </c>
      <c r="AJ1627" t="s">
        <v>193</v>
      </c>
      <c r="AK1627" t="s">
        <v>6378</v>
      </c>
      <c r="AL1627">
        <v>1.85</v>
      </c>
      <c r="AM1627">
        <v>1.69</v>
      </c>
      <c r="AN1627">
        <v>0.04</v>
      </c>
      <c r="AO1627" t="s">
        <v>18543</v>
      </c>
      <c r="AP1627" t="s">
        <v>18544</v>
      </c>
      <c r="AQ1627" t="s">
        <v>18545</v>
      </c>
      <c r="AR1627" t="s">
        <v>7010</v>
      </c>
      <c r="AS1627" t="s">
        <v>5841</v>
      </c>
      <c r="AT1627" t="s">
        <v>8460</v>
      </c>
      <c r="AU1627" t="s">
        <v>11292</v>
      </c>
      <c r="AV1627" t="s">
        <v>10285</v>
      </c>
      <c r="AW1627" t="s">
        <v>9694</v>
      </c>
      <c r="AX1627" t="s">
        <v>1095</v>
      </c>
      <c r="AY1627" t="s">
        <v>14543</v>
      </c>
      <c r="AZ1627" t="s">
        <v>1095</v>
      </c>
      <c r="BB1627">
        <v>37.86</v>
      </c>
      <c r="BC1627">
        <v>0.42</v>
      </c>
      <c r="BD1627">
        <v>2.8</v>
      </c>
      <c r="BE1627">
        <v>2.85</v>
      </c>
      <c r="BF1627">
        <v>2.8</v>
      </c>
      <c r="BG1627" t="s">
        <v>18546</v>
      </c>
      <c r="BH1627" t="s">
        <v>17199</v>
      </c>
      <c r="BI1627" t="s">
        <v>18547</v>
      </c>
      <c r="BJ1627" t="s">
        <v>101</v>
      </c>
      <c r="BK1627" t="s">
        <v>17956</v>
      </c>
      <c r="BL1627" t="s">
        <v>6873</v>
      </c>
      <c r="BM1627" t="s">
        <v>6437</v>
      </c>
      <c r="BN1627" t="s">
        <v>14623</v>
      </c>
    </row>
    <row r="1628" spans="1:66" x14ac:dyDescent="0.25">
      <c r="A1628" t="str">
        <f>HYPERLINK("https://elite.finviz.com/quote.ashx?t=CHRD&amp;ty=c&amp;p=d&amp;b=1", "CHRD")</f>
        <v>CHRD</v>
      </c>
      <c r="B1628">
        <v>6</v>
      </c>
      <c r="C1628">
        <v>127.03</v>
      </c>
      <c r="D1628">
        <v>54.38</v>
      </c>
      <c r="E1628" t="s">
        <v>18548</v>
      </c>
      <c r="F1628" t="s">
        <v>107</v>
      </c>
      <c r="G1628" t="s">
        <v>1048</v>
      </c>
      <c r="H1628" t="s">
        <v>1049</v>
      </c>
      <c r="I1628" t="s">
        <v>70</v>
      </c>
      <c r="J1628" t="s">
        <v>321</v>
      </c>
      <c r="K1628">
        <v>6097.21</v>
      </c>
      <c r="L1628">
        <v>106.49</v>
      </c>
      <c r="M1628" t="s">
        <v>4892</v>
      </c>
      <c r="N1628">
        <v>180053</v>
      </c>
      <c r="O1628">
        <v>27.26</v>
      </c>
      <c r="P1628">
        <v>12.59</v>
      </c>
      <c r="R1628">
        <v>1.1499999999999999</v>
      </c>
      <c r="S1628">
        <v>0.76</v>
      </c>
      <c r="T1628" t="s">
        <v>2429</v>
      </c>
      <c r="U1628">
        <v>6.45</v>
      </c>
      <c r="V1628" t="s">
        <v>5037</v>
      </c>
      <c r="W1628" t="s">
        <v>164</v>
      </c>
      <c r="X1628" t="s">
        <v>18549</v>
      </c>
      <c r="Z1628" t="s">
        <v>1565</v>
      </c>
      <c r="AA1628">
        <v>3.91</v>
      </c>
      <c r="AB1628" t="s">
        <v>5166</v>
      </c>
      <c r="AD1628" t="s">
        <v>8182</v>
      </c>
      <c r="AE1628" t="s">
        <v>18550</v>
      </c>
      <c r="AF1628" t="s">
        <v>17001</v>
      </c>
      <c r="AG1628" t="s">
        <v>6166</v>
      </c>
      <c r="AH1628" t="s">
        <v>5567</v>
      </c>
      <c r="AI1628" t="s">
        <v>6436</v>
      </c>
      <c r="AJ1628" t="s">
        <v>5789</v>
      </c>
      <c r="AK1628" t="s">
        <v>6769</v>
      </c>
      <c r="AL1628">
        <v>0.97</v>
      </c>
      <c r="AM1628">
        <v>0.9</v>
      </c>
      <c r="AN1628">
        <v>0.12</v>
      </c>
      <c r="AO1628" t="s">
        <v>1514</v>
      </c>
      <c r="AP1628" t="s">
        <v>369</v>
      </c>
      <c r="AQ1628" t="s">
        <v>2732</v>
      </c>
      <c r="AR1628" t="s">
        <v>2080</v>
      </c>
      <c r="AS1628" t="s">
        <v>205</v>
      </c>
      <c r="AT1628" t="s">
        <v>6990</v>
      </c>
      <c r="AU1628" t="s">
        <v>344</v>
      </c>
      <c r="AV1628" t="s">
        <v>1338</v>
      </c>
      <c r="AW1628" t="s">
        <v>6231</v>
      </c>
      <c r="AX1628" t="s">
        <v>5151</v>
      </c>
      <c r="AY1628" t="s">
        <v>10323</v>
      </c>
      <c r="AZ1628" t="s">
        <v>947</v>
      </c>
      <c r="BA1628">
        <v>1.48</v>
      </c>
      <c r="BB1628">
        <v>793.67</v>
      </c>
      <c r="BC1628">
        <v>0.8</v>
      </c>
      <c r="BD1628">
        <v>103.48</v>
      </c>
      <c r="BE1628">
        <v>106.91</v>
      </c>
      <c r="BF1628">
        <v>103.55</v>
      </c>
      <c r="BG1628" t="s">
        <v>18551</v>
      </c>
      <c r="BH1628" t="s">
        <v>18552</v>
      </c>
      <c r="BI1628" t="s">
        <v>18553</v>
      </c>
      <c r="BJ1628" t="s">
        <v>101</v>
      </c>
      <c r="BK1628" t="s">
        <v>2678</v>
      </c>
      <c r="BL1628" t="s">
        <v>10194</v>
      </c>
      <c r="BM1628" t="s">
        <v>16092</v>
      </c>
      <c r="BN1628" t="s">
        <v>14623</v>
      </c>
    </row>
    <row r="1629" spans="1:66" x14ac:dyDescent="0.25">
      <c r="A1629" t="str">
        <f>HYPERLINK("https://elite.finviz.com/quote.ashx?t=MTNB&amp;ty=c&amp;p=d&amp;b=1", "MTNB")</f>
        <v>MTNB</v>
      </c>
      <c r="B1629">
        <v>6</v>
      </c>
      <c r="C1629">
        <v>127.03</v>
      </c>
      <c r="D1629">
        <v>54.39</v>
      </c>
      <c r="E1629" t="s">
        <v>18554</v>
      </c>
      <c r="F1629" t="s">
        <v>107</v>
      </c>
      <c r="G1629" t="s">
        <v>428</v>
      </c>
      <c r="H1629" t="s">
        <v>429</v>
      </c>
      <c r="I1629" t="s">
        <v>70</v>
      </c>
      <c r="J1629" t="s">
        <v>383</v>
      </c>
      <c r="K1629">
        <v>9.41</v>
      </c>
      <c r="L1629">
        <v>1.85</v>
      </c>
      <c r="M1629" t="s">
        <v>2950</v>
      </c>
      <c r="N1629">
        <v>10971</v>
      </c>
      <c r="S1629">
        <v>1.23</v>
      </c>
      <c r="AA1629">
        <v>-3.86</v>
      </c>
      <c r="AB1629" t="s">
        <v>3433</v>
      </c>
      <c r="AC1629" t="s">
        <v>4052</v>
      </c>
      <c r="AE1629" t="s">
        <v>579</v>
      </c>
      <c r="AI1629" t="s">
        <v>2225</v>
      </c>
      <c r="AJ1629" t="s">
        <v>164</v>
      </c>
      <c r="AK1629" t="s">
        <v>3949</v>
      </c>
      <c r="AL1629">
        <v>4.07</v>
      </c>
      <c r="AM1629">
        <v>4.07</v>
      </c>
      <c r="AN1629">
        <v>0.33</v>
      </c>
      <c r="AR1629" t="s">
        <v>6532</v>
      </c>
      <c r="AS1629" t="s">
        <v>1370</v>
      </c>
      <c r="AT1629" t="s">
        <v>8818</v>
      </c>
      <c r="AU1629" t="s">
        <v>3337</v>
      </c>
      <c r="AV1629" t="s">
        <v>18555</v>
      </c>
      <c r="AW1629" t="s">
        <v>2942</v>
      </c>
      <c r="AX1629" t="s">
        <v>18556</v>
      </c>
      <c r="AY1629" t="s">
        <v>18557</v>
      </c>
      <c r="AZ1629" t="s">
        <v>18558</v>
      </c>
      <c r="BA1629">
        <v>2</v>
      </c>
      <c r="BB1629">
        <v>488.38</v>
      </c>
      <c r="BC1629">
        <v>0.08</v>
      </c>
      <c r="BD1629">
        <v>1.88</v>
      </c>
      <c r="BE1629">
        <v>1.98</v>
      </c>
      <c r="BF1629">
        <v>1.86</v>
      </c>
      <c r="BG1629" t="s">
        <v>18559</v>
      </c>
      <c r="BH1629" t="s">
        <v>18560</v>
      </c>
      <c r="BI1629" t="s">
        <v>18558</v>
      </c>
      <c r="BJ1629" t="s">
        <v>101</v>
      </c>
      <c r="BK1629" t="s">
        <v>18561</v>
      </c>
      <c r="BL1629" t="s">
        <v>18562</v>
      </c>
      <c r="BM1629" t="s">
        <v>18563</v>
      </c>
      <c r="BN1629" t="s">
        <v>14623</v>
      </c>
    </row>
    <row r="1630" spans="1:66" x14ac:dyDescent="0.25">
      <c r="A1630" t="str">
        <f>HYPERLINK("https://elite.finviz.com/quote.ashx?t=MCRB&amp;ty=c&amp;p=d&amp;b=1", "MCRB")</f>
        <v>MCRB</v>
      </c>
      <c r="B1630">
        <v>6</v>
      </c>
      <c r="C1630">
        <v>127.03</v>
      </c>
      <c r="D1630">
        <v>54.4</v>
      </c>
      <c r="E1630" t="s">
        <v>18564</v>
      </c>
      <c r="F1630" t="s">
        <v>107</v>
      </c>
      <c r="G1630" t="s">
        <v>428</v>
      </c>
      <c r="H1630" t="s">
        <v>429</v>
      </c>
      <c r="I1630" t="s">
        <v>70</v>
      </c>
      <c r="J1630" t="s">
        <v>321</v>
      </c>
      <c r="K1630">
        <v>163.82</v>
      </c>
      <c r="L1630">
        <v>18.71</v>
      </c>
      <c r="M1630" t="s">
        <v>2132</v>
      </c>
      <c r="N1630">
        <v>19829</v>
      </c>
      <c r="S1630">
        <v>4.97</v>
      </c>
      <c r="AA1630">
        <v>-7.92</v>
      </c>
      <c r="AB1630" t="s">
        <v>1861</v>
      </c>
      <c r="AC1630" t="s">
        <v>3066</v>
      </c>
      <c r="AE1630" t="s">
        <v>579</v>
      </c>
      <c r="AI1630" t="s">
        <v>2584</v>
      </c>
      <c r="AJ1630" t="s">
        <v>3227</v>
      </c>
      <c r="AK1630" t="s">
        <v>6124</v>
      </c>
      <c r="AL1630">
        <v>1.57</v>
      </c>
      <c r="AM1630">
        <v>1.57</v>
      </c>
      <c r="AN1630">
        <v>2.65</v>
      </c>
      <c r="AR1630" t="s">
        <v>7419</v>
      </c>
      <c r="AS1630" t="s">
        <v>2513</v>
      </c>
      <c r="AT1630" t="s">
        <v>1560</v>
      </c>
      <c r="AU1630" t="s">
        <v>6530</v>
      </c>
      <c r="AV1630" t="s">
        <v>2442</v>
      </c>
      <c r="AW1630" t="s">
        <v>805</v>
      </c>
      <c r="AX1630" t="s">
        <v>13858</v>
      </c>
      <c r="AY1630" t="s">
        <v>805</v>
      </c>
      <c r="AZ1630" t="s">
        <v>4756</v>
      </c>
      <c r="BA1630">
        <v>1.67</v>
      </c>
      <c r="BB1630">
        <v>180.53</v>
      </c>
      <c r="BC1630">
        <v>0.39</v>
      </c>
      <c r="BD1630">
        <v>18.899999999999999</v>
      </c>
      <c r="BE1630">
        <v>19</v>
      </c>
      <c r="BF1630">
        <v>18.399999999999999</v>
      </c>
      <c r="BG1630" t="s">
        <v>18565</v>
      </c>
      <c r="BH1630" t="s">
        <v>17168</v>
      </c>
      <c r="BI1630" t="s">
        <v>4756</v>
      </c>
      <c r="BJ1630" t="s">
        <v>101</v>
      </c>
      <c r="BK1630" t="s">
        <v>18566</v>
      </c>
      <c r="BL1630" t="s">
        <v>10854</v>
      </c>
      <c r="BM1630" t="s">
        <v>17335</v>
      </c>
      <c r="BN1630" t="s">
        <v>14623</v>
      </c>
    </row>
    <row r="1631" spans="1:66" x14ac:dyDescent="0.25">
      <c r="A1631" t="str">
        <f>HYPERLINK("https://elite.finviz.com/quote.ashx?t=ANAB&amp;ty=c&amp;p=d&amp;b=1", "ANAB")</f>
        <v>ANAB</v>
      </c>
      <c r="B1631">
        <v>6</v>
      </c>
      <c r="C1631">
        <v>127.03</v>
      </c>
      <c r="D1631">
        <v>54.42</v>
      </c>
      <c r="E1631" t="s">
        <v>18567</v>
      </c>
      <c r="F1631" t="s">
        <v>67</v>
      </c>
      <c r="G1631" t="s">
        <v>428</v>
      </c>
      <c r="H1631" t="s">
        <v>429</v>
      </c>
      <c r="I1631" t="s">
        <v>70</v>
      </c>
      <c r="J1631" t="s">
        <v>321</v>
      </c>
      <c r="K1631">
        <v>623.21</v>
      </c>
      <c r="L1631">
        <v>22.26</v>
      </c>
      <c r="M1631" t="s">
        <v>1457</v>
      </c>
      <c r="N1631">
        <v>190572</v>
      </c>
      <c r="R1631">
        <v>5.0599999999999996</v>
      </c>
      <c r="AA1631">
        <v>-4.4800000000000004</v>
      </c>
      <c r="AB1631" t="s">
        <v>18568</v>
      </c>
      <c r="AC1631" t="s">
        <v>9489</v>
      </c>
      <c r="AD1631" t="s">
        <v>3602</v>
      </c>
      <c r="AE1631" t="s">
        <v>18569</v>
      </c>
      <c r="AF1631" t="s">
        <v>7883</v>
      </c>
      <c r="AG1631" t="s">
        <v>18570</v>
      </c>
      <c r="AH1631" t="s">
        <v>18571</v>
      </c>
      <c r="AI1631" t="s">
        <v>8916</v>
      </c>
      <c r="AJ1631" t="s">
        <v>5879</v>
      </c>
      <c r="AK1631" t="s">
        <v>13226</v>
      </c>
      <c r="AL1631">
        <v>8.2200000000000006</v>
      </c>
      <c r="AM1631">
        <v>8.2200000000000006</v>
      </c>
      <c r="AO1631" t="s">
        <v>13931</v>
      </c>
      <c r="AP1631" t="s">
        <v>18572</v>
      </c>
      <c r="AQ1631" t="s">
        <v>18573</v>
      </c>
      <c r="AR1631" t="s">
        <v>4133</v>
      </c>
      <c r="AS1631" t="s">
        <v>3372</v>
      </c>
      <c r="AT1631" t="s">
        <v>903</v>
      </c>
      <c r="AU1631" t="s">
        <v>822</v>
      </c>
      <c r="AV1631" t="s">
        <v>9736</v>
      </c>
      <c r="AW1631" t="s">
        <v>5613</v>
      </c>
      <c r="AX1631" t="s">
        <v>7939</v>
      </c>
      <c r="AY1631" t="s">
        <v>6145</v>
      </c>
      <c r="AZ1631" t="s">
        <v>14328</v>
      </c>
      <c r="BA1631">
        <v>1.33</v>
      </c>
      <c r="BB1631">
        <v>511.23</v>
      </c>
      <c r="BC1631">
        <v>1.31</v>
      </c>
      <c r="BD1631">
        <v>22.04</v>
      </c>
      <c r="BE1631">
        <v>22.49</v>
      </c>
      <c r="BF1631">
        <v>20.79</v>
      </c>
      <c r="BG1631" t="s">
        <v>18574</v>
      </c>
      <c r="BH1631" t="s">
        <v>18575</v>
      </c>
      <c r="BI1631" t="s">
        <v>18576</v>
      </c>
      <c r="BJ1631" t="s">
        <v>101</v>
      </c>
      <c r="BK1631" t="s">
        <v>3950</v>
      </c>
      <c r="BL1631" t="s">
        <v>13712</v>
      </c>
      <c r="BM1631" t="s">
        <v>18577</v>
      </c>
      <c r="BN1631" t="s">
        <v>14623</v>
      </c>
    </row>
    <row r="1632" spans="1:66" x14ac:dyDescent="0.25">
      <c r="A1632" t="str">
        <f>HYPERLINK("https://elite.finviz.com/quote.ashx?t=CMRC&amp;ty=c&amp;p=d&amp;b=1", "CMRC")</f>
        <v>CMRC</v>
      </c>
      <c r="B1632">
        <v>6</v>
      </c>
      <c r="C1632">
        <v>127.03</v>
      </c>
      <c r="D1632">
        <v>54.42</v>
      </c>
      <c r="E1632" t="s">
        <v>18578</v>
      </c>
      <c r="F1632" t="s">
        <v>67</v>
      </c>
      <c r="G1632" t="s">
        <v>108</v>
      </c>
      <c r="H1632" t="s">
        <v>136</v>
      </c>
      <c r="I1632" t="s">
        <v>70</v>
      </c>
      <c r="J1632" t="s">
        <v>321</v>
      </c>
      <c r="K1632">
        <v>401.26</v>
      </c>
      <c r="L1632">
        <v>4.97</v>
      </c>
      <c r="M1632" t="s">
        <v>5577</v>
      </c>
      <c r="N1632">
        <v>92798</v>
      </c>
      <c r="P1632">
        <v>16.37</v>
      </c>
      <c r="R1632">
        <v>1.19</v>
      </c>
      <c r="S1632">
        <v>10.31</v>
      </c>
      <c r="AA1632">
        <v>-0.23</v>
      </c>
      <c r="AB1632" t="s">
        <v>7958</v>
      </c>
      <c r="AC1632" t="s">
        <v>7297</v>
      </c>
      <c r="AD1632" t="s">
        <v>584</v>
      </c>
      <c r="AE1632" t="s">
        <v>2419</v>
      </c>
      <c r="AF1632" t="s">
        <v>15574</v>
      </c>
      <c r="AG1632" t="s">
        <v>16827</v>
      </c>
      <c r="AH1632" t="s">
        <v>4204</v>
      </c>
      <c r="AI1632" t="s">
        <v>5539</v>
      </c>
      <c r="AJ1632" t="s">
        <v>10338</v>
      </c>
      <c r="AK1632" t="s">
        <v>18579</v>
      </c>
      <c r="AL1632">
        <v>2.06</v>
      </c>
      <c r="AM1632">
        <v>2.06</v>
      </c>
      <c r="AN1632">
        <v>4.28</v>
      </c>
      <c r="AO1632" t="s">
        <v>2758</v>
      </c>
      <c r="AP1632" t="s">
        <v>13745</v>
      </c>
      <c r="AQ1632" t="s">
        <v>8933</v>
      </c>
      <c r="AR1632" t="s">
        <v>2811</v>
      </c>
      <c r="AS1632" t="s">
        <v>2235</v>
      </c>
      <c r="AT1632" t="s">
        <v>3433</v>
      </c>
      <c r="AU1632" t="s">
        <v>995</v>
      </c>
      <c r="AV1632" t="s">
        <v>5445</v>
      </c>
      <c r="AW1632" t="s">
        <v>5137</v>
      </c>
      <c r="AX1632" t="s">
        <v>5719</v>
      </c>
      <c r="AY1632" t="s">
        <v>4092</v>
      </c>
      <c r="AZ1632" t="s">
        <v>5719</v>
      </c>
      <c r="BA1632">
        <v>2.62</v>
      </c>
      <c r="BB1632">
        <v>848.52</v>
      </c>
      <c r="BC1632">
        <v>0.39</v>
      </c>
      <c r="BD1632">
        <v>4.92</v>
      </c>
      <c r="BE1632">
        <v>5.01</v>
      </c>
      <c r="BF1632">
        <v>4.92</v>
      </c>
      <c r="BG1632" t="s">
        <v>18580</v>
      </c>
      <c r="BH1632" t="s">
        <v>2280</v>
      </c>
      <c r="BI1632" t="s">
        <v>5719</v>
      </c>
      <c r="BJ1632" t="s">
        <v>101</v>
      </c>
      <c r="BK1632" t="s">
        <v>2213</v>
      </c>
      <c r="BL1632" t="s">
        <v>17228</v>
      </c>
      <c r="BM1632" t="s">
        <v>18581</v>
      </c>
      <c r="BN1632" t="s">
        <v>14623</v>
      </c>
    </row>
    <row r="1633" spans="1:66" x14ac:dyDescent="0.25">
      <c r="A1633" t="str">
        <f>HYPERLINK("https://elite.finviz.com/quote.ashx?t=ARQ&amp;ty=c&amp;p=d&amp;b=1", "ARQ")</f>
        <v>ARQ</v>
      </c>
      <c r="B1633">
        <v>6</v>
      </c>
      <c r="C1633">
        <v>127.03</v>
      </c>
      <c r="D1633">
        <v>54.48</v>
      </c>
      <c r="E1633" t="s">
        <v>18582</v>
      </c>
      <c r="F1633" t="s">
        <v>67</v>
      </c>
      <c r="G1633" t="s">
        <v>260</v>
      </c>
      <c r="H1633" t="s">
        <v>4347</v>
      </c>
      <c r="I1633" t="s">
        <v>70</v>
      </c>
      <c r="J1633" t="s">
        <v>321</v>
      </c>
      <c r="K1633">
        <v>311.44</v>
      </c>
      <c r="L1633">
        <v>7.3</v>
      </c>
      <c r="M1633" t="s">
        <v>7089</v>
      </c>
      <c r="N1633">
        <v>37607</v>
      </c>
      <c r="P1633">
        <v>28.24</v>
      </c>
      <c r="R1633">
        <v>2.65</v>
      </c>
      <c r="S1633">
        <v>1.43</v>
      </c>
      <c r="AA1633">
        <v>-0.04</v>
      </c>
      <c r="AE1633" t="s">
        <v>6531</v>
      </c>
      <c r="AF1633" t="s">
        <v>3173</v>
      </c>
      <c r="AG1633" t="s">
        <v>2237</v>
      </c>
      <c r="AH1633" t="s">
        <v>11867</v>
      </c>
      <c r="AI1633" t="s">
        <v>16395</v>
      </c>
      <c r="AJ1633" t="s">
        <v>5420</v>
      </c>
      <c r="AK1633" t="s">
        <v>16601</v>
      </c>
      <c r="AL1633">
        <v>1.1000000000000001</v>
      </c>
      <c r="AM1633">
        <v>0.65</v>
      </c>
      <c r="AN1633">
        <v>0.18</v>
      </c>
      <c r="AO1633" t="s">
        <v>12978</v>
      </c>
      <c r="AP1633" t="s">
        <v>5610</v>
      </c>
      <c r="AQ1633" t="s">
        <v>7598</v>
      </c>
      <c r="AR1633" t="s">
        <v>5026</v>
      </c>
      <c r="AS1633" t="s">
        <v>3874</v>
      </c>
      <c r="AT1633" t="s">
        <v>2610</v>
      </c>
      <c r="AU1633" t="s">
        <v>1090</v>
      </c>
      <c r="AV1633" t="s">
        <v>7633</v>
      </c>
      <c r="AW1633" t="s">
        <v>1164</v>
      </c>
      <c r="AX1633" t="s">
        <v>14806</v>
      </c>
      <c r="AY1633" t="s">
        <v>17460</v>
      </c>
      <c r="AZ1633" t="s">
        <v>18583</v>
      </c>
      <c r="BA1633">
        <v>1</v>
      </c>
      <c r="BB1633">
        <v>285.01</v>
      </c>
      <c r="BC1633">
        <v>0.46</v>
      </c>
      <c r="BD1633">
        <v>7.4</v>
      </c>
      <c r="BE1633">
        <v>7.4</v>
      </c>
      <c r="BF1633">
        <v>7.21</v>
      </c>
      <c r="BG1633" t="s">
        <v>18584</v>
      </c>
      <c r="BH1633" t="s">
        <v>18585</v>
      </c>
      <c r="BI1633" t="s">
        <v>18586</v>
      </c>
      <c r="BJ1633" t="s">
        <v>101</v>
      </c>
      <c r="BK1633" t="s">
        <v>7018</v>
      </c>
      <c r="BL1633" t="s">
        <v>17046</v>
      </c>
      <c r="BM1633" t="s">
        <v>13667</v>
      </c>
      <c r="BN1633" t="s">
        <v>14623</v>
      </c>
    </row>
    <row r="1634" spans="1:66" x14ac:dyDescent="0.25">
      <c r="A1634" t="str">
        <f>HYPERLINK("https://elite.finviz.com/quote.ashx?t=DXPE&amp;ty=c&amp;p=d&amp;b=1", "DXPE")</f>
        <v>DXPE</v>
      </c>
      <c r="B1634">
        <v>6</v>
      </c>
      <c r="C1634">
        <v>127.03</v>
      </c>
      <c r="D1634">
        <v>54.48</v>
      </c>
      <c r="E1634" t="s">
        <v>18587</v>
      </c>
      <c r="F1634" t="s">
        <v>67</v>
      </c>
      <c r="G1634" t="s">
        <v>260</v>
      </c>
      <c r="H1634" t="s">
        <v>8107</v>
      </c>
      <c r="I1634" t="s">
        <v>70</v>
      </c>
      <c r="J1634" t="s">
        <v>321</v>
      </c>
      <c r="K1634">
        <v>1882.27</v>
      </c>
      <c r="L1634">
        <v>119.93</v>
      </c>
      <c r="M1634" t="s">
        <v>7709</v>
      </c>
      <c r="N1634">
        <v>55480</v>
      </c>
      <c r="O1634">
        <v>22.91</v>
      </c>
      <c r="P1634">
        <v>18.95</v>
      </c>
      <c r="Q1634">
        <v>1.46</v>
      </c>
      <c r="R1634">
        <v>0.98</v>
      </c>
      <c r="S1634">
        <v>4.0199999999999996</v>
      </c>
      <c r="Z1634" t="s">
        <v>164</v>
      </c>
      <c r="AA1634">
        <v>5.24</v>
      </c>
      <c r="AB1634" t="s">
        <v>18588</v>
      </c>
      <c r="AC1634" t="s">
        <v>325</v>
      </c>
      <c r="AD1634" t="s">
        <v>5749</v>
      </c>
      <c r="AE1634" t="s">
        <v>10736</v>
      </c>
      <c r="AF1634" t="s">
        <v>6462</v>
      </c>
      <c r="AG1634" t="s">
        <v>2884</v>
      </c>
      <c r="AH1634" t="s">
        <v>5387</v>
      </c>
      <c r="AI1634" t="s">
        <v>5425</v>
      </c>
      <c r="AJ1634" t="s">
        <v>4529</v>
      </c>
      <c r="AK1634" t="s">
        <v>15268</v>
      </c>
      <c r="AL1634">
        <v>2.79</v>
      </c>
      <c r="AM1634">
        <v>2.33</v>
      </c>
      <c r="AN1634">
        <v>1.47</v>
      </c>
      <c r="AO1634" t="s">
        <v>6229</v>
      </c>
      <c r="AP1634" t="s">
        <v>848</v>
      </c>
      <c r="AQ1634" t="s">
        <v>1091</v>
      </c>
      <c r="AR1634" t="s">
        <v>2234</v>
      </c>
      <c r="AS1634" t="s">
        <v>4142</v>
      </c>
      <c r="AT1634" t="s">
        <v>227</v>
      </c>
      <c r="AU1634" t="s">
        <v>2822</v>
      </c>
      <c r="AV1634" t="s">
        <v>13040</v>
      </c>
      <c r="AW1634" t="s">
        <v>5703</v>
      </c>
      <c r="AX1634" t="s">
        <v>3899</v>
      </c>
      <c r="AY1634" t="s">
        <v>5703</v>
      </c>
      <c r="AZ1634" t="s">
        <v>18589</v>
      </c>
      <c r="BA1634">
        <v>1</v>
      </c>
      <c r="BB1634">
        <v>195.79</v>
      </c>
      <c r="BC1634">
        <v>1</v>
      </c>
      <c r="BD1634">
        <v>119.96</v>
      </c>
      <c r="BE1634">
        <v>121.03</v>
      </c>
      <c r="BF1634">
        <v>119.88</v>
      </c>
      <c r="BG1634" t="s">
        <v>18590</v>
      </c>
      <c r="BH1634" t="s">
        <v>5703</v>
      </c>
      <c r="BI1634" t="s">
        <v>18591</v>
      </c>
      <c r="BJ1634" t="s">
        <v>101</v>
      </c>
      <c r="BK1634" t="s">
        <v>8430</v>
      </c>
      <c r="BL1634" t="s">
        <v>10700</v>
      </c>
      <c r="BM1634" t="s">
        <v>18592</v>
      </c>
      <c r="BN1634" t="s">
        <v>14623</v>
      </c>
    </row>
    <row r="1635" spans="1:66" x14ac:dyDescent="0.25">
      <c r="A1635" t="str">
        <f>HYPERLINK("https://elite.finviz.com/quote.ashx?t=GRWG&amp;ty=c&amp;p=d&amp;b=1", "GRWG")</f>
        <v>GRWG</v>
      </c>
      <c r="B1635">
        <v>6</v>
      </c>
      <c r="C1635">
        <v>127.03</v>
      </c>
      <c r="D1635">
        <v>54.49</v>
      </c>
      <c r="E1635" t="s">
        <v>18593</v>
      </c>
      <c r="F1635" t="s">
        <v>107</v>
      </c>
      <c r="G1635" t="s">
        <v>813</v>
      </c>
      <c r="H1635" t="s">
        <v>2262</v>
      </c>
      <c r="I1635" t="s">
        <v>70</v>
      </c>
      <c r="J1635" t="s">
        <v>321</v>
      </c>
      <c r="K1635">
        <v>100.15</v>
      </c>
      <c r="L1635">
        <v>1.68</v>
      </c>
      <c r="M1635" t="s">
        <v>530</v>
      </c>
      <c r="N1635">
        <v>80409</v>
      </c>
      <c r="R1635">
        <v>0.61</v>
      </c>
      <c r="S1635">
        <v>0.94</v>
      </c>
      <c r="AA1635">
        <v>-0.83</v>
      </c>
      <c r="AE1635" t="s">
        <v>5629</v>
      </c>
      <c r="AF1635" t="s">
        <v>18243</v>
      </c>
      <c r="AG1635" t="s">
        <v>7211</v>
      </c>
      <c r="AH1635" t="s">
        <v>6432</v>
      </c>
      <c r="AI1635" t="s">
        <v>18594</v>
      </c>
      <c r="AJ1635" t="s">
        <v>2789</v>
      </c>
      <c r="AK1635" t="s">
        <v>15115</v>
      </c>
      <c r="AL1635">
        <v>4</v>
      </c>
      <c r="AM1635">
        <v>2.4700000000000002</v>
      </c>
      <c r="AN1635">
        <v>0.31</v>
      </c>
      <c r="AO1635" t="s">
        <v>2905</v>
      </c>
      <c r="AP1635" t="s">
        <v>2552</v>
      </c>
      <c r="AQ1635" t="s">
        <v>18595</v>
      </c>
      <c r="AR1635" t="s">
        <v>5726</v>
      </c>
      <c r="AS1635" t="s">
        <v>2967</v>
      </c>
      <c r="AT1635" t="s">
        <v>7088</v>
      </c>
      <c r="AU1635" t="s">
        <v>3199</v>
      </c>
      <c r="AV1635" t="s">
        <v>6839</v>
      </c>
      <c r="AW1635" t="s">
        <v>10726</v>
      </c>
      <c r="AX1635" t="s">
        <v>9660</v>
      </c>
      <c r="AY1635" t="s">
        <v>6254</v>
      </c>
      <c r="AZ1635" t="s">
        <v>18596</v>
      </c>
      <c r="BA1635">
        <v>2.33</v>
      </c>
      <c r="BB1635">
        <v>766.87</v>
      </c>
      <c r="BC1635">
        <v>0.37</v>
      </c>
      <c r="BD1635">
        <v>1.69</v>
      </c>
      <c r="BE1635">
        <v>1.72</v>
      </c>
      <c r="BF1635">
        <v>1.67</v>
      </c>
      <c r="BG1635" t="s">
        <v>18597</v>
      </c>
      <c r="BH1635" t="s">
        <v>18598</v>
      </c>
      <c r="BI1635" t="s">
        <v>18596</v>
      </c>
      <c r="BJ1635" t="s">
        <v>101</v>
      </c>
      <c r="BK1635" t="s">
        <v>15615</v>
      </c>
      <c r="BL1635" t="s">
        <v>11734</v>
      </c>
      <c r="BM1635" t="s">
        <v>9825</v>
      </c>
      <c r="BN1635" t="s">
        <v>14623</v>
      </c>
    </row>
    <row r="1636" spans="1:66" x14ac:dyDescent="0.25">
      <c r="A1636" t="str">
        <f>HYPERLINK("https://elite.finviz.com/quote.ashx?t=BCAB&amp;ty=c&amp;p=d&amp;b=1", "BCAB")</f>
        <v>BCAB</v>
      </c>
      <c r="B1636">
        <v>6</v>
      </c>
      <c r="C1636">
        <v>127.03</v>
      </c>
      <c r="D1636">
        <v>54.49</v>
      </c>
      <c r="E1636" t="s">
        <v>18599</v>
      </c>
      <c r="F1636" t="s">
        <v>107</v>
      </c>
      <c r="G1636" t="s">
        <v>428</v>
      </c>
      <c r="H1636" t="s">
        <v>429</v>
      </c>
      <c r="I1636" t="s">
        <v>70</v>
      </c>
      <c r="J1636" t="s">
        <v>321</v>
      </c>
      <c r="K1636">
        <v>36.1</v>
      </c>
      <c r="L1636">
        <v>0.61</v>
      </c>
      <c r="M1636" t="s">
        <v>12781</v>
      </c>
      <c r="N1636">
        <v>89564</v>
      </c>
      <c r="R1636">
        <v>3.28</v>
      </c>
      <c r="AA1636">
        <v>-1.1000000000000001</v>
      </c>
      <c r="AB1636" t="s">
        <v>12410</v>
      </c>
      <c r="AC1636" t="s">
        <v>10855</v>
      </c>
      <c r="AD1636" t="s">
        <v>8843</v>
      </c>
      <c r="AF1636" t="s">
        <v>18600</v>
      </c>
      <c r="AG1636" t="s">
        <v>802</v>
      </c>
      <c r="AI1636" t="s">
        <v>8795</v>
      </c>
      <c r="AJ1636" t="s">
        <v>164</v>
      </c>
      <c r="AK1636" t="s">
        <v>849</v>
      </c>
      <c r="AL1636">
        <v>1.24</v>
      </c>
      <c r="AM1636">
        <v>1.24</v>
      </c>
      <c r="AO1636" t="s">
        <v>17961</v>
      </c>
      <c r="AP1636" t="s">
        <v>18601</v>
      </c>
      <c r="AQ1636" t="s">
        <v>18602</v>
      </c>
      <c r="AR1636" t="s">
        <v>10793</v>
      </c>
      <c r="AS1636" t="s">
        <v>9545</v>
      </c>
      <c r="AT1636" t="s">
        <v>2768</v>
      </c>
      <c r="AU1636" t="s">
        <v>18603</v>
      </c>
      <c r="AV1636" t="s">
        <v>9317</v>
      </c>
      <c r="AW1636" t="s">
        <v>18604</v>
      </c>
      <c r="AX1636" t="s">
        <v>18027</v>
      </c>
      <c r="AY1636" t="s">
        <v>18605</v>
      </c>
      <c r="AZ1636" t="s">
        <v>18606</v>
      </c>
      <c r="BA1636">
        <v>2.33</v>
      </c>
      <c r="BB1636">
        <v>784.21</v>
      </c>
      <c r="BC1636">
        <v>0.4</v>
      </c>
      <c r="BD1636">
        <v>0.63</v>
      </c>
      <c r="BE1636">
        <v>0.63</v>
      </c>
      <c r="BF1636">
        <v>0.61</v>
      </c>
      <c r="BG1636" t="s">
        <v>18607</v>
      </c>
      <c r="BH1636" t="s">
        <v>18608</v>
      </c>
      <c r="BI1636" t="s">
        <v>18606</v>
      </c>
      <c r="BJ1636" t="s">
        <v>101</v>
      </c>
      <c r="BK1636" t="s">
        <v>673</v>
      </c>
      <c r="BL1636" t="s">
        <v>14822</v>
      </c>
      <c r="BM1636" t="s">
        <v>18609</v>
      </c>
      <c r="BN1636" t="s">
        <v>14623</v>
      </c>
    </row>
    <row r="1637" spans="1:66" x14ac:dyDescent="0.25">
      <c r="A1637" t="str">
        <f>HYPERLINK("https://elite.finviz.com/quote.ashx?t=CCEL&amp;ty=c&amp;p=d&amp;b=1", "CCEL")</f>
        <v>CCEL</v>
      </c>
      <c r="B1637">
        <v>6</v>
      </c>
      <c r="C1637">
        <v>127.03</v>
      </c>
      <c r="D1637">
        <v>54.5</v>
      </c>
      <c r="E1637" t="s">
        <v>18610</v>
      </c>
      <c r="F1637" t="s">
        <v>107</v>
      </c>
      <c r="G1637" t="s">
        <v>428</v>
      </c>
      <c r="H1637" t="s">
        <v>3160</v>
      </c>
      <c r="I1637" t="s">
        <v>70</v>
      </c>
      <c r="J1637" t="s">
        <v>383</v>
      </c>
      <c r="K1637">
        <v>38.770000000000003</v>
      </c>
      <c r="L1637">
        <v>4.8099999999999996</v>
      </c>
      <c r="M1637" t="s">
        <v>174</v>
      </c>
      <c r="N1637">
        <v>890</v>
      </c>
      <c r="R1637">
        <v>1.21</v>
      </c>
      <c r="T1637" t="s">
        <v>9614</v>
      </c>
      <c r="U1637">
        <v>0.65</v>
      </c>
      <c r="V1637" t="s">
        <v>18611</v>
      </c>
      <c r="Z1637" t="s">
        <v>18612</v>
      </c>
      <c r="AA1637">
        <v>-0.02</v>
      </c>
      <c r="AB1637" t="s">
        <v>15609</v>
      </c>
      <c r="AC1637" t="s">
        <v>10312</v>
      </c>
      <c r="AE1637" t="s">
        <v>1837</v>
      </c>
      <c r="AF1637" t="s">
        <v>4394</v>
      </c>
      <c r="AG1637" t="s">
        <v>211</v>
      </c>
      <c r="AH1637" t="s">
        <v>7089</v>
      </c>
      <c r="AI1637" t="s">
        <v>13093</v>
      </c>
      <c r="AJ1637" t="s">
        <v>1902</v>
      </c>
      <c r="AK1637" t="s">
        <v>7970</v>
      </c>
      <c r="AL1637">
        <v>0.6</v>
      </c>
      <c r="AM1637">
        <v>0.56999999999999995</v>
      </c>
      <c r="AO1637" t="s">
        <v>941</v>
      </c>
      <c r="AP1637" t="s">
        <v>8594</v>
      </c>
      <c r="AQ1637" t="s">
        <v>1938</v>
      </c>
      <c r="AR1637" t="s">
        <v>4189</v>
      </c>
      <c r="AS1637" t="s">
        <v>6460</v>
      </c>
      <c r="AT1637" t="s">
        <v>1050</v>
      </c>
      <c r="AU1637" t="s">
        <v>7322</v>
      </c>
      <c r="AV1637" t="s">
        <v>18613</v>
      </c>
      <c r="AW1637" t="s">
        <v>18614</v>
      </c>
      <c r="AX1637" t="s">
        <v>2733</v>
      </c>
      <c r="AY1637" t="s">
        <v>18615</v>
      </c>
      <c r="AZ1637" t="s">
        <v>2733</v>
      </c>
      <c r="BA1637">
        <v>1</v>
      </c>
      <c r="BB1637">
        <v>19.03</v>
      </c>
      <c r="BC1637">
        <v>0.17</v>
      </c>
      <c r="BD1637">
        <v>4.8499999999999996</v>
      </c>
      <c r="BE1637">
        <v>4.8099999999999996</v>
      </c>
      <c r="BF1637">
        <v>4.8099999999999996</v>
      </c>
      <c r="BG1637" t="s">
        <v>18616</v>
      </c>
      <c r="BH1637" t="s">
        <v>5418</v>
      </c>
      <c r="BI1637" t="s">
        <v>18617</v>
      </c>
      <c r="BJ1637" t="s">
        <v>101</v>
      </c>
      <c r="BK1637" t="s">
        <v>184</v>
      </c>
      <c r="BL1637" t="s">
        <v>18193</v>
      </c>
      <c r="BM1637" t="s">
        <v>12545</v>
      </c>
      <c r="BN1637" t="s">
        <v>14623</v>
      </c>
    </row>
    <row r="1638" spans="1:66" x14ac:dyDescent="0.25">
      <c r="A1638" t="str">
        <f>HYPERLINK("https://elite.finviz.com/quote.ashx?t=TLYS&amp;ty=c&amp;p=d&amp;b=1", "TLYS")</f>
        <v>TLYS</v>
      </c>
      <c r="B1638">
        <v>6</v>
      </c>
      <c r="C1638">
        <v>127.03</v>
      </c>
      <c r="D1638">
        <v>54.51</v>
      </c>
      <c r="E1638" t="s">
        <v>18618</v>
      </c>
      <c r="F1638" t="s">
        <v>107</v>
      </c>
      <c r="G1638" t="s">
        <v>813</v>
      </c>
      <c r="H1638" t="s">
        <v>4488</v>
      </c>
      <c r="I1638" t="s">
        <v>70</v>
      </c>
      <c r="J1638" t="s">
        <v>71</v>
      </c>
      <c r="K1638">
        <v>60.34</v>
      </c>
      <c r="L1638">
        <v>1.98</v>
      </c>
      <c r="M1638" t="s">
        <v>5777</v>
      </c>
      <c r="N1638">
        <v>7852</v>
      </c>
      <c r="R1638">
        <v>0.11</v>
      </c>
      <c r="S1638">
        <v>0.73</v>
      </c>
      <c r="V1638" t="s">
        <v>18619</v>
      </c>
      <c r="AA1638">
        <v>-1.52</v>
      </c>
      <c r="AE1638" t="s">
        <v>12057</v>
      </c>
      <c r="AF1638" t="s">
        <v>16396</v>
      </c>
      <c r="AG1638" t="s">
        <v>7039</v>
      </c>
      <c r="AH1638" t="s">
        <v>1153</v>
      </c>
      <c r="AI1638" t="s">
        <v>18620</v>
      </c>
      <c r="AJ1638" t="s">
        <v>341</v>
      </c>
      <c r="AK1638" t="s">
        <v>9974</v>
      </c>
      <c r="AL1638">
        <v>1.1299999999999999</v>
      </c>
      <c r="AM1638">
        <v>0.52</v>
      </c>
      <c r="AN1638">
        <v>2.17</v>
      </c>
      <c r="AO1638" t="s">
        <v>5346</v>
      </c>
      <c r="AP1638" t="s">
        <v>6305</v>
      </c>
      <c r="AQ1638" t="s">
        <v>3869</v>
      </c>
      <c r="AR1638" t="s">
        <v>9159</v>
      </c>
      <c r="AS1638" t="s">
        <v>9789</v>
      </c>
      <c r="AT1638" t="s">
        <v>6842</v>
      </c>
      <c r="AU1638" t="s">
        <v>330</v>
      </c>
      <c r="AV1638" t="s">
        <v>11768</v>
      </c>
      <c r="AW1638" t="s">
        <v>17709</v>
      </c>
      <c r="AX1638" t="s">
        <v>18621</v>
      </c>
      <c r="AY1638" t="s">
        <v>18622</v>
      </c>
      <c r="AZ1638" t="s">
        <v>18623</v>
      </c>
      <c r="BA1638">
        <v>3</v>
      </c>
      <c r="BB1638">
        <v>323.91000000000003</v>
      </c>
      <c r="BC1638">
        <v>0.09</v>
      </c>
      <c r="BD1638">
        <v>1.99</v>
      </c>
      <c r="BE1638">
        <v>2.02</v>
      </c>
      <c r="BF1638">
        <v>1.97</v>
      </c>
      <c r="BG1638" t="s">
        <v>18624</v>
      </c>
      <c r="BH1638" t="s">
        <v>18625</v>
      </c>
      <c r="BI1638" t="s">
        <v>18623</v>
      </c>
      <c r="BJ1638" t="s">
        <v>101</v>
      </c>
      <c r="BK1638" t="s">
        <v>13635</v>
      </c>
      <c r="BL1638" t="s">
        <v>6337</v>
      </c>
      <c r="BM1638" t="s">
        <v>18626</v>
      </c>
      <c r="BN1638" t="s">
        <v>14623</v>
      </c>
    </row>
    <row r="1639" spans="1:66" x14ac:dyDescent="0.25">
      <c r="A1639" t="str">
        <f>HYPERLINK("https://elite.finviz.com/quote.ashx?t=EME&amp;ty=c&amp;p=d&amp;b=1", "EME")</f>
        <v>EME</v>
      </c>
      <c r="B1639">
        <v>6</v>
      </c>
      <c r="C1639">
        <v>127.03</v>
      </c>
      <c r="D1639">
        <v>54.51</v>
      </c>
      <c r="E1639" t="s">
        <v>18627</v>
      </c>
      <c r="F1639" t="s">
        <v>195</v>
      </c>
      <c r="G1639" t="s">
        <v>260</v>
      </c>
      <c r="H1639" t="s">
        <v>2944</v>
      </c>
      <c r="I1639" t="s">
        <v>70</v>
      </c>
      <c r="J1639" t="s">
        <v>71</v>
      </c>
      <c r="K1639">
        <v>28438.06</v>
      </c>
      <c r="L1639">
        <v>635.28</v>
      </c>
      <c r="M1639" t="s">
        <v>2175</v>
      </c>
      <c r="N1639">
        <v>62177</v>
      </c>
      <c r="O1639">
        <v>26.36</v>
      </c>
      <c r="P1639">
        <v>23.21</v>
      </c>
      <c r="Q1639">
        <v>2.06</v>
      </c>
      <c r="R1639">
        <v>1.82</v>
      </c>
      <c r="S1639">
        <v>9.32</v>
      </c>
      <c r="T1639" t="s">
        <v>6156</v>
      </c>
      <c r="U1639">
        <v>1</v>
      </c>
      <c r="V1639" t="s">
        <v>7944</v>
      </c>
      <c r="W1639" t="s">
        <v>9534</v>
      </c>
      <c r="X1639" t="s">
        <v>5230</v>
      </c>
      <c r="Y1639" t="s">
        <v>8957</v>
      </c>
      <c r="Z1639" t="s">
        <v>3443</v>
      </c>
      <c r="AA1639">
        <v>24.1</v>
      </c>
      <c r="AB1639" t="s">
        <v>18628</v>
      </c>
      <c r="AC1639" t="s">
        <v>13269</v>
      </c>
      <c r="AD1639" t="s">
        <v>293</v>
      </c>
      <c r="AE1639" t="s">
        <v>7033</v>
      </c>
      <c r="AF1639" t="s">
        <v>5587</v>
      </c>
      <c r="AG1639" t="s">
        <v>2403</v>
      </c>
      <c r="AH1639" t="s">
        <v>6462</v>
      </c>
      <c r="AI1639" t="s">
        <v>9149</v>
      </c>
      <c r="AJ1639" t="s">
        <v>3286</v>
      </c>
      <c r="AK1639" t="s">
        <v>18490</v>
      </c>
      <c r="AL1639">
        <v>1.18</v>
      </c>
      <c r="AM1639">
        <v>1.1499999999999999</v>
      </c>
      <c r="AN1639">
        <v>0.22</v>
      </c>
      <c r="AO1639" t="s">
        <v>17111</v>
      </c>
      <c r="AP1639" t="s">
        <v>1533</v>
      </c>
      <c r="AQ1639" t="s">
        <v>2448</v>
      </c>
      <c r="AR1639" t="s">
        <v>122</v>
      </c>
      <c r="AS1639" t="s">
        <v>4687</v>
      </c>
      <c r="AT1639" t="s">
        <v>458</v>
      </c>
      <c r="AU1639" t="s">
        <v>2643</v>
      </c>
      <c r="AV1639" t="s">
        <v>7514</v>
      </c>
      <c r="AW1639" t="s">
        <v>2329</v>
      </c>
      <c r="AX1639" t="s">
        <v>9281</v>
      </c>
      <c r="AY1639" t="s">
        <v>2329</v>
      </c>
      <c r="AZ1639" t="s">
        <v>6488</v>
      </c>
      <c r="BA1639">
        <v>2.09</v>
      </c>
      <c r="BB1639">
        <v>562.03</v>
      </c>
      <c r="BC1639">
        <v>0.39</v>
      </c>
      <c r="BD1639">
        <v>625</v>
      </c>
      <c r="BE1639">
        <v>637</v>
      </c>
      <c r="BF1639">
        <v>623.11</v>
      </c>
      <c r="BG1639" t="s">
        <v>18629</v>
      </c>
      <c r="BH1639" t="s">
        <v>2329</v>
      </c>
      <c r="BI1639" t="s">
        <v>18630</v>
      </c>
      <c r="BJ1639" t="s">
        <v>101</v>
      </c>
      <c r="BK1639" t="s">
        <v>3667</v>
      </c>
      <c r="BL1639" t="s">
        <v>15348</v>
      </c>
      <c r="BM1639" t="s">
        <v>18631</v>
      </c>
      <c r="BN1639" t="s">
        <v>14623</v>
      </c>
    </row>
    <row r="1640" spans="1:66" x14ac:dyDescent="0.25">
      <c r="A1640" t="str">
        <f>HYPERLINK("https://elite.finviz.com/quote.ashx?t=CTOS&amp;ty=c&amp;p=d&amp;b=1", "CTOS")</f>
        <v>CTOS</v>
      </c>
      <c r="B1640">
        <v>6</v>
      </c>
      <c r="C1640">
        <v>127.03</v>
      </c>
      <c r="D1640">
        <v>54.53</v>
      </c>
      <c r="E1640" t="s">
        <v>18632</v>
      </c>
      <c r="F1640" t="s">
        <v>67</v>
      </c>
      <c r="G1640" t="s">
        <v>260</v>
      </c>
      <c r="H1640" t="s">
        <v>7905</v>
      </c>
      <c r="I1640" t="s">
        <v>70</v>
      </c>
      <c r="J1640" t="s">
        <v>71</v>
      </c>
      <c r="K1640">
        <v>1369.33</v>
      </c>
      <c r="L1640">
        <v>6.04</v>
      </c>
      <c r="M1640" t="s">
        <v>2650</v>
      </c>
      <c r="N1640">
        <v>97085</v>
      </c>
      <c r="P1640">
        <v>109.89</v>
      </c>
      <c r="R1640">
        <v>0.72</v>
      </c>
      <c r="S1640">
        <v>1.73</v>
      </c>
      <c r="AA1640">
        <v>-0.16</v>
      </c>
      <c r="AB1640" t="s">
        <v>11504</v>
      </c>
      <c r="AC1640" t="s">
        <v>3778</v>
      </c>
      <c r="AE1640" t="s">
        <v>8925</v>
      </c>
      <c r="AF1640" t="s">
        <v>10611</v>
      </c>
      <c r="AG1640" t="s">
        <v>4006</v>
      </c>
      <c r="AH1640" t="s">
        <v>5894</v>
      </c>
      <c r="AI1640" t="s">
        <v>18633</v>
      </c>
      <c r="AJ1640" t="s">
        <v>164</v>
      </c>
      <c r="AK1640" t="s">
        <v>8888</v>
      </c>
      <c r="AL1640">
        <v>1.26</v>
      </c>
      <c r="AM1640">
        <v>0.23</v>
      </c>
      <c r="AN1640">
        <v>3.18</v>
      </c>
      <c r="AO1640" t="s">
        <v>7211</v>
      </c>
      <c r="AP1640" t="s">
        <v>10237</v>
      </c>
      <c r="AQ1640" t="s">
        <v>7808</v>
      </c>
      <c r="AR1640" t="s">
        <v>4530</v>
      </c>
      <c r="AS1640" t="s">
        <v>6475</v>
      </c>
      <c r="AT1640" t="s">
        <v>714</v>
      </c>
      <c r="AU1640" t="s">
        <v>4800</v>
      </c>
      <c r="AV1640" t="s">
        <v>1990</v>
      </c>
      <c r="AW1640" t="s">
        <v>16742</v>
      </c>
      <c r="AX1640" t="s">
        <v>5699</v>
      </c>
      <c r="AY1640" t="s">
        <v>16742</v>
      </c>
      <c r="AZ1640" t="s">
        <v>9020</v>
      </c>
      <c r="BA1640">
        <v>2</v>
      </c>
      <c r="BB1640">
        <v>804.63</v>
      </c>
      <c r="BC1640">
        <v>0.43</v>
      </c>
      <c r="BD1640">
        <v>5.97</v>
      </c>
      <c r="BE1640">
        <v>6.09</v>
      </c>
      <c r="BF1640">
        <v>5.94</v>
      </c>
      <c r="BG1640" t="s">
        <v>18634</v>
      </c>
      <c r="BH1640" t="s">
        <v>15367</v>
      </c>
      <c r="BI1640" t="s">
        <v>18635</v>
      </c>
      <c r="BJ1640" t="s">
        <v>101</v>
      </c>
      <c r="BK1640" t="s">
        <v>2040</v>
      </c>
      <c r="BL1640" t="s">
        <v>7376</v>
      </c>
      <c r="BM1640" t="s">
        <v>18636</v>
      </c>
      <c r="BN1640" t="s">
        <v>14623</v>
      </c>
    </row>
    <row r="1641" spans="1:66" x14ac:dyDescent="0.25">
      <c r="A1641" t="str">
        <f>HYPERLINK("https://elite.finviz.com/quote.ashx?t=LXFR&amp;ty=c&amp;p=d&amp;b=1", "LXFR")</f>
        <v>LXFR</v>
      </c>
      <c r="B1641">
        <v>6</v>
      </c>
      <c r="C1641">
        <v>127.03</v>
      </c>
      <c r="D1641">
        <v>54.57</v>
      </c>
      <c r="E1641" t="s">
        <v>18637</v>
      </c>
      <c r="F1641" t="s">
        <v>67</v>
      </c>
      <c r="G1641" t="s">
        <v>260</v>
      </c>
      <c r="H1641" t="s">
        <v>261</v>
      </c>
      <c r="I1641" t="s">
        <v>70</v>
      </c>
      <c r="J1641" t="s">
        <v>71</v>
      </c>
      <c r="K1641">
        <v>370.89</v>
      </c>
      <c r="L1641">
        <v>13.86</v>
      </c>
      <c r="M1641" t="s">
        <v>4849</v>
      </c>
      <c r="N1641">
        <v>9565</v>
      </c>
      <c r="O1641">
        <v>15.35</v>
      </c>
      <c r="P1641">
        <v>11.75</v>
      </c>
      <c r="R1641">
        <v>0.92</v>
      </c>
      <c r="S1641">
        <v>1.56</v>
      </c>
      <c r="T1641" t="s">
        <v>749</v>
      </c>
      <c r="U1641">
        <v>0.52</v>
      </c>
      <c r="V1641" t="s">
        <v>14858</v>
      </c>
      <c r="W1641" t="s">
        <v>164</v>
      </c>
      <c r="X1641" t="s">
        <v>4881</v>
      </c>
      <c r="Y1641" t="s">
        <v>6463</v>
      </c>
      <c r="Z1641" t="s">
        <v>18638</v>
      </c>
      <c r="AA1641">
        <v>0.9</v>
      </c>
      <c r="AB1641" t="s">
        <v>16868</v>
      </c>
      <c r="AC1641" t="s">
        <v>18639</v>
      </c>
      <c r="AE1641" t="s">
        <v>334</v>
      </c>
      <c r="AF1641" t="s">
        <v>192</v>
      </c>
      <c r="AG1641" t="s">
        <v>2630</v>
      </c>
      <c r="AH1641" t="s">
        <v>1449</v>
      </c>
      <c r="AI1641" t="s">
        <v>4724</v>
      </c>
      <c r="AJ1641" t="s">
        <v>9889</v>
      </c>
      <c r="AK1641" t="s">
        <v>13845</v>
      </c>
      <c r="AL1641">
        <v>1.65</v>
      </c>
      <c r="AM1641">
        <v>0.83</v>
      </c>
      <c r="AN1641">
        <v>0.28000000000000003</v>
      </c>
      <c r="AO1641" t="s">
        <v>8005</v>
      </c>
      <c r="AP1641" t="s">
        <v>6272</v>
      </c>
      <c r="AQ1641" t="s">
        <v>1826</v>
      </c>
      <c r="AR1641" t="s">
        <v>4394</v>
      </c>
      <c r="AS1641" t="s">
        <v>3500</v>
      </c>
      <c r="AT1641" t="s">
        <v>2125</v>
      </c>
      <c r="AU1641" t="s">
        <v>5150</v>
      </c>
      <c r="AV1641" t="s">
        <v>2661</v>
      </c>
      <c r="AW1641" t="s">
        <v>7750</v>
      </c>
      <c r="AX1641" t="s">
        <v>2567</v>
      </c>
      <c r="AY1641" t="s">
        <v>8974</v>
      </c>
      <c r="AZ1641" t="s">
        <v>12422</v>
      </c>
      <c r="BB1641">
        <v>130.54</v>
      </c>
      <c r="BC1641">
        <v>0.26</v>
      </c>
      <c r="BD1641">
        <v>13.79</v>
      </c>
      <c r="BE1641">
        <v>14.03</v>
      </c>
      <c r="BF1641">
        <v>13.81</v>
      </c>
      <c r="BG1641" t="s">
        <v>18640</v>
      </c>
      <c r="BH1641" t="s">
        <v>16824</v>
      </c>
      <c r="BI1641" t="s">
        <v>12688</v>
      </c>
      <c r="BJ1641" t="s">
        <v>101</v>
      </c>
      <c r="BK1641" t="s">
        <v>7079</v>
      </c>
      <c r="BL1641" t="s">
        <v>3348</v>
      </c>
      <c r="BM1641" t="s">
        <v>3079</v>
      </c>
      <c r="BN1641" t="s">
        <v>14623</v>
      </c>
    </row>
    <row r="1642" spans="1:66" x14ac:dyDescent="0.25">
      <c r="A1642" t="str">
        <f>HYPERLINK("https://elite.finviz.com/quote.ashx?t=FLGT&amp;ty=c&amp;p=d&amp;b=1", "FLGT")</f>
        <v>FLGT</v>
      </c>
      <c r="B1642">
        <v>6</v>
      </c>
      <c r="C1642">
        <v>127.03</v>
      </c>
      <c r="D1642">
        <v>54.58</v>
      </c>
      <c r="E1642" t="s">
        <v>18641</v>
      </c>
      <c r="F1642" t="s">
        <v>67</v>
      </c>
      <c r="G1642" t="s">
        <v>428</v>
      </c>
      <c r="H1642" t="s">
        <v>4202</v>
      </c>
      <c r="I1642" t="s">
        <v>70</v>
      </c>
      <c r="J1642" t="s">
        <v>321</v>
      </c>
      <c r="K1642">
        <v>674.32</v>
      </c>
      <c r="L1642">
        <v>22.03</v>
      </c>
      <c r="M1642" t="s">
        <v>164</v>
      </c>
      <c r="N1642">
        <v>18478</v>
      </c>
      <c r="R1642">
        <v>2.2200000000000002</v>
      </c>
      <c r="S1642">
        <v>0.6</v>
      </c>
      <c r="AA1642">
        <v>-1.67</v>
      </c>
      <c r="AC1642" t="s">
        <v>18642</v>
      </c>
      <c r="AE1642" t="s">
        <v>1449</v>
      </c>
      <c r="AF1642" t="s">
        <v>18643</v>
      </c>
      <c r="AG1642" t="s">
        <v>7331</v>
      </c>
      <c r="AH1642" t="s">
        <v>5386</v>
      </c>
      <c r="AI1642" t="s">
        <v>18644</v>
      </c>
      <c r="AJ1642" t="s">
        <v>2638</v>
      </c>
      <c r="AK1642" t="s">
        <v>7331</v>
      </c>
      <c r="AL1642">
        <v>6.01</v>
      </c>
      <c r="AM1642">
        <v>6.01</v>
      </c>
      <c r="AN1642">
        <v>0.01</v>
      </c>
      <c r="AO1642" t="s">
        <v>18645</v>
      </c>
      <c r="AP1642" t="s">
        <v>10414</v>
      </c>
      <c r="AQ1642" t="s">
        <v>18646</v>
      </c>
      <c r="AR1642" t="s">
        <v>2743</v>
      </c>
      <c r="AS1642" t="s">
        <v>2273</v>
      </c>
      <c r="AT1642" t="s">
        <v>124</v>
      </c>
      <c r="AU1642" t="s">
        <v>7685</v>
      </c>
      <c r="AV1642" t="s">
        <v>9175</v>
      </c>
      <c r="AW1642" t="s">
        <v>900</v>
      </c>
      <c r="AX1642" t="s">
        <v>18647</v>
      </c>
      <c r="AY1642" t="s">
        <v>9600</v>
      </c>
      <c r="AZ1642" t="s">
        <v>3583</v>
      </c>
      <c r="BA1642">
        <v>2</v>
      </c>
      <c r="BB1642">
        <v>269.73</v>
      </c>
      <c r="BC1642">
        <v>0.24</v>
      </c>
      <c r="BD1642">
        <v>22.03</v>
      </c>
      <c r="BE1642">
        <v>22.07</v>
      </c>
      <c r="BF1642">
        <v>22.05</v>
      </c>
      <c r="BG1642" t="s">
        <v>18648</v>
      </c>
      <c r="BH1642" t="s">
        <v>18649</v>
      </c>
      <c r="BI1642" t="s">
        <v>18650</v>
      </c>
      <c r="BJ1642" t="s">
        <v>101</v>
      </c>
      <c r="BK1642" t="s">
        <v>3644</v>
      </c>
      <c r="BL1642" t="s">
        <v>10704</v>
      </c>
      <c r="BM1642" t="s">
        <v>4687</v>
      </c>
      <c r="BN1642" t="s">
        <v>14623</v>
      </c>
    </row>
    <row r="1643" spans="1:66" x14ac:dyDescent="0.25">
      <c r="A1643" t="str">
        <f>HYPERLINK("https://elite.finviz.com/quote.ashx?t=VRAR&amp;ty=c&amp;p=d&amp;b=1", "VRAR")</f>
        <v>VRAR</v>
      </c>
      <c r="B1643">
        <v>6</v>
      </c>
      <c r="C1643">
        <v>127.03</v>
      </c>
      <c r="D1643">
        <v>54.59</v>
      </c>
      <c r="E1643" t="s">
        <v>18651</v>
      </c>
      <c r="F1643" t="s">
        <v>107</v>
      </c>
      <c r="G1643" t="s">
        <v>108</v>
      </c>
      <c r="H1643" t="s">
        <v>109</v>
      </c>
      <c r="I1643" t="s">
        <v>70</v>
      </c>
      <c r="J1643" t="s">
        <v>321</v>
      </c>
      <c r="K1643">
        <v>33.69</v>
      </c>
      <c r="L1643">
        <v>1.6</v>
      </c>
      <c r="M1643" t="s">
        <v>9618</v>
      </c>
      <c r="N1643">
        <v>42065</v>
      </c>
      <c r="R1643">
        <v>3.85</v>
      </c>
      <c r="S1643">
        <v>2.0099999999999998</v>
      </c>
      <c r="AA1643">
        <v>-0.35</v>
      </c>
      <c r="AB1643" t="s">
        <v>6608</v>
      </c>
      <c r="AC1643" t="s">
        <v>8843</v>
      </c>
      <c r="AE1643" t="s">
        <v>6939</v>
      </c>
      <c r="AF1643" t="s">
        <v>3932</v>
      </c>
      <c r="AG1643" t="s">
        <v>16786</v>
      </c>
      <c r="AH1643" t="s">
        <v>9027</v>
      </c>
      <c r="AI1643" t="s">
        <v>4994</v>
      </c>
      <c r="AJ1643" t="s">
        <v>164</v>
      </c>
      <c r="AK1643" t="s">
        <v>3492</v>
      </c>
      <c r="AL1643">
        <v>2.57</v>
      </c>
      <c r="AM1643">
        <v>2.57</v>
      </c>
      <c r="AN1643">
        <v>0.01</v>
      </c>
      <c r="AO1643" t="s">
        <v>18652</v>
      </c>
      <c r="AP1643" t="s">
        <v>16246</v>
      </c>
      <c r="AQ1643" t="s">
        <v>10560</v>
      </c>
      <c r="AR1643" t="s">
        <v>326</v>
      </c>
      <c r="AS1643" t="s">
        <v>4128</v>
      </c>
      <c r="AT1643" t="s">
        <v>3524</v>
      </c>
      <c r="AU1643" t="s">
        <v>1927</v>
      </c>
      <c r="AV1643" t="s">
        <v>4530</v>
      </c>
      <c r="AW1643" t="s">
        <v>12738</v>
      </c>
      <c r="AX1643" t="s">
        <v>5948</v>
      </c>
      <c r="AY1643" t="s">
        <v>18653</v>
      </c>
      <c r="AZ1643" t="s">
        <v>18654</v>
      </c>
      <c r="BA1643">
        <v>1</v>
      </c>
      <c r="BB1643">
        <v>411.11</v>
      </c>
      <c r="BC1643">
        <v>0.36</v>
      </c>
      <c r="BD1643">
        <v>1.63</v>
      </c>
      <c r="BE1643">
        <v>1.65</v>
      </c>
      <c r="BF1643">
        <v>1.6</v>
      </c>
      <c r="BG1643" t="s">
        <v>18655</v>
      </c>
      <c r="BH1643" t="s">
        <v>18656</v>
      </c>
      <c r="BI1643" t="s">
        <v>18654</v>
      </c>
      <c r="BJ1643" t="s">
        <v>101</v>
      </c>
      <c r="BK1643" t="s">
        <v>4833</v>
      </c>
      <c r="BL1643" t="s">
        <v>664</v>
      </c>
      <c r="BM1643" t="s">
        <v>18657</v>
      </c>
      <c r="BN1643" t="s">
        <v>14623</v>
      </c>
    </row>
    <row r="1644" spans="1:66" x14ac:dyDescent="0.25">
      <c r="A1644" t="str">
        <f>HYPERLINK("https://elite.finviz.com/quote.ashx?t=MG&amp;ty=c&amp;p=d&amp;b=1", "MG")</f>
        <v>MG</v>
      </c>
      <c r="B1644">
        <v>6</v>
      </c>
      <c r="C1644">
        <v>127.03</v>
      </c>
      <c r="D1644">
        <v>54.59</v>
      </c>
      <c r="E1644" t="s">
        <v>18658</v>
      </c>
      <c r="F1644" t="s">
        <v>67</v>
      </c>
      <c r="G1644" t="s">
        <v>260</v>
      </c>
      <c r="H1644" t="s">
        <v>4162</v>
      </c>
      <c r="I1644" t="s">
        <v>70</v>
      </c>
      <c r="J1644" t="s">
        <v>71</v>
      </c>
      <c r="K1644">
        <v>304.33999999999997</v>
      </c>
      <c r="L1644">
        <v>9.65</v>
      </c>
      <c r="M1644" t="s">
        <v>5036</v>
      </c>
      <c r="N1644">
        <v>14390</v>
      </c>
      <c r="O1644">
        <v>26.69</v>
      </c>
      <c r="P1644">
        <v>11.16</v>
      </c>
      <c r="R1644">
        <v>0.43</v>
      </c>
      <c r="S1644">
        <v>1.41</v>
      </c>
      <c r="Z1644" t="s">
        <v>164</v>
      </c>
      <c r="AA1644">
        <v>0.36</v>
      </c>
      <c r="AB1644" t="s">
        <v>5921</v>
      </c>
      <c r="AC1644" t="s">
        <v>13719</v>
      </c>
      <c r="AE1644" t="s">
        <v>1580</v>
      </c>
      <c r="AF1644" t="s">
        <v>715</v>
      </c>
      <c r="AG1644" t="s">
        <v>4809</v>
      </c>
      <c r="AH1644" t="s">
        <v>3466</v>
      </c>
      <c r="AI1644" t="s">
        <v>3757</v>
      </c>
      <c r="AJ1644" t="s">
        <v>2880</v>
      </c>
      <c r="AK1644" t="s">
        <v>5881</v>
      </c>
      <c r="AL1644">
        <v>1.66</v>
      </c>
      <c r="AM1644">
        <v>1.54</v>
      </c>
      <c r="AN1644">
        <v>1.03</v>
      </c>
      <c r="AO1644" t="s">
        <v>18659</v>
      </c>
      <c r="AP1644" t="s">
        <v>3057</v>
      </c>
      <c r="AQ1644" t="s">
        <v>3487</v>
      </c>
      <c r="AR1644" t="s">
        <v>1391</v>
      </c>
      <c r="AS1644" t="s">
        <v>4976</v>
      </c>
      <c r="AT1644" t="s">
        <v>182</v>
      </c>
      <c r="AU1644" t="s">
        <v>6075</v>
      </c>
      <c r="AV1644" t="s">
        <v>11629</v>
      </c>
      <c r="AW1644" t="s">
        <v>4645</v>
      </c>
      <c r="AX1644" t="s">
        <v>16083</v>
      </c>
      <c r="AY1644" t="s">
        <v>1335</v>
      </c>
      <c r="AZ1644" t="s">
        <v>13084</v>
      </c>
      <c r="BA1644">
        <v>1</v>
      </c>
      <c r="BB1644">
        <v>123.39</v>
      </c>
      <c r="BC1644">
        <v>0.41</v>
      </c>
      <c r="BD1644">
        <v>9.58</v>
      </c>
      <c r="BE1644">
        <v>9.75</v>
      </c>
      <c r="BF1644">
        <v>9.6300000000000008</v>
      </c>
      <c r="BG1644" t="s">
        <v>18660</v>
      </c>
      <c r="BH1644" t="s">
        <v>680</v>
      </c>
      <c r="BI1644" t="s">
        <v>18661</v>
      </c>
      <c r="BJ1644" t="s">
        <v>101</v>
      </c>
      <c r="BK1644" t="s">
        <v>8005</v>
      </c>
      <c r="BL1644" t="s">
        <v>14444</v>
      </c>
      <c r="BM1644" t="s">
        <v>8096</v>
      </c>
      <c r="BN1644" t="s">
        <v>14623</v>
      </c>
    </row>
    <row r="1645" spans="1:66" x14ac:dyDescent="0.25">
      <c r="A1645" t="str">
        <f>HYPERLINK("https://elite.finviz.com/quote.ashx?t=VGAS&amp;ty=c&amp;p=d&amp;b=1", "VGAS")</f>
        <v>VGAS</v>
      </c>
      <c r="B1645">
        <v>6</v>
      </c>
      <c r="C1645">
        <v>127.03</v>
      </c>
      <c r="D1645">
        <v>54.59</v>
      </c>
      <c r="E1645" t="s">
        <v>18662</v>
      </c>
      <c r="F1645" t="s">
        <v>67</v>
      </c>
      <c r="G1645" t="s">
        <v>287</v>
      </c>
      <c r="H1645" t="s">
        <v>288</v>
      </c>
      <c r="I1645" t="s">
        <v>70</v>
      </c>
      <c r="J1645" t="s">
        <v>321</v>
      </c>
      <c r="K1645">
        <v>142.11000000000001</v>
      </c>
      <c r="L1645">
        <v>3.19</v>
      </c>
      <c r="M1645" t="s">
        <v>975</v>
      </c>
      <c r="N1645">
        <v>988</v>
      </c>
      <c r="S1645">
        <v>2.13</v>
      </c>
      <c r="AA1645">
        <v>-0.41</v>
      </c>
      <c r="AB1645" t="s">
        <v>18663</v>
      </c>
      <c r="AC1645" t="s">
        <v>18664</v>
      </c>
      <c r="AJ1645" t="s">
        <v>164</v>
      </c>
      <c r="AK1645" t="s">
        <v>4677</v>
      </c>
      <c r="AL1645">
        <v>21.81</v>
      </c>
      <c r="AM1645">
        <v>21.81</v>
      </c>
      <c r="AN1645">
        <v>0.01</v>
      </c>
      <c r="AR1645" t="s">
        <v>203</v>
      </c>
      <c r="AS1645" t="s">
        <v>229</v>
      </c>
      <c r="AT1645" t="s">
        <v>4957</v>
      </c>
      <c r="AU1645" t="s">
        <v>2783</v>
      </c>
      <c r="AV1645" t="s">
        <v>2393</v>
      </c>
      <c r="AW1645" t="s">
        <v>7234</v>
      </c>
      <c r="AX1645" t="s">
        <v>7389</v>
      </c>
      <c r="AY1645" t="s">
        <v>18665</v>
      </c>
      <c r="AZ1645" t="s">
        <v>7389</v>
      </c>
      <c r="BB1645">
        <v>11.99</v>
      </c>
      <c r="BC1645">
        <v>0.28999999999999998</v>
      </c>
      <c r="BD1645">
        <v>3.08</v>
      </c>
      <c r="BE1645">
        <v>3.19</v>
      </c>
      <c r="BF1645">
        <v>3.19</v>
      </c>
      <c r="BG1645" t="s">
        <v>18666</v>
      </c>
      <c r="BH1645" t="s">
        <v>18667</v>
      </c>
      <c r="BI1645" t="s">
        <v>18668</v>
      </c>
      <c r="BJ1645" t="s">
        <v>101</v>
      </c>
      <c r="BK1645" t="s">
        <v>18614</v>
      </c>
      <c r="BL1645" t="s">
        <v>7234</v>
      </c>
      <c r="BM1645" t="s">
        <v>10904</v>
      </c>
      <c r="BN1645" t="s">
        <v>14623</v>
      </c>
    </row>
    <row r="1646" spans="1:66" x14ac:dyDescent="0.25">
      <c r="A1646" t="str">
        <f>HYPERLINK("https://elite.finviz.com/quote.ashx?t=UAN&amp;ty=c&amp;p=d&amp;b=1", "UAN")</f>
        <v>UAN</v>
      </c>
      <c r="B1646">
        <v>6</v>
      </c>
      <c r="C1646">
        <v>127.03</v>
      </c>
      <c r="D1646">
        <v>54.6</v>
      </c>
      <c r="E1646" t="s">
        <v>18669</v>
      </c>
      <c r="F1646" t="s">
        <v>107</v>
      </c>
      <c r="G1646" t="s">
        <v>355</v>
      </c>
      <c r="H1646" t="s">
        <v>9610</v>
      </c>
      <c r="I1646" t="s">
        <v>70</v>
      </c>
      <c r="J1646" t="s">
        <v>71</v>
      </c>
      <c r="K1646">
        <v>961.89</v>
      </c>
      <c r="L1646">
        <v>91.01</v>
      </c>
      <c r="M1646" t="s">
        <v>2290</v>
      </c>
      <c r="N1646">
        <v>3822</v>
      </c>
      <c r="O1646">
        <v>10.94</v>
      </c>
      <c r="R1646">
        <v>1.67</v>
      </c>
      <c r="S1646">
        <v>3.04</v>
      </c>
      <c r="T1646" t="s">
        <v>6448</v>
      </c>
      <c r="U1646">
        <v>9.09</v>
      </c>
      <c r="V1646" t="s">
        <v>893</v>
      </c>
      <c r="W1646" t="s">
        <v>13916</v>
      </c>
      <c r="X1646" t="s">
        <v>1369</v>
      </c>
      <c r="Y1646" t="s">
        <v>5877</v>
      </c>
      <c r="Z1646" t="s">
        <v>18670</v>
      </c>
      <c r="AA1646">
        <v>8.32</v>
      </c>
      <c r="AB1646" t="s">
        <v>468</v>
      </c>
      <c r="AE1646" t="s">
        <v>6859</v>
      </c>
      <c r="AF1646" t="s">
        <v>1358</v>
      </c>
      <c r="AG1646" t="s">
        <v>2580</v>
      </c>
      <c r="AH1646" t="s">
        <v>11533</v>
      </c>
      <c r="AJ1646" t="s">
        <v>2175</v>
      </c>
      <c r="AK1646" t="s">
        <v>2584</v>
      </c>
      <c r="AL1646">
        <v>3.45</v>
      </c>
      <c r="AM1646">
        <v>2.4</v>
      </c>
      <c r="AN1646">
        <v>1.84</v>
      </c>
      <c r="AO1646" t="s">
        <v>8608</v>
      </c>
      <c r="AP1646" t="s">
        <v>17487</v>
      </c>
      <c r="AQ1646" t="s">
        <v>6690</v>
      </c>
      <c r="AR1646" t="s">
        <v>3856</v>
      </c>
      <c r="AS1646" t="s">
        <v>2876</v>
      </c>
      <c r="AT1646" t="s">
        <v>5263</v>
      </c>
      <c r="AU1646" t="s">
        <v>227</v>
      </c>
      <c r="AV1646" t="s">
        <v>7106</v>
      </c>
      <c r="AW1646" t="s">
        <v>500</v>
      </c>
      <c r="AX1646" t="s">
        <v>7511</v>
      </c>
      <c r="AY1646" t="s">
        <v>500</v>
      </c>
      <c r="AZ1646" t="s">
        <v>3014</v>
      </c>
      <c r="BA1646">
        <v>2</v>
      </c>
      <c r="BB1646">
        <v>21.87</v>
      </c>
      <c r="BC1646">
        <v>0.62</v>
      </c>
      <c r="BD1646">
        <v>90.71</v>
      </c>
      <c r="BE1646">
        <v>91.84</v>
      </c>
      <c r="BF1646">
        <v>90.46</v>
      </c>
      <c r="BG1646" t="s">
        <v>18671</v>
      </c>
      <c r="BH1646" t="s">
        <v>18672</v>
      </c>
      <c r="BI1646" t="s">
        <v>18673</v>
      </c>
      <c r="BJ1646" t="s">
        <v>101</v>
      </c>
      <c r="BK1646" t="s">
        <v>6104</v>
      </c>
      <c r="BL1646" t="s">
        <v>4554</v>
      </c>
      <c r="BM1646" t="s">
        <v>7353</v>
      </c>
      <c r="BN1646" t="s">
        <v>14623</v>
      </c>
    </row>
    <row r="1647" spans="1:66" x14ac:dyDescent="0.25">
      <c r="A1647" t="str">
        <f>HYPERLINK("https://elite.finviz.com/quote.ashx?t=CGCT&amp;ty=c&amp;p=d&amp;b=1", "CGCT")</f>
        <v>CGCT</v>
      </c>
      <c r="B1647">
        <v>6</v>
      </c>
      <c r="C1647">
        <v>127.03</v>
      </c>
      <c r="D1647">
        <v>54.6</v>
      </c>
      <c r="E1647" t="s">
        <v>18674</v>
      </c>
      <c r="F1647" t="s">
        <v>107</v>
      </c>
      <c r="G1647" t="s">
        <v>550</v>
      </c>
      <c r="H1647" t="s">
        <v>2120</v>
      </c>
      <c r="I1647" t="s">
        <v>70</v>
      </c>
      <c r="J1647" t="s">
        <v>321</v>
      </c>
      <c r="K1647">
        <v>346.38</v>
      </c>
      <c r="L1647">
        <v>10.039999999999999</v>
      </c>
      <c r="M1647" t="s">
        <v>4237</v>
      </c>
      <c r="N1647">
        <v>5000</v>
      </c>
      <c r="S1647">
        <v>1.31</v>
      </c>
      <c r="AJ1647" t="s">
        <v>164</v>
      </c>
      <c r="AK1647" t="s">
        <v>7593</v>
      </c>
      <c r="AL1647">
        <v>2.2799999999999998</v>
      </c>
      <c r="AM1647">
        <v>2.2799999999999998</v>
      </c>
      <c r="AN1647">
        <v>0</v>
      </c>
      <c r="AR1647" t="s">
        <v>4507</v>
      </c>
      <c r="AS1647" t="s">
        <v>4507</v>
      </c>
      <c r="AT1647" t="s">
        <v>1324</v>
      </c>
      <c r="AU1647" t="s">
        <v>3358</v>
      </c>
      <c r="AV1647" t="s">
        <v>3358</v>
      </c>
      <c r="AW1647" t="s">
        <v>2486</v>
      </c>
      <c r="AX1647" t="s">
        <v>2423</v>
      </c>
      <c r="AY1647" t="s">
        <v>2486</v>
      </c>
      <c r="AZ1647" t="s">
        <v>2423</v>
      </c>
      <c r="BB1647">
        <v>113.31</v>
      </c>
      <c r="BC1647">
        <v>0.16</v>
      </c>
      <c r="BD1647">
        <v>10.029999999999999</v>
      </c>
      <c r="BE1647">
        <v>10.039999999999999</v>
      </c>
      <c r="BF1647">
        <v>10.039999999999999</v>
      </c>
      <c r="BG1647" t="s">
        <v>14185</v>
      </c>
      <c r="BH1647" t="s">
        <v>2486</v>
      </c>
      <c r="BI1647" t="s">
        <v>2423</v>
      </c>
      <c r="BJ1647" t="s">
        <v>101</v>
      </c>
      <c r="BN1647" t="s">
        <v>14623</v>
      </c>
    </row>
    <row r="1648" spans="1:66" x14ac:dyDescent="0.25">
      <c r="A1648" t="str">
        <f>HYPERLINK("https://elite.finviz.com/quote.ashx?t=ZUMZ&amp;ty=c&amp;p=d&amp;b=1", "ZUMZ")</f>
        <v>ZUMZ</v>
      </c>
      <c r="B1648">
        <v>6</v>
      </c>
      <c r="C1648">
        <v>127.03</v>
      </c>
      <c r="D1648">
        <v>54.63</v>
      </c>
      <c r="E1648" t="s">
        <v>18675</v>
      </c>
      <c r="F1648" t="s">
        <v>67</v>
      </c>
      <c r="G1648" t="s">
        <v>813</v>
      </c>
      <c r="H1648" t="s">
        <v>4488</v>
      </c>
      <c r="I1648" t="s">
        <v>70</v>
      </c>
      <c r="J1648" t="s">
        <v>321</v>
      </c>
      <c r="K1648">
        <v>334.1</v>
      </c>
      <c r="L1648">
        <v>19.48</v>
      </c>
      <c r="M1648" t="s">
        <v>8357</v>
      </c>
      <c r="N1648">
        <v>33854</v>
      </c>
      <c r="P1648">
        <v>28.37</v>
      </c>
      <c r="R1648">
        <v>0.37</v>
      </c>
      <c r="S1648">
        <v>1.1499999999999999</v>
      </c>
      <c r="AA1648">
        <v>-0.01</v>
      </c>
      <c r="AE1648" t="s">
        <v>3487</v>
      </c>
      <c r="AF1648" t="s">
        <v>9889</v>
      </c>
      <c r="AG1648" t="s">
        <v>4408</v>
      </c>
      <c r="AH1648" t="s">
        <v>2087</v>
      </c>
      <c r="AI1648" t="s">
        <v>1117</v>
      </c>
      <c r="AJ1648" t="s">
        <v>3486</v>
      </c>
      <c r="AK1648" t="s">
        <v>18676</v>
      </c>
      <c r="AL1648">
        <v>1.76</v>
      </c>
      <c r="AM1648">
        <v>0.84</v>
      </c>
      <c r="AN1648">
        <v>0.71</v>
      </c>
      <c r="AO1648" t="s">
        <v>16832</v>
      </c>
      <c r="AP1648" t="s">
        <v>4271</v>
      </c>
      <c r="AQ1648" t="s">
        <v>4507</v>
      </c>
      <c r="AR1648" t="s">
        <v>3325</v>
      </c>
      <c r="AS1648" t="s">
        <v>165</v>
      </c>
      <c r="AT1648" t="s">
        <v>214</v>
      </c>
      <c r="AU1648" t="s">
        <v>1549</v>
      </c>
      <c r="AV1648" t="s">
        <v>14588</v>
      </c>
      <c r="AW1648" t="s">
        <v>12147</v>
      </c>
      <c r="AX1648" t="s">
        <v>18677</v>
      </c>
      <c r="AY1648" t="s">
        <v>15080</v>
      </c>
      <c r="AZ1648" t="s">
        <v>3903</v>
      </c>
      <c r="BA1648">
        <v>3</v>
      </c>
      <c r="BB1648">
        <v>227.89</v>
      </c>
      <c r="BC1648">
        <v>0.52</v>
      </c>
      <c r="BD1648">
        <v>19.64</v>
      </c>
      <c r="BE1648">
        <v>19.82</v>
      </c>
      <c r="BF1648">
        <v>19.309999999999999</v>
      </c>
      <c r="BG1648" t="s">
        <v>18678</v>
      </c>
      <c r="BH1648" t="s">
        <v>18679</v>
      </c>
      <c r="BI1648" t="s">
        <v>18680</v>
      </c>
      <c r="BJ1648" t="s">
        <v>101</v>
      </c>
      <c r="BK1648" t="s">
        <v>18681</v>
      </c>
      <c r="BL1648" t="s">
        <v>4798</v>
      </c>
      <c r="BM1648" t="s">
        <v>1862</v>
      </c>
      <c r="BN1648" t="s">
        <v>14623</v>
      </c>
    </row>
    <row r="1649" spans="1:66" x14ac:dyDescent="0.25">
      <c r="A1649" t="str">
        <f>HYPERLINK("https://elite.finviz.com/quote.ashx?t=FXNC&amp;ty=c&amp;p=d&amp;b=1", "FXNC")</f>
        <v>FXNC</v>
      </c>
      <c r="B1649">
        <v>6</v>
      </c>
      <c r="C1649">
        <v>127.03</v>
      </c>
      <c r="D1649">
        <v>54.64</v>
      </c>
      <c r="E1649" t="s">
        <v>18682</v>
      </c>
      <c r="F1649" t="s">
        <v>67</v>
      </c>
      <c r="G1649" t="s">
        <v>550</v>
      </c>
      <c r="H1649" t="s">
        <v>697</v>
      </c>
      <c r="I1649" t="s">
        <v>70</v>
      </c>
      <c r="J1649" t="s">
        <v>321</v>
      </c>
      <c r="K1649">
        <v>210.35</v>
      </c>
      <c r="L1649">
        <v>23.4</v>
      </c>
      <c r="M1649" t="s">
        <v>7464</v>
      </c>
      <c r="N1649">
        <v>2457</v>
      </c>
      <c r="O1649">
        <v>23.61</v>
      </c>
      <c r="P1649">
        <v>9.85</v>
      </c>
      <c r="R1649">
        <v>1.93</v>
      </c>
      <c r="S1649">
        <v>1.21</v>
      </c>
      <c r="T1649" t="s">
        <v>4216</v>
      </c>
      <c r="U1649">
        <v>0.62</v>
      </c>
      <c r="V1649" t="s">
        <v>4882</v>
      </c>
      <c r="W1649" t="s">
        <v>164</v>
      </c>
      <c r="X1649" t="s">
        <v>4512</v>
      </c>
      <c r="Y1649" t="s">
        <v>10073</v>
      </c>
      <c r="Z1649" t="s">
        <v>18683</v>
      </c>
      <c r="AA1649">
        <v>0.99</v>
      </c>
      <c r="AB1649" t="s">
        <v>17172</v>
      </c>
      <c r="AC1649" t="s">
        <v>11846</v>
      </c>
      <c r="AE1649" t="s">
        <v>18684</v>
      </c>
      <c r="AF1649" t="s">
        <v>10233</v>
      </c>
      <c r="AG1649" t="s">
        <v>15372</v>
      </c>
      <c r="AH1649" t="s">
        <v>5241</v>
      </c>
      <c r="AI1649" t="s">
        <v>6721</v>
      </c>
      <c r="AJ1649" t="s">
        <v>3000</v>
      </c>
      <c r="AK1649" t="s">
        <v>10495</v>
      </c>
      <c r="AL1649">
        <v>0.35</v>
      </c>
      <c r="AN1649">
        <v>0.32</v>
      </c>
      <c r="AP1649" t="s">
        <v>3171</v>
      </c>
      <c r="AQ1649" t="s">
        <v>3181</v>
      </c>
      <c r="AR1649" t="s">
        <v>2333</v>
      </c>
      <c r="AS1649" t="s">
        <v>7423</v>
      </c>
      <c r="AT1649" t="s">
        <v>4191</v>
      </c>
      <c r="AU1649" t="s">
        <v>3325</v>
      </c>
      <c r="AV1649" t="s">
        <v>3496</v>
      </c>
      <c r="AW1649" t="s">
        <v>2149</v>
      </c>
      <c r="AX1649" t="s">
        <v>10254</v>
      </c>
      <c r="AY1649" t="s">
        <v>8838</v>
      </c>
      <c r="AZ1649" t="s">
        <v>16831</v>
      </c>
      <c r="BA1649">
        <v>3</v>
      </c>
      <c r="BB1649">
        <v>34.49</v>
      </c>
      <c r="BC1649">
        <v>0.25</v>
      </c>
      <c r="BD1649">
        <v>23.3</v>
      </c>
      <c r="BE1649">
        <v>23.4</v>
      </c>
      <c r="BF1649">
        <v>23.4</v>
      </c>
      <c r="BG1649" t="s">
        <v>18685</v>
      </c>
      <c r="BH1649" t="s">
        <v>18686</v>
      </c>
      <c r="BI1649" t="s">
        <v>18687</v>
      </c>
      <c r="BJ1649" t="s">
        <v>101</v>
      </c>
      <c r="BK1649" t="s">
        <v>7479</v>
      </c>
      <c r="BL1649" t="s">
        <v>92</v>
      </c>
      <c r="BM1649" t="s">
        <v>12618</v>
      </c>
      <c r="BN1649" t="s">
        <v>14623</v>
      </c>
    </row>
    <row r="1650" spans="1:66" x14ac:dyDescent="0.25">
      <c r="A1650" t="str">
        <f>HYPERLINK("https://elite.finviz.com/quote.ashx?t=JBIO&amp;ty=c&amp;p=d&amp;b=1", "JBIO")</f>
        <v>JBIO</v>
      </c>
      <c r="B1650">
        <v>6</v>
      </c>
      <c r="C1650">
        <v>127.03</v>
      </c>
      <c r="D1650">
        <v>54.65</v>
      </c>
      <c r="E1650" t="s">
        <v>18688</v>
      </c>
      <c r="F1650" t="s">
        <v>67</v>
      </c>
      <c r="G1650" t="s">
        <v>428</v>
      </c>
      <c r="H1650" t="s">
        <v>429</v>
      </c>
      <c r="I1650" t="s">
        <v>70</v>
      </c>
      <c r="J1650" t="s">
        <v>321</v>
      </c>
      <c r="K1650">
        <v>262.56</v>
      </c>
      <c r="L1650">
        <v>8.0500000000000007</v>
      </c>
      <c r="M1650" t="s">
        <v>4955</v>
      </c>
      <c r="N1650">
        <v>10517</v>
      </c>
      <c r="S1650">
        <v>1.3</v>
      </c>
      <c r="AA1650">
        <v>-30.42</v>
      </c>
      <c r="AB1650" t="s">
        <v>18689</v>
      </c>
      <c r="AC1650" t="s">
        <v>18690</v>
      </c>
      <c r="AD1650" t="s">
        <v>18691</v>
      </c>
      <c r="AI1650" t="s">
        <v>18692</v>
      </c>
      <c r="AJ1650" t="s">
        <v>580</v>
      </c>
      <c r="AK1650" t="s">
        <v>18693</v>
      </c>
      <c r="AL1650">
        <v>10.31</v>
      </c>
      <c r="AM1650">
        <v>10.31</v>
      </c>
      <c r="AN1650">
        <v>0</v>
      </c>
      <c r="AR1650" t="s">
        <v>10273</v>
      </c>
      <c r="AS1650" t="s">
        <v>2193</v>
      </c>
      <c r="AT1650" t="s">
        <v>10926</v>
      </c>
      <c r="AU1650" t="s">
        <v>4104</v>
      </c>
      <c r="AV1650" t="s">
        <v>5852</v>
      </c>
      <c r="AW1650" t="s">
        <v>18694</v>
      </c>
      <c r="AX1650" t="s">
        <v>15283</v>
      </c>
      <c r="AY1650" t="s">
        <v>18695</v>
      </c>
      <c r="AZ1650" t="s">
        <v>2999</v>
      </c>
      <c r="BA1650">
        <v>1</v>
      </c>
      <c r="BB1650">
        <v>190.9</v>
      </c>
      <c r="BC1650">
        <v>0.2</v>
      </c>
      <c r="BD1650">
        <v>8.06</v>
      </c>
      <c r="BE1650">
        <v>8.14</v>
      </c>
      <c r="BF1650">
        <v>7.77</v>
      </c>
      <c r="BG1650" t="s">
        <v>18696</v>
      </c>
      <c r="BH1650" t="s">
        <v>18697</v>
      </c>
      <c r="BI1650" t="s">
        <v>11933</v>
      </c>
      <c r="BJ1650" t="s">
        <v>101</v>
      </c>
      <c r="BK1650" t="s">
        <v>11692</v>
      </c>
      <c r="BL1650" t="s">
        <v>10885</v>
      </c>
      <c r="BM1650" t="s">
        <v>8379</v>
      </c>
      <c r="BN1650" t="s">
        <v>14623</v>
      </c>
    </row>
    <row r="1651" spans="1:66" x14ac:dyDescent="0.25">
      <c r="A1651" t="str">
        <f>HYPERLINK("https://elite.finviz.com/quote.ashx?t=ITT&amp;ty=c&amp;p=d&amp;b=1", "ITT")</f>
        <v>ITT</v>
      </c>
      <c r="B1651">
        <v>6</v>
      </c>
      <c r="C1651">
        <v>127.03</v>
      </c>
      <c r="D1651">
        <v>54.66</v>
      </c>
      <c r="E1651" t="s">
        <v>18698</v>
      </c>
      <c r="F1651" t="s">
        <v>107</v>
      </c>
      <c r="G1651" t="s">
        <v>260</v>
      </c>
      <c r="H1651" t="s">
        <v>261</v>
      </c>
      <c r="I1651" t="s">
        <v>70</v>
      </c>
      <c r="J1651" t="s">
        <v>71</v>
      </c>
      <c r="K1651">
        <v>13802.1</v>
      </c>
      <c r="L1651">
        <v>176.95</v>
      </c>
      <c r="M1651" t="s">
        <v>1457</v>
      </c>
      <c r="N1651">
        <v>50645</v>
      </c>
      <c r="O1651">
        <v>27.81</v>
      </c>
      <c r="P1651">
        <v>23.94</v>
      </c>
      <c r="Q1651">
        <v>2.38</v>
      </c>
      <c r="R1651">
        <v>3.73</v>
      </c>
      <c r="S1651">
        <v>5.4</v>
      </c>
      <c r="T1651" t="s">
        <v>84</v>
      </c>
      <c r="U1651">
        <v>1.37</v>
      </c>
      <c r="V1651" t="s">
        <v>2187</v>
      </c>
      <c r="W1651" t="s">
        <v>4288</v>
      </c>
      <c r="X1651" t="s">
        <v>5680</v>
      </c>
      <c r="Y1651" t="s">
        <v>13459</v>
      </c>
      <c r="Z1651" t="s">
        <v>13206</v>
      </c>
      <c r="AA1651">
        <v>6.36</v>
      </c>
      <c r="AB1651" t="s">
        <v>9349</v>
      </c>
      <c r="AC1651" t="s">
        <v>3647</v>
      </c>
      <c r="AD1651" t="s">
        <v>2629</v>
      </c>
      <c r="AE1651" t="s">
        <v>8843</v>
      </c>
      <c r="AF1651" t="s">
        <v>3141</v>
      </c>
      <c r="AG1651" t="s">
        <v>275</v>
      </c>
      <c r="AH1651" t="s">
        <v>2884</v>
      </c>
      <c r="AI1651" t="s">
        <v>2201</v>
      </c>
      <c r="AJ1651" t="s">
        <v>13806</v>
      </c>
      <c r="AK1651" t="s">
        <v>18699</v>
      </c>
      <c r="AL1651">
        <v>1.45</v>
      </c>
      <c r="AM1651">
        <v>0.99</v>
      </c>
      <c r="AN1651">
        <v>0.45</v>
      </c>
      <c r="AO1651" t="s">
        <v>6120</v>
      </c>
      <c r="AP1651" t="s">
        <v>4116</v>
      </c>
      <c r="AQ1651" t="s">
        <v>6748</v>
      </c>
      <c r="AR1651" t="s">
        <v>3842</v>
      </c>
      <c r="AS1651" t="s">
        <v>617</v>
      </c>
      <c r="AT1651" t="s">
        <v>1763</v>
      </c>
      <c r="AU1651" t="s">
        <v>1449</v>
      </c>
      <c r="AV1651" t="s">
        <v>2601</v>
      </c>
      <c r="AW1651" t="s">
        <v>103</v>
      </c>
      <c r="AX1651" t="s">
        <v>14309</v>
      </c>
      <c r="AY1651" t="s">
        <v>103</v>
      </c>
      <c r="AZ1651" t="s">
        <v>4975</v>
      </c>
      <c r="BA1651">
        <v>1.88</v>
      </c>
      <c r="BB1651">
        <v>396.35</v>
      </c>
      <c r="BC1651">
        <v>0.45</v>
      </c>
      <c r="BD1651">
        <v>175.2</v>
      </c>
      <c r="BE1651">
        <v>176.06</v>
      </c>
      <c r="BF1651">
        <v>176.06</v>
      </c>
      <c r="BG1651" t="s">
        <v>18700</v>
      </c>
      <c r="BH1651" t="s">
        <v>103</v>
      </c>
      <c r="BI1651" t="s">
        <v>18701</v>
      </c>
      <c r="BJ1651" t="s">
        <v>101</v>
      </c>
      <c r="BK1651" t="s">
        <v>4068</v>
      </c>
      <c r="BL1651" t="s">
        <v>16322</v>
      </c>
      <c r="BM1651" t="s">
        <v>18702</v>
      </c>
      <c r="BN1651" t="s">
        <v>14623</v>
      </c>
    </row>
    <row r="1652" spans="1:66" x14ac:dyDescent="0.25">
      <c r="A1652" t="str">
        <f>HYPERLINK("https://elite.finviz.com/quote.ashx?t=SINT&amp;ty=c&amp;p=d&amp;b=1", "SINT")</f>
        <v>SINT</v>
      </c>
      <c r="B1652">
        <v>6</v>
      </c>
      <c r="C1652">
        <v>127.03</v>
      </c>
      <c r="D1652">
        <v>54.71</v>
      </c>
      <c r="E1652" t="s">
        <v>18703</v>
      </c>
      <c r="F1652" t="s">
        <v>107</v>
      </c>
      <c r="G1652" t="s">
        <v>428</v>
      </c>
      <c r="H1652" t="s">
        <v>2051</v>
      </c>
      <c r="I1652" t="s">
        <v>70</v>
      </c>
      <c r="J1652" t="s">
        <v>321</v>
      </c>
      <c r="K1652">
        <v>12.63</v>
      </c>
      <c r="L1652">
        <v>4.58</v>
      </c>
      <c r="M1652" t="s">
        <v>2734</v>
      </c>
      <c r="N1652">
        <v>12730</v>
      </c>
      <c r="R1652">
        <v>6.79</v>
      </c>
      <c r="S1652">
        <v>2.85</v>
      </c>
      <c r="AA1652">
        <v>-10.43</v>
      </c>
      <c r="AB1652" t="s">
        <v>18438</v>
      </c>
      <c r="AC1652" t="s">
        <v>12177</v>
      </c>
      <c r="AE1652" t="s">
        <v>15818</v>
      </c>
      <c r="AF1652" t="s">
        <v>18704</v>
      </c>
      <c r="AG1652" t="s">
        <v>18705</v>
      </c>
      <c r="AH1652" t="s">
        <v>18706</v>
      </c>
      <c r="AI1652" t="s">
        <v>18707</v>
      </c>
      <c r="AJ1652" t="s">
        <v>7618</v>
      </c>
      <c r="AK1652" t="s">
        <v>2408</v>
      </c>
      <c r="AL1652">
        <v>2.57</v>
      </c>
      <c r="AM1652">
        <v>2.41</v>
      </c>
      <c r="AN1652">
        <v>0.88</v>
      </c>
      <c r="AO1652" t="s">
        <v>6689</v>
      </c>
      <c r="AP1652" t="s">
        <v>18708</v>
      </c>
      <c r="AQ1652" t="s">
        <v>18709</v>
      </c>
      <c r="AR1652" t="s">
        <v>13358</v>
      </c>
      <c r="AS1652" t="s">
        <v>10918</v>
      </c>
      <c r="AT1652" t="s">
        <v>2418</v>
      </c>
      <c r="AU1652" t="s">
        <v>5346</v>
      </c>
      <c r="AV1652" t="s">
        <v>18710</v>
      </c>
      <c r="AW1652" t="s">
        <v>5820</v>
      </c>
      <c r="AX1652" t="s">
        <v>12634</v>
      </c>
      <c r="AY1652" t="s">
        <v>18711</v>
      </c>
      <c r="AZ1652" t="s">
        <v>18712</v>
      </c>
      <c r="BA1652">
        <v>1</v>
      </c>
      <c r="BB1652">
        <v>787.41</v>
      </c>
      <c r="BC1652">
        <v>0.06</v>
      </c>
      <c r="BD1652">
        <v>4.54</v>
      </c>
      <c r="BE1652">
        <v>4.8</v>
      </c>
      <c r="BF1652">
        <v>4.59</v>
      </c>
      <c r="BG1652" t="s">
        <v>18713</v>
      </c>
      <c r="BH1652" t="s">
        <v>579</v>
      </c>
      <c r="BI1652" t="s">
        <v>18712</v>
      </c>
      <c r="BJ1652" t="s">
        <v>101</v>
      </c>
      <c r="BK1652" t="s">
        <v>2767</v>
      </c>
      <c r="BL1652" t="s">
        <v>18714</v>
      </c>
      <c r="BM1652" t="s">
        <v>18715</v>
      </c>
      <c r="BN1652" t="s">
        <v>14623</v>
      </c>
    </row>
    <row r="1653" spans="1:66" x14ac:dyDescent="0.25">
      <c r="A1653" t="str">
        <f>HYPERLINK("https://elite.finviz.com/quote.ashx?t=DIN&amp;ty=c&amp;p=d&amp;b=1", "DIN")</f>
        <v>DIN</v>
      </c>
      <c r="B1653">
        <v>6</v>
      </c>
      <c r="C1653">
        <v>127.03</v>
      </c>
      <c r="D1653">
        <v>54.71</v>
      </c>
      <c r="E1653" t="s">
        <v>18716</v>
      </c>
      <c r="F1653" t="s">
        <v>67</v>
      </c>
      <c r="G1653" t="s">
        <v>813</v>
      </c>
      <c r="H1653" t="s">
        <v>2285</v>
      </c>
      <c r="I1653" t="s">
        <v>70</v>
      </c>
      <c r="J1653" t="s">
        <v>71</v>
      </c>
      <c r="K1653">
        <v>373.48</v>
      </c>
      <c r="L1653">
        <v>24.28</v>
      </c>
      <c r="M1653" t="s">
        <v>1714</v>
      </c>
      <c r="N1653">
        <v>90671</v>
      </c>
      <c r="O1653">
        <v>8.11</v>
      </c>
      <c r="P1653">
        <v>5.27</v>
      </c>
      <c r="Q1653">
        <v>5.2</v>
      </c>
      <c r="R1653">
        <v>0.44</v>
      </c>
      <c r="T1653" t="s">
        <v>1252</v>
      </c>
      <c r="U1653">
        <v>2.04</v>
      </c>
      <c r="V1653" t="s">
        <v>7552</v>
      </c>
      <c r="W1653" t="s">
        <v>164</v>
      </c>
      <c r="X1653" t="s">
        <v>4434</v>
      </c>
      <c r="Y1653" t="s">
        <v>8654</v>
      </c>
      <c r="Z1653" t="s">
        <v>7434</v>
      </c>
      <c r="AA1653">
        <v>2.99</v>
      </c>
      <c r="AB1653" t="s">
        <v>11663</v>
      </c>
      <c r="AC1653" t="s">
        <v>2354</v>
      </c>
      <c r="AD1653" t="s">
        <v>192</v>
      </c>
      <c r="AE1653" t="s">
        <v>6937</v>
      </c>
      <c r="AF1653" t="s">
        <v>345</v>
      </c>
      <c r="AG1653" t="s">
        <v>7867</v>
      </c>
      <c r="AH1653" t="s">
        <v>2377</v>
      </c>
      <c r="AI1653" t="s">
        <v>18717</v>
      </c>
      <c r="AJ1653" t="s">
        <v>1488</v>
      </c>
      <c r="AK1653" t="s">
        <v>8075</v>
      </c>
      <c r="AL1653">
        <v>0.86</v>
      </c>
      <c r="AM1653">
        <v>0.86</v>
      </c>
      <c r="AO1653" t="s">
        <v>18718</v>
      </c>
      <c r="AP1653" t="s">
        <v>3794</v>
      </c>
      <c r="AQ1653" t="s">
        <v>8966</v>
      </c>
      <c r="AR1653" t="s">
        <v>165</v>
      </c>
      <c r="AS1653" t="s">
        <v>3613</v>
      </c>
      <c r="AT1653" t="s">
        <v>7423</v>
      </c>
      <c r="AU1653" t="s">
        <v>3983</v>
      </c>
      <c r="AV1653" t="s">
        <v>3315</v>
      </c>
      <c r="AW1653" t="s">
        <v>1571</v>
      </c>
      <c r="AX1653" t="s">
        <v>3426</v>
      </c>
      <c r="AY1653" t="s">
        <v>18719</v>
      </c>
      <c r="AZ1653" t="s">
        <v>3399</v>
      </c>
      <c r="BA1653">
        <v>2.67</v>
      </c>
      <c r="BB1653">
        <v>498.85</v>
      </c>
      <c r="BC1653">
        <v>0.64</v>
      </c>
      <c r="BD1653">
        <v>24.42</v>
      </c>
      <c r="BE1653">
        <v>24.57</v>
      </c>
      <c r="BF1653">
        <v>24.17</v>
      </c>
      <c r="BG1653" t="s">
        <v>18720</v>
      </c>
      <c r="BH1653" t="s">
        <v>16991</v>
      </c>
      <c r="BI1653" t="s">
        <v>18721</v>
      </c>
      <c r="BJ1653" t="s">
        <v>101</v>
      </c>
      <c r="BK1653" t="s">
        <v>8402</v>
      </c>
      <c r="BL1653" t="s">
        <v>1690</v>
      </c>
      <c r="BM1653" t="s">
        <v>10531</v>
      </c>
      <c r="BN1653" t="s">
        <v>14623</v>
      </c>
    </row>
    <row r="1654" spans="1:66" x14ac:dyDescent="0.25">
      <c r="A1654" t="str">
        <f>HYPERLINK("https://elite.finviz.com/quote.ashx?t=VYGR&amp;ty=c&amp;p=d&amp;b=1", "VYGR")</f>
        <v>VYGR</v>
      </c>
      <c r="B1654">
        <v>6</v>
      </c>
      <c r="C1654">
        <v>127.03</v>
      </c>
      <c r="D1654">
        <v>54.72</v>
      </c>
      <c r="E1654" t="s">
        <v>18722</v>
      </c>
      <c r="F1654" t="s">
        <v>67</v>
      </c>
      <c r="G1654" t="s">
        <v>428</v>
      </c>
      <c r="H1654" t="s">
        <v>429</v>
      </c>
      <c r="I1654" t="s">
        <v>70</v>
      </c>
      <c r="J1654" t="s">
        <v>321</v>
      </c>
      <c r="K1654">
        <v>229.37</v>
      </c>
      <c r="L1654">
        <v>4.1399999999999997</v>
      </c>
      <c r="M1654" t="s">
        <v>1837</v>
      </c>
      <c r="N1654">
        <v>87504</v>
      </c>
      <c r="R1654">
        <v>5.39</v>
      </c>
      <c r="S1654">
        <v>0.94</v>
      </c>
      <c r="AA1654">
        <v>-1.85</v>
      </c>
      <c r="AB1654" t="s">
        <v>15941</v>
      </c>
      <c r="AC1654" t="s">
        <v>5116</v>
      </c>
      <c r="AD1654" t="s">
        <v>9091</v>
      </c>
      <c r="AE1654" t="s">
        <v>18723</v>
      </c>
      <c r="AF1654" t="s">
        <v>18724</v>
      </c>
      <c r="AG1654" t="s">
        <v>16056</v>
      </c>
      <c r="AH1654" t="s">
        <v>18706</v>
      </c>
      <c r="AI1654" t="s">
        <v>6303</v>
      </c>
      <c r="AJ1654" t="s">
        <v>2486</v>
      </c>
      <c r="AK1654" t="s">
        <v>11410</v>
      </c>
      <c r="AL1654">
        <v>5.43</v>
      </c>
      <c r="AM1654">
        <v>5.43</v>
      </c>
      <c r="AN1654">
        <v>0.16</v>
      </c>
      <c r="AO1654" t="s">
        <v>5526</v>
      </c>
      <c r="AP1654" t="s">
        <v>18725</v>
      </c>
      <c r="AQ1654" t="s">
        <v>18726</v>
      </c>
      <c r="AR1654" t="s">
        <v>4551</v>
      </c>
      <c r="AS1654" t="s">
        <v>2585</v>
      </c>
      <c r="AT1654" t="s">
        <v>7388</v>
      </c>
      <c r="AU1654" t="s">
        <v>3955</v>
      </c>
      <c r="AV1654" t="s">
        <v>2494</v>
      </c>
      <c r="AW1654" t="s">
        <v>967</v>
      </c>
      <c r="AX1654" t="s">
        <v>18684</v>
      </c>
      <c r="AY1654" t="s">
        <v>18727</v>
      </c>
      <c r="AZ1654" t="s">
        <v>18728</v>
      </c>
      <c r="BA1654">
        <v>1.08</v>
      </c>
      <c r="BB1654">
        <v>741.24</v>
      </c>
      <c r="BC1654">
        <v>0.42</v>
      </c>
      <c r="BD1654">
        <v>4.09</v>
      </c>
      <c r="BE1654">
        <v>4.18</v>
      </c>
      <c r="BF1654">
        <v>4.0599999999999996</v>
      </c>
      <c r="BG1654" t="s">
        <v>18729</v>
      </c>
      <c r="BH1654" t="s">
        <v>12567</v>
      </c>
      <c r="BI1654" t="s">
        <v>9141</v>
      </c>
      <c r="BJ1654" t="s">
        <v>101</v>
      </c>
      <c r="BK1654" t="s">
        <v>7364</v>
      </c>
      <c r="BL1654" t="s">
        <v>5738</v>
      </c>
      <c r="BM1654" t="s">
        <v>18730</v>
      </c>
      <c r="BN1654" t="s">
        <v>14623</v>
      </c>
    </row>
    <row r="1655" spans="1:66" x14ac:dyDescent="0.25">
      <c r="A1655" t="str">
        <f>HYPERLINK("https://elite.finviz.com/quote.ashx?t=HII&amp;ty=c&amp;p=d&amp;b=1", "HII")</f>
        <v>HII</v>
      </c>
      <c r="B1655">
        <v>6</v>
      </c>
      <c r="C1655">
        <v>127.03</v>
      </c>
      <c r="D1655">
        <v>54.72</v>
      </c>
      <c r="E1655" t="s">
        <v>18731</v>
      </c>
      <c r="F1655" t="s">
        <v>195</v>
      </c>
      <c r="G1655" t="s">
        <v>260</v>
      </c>
      <c r="H1655" t="s">
        <v>4779</v>
      </c>
      <c r="I1655" t="s">
        <v>70</v>
      </c>
      <c r="J1655" t="s">
        <v>71</v>
      </c>
      <c r="K1655">
        <v>10769.98</v>
      </c>
      <c r="L1655">
        <v>274.45999999999998</v>
      </c>
      <c r="M1655" t="s">
        <v>102</v>
      </c>
      <c r="N1655">
        <v>49096</v>
      </c>
      <c r="O1655">
        <v>20.56</v>
      </c>
      <c r="P1655">
        <v>16.12</v>
      </c>
      <c r="Q1655">
        <v>1.7</v>
      </c>
      <c r="R1655">
        <v>0.93</v>
      </c>
      <c r="S1655">
        <v>2.21</v>
      </c>
      <c r="T1655" t="s">
        <v>4256</v>
      </c>
      <c r="U1655">
        <v>5.4</v>
      </c>
      <c r="V1655" t="s">
        <v>4882</v>
      </c>
      <c r="W1655" t="s">
        <v>4052</v>
      </c>
      <c r="X1655" t="s">
        <v>8229</v>
      </c>
      <c r="Y1655" t="s">
        <v>5122</v>
      </c>
      <c r="Z1655" t="s">
        <v>17679</v>
      </c>
      <c r="AA1655">
        <v>13.35</v>
      </c>
      <c r="AB1655" t="s">
        <v>4902</v>
      </c>
      <c r="AC1655" t="s">
        <v>2144</v>
      </c>
      <c r="AD1655" t="s">
        <v>14148</v>
      </c>
      <c r="AE1655" t="s">
        <v>11830</v>
      </c>
      <c r="AF1655" t="s">
        <v>6075</v>
      </c>
      <c r="AG1655" t="s">
        <v>3066</v>
      </c>
      <c r="AH1655" t="s">
        <v>2822</v>
      </c>
      <c r="AI1655" t="s">
        <v>7851</v>
      </c>
      <c r="AJ1655" t="s">
        <v>1119</v>
      </c>
      <c r="AK1655" t="s">
        <v>8443</v>
      </c>
      <c r="AL1655">
        <v>1.08</v>
      </c>
      <c r="AM1655">
        <v>1</v>
      </c>
      <c r="AN1655">
        <v>0.6</v>
      </c>
      <c r="AO1655" t="s">
        <v>511</v>
      </c>
      <c r="AP1655" t="s">
        <v>1148</v>
      </c>
      <c r="AQ1655" t="s">
        <v>10226</v>
      </c>
      <c r="AR1655" t="s">
        <v>2808</v>
      </c>
      <c r="AS1655" t="s">
        <v>2202</v>
      </c>
      <c r="AT1655" t="s">
        <v>3463</v>
      </c>
      <c r="AU1655" t="s">
        <v>2421</v>
      </c>
      <c r="AV1655" t="s">
        <v>2999</v>
      </c>
      <c r="AW1655" t="s">
        <v>657</v>
      </c>
      <c r="AX1655" t="s">
        <v>2210</v>
      </c>
      <c r="AY1655" t="s">
        <v>657</v>
      </c>
      <c r="AZ1655" t="s">
        <v>18732</v>
      </c>
      <c r="BA1655">
        <v>2.36</v>
      </c>
      <c r="BB1655">
        <v>460.96</v>
      </c>
      <c r="BC1655">
        <v>0.38</v>
      </c>
      <c r="BD1655">
        <v>271.25</v>
      </c>
      <c r="BE1655">
        <v>276.38</v>
      </c>
      <c r="BF1655">
        <v>273.25</v>
      </c>
      <c r="BG1655" t="s">
        <v>18733</v>
      </c>
      <c r="BH1655" t="s">
        <v>10375</v>
      </c>
      <c r="BI1655" t="s">
        <v>18734</v>
      </c>
      <c r="BJ1655" t="s">
        <v>101</v>
      </c>
      <c r="BK1655" t="s">
        <v>2058</v>
      </c>
      <c r="BL1655" t="s">
        <v>13427</v>
      </c>
      <c r="BM1655" t="s">
        <v>8593</v>
      </c>
      <c r="BN1655" t="s">
        <v>14623</v>
      </c>
    </row>
    <row r="1656" spans="1:66" x14ac:dyDescent="0.25">
      <c r="A1656" t="str">
        <f>HYPERLINK("https://elite.finviz.com/quote.ashx?t=FSEA&amp;ty=c&amp;p=d&amp;b=1", "FSEA")</f>
        <v>FSEA</v>
      </c>
      <c r="B1656">
        <v>6</v>
      </c>
      <c r="C1656">
        <v>127.03</v>
      </c>
      <c r="D1656">
        <v>54.78</v>
      </c>
      <c r="E1656" t="s">
        <v>18735</v>
      </c>
      <c r="F1656" t="s">
        <v>107</v>
      </c>
      <c r="G1656" t="s">
        <v>550</v>
      </c>
      <c r="H1656" t="s">
        <v>697</v>
      </c>
      <c r="I1656" t="s">
        <v>70</v>
      </c>
      <c r="J1656" t="s">
        <v>321</v>
      </c>
      <c r="K1656">
        <v>54.69</v>
      </c>
      <c r="L1656">
        <v>11.63</v>
      </c>
      <c r="M1656" t="s">
        <v>273</v>
      </c>
      <c r="N1656">
        <v>900</v>
      </c>
      <c r="R1656">
        <v>1.84</v>
      </c>
      <c r="S1656">
        <v>0.9</v>
      </c>
      <c r="AA1656">
        <v>0</v>
      </c>
      <c r="AC1656" t="s">
        <v>2574</v>
      </c>
      <c r="AE1656" t="s">
        <v>15809</v>
      </c>
      <c r="AF1656" t="s">
        <v>5706</v>
      </c>
      <c r="AG1656" t="s">
        <v>4223</v>
      </c>
      <c r="AH1656" t="s">
        <v>6008</v>
      </c>
      <c r="AJ1656" t="s">
        <v>193</v>
      </c>
      <c r="AK1656" t="s">
        <v>16722</v>
      </c>
      <c r="AL1656">
        <v>0.03</v>
      </c>
      <c r="AN1656">
        <v>1.1499999999999999</v>
      </c>
      <c r="AP1656" t="s">
        <v>2571</v>
      </c>
      <c r="AQ1656" t="s">
        <v>2275</v>
      </c>
      <c r="AR1656" t="s">
        <v>1025</v>
      </c>
      <c r="AS1656" t="s">
        <v>102</v>
      </c>
      <c r="AT1656" t="s">
        <v>4782</v>
      </c>
      <c r="AU1656" t="s">
        <v>343</v>
      </c>
      <c r="AV1656" t="s">
        <v>3723</v>
      </c>
      <c r="AW1656" t="s">
        <v>7262</v>
      </c>
      <c r="AX1656" t="s">
        <v>15086</v>
      </c>
      <c r="AY1656" t="s">
        <v>7262</v>
      </c>
      <c r="AZ1656" t="s">
        <v>11690</v>
      </c>
      <c r="BB1656">
        <v>4.12</v>
      </c>
      <c r="BC1656">
        <v>0.78</v>
      </c>
      <c r="BD1656">
        <v>11.5</v>
      </c>
      <c r="BE1656">
        <v>11.65</v>
      </c>
      <c r="BF1656">
        <v>11.6</v>
      </c>
      <c r="BG1656" t="s">
        <v>18736</v>
      </c>
      <c r="BH1656" t="s">
        <v>851</v>
      </c>
      <c r="BI1656" t="s">
        <v>16552</v>
      </c>
      <c r="BJ1656" t="s">
        <v>101</v>
      </c>
      <c r="BK1656" t="s">
        <v>2662</v>
      </c>
      <c r="BL1656" t="s">
        <v>206</v>
      </c>
      <c r="BM1656" t="s">
        <v>5998</v>
      </c>
      <c r="BN1656" t="s">
        <v>14623</v>
      </c>
    </row>
    <row r="1657" spans="1:66" x14ac:dyDescent="0.25">
      <c r="A1657" t="str">
        <f>HYPERLINK("https://elite.finviz.com/quote.ashx?t=PRI&amp;ty=c&amp;p=d&amp;b=1", "PRI")</f>
        <v>PRI</v>
      </c>
      <c r="B1657">
        <v>6</v>
      </c>
      <c r="C1657">
        <v>127.03</v>
      </c>
      <c r="D1657">
        <v>54.78</v>
      </c>
      <c r="E1657" t="s">
        <v>18737</v>
      </c>
      <c r="F1657" t="s">
        <v>107</v>
      </c>
      <c r="G1657" t="s">
        <v>550</v>
      </c>
      <c r="H1657" t="s">
        <v>5652</v>
      </c>
      <c r="I1657" t="s">
        <v>70</v>
      </c>
      <c r="J1657" t="s">
        <v>71</v>
      </c>
      <c r="K1657">
        <v>8949.7199999999993</v>
      </c>
      <c r="L1657">
        <v>276.3</v>
      </c>
      <c r="M1657" t="s">
        <v>969</v>
      </c>
      <c r="N1657">
        <v>21895</v>
      </c>
      <c r="O1657">
        <v>13.68</v>
      </c>
      <c r="P1657">
        <v>11.76</v>
      </c>
      <c r="Q1657">
        <v>1.59</v>
      </c>
      <c r="R1657">
        <v>2.78</v>
      </c>
      <c r="S1657">
        <v>3.9</v>
      </c>
      <c r="T1657" t="s">
        <v>2145</v>
      </c>
      <c r="U1657">
        <v>4.0199999999999996</v>
      </c>
      <c r="V1657" t="s">
        <v>4186</v>
      </c>
      <c r="W1657" t="s">
        <v>13363</v>
      </c>
      <c r="X1657" t="s">
        <v>3538</v>
      </c>
      <c r="Y1657" t="s">
        <v>13652</v>
      </c>
      <c r="Z1657" t="s">
        <v>1185</v>
      </c>
      <c r="AA1657">
        <v>20.190000000000001</v>
      </c>
      <c r="AB1657" t="s">
        <v>485</v>
      </c>
      <c r="AC1657" t="s">
        <v>3230</v>
      </c>
      <c r="AD1657" t="s">
        <v>863</v>
      </c>
      <c r="AE1657" t="s">
        <v>1772</v>
      </c>
      <c r="AF1657" t="s">
        <v>10226</v>
      </c>
      <c r="AG1657" t="s">
        <v>712</v>
      </c>
      <c r="AH1657" t="s">
        <v>1787</v>
      </c>
      <c r="AI1657" t="s">
        <v>454</v>
      </c>
      <c r="AJ1657" t="s">
        <v>1052</v>
      </c>
      <c r="AK1657" t="s">
        <v>18738</v>
      </c>
      <c r="AL1657">
        <v>1.96</v>
      </c>
      <c r="AN1657">
        <v>0.83</v>
      </c>
      <c r="AP1657" t="s">
        <v>18196</v>
      </c>
      <c r="AQ1657" t="s">
        <v>3649</v>
      </c>
      <c r="AR1657" t="s">
        <v>3638</v>
      </c>
      <c r="AS1657" t="s">
        <v>633</v>
      </c>
      <c r="AT1657" t="s">
        <v>6478</v>
      </c>
      <c r="AU1657" t="s">
        <v>7088</v>
      </c>
      <c r="AV1657" t="s">
        <v>5158</v>
      </c>
      <c r="AW1657" t="s">
        <v>5621</v>
      </c>
      <c r="AX1657" t="s">
        <v>1282</v>
      </c>
      <c r="AY1657" t="s">
        <v>18739</v>
      </c>
      <c r="AZ1657" t="s">
        <v>14442</v>
      </c>
      <c r="BA1657">
        <v>2.36</v>
      </c>
      <c r="BB1657">
        <v>186.82</v>
      </c>
      <c r="BC1657">
        <v>0.41</v>
      </c>
      <c r="BD1657">
        <v>274.04000000000002</v>
      </c>
      <c r="BE1657">
        <v>279.2</v>
      </c>
      <c r="BF1657">
        <v>274.01</v>
      </c>
      <c r="BG1657" t="s">
        <v>18740</v>
      </c>
      <c r="BH1657" t="s">
        <v>18739</v>
      </c>
      <c r="BI1657" t="s">
        <v>18741</v>
      </c>
      <c r="BJ1657" t="s">
        <v>101</v>
      </c>
      <c r="BK1657" t="s">
        <v>2892</v>
      </c>
      <c r="BL1657" t="s">
        <v>14635</v>
      </c>
      <c r="BM1657" t="s">
        <v>5102</v>
      </c>
      <c r="BN1657" t="s">
        <v>14623</v>
      </c>
    </row>
    <row r="1658" spans="1:66" x14ac:dyDescent="0.25">
      <c r="A1658" t="str">
        <f>HYPERLINK("https://elite.finviz.com/quote.ashx?t=CARE&amp;ty=c&amp;p=d&amp;b=1", "CARE")</f>
        <v>CARE</v>
      </c>
      <c r="B1658">
        <v>6</v>
      </c>
      <c r="C1658">
        <v>127.03</v>
      </c>
      <c r="D1658">
        <v>54.78</v>
      </c>
      <c r="E1658" t="s">
        <v>18742</v>
      </c>
      <c r="F1658" t="s">
        <v>67</v>
      </c>
      <c r="G1658" t="s">
        <v>550</v>
      </c>
      <c r="H1658" t="s">
        <v>697</v>
      </c>
      <c r="I1658" t="s">
        <v>70</v>
      </c>
      <c r="J1658" t="s">
        <v>321</v>
      </c>
      <c r="K1658">
        <v>444.06</v>
      </c>
      <c r="L1658">
        <v>19.59</v>
      </c>
      <c r="M1658" t="s">
        <v>2745</v>
      </c>
      <c r="N1658">
        <v>18595</v>
      </c>
      <c r="O1658">
        <v>14.41</v>
      </c>
      <c r="P1658">
        <v>9.86</v>
      </c>
      <c r="R1658">
        <v>1.78</v>
      </c>
      <c r="S1658">
        <v>1.0900000000000001</v>
      </c>
      <c r="V1658" t="s">
        <v>18743</v>
      </c>
      <c r="Z1658" t="s">
        <v>164</v>
      </c>
      <c r="AA1658">
        <v>1.36</v>
      </c>
      <c r="AB1658" t="s">
        <v>4704</v>
      </c>
      <c r="AC1658" t="s">
        <v>2644</v>
      </c>
      <c r="AE1658" t="s">
        <v>12383</v>
      </c>
      <c r="AF1658" t="s">
        <v>8456</v>
      </c>
      <c r="AG1658" t="s">
        <v>4819</v>
      </c>
      <c r="AH1658" t="s">
        <v>6460</v>
      </c>
      <c r="AI1658" t="s">
        <v>11443</v>
      </c>
      <c r="AJ1658" t="s">
        <v>79</v>
      </c>
      <c r="AK1658" t="s">
        <v>18744</v>
      </c>
      <c r="AL1658">
        <v>0.03</v>
      </c>
      <c r="AN1658">
        <v>0.28000000000000003</v>
      </c>
      <c r="AP1658" t="s">
        <v>8400</v>
      </c>
      <c r="AQ1658" t="s">
        <v>4829</v>
      </c>
      <c r="AR1658" t="s">
        <v>1760</v>
      </c>
      <c r="AS1658" t="s">
        <v>2876</v>
      </c>
      <c r="AT1658" t="s">
        <v>6194</v>
      </c>
      <c r="AU1658" t="s">
        <v>7699</v>
      </c>
      <c r="AV1658" t="s">
        <v>4558</v>
      </c>
      <c r="AW1658" t="s">
        <v>9070</v>
      </c>
      <c r="AX1658" t="s">
        <v>1999</v>
      </c>
      <c r="AY1658" t="s">
        <v>9070</v>
      </c>
      <c r="AZ1658" t="s">
        <v>9129</v>
      </c>
      <c r="BA1658">
        <v>1.33</v>
      </c>
      <c r="BB1658">
        <v>79.099999999999994</v>
      </c>
      <c r="BC1658">
        <v>0.84</v>
      </c>
      <c r="BD1658">
        <v>19.600000000000001</v>
      </c>
      <c r="BE1658">
        <v>19.940000000000001</v>
      </c>
      <c r="BF1658">
        <v>19.579999999999998</v>
      </c>
      <c r="BG1658" t="s">
        <v>18745</v>
      </c>
      <c r="BH1658" t="s">
        <v>14951</v>
      </c>
      <c r="BI1658" t="s">
        <v>18746</v>
      </c>
      <c r="BJ1658" t="s">
        <v>101</v>
      </c>
      <c r="BK1658" t="s">
        <v>2913</v>
      </c>
      <c r="BL1658" t="s">
        <v>8735</v>
      </c>
      <c r="BM1658" t="s">
        <v>8379</v>
      </c>
      <c r="BN1658" t="s">
        <v>14623</v>
      </c>
    </row>
    <row r="1659" spans="1:66" x14ac:dyDescent="0.25">
      <c r="A1659" t="str">
        <f>HYPERLINK("https://elite.finviz.com/quote.ashx?t=VTGN&amp;ty=c&amp;p=d&amp;b=1", "VTGN")</f>
        <v>VTGN</v>
      </c>
      <c r="B1659">
        <v>6</v>
      </c>
      <c r="C1659">
        <v>127.03</v>
      </c>
      <c r="D1659">
        <v>54.81</v>
      </c>
      <c r="E1659" t="s">
        <v>18747</v>
      </c>
      <c r="F1659" t="s">
        <v>107</v>
      </c>
      <c r="G1659" t="s">
        <v>428</v>
      </c>
      <c r="H1659" t="s">
        <v>429</v>
      </c>
      <c r="I1659" t="s">
        <v>70</v>
      </c>
      <c r="J1659" t="s">
        <v>321</v>
      </c>
      <c r="K1659">
        <v>103.94</v>
      </c>
      <c r="L1659">
        <v>3.39</v>
      </c>
      <c r="M1659" t="s">
        <v>2362</v>
      </c>
      <c r="N1659">
        <v>112001</v>
      </c>
      <c r="R1659">
        <v>148.49</v>
      </c>
      <c r="S1659">
        <v>1.75</v>
      </c>
      <c r="AA1659">
        <v>-1.58</v>
      </c>
      <c r="AB1659" t="s">
        <v>4625</v>
      </c>
      <c r="AC1659" t="s">
        <v>4165</v>
      </c>
      <c r="AD1659" t="s">
        <v>7663</v>
      </c>
      <c r="AE1659" t="s">
        <v>18748</v>
      </c>
      <c r="AF1659" t="s">
        <v>15106</v>
      </c>
      <c r="AH1659" t="s">
        <v>5081</v>
      </c>
      <c r="AI1659" t="s">
        <v>3047</v>
      </c>
      <c r="AJ1659" t="s">
        <v>164</v>
      </c>
      <c r="AK1659" t="s">
        <v>9862</v>
      </c>
      <c r="AL1659">
        <v>5.98</v>
      </c>
      <c r="AM1659">
        <v>5.98</v>
      </c>
      <c r="AN1659">
        <v>0.04</v>
      </c>
      <c r="AO1659" t="s">
        <v>6751</v>
      </c>
      <c r="AP1659" t="s">
        <v>18749</v>
      </c>
      <c r="AQ1659" t="s">
        <v>18750</v>
      </c>
      <c r="AR1659" t="s">
        <v>1114</v>
      </c>
      <c r="AS1659" t="s">
        <v>6106</v>
      </c>
      <c r="AT1659" t="s">
        <v>306</v>
      </c>
      <c r="AU1659" t="s">
        <v>4518</v>
      </c>
      <c r="AV1659" t="s">
        <v>1162</v>
      </c>
      <c r="AW1659" t="s">
        <v>10968</v>
      </c>
      <c r="AX1659" t="s">
        <v>18751</v>
      </c>
      <c r="AY1659" t="s">
        <v>10968</v>
      </c>
      <c r="AZ1659" t="s">
        <v>14367</v>
      </c>
      <c r="BA1659">
        <v>1</v>
      </c>
      <c r="BB1659">
        <v>523.61</v>
      </c>
      <c r="BC1659">
        <v>0.75</v>
      </c>
      <c r="BD1659">
        <v>3.37</v>
      </c>
      <c r="BE1659">
        <v>3.45</v>
      </c>
      <c r="BF1659">
        <v>3.31</v>
      </c>
      <c r="BG1659" t="s">
        <v>18752</v>
      </c>
      <c r="BH1659" t="s">
        <v>18753</v>
      </c>
      <c r="BI1659" t="s">
        <v>18754</v>
      </c>
      <c r="BJ1659" t="s">
        <v>101</v>
      </c>
      <c r="BK1659" t="s">
        <v>1312</v>
      </c>
      <c r="BL1659" t="s">
        <v>2790</v>
      </c>
      <c r="BM1659" t="s">
        <v>794</v>
      </c>
      <c r="BN1659" t="s">
        <v>14623</v>
      </c>
    </row>
    <row r="1660" spans="1:66" x14ac:dyDescent="0.25">
      <c r="A1660" t="str">
        <f>HYPERLINK("https://elite.finviz.com/quote.ashx?t=BMEA&amp;ty=c&amp;p=d&amp;b=1", "BMEA")</f>
        <v>BMEA</v>
      </c>
      <c r="B1660">
        <v>6</v>
      </c>
      <c r="C1660">
        <v>127.03</v>
      </c>
      <c r="D1660">
        <v>54.84</v>
      </c>
      <c r="E1660" t="s">
        <v>18755</v>
      </c>
      <c r="F1660" t="s">
        <v>107</v>
      </c>
      <c r="G1660" t="s">
        <v>428</v>
      </c>
      <c r="H1660" t="s">
        <v>429</v>
      </c>
      <c r="I1660" t="s">
        <v>70</v>
      </c>
      <c r="J1660" t="s">
        <v>321</v>
      </c>
      <c r="K1660">
        <v>119.61</v>
      </c>
      <c r="L1660">
        <v>2.0099999999999998</v>
      </c>
      <c r="M1660" t="s">
        <v>1119</v>
      </c>
      <c r="N1660">
        <v>119653</v>
      </c>
      <c r="S1660">
        <v>4.25</v>
      </c>
      <c r="AA1660">
        <v>-3.02</v>
      </c>
      <c r="AB1660" t="s">
        <v>18756</v>
      </c>
      <c r="AC1660" t="s">
        <v>18757</v>
      </c>
      <c r="AD1660" t="s">
        <v>2790</v>
      </c>
      <c r="AI1660" t="s">
        <v>4395</v>
      </c>
      <c r="AJ1660" t="s">
        <v>164</v>
      </c>
      <c r="AK1660" t="s">
        <v>18758</v>
      </c>
      <c r="AL1660">
        <v>3.68</v>
      </c>
      <c r="AM1660">
        <v>3.68</v>
      </c>
      <c r="AN1660">
        <v>0.26</v>
      </c>
      <c r="AR1660" t="s">
        <v>2777</v>
      </c>
      <c r="AS1660" t="s">
        <v>2386</v>
      </c>
      <c r="AT1660" t="s">
        <v>2742</v>
      </c>
      <c r="AU1660" t="s">
        <v>2555</v>
      </c>
      <c r="AV1660" t="s">
        <v>18759</v>
      </c>
      <c r="AW1660" t="s">
        <v>706</v>
      </c>
      <c r="AX1660" t="s">
        <v>18760</v>
      </c>
      <c r="AY1660" t="s">
        <v>4360</v>
      </c>
      <c r="AZ1660" t="s">
        <v>14132</v>
      </c>
      <c r="BA1660">
        <v>1.29</v>
      </c>
      <c r="BB1660">
        <v>894.62</v>
      </c>
      <c r="BC1660">
        <v>0.47</v>
      </c>
      <c r="BD1660">
        <v>2.0499999999999998</v>
      </c>
      <c r="BE1660">
        <v>2.0499999999999998</v>
      </c>
      <c r="BF1660">
        <v>2.0099999999999998</v>
      </c>
      <c r="BG1660" t="s">
        <v>18761</v>
      </c>
      <c r="BH1660" t="s">
        <v>18762</v>
      </c>
      <c r="BI1660" t="s">
        <v>14132</v>
      </c>
      <c r="BJ1660" t="s">
        <v>101</v>
      </c>
      <c r="BK1660" t="s">
        <v>3600</v>
      </c>
      <c r="BL1660" t="s">
        <v>557</v>
      </c>
      <c r="BM1660" t="s">
        <v>18763</v>
      </c>
      <c r="BN1660" t="s">
        <v>14623</v>
      </c>
    </row>
    <row r="1661" spans="1:66" x14ac:dyDescent="0.25">
      <c r="A1661" t="str">
        <f>HYPERLINK("https://elite.finviz.com/quote.ashx?t=HOTH&amp;ty=c&amp;p=d&amp;b=1", "HOTH")</f>
        <v>HOTH</v>
      </c>
      <c r="B1661">
        <v>6</v>
      </c>
      <c r="C1661">
        <v>127.03</v>
      </c>
      <c r="D1661">
        <v>54.86</v>
      </c>
      <c r="E1661" t="s">
        <v>18764</v>
      </c>
      <c r="F1661" t="s">
        <v>107</v>
      </c>
      <c r="G1661" t="s">
        <v>428</v>
      </c>
      <c r="H1661" t="s">
        <v>429</v>
      </c>
      <c r="I1661" t="s">
        <v>70</v>
      </c>
      <c r="J1661" t="s">
        <v>321</v>
      </c>
      <c r="K1661">
        <v>22.94</v>
      </c>
      <c r="L1661">
        <v>1.73</v>
      </c>
      <c r="M1661" t="s">
        <v>2827</v>
      </c>
      <c r="N1661">
        <v>253438</v>
      </c>
      <c r="S1661">
        <v>2.35</v>
      </c>
      <c r="AA1661">
        <v>-1.08</v>
      </c>
      <c r="AB1661" t="s">
        <v>18765</v>
      </c>
      <c r="AC1661" t="s">
        <v>11131</v>
      </c>
      <c r="AD1661" t="s">
        <v>17163</v>
      </c>
      <c r="AI1661" t="s">
        <v>164</v>
      </c>
      <c r="AJ1661" t="s">
        <v>164</v>
      </c>
      <c r="AK1661" t="s">
        <v>1439</v>
      </c>
      <c r="AL1661">
        <v>27.57</v>
      </c>
      <c r="AM1661">
        <v>27.57</v>
      </c>
      <c r="AN1661">
        <v>0</v>
      </c>
      <c r="AR1661" t="s">
        <v>2403</v>
      </c>
      <c r="AS1661" t="s">
        <v>2403</v>
      </c>
      <c r="AT1661" t="s">
        <v>2370</v>
      </c>
      <c r="AU1661" t="s">
        <v>8087</v>
      </c>
      <c r="AV1661" t="s">
        <v>1143</v>
      </c>
      <c r="AW1661" t="s">
        <v>1174</v>
      </c>
      <c r="AX1661" t="s">
        <v>8776</v>
      </c>
      <c r="AY1661" t="s">
        <v>18766</v>
      </c>
      <c r="AZ1661" t="s">
        <v>18767</v>
      </c>
      <c r="BA1661">
        <v>1</v>
      </c>
      <c r="BB1661">
        <v>978.74</v>
      </c>
      <c r="BC1661">
        <v>0.91</v>
      </c>
      <c r="BD1661">
        <v>1.81</v>
      </c>
      <c r="BE1661">
        <v>1.83</v>
      </c>
      <c r="BF1661">
        <v>1.72</v>
      </c>
      <c r="BG1661" t="s">
        <v>18768</v>
      </c>
      <c r="BH1661" t="s">
        <v>17722</v>
      </c>
      <c r="BI1661" t="s">
        <v>18769</v>
      </c>
      <c r="BJ1661" t="s">
        <v>101</v>
      </c>
      <c r="BK1661" t="s">
        <v>7891</v>
      </c>
      <c r="BL1661" t="s">
        <v>7929</v>
      </c>
      <c r="BM1661" t="s">
        <v>11759</v>
      </c>
      <c r="BN1661" t="s">
        <v>14623</v>
      </c>
    </row>
    <row r="1662" spans="1:66" x14ac:dyDescent="0.25">
      <c r="A1662" t="str">
        <f>HYPERLINK("https://elite.finviz.com/quote.ashx?t=IPI&amp;ty=c&amp;p=d&amp;b=1", "IPI")</f>
        <v>IPI</v>
      </c>
      <c r="B1662">
        <v>6</v>
      </c>
      <c r="C1662">
        <v>127.03</v>
      </c>
      <c r="D1662">
        <v>54.86</v>
      </c>
      <c r="E1662" t="s">
        <v>18770</v>
      </c>
      <c r="F1662" t="s">
        <v>67</v>
      </c>
      <c r="G1662" t="s">
        <v>355</v>
      </c>
      <c r="H1662" t="s">
        <v>9610</v>
      </c>
      <c r="I1662" t="s">
        <v>70</v>
      </c>
      <c r="J1662" t="s">
        <v>71</v>
      </c>
      <c r="K1662">
        <v>406</v>
      </c>
      <c r="L1662">
        <v>30.49</v>
      </c>
      <c r="M1662" t="s">
        <v>3173</v>
      </c>
      <c r="N1662">
        <v>37583</v>
      </c>
      <c r="P1662">
        <v>261.02</v>
      </c>
      <c r="R1662">
        <v>1.44</v>
      </c>
      <c r="S1662">
        <v>0.82</v>
      </c>
      <c r="V1662" t="s">
        <v>923</v>
      </c>
      <c r="AA1662">
        <v>-15.58</v>
      </c>
      <c r="AD1662" t="s">
        <v>6677</v>
      </c>
      <c r="AE1662" t="s">
        <v>8372</v>
      </c>
      <c r="AF1662" t="s">
        <v>4537</v>
      </c>
      <c r="AG1662" t="s">
        <v>7154</v>
      </c>
      <c r="AH1662" t="s">
        <v>2018</v>
      </c>
      <c r="AI1662" t="s">
        <v>18771</v>
      </c>
      <c r="AJ1662" t="s">
        <v>4417</v>
      </c>
      <c r="AK1662" t="s">
        <v>18772</v>
      </c>
      <c r="AL1662">
        <v>5.28</v>
      </c>
      <c r="AM1662">
        <v>2.78</v>
      </c>
      <c r="AN1662">
        <v>0.01</v>
      </c>
      <c r="AO1662" t="s">
        <v>4523</v>
      </c>
      <c r="AP1662" t="s">
        <v>2640</v>
      </c>
      <c r="AQ1662" t="s">
        <v>18773</v>
      </c>
      <c r="AR1662" t="s">
        <v>3983</v>
      </c>
      <c r="AS1662" t="s">
        <v>3519</v>
      </c>
      <c r="AT1662" t="s">
        <v>1751</v>
      </c>
      <c r="AU1662" t="s">
        <v>1554</v>
      </c>
      <c r="AV1662" t="s">
        <v>343</v>
      </c>
      <c r="AW1662" t="s">
        <v>529</v>
      </c>
      <c r="AX1662" t="s">
        <v>8594</v>
      </c>
      <c r="AY1662" t="s">
        <v>18774</v>
      </c>
      <c r="AZ1662" t="s">
        <v>17815</v>
      </c>
      <c r="BA1662">
        <v>5</v>
      </c>
      <c r="BB1662">
        <v>162.52000000000001</v>
      </c>
      <c r="BC1662">
        <v>0.81</v>
      </c>
      <c r="BD1662">
        <v>29.66</v>
      </c>
      <c r="BE1662">
        <v>30.53</v>
      </c>
      <c r="BF1662">
        <v>29.35</v>
      </c>
      <c r="BG1662" t="s">
        <v>18775</v>
      </c>
      <c r="BH1662" t="s">
        <v>14374</v>
      </c>
      <c r="BI1662" t="s">
        <v>18776</v>
      </c>
      <c r="BJ1662" t="s">
        <v>101</v>
      </c>
      <c r="BK1662" t="s">
        <v>18777</v>
      </c>
      <c r="BL1662" t="s">
        <v>2082</v>
      </c>
      <c r="BM1662" t="s">
        <v>1663</v>
      </c>
      <c r="BN1662" t="s">
        <v>14623</v>
      </c>
    </row>
    <row r="1663" spans="1:66" x14ac:dyDescent="0.25">
      <c r="A1663" t="str">
        <f>HYPERLINK("https://elite.finviz.com/quote.ashx?t=RDI&amp;ty=c&amp;p=d&amp;b=1", "RDI")</f>
        <v>RDI</v>
      </c>
      <c r="B1663">
        <v>6</v>
      </c>
      <c r="C1663">
        <v>127.03</v>
      </c>
      <c r="D1663">
        <v>54.87</v>
      </c>
      <c r="E1663" t="s">
        <v>18778</v>
      </c>
      <c r="F1663" t="s">
        <v>107</v>
      </c>
      <c r="G1663" t="s">
        <v>598</v>
      </c>
      <c r="H1663" t="s">
        <v>4247</v>
      </c>
      <c r="I1663" t="s">
        <v>70</v>
      </c>
      <c r="J1663" t="s">
        <v>321</v>
      </c>
      <c r="K1663">
        <v>51.78</v>
      </c>
      <c r="L1663">
        <v>1.55</v>
      </c>
      <c r="M1663" t="s">
        <v>213</v>
      </c>
      <c r="N1663">
        <v>3948</v>
      </c>
      <c r="R1663">
        <v>0.24</v>
      </c>
      <c r="AA1663">
        <v>-0.74</v>
      </c>
      <c r="AC1663" t="s">
        <v>6775</v>
      </c>
      <c r="AE1663" t="s">
        <v>2351</v>
      </c>
      <c r="AF1663" t="s">
        <v>10794</v>
      </c>
      <c r="AG1663" t="s">
        <v>6345</v>
      </c>
      <c r="AH1663" t="s">
        <v>5708</v>
      </c>
      <c r="AI1663" t="s">
        <v>18779</v>
      </c>
      <c r="AJ1663" t="s">
        <v>1358</v>
      </c>
      <c r="AK1663" t="s">
        <v>4310</v>
      </c>
      <c r="AL1663">
        <v>0.16</v>
      </c>
      <c r="AM1663">
        <v>0.15</v>
      </c>
      <c r="AO1663" t="s">
        <v>10610</v>
      </c>
      <c r="AP1663" t="s">
        <v>6449</v>
      </c>
      <c r="AQ1663" t="s">
        <v>16867</v>
      </c>
      <c r="AR1663" t="s">
        <v>4641</v>
      </c>
      <c r="AS1663" t="s">
        <v>6419</v>
      </c>
      <c r="AT1663" t="s">
        <v>6155</v>
      </c>
      <c r="AU1663" t="s">
        <v>7403</v>
      </c>
      <c r="AV1663" t="s">
        <v>5839</v>
      </c>
      <c r="AW1663" t="s">
        <v>16493</v>
      </c>
      <c r="AX1663" t="s">
        <v>4797</v>
      </c>
      <c r="AY1663" t="s">
        <v>18780</v>
      </c>
      <c r="AZ1663" t="s">
        <v>18781</v>
      </c>
      <c r="BA1663">
        <v>1</v>
      </c>
      <c r="BB1663">
        <v>46.4</v>
      </c>
      <c r="BC1663">
        <v>0.3</v>
      </c>
      <c r="BD1663">
        <v>1.51</v>
      </c>
      <c r="BE1663">
        <v>1.56</v>
      </c>
      <c r="BF1663">
        <v>1.5</v>
      </c>
      <c r="BG1663" t="s">
        <v>18782</v>
      </c>
      <c r="BH1663" t="s">
        <v>16231</v>
      </c>
      <c r="BI1663" t="s">
        <v>18781</v>
      </c>
      <c r="BJ1663" t="s">
        <v>101</v>
      </c>
      <c r="BK1663" t="s">
        <v>4797</v>
      </c>
      <c r="BL1663" t="s">
        <v>15391</v>
      </c>
      <c r="BM1663" t="s">
        <v>4636</v>
      </c>
      <c r="BN1663" t="s">
        <v>14623</v>
      </c>
    </row>
    <row r="1664" spans="1:66" x14ac:dyDescent="0.25">
      <c r="A1664" t="str">
        <f>HYPERLINK("https://elite.finviz.com/quote.ashx?t=INGN&amp;ty=c&amp;p=d&amp;b=1", "INGN")</f>
        <v>INGN</v>
      </c>
      <c r="B1664">
        <v>6</v>
      </c>
      <c r="C1664">
        <v>127.03</v>
      </c>
      <c r="D1664">
        <v>54.87</v>
      </c>
      <c r="E1664" t="s">
        <v>18783</v>
      </c>
      <c r="F1664" t="s">
        <v>67</v>
      </c>
      <c r="G1664" t="s">
        <v>428</v>
      </c>
      <c r="H1664" t="s">
        <v>2051</v>
      </c>
      <c r="I1664" t="s">
        <v>70</v>
      </c>
      <c r="J1664" t="s">
        <v>321</v>
      </c>
      <c r="K1664">
        <v>226.06</v>
      </c>
      <c r="L1664">
        <v>8.36</v>
      </c>
      <c r="M1664" t="s">
        <v>6407</v>
      </c>
      <c r="N1664">
        <v>28583</v>
      </c>
      <c r="R1664">
        <v>0.66</v>
      </c>
      <c r="S1664">
        <v>1.1299999999999999</v>
      </c>
      <c r="AA1664">
        <v>-1.06</v>
      </c>
      <c r="AB1664" t="s">
        <v>18784</v>
      </c>
      <c r="AD1664" t="s">
        <v>11064</v>
      </c>
      <c r="AE1664" t="s">
        <v>6527</v>
      </c>
      <c r="AF1664" t="s">
        <v>2723</v>
      </c>
      <c r="AG1664" t="s">
        <v>2856</v>
      </c>
      <c r="AH1664" t="s">
        <v>6475</v>
      </c>
      <c r="AI1664" t="s">
        <v>18785</v>
      </c>
      <c r="AJ1664" t="s">
        <v>164</v>
      </c>
      <c r="AK1664" t="s">
        <v>18786</v>
      </c>
      <c r="AL1664">
        <v>3.03</v>
      </c>
      <c r="AM1664">
        <v>2.67</v>
      </c>
      <c r="AN1664">
        <v>0.1</v>
      </c>
      <c r="AO1664" t="s">
        <v>18787</v>
      </c>
      <c r="AP1664" t="s">
        <v>2227</v>
      </c>
      <c r="AQ1664" t="s">
        <v>76</v>
      </c>
      <c r="AR1664" t="s">
        <v>1050</v>
      </c>
      <c r="AS1664" t="s">
        <v>4795</v>
      </c>
      <c r="AT1664" t="s">
        <v>2003</v>
      </c>
      <c r="AU1664" t="s">
        <v>531</v>
      </c>
      <c r="AV1664" t="s">
        <v>3948</v>
      </c>
      <c r="AW1664" t="s">
        <v>3509</v>
      </c>
      <c r="AX1664" t="s">
        <v>8532</v>
      </c>
      <c r="AY1664" t="s">
        <v>7229</v>
      </c>
      <c r="AZ1664" t="s">
        <v>7980</v>
      </c>
      <c r="BA1664">
        <v>2.33</v>
      </c>
      <c r="BB1664">
        <v>218.88</v>
      </c>
      <c r="BC1664">
        <v>0.46</v>
      </c>
      <c r="BD1664">
        <v>8.4600000000000009</v>
      </c>
      <c r="BE1664">
        <v>8.4700000000000006</v>
      </c>
      <c r="BF1664">
        <v>8.3000000000000007</v>
      </c>
      <c r="BG1664" t="s">
        <v>18788</v>
      </c>
      <c r="BH1664" t="s">
        <v>17919</v>
      </c>
      <c r="BI1664" t="s">
        <v>15410</v>
      </c>
      <c r="BJ1664" t="s">
        <v>101</v>
      </c>
      <c r="BK1664" t="s">
        <v>17163</v>
      </c>
      <c r="BL1664" t="s">
        <v>2866</v>
      </c>
      <c r="BM1664" t="s">
        <v>9566</v>
      </c>
      <c r="BN1664" t="s">
        <v>14623</v>
      </c>
    </row>
    <row r="1665" spans="1:66" x14ac:dyDescent="0.25">
      <c r="A1665" t="str">
        <f>HYPERLINK("https://elite.finviz.com/quote.ashx?t=BFRG&amp;ty=c&amp;p=d&amp;b=1", "BFRG")</f>
        <v>BFRG</v>
      </c>
      <c r="B1665">
        <v>6</v>
      </c>
      <c r="C1665">
        <v>127.03</v>
      </c>
      <c r="D1665">
        <v>54.87</v>
      </c>
      <c r="E1665" t="s">
        <v>18789</v>
      </c>
      <c r="F1665" t="s">
        <v>107</v>
      </c>
      <c r="G1665" t="s">
        <v>428</v>
      </c>
      <c r="H1665" t="s">
        <v>2075</v>
      </c>
      <c r="I1665" t="s">
        <v>70</v>
      </c>
      <c r="J1665" t="s">
        <v>321</v>
      </c>
      <c r="K1665">
        <v>14.22</v>
      </c>
      <c r="L1665">
        <v>1.41</v>
      </c>
      <c r="M1665" t="s">
        <v>7598</v>
      </c>
      <c r="N1665">
        <v>32505</v>
      </c>
      <c r="R1665">
        <v>473.94</v>
      </c>
      <c r="S1665">
        <v>6.2</v>
      </c>
      <c r="AA1665">
        <v>-0.77</v>
      </c>
      <c r="AB1665" t="s">
        <v>18790</v>
      </c>
      <c r="AC1665" t="s">
        <v>18791</v>
      </c>
      <c r="AE1665" t="s">
        <v>18792</v>
      </c>
      <c r="AJ1665" t="s">
        <v>5309</v>
      </c>
      <c r="AK1665" t="s">
        <v>4204</v>
      </c>
      <c r="AL1665">
        <v>3.97</v>
      </c>
      <c r="AM1665">
        <v>3.97</v>
      </c>
      <c r="AN1665">
        <v>0.05</v>
      </c>
      <c r="AO1665" t="s">
        <v>9122</v>
      </c>
      <c r="AP1665" t="s">
        <v>18793</v>
      </c>
      <c r="AQ1665" t="s">
        <v>18794</v>
      </c>
      <c r="AR1665" t="s">
        <v>827</v>
      </c>
      <c r="AS1665" t="s">
        <v>297</v>
      </c>
      <c r="AT1665" t="s">
        <v>5999</v>
      </c>
      <c r="AU1665" t="s">
        <v>4641</v>
      </c>
      <c r="AV1665" t="s">
        <v>14534</v>
      </c>
      <c r="AW1665" t="s">
        <v>11532</v>
      </c>
      <c r="AX1665" t="s">
        <v>479</v>
      </c>
      <c r="AY1665" t="s">
        <v>18795</v>
      </c>
      <c r="AZ1665" t="s">
        <v>479</v>
      </c>
      <c r="BB1665">
        <v>147.22</v>
      </c>
      <c r="BC1665">
        <v>0.78</v>
      </c>
      <c r="BD1665">
        <v>1.43</v>
      </c>
      <c r="BE1665">
        <v>1.46</v>
      </c>
      <c r="BF1665">
        <v>1.41</v>
      </c>
      <c r="BG1665" t="s">
        <v>18796</v>
      </c>
      <c r="BH1665" t="s">
        <v>12030</v>
      </c>
      <c r="BI1665" t="s">
        <v>479</v>
      </c>
      <c r="BJ1665" t="s">
        <v>101</v>
      </c>
      <c r="BK1665" t="s">
        <v>15635</v>
      </c>
      <c r="BL1665" t="s">
        <v>18797</v>
      </c>
      <c r="BM1665" t="s">
        <v>18798</v>
      </c>
      <c r="BN1665" t="s">
        <v>14623</v>
      </c>
    </row>
    <row r="1666" spans="1:66" x14ac:dyDescent="0.25">
      <c r="A1666" t="str">
        <f>HYPERLINK("https://elite.finviz.com/quote.ashx?t=ATMC&amp;ty=c&amp;p=d&amp;b=1", "ATMC")</f>
        <v>ATMC</v>
      </c>
      <c r="B1666">
        <v>6</v>
      </c>
      <c r="C1666">
        <v>127.03</v>
      </c>
      <c r="D1666">
        <v>54.89</v>
      </c>
      <c r="E1666" t="s">
        <v>18799</v>
      </c>
      <c r="F1666" t="s">
        <v>107</v>
      </c>
      <c r="G1666" t="s">
        <v>550</v>
      </c>
      <c r="H1666" t="s">
        <v>2120</v>
      </c>
      <c r="I1666" t="s">
        <v>70</v>
      </c>
      <c r="J1666" t="s">
        <v>321</v>
      </c>
      <c r="K1666">
        <v>42.06</v>
      </c>
      <c r="L1666">
        <v>12.12</v>
      </c>
      <c r="M1666" t="s">
        <v>4955</v>
      </c>
      <c r="N1666">
        <v>1796</v>
      </c>
      <c r="O1666">
        <v>125.6</v>
      </c>
      <c r="S1666">
        <v>3.63</v>
      </c>
      <c r="Z1666" t="s">
        <v>164</v>
      </c>
      <c r="AA1666">
        <v>0.1</v>
      </c>
      <c r="AJ1666" t="s">
        <v>164</v>
      </c>
      <c r="AK1666" t="s">
        <v>12460</v>
      </c>
      <c r="AL1666">
        <v>0.01</v>
      </c>
      <c r="AM1666">
        <v>0.01</v>
      </c>
      <c r="AN1666">
        <v>0.13</v>
      </c>
      <c r="AR1666" t="s">
        <v>975</v>
      </c>
      <c r="AS1666" t="s">
        <v>4780</v>
      </c>
      <c r="AT1666" t="s">
        <v>5577</v>
      </c>
      <c r="AU1666" t="s">
        <v>2219</v>
      </c>
      <c r="AV1666" t="s">
        <v>2521</v>
      </c>
      <c r="AW1666" t="s">
        <v>15540</v>
      </c>
      <c r="AX1666" t="s">
        <v>2842</v>
      </c>
      <c r="AY1666" t="s">
        <v>15540</v>
      </c>
      <c r="AZ1666" t="s">
        <v>1676</v>
      </c>
      <c r="BB1666">
        <v>6.16</v>
      </c>
      <c r="BC1666">
        <v>1.03</v>
      </c>
      <c r="BD1666">
        <v>12.14</v>
      </c>
      <c r="BE1666">
        <v>12.08</v>
      </c>
      <c r="BF1666">
        <v>12.08</v>
      </c>
      <c r="BG1666" t="s">
        <v>18800</v>
      </c>
      <c r="BH1666" t="s">
        <v>15540</v>
      </c>
      <c r="BI1666" t="s">
        <v>5691</v>
      </c>
      <c r="BJ1666" t="s">
        <v>101</v>
      </c>
      <c r="BK1666" t="s">
        <v>3229</v>
      </c>
      <c r="BL1666" t="s">
        <v>2210</v>
      </c>
      <c r="BM1666" t="s">
        <v>2737</v>
      </c>
      <c r="BN1666" t="s">
        <v>14623</v>
      </c>
    </row>
    <row r="1667" spans="1:66" x14ac:dyDescent="0.25">
      <c r="A1667" t="str">
        <f>HYPERLINK("https://elite.finviz.com/quote.ashx?t=POWL&amp;ty=c&amp;p=d&amp;b=1", "POWL")</f>
        <v>POWL</v>
      </c>
      <c r="B1667">
        <v>6</v>
      </c>
      <c r="C1667">
        <v>127.03</v>
      </c>
      <c r="D1667">
        <v>54.91</v>
      </c>
      <c r="E1667" t="s">
        <v>18801</v>
      </c>
      <c r="F1667" t="s">
        <v>67</v>
      </c>
      <c r="G1667" t="s">
        <v>260</v>
      </c>
      <c r="H1667" t="s">
        <v>1128</v>
      </c>
      <c r="I1667" t="s">
        <v>70</v>
      </c>
      <c r="J1667" t="s">
        <v>321</v>
      </c>
      <c r="K1667">
        <v>3476.83</v>
      </c>
      <c r="L1667">
        <v>288.08999999999997</v>
      </c>
      <c r="M1667" t="s">
        <v>2572</v>
      </c>
      <c r="N1667">
        <v>33876</v>
      </c>
      <c r="O1667">
        <v>20.010000000000002</v>
      </c>
      <c r="P1667">
        <v>19.36</v>
      </c>
      <c r="Q1667">
        <v>2.31</v>
      </c>
      <c r="R1667">
        <v>3.22</v>
      </c>
      <c r="S1667">
        <v>5.84</v>
      </c>
      <c r="T1667" t="s">
        <v>3000</v>
      </c>
      <c r="U1667">
        <v>1.07</v>
      </c>
      <c r="V1667" t="s">
        <v>5737</v>
      </c>
      <c r="W1667" t="s">
        <v>2881</v>
      </c>
      <c r="X1667" t="s">
        <v>3463</v>
      </c>
      <c r="Y1667" t="s">
        <v>3226</v>
      </c>
      <c r="Z1667" t="s">
        <v>7436</v>
      </c>
      <c r="AA1667">
        <v>14.4</v>
      </c>
      <c r="AB1667" t="s">
        <v>18802</v>
      </c>
      <c r="AC1667" t="s">
        <v>18803</v>
      </c>
      <c r="AD1667" t="s">
        <v>2428</v>
      </c>
      <c r="AE1667" t="s">
        <v>176</v>
      </c>
      <c r="AF1667" t="s">
        <v>2270</v>
      </c>
      <c r="AG1667" t="s">
        <v>8684</v>
      </c>
      <c r="AH1667" t="s">
        <v>2331</v>
      </c>
      <c r="AI1667" t="s">
        <v>6770</v>
      </c>
      <c r="AJ1667" t="s">
        <v>6407</v>
      </c>
      <c r="AK1667" t="s">
        <v>18804</v>
      </c>
      <c r="AL1667">
        <v>2.06</v>
      </c>
      <c r="AM1667">
        <v>1.85</v>
      </c>
      <c r="AN1667">
        <v>0</v>
      </c>
      <c r="AO1667" t="s">
        <v>18805</v>
      </c>
      <c r="AP1667" t="s">
        <v>17111</v>
      </c>
      <c r="AQ1667" t="s">
        <v>3766</v>
      </c>
      <c r="AR1667" t="s">
        <v>10226</v>
      </c>
      <c r="AS1667" t="s">
        <v>1091</v>
      </c>
      <c r="AT1667" t="s">
        <v>5692</v>
      </c>
      <c r="AU1667" t="s">
        <v>4852</v>
      </c>
      <c r="AV1667" t="s">
        <v>7772</v>
      </c>
      <c r="AW1667" t="s">
        <v>7219</v>
      </c>
      <c r="AX1667" t="s">
        <v>18806</v>
      </c>
      <c r="AY1667" t="s">
        <v>16413</v>
      </c>
      <c r="AZ1667" t="s">
        <v>15573</v>
      </c>
      <c r="BA1667">
        <v>2</v>
      </c>
      <c r="BB1667">
        <v>267.45999999999998</v>
      </c>
      <c r="BC1667">
        <v>0.45</v>
      </c>
      <c r="BD1667">
        <v>283.73</v>
      </c>
      <c r="BE1667">
        <v>287.14999999999998</v>
      </c>
      <c r="BF1667">
        <v>284.99</v>
      </c>
      <c r="BG1667" t="s">
        <v>18807</v>
      </c>
      <c r="BH1667" t="s">
        <v>16413</v>
      </c>
      <c r="BI1667" t="s">
        <v>18808</v>
      </c>
      <c r="BJ1667" t="s">
        <v>101</v>
      </c>
      <c r="BK1667" t="s">
        <v>11150</v>
      </c>
      <c r="BL1667" t="s">
        <v>4980</v>
      </c>
      <c r="BM1667" t="s">
        <v>18809</v>
      </c>
      <c r="BN1667" t="s">
        <v>14623</v>
      </c>
    </row>
    <row r="1668" spans="1:66" x14ac:dyDescent="0.25">
      <c r="A1668" t="str">
        <f>HYPERLINK("https://elite.finviz.com/quote.ashx?t=SNDA&amp;ty=c&amp;p=d&amp;b=1", "SNDA")</f>
        <v>SNDA</v>
      </c>
      <c r="B1668">
        <v>6</v>
      </c>
      <c r="C1668">
        <v>127.03</v>
      </c>
      <c r="D1668">
        <v>54.99</v>
      </c>
      <c r="E1668" t="s">
        <v>18810</v>
      </c>
      <c r="F1668" t="s">
        <v>67</v>
      </c>
      <c r="G1668" t="s">
        <v>428</v>
      </c>
      <c r="H1668" t="s">
        <v>3160</v>
      </c>
      <c r="I1668" t="s">
        <v>70</v>
      </c>
      <c r="J1668" t="s">
        <v>71</v>
      </c>
      <c r="K1668">
        <v>509.36</v>
      </c>
      <c r="L1668">
        <v>27.06</v>
      </c>
      <c r="M1668" t="s">
        <v>655</v>
      </c>
      <c r="N1668">
        <v>1173</v>
      </c>
      <c r="R1668">
        <v>1.45</v>
      </c>
      <c r="S1668">
        <v>9</v>
      </c>
      <c r="AA1668">
        <v>-2.2799999999999998</v>
      </c>
      <c r="AC1668" t="s">
        <v>14035</v>
      </c>
      <c r="AE1668" t="s">
        <v>3643</v>
      </c>
      <c r="AF1668" t="s">
        <v>1960</v>
      </c>
      <c r="AG1668" t="s">
        <v>6043</v>
      </c>
      <c r="AH1668" t="s">
        <v>9978</v>
      </c>
      <c r="AI1668" t="s">
        <v>18811</v>
      </c>
      <c r="AJ1668" t="s">
        <v>914</v>
      </c>
      <c r="AK1668" t="s">
        <v>4233</v>
      </c>
      <c r="AL1668">
        <v>0.85</v>
      </c>
      <c r="AM1668">
        <v>0.85</v>
      </c>
      <c r="AN1668">
        <v>6.28</v>
      </c>
      <c r="AO1668" t="s">
        <v>262</v>
      </c>
      <c r="AP1668" t="s">
        <v>2604</v>
      </c>
      <c r="AQ1668" t="s">
        <v>2375</v>
      </c>
      <c r="AR1668" t="s">
        <v>4569</v>
      </c>
      <c r="AS1668" t="s">
        <v>5132</v>
      </c>
      <c r="AT1668" t="s">
        <v>2219</v>
      </c>
      <c r="AU1668" t="s">
        <v>3054</v>
      </c>
      <c r="AV1668" t="s">
        <v>12058</v>
      </c>
      <c r="AW1668" t="s">
        <v>2401</v>
      </c>
      <c r="AX1668" t="s">
        <v>6689</v>
      </c>
      <c r="AY1668" t="s">
        <v>2401</v>
      </c>
      <c r="AZ1668" t="s">
        <v>18812</v>
      </c>
      <c r="BA1668">
        <v>3</v>
      </c>
      <c r="BB1668">
        <v>23.84</v>
      </c>
      <c r="BC1668">
        <v>0.17</v>
      </c>
      <c r="BD1668">
        <v>27.38</v>
      </c>
      <c r="BE1668">
        <v>27.38</v>
      </c>
      <c r="BF1668">
        <v>27.38</v>
      </c>
      <c r="BG1668" t="s">
        <v>18813</v>
      </c>
      <c r="BH1668" t="s">
        <v>18814</v>
      </c>
      <c r="BI1668" t="s">
        <v>18815</v>
      </c>
      <c r="BJ1668" t="s">
        <v>101</v>
      </c>
      <c r="BK1668" t="s">
        <v>2922</v>
      </c>
      <c r="BL1668" t="s">
        <v>949</v>
      </c>
      <c r="BM1668" t="s">
        <v>3757</v>
      </c>
      <c r="BN1668" t="s">
        <v>14623</v>
      </c>
    </row>
    <row r="1669" spans="1:66" x14ac:dyDescent="0.25">
      <c r="A1669" t="str">
        <f>HYPERLINK("https://elite.finviz.com/quote.ashx?t=PBYI&amp;ty=c&amp;p=d&amp;b=1", "PBYI")</f>
        <v>PBYI</v>
      </c>
      <c r="B1669">
        <v>6</v>
      </c>
      <c r="C1669">
        <v>127.03</v>
      </c>
      <c r="D1669">
        <v>54.99</v>
      </c>
      <c r="E1669" t="s">
        <v>18816</v>
      </c>
      <c r="F1669" t="s">
        <v>67</v>
      </c>
      <c r="G1669" t="s">
        <v>428</v>
      </c>
      <c r="H1669" t="s">
        <v>429</v>
      </c>
      <c r="I1669" t="s">
        <v>70</v>
      </c>
      <c r="J1669" t="s">
        <v>321</v>
      </c>
      <c r="K1669">
        <v>240.77</v>
      </c>
      <c r="L1669">
        <v>4.78</v>
      </c>
      <c r="M1669" t="s">
        <v>908</v>
      </c>
      <c r="N1669">
        <v>92137</v>
      </c>
      <c r="O1669">
        <v>4.88</v>
      </c>
      <c r="P1669">
        <v>14.8</v>
      </c>
      <c r="R1669">
        <v>1.01</v>
      </c>
      <c r="S1669">
        <v>2.2799999999999998</v>
      </c>
      <c r="Z1669" t="s">
        <v>164</v>
      </c>
      <c r="AA1669">
        <v>0.98</v>
      </c>
      <c r="AD1669" t="s">
        <v>1622</v>
      </c>
      <c r="AE1669" t="s">
        <v>5864</v>
      </c>
      <c r="AF1669" t="s">
        <v>6161</v>
      </c>
      <c r="AG1669" t="s">
        <v>4281</v>
      </c>
      <c r="AH1669" t="s">
        <v>3532</v>
      </c>
      <c r="AI1669" t="s">
        <v>3235</v>
      </c>
      <c r="AJ1669" t="s">
        <v>3937</v>
      </c>
      <c r="AK1669" t="s">
        <v>16579</v>
      </c>
      <c r="AL1669">
        <v>1.73</v>
      </c>
      <c r="AM1669">
        <v>1.62</v>
      </c>
      <c r="AN1669">
        <v>0.47</v>
      </c>
      <c r="AO1669" t="s">
        <v>15298</v>
      </c>
      <c r="AP1669" t="s">
        <v>16008</v>
      </c>
      <c r="AQ1669" t="s">
        <v>11965</v>
      </c>
      <c r="AR1669" t="s">
        <v>912</v>
      </c>
      <c r="AS1669" t="s">
        <v>4173</v>
      </c>
      <c r="AT1669" t="s">
        <v>2274</v>
      </c>
      <c r="AU1669" t="s">
        <v>12383</v>
      </c>
      <c r="AV1669" t="s">
        <v>12983</v>
      </c>
      <c r="AW1669" t="s">
        <v>985</v>
      </c>
      <c r="AX1669" t="s">
        <v>2069</v>
      </c>
      <c r="AY1669" t="s">
        <v>985</v>
      </c>
      <c r="AZ1669" t="s">
        <v>18817</v>
      </c>
      <c r="BA1669">
        <v>4</v>
      </c>
      <c r="BB1669">
        <v>586.37</v>
      </c>
      <c r="BC1669">
        <v>0.55000000000000004</v>
      </c>
      <c r="BD1669">
        <v>4.7</v>
      </c>
      <c r="BE1669">
        <v>4.84</v>
      </c>
      <c r="BF1669">
        <v>4.71</v>
      </c>
      <c r="BG1669" t="s">
        <v>18818</v>
      </c>
      <c r="BH1669" t="s">
        <v>9589</v>
      </c>
      <c r="BI1669" t="s">
        <v>18819</v>
      </c>
      <c r="BJ1669" t="s">
        <v>101</v>
      </c>
      <c r="BK1669" t="s">
        <v>10305</v>
      </c>
      <c r="BL1669" t="s">
        <v>8776</v>
      </c>
      <c r="BM1669" t="s">
        <v>18820</v>
      </c>
      <c r="BN1669" t="s">
        <v>14623</v>
      </c>
    </row>
    <row r="1670" spans="1:66" x14ac:dyDescent="0.25">
      <c r="A1670" t="str">
        <f>HYPERLINK("https://elite.finviz.com/quote.ashx?t=XOMA&amp;ty=c&amp;p=d&amp;b=1", "XOMA")</f>
        <v>XOMA</v>
      </c>
      <c r="B1670">
        <v>6</v>
      </c>
      <c r="C1670">
        <v>127.03</v>
      </c>
      <c r="D1670">
        <v>54.99</v>
      </c>
      <c r="E1670" t="s">
        <v>18821</v>
      </c>
      <c r="F1670" t="s">
        <v>67</v>
      </c>
      <c r="G1670" t="s">
        <v>428</v>
      </c>
      <c r="H1670" t="s">
        <v>429</v>
      </c>
      <c r="I1670" t="s">
        <v>70</v>
      </c>
      <c r="J1670" t="s">
        <v>321</v>
      </c>
      <c r="K1670">
        <v>434.45</v>
      </c>
      <c r="L1670">
        <v>35.94</v>
      </c>
      <c r="M1670" t="s">
        <v>227</v>
      </c>
      <c r="N1670">
        <v>5782</v>
      </c>
      <c r="P1670">
        <v>71.53</v>
      </c>
      <c r="R1670">
        <v>9.67</v>
      </c>
      <c r="S1670">
        <v>5.99</v>
      </c>
      <c r="AA1670">
        <v>-1.54</v>
      </c>
      <c r="AC1670" t="s">
        <v>18822</v>
      </c>
      <c r="AE1670" t="s">
        <v>18823</v>
      </c>
      <c r="AF1670" t="s">
        <v>18824</v>
      </c>
      <c r="AG1670" t="s">
        <v>2559</v>
      </c>
      <c r="AH1670" t="s">
        <v>7273</v>
      </c>
      <c r="AI1670" t="s">
        <v>18825</v>
      </c>
      <c r="AJ1670" t="s">
        <v>18826</v>
      </c>
      <c r="AK1670" t="s">
        <v>16214</v>
      </c>
      <c r="AL1670">
        <v>4.88</v>
      </c>
      <c r="AM1670">
        <v>4.88</v>
      </c>
      <c r="AN1670">
        <v>1.24</v>
      </c>
      <c r="AO1670" t="s">
        <v>13675</v>
      </c>
      <c r="AP1670" t="s">
        <v>18827</v>
      </c>
      <c r="AQ1670" t="s">
        <v>18828</v>
      </c>
      <c r="AR1670" t="s">
        <v>3530</v>
      </c>
      <c r="AS1670" t="s">
        <v>4824</v>
      </c>
      <c r="AT1670" t="s">
        <v>5388</v>
      </c>
      <c r="AU1670" t="s">
        <v>3449</v>
      </c>
      <c r="AV1670" t="s">
        <v>1948</v>
      </c>
      <c r="AW1670" t="s">
        <v>3085</v>
      </c>
      <c r="AX1670" t="s">
        <v>12051</v>
      </c>
      <c r="AY1670" t="s">
        <v>3085</v>
      </c>
      <c r="AZ1670" t="s">
        <v>18829</v>
      </c>
      <c r="BA1670">
        <v>1.5</v>
      </c>
      <c r="BB1670">
        <v>54.14</v>
      </c>
      <c r="BC1670">
        <v>0.38</v>
      </c>
      <c r="BD1670">
        <v>35.71</v>
      </c>
      <c r="BE1670">
        <v>36.94</v>
      </c>
      <c r="BF1670">
        <v>36.020000000000003</v>
      </c>
      <c r="BG1670" t="s">
        <v>18830</v>
      </c>
      <c r="BH1670" t="s">
        <v>13975</v>
      </c>
      <c r="BI1670" t="s">
        <v>18831</v>
      </c>
      <c r="BJ1670" t="s">
        <v>101</v>
      </c>
      <c r="BK1670" t="s">
        <v>18179</v>
      </c>
      <c r="BL1670" t="s">
        <v>18693</v>
      </c>
      <c r="BM1670" t="s">
        <v>18832</v>
      </c>
      <c r="BN1670" t="s">
        <v>14623</v>
      </c>
    </row>
    <row r="1671" spans="1:66" x14ac:dyDescent="0.25">
      <c r="A1671" t="str">
        <f>HYPERLINK("https://elite.finviz.com/quote.ashx?t=LDOS&amp;ty=c&amp;p=d&amp;b=1", "LDOS")</f>
        <v>LDOS</v>
      </c>
      <c r="B1671">
        <v>6</v>
      </c>
      <c r="C1671">
        <v>127.03</v>
      </c>
      <c r="D1671">
        <v>54.99</v>
      </c>
      <c r="E1671" t="s">
        <v>18833</v>
      </c>
      <c r="F1671" t="s">
        <v>195</v>
      </c>
      <c r="G1671" t="s">
        <v>108</v>
      </c>
      <c r="H1671" t="s">
        <v>1322</v>
      </c>
      <c r="I1671" t="s">
        <v>70</v>
      </c>
      <c r="J1671" t="s">
        <v>71</v>
      </c>
      <c r="K1671">
        <v>23553.47</v>
      </c>
      <c r="L1671">
        <v>183.59</v>
      </c>
      <c r="M1671" t="s">
        <v>4782</v>
      </c>
      <c r="N1671">
        <v>145620</v>
      </c>
      <c r="O1671">
        <v>17.36</v>
      </c>
      <c r="P1671">
        <v>15.34</v>
      </c>
      <c r="Q1671">
        <v>2.34</v>
      </c>
      <c r="R1671">
        <v>1.38</v>
      </c>
      <c r="S1671">
        <v>5.05</v>
      </c>
      <c r="T1671" t="s">
        <v>458</v>
      </c>
      <c r="U1671">
        <v>1.6</v>
      </c>
      <c r="V1671" t="s">
        <v>3833</v>
      </c>
      <c r="W1671" t="s">
        <v>7682</v>
      </c>
      <c r="X1671" t="s">
        <v>5187</v>
      </c>
      <c r="Y1671" t="s">
        <v>7088</v>
      </c>
      <c r="Z1671" t="s">
        <v>4532</v>
      </c>
      <c r="AA1671">
        <v>10.57</v>
      </c>
      <c r="AB1671" t="s">
        <v>6938</v>
      </c>
      <c r="AC1671" t="s">
        <v>18834</v>
      </c>
      <c r="AD1671" t="s">
        <v>2816</v>
      </c>
      <c r="AE1671" t="s">
        <v>6008</v>
      </c>
      <c r="AF1671" t="s">
        <v>6330</v>
      </c>
      <c r="AG1671" t="s">
        <v>3455</v>
      </c>
      <c r="AH1671" t="s">
        <v>307</v>
      </c>
      <c r="AI1671" t="s">
        <v>5691</v>
      </c>
      <c r="AJ1671" t="s">
        <v>16782</v>
      </c>
      <c r="AK1671" t="s">
        <v>9034</v>
      </c>
      <c r="AL1671">
        <v>1.62</v>
      </c>
      <c r="AM1671">
        <v>1.5</v>
      </c>
      <c r="AN1671">
        <v>1.22</v>
      </c>
      <c r="AO1671" t="s">
        <v>7379</v>
      </c>
      <c r="AP1671" t="s">
        <v>2819</v>
      </c>
      <c r="AQ1671" t="s">
        <v>2848</v>
      </c>
      <c r="AR1671" t="s">
        <v>89</v>
      </c>
      <c r="AS1671" t="s">
        <v>3856</v>
      </c>
      <c r="AT1671" t="s">
        <v>7464</v>
      </c>
      <c r="AU1671" t="s">
        <v>4526</v>
      </c>
      <c r="AV1671" t="s">
        <v>4876</v>
      </c>
      <c r="AW1671" t="s">
        <v>1904</v>
      </c>
      <c r="AX1671" t="s">
        <v>1422</v>
      </c>
      <c r="AY1671" t="s">
        <v>1245</v>
      </c>
      <c r="AZ1671" t="s">
        <v>18835</v>
      </c>
      <c r="BA1671">
        <v>1.94</v>
      </c>
      <c r="BB1671">
        <v>860.71</v>
      </c>
      <c r="BC1671">
        <v>0.6</v>
      </c>
      <c r="BD1671">
        <v>182.36</v>
      </c>
      <c r="BE1671">
        <v>185.1</v>
      </c>
      <c r="BF1671">
        <v>181.43</v>
      </c>
      <c r="BG1671" t="s">
        <v>18836</v>
      </c>
      <c r="BH1671" t="s">
        <v>1245</v>
      </c>
      <c r="BI1671" t="s">
        <v>18837</v>
      </c>
      <c r="BJ1671" t="s">
        <v>101</v>
      </c>
      <c r="BK1671" t="s">
        <v>6131</v>
      </c>
      <c r="BL1671" t="s">
        <v>16242</v>
      </c>
      <c r="BM1671" t="s">
        <v>11086</v>
      </c>
      <c r="BN1671" t="s">
        <v>14623</v>
      </c>
    </row>
    <row r="1672" spans="1:66" x14ac:dyDescent="0.25">
      <c r="A1672" t="str">
        <f>HYPERLINK("https://elite.finviz.com/quote.ashx?t=FICO&amp;ty=c&amp;p=d&amp;b=1", "FICO")</f>
        <v>FICO</v>
      </c>
      <c r="B1672">
        <v>6</v>
      </c>
      <c r="C1672">
        <v>127.03</v>
      </c>
      <c r="D1672">
        <v>54.99</v>
      </c>
      <c r="E1672" t="s">
        <v>18838</v>
      </c>
      <c r="F1672" t="s">
        <v>195</v>
      </c>
      <c r="G1672" t="s">
        <v>108</v>
      </c>
      <c r="H1672" t="s">
        <v>136</v>
      </c>
      <c r="I1672" t="s">
        <v>70</v>
      </c>
      <c r="J1672" t="s">
        <v>71</v>
      </c>
      <c r="K1672">
        <v>37007.64</v>
      </c>
      <c r="L1672">
        <v>1541.75</v>
      </c>
      <c r="M1672" t="s">
        <v>7346</v>
      </c>
      <c r="N1672">
        <v>31247</v>
      </c>
      <c r="O1672">
        <v>60.3</v>
      </c>
      <c r="P1672">
        <v>43.68</v>
      </c>
      <c r="Q1672">
        <v>2.73</v>
      </c>
      <c r="R1672">
        <v>19.190000000000001</v>
      </c>
      <c r="V1672" t="s">
        <v>18839</v>
      </c>
      <c r="Z1672" t="s">
        <v>164</v>
      </c>
      <c r="AA1672">
        <v>25.57</v>
      </c>
      <c r="AB1672" t="s">
        <v>9681</v>
      </c>
      <c r="AC1672" t="s">
        <v>3980</v>
      </c>
      <c r="AD1672" t="s">
        <v>5050</v>
      </c>
      <c r="AE1672" t="s">
        <v>685</v>
      </c>
      <c r="AF1672" t="s">
        <v>5212</v>
      </c>
      <c r="AG1672" t="s">
        <v>1282</v>
      </c>
      <c r="AH1672" t="s">
        <v>11602</v>
      </c>
      <c r="AI1672" t="s">
        <v>8691</v>
      </c>
      <c r="AJ1672" t="s">
        <v>7074</v>
      </c>
      <c r="AK1672" t="s">
        <v>18840</v>
      </c>
      <c r="AL1672">
        <v>0.92</v>
      </c>
      <c r="AM1672">
        <v>0.92</v>
      </c>
      <c r="AO1672" t="s">
        <v>18841</v>
      </c>
      <c r="AP1672" t="s">
        <v>18842</v>
      </c>
      <c r="AQ1672" t="s">
        <v>5997</v>
      </c>
      <c r="AR1672" t="s">
        <v>4956</v>
      </c>
      <c r="AS1672" t="s">
        <v>3500</v>
      </c>
      <c r="AT1672" t="s">
        <v>3000</v>
      </c>
      <c r="AU1672" t="s">
        <v>3303</v>
      </c>
      <c r="AV1672" t="s">
        <v>5863</v>
      </c>
      <c r="AW1672" t="s">
        <v>759</v>
      </c>
      <c r="AX1672" t="s">
        <v>8359</v>
      </c>
      <c r="AY1672" t="s">
        <v>13156</v>
      </c>
      <c r="AZ1672" t="s">
        <v>8359</v>
      </c>
      <c r="BA1672">
        <v>1.96</v>
      </c>
      <c r="BB1672">
        <v>346.3</v>
      </c>
      <c r="BC1672">
        <v>0.32</v>
      </c>
      <c r="BD1672">
        <v>1548.36</v>
      </c>
      <c r="BE1672">
        <v>1561.7</v>
      </c>
      <c r="BF1672">
        <v>1542.6</v>
      </c>
      <c r="BG1672" t="s">
        <v>18843</v>
      </c>
      <c r="BH1672" t="s">
        <v>13156</v>
      </c>
      <c r="BI1672" t="s">
        <v>18844</v>
      </c>
      <c r="BJ1672" t="s">
        <v>101</v>
      </c>
      <c r="BK1672" t="s">
        <v>6482</v>
      </c>
      <c r="BL1672" t="s">
        <v>4917</v>
      </c>
      <c r="BM1672" t="s">
        <v>5637</v>
      </c>
      <c r="BN1672" t="s">
        <v>14623</v>
      </c>
    </row>
    <row r="1673" spans="1:66" x14ac:dyDescent="0.25">
      <c r="A1673" t="str">
        <f>HYPERLINK("https://elite.finviz.com/quote.ashx?t=TUSK&amp;ty=c&amp;p=d&amp;b=1", "TUSK")</f>
        <v>TUSK</v>
      </c>
      <c r="B1673">
        <v>6</v>
      </c>
      <c r="C1673">
        <v>127.03</v>
      </c>
      <c r="D1673">
        <v>55</v>
      </c>
      <c r="E1673" t="s">
        <v>18845</v>
      </c>
      <c r="F1673" t="s">
        <v>67</v>
      </c>
      <c r="G1673" t="s">
        <v>260</v>
      </c>
      <c r="H1673" t="s">
        <v>2508</v>
      </c>
      <c r="I1673" t="s">
        <v>70</v>
      </c>
      <c r="J1673" t="s">
        <v>321</v>
      </c>
      <c r="K1673">
        <v>117.11</v>
      </c>
      <c r="L1673">
        <v>2.4300000000000002</v>
      </c>
      <c r="M1673" t="s">
        <v>337</v>
      </c>
      <c r="N1673">
        <v>21379</v>
      </c>
      <c r="R1673">
        <v>0.68</v>
      </c>
      <c r="S1673">
        <v>0.45</v>
      </c>
      <c r="V1673" t="s">
        <v>18846</v>
      </c>
      <c r="AA1673">
        <v>-1.87</v>
      </c>
      <c r="AB1673" t="s">
        <v>18847</v>
      </c>
      <c r="AC1673" t="s">
        <v>17367</v>
      </c>
      <c r="AE1673" t="s">
        <v>5643</v>
      </c>
      <c r="AF1673" t="s">
        <v>657</v>
      </c>
      <c r="AG1673" t="s">
        <v>11339</v>
      </c>
      <c r="AH1673" t="s">
        <v>18507</v>
      </c>
      <c r="AJ1673" t="s">
        <v>5621</v>
      </c>
      <c r="AK1673" t="s">
        <v>17725</v>
      </c>
      <c r="AL1673">
        <v>2.5</v>
      </c>
      <c r="AM1673">
        <v>2.46</v>
      </c>
      <c r="AN1673">
        <v>0.02</v>
      </c>
      <c r="AO1673" t="s">
        <v>3286</v>
      </c>
      <c r="AP1673" t="s">
        <v>14406</v>
      </c>
      <c r="AQ1673" t="s">
        <v>18848</v>
      </c>
      <c r="AR1673" t="s">
        <v>2233</v>
      </c>
      <c r="AS1673" t="s">
        <v>7284</v>
      </c>
      <c r="AT1673" t="s">
        <v>5188</v>
      </c>
      <c r="AU1673" t="s">
        <v>4308</v>
      </c>
      <c r="AV1673" t="s">
        <v>6741</v>
      </c>
      <c r="AW1673" t="s">
        <v>5247</v>
      </c>
      <c r="AX1673" t="s">
        <v>5386</v>
      </c>
      <c r="AY1673" t="s">
        <v>18849</v>
      </c>
      <c r="AZ1673" t="s">
        <v>11705</v>
      </c>
      <c r="BA1673">
        <v>1</v>
      </c>
      <c r="BB1673">
        <v>92.65</v>
      </c>
      <c r="BC1673">
        <v>0.82</v>
      </c>
      <c r="BD1673">
        <v>2.44</v>
      </c>
      <c r="BE1673">
        <v>2.4700000000000002</v>
      </c>
      <c r="BF1673">
        <v>2.4300000000000002</v>
      </c>
      <c r="BG1673" t="s">
        <v>18850</v>
      </c>
      <c r="BH1673" t="s">
        <v>18851</v>
      </c>
      <c r="BI1673" t="s">
        <v>18852</v>
      </c>
      <c r="BJ1673" t="s">
        <v>101</v>
      </c>
      <c r="BK1673" t="s">
        <v>18853</v>
      </c>
      <c r="BL1673" t="s">
        <v>2378</v>
      </c>
      <c r="BM1673" t="s">
        <v>1106</v>
      </c>
      <c r="BN1673" t="s">
        <v>14623</v>
      </c>
    </row>
    <row r="1674" spans="1:66" x14ac:dyDescent="0.25">
      <c r="A1674" t="str">
        <f>HYPERLINK("https://elite.finviz.com/quote.ashx?t=SIGA&amp;ty=c&amp;p=d&amp;b=1", "SIGA")</f>
        <v>SIGA</v>
      </c>
      <c r="B1674">
        <v>6</v>
      </c>
      <c r="C1674">
        <v>127.03</v>
      </c>
      <c r="D1674">
        <v>55.03</v>
      </c>
      <c r="E1674" t="s">
        <v>18854</v>
      </c>
      <c r="F1674" t="s">
        <v>67</v>
      </c>
      <c r="G1674" t="s">
        <v>428</v>
      </c>
      <c r="H1674" t="s">
        <v>1296</v>
      </c>
      <c r="I1674" t="s">
        <v>70</v>
      </c>
      <c r="J1674" t="s">
        <v>321</v>
      </c>
      <c r="K1674">
        <v>641.23</v>
      </c>
      <c r="L1674">
        <v>8.9499999999999993</v>
      </c>
      <c r="M1674" t="s">
        <v>3856</v>
      </c>
      <c r="N1674">
        <v>94978</v>
      </c>
      <c r="O1674">
        <v>7.8</v>
      </c>
      <c r="R1674">
        <v>3.57</v>
      </c>
      <c r="S1674">
        <v>3.06</v>
      </c>
      <c r="T1674" t="s">
        <v>616</v>
      </c>
      <c r="V1674" t="s">
        <v>18855</v>
      </c>
      <c r="Z1674" t="s">
        <v>164</v>
      </c>
      <c r="AA1674">
        <v>1.1499999999999999</v>
      </c>
      <c r="AB1674" t="s">
        <v>2218</v>
      </c>
      <c r="AE1674" t="s">
        <v>7117</v>
      </c>
      <c r="AF1674" t="s">
        <v>2650</v>
      </c>
      <c r="AG1674" t="s">
        <v>18856</v>
      </c>
      <c r="AH1674" t="s">
        <v>18857</v>
      </c>
      <c r="AJ1674" t="s">
        <v>164</v>
      </c>
      <c r="AK1674" t="s">
        <v>18677</v>
      </c>
      <c r="AL1674">
        <v>10.09</v>
      </c>
      <c r="AM1674">
        <v>8.52</v>
      </c>
      <c r="AN1674">
        <v>0.01</v>
      </c>
      <c r="AO1674" t="s">
        <v>11576</v>
      </c>
      <c r="AP1674" t="s">
        <v>6273</v>
      </c>
      <c r="AQ1674" t="s">
        <v>7690</v>
      </c>
      <c r="AR1674" t="s">
        <v>1087</v>
      </c>
      <c r="AS1674" t="s">
        <v>3613</v>
      </c>
      <c r="AT1674" t="s">
        <v>2195</v>
      </c>
      <c r="AU1674" t="s">
        <v>7616</v>
      </c>
      <c r="AV1674" t="s">
        <v>9343</v>
      </c>
      <c r="AW1674" t="s">
        <v>3436</v>
      </c>
      <c r="AX1674" t="s">
        <v>3703</v>
      </c>
      <c r="AY1674" t="s">
        <v>3436</v>
      </c>
      <c r="AZ1674" t="s">
        <v>18858</v>
      </c>
      <c r="BA1674">
        <v>1</v>
      </c>
      <c r="BB1674">
        <v>503.03</v>
      </c>
      <c r="BC1674">
        <v>0.67</v>
      </c>
      <c r="BD1674">
        <v>8.7799999999999994</v>
      </c>
      <c r="BE1674">
        <v>9.01</v>
      </c>
      <c r="BF1674">
        <v>8.84</v>
      </c>
      <c r="BG1674" t="s">
        <v>18859</v>
      </c>
      <c r="BH1674" t="s">
        <v>6554</v>
      </c>
      <c r="BI1674" t="s">
        <v>18860</v>
      </c>
      <c r="BJ1674" t="s">
        <v>101</v>
      </c>
      <c r="BK1674" t="s">
        <v>18861</v>
      </c>
      <c r="BL1674" t="s">
        <v>18862</v>
      </c>
      <c r="BM1674" t="s">
        <v>3748</v>
      </c>
      <c r="BN1674" t="s">
        <v>14623</v>
      </c>
    </row>
    <row r="1675" spans="1:66" x14ac:dyDescent="0.25">
      <c r="A1675" t="str">
        <f>HYPERLINK("https://elite.finviz.com/quote.ashx?t=BNTC&amp;ty=c&amp;p=d&amp;b=1", "BNTC")</f>
        <v>BNTC</v>
      </c>
      <c r="B1675">
        <v>6</v>
      </c>
      <c r="C1675">
        <v>127.03</v>
      </c>
      <c r="D1675">
        <v>55.04</v>
      </c>
      <c r="E1675" t="s">
        <v>18863</v>
      </c>
      <c r="F1675" t="s">
        <v>67</v>
      </c>
      <c r="G1675" t="s">
        <v>428</v>
      </c>
      <c r="H1675" t="s">
        <v>429</v>
      </c>
      <c r="I1675" t="s">
        <v>70</v>
      </c>
      <c r="J1675" t="s">
        <v>321</v>
      </c>
      <c r="K1675">
        <v>363.56</v>
      </c>
      <c r="L1675">
        <v>13.85</v>
      </c>
      <c r="M1675" t="s">
        <v>2642</v>
      </c>
      <c r="N1675">
        <v>4516</v>
      </c>
      <c r="S1675">
        <v>3.74</v>
      </c>
      <c r="AA1675">
        <v>-1.26</v>
      </c>
      <c r="AB1675" t="s">
        <v>7253</v>
      </c>
      <c r="AC1675" t="s">
        <v>18864</v>
      </c>
      <c r="AE1675" t="s">
        <v>579</v>
      </c>
      <c r="AI1675" t="s">
        <v>1647</v>
      </c>
      <c r="AJ1675" t="s">
        <v>18865</v>
      </c>
      <c r="AK1675" t="s">
        <v>11727</v>
      </c>
      <c r="AL1675">
        <v>54.67</v>
      </c>
      <c r="AM1675">
        <v>54.67</v>
      </c>
      <c r="AN1675">
        <v>0.01</v>
      </c>
      <c r="AR1675" t="s">
        <v>896</v>
      </c>
      <c r="AS1675" t="s">
        <v>5026</v>
      </c>
      <c r="AT1675" t="s">
        <v>3047</v>
      </c>
      <c r="AU1675" t="s">
        <v>3648</v>
      </c>
      <c r="AV1675" t="s">
        <v>6392</v>
      </c>
      <c r="AW1675" t="s">
        <v>5061</v>
      </c>
      <c r="AX1675" t="s">
        <v>5115</v>
      </c>
      <c r="AY1675" t="s">
        <v>14218</v>
      </c>
      <c r="AZ1675" t="s">
        <v>7305</v>
      </c>
      <c r="BA1675">
        <v>1.17</v>
      </c>
      <c r="BB1675">
        <v>94.98</v>
      </c>
      <c r="BC1675">
        <v>0.17</v>
      </c>
      <c r="BD1675">
        <v>13.8</v>
      </c>
      <c r="BE1675">
        <v>13.9</v>
      </c>
      <c r="BF1675">
        <v>13.66</v>
      </c>
      <c r="BG1675" t="s">
        <v>18866</v>
      </c>
      <c r="BH1675" t="s">
        <v>11463</v>
      </c>
      <c r="BI1675" t="s">
        <v>18867</v>
      </c>
      <c r="BJ1675" t="s">
        <v>101</v>
      </c>
      <c r="BK1675" t="s">
        <v>7303</v>
      </c>
      <c r="BL1675" t="s">
        <v>3344</v>
      </c>
      <c r="BM1675" t="s">
        <v>15560</v>
      </c>
      <c r="BN1675" t="s">
        <v>14623</v>
      </c>
    </row>
    <row r="1676" spans="1:66" x14ac:dyDescent="0.25">
      <c r="A1676" t="str">
        <f>HYPERLINK("https://elite.finviz.com/quote.ashx?t=VRSN&amp;ty=c&amp;p=d&amp;b=1", "VRSN")</f>
        <v>VRSN</v>
      </c>
      <c r="B1676">
        <v>6</v>
      </c>
      <c r="C1676">
        <v>127.03</v>
      </c>
      <c r="D1676">
        <v>55.07</v>
      </c>
      <c r="E1676" t="s">
        <v>18868</v>
      </c>
      <c r="F1676" t="s">
        <v>195</v>
      </c>
      <c r="G1676" t="s">
        <v>108</v>
      </c>
      <c r="H1676" t="s">
        <v>109</v>
      </c>
      <c r="I1676" t="s">
        <v>70</v>
      </c>
      <c r="J1676" t="s">
        <v>321</v>
      </c>
      <c r="K1676">
        <v>26573.34</v>
      </c>
      <c r="L1676">
        <v>284.48</v>
      </c>
      <c r="M1676" t="s">
        <v>193</v>
      </c>
      <c r="N1676">
        <v>79316</v>
      </c>
      <c r="O1676">
        <v>33.950000000000003</v>
      </c>
      <c r="P1676">
        <v>30.55</v>
      </c>
      <c r="Q1676">
        <v>3.53</v>
      </c>
      <c r="R1676">
        <v>16.63</v>
      </c>
      <c r="T1676" t="s">
        <v>747</v>
      </c>
      <c r="U1676">
        <v>1.54</v>
      </c>
      <c r="V1676" t="s">
        <v>10236</v>
      </c>
      <c r="Z1676" t="s">
        <v>164</v>
      </c>
      <c r="AA1676">
        <v>8.3800000000000008</v>
      </c>
      <c r="AB1676" t="s">
        <v>247</v>
      </c>
      <c r="AC1676" t="s">
        <v>7019</v>
      </c>
      <c r="AD1676" t="s">
        <v>3230</v>
      </c>
      <c r="AE1676" t="s">
        <v>4908</v>
      </c>
      <c r="AF1676" t="s">
        <v>272</v>
      </c>
      <c r="AG1676" t="s">
        <v>1950</v>
      </c>
      <c r="AH1676" t="s">
        <v>4551</v>
      </c>
      <c r="AI1676" t="s">
        <v>4623</v>
      </c>
      <c r="AJ1676" t="s">
        <v>18869</v>
      </c>
      <c r="AK1676" t="s">
        <v>18870</v>
      </c>
      <c r="AL1676">
        <v>0.54</v>
      </c>
      <c r="AM1676">
        <v>0.54</v>
      </c>
      <c r="AO1676" t="s">
        <v>15579</v>
      </c>
      <c r="AP1676" t="s">
        <v>18871</v>
      </c>
      <c r="AQ1676" t="s">
        <v>18872</v>
      </c>
      <c r="AR1676" t="s">
        <v>6336</v>
      </c>
      <c r="AS1676" t="s">
        <v>2449</v>
      </c>
      <c r="AT1676" t="s">
        <v>4901</v>
      </c>
      <c r="AU1676" t="s">
        <v>2640</v>
      </c>
      <c r="AV1676" t="s">
        <v>1297</v>
      </c>
      <c r="AW1676" t="s">
        <v>3929</v>
      </c>
      <c r="AX1676" t="s">
        <v>4718</v>
      </c>
      <c r="AY1676" t="s">
        <v>3929</v>
      </c>
      <c r="AZ1676" t="s">
        <v>18873</v>
      </c>
      <c r="BA1676">
        <v>2.67</v>
      </c>
      <c r="BB1676">
        <v>853.87</v>
      </c>
      <c r="BC1676">
        <v>0.33</v>
      </c>
      <c r="BD1676">
        <v>283.69</v>
      </c>
      <c r="BE1676">
        <v>285</v>
      </c>
      <c r="BF1676">
        <v>283.2</v>
      </c>
      <c r="BG1676" t="s">
        <v>18874</v>
      </c>
      <c r="BH1676" t="s">
        <v>3929</v>
      </c>
      <c r="BI1676" t="s">
        <v>18875</v>
      </c>
      <c r="BJ1676" t="s">
        <v>101</v>
      </c>
      <c r="BK1676" t="s">
        <v>3940</v>
      </c>
      <c r="BL1676" t="s">
        <v>8530</v>
      </c>
      <c r="BM1676" t="s">
        <v>3682</v>
      </c>
      <c r="BN1676" t="s">
        <v>14623</v>
      </c>
    </row>
    <row r="1677" spans="1:66" x14ac:dyDescent="0.25">
      <c r="A1677" t="str">
        <f>HYPERLINK("https://elite.finviz.com/quote.ashx?t=FBYD&amp;ty=c&amp;p=d&amp;b=1", "FBYD")</f>
        <v>FBYD</v>
      </c>
      <c r="B1677">
        <v>6</v>
      </c>
      <c r="C1677">
        <v>127.03</v>
      </c>
      <c r="D1677">
        <v>55.09</v>
      </c>
      <c r="E1677" t="s">
        <v>18876</v>
      </c>
      <c r="F1677" t="s">
        <v>107</v>
      </c>
      <c r="G1677" t="s">
        <v>260</v>
      </c>
      <c r="H1677" t="s">
        <v>2508</v>
      </c>
      <c r="I1677" t="s">
        <v>70</v>
      </c>
      <c r="J1677" t="s">
        <v>321</v>
      </c>
      <c r="K1677">
        <v>1349.4</v>
      </c>
      <c r="L1677">
        <v>11.15</v>
      </c>
      <c r="M1677" t="s">
        <v>798</v>
      </c>
      <c r="N1677">
        <v>3009</v>
      </c>
      <c r="O1677">
        <v>147.85</v>
      </c>
      <c r="R1677">
        <v>175.47</v>
      </c>
      <c r="S1677">
        <v>975.3</v>
      </c>
      <c r="Z1677" t="s">
        <v>164</v>
      </c>
      <c r="AA1677">
        <v>0.08</v>
      </c>
      <c r="AB1677" t="s">
        <v>18877</v>
      </c>
      <c r="AE1677" t="s">
        <v>2559</v>
      </c>
      <c r="AH1677" t="s">
        <v>13941</v>
      </c>
      <c r="AJ1677" t="s">
        <v>5242</v>
      </c>
      <c r="AK1677" t="s">
        <v>2644</v>
      </c>
      <c r="AL1677">
        <v>0.51</v>
      </c>
      <c r="AM1677">
        <v>0.51</v>
      </c>
      <c r="AN1677">
        <v>105.41</v>
      </c>
      <c r="AO1677" t="s">
        <v>18878</v>
      </c>
      <c r="AP1677" t="s">
        <v>18879</v>
      </c>
      <c r="AQ1677" t="s">
        <v>18880</v>
      </c>
      <c r="AR1677" t="s">
        <v>2819</v>
      </c>
      <c r="AS1677" t="s">
        <v>12515</v>
      </c>
      <c r="AT1677" t="s">
        <v>7566</v>
      </c>
      <c r="AU1677" t="s">
        <v>14067</v>
      </c>
      <c r="AV1677" t="s">
        <v>11074</v>
      </c>
      <c r="AW1677" t="s">
        <v>16043</v>
      </c>
      <c r="AX1677" t="s">
        <v>18093</v>
      </c>
      <c r="AY1677" t="s">
        <v>16043</v>
      </c>
      <c r="AZ1677" t="s">
        <v>18881</v>
      </c>
      <c r="BB1677">
        <v>34.21</v>
      </c>
      <c r="BC1677">
        <v>0.31</v>
      </c>
      <c r="BD1677">
        <v>11.92</v>
      </c>
      <c r="BE1677">
        <v>11.69</v>
      </c>
      <c r="BF1677">
        <v>11.38</v>
      </c>
      <c r="BG1677" t="s">
        <v>18882</v>
      </c>
      <c r="BH1677" t="s">
        <v>5077</v>
      </c>
      <c r="BI1677" t="s">
        <v>18881</v>
      </c>
      <c r="BJ1677" t="s">
        <v>101</v>
      </c>
      <c r="BK1677" t="s">
        <v>10415</v>
      </c>
      <c r="BL1677" t="s">
        <v>8984</v>
      </c>
      <c r="BM1677" t="s">
        <v>8728</v>
      </c>
      <c r="BN1677" t="s">
        <v>14623</v>
      </c>
    </row>
    <row r="1678" spans="1:66" x14ac:dyDescent="0.25">
      <c r="A1678" t="str">
        <f>HYPERLINK("https://elite.finviz.com/quote.ashx?t=TRAW&amp;ty=c&amp;p=d&amp;b=1", "TRAW")</f>
        <v>TRAW</v>
      </c>
      <c r="B1678">
        <v>6</v>
      </c>
      <c r="C1678">
        <v>127.03</v>
      </c>
      <c r="D1678">
        <v>55.12</v>
      </c>
      <c r="E1678" t="s">
        <v>18883</v>
      </c>
      <c r="F1678" t="s">
        <v>107</v>
      </c>
      <c r="G1678" t="s">
        <v>428</v>
      </c>
      <c r="H1678" t="s">
        <v>429</v>
      </c>
      <c r="I1678" t="s">
        <v>70</v>
      </c>
      <c r="J1678" t="s">
        <v>321</v>
      </c>
      <c r="K1678">
        <v>13.12</v>
      </c>
      <c r="L1678">
        <v>1.86</v>
      </c>
      <c r="M1678" t="s">
        <v>1864</v>
      </c>
      <c r="N1678">
        <v>17583</v>
      </c>
      <c r="O1678">
        <v>0.12</v>
      </c>
      <c r="R1678">
        <v>4.5199999999999996</v>
      </c>
      <c r="S1678">
        <v>1.59</v>
      </c>
      <c r="AA1678">
        <v>15.61</v>
      </c>
      <c r="AB1678" t="s">
        <v>10983</v>
      </c>
      <c r="AC1678" t="s">
        <v>18049</v>
      </c>
      <c r="AE1678" t="s">
        <v>18884</v>
      </c>
      <c r="AF1678" t="s">
        <v>164</v>
      </c>
      <c r="AG1678" t="s">
        <v>18885</v>
      </c>
      <c r="AH1678" t="s">
        <v>18886</v>
      </c>
      <c r="AJ1678" t="s">
        <v>164</v>
      </c>
      <c r="AK1678" t="s">
        <v>6690</v>
      </c>
      <c r="AL1678">
        <v>2.09</v>
      </c>
      <c r="AM1678">
        <v>2.09</v>
      </c>
      <c r="AN1678">
        <v>0</v>
      </c>
      <c r="AO1678" t="s">
        <v>18858</v>
      </c>
      <c r="AP1678" t="s">
        <v>18887</v>
      </c>
      <c r="AQ1678" t="s">
        <v>18888</v>
      </c>
      <c r="AR1678" t="s">
        <v>5591</v>
      </c>
      <c r="AS1678" t="s">
        <v>3837</v>
      </c>
      <c r="AT1678" t="s">
        <v>1338</v>
      </c>
      <c r="AU1678" t="s">
        <v>915</v>
      </c>
      <c r="AV1678" t="s">
        <v>18889</v>
      </c>
      <c r="AW1678" t="s">
        <v>18890</v>
      </c>
      <c r="AX1678" t="s">
        <v>4452</v>
      </c>
      <c r="AY1678" t="s">
        <v>18891</v>
      </c>
      <c r="AZ1678" t="s">
        <v>18892</v>
      </c>
      <c r="BA1678">
        <v>1</v>
      </c>
      <c r="BB1678">
        <v>103.57</v>
      </c>
      <c r="BC1678">
        <v>0.6</v>
      </c>
      <c r="BD1678">
        <v>1.88</v>
      </c>
      <c r="BE1678">
        <v>1.89</v>
      </c>
      <c r="BF1678">
        <v>1.82</v>
      </c>
      <c r="BG1678" t="s">
        <v>18893</v>
      </c>
      <c r="BH1678" t="s">
        <v>579</v>
      </c>
      <c r="BI1678" t="s">
        <v>18892</v>
      </c>
      <c r="BJ1678" t="s">
        <v>101</v>
      </c>
      <c r="BK1678" t="s">
        <v>14888</v>
      </c>
      <c r="BL1678" t="s">
        <v>16208</v>
      </c>
      <c r="BM1678" t="s">
        <v>18894</v>
      </c>
      <c r="BN1678" t="s">
        <v>14623</v>
      </c>
    </row>
    <row r="1679" spans="1:66" x14ac:dyDescent="0.25">
      <c r="A1679" t="str">
        <f>HYPERLINK("https://elite.finviz.com/quote.ashx?t=HGTY&amp;ty=c&amp;p=d&amp;b=1", "HGTY")</f>
        <v>HGTY</v>
      </c>
      <c r="B1679">
        <v>6</v>
      </c>
      <c r="C1679">
        <v>127.03</v>
      </c>
      <c r="D1679">
        <v>55.18</v>
      </c>
      <c r="E1679" t="s">
        <v>18895</v>
      </c>
      <c r="F1679" t="s">
        <v>107</v>
      </c>
      <c r="G1679" t="s">
        <v>550</v>
      </c>
      <c r="H1679" t="s">
        <v>4407</v>
      </c>
      <c r="I1679" t="s">
        <v>70</v>
      </c>
      <c r="J1679" t="s">
        <v>71</v>
      </c>
      <c r="K1679">
        <v>4177.24</v>
      </c>
      <c r="L1679">
        <v>12.22</v>
      </c>
      <c r="M1679" t="s">
        <v>2646</v>
      </c>
      <c r="N1679">
        <v>5332</v>
      </c>
      <c r="O1679">
        <v>59.47</v>
      </c>
      <c r="P1679">
        <v>30.67</v>
      </c>
      <c r="Q1679">
        <v>1.92</v>
      </c>
      <c r="R1679">
        <v>3.21</v>
      </c>
      <c r="S1679">
        <v>6.43</v>
      </c>
      <c r="Z1679" t="s">
        <v>164</v>
      </c>
      <c r="AA1679">
        <v>0.21</v>
      </c>
      <c r="AC1679" t="s">
        <v>14353</v>
      </c>
      <c r="AD1679" t="s">
        <v>2797</v>
      </c>
      <c r="AE1679" t="s">
        <v>2976</v>
      </c>
      <c r="AF1679" t="s">
        <v>4798</v>
      </c>
      <c r="AG1679" t="s">
        <v>5011</v>
      </c>
      <c r="AH1679" t="s">
        <v>5240</v>
      </c>
      <c r="AI1679" t="s">
        <v>3434</v>
      </c>
      <c r="AJ1679" t="s">
        <v>18896</v>
      </c>
      <c r="AK1679" t="s">
        <v>2908</v>
      </c>
      <c r="AL1679">
        <v>1.48</v>
      </c>
      <c r="AN1679">
        <v>0.79</v>
      </c>
      <c r="AP1679" t="s">
        <v>5025</v>
      </c>
      <c r="AQ1679" t="s">
        <v>5610</v>
      </c>
      <c r="AR1679" t="s">
        <v>5256</v>
      </c>
      <c r="AS1679" t="s">
        <v>2941</v>
      </c>
      <c r="AT1679" t="s">
        <v>2745</v>
      </c>
      <c r="AU1679" t="s">
        <v>7511</v>
      </c>
      <c r="AV1679" t="s">
        <v>4536</v>
      </c>
      <c r="AW1679" t="s">
        <v>3729</v>
      </c>
      <c r="AX1679" t="s">
        <v>1425</v>
      </c>
      <c r="AY1679" t="s">
        <v>3729</v>
      </c>
      <c r="AZ1679" t="s">
        <v>1073</v>
      </c>
      <c r="BA1679">
        <v>2.67</v>
      </c>
      <c r="BB1679">
        <v>190.21</v>
      </c>
      <c r="BC1679">
        <v>0.1</v>
      </c>
      <c r="BD1679">
        <v>12.18</v>
      </c>
      <c r="BE1679">
        <v>12.28</v>
      </c>
      <c r="BF1679">
        <v>12.16</v>
      </c>
      <c r="BG1679" t="s">
        <v>18897</v>
      </c>
      <c r="BH1679" t="s">
        <v>18898</v>
      </c>
      <c r="BI1679" t="s">
        <v>18899</v>
      </c>
      <c r="BJ1679" t="s">
        <v>101</v>
      </c>
      <c r="BK1679" t="s">
        <v>8239</v>
      </c>
      <c r="BL1679" t="s">
        <v>13761</v>
      </c>
      <c r="BM1679" t="s">
        <v>4941</v>
      </c>
      <c r="BN1679" t="s">
        <v>14623</v>
      </c>
    </row>
    <row r="1680" spans="1:66" x14ac:dyDescent="0.25">
      <c r="A1680" t="str">
        <f>HYPERLINK("https://elite.finviz.com/quote.ashx?t=HFBL&amp;ty=c&amp;p=d&amp;b=1", "HFBL")</f>
        <v>HFBL</v>
      </c>
      <c r="B1680">
        <v>6</v>
      </c>
      <c r="C1680">
        <v>127.03</v>
      </c>
      <c r="D1680">
        <v>55.19</v>
      </c>
      <c r="E1680" t="s">
        <v>18900</v>
      </c>
      <c r="F1680" t="s">
        <v>107</v>
      </c>
      <c r="G1680" t="s">
        <v>550</v>
      </c>
      <c r="H1680" t="s">
        <v>697</v>
      </c>
      <c r="I1680" t="s">
        <v>70</v>
      </c>
      <c r="J1680" t="s">
        <v>321</v>
      </c>
      <c r="K1680">
        <v>42.84</v>
      </c>
      <c r="L1680">
        <v>13.72</v>
      </c>
      <c r="M1680" t="s">
        <v>164</v>
      </c>
      <c r="N1680">
        <v>15</v>
      </c>
      <c r="O1680">
        <v>10.89</v>
      </c>
      <c r="R1680">
        <v>1.32</v>
      </c>
      <c r="S1680">
        <v>0.77</v>
      </c>
      <c r="T1680" t="s">
        <v>323</v>
      </c>
      <c r="U1680">
        <v>0.53</v>
      </c>
      <c r="V1680" t="s">
        <v>4827</v>
      </c>
      <c r="W1680" t="s">
        <v>3433</v>
      </c>
      <c r="X1680" t="s">
        <v>1078</v>
      </c>
      <c r="Y1680" t="s">
        <v>3468</v>
      </c>
      <c r="Z1680" t="s">
        <v>10799</v>
      </c>
      <c r="AA1680">
        <v>1.26</v>
      </c>
      <c r="AB1680" t="s">
        <v>1727</v>
      </c>
      <c r="AC1680" t="s">
        <v>3636</v>
      </c>
      <c r="AE1680" t="s">
        <v>3640</v>
      </c>
      <c r="AF1680" t="s">
        <v>333</v>
      </c>
      <c r="AG1680" t="s">
        <v>1826</v>
      </c>
      <c r="AH1680" t="s">
        <v>2638</v>
      </c>
      <c r="AJ1680" t="s">
        <v>5693</v>
      </c>
      <c r="AK1680" t="s">
        <v>2816</v>
      </c>
      <c r="AL1680">
        <v>0.08</v>
      </c>
      <c r="AN1680">
        <v>7.0000000000000007E-2</v>
      </c>
      <c r="AP1680" t="s">
        <v>7108</v>
      </c>
      <c r="AQ1680" t="s">
        <v>3492</v>
      </c>
      <c r="AR1680" t="s">
        <v>3047</v>
      </c>
      <c r="AS1680" t="s">
        <v>344</v>
      </c>
      <c r="AT1680" t="s">
        <v>3487</v>
      </c>
      <c r="AU1680" t="s">
        <v>2307</v>
      </c>
      <c r="AV1680" t="s">
        <v>5027</v>
      </c>
      <c r="AW1680" t="s">
        <v>1444</v>
      </c>
      <c r="AX1680" t="s">
        <v>4903</v>
      </c>
      <c r="AY1680" t="s">
        <v>1904</v>
      </c>
      <c r="AZ1680" t="s">
        <v>7167</v>
      </c>
      <c r="BB1680">
        <v>3.96</v>
      </c>
      <c r="BC1680">
        <v>0.01</v>
      </c>
      <c r="BD1680">
        <v>13.72</v>
      </c>
      <c r="BE1680">
        <v>13.64</v>
      </c>
      <c r="BF1680">
        <v>13.64</v>
      </c>
      <c r="BG1680" t="s">
        <v>18901</v>
      </c>
      <c r="BH1680" t="s">
        <v>18902</v>
      </c>
      <c r="BI1680" t="s">
        <v>18903</v>
      </c>
      <c r="BJ1680" t="s">
        <v>101</v>
      </c>
      <c r="BK1680" t="s">
        <v>3777</v>
      </c>
      <c r="BL1680" t="s">
        <v>2698</v>
      </c>
      <c r="BM1680" t="s">
        <v>10638</v>
      </c>
      <c r="BN1680" t="s">
        <v>14623</v>
      </c>
    </row>
    <row r="1681" spans="1:66" x14ac:dyDescent="0.25">
      <c r="A1681" t="str">
        <f>HYPERLINK("https://elite.finviz.com/quote.ashx?t=MPWR&amp;ty=c&amp;p=d&amp;b=1", "MPWR")</f>
        <v>MPWR</v>
      </c>
      <c r="B1681">
        <v>6</v>
      </c>
      <c r="C1681">
        <v>127.03</v>
      </c>
      <c r="D1681">
        <v>55.19</v>
      </c>
      <c r="E1681" t="s">
        <v>18904</v>
      </c>
      <c r="F1681" t="s">
        <v>195</v>
      </c>
      <c r="G1681" t="s">
        <v>108</v>
      </c>
      <c r="H1681" t="s">
        <v>1808</v>
      </c>
      <c r="I1681" t="s">
        <v>70</v>
      </c>
      <c r="J1681" t="s">
        <v>321</v>
      </c>
      <c r="K1681">
        <v>42196.68</v>
      </c>
      <c r="L1681">
        <v>881.08</v>
      </c>
      <c r="M1681" t="s">
        <v>8402</v>
      </c>
      <c r="N1681">
        <v>73692</v>
      </c>
      <c r="O1681">
        <v>22.94</v>
      </c>
      <c r="P1681">
        <v>43.55</v>
      </c>
      <c r="Q1681">
        <v>1.18</v>
      </c>
      <c r="R1681">
        <v>16.59</v>
      </c>
      <c r="S1681">
        <v>12.4</v>
      </c>
      <c r="T1681" t="s">
        <v>4865</v>
      </c>
      <c r="U1681">
        <v>5.62</v>
      </c>
      <c r="V1681" t="s">
        <v>198</v>
      </c>
      <c r="W1681" t="s">
        <v>2621</v>
      </c>
      <c r="X1681" t="s">
        <v>12791</v>
      </c>
      <c r="Y1681" t="s">
        <v>18905</v>
      </c>
      <c r="Z1681" t="s">
        <v>5096</v>
      </c>
      <c r="AA1681">
        <v>38.4</v>
      </c>
      <c r="AB1681" t="s">
        <v>9446</v>
      </c>
      <c r="AC1681" t="s">
        <v>18732</v>
      </c>
      <c r="AD1681" t="s">
        <v>13652</v>
      </c>
      <c r="AE1681" t="s">
        <v>18906</v>
      </c>
      <c r="AF1681" t="s">
        <v>2556</v>
      </c>
      <c r="AG1681" t="s">
        <v>4668</v>
      </c>
      <c r="AH1681" t="s">
        <v>11064</v>
      </c>
      <c r="AI1681" t="s">
        <v>212</v>
      </c>
      <c r="AJ1681" t="s">
        <v>3595</v>
      </c>
      <c r="AK1681" t="s">
        <v>18907</v>
      </c>
      <c r="AL1681">
        <v>5</v>
      </c>
      <c r="AM1681">
        <v>3.72</v>
      </c>
      <c r="AN1681">
        <v>0.01</v>
      </c>
      <c r="AO1681" t="s">
        <v>3597</v>
      </c>
      <c r="AP1681" t="s">
        <v>664</v>
      </c>
      <c r="AQ1681" t="s">
        <v>18908</v>
      </c>
      <c r="AR1681" t="s">
        <v>901</v>
      </c>
      <c r="AS1681" t="s">
        <v>2892</v>
      </c>
      <c r="AT1681" t="s">
        <v>2185</v>
      </c>
      <c r="AU1681" t="s">
        <v>1691</v>
      </c>
      <c r="AV1681" t="s">
        <v>16549</v>
      </c>
      <c r="AW1681" t="s">
        <v>14744</v>
      </c>
      <c r="AX1681" t="s">
        <v>18909</v>
      </c>
      <c r="AY1681" t="s">
        <v>11153</v>
      </c>
      <c r="AZ1681" t="s">
        <v>18910</v>
      </c>
      <c r="BA1681">
        <v>1.8</v>
      </c>
      <c r="BB1681">
        <v>553.01</v>
      </c>
      <c r="BC1681">
        <v>0.47</v>
      </c>
      <c r="BD1681">
        <v>891.39</v>
      </c>
      <c r="BE1681">
        <v>890.58</v>
      </c>
      <c r="BF1681">
        <v>877</v>
      </c>
      <c r="BG1681" t="s">
        <v>18911</v>
      </c>
      <c r="BH1681" t="s">
        <v>647</v>
      </c>
      <c r="BI1681" t="s">
        <v>18912</v>
      </c>
      <c r="BJ1681" t="s">
        <v>101</v>
      </c>
      <c r="BK1681" t="s">
        <v>7804</v>
      </c>
      <c r="BL1681" t="s">
        <v>18913</v>
      </c>
      <c r="BM1681" t="s">
        <v>4281</v>
      </c>
      <c r="BN1681" t="s">
        <v>14623</v>
      </c>
    </row>
    <row r="1682" spans="1:66" x14ac:dyDescent="0.25">
      <c r="A1682" t="str">
        <f>HYPERLINK("https://elite.finviz.com/quote.ashx?t=NXPL&amp;ty=c&amp;p=d&amp;b=1", "NXPL")</f>
        <v>NXPL</v>
      </c>
      <c r="B1682">
        <v>6</v>
      </c>
      <c r="C1682">
        <v>127.03</v>
      </c>
      <c r="D1682">
        <v>55.2</v>
      </c>
      <c r="E1682" t="s">
        <v>18914</v>
      </c>
      <c r="F1682" t="s">
        <v>107</v>
      </c>
      <c r="G1682" t="s">
        <v>108</v>
      </c>
      <c r="H1682" t="s">
        <v>136</v>
      </c>
      <c r="I1682" t="s">
        <v>70</v>
      </c>
      <c r="J1682" t="s">
        <v>321</v>
      </c>
      <c r="K1682">
        <v>21.19</v>
      </c>
      <c r="L1682">
        <v>0.82</v>
      </c>
      <c r="M1682" t="s">
        <v>2650</v>
      </c>
      <c r="N1682">
        <v>20592</v>
      </c>
      <c r="R1682">
        <v>0.36</v>
      </c>
      <c r="S1682">
        <v>0.9</v>
      </c>
      <c r="AA1682">
        <v>-0.46</v>
      </c>
      <c r="AB1682" t="s">
        <v>9301</v>
      </c>
      <c r="AC1682" t="s">
        <v>18915</v>
      </c>
      <c r="AE1682" t="s">
        <v>4784</v>
      </c>
      <c r="AF1682" t="s">
        <v>18916</v>
      </c>
      <c r="AG1682" t="s">
        <v>1741</v>
      </c>
      <c r="AH1682" t="s">
        <v>18917</v>
      </c>
      <c r="AJ1682" t="s">
        <v>164</v>
      </c>
      <c r="AK1682" t="s">
        <v>247</v>
      </c>
      <c r="AL1682">
        <v>4.33</v>
      </c>
      <c r="AM1682">
        <v>3.49</v>
      </c>
      <c r="AN1682">
        <v>0.08</v>
      </c>
      <c r="AO1682" t="s">
        <v>2965</v>
      </c>
      <c r="AP1682" t="s">
        <v>219</v>
      </c>
      <c r="AQ1682" t="s">
        <v>18918</v>
      </c>
      <c r="AR1682" t="s">
        <v>2019</v>
      </c>
      <c r="AS1682" t="s">
        <v>6607</v>
      </c>
      <c r="AT1682" t="s">
        <v>5552</v>
      </c>
      <c r="AU1682" t="s">
        <v>2487</v>
      </c>
      <c r="AV1682" t="s">
        <v>6265</v>
      </c>
      <c r="AW1682" t="s">
        <v>4054</v>
      </c>
      <c r="AX1682" t="s">
        <v>5926</v>
      </c>
      <c r="AY1682" t="s">
        <v>18919</v>
      </c>
      <c r="AZ1682" t="s">
        <v>18920</v>
      </c>
      <c r="BB1682">
        <v>128.5</v>
      </c>
      <c r="BC1682">
        <v>0.56999999999999995</v>
      </c>
      <c r="BD1682">
        <v>0.81</v>
      </c>
      <c r="BE1682">
        <v>0.85</v>
      </c>
      <c r="BF1682">
        <v>0.81</v>
      </c>
      <c r="BG1682" t="s">
        <v>18921</v>
      </c>
      <c r="BH1682" t="s">
        <v>579</v>
      </c>
      <c r="BI1682" t="s">
        <v>18920</v>
      </c>
      <c r="BJ1682" t="s">
        <v>101</v>
      </c>
      <c r="BK1682" t="s">
        <v>2403</v>
      </c>
      <c r="BL1682" t="s">
        <v>16721</v>
      </c>
      <c r="BM1682" t="s">
        <v>11609</v>
      </c>
      <c r="BN1682" t="s">
        <v>14623</v>
      </c>
    </row>
    <row r="1683" spans="1:66" x14ac:dyDescent="0.25">
      <c r="A1683" t="str">
        <f>HYPERLINK("https://elite.finviz.com/quote.ashx?t=AXR&amp;ty=c&amp;p=d&amp;b=1", "AXR")</f>
        <v>AXR</v>
      </c>
      <c r="B1683">
        <v>6</v>
      </c>
      <c r="C1683">
        <v>127.03</v>
      </c>
      <c r="D1683">
        <v>55.2</v>
      </c>
      <c r="E1683" t="s">
        <v>18922</v>
      </c>
      <c r="F1683" t="s">
        <v>107</v>
      </c>
      <c r="G1683" t="s">
        <v>68</v>
      </c>
      <c r="H1683" t="s">
        <v>11109</v>
      </c>
      <c r="I1683" t="s">
        <v>70</v>
      </c>
      <c r="J1683" t="s">
        <v>71</v>
      </c>
      <c r="K1683">
        <v>132.38999999999999</v>
      </c>
      <c r="L1683">
        <v>24.95</v>
      </c>
      <c r="M1683" t="s">
        <v>2509</v>
      </c>
      <c r="N1683">
        <v>1796</v>
      </c>
      <c r="O1683">
        <v>10.039999999999999</v>
      </c>
      <c r="P1683">
        <v>13.06</v>
      </c>
      <c r="R1683">
        <v>2.73</v>
      </c>
      <c r="S1683">
        <v>0.98</v>
      </c>
      <c r="V1683" t="s">
        <v>18923</v>
      </c>
      <c r="Z1683" t="s">
        <v>164</v>
      </c>
      <c r="AA1683">
        <v>2.4900000000000002</v>
      </c>
      <c r="AB1683" t="s">
        <v>92</v>
      </c>
      <c r="AD1683" t="s">
        <v>1081</v>
      </c>
      <c r="AE1683" t="s">
        <v>104</v>
      </c>
      <c r="AF1683" t="s">
        <v>8346</v>
      </c>
      <c r="AG1683" t="s">
        <v>5556</v>
      </c>
      <c r="AH1683" t="s">
        <v>2594</v>
      </c>
      <c r="AI1683" t="s">
        <v>18924</v>
      </c>
      <c r="AJ1683" t="s">
        <v>164</v>
      </c>
      <c r="AK1683" t="s">
        <v>1949</v>
      </c>
      <c r="AL1683">
        <v>19.329999999999998</v>
      </c>
      <c r="AM1683">
        <v>8.3699999999999992</v>
      </c>
      <c r="AN1683">
        <v>0</v>
      </c>
      <c r="AO1683" t="s">
        <v>1677</v>
      </c>
      <c r="AP1683" t="s">
        <v>7578</v>
      </c>
      <c r="AQ1683" t="s">
        <v>13312</v>
      </c>
      <c r="AR1683" t="s">
        <v>4403</v>
      </c>
      <c r="AS1683" t="s">
        <v>5455</v>
      </c>
      <c r="AT1683" t="s">
        <v>2293</v>
      </c>
      <c r="AU1683" t="s">
        <v>605</v>
      </c>
      <c r="AV1683" t="s">
        <v>1761</v>
      </c>
      <c r="AW1683" t="s">
        <v>16620</v>
      </c>
      <c r="AX1683" t="s">
        <v>3864</v>
      </c>
      <c r="AY1683" t="s">
        <v>18925</v>
      </c>
      <c r="AZ1683" t="s">
        <v>13199</v>
      </c>
      <c r="BA1683">
        <v>1</v>
      </c>
      <c r="BB1683">
        <v>10.5</v>
      </c>
      <c r="BC1683">
        <v>0.61</v>
      </c>
      <c r="BD1683">
        <v>24.63</v>
      </c>
      <c r="BE1683">
        <v>25.1</v>
      </c>
      <c r="BF1683">
        <v>25.1</v>
      </c>
      <c r="BG1683" t="s">
        <v>18926</v>
      </c>
      <c r="BH1683" t="s">
        <v>14849</v>
      </c>
      <c r="BI1683" t="s">
        <v>18927</v>
      </c>
      <c r="BJ1683" t="s">
        <v>101</v>
      </c>
      <c r="BK1683" t="s">
        <v>18550</v>
      </c>
      <c r="BL1683" t="s">
        <v>361</v>
      </c>
      <c r="BM1683" t="s">
        <v>4960</v>
      </c>
      <c r="BN1683" t="s">
        <v>14623</v>
      </c>
    </row>
    <row r="1684" spans="1:66" x14ac:dyDescent="0.25">
      <c r="A1684" t="str">
        <f>HYPERLINK("https://elite.finviz.com/quote.ashx?t=MYE&amp;ty=c&amp;p=d&amp;b=1", "MYE")</f>
        <v>MYE</v>
      </c>
      <c r="B1684">
        <v>6</v>
      </c>
      <c r="C1684">
        <v>127.03</v>
      </c>
      <c r="D1684">
        <v>55.21</v>
      </c>
      <c r="E1684" t="s">
        <v>18928</v>
      </c>
      <c r="F1684" t="s">
        <v>67</v>
      </c>
      <c r="G1684" t="s">
        <v>813</v>
      </c>
      <c r="H1684" t="s">
        <v>7355</v>
      </c>
      <c r="I1684" t="s">
        <v>70</v>
      </c>
      <c r="J1684" t="s">
        <v>71</v>
      </c>
      <c r="K1684">
        <v>619.14</v>
      </c>
      <c r="L1684">
        <v>16.55</v>
      </c>
      <c r="M1684" t="s">
        <v>1445</v>
      </c>
      <c r="N1684">
        <v>33187</v>
      </c>
      <c r="O1684">
        <v>62.74</v>
      </c>
      <c r="P1684">
        <v>10.82</v>
      </c>
      <c r="R1684">
        <v>0.75</v>
      </c>
      <c r="S1684">
        <v>2.17</v>
      </c>
      <c r="T1684" t="s">
        <v>4499</v>
      </c>
      <c r="U1684">
        <v>0.54</v>
      </c>
      <c r="V1684" t="s">
        <v>2620</v>
      </c>
      <c r="W1684" t="s">
        <v>164</v>
      </c>
      <c r="X1684" t="s">
        <v>164</v>
      </c>
      <c r="Y1684" t="s">
        <v>164</v>
      </c>
      <c r="Z1684" t="s">
        <v>18929</v>
      </c>
      <c r="AA1684">
        <v>0.26</v>
      </c>
      <c r="AB1684" t="s">
        <v>18930</v>
      </c>
      <c r="AC1684" t="s">
        <v>6356</v>
      </c>
      <c r="AE1684" t="s">
        <v>3018</v>
      </c>
      <c r="AF1684" t="s">
        <v>2356</v>
      </c>
      <c r="AG1684" t="s">
        <v>10793</v>
      </c>
      <c r="AH1684" t="s">
        <v>18188</v>
      </c>
      <c r="AI1684" t="s">
        <v>7907</v>
      </c>
      <c r="AJ1684" t="s">
        <v>2880</v>
      </c>
      <c r="AK1684" t="s">
        <v>18931</v>
      </c>
      <c r="AL1684">
        <v>1.77</v>
      </c>
      <c r="AM1684">
        <v>1.1200000000000001</v>
      </c>
      <c r="AN1684">
        <v>1.43</v>
      </c>
      <c r="AO1684" t="s">
        <v>9303</v>
      </c>
      <c r="AP1684" t="s">
        <v>3648</v>
      </c>
      <c r="AQ1684" t="s">
        <v>1417</v>
      </c>
      <c r="AR1684" t="s">
        <v>617</v>
      </c>
      <c r="AS1684" t="s">
        <v>4547</v>
      </c>
      <c r="AT1684" t="s">
        <v>4902</v>
      </c>
      <c r="AU1684" t="s">
        <v>5736</v>
      </c>
      <c r="AV1684" t="s">
        <v>2001</v>
      </c>
      <c r="AW1684" t="s">
        <v>3897</v>
      </c>
      <c r="AX1684" t="s">
        <v>17729</v>
      </c>
      <c r="AY1684" t="s">
        <v>3897</v>
      </c>
      <c r="AZ1684" t="s">
        <v>15876</v>
      </c>
      <c r="BA1684">
        <v>1</v>
      </c>
      <c r="BB1684">
        <v>233.57</v>
      </c>
      <c r="BC1684">
        <v>0.5</v>
      </c>
      <c r="BD1684">
        <v>16.61</v>
      </c>
      <c r="BE1684">
        <v>16.82</v>
      </c>
      <c r="BF1684">
        <v>16.45</v>
      </c>
      <c r="BG1684" t="s">
        <v>18932</v>
      </c>
      <c r="BH1684" t="s">
        <v>8877</v>
      </c>
      <c r="BI1684" t="s">
        <v>18933</v>
      </c>
      <c r="BJ1684" t="s">
        <v>101</v>
      </c>
      <c r="BK1684" t="s">
        <v>2712</v>
      </c>
      <c r="BL1684" t="s">
        <v>14568</v>
      </c>
      <c r="BM1684" t="s">
        <v>8627</v>
      </c>
      <c r="BN1684" t="s">
        <v>14623</v>
      </c>
    </row>
    <row r="1685" spans="1:66" x14ac:dyDescent="0.25">
      <c r="A1685" t="str">
        <f>HYPERLINK("https://elite.finviz.com/quote.ashx?t=RRR&amp;ty=c&amp;p=d&amp;b=1", "RRR")</f>
        <v>RRR</v>
      </c>
      <c r="B1685">
        <v>6</v>
      </c>
      <c r="C1685">
        <v>127.03</v>
      </c>
      <c r="D1685">
        <v>55.22</v>
      </c>
      <c r="E1685" t="s">
        <v>18934</v>
      </c>
      <c r="F1685" t="s">
        <v>67</v>
      </c>
      <c r="G1685" t="s">
        <v>813</v>
      </c>
      <c r="H1685" t="s">
        <v>2763</v>
      </c>
      <c r="I1685" t="s">
        <v>70</v>
      </c>
      <c r="J1685" t="s">
        <v>321</v>
      </c>
      <c r="K1685">
        <v>6500.92</v>
      </c>
      <c r="L1685">
        <v>61.62</v>
      </c>
      <c r="M1685" t="s">
        <v>4658</v>
      </c>
      <c r="N1685">
        <v>98570</v>
      </c>
      <c r="O1685">
        <v>23.47</v>
      </c>
      <c r="P1685">
        <v>31.01</v>
      </c>
      <c r="Q1685">
        <v>0.97</v>
      </c>
      <c r="R1685">
        <v>3.27</v>
      </c>
      <c r="S1685">
        <v>18.010000000000002</v>
      </c>
      <c r="T1685" t="s">
        <v>2543</v>
      </c>
      <c r="U1685">
        <v>0.99</v>
      </c>
      <c r="V1685" t="s">
        <v>3833</v>
      </c>
      <c r="W1685" t="s">
        <v>164</v>
      </c>
      <c r="Y1685" t="s">
        <v>2710</v>
      </c>
      <c r="Z1685" t="s">
        <v>16432</v>
      </c>
      <c r="AA1685">
        <v>2.63</v>
      </c>
      <c r="AB1685" t="s">
        <v>8380</v>
      </c>
      <c r="AD1685" t="s">
        <v>5011</v>
      </c>
      <c r="AE1685" t="s">
        <v>8808</v>
      </c>
      <c r="AF1685" t="s">
        <v>7767</v>
      </c>
      <c r="AG1685" t="s">
        <v>6117</v>
      </c>
      <c r="AH1685" t="s">
        <v>2861</v>
      </c>
      <c r="AI1685" t="s">
        <v>18935</v>
      </c>
      <c r="AJ1685" t="s">
        <v>1864</v>
      </c>
      <c r="AK1685" t="s">
        <v>8483</v>
      </c>
      <c r="AL1685">
        <v>0.89</v>
      </c>
      <c r="AM1685">
        <v>0.84</v>
      </c>
      <c r="AN1685">
        <v>16.75</v>
      </c>
      <c r="AO1685" t="s">
        <v>17934</v>
      </c>
      <c r="AP1685" t="s">
        <v>18936</v>
      </c>
      <c r="AQ1685" t="s">
        <v>660</v>
      </c>
      <c r="AR1685" t="s">
        <v>5121</v>
      </c>
      <c r="AS1685" t="s">
        <v>3842</v>
      </c>
      <c r="AT1685" t="s">
        <v>4623</v>
      </c>
      <c r="AU1685" t="s">
        <v>2736</v>
      </c>
      <c r="AV1685" t="s">
        <v>1701</v>
      </c>
      <c r="AW1685" t="s">
        <v>7884</v>
      </c>
      <c r="AX1685" t="s">
        <v>10760</v>
      </c>
      <c r="AY1685" t="s">
        <v>7884</v>
      </c>
      <c r="AZ1685" t="s">
        <v>4351</v>
      </c>
      <c r="BA1685">
        <v>1.86</v>
      </c>
      <c r="BB1685">
        <v>788.33</v>
      </c>
      <c r="BC1685">
        <v>0.44</v>
      </c>
      <c r="BD1685">
        <v>59.98</v>
      </c>
      <c r="BE1685">
        <v>61.65</v>
      </c>
      <c r="BF1685">
        <v>60.21</v>
      </c>
      <c r="BG1685" t="s">
        <v>18937</v>
      </c>
      <c r="BH1685" t="s">
        <v>7884</v>
      </c>
      <c r="BI1685" t="s">
        <v>18938</v>
      </c>
      <c r="BJ1685" t="s">
        <v>101</v>
      </c>
      <c r="BK1685" t="s">
        <v>8057</v>
      </c>
      <c r="BL1685" t="s">
        <v>5825</v>
      </c>
      <c r="BM1685" t="s">
        <v>4594</v>
      </c>
      <c r="BN1685" t="s">
        <v>14623</v>
      </c>
    </row>
    <row r="1686" spans="1:66" x14ac:dyDescent="0.25">
      <c r="A1686" t="str">
        <f>HYPERLINK("https://elite.finviz.com/quote.ashx?t=NEU&amp;ty=c&amp;p=d&amp;b=1", "NEU")</f>
        <v>NEU</v>
      </c>
      <c r="B1686">
        <v>6</v>
      </c>
      <c r="C1686">
        <v>127.03</v>
      </c>
      <c r="D1686">
        <v>55.23</v>
      </c>
      <c r="E1686" t="s">
        <v>18939</v>
      </c>
      <c r="F1686" t="s">
        <v>107</v>
      </c>
      <c r="G1686" t="s">
        <v>355</v>
      </c>
      <c r="H1686" t="s">
        <v>1147</v>
      </c>
      <c r="I1686" t="s">
        <v>70</v>
      </c>
      <c r="J1686" t="s">
        <v>71</v>
      </c>
      <c r="K1686">
        <v>7710.86</v>
      </c>
      <c r="L1686">
        <v>820.6</v>
      </c>
      <c r="M1686" t="s">
        <v>1202</v>
      </c>
      <c r="N1686">
        <v>38072</v>
      </c>
      <c r="O1686">
        <v>16.27</v>
      </c>
      <c r="R1686">
        <v>2.77</v>
      </c>
      <c r="S1686">
        <v>4.78</v>
      </c>
      <c r="T1686" t="s">
        <v>1559</v>
      </c>
      <c r="U1686">
        <v>10.75</v>
      </c>
      <c r="V1686" t="s">
        <v>3833</v>
      </c>
      <c r="W1686" t="s">
        <v>2463</v>
      </c>
      <c r="X1686" t="s">
        <v>4512</v>
      </c>
      <c r="Y1686" t="s">
        <v>2772</v>
      </c>
      <c r="Z1686" t="s">
        <v>3065</v>
      </c>
      <c r="AA1686">
        <v>50.45</v>
      </c>
      <c r="AB1686" t="s">
        <v>11672</v>
      </c>
      <c r="AC1686" t="s">
        <v>3840</v>
      </c>
      <c r="AE1686" t="s">
        <v>6003</v>
      </c>
      <c r="AF1686" t="s">
        <v>1026</v>
      </c>
      <c r="AG1686" t="s">
        <v>2385</v>
      </c>
      <c r="AH1686" t="s">
        <v>14607</v>
      </c>
      <c r="AJ1686" t="s">
        <v>7709</v>
      </c>
      <c r="AK1686" t="s">
        <v>18940</v>
      </c>
      <c r="AL1686">
        <v>2.66</v>
      </c>
      <c r="AM1686">
        <v>1.43</v>
      </c>
      <c r="AN1686">
        <v>0.56999999999999995</v>
      </c>
      <c r="AO1686" t="s">
        <v>18941</v>
      </c>
      <c r="AP1686" t="s">
        <v>11963</v>
      </c>
      <c r="AQ1686" t="s">
        <v>8735</v>
      </c>
      <c r="AR1686" t="s">
        <v>2720</v>
      </c>
      <c r="AS1686" t="s">
        <v>4493</v>
      </c>
      <c r="AT1686" t="s">
        <v>2426</v>
      </c>
      <c r="AU1686" t="s">
        <v>5859</v>
      </c>
      <c r="AV1686" t="s">
        <v>7376</v>
      </c>
      <c r="AW1686" t="s">
        <v>2998</v>
      </c>
      <c r="AX1686" t="s">
        <v>18942</v>
      </c>
      <c r="AY1686" t="s">
        <v>2998</v>
      </c>
      <c r="AZ1686" t="s">
        <v>18943</v>
      </c>
      <c r="BA1686">
        <v>3</v>
      </c>
      <c r="BB1686">
        <v>98.16</v>
      </c>
      <c r="BC1686">
        <v>1.37</v>
      </c>
      <c r="BD1686">
        <v>825.66</v>
      </c>
      <c r="BE1686">
        <v>828.01</v>
      </c>
      <c r="BF1686">
        <v>822.29</v>
      </c>
      <c r="BG1686" t="s">
        <v>18944</v>
      </c>
      <c r="BH1686" t="s">
        <v>2998</v>
      </c>
      <c r="BI1686" t="s">
        <v>18945</v>
      </c>
      <c r="BJ1686" t="s">
        <v>101</v>
      </c>
      <c r="BK1686" t="s">
        <v>8491</v>
      </c>
      <c r="BL1686" t="s">
        <v>15341</v>
      </c>
      <c r="BM1686" t="s">
        <v>18946</v>
      </c>
      <c r="BN1686" t="s">
        <v>14623</v>
      </c>
    </row>
    <row r="1687" spans="1:66" x14ac:dyDescent="0.25">
      <c r="A1687" t="str">
        <f>HYPERLINK("https://elite.finviz.com/quote.ashx?t=PDM&amp;ty=c&amp;p=d&amp;b=1", "PDM")</f>
        <v>PDM</v>
      </c>
      <c r="B1687">
        <v>6</v>
      </c>
      <c r="C1687">
        <v>127.03</v>
      </c>
      <c r="D1687">
        <v>55.24</v>
      </c>
      <c r="E1687" t="s">
        <v>18947</v>
      </c>
      <c r="F1687" t="s">
        <v>67</v>
      </c>
      <c r="G1687" t="s">
        <v>68</v>
      </c>
      <c r="H1687" t="s">
        <v>69</v>
      </c>
      <c r="I1687" t="s">
        <v>70</v>
      </c>
      <c r="J1687" t="s">
        <v>71</v>
      </c>
      <c r="K1687">
        <v>1087.55</v>
      </c>
      <c r="L1687">
        <v>8.73</v>
      </c>
      <c r="M1687" t="s">
        <v>2745</v>
      </c>
      <c r="N1687">
        <v>57020</v>
      </c>
      <c r="R1687">
        <v>1.92</v>
      </c>
      <c r="S1687">
        <v>0.7</v>
      </c>
      <c r="T1687" t="s">
        <v>5610</v>
      </c>
      <c r="U1687">
        <v>0.25</v>
      </c>
      <c r="V1687" t="s">
        <v>18948</v>
      </c>
      <c r="W1687" t="s">
        <v>17413</v>
      </c>
      <c r="X1687" t="s">
        <v>18510</v>
      </c>
      <c r="Y1687" t="s">
        <v>8115</v>
      </c>
      <c r="AA1687">
        <v>-0.55000000000000004</v>
      </c>
      <c r="AB1687" t="s">
        <v>18949</v>
      </c>
      <c r="AE1687" t="s">
        <v>9018</v>
      </c>
      <c r="AF1687" t="s">
        <v>5497</v>
      </c>
      <c r="AG1687" t="s">
        <v>3486</v>
      </c>
      <c r="AH1687" t="s">
        <v>2190</v>
      </c>
      <c r="AJ1687" t="s">
        <v>2868</v>
      </c>
      <c r="AK1687" t="s">
        <v>653</v>
      </c>
      <c r="AL1687">
        <v>1.67</v>
      </c>
      <c r="AM1687">
        <v>1.67</v>
      </c>
      <c r="AN1687">
        <v>1.43</v>
      </c>
      <c r="AO1687" t="s">
        <v>7804</v>
      </c>
      <c r="AP1687" t="s">
        <v>562</v>
      </c>
      <c r="AQ1687" t="s">
        <v>2226</v>
      </c>
      <c r="AR1687" t="s">
        <v>465</v>
      </c>
      <c r="AS1687" t="s">
        <v>179</v>
      </c>
      <c r="AT1687" t="s">
        <v>1364</v>
      </c>
      <c r="AU1687" t="s">
        <v>7970</v>
      </c>
      <c r="AV1687" t="s">
        <v>4109</v>
      </c>
      <c r="AW1687" t="s">
        <v>1465</v>
      </c>
      <c r="AX1687" t="s">
        <v>791</v>
      </c>
      <c r="AY1687" t="s">
        <v>1032</v>
      </c>
      <c r="AZ1687" t="s">
        <v>5338</v>
      </c>
      <c r="BA1687">
        <v>2.33</v>
      </c>
      <c r="BB1687">
        <v>860.73</v>
      </c>
      <c r="BC1687">
        <v>0.23</v>
      </c>
      <c r="BD1687">
        <v>8.74</v>
      </c>
      <c r="BE1687">
        <v>8.82</v>
      </c>
      <c r="BF1687">
        <v>8.7200000000000006</v>
      </c>
      <c r="BG1687" t="s">
        <v>18950</v>
      </c>
      <c r="BH1687" t="s">
        <v>17534</v>
      </c>
      <c r="BI1687" t="s">
        <v>18951</v>
      </c>
      <c r="BJ1687" t="s">
        <v>101</v>
      </c>
      <c r="BK1687" t="s">
        <v>8239</v>
      </c>
      <c r="BL1687" t="s">
        <v>11559</v>
      </c>
      <c r="BM1687" t="s">
        <v>18084</v>
      </c>
      <c r="BN1687" t="s">
        <v>14623</v>
      </c>
    </row>
    <row r="1688" spans="1:66" x14ac:dyDescent="0.25">
      <c r="A1688" t="str">
        <f>HYPERLINK("https://elite.finviz.com/quote.ashx?t=ENVA&amp;ty=c&amp;p=d&amp;b=1", "ENVA")</f>
        <v>ENVA</v>
      </c>
      <c r="B1688">
        <v>6</v>
      </c>
      <c r="C1688">
        <v>127.03</v>
      </c>
      <c r="D1688">
        <v>55.25</v>
      </c>
      <c r="E1688" t="s">
        <v>18952</v>
      </c>
      <c r="F1688" t="s">
        <v>67</v>
      </c>
      <c r="G1688" t="s">
        <v>550</v>
      </c>
      <c r="H1688" t="s">
        <v>3744</v>
      </c>
      <c r="I1688" t="s">
        <v>70</v>
      </c>
      <c r="J1688" t="s">
        <v>71</v>
      </c>
      <c r="K1688">
        <v>3048.04</v>
      </c>
      <c r="L1688">
        <v>121.86</v>
      </c>
      <c r="M1688" t="s">
        <v>1067</v>
      </c>
      <c r="N1688">
        <v>22513</v>
      </c>
      <c r="O1688">
        <v>12.94</v>
      </c>
      <c r="P1688">
        <v>8.6</v>
      </c>
      <c r="Q1688">
        <v>0.56999999999999995</v>
      </c>
      <c r="R1688">
        <v>1.04</v>
      </c>
      <c r="S1688">
        <v>2.4900000000000002</v>
      </c>
      <c r="Z1688" t="s">
        <v>164</v>
      </c>
      <c r="AA1688">
        <v>9.42</v>
      </c>
      <c r="AB1688" t="s">
        <v>2543</v>
      </c>
      <c r="AC1688" t="s">
        <v>17539</v>
      </c>
      <c r="AD1688" t="s">
        <v>3666</v>
      </c>
      <c r="AE1688" t="s">
        <v>9224</v>
      </c>
      <c r="AF1688" t="s">
        <v>6360</v>
      </c>
      <c r="AG1688" t="s">
        <v>7851</v>
      </c>
      <c r="AH1688" t="s">
        <v>6451</v>
      </c>
      <c r="AI1688" t="s">
        <v>1889</v>
      </c>
      <c r="AJ1688" t="s">
        <v>3571</v>
      </c>
      <c r="AK1688" t="s">
        <v>373</v>
      </c>
      <c r="AL1688">
        <v>7.14</v>
      </c>
      <c r="AM1688">
        <v>7.14</v>
      </c>
      <c r="AN1688">
        <v>3.25</v>
      </c>
      <c r="AP1688" t="s">
        <v>13045</v>
      </c>
      <c r="AQ1688" t="s">
        <v>607</v>
      </c>
      <c r="AR1688" t="s">
        <v>5425</v>
      </c>
      <c r="AS1688" t="s">
        <v>4687</v>
      </c>
      <c r="AT1688" t="s">
        <v>6842</v>
      </c>
      <c r="AU1688" t="s">
        <v>1310</v>
      </c>
      <c r="AV1688" t="s">
        <v>3390</v>
      </c>
      <c r="AW1688" t="s">
        <v>2594</v>
      </c>
      <c r="AX1688" t="s">
        <v>3453</v>
      </c>
      <c r="AY1688" t="s">
        <v>2594</v>
      </c>
      <c r="AZ1688" t="s">
        <v>9778</v>
      </c>
      <c r="BA1688">
        <v>1.25</v>
      </c>
      <c r="BB1688">
        <v>334.69</v>
      </c>
      <c r="BC1688">
        <v>0.24</v>
      </c>
      <c r="BD1688">
        <v>122.83</v>
      </c>
      <c r="BE1688">
        <v>123.88</v>
      </c>
      <c r="BF1688">
        <v>121.66</v>
      </c>
      <c r="BG1688" t="s">
        <v>18953</v>
      </c>
      <c r="BH1688" t="s">
        <v>2594</v>
      </c>
      <c r="BI1688" t="s">
        <v>18954</v>
      </c>
      <c r="BJ1688" t="s">
        <v>101</v>
      </c>
      <c r="BK1688" t="s">
        <v>8650</v>
      </c>
      <c r="BL1688" t="s">
        <v>3666</v>
      </c>
      <c r="BM1688" t="s">
        <v>11858</v>
      </c>
      <c r="BN1688" t="s">
        <v>14623</v>
      </c>
    </row>
    <row r="1689" spans="1:66" x14ac:dyDescent="0.25">
      <c r="A1689" t="str">
        <f>HYPERLINK("https://elite.finviz.com/quote.ashx?t=KORE&amp;ty=c&amp;p=d&amp;b=1", "KORE")</f>
        <v>KORE</v>
      </c>
      <c r="B1689">
        <v>6</v>
      </c>
      <c r="C1689">
        <v>127.03</v>
      </c>
      <c r="D1689">
        <v>55.26</v>
      </c>
      <c r="E1689" t="s">
        <v>18955</v>
      </c>
      <c r="F1689" t="s">
        <v>107</v>
      </c>
      <c r="G1689" t="s">
        <v>598</v>
      </c>
      <c r="H1689" t="s">
        <v>6147</v>
      </c>
      <c r="I1689" t="s">
        <v>70</v>
      </c>
      <c r="J1689" t="s">
        <v>71</v>
      </c>
      <c r="K1689">
        <v>42.95</v>
      </c>
      <c r="L1689">
        <v>2.4500000000000002</v>
      </c>
      <c r="M1689" t="s">
        <v>6105</v>
      </c>
      <c r="N1689">
        <v>3663</v>
      </c>
      <c r="R1689">
        <v>0.15</v>
      </c>
      <c r="AA1689">
        <v>-4.12</v>
      </c>
      <c r="AB1689" t="s">
        <v>9760</v>
      </c>
      <c r="AC1689" t="s">
        <v>7996</v>
      </c>
      <c r="AE1689" t="s">
        <v>6182</v>
      </c>
      <c r="AF1689" t="s">
        <v>454</v>
      </c>
      <c r="AG1689" t="s">
        <v>2796</v>
      </c>
      <c r="AH1689" t="s">
        <v>4824</v>
      </c>
      <c r="AI1689" t="s">
        <v>7242</v>
      </c>
      <c r="AJ1689" t="s">
        <v>3227</v>
      </c>
      <c r="AK1689" t="s">
        <v>11743</v>
      </c>
      <c r="AL1689">
        <v>1.1100000000000001</v>
      </c>
      <c r="AM1689">
        <v>1.03</v>
      </c>
      <c r="AO1689" t="s">
        <v>11694</v>
      </c>
      <c r="AP1689" t="s">
        <v>2856</v>
      </c>
      <c r="AQ1689" t="s">
        <v>13783</v>
      </c>
      <c r="AR1689" t="s">
        <v>230</v>
      </c>
      <c r="AS1689" t="s">
        <v>3127</v>
      </c>
      <c r="AT1689" t="s">
        <v>1691</v>
      </c>
      <c r="AU1689" t="s">
        <v>5497</v>
      </c>
      <c r="AV1689" t="s">
        <v>5620</v>
      </c>
      <c r="AW1689" t="s">
        <v>18956</v>
      </c>
      <c r="AX1689" t="s">
        <v>112</v>
      </c>
      <c r="AY1689" t="s">
        <v>1191</v>
      </c>
      <c r="AZ1689" t="s">
        <v>18957</v>
      </c>
      <c r="BA1689">
        <v>2</v>
      </c>
      <c r="BB1689">
        <v>15.17</v>
      </c>
      <c r="BC1689">
        <v>0.86</v>
      </c>
      <c r="BD1689">
        <v>2.5299999999999998</v>
      </c>
      <c r="BE1689">
        <v>2.52</v>
      </c>
      <c r="BF1689">
        <v>2.37</v>
      </c>
      <c r="BG1689" t="s">
        <v>18958</v>
      </c>
      <c r="BH1689" t="s">
        <v>1377</v>
      </c>
      <c r="BI1689" t="s">
        <v>18959</v>
      </c>
      <c r="BJ1689" t="s">
        <v>101</v>
      </c>
      <c r="BK1689" t="s">
        <v>679</v>
      </c>
      <c r="BL1689" t="s">
        <v>8763</v>
      </c>
      <c r="BM1689" t="s">
        <v>2338</v>
      </c>
      <c r="BN1689" t="s">
        <v>14623</v>
      </c>
    </row>
    <row r="1690" spans="1:66" x14ac:dyDescent="0.25">
      <c r="A1690" t="str">
        <f>HYPERLINK("https://elite.finviz.com/quote.ashx?t=SIF&amp;ty=c&amp;p=d&amp;b=1", "SIF")</f>
        <v>SIF</v>
      </c>
      <c r="B1690">
        <v>6</v>
      </c>
      <c r="C1690">
        <v>127.03</v>
      </c>
      <c r="D1690">
        <v>55.27</v>
      </c>
      <c r="E1690" t="s">
        <v>18960</v>
      </c>
      <c r="F1690" t="s">
        <v>107</v>
      </c>
      <c r="G1690" t="s">
        <v>260</v>
      </c>
      <c r="H1690" t="s">
        <v>4779</v>
      </c>
      <c r="I1690" t="s">
        <v>70</v>
      </c>
      <c r="J1690" t="s">
        <v>383</v>
      </c>
      <c r="K1690">
        <v>44.56</v>
      </c>
      <c r="L1690">
        <v>7.21</v>
      </c>
      <c r="M1690" t="s">
        <v>7685</v>
      </c>
      <c r="N1690">
        <v>2522</v>
      </c>
      <c r="R1690">
        <v>0.53</v>
      </c>
      <c r="S1690">
        <v>1.24</v>
      </c>
      <c r="V1690" t="s">
        <v>18961</v>
      </c>
      <c r="AA1690">
        <v>-0.12</v>
      </c>
      <c r="AB1690" t="s">
        <v>5200</v>
      </c>
      <c r="AC1690" t="s">
        <v>2515</v>
      </c>
      <c r="AE1690" t="s">
        <v>7533</v>
      </c>
      <c r="AF1690" t="s">
        <v>14653</v>
      </c>
      <c r="AG1690" t="s">
        <v>6253</v>
      </c>
      <c r="AH1690" t="s">
        <v>18962</v>
      </c>
      <c r="AJ1690" t="s">
        <v>164</v>
      </c>
      <c r="AK1690" t="s">
        <v>7969</v>
      </c>
      <c r="AL1690">
        <v>1.46</v>
      </c>
      <c r="AM1690">
        <v>1.18</v>
      </c>
      <c r="AN1690">
        <v>0.69</v>
      </c>
      <c r="AO1690" t="s">
        <v>5003</v>
      </c>
      <c r="AP1690" t="s">
        <v>6150</v>
      </c>
      <c r="AQ1690" t="s">
        <v>174</v>
      </c>
      <c r="AR1690" t="s">
        <v>6420</v>
      </c>
      <c r="AS1690" t="s">
        <v>6956</v>
      </c>
      <c r="AT1690" t="s">
        <v>2423</v>
      </c>
      <c r="AU1690" t="s">
        <v>5775</v>
      </c>
      <c r="AV1690" t="s">
        <v>18963</v>
      </c>
      <c r="AW1690" t="s">
        <v>5674</v>
      </c>
      <c r="AX1690" t="s">
        <v>10789</v>
      </c>
      <c r="AY1690" t="s">
        <v>5674</v>
      </c>
      <c r="AZ1690" t="s">
        <v>18964</v>
      </c>
      <c r="BB1690">
        <v>37.07</v>
      </c>
      <c r="BC1690">
        <v>0.24</v>
      </c>
      <c r="BD1690">
        <v>6.82</v>
      </c>
      <c r="BE1690">
        <v>7.21</v>
      </c>
      <c r="BF1690">
        <v>7.01</v>
      </c>
      <c r="BG1690" t="s">
        <v>18965</v>
      </c>
      <c r="BH1690" t="s">
        <v>16571</v>
      </c>
      <c r="BI1690" t="s">
        <v>18966</v>
      </c>
      <c r="BJ1690" t="s">
        <v>101</v>
      </c>
      <c r="BK1690" t="s">
        <v>18967</v>
      </c>
      <c r="BL1690" t="s">
        <v>18968</v>
      </c>
      <c r="BM1690" t="s">
        <v>18969</v>
      </c>
      <c r="BN1690" t="s">
        <v>14623</v>
      </c>
    </row>
    <row r="1691" spans="1:66" x14ac:dyDescent="0.25">
      <c r="A1691" t="str">
        <f>HYPERLINK("https://elite.finviz.com/quote.ashx?t=TACO&amp;ty=c&amp;p=d&amp;b=1", "TACO")</f>
        <v>TACO</v>
      </c>
      <c r="B1691">
        <v>6</v>
      </c>
      <c r="C1691">
        <v>127.03</v>
      </c>
      <c r="D1691">
        <v>55.28</v>
      </c>
      <c r="E1691" t="s">
        <v>18970</v>
      </c>
      <c r="F1691" t="s">
        <v>107</v>
      </c>
      <c r="G1691" t="s">
        <v>550</v>
      </c>
      <c r="H1691" t="s">
        <v>2120</v>
      </c>
      <c r="I1691" t="s">
        <v>70</v>
      </c>
      <c r="J1691" t="s">
        <v>321</v>
      </c>
      <c r="K1691">
        <v>388.71</v>
      </c>
      <c r="L1691">
        <v>10.36</v>
      </c>
      <c r="M1691" t="s">
        <v>4886</v>
      </c>
      <c r="N1691">
        <v>11579</v>
      </c>
      <c r="S1691">
        <v>1.34</v>
      </c>
      <c r="AJ1691" t="s">
        <v>164</v>
      </c>
      <c r="AK1691" t="s">
        <v>18971</v>
      </c>
      <c r="AL1691">
        <v>4.25</v>
      </c>
      <c r="AM1691">
        <v>4.25</v>
      </c>
      <c r="AN1691">
        <v>0</v>
      </c>
      <c r="AR1691" t="s">
        <v>7124</v>
      </c>
      <c r="AS1691" t="s">
        <v>2418</v>
      </c>
      <c r="AT1691" t="s">
        <v>4865</v>
      </c>
      <c r="AU1691" t="s">
        <v>171</v>
      </c>
      <c r="AV1691" t="s">
        <v>2717</v>
      </c>
      <c r="AW1691" t="s">
        <v>10262</v>
      </c>
      <c r="AX1691" t="s">
        <v>2720</v>
      </c>
      <c r="AY1691" t="s">
        <v>10559</v>
      </c>
      <c r="AZ1691" t="s">
        <v>2720</v>
      </c>
      <c r="BB1691">
        <v>190.5</v>
      </c>
      <c r="BC1691">
        <v>0.22</v>
      </c>
      <c r="BD1691">
        <v>10.41</v>
      </c>
      <c r="BE1691">
        <v>10.4</v>
      </c>
      <c r="BF1691">
        <v>10.34</v>
      </c>
      <c r="BG1691" t="s">
        <v>18972</v>
      </c>
      <c r="BH1691" t="s">
        <v>10559</v>
      </c>
      <c r="BI1691" t="s">
        <v>2720</v>
      </c>
      <c r="BJ1691" t="s">
        <v>101</v>
      </c>
      <c r="BK1691" t="s">
        <v>2003</v>
      </c>
      <c r="BN1691" t="s">
        <v>14623</v>
      </c>
    </row>
    <row r="1692" spans="1:66" x14ac:dyDescent="0.25">
      <c r="A1692" t="str">
        <f>HYPERLINK("https://elite.finviz.com/quote.ashx?t=VANI&amp;ty=c&amp;p=d&amp;b=1", "VANI")</f>
        <v>VANI</v>
      </c>
      <c r="B1692">
        <v>6</v>
      </c>
      <c r="C1692">
        <v>127.03</v>
      </c>
      <c r="D1692">
        <v>55.29</v>
      </c>
      <c r="E1692" t="s">
        <v>18973</v>
      </c>
      <c r="F1692" t="s">
        <v>107</v>
      </c>
      <c r="G1692" t="s">
        <v>428</v>
      </c>
      <c r="H1692" t="s">
        <v>429</v>
      </c>
      <c r="I1692" t="s">
        <v>70</v>
      </c>
      <c r="J1692" t="s">
        <v>321</v>
      </c>
      <c r="K1692">
        <v>84.13</v>
      </c>
      <c r="L1692">
        <v>1.42</v>
      </c>
      <c r="M1692" t="s">
        <v>2197</v>
      </c>
      <c r="N1692">
        <v>12907</v>
      </c>
      <c r="S1692">
        <v>17.13</v>
      </c>
      <c r="AA1692">
        <v>-0.44</v>
      </c>
      <c r="AB1692" t="s">
        <v>2366</v>
      </c>
      <c r="AC1692" t="s">
        <v>3902</v>
      </c>
      <c r="AD1692" t="s">
        <v>3169</v>
      </c>
      <c r="AI1692" t="s">
        <v>2914</v>
      </c>
      <c r="AJ1692" t="s">
        <v>484</v>
      </c>
      <c r="AK1692" t="s">
        <v>5025</v>
      </c>
      <c r="AL1692">
        <v>1.3</v>
      </c>
      <c r="AM1692">
        <v>1.3</v>
      </c>
      <c r="AN1692">
        <v>3.79</v>
      </c>
      <c r="AR1692" t="s">
        <v>4819</v>
      </c>
      <c r="AS1692" t="s">
        <v>3982</v>
      </c>
      <c r="AT1692" t="s">
        <v>3688</v>
      </c>
      <c r="AU1692" t="s">
        <v>1452</v>
      </c>
      <c r="AV1692" t="s">
        <v>6722</v>
      </c>
      <c r="AW1692" t="s">
        <v>2454</v>
      </c>
      <c r="AX1692" t="s">
        <v>3570</v>
      </c>
      <c r="AY1692" t="s">
        <v>12589</v>
      </c>
      <c r="AZ1692" t="s">
        <v>12440</v>
      </c>
      <c r="BA1692">
        <v>1</v>
      </c>
      <c r="BB1692">
        <v>146.41999999999999</v>
      </c>
      <c r="BC1692">
        <v>0.31</v>
      </c>
      <c r="BD1692">
        <v>1.43</v>
      </c>
      <c r="BE1692">
        <v>1.47</v>
      </c>
      <c r="BF1692">
        <v>1.42</v>
      </c>
      <c r="BG1692" t="s">
        <v>18974</v>
      </c>
      <c r="BH1692" t="s">
        <v>18975</v>
      </c>
      <c r="BI1692" t="s">
        <v>5843</v>
      </c>
      <c r="BJ1692" t="s">
        <v>101</v>
      </c>
      <c r="BK1692" t="s">
        <v>4498</v>
      </c>
      <c r="BL1692" t="s">
        <v>13068</v>
      </c>
      <c r="BM1692" t="s">
        <v>18267</v>
      </c>
      <c r="BN1692" t="s">
        <v>14623</v>
      </c>
    </row>
    <row r="1693" spans="1:66" x14ac:dyDescent="0.25">
      <c r="A1693" t="str">
        <f>HYPERLINK("https://elite.finviz.com/quote.ashx?t=AYI&amp;ty=c&amp;p=d&amp;b=1", "AYI")</f>
        <v>AYI</v>
      </c>
      <c r="B1693">
        <v>6</v>
      </c>
      <c r="C1693">
        <v>127.03</v>
      </c>
      <c r="D1693">
        <v>55.29</v>
      </c>
      <c r="E1693" t="s">
        <v>18976</v>
      </c>
      <c r="F1693" t="s">
        <v>107</v>
      </c>
      <c r="G1693" t="s">
        <v>260</v>
      </c>
      <c r="H1693" t="s">
        <v>1128</v>
      </c>
      <c r="I1693" t="s">
        <v>70</v>
      </c>
      <c r="J1693" t="s">
        <v>71</v>
      </c>
      <c r="K1693">
        <v>10362.39</v>
      </c>
      <c r="L1693">
        <v>338.14</v>
      </c>
      <c r="M1693" t="s">
        <v>6732</v>
      </c>
      <c r="N1693">
        <v>39454</v>
      </c>
      <c r="O1693">
        <v>26.64</v>
      </c>
      <c r="P1693">
        <v>17.57</v>
      </c>
      <c r="Q1693">
        <v>2.5499999999999998</v>
      </c>
      <c r="R1693">
        <v>2.4900000000000002</v>
      </c>
      <c r="S1693">
        <v>4.0199999999999996</v>
      </c>
      <c r="T1693" t="s">
        <v>4794</v>
      </c>
      <c r="U1693">
        <v>0.66</v>
      </c>
      <c r="V1693" t="s">
        <v>14858</v>
      </c>
      <c r="W1693" t="s">
        <v>7510</v>
      </c>
      <c r="X1693" t="s">
        <v>3482</v>
      </c>
      <c r="Y1693" t="s">
        <v>2808</v>
      </c>
      <c r="Z1693" t="s">
        <v>3443</v>
      </c>
      <c r="AA1693">
        <v>12.69</v>
      </c>
      <c r="AB1693" t="s">
        <v>728</v>
      </c>
      <c r="AC1693" t="s">
        <v>5404</v>
      </c>
      <c r="AD1693" t="s">
        <v>1110</v>
      </c>
      <c r="AE1693" t="s">
        <v>1423</v>
      </c>
      <c r="AF1693" t="s">
        <v>2822</v>
      </c>
      <c r="AG1693" t="s">
        <v>3493</v>
      </c>
      <c r="AH1693" t="s">
        <v>3375</v>
      </c>
      <c r="AI1693" t="s">
        <v>8837</v>
      </c>
      <c r="AJ1693" t="s">
        <v>3929</v>
      </c>
      <c r="AK1693" t="s">
        <v>7736</v>
      </c>
      <c r="AL1693">
        <v>1.99</v>
      </c>
      <c r="AM1693">
        <v>1.38</v>
      </c>
      <c r="AN1693">
        <v>0.42</v>
      </c>
      <c r="AO1693" t="s">
        <v>4441</v>
      </c>
      <c r="AP1693" t="s">
        <v>828</v>
      </c>
      <c r="AQ1693" t="s">
        <v>3230</v>
      </c>
      <c r="AR1693" t="s">
        <v>1761</v>
      </c>
      <c r="AS1693" t="s">
        <v>2789</v>
      </c>
      <c r="AT1693" t="s">
        <v>1765</v>
      </c>
      <c r="AU1693" t="s">
        <v>5969</v>
      </c>
      <c r="AV1693" t="s">
        <v>18834</v>
      </c>
      <c r="AW1693" t="s">
        <v>9022</v>
      </c>
      <c r="AX1693" t="s">
        <v>5465</v>
      </c>
      <c r="AY1693" t="s">
        <v>9022</v>
      </c>
      <c r="AZ1693" t="s">
        <v>18977</v>
      </c>
      <c r="BA1693">
        <v>1.8</v>
      </c>
      <c r="BB1693">
        <v>286</v>
      </c>
      <c r="BC1693">
        <v>0.49</v>
      </c>
      <c r="BD1693">
        <v>334.23</v>
      </c>
      <c r="BE1693">
        <v>339.36</v>
      </c>
      <c r="BF1693">
        <v>335.61</v>
      </c>
      <c r="BG1693" t="s">
        <v>18978</v>
      </c>
      <c r="BH1693" t="s">
        <v>9022</v>
      </c>
      <c r="BI1693" t="s">
        <v>18979</v>
      </c>
      <c r="BJ1693" t="s">
        <v>101</v>
      </c>
      <c r="BK1693" t="s">
        <v>12806</v>
      </c>
      <c r="BL1693" t="s">
        <v>10462</v>
      </c>
      <c r="BM1693" t="s">
        <v>7797</v>
      </c>
      <c r="BN1693" t="s">
        <v>14623</v>
      </c>
    </row>
    <row r="1694" spans="1:66" x14ac:dyDescent="0.25">
      <c r="A1694" t="str">
        <f>HYPERLINK("https://elite.finviz.com/quote.ashx?t=LENZ&amp;ty=c&amp;p=d&amp;b=1", "LENZ")</f>
        <v>LENZ</v>
      </c>
      <c r="B1694">
        <v>6</v>
      </c>
      <c r="C1694">
        <v>127.03</v>
      </c>
      <c r="D1694">
        <v>55.31</v>
      </c>
      <c r="E1694" t="s">
        <v>18980</v>
      </c>
      <c r="F1694" t="s">
        <v>67</v>
      </c>
      <c r="G1694" t="s">
        <v>428</v>
      </c>
      <c r="H1694" t="s">
        <v>429</v>
      </c>
      <c r="I1694" t="s">
        <v>70</v>
      </c>
      <c r="J1694" t="s">
        <v>321</v>
      </c>
      <c r="K1694">
        <v>1174.83</v>
      </c>
      <c r="L1694">
        <v>41.19</v>
      </c>
      <c r="M1694" t="s">
        <v>4687</v>
      </c>
      <c r="N1694">
        <v>40828</v>
      </c>
      <c r="R1694">
        <v>234.97</v>
      </c>
      <c r="S1694">
        <v>5.69</v>
      </c>
      <c r="AA1694">
        <v>-1.9</v>
      </c>
      <c r="AB1694" t="s">
        <v>16508</v>
      </c>
      <c r="AC1694" t="s">
        <v>18981</v>
      </c>
      <c r="AD1694" t="s">
        <v>2664</v>
      </c>
      <c r="AI1694" t="s">
        <v>9864</v>
      </c>
      <c r="AJ1694" t="s">
        <v>18982</v>
      </c>
      <c r="AK1694" t="s">
        <v>1288</v>
      </c>
      <c r="AL1694">
        <v>20.54</v>
      </c>
      <c r="AM1694">
        <v>20.54</v>
      </c>
      <c r="AN1694">
        <v>0.01</v>
      </c>
      <c r="AO1694" t="s">
        <v>18983</v>
      </c>
      <c r="AP1694" t="s">
        <v>18984</v>
      </c>
      <c r="AQ1694" t="s">
        <v>18985</v>
      </c>
      <c r="AR1694" t="s">
        <v>4142</v>
      </c>
      <c r="AS1694" t="s">
        <v>5163</v>
      </c>
      <c r="AT1694" t="s">
        <v>6155</v>
      </c>
      <c r="AU1694" t="s">
        <v>1110</v>
      </c>
      <c r="AV1694" t="s">
        <v>10598</v>
      </c>
      <c r="AW1694" t="s">
        <v>677</v>
      </c>
      <c r="AX1694" t="s">
        <v>18986</v>
      </c>
      <c r="AY1694" t="s">
        <v>677</v>
      </c>
      <c r="AZ1694" t="s">
        <v>18987</v>
      </c>
      <c r="BA1694">
        <v>1.1200000000000001</v>
      </c>
      <c r="BB1694">
        <v>477.25</v>
      </c>
      <c r="BC1694">
        <v>0.3</v>
      </c>
      <c r="BD1694">
        <v>40.03</v>
      </c>
      <c r="BE1694">
        <v>41.31</v>
      </c>
      <c r="BF1694">
        <v>40.270000000000003</v>
      </c>
      <c r="BG1694" t="s">
        <v>18988</v>
      </c>
      <c r="BH1694" t="s">
        <v>18989</v>
      </c>
      <c r="BI1694" t="s">
        <v>18990</v>
      </c>
      <c r="BJ1694" t="s">
        <v>101</v>
      </c>
      <c r="BK1694" t="s">
        <v>8559</v>
      </c>
      <c r="BL1694" t="s">
        <v>13849</v>
      </c>
      <c r="BM1694" t="s">
        <v>18991</v>
      </c>
      <c r="BN1694" t="s">
        <v>14623</v>
      </c>
    </row>
    <row r="1695" spans="1:66" x14ac:dyDescent="0.25">
      <c r="A1695" t="str">
        <f>HYPERLINK("https://elite.finviz.com/quote.ashx?t=ELA&amp;ty=c&amp;p=d&amp;b=1", "ELA")</f>
        <v>ELA</v>
      </c>
      <c r="B1695">
        <v>6</v>
      </c>
      <c r="C1695">
        <v>127.03</v>
      </c>
      <c r="D1695">
        <v>55.31</v>
      </c>
      <c r="E1695" t="s">
        <v>18992</v>
      </c>
      <c r="F1695" t="s">
        <v>67</v>
      </c>
      <c r="G1695" t="s">
        <v>813</v>
      </c>
      <c r="H1695" t="s">
        <v>4185</v>
      </c>
      <c r="I1695" t="s">
        <v>70</v>
      </c>
      <c r="J1695" t="s">
        <v>383</v>
      </c>
      <c r="K1695">
        <v>197.86</v>
      </c>
      <c r="L1695">
        <v>7.62</v>
      </c>
      <c r="M1695" t="s">
        <v>5071</v>
      </c>
      <c r="N1695">
        <v>17222</v>
      </c>
      <c r="O1695">
        <v>23.23</v>
      </c>
      <c r="P1695">
        <v>20.05</v>
      </c>
      <c r="R1695">
        <v>1</v>
      </c>
      <c r="S1695">
        <v>3.43</v>
      </c>
      <c r="V1695" t="s">
        <v>18993</v>
      </c>
      <c r="Z1695" t="s">
        <v>164</v>
      </c>
      <c r="AA1695">
        <v>0.33</v>
      </c>
      <c r="AB1695" t="s">
        <v>1450</v>
      </c>
      <c r="AC1695" t="s">
        <v>3663</v>
      </c>
      <c r="AE1695" t="s">
        <v>15421</v>
      </c>
      <c r="AF1695" t="s">
        <v>2053</v>
      </c>
      <c r="AG1695" t="s">
        <v>10763</v>
      </c>
      <c r="AH1695" t="s">
        <v>4466</v>
      </c>
      <c r="AI1695" t="s">
        <v>11843</v>
      </c>
      <c r="AJ1695" t="s">
        <v>164</v>
      </c>
      <c r="AK1695" t="s">
        <v>11732</v>
      </c>
      <c r="AL1695">
        <v>4.58</v>
      </c>
      <c r="AM1695">
        <v>2.36</v>
      </c>
      <c r="AN1695">
        <v>0.31</v>
      </c>
      <c r="AO1695" t="s">
        <v>4181</v>
      </c>
      <c r="AP1695" t="s">
        <v>3303</v>
      </c>
      <c r="AQ1695" t="s">
        <v>3025</v>
      </c>
      <c r="AR1695" t="s">
        <v>3855</v>
      </c>
      <c r="AS1695" t="s">
        <v>4908</v>
      </c>
      <c r="AT1695" t="s">
        <v>4902</v>
      </c>
      <c r="AU1695" t="s">
        <v>847</v>
      </c>
      <c r="AV1695" t="s">
        <v>1464</v>
      </c>
      <c r="AW1695" t="s">
        <v>11385</v>
      </c>
      <c r="AX1695" t="s">
        <v>2330</v>
      </c>
      <c r="AY1695" t="s">
        <v>11385</v>
      </c>
      <c r="AZ1695" t="s">
        <v>11601</v>
      </c>
      <c r="BA1695">
        <v>1</v>
      </c>
      <c r="BB1695">
        <v>58.75</v>
      </c>
      <c r="BC1695">
        <v>1.03</v>
      </c>
      <c r="BD1695">
        <v>7.48</v>
      </c>
      <c r="BE1695">
        <v>7.66</v>
      </c>
      <c r="BF1695">
        <v>7.47</v>
      </c>
      <c r="BG1695" t="s">
        <v>18994</v>
      </c>
      <c r="BH1695" t="s">
        <v>18995</v>
      </c>
      <c r="BI1695" t="s">
        <v>18996</v>
      </c>
      <c r="BJ1695" t="s">
        <v>101</v>
      </c>
      <c r="BK1695" t="s">
        <v>2532</v>
      </c>
      <c r="BL1695" t="s">
        <v>6081</v>
      </c>
      <c r="BM1695" t="s">
        <v>1017</v>
      </c>
      <c r="BN1695" t="s">
        <v>14623</v>
      </c>
    </row>
    <row r="1696" spans="1:66" x14ac:dyDescent="0.25">
      <c r="A1696" t="str">
        <f>HYPERLINK("https://elite.finviz.com/quote.ashx?t=PCYO&amp;ty=c&amp;p=d&amp;b=1", "PCYO")</f>
        <v>PCYO</v>
      </c>
      <c r="B1696">
        <v>6</v>
      </c>
      <c r="C1696">
        <v>127.03</v>
      </c>
      <c r="D1696">
        <v>55.32</v>
      </c>
      <c r="E1696" t="s">
        <v>18997</v>
      </c>
      <c r="F1696" t="s">
        <v>67</v>
      </c>
      <c r="G1696" t="s">
        <v>287</v>
      </c>
      <c r="H1696" t="s">
        <v>13133</v>
      </c>
      <c r="I1696" t="s">
        <v>70</v>
      </c>
      <c r="J1696" t="s">
        <v>321</v>
      </c>
      <c r="K1696">
        <v>265.77999999999997</v>
      </c>
      <c r="L1696">
        <v>11.04</v>
      </c>
      <c r="M1696" t="s">
        <v>5036</v>
      </c>
      <c r="N1696">
        <v>6869</v>
      </c>
      <c r="O1696">
        <v>19.559999999999999</v>
      </c>
      <c r="R1696">
        <v>9.68</v>
      </c>
      <c r="S1696">
        <v>1.94</v>
      </c>
      <c r="Z1696" t="s">
        <v>164</v>
      </c>
      <c r="AA1696">
        <v>0.56000000000000005</v>
      </c>
      <c r="AB1696" t="s">
        <v>18998</v>
      </c>
      <c r="AC1696" t="s">
        <v>7001</v>
      </c>
      <c r="AE1696" t="s">
        <v>5275</v>
      </c>
      <c r="AF1696" t="s">
        <v>8057</v>
      </c>
      <c r="AG1696" t="s">
        <v>5114</v>
      </c>
      <c r="AH1696" t="s">
        <v>14640</v>
      </c>
      <c r="AJ1696" t="s">
        <v>164</v>
      </c>
      <c r="AK1696" t="s">
        <v>6867</v>
      </c>
      <c r="AL1696">
        <v>3.52</v>
      </c>
      <c r="AM1696">
        <v>2.4</v>
      </c>
      <c r="AN1696">
        <v>0.05</v>
      </c>
      <c r="AO1696" t="s">
        <v>11413</v>
      </c>
      <c r="AP1696" t="s">
        <v>7666</v>
      </c>
      <c r="AQ1696" t="s">
        <v>18999</v>
      </c>
      <c r="AR1696" t="s">
        <v>1302</v>
      </c>
      <c r="AS1696" t="s">
        <v>203</v>
      </c>
      <c r="AT1696" t="s">
        <v>5036</v>
      </c>
      <c r="AU1696" t="s">
        <v>7090</v>
      </c>
      <c r="AV1696" t="s">
        <v>5745</v>
      </c>
      <c r="AW1696" t="s">
        <v>6345</v>
      </c>
      <c r="AX1696" t="s">
        <v>2867</v>
      </c>
      <c r="AY1696" t="s">
        <v>15781</v>
      </c>
      <c r="AZ1696" t="s">
        <v>2867</v>
      </c>
      <c r="BA1696">
        <v>1</v>
      </c>
      <c r="BB1696">
        <v>44.27</v>
      </c>
      <c r="BC1696">
        <v>0.55000000000000004</v>
      </c>
      <c r="BD1696">
        <v>10.96</v>
      </c>
      <c r="BE1696">
        <v>11.11</v>
      </c>
      <c r="BF1696">
        <v>10.98</v>
      </c>
      <c r="BG1696" t="s">
        <v>19000</v>
      </c>
      <c r="BH1696" t="s">
        <v>3323</v>
      </c>
      <c r="BI1696" t="s">
        <v>19001</v>
      </c>
      <c r="BJ1696" t="s">
        <v>101</v>
      </c>
      <c r="BK1696" t="s">
        <v>2317</v>
      </c>
      <c r="BL1696" t="s">
        <v>3454</v>
      </c>
      <c r="BM1696" t="s">
        <v>2941</v>
      </c>
      <c r="BN1696" t="s">
        <v>14623</v>
      </c>
    </row>
    <row r="1697" spans="1:66" x14ac:dyDescent="0.25">
      <c r="A1697" t="str">
        <f>HYPERLINK("https://elite.finviz.com/quote.ashx?t=TRDA&amp;ty=c&amp;p=d&amp;b=1", "TRDA")</f>
        <v>TRDA</v>
      </c>
      <c r="B1697">
        <v>6</v>
      </c>
      <c r="C1697">
        <v>127.03</v>
      </c>
      <c r="D1697">
        <v>55.32</v>
      </c>
      <c r="E1697" t="s">
        <v>19002</v>
      </c>
      <c r="F1697" t="s">
        <v>67</v>
      </c>
      <c r="G1697" t="s">
        <v>428</v>
      </c>
      <c r="H1697" t="s">
        <v>429</v>
      </c>
      <c r="I1697" t="s">
        <v>70</v>
      </c>
      <c r="J1697" t="s">
        <v>321</v>
      </c>
      <c r="K1697">
        <v>215.1</v>
      </c>
      <c r="L1697">
        <v>5.66</v>
      </c>
      <c r="M1697" t="s">
        <v>2185</v>
      </c>
      <c r="N1697">
        <v>37071</v>
      </c>
      <c r="R1697">
        <v>2.71</v>
      </c>
      <c r="S1697">
        <v>0.56999999999999995</v>
      </c>
      <c r="Z1697" t="s">
        <v>164</v>
      </c>
      <c r="AA1697">
        <v>-1.78</v>
      </c>
      <c r="AE1697" t="s">
        <v>19003</v>
      </c>
      <c r="AH1697" t="s">
        <v>19004</v>
      </c>
      <c r="AI1697" t="s">
        <v>9694</v>
      </c>
      <c r="AJ1697" t="s">
        <v>5765</v>
      </c>
      <c r="AK1697" t="s">
        <v>11257</v>
      </c>
      <c r="AL1697">
        <v>18.64</v>
      </c>
      <c r="AM1697">
        <v>18.64</v>
      </c>
      <c r="AN1697">
        <v>0.14000000000000001</v>
      </c>
      <c r="AO1697" t="s">
        <v>7636</v>
      </c>
      <c r="AP1697" t="s">
        <v>19005</v>
      </c>
      <c r="AQ1697" t="s">
        <v>11861</v>
      </c>
      <c r="AR1697" t="s">
        <v>2066</v>
      </c>
      <c r="AS1697" t="s">
        <v>334</v>
      </c>
      <c r="AT1697" t="s">
        <v>954</v>
      </c>
      <c r="AU1697" t="s">
        <v>2759</v>
      </c>
      <c r="AV1697" t="s">
        <v>17023</v>
      </c>
      <c r="AW1697" t="s">
        <v>11490</v>
      </c>
      <c r="AX1697" t="s">
        <v>5795</v>
      </c>
      <c r="AY1697" t="s">
        <v>10560</v>
      </c>
      <c r="AZ1697" t="s">
        <v>5795</v>
      </c>
      <c r="BA1697">
        <v>1</v>
      </c>
      <c r="BB1697">
        <v>265.98</v>
      </c>
      <c r="BC1697">
        <v>0.49</v>
      </c>
      <c r="BD1697">
        <v>5.58</v>
      </c>
      <c r="BE1697">
        <v>5.73</v>
      </c>
      <c r="BF1697">
        <v>5.6</v>
      </c>
      <c r="BG1697" t="s">
        <v>19006</v>
      </c>
      <c r="BH1697" t="s">
        <v>19007</v>
      </c>
      <c r="BI1697" t="s">
        <v>5795</v>
      </c>
      <c r="BJ1697" t="s">
        <v>101</v>
      </c>
      <c r="BK1697" t="s">
        <v>7220</v>
      </c>
      <c r="BL1697" t="s">
        <v>8026</v>
      </c>
      <c r="BM1697" t="s">
        <v>19008</v>
      </c>
      <c r="BN1697" t="s">
        <v>14623</v>
      </c>
    </row>
    <row r="1698" spans="1:66" x14ac:dyDescent="0.25">
      <c r="A1698" t="str">
        <f>HYPERLINK("https://elite.finviz.com/quote.ashx?t=RCKY&amp;ty=c&amp;p=d&amp;b=1", "RCKY")</f>
        <v>RCKY</v>
      </c>
      <c r="B1698">
        <v>6</v>
      </c>
      <c r="C1698">
        <v>127.03</v>
      </c>
      <c r="D1698">
        <v>55.34</v>
      </c>
      <c r="E1698" t="s">
        <v>19009</v>
      </c>
      <c r="F1698" t="s">
        <v>67</v>
      </c>
      <c r="G1698" t="s">
        <v>813</v>
      </c>
      <c r="H1698" t="s">
        <v>4043</v>
      </c>
      <c r="I1698" t="s">
        <v>70</v>
      </c>
      <c r="J1698" t="s">
        <v>321</v>
      </c>
      <c r="K1698">
        <v>221.06</v>
      </c>
      <c r="L1698">
        <v>29.6</v>
      </c>
      <c r="M1698" t="s">
        <v>306</v>
      </c>
      <c r="N1698">
        <v>5568</v>
      </c>
      <c r="O1698">
        <v>11.91</v>
      </c>
      <c r="P1698">
        <v>10.029999999999999</v>
      </c>
      <c r="R1698">
        <v>0.48</v>
      </c>
      <c r="S1698">
        <v>0.92</v>
      </c>
      <c r="T1698" t="s">
        <v>3671</v>
      </c>
      <c r="U1698">
        <v>0.62</v>
      </c>
      <c r="V1698" t="s">
        <v>2187</v>
      </c>
      <c r="W1698" t="s">
        <v>164</v>
      </c>
      <c r="X1698" t="s">
        <v>2082</v>
      </c>
      <c r="Y1698" t="s">
        <v>3173</v>
      </c>
      <c r="Z1698" t="s">
        <v>10534</v>
      </c>
      <c r="AA1698">
        <v>2.4900000000000002</v>
      </c>
      <c r="AB1698" t="s">
        <v>1094</v>
      </c>
      <c r="AC1698" t="s">
        <v>3729</v>
      </c>
      <c r="AE1698" t="s">
        <v>6192</v>
      </c>
      <c r="AF1698" t="s">
        <v>4078</v>
      </c>
      <c r="AG1698" t="s">
        <v>6085</v>
      </c>
      <c r="AH1698" t="s">
        <v>2378</v>
      </c>
      <c r="AI1698" t="s">
        <v>19010</v>
      </c>
      <c r="AJ1698" t="s">
        <v>9489</v>
      </c>
      <c r="AK1698" t="s">
        <v>9974</v>
      </c>
      <c r="AL1698">
        <v>2.76</v>
      </c>
      <c r="AM1698">
        <v>0.79</v>
      </c>
      <c r="AN1698">
        <v>0.56000000000000005</v>
      </c>
      <c r="AO1698" t="s">
        <v>3703</v>
      </c>
      <c r="AP1698" t="s">
        <v>3228</v>
      </c>
      <c r="AQ1698" t="s">
        <v>926</v>
      </c>
      <c r="AR1698" t="s">
        <v>3636</v>
      </c>
      <c r="AS1698" t="s">
        <v>3636</v>
      </c>
      <c r="AT1698" t="s">
        <v>2290</v>
      </c>
      <c r="AU1698" t="s">
        <v>929</v>
      </c>
      <c r="AV1698" t="s">
        <v>6771</v>
      </c>
      <c r="AW1698" t="s">
        <v>1929</v>
      </c>
      <c r="AX1698" t="s">
        <v>732</v>
      </c>
      <c r="AY1698" t="s">
        <v>6757</v>
      </c>
      <c r="AZ1698" t="s">
        <v>19011</v>
      </c>
      <c r="BA1698">
        <v>2.5</v>
      </c>
      <c r="BB1698">
        <v>59.79</v>
      </c>
      <c r="BC1698">
        <v>0.33</v>
      </c>
      <c r="BD1698">
        <v>29.42</v>
      </c>
      <c r="BE1698">
        <v>29.73</v>
      </c>
      <c r="BF1698">
        <v>29.25</v>
      </c>
      <c r="BG1698" t="s">
        <v>19012</v>
      </c>
      <c r="BH1698" t="s">
        <v>8897</v>
      </c>
      <c r="BI1698" t="s">
        <v>19013</v>
      </c>
      <c r="BJ1698" t="s">
        <v>101</v>
      </c>
      <c r="BK1698" t="s">
        <v>1655</v>
      </c>
      <c r="BL1698" t="s">
        <v>19014</v>
      </c>
      <c r="BM1698" t="s">
        <v>4849</v>
      </c>
      <c r="BN1698" t="s">
        <v>14623</v>
      </c>
    </row>
    <row r="1699" spans="1:66" x14ac:dyDescent="0.25">
      <c r="A1699" t="str">
        <f>HYPERLINK("https://elite.finviz.com/quote.ashx?t=RGCO&amp;ty=c&amp;p=d&amp;b=1", "RGCO")</f>
        <v>RGCO</v>
      </c>
      <c r="B1699">
        <v>6</v>
      </c>
      <c r="C1699">
        <v>127.03</v>
      </c>
      <c r="D1699">
        <v>55.35</v>
      </c>
      <c r="E1699" t="s">
        <v>19015</v>
      </c>
      <c r="F1699" t="s">
        <v>67</v>
      </c>
      <c r="G1699" t="s">
        <v>287</v>
      </c>
      <c r="H1699" t="s">
        <v>3541</v>
      </c>
      <c r="I1699" t="s">
        <v>70</v>
      </c>
      <c r="J1699" t="s">
        <v>321</v>
      </c>
      <c r="K1699">
        <v>233.66</v>
      </c>
      <c r="L1699">
        <v>22.63</v>
      </c>
      <c r="M1699" t="s">
        <v>240</v>
      </c>
      <c r="N1699">
        <v>2515</v>
      </c>
      <c r="O1699">
        <v>17.09</v>
      </c>
      <c r="P1699">
        <v>17.34</v>
      </c>
      <c r="Q1699">
        <v>2.87</v>
      </c>
      <c r="R1699">
        <v>2.48</v>
      </c>
      <c r="S1699">
        <v>2.0099999999999998</v>
      </c>
      <c r="T1699" t="s">
        <v>9130</v>
      </c>
      <c r="U1699">
        <v>0.82</v>
      </c>
      <c r="V1699" t="s">
        <v>14858</v>
      </c>
      <c r="W1699" t="s">
        <v>5745</v>
      </c>
      <c r="X1699" t="s">
        <v>2643</v>
      </c>
      <c r="Y1699" t="s">
        <v>4395</v>
      </c>
      <c r="Z1699" t="s">
        <v>19016</v>
      </c>
      <c r="AA1699">
        <v>1.32</v>
      </c>
      <c r="AB1699" t="s">
        <v>4149</v>
      </c>
      <c r="AC1699" t="s">
        <v>5610</v>
      </c>
      <c r="AD1699" t="s">
        <v>1496</v>
      </c>
      <c r="AE1699" t="s">
        <v>13322</v>
      </c>
      <c r="AF1699" t="s">
        <v>926</v>
      </c>
      <c r="AG1699" t="s">
        <v>5045</v>
      </c>
      <c r="AH1699" t="s">
        <v>850</v>
      </c>
      <c r="AI1699" t="s">
        <v>1588</v>
      </c>
      <c r="AJ1699" t="s">
        <v>1249</v>
      </c>
      <c r="AK1699" t="s">
        <v>5029</v>
      </c>
      <c r="AL1699">
        <v>1.04</v>
      </c>
      <c r="AM1699">
        <v>0.66</v>
      </c>
      <c r="AN1699">
        <v>1.23</v>
      </c>
      <c r="AO1699" t="s">
        <v>7581</v>
      </c>
      <c r="AP1699" t="s">
        <v>16934</v>
      </c>
      <c r="AQ1699" t="s">
        <v>3756</v>
      </c>
      <c r="AR1699" t="s">
        <v>5258</v>
      </c>
      <c r="AS1699" t="s">
        <v>4800</v>
      </c>
      <c r="AT1699" t="s">
        <v>3350</v>
      </c>
      <c r="AU1699" t="s">
        <v>4795</v>
      </c>
      <c r="AV1699" t="s">
        <v>2150</v>
      </c>
      <c r="AW1699" t="s">
        <v>8937</v>
      </c>
      <c r="AX1699" t="s">
        <v>1342</v>
      </c>
      <c r="AY1699" t="s">
        <v>2336</v>
      </c>
      <c r="AZ1699" t="s">
        <v>347</v>
      </c>
      <c r="BA1699">
        <v>2</v>
      </c>
      <c r="BB1699">
        <v>18.649999999999999</v>
      </c>
      <c r="BC1699">
        <v>0.48</v>
      </c>
      <c r="BD1699">
        <v>22.8</v>
      </c>
      <c r="BE1699">
        <v>22.92</v>
      </c>
      <c r="BF1699">
        <v>22.28</v>
      </c>
      <c r="BG1699" t="s">
        <v>19017</v>
      </c>
      <c r="BH1699" t="s">
        <v>9549</v>
      </c>
      <c r="BI1699" t="s">
        <v>19018</v>
      </c>
      <c r="BJ1699" t="s">
        <v>101</v>
      </c>
      <c r="BK1699" t="s">
        <v>9854</v>
      </c>
      <c r="BL1699" t="s">
        <v>4114</v>
      </c>
      <c r="BM1699" t="s">
        <v>2838</v>
      </c>
      <c r="BN1699" t="s">
        <v>14623</v>
      </c>
    </row>
    <row r="1700" spans="1:66" x14ac:dyDescent="0.25">
      <c r="A1700" t="str">
        <f>HYPERLINK("https://elite.finviz.com/quote.ashx?t=AMRK&amp;ty=c&amp;p=d&amp;b=1", "AMRK")</f>
        <v>AMRK</v>
      </c>
      <c r="B1700">
        <v>6</v>
      </c>
      <c r="C1700">
        <v>127.03</v>
      </c>
      <c r="D1700">
        <v>55.36</v>
      </c>
      <c r="E1700" t="s">
        <v>19019</v>
      </c>
      <c r="F1700" t="s">
        <v>67</v>
      </c>
      <c r="G1700" t="s">
        <v>550</v>
      </c>
      <c r="H1700" t="s">
        <v>551</v>
      </c>
      <c r="I1700" t="s">
        <v>70</v>
      </c>
      <c r="J1700" t="s">
        <v>321</v>
      </c>
      <c r="K1700">
        <v>638.9</v>
      </c>
      <c r="L1700">
        <v>25.93</v>
      </c>
      <c r="M1700" t="s">
        <v>2571</v>
      </c>
      <c r="N1700">
        <v>80996</v>
      </c>
      <c r="O1700">
        <v>36.729999999999997</v>
      </c>
      <c r="P1700">
        <v>8.19</v>
      </c>
      <c r="Q1700">
        <v>0.41</v>
      </c>
      <c r="R1700">
        <v>0.06</v>
      </c>
      <c r="S1700">
        <v>0.98</v>
      </c>
      <c r="T1700" t="s">
        <v>3638</v>
      </c>
      <c r="U1700">
        <v>0.8</v>
      </c>
      <c r="V1700" t="s">
        <v>14858</v>
      </c>
      <c r="W1700" t="s">
        <v>164</v>
      </c>
      <c r="Z1700" t="s">
        <v>14372</v>
      </c>
      <c r="AA1700">
        <v>0.71</v>
      </c>
      <c r="AB1700" t="s">
        <v>19020</v>
      </c>
      <c r="AC1700" t="s">
        <v>6891</v>
      </c>
      <c r="AD1700" t="s">
        <v>13807</v>
      </c>
      <c r="AE1700" t="s">
        <v>7553</v>
      </c>
      <c r="AF1700" t="s">
        <v>702</v>
      </c>
      <c r="AG1700" t="s">
        <v>1342</v>
      </c>
      <c r="AH1700" t="s">
        <v>4809</v>
      </c>
      <c r="AI1700" t="s">
        <v>178</v>
      </c>
      <c r="AJ1700" t="s">
        <v>4886</v>
      </c>
      <c r="AK1700" t="s">
        <v>19021</v>
      </c>
      <c r="AL1700">
        <v>1.56</v>
      </c>
      <c r="AM1700">
        <v>0.42</v>
      </c>
      <c r="AN1700">
        <v>1.4</v>
      </c>
      <c r="AO1700" t="s">
        <v>2643</v>
      </c>
      <c r="AP1700" t="s">
        <v>2554</v>
      </c>
      <c r="AQ1700" t="s">
        <v>6156</v>
      </c>
      <c r="AR1700" t="s">
        <v>2494</v>
      </c>
      <c r="AS1700" t="s">
        <v>7699</v>
      </c>
      <c r="AT1700" t="s">
        <v>7780</v>
      </c>
      <c r="AU1700" t="s">
        <v>3212</v>
      </c>
      <c r="AV1700" t="s">
        <v>5395</v>
      </c>
      <c r="AW1700" t="s">
        <v>7449</v>
      </c>
      <c r="AX1700" t="s">
        <v>9619</v>
      </c>
      <c r="AY1700" t="s">
        <v>8142</v>
      </c>
      <c r="AZ1700" t="s">
        <v>19022</v>
      </c>
      <c r="BA1700">
        <v>1.5</v>
      </c>
      <c r="BB1700">
        <v>276.63</v>
      </c>
      <c r="BC1700">
        <v>1.03</v>
      </c>
      <c r="BD1700">
        <v>25.78</v>
      </c>
      <c r="BE1700">
        <v>26.35</v>
      </c>
      <c r="BF1700">
        <v>25.75</v>
      </c>
      <c r="BG1700" t="s">
        <v>19023</v>
      </c>
      <c r="BH1700" t="s">
        <v>19024</v>
      </c>
      <c r="BI1700" t="s">
        <v>19025</v>
      </c>
      <c r="BJ1700" t="s">
        <v>101</v>
      </c>
      <c r="BK1700" t="s">
        <v>1778</v>
      </c>
      <c r="BL1700" t="s">
        <v>3705</v>
      </c>
      <c r="BM1700" t="s">
        <v>19026</v>
      </c>
      <c r="BN1700" t="s">
        <v>14623</v>
      </c>
    </row>
    <row r="1701" spans="1:66" x14ac:dyDescent="0.25">
      <c r="A1701" t="str">
        <f>HYPERLINK("https://elite.finviz.com/quote.ashx?t=QTRX&amp;ty=c&amp;p=d&amp;b=1", "QTRX")</f>
        <v>QTRX</v>
      </c>
      <c r="B1701">
        <v>6</v>
      </c>
      <c r="C1701">
        <v>127.03</v>
      </c>
      <c r="D1701">
        <v>55.38</v>
      </c>
      <c r="E1701" t="s">
        <v>19027</v>
      </c>
      <c r="F1701" t="s">
        <v>67</v>
      </c>
      <c r="G1701" t="s">
        <v>428</v>
      </c>
      <c r="H1701" t="s">
        <v>2051</v>
      </c>
      <c r="I1701" t="s">
        <v>70</v>
      </c>
      <c r="J1701" t="s">
        <v>321</v>
      </c>
      <c r="K1701">
        <v>243.95</v>
      </c>
      <c r="L1701">
        <v>5.25</v>
      </c>
      <c r="M1701" t="s">
        <v>1648</v>
      </c>
      <c r="N1701">
        <v>60171</v>
      </c>
      <c r="R1701">
        <v>1.94</v>
      </c>
      <c r="S1701">
        <v>0.7</v>
      </c>
      <c r="AA1701">
        <v>-1.82</v>
      </c>
      <c r="AB1701" t="s">
        <v>10254</v>
      </c>
      <c r="AC1701" t="s">
        <v>1006</v>
      </c>
      <c r="AD1701" t="s">
        <v>9636</v>
      </c>
      <c r="AE1701" t="s">
        <v>9085</v>
      </c>
      <c r="AF1701" t="s">
        <v>2378</v>
      </c>
      <c r="AG1701" t="s">
        <v>13712</v>
      </c>
      <c r="AH1701" t="s">
        <v>4649</v>
      </c>
      <c r="AI1701" t="s">
        <v>19028</v>
      </c>
      <c r="AJ1701" t="s">
        <v>3212</v>
      </c>
      <c r="AK1701" t="s">
        <v>6242</v>
      </c>
      <c r="AL1701">
        <v>6.68</v>
      </c>
      <c r="AM1701">
        <v>6.06</v>
      </c>
      <c r="AN1701">
        <v>0.12</v>
      </c>
      <c r="AO1701" t="s">
        <v>18915</v>
      </c>
      <c r="AP1701" t="s">
        <v>19029</v>
      </c>
      <c r="AQ1701" t="s">
        <v>19030</v>
      </c>
      <c r="AR1701" t="s">
        <v>121</v>
      </c>
      <c r="AS1701" t="s">
        <v>5659</v>
      </c>
      <c r="AT1701" t="s">
        <v>6674</v>
      </c>
      <c r="AU1701" t="s">
        <v>1560</v>
      </c>
      <c r="AV1701" t="s">
        <v>9172</v>
      </c>
      <c r="AW1701" t="s">
        <v>19031</v>
      </c>
      <c r="AX1701" t="s">
        <v>17921</v>
      </c>
      <c r="AY1701" t="s">
        <v>14865</v>
      </c>
      <c r="AZ1701" t="s">
        <v>7006</v>
      </c>
      <c r="BA1701">
        <v>3</v>
      </c>
      <c r="BB1701">
        <v>687.71</v>
      </c>
      <c r="BC1701">
        <v>0.31</v>
      </c>
      <c r="BD1701">
        <v>5.26</v>
      </c>
      <c r="BE1701">
        <v>5.4</v>
      </c>
      <c r="BF1701">
        <v>5.25</v>
      </c>
      <c r="BG1701" t="s">
        <v>19032</v>
      </c>
      <c r="BH1701" t="s">
        <v>19033</v>
      </c>
      <c r="BI1701" t="s">
        <v>7006</v>
      </c>
      <c r="BJ1701" t="s">
        <v>101</v>
      </c>
      <c r="BK1701" t="s">
        <v>14407</v>
      </c>
      <c r="BL1701" t="s">
        <v>4456</v>
      </c>
      <c r="BM1701" t="s">
        <v>12657</v>
      </c>
      <c r="BN1701" t="s">
        <v>14623</v>
      </c>
    </row>
    <row r="1702" spans="1:66" x14ac:dyDescent="0.25">
      <c r="A1702" t="str">
        <f>HYPERLINK("https://elite.finviz.com/quote.ashx?t=PRSU&amp;ty=c&amp;p=d&amp;b=1", "PRSU")</f>
        <v>PRSU</v>
      </c>
      <c r="B1702">
        <v>6</v>
      </c>
      <c r="C1702">
        <v>127.03</v>
      </c>
      <c r="D1702">
        <v>55.39</v>
      </c>
      <c r="E1702" t="s">
        <v>19034</v>
      </c>
      <c r="F1702" t="s">
        <v>67</v>
      </c>
      <c r="G1702" t="s">
        <v>813</v>
      </c>
      <c r="H1702" t="s">
        <v>1997</v>
      </c>
      <c r="I1702" t="s">
        <v>70</v>
      </c>
      <c r="J1702" t="s">
        <v>71</v>
      </c>
      <c r="K1702">
        <v>1036.21</v>
      </c>
      <c r="L1702">
        <v>36.65</v>
      </c>
      <c r="M1702" t="s">
        <v>2216</v>
      </c>
      <c r="N1702">
        <v>11739</v>
      </c>
      <c r="O1702">
        <v>3.18</v>
      </c>
      <c r="P1702">
        <v>27.2</v>
      </c>
      <c r="R1702">
        <v>1.58</v>
      </c>
      <c r="S1702">
        <v>1.73</v>
      </c>
      <c r="Z1702" t="s">
        <v>164</v>
      </c>
      <c r="AA1702">
        <v>11.51</v>
      </c>
      <c r="AC1702" t="s">
        <v>19035</v>
      </c>
      <c r="AE1702" t="s">
        <v>11101</v>
      </c>
      <c r="AF1702" t="s">
        <v>18739</v>
      </c>
      <c r="AG1702" t="s">
        <v>1335</v>
      </c>
      <c r="AH1702" t="s">
        <v>19036</v>
      </c>
      <c r="AI1702" t="s">
        <v>19037</v>
      </c>
      <c r="AJ1702" t="s">
        <v>406</v>
      </c>
      <c r="AK1702" t="s">
        <v>9119</v>
      </c>
      <c r="AL1702">
        <v>1.04</v>
      </c>
      <c r="AM1702">
        <v>0.87</v>
      </c>
      <c r="AN1702">
        <v>0.24</v>
      </c>
      <c r="AO1702" t="s">
        <v>4620</v>
      </c>
      <c r="AP1702" t="s">
        <v>5319</v>
      </c>
      <c r="AQ1702" t="s">
        <v>11580</v>
      </c>
      <c r="AR1702" t="s">
        <v>2430</v>
      </c>
      <c r="AS1702" t="s">
        <v>6430</v>
      </c>
      <c r="AT1702" t="s">
        <v>4191</v>
      </c>
      <c r="AU1702" t="s">
        <v>6593</v>
      </c>
      <c r="AV1702" t="s">
        <v>2293</v>
      </c>
      <c r="AW1702" t="s">
        <v>13232</v>
      </c>
      <c r="AX1702" t="s">
        <v>12003</v>
      </c>
      <c r="AY1702" t="s">
        <v>14209</v>
      </c>
      <c r="AZ1702" t="s">
        <v>859</v>
      </c>
      <c r="BA1702">
        <v>1</v>
      </c>
      <c r="BB1702">
        <v>259.68</v>
      </c>
      <c r="BC1702">
        <v>0.16</v>
      </c>
      <c r="BD1702">
        <v>36.44</v>
      </c>
      <c r="BE1702">
        <v>36.74</v>
      </c>
      <c r="BF1702">
        <v>36.47</v>
      </c>
      <c r="BG1702" t="s">
        <v>19038</v>
      </c>
      <c r="BH1702" t="s">
        <v>19039</v>
      </c>
      <c r="BI1702" t="s">
        <v>19040</v>
      </c>
      <c r="BJ1702" t="s">
        <v>101</v>
      </c>
      <c r="BK1702" t="s">
        <v>8248</v>
      </c>
      <c r="BL1702" t="s">
        <v>7176</v>
      </c>
      <c r="BM1702" t="s">
        <v>2643</v>
      </c>
      <c r="BN1702" t="s">
        <v>14623</v>
      </c>
    </row>
    <row r="1703" spans="1:66" x14ac:dyDescent="0.25">
      <c r="A1703" t="str">
        <f>HYPERLINK("https://elite.finviz.com/quote.ashx?t=PKG&amp;ty=c&amp;p=d&amp;b=1", "PKG")</f>
        <v>PKG</v>
      </c>
      <c r="B1703">
        <v>6</v>
      </c>
      <c r="C1703">
        <v>127.03</v>
      </c>
      <c r="D1703">
        <v>55.41</v>
      </c>
      <c r="E1703" t="s">
        <v>19041</v>
      </c>
      <c r="F1703" t="s">
        <v>195</v>
      </c>
      <c r="G1703" t="s">
        <v>813</v>
      </c>
      <c r="H1703" t="s">
        <v>7355</v>
      </c>
      <c r="I1703" t="s">
        <v>70</v>
      </c>
      <c r="J1703" t="s">
        <v>71</v>
      </c>
      <c r="K1703">
        <v>19298.2</v>
      </c>
      <c r="L1703">
        <v>214.48</v>
      </c>
      <c r="M1703" t="s">
        <v>4840</v>
      </c>
      <c r="N1703">
        <v>71152</v>
      </c>
      <c r="O1703">
        <v>21.4</v>
      </c>
      <c r="P1703">
        <v>18.57</v>
      </c>
      <c r="Q1703">
        <v>1.99</v>
      </c>
      <c r="R1703">
        <v>2.23</v>
      </c>
      <c r="S1703">
        <v>4.17</v>
      </c>
      <c r="T1703" t="s">
        <v>206</v>
      </c>
      <c r="U1703">
        <v>5</v>
      </c>
      <c r="V1703" t="s">
        <v>3833</v>
      </c>
      <c r="W1703" t="s">
        <v>164</v>
      </c>
      <c r="X1703" t="s">
        <v>4512</v>
      </c>
      <c r="Y1703" t="s">
        <v>9830</v>
      </c>
      <c r="Z1703" t="s">
        <v>3763</v>
      </c>
      <c r="AA1703">
        <v>10.02</v>
      </c>
      <c r="AB1703" t="s">
        <v>3226</v>
      </c>
      <c r="AC1703" t="s">
        <v>4142</v>
      </c>
      <c r="AD1703" t="s">
        <v>6810</v>
      </c>
      <c r="AE1703" t="s">
        <v>7567</v>
      </c>
      <c r="AF1703" t="s">
        <v>4658</v>
      </c>
      <c r="AG1703" t="s">
        <v>2108</v>
      </c>
      <c r="AH1703" t="s">
        <v>3119</v>
      </c>
      <c r="AI1703" t="s">
        <v>5610</v>
      </c>
      <c r="AJ1703" t="s">
        <v>655</v>
      </c>
      <c r="AK1703" t="s">
        <v>19042</v>
      </c>
      <c r="AL1703">
        <v>3.54</v>
      </c>
      <c r="AM1703">
        <v>2.3199999999999998</v>
      </c>
      <c r="AN1703">
        <v>0.61</v>
      </c>
      <c r="AO1703" t="s">
        <v>7726</v>
      </c>
      <c r="AP1703" t="s">
        <v>3405</v>
      </c>
      <c r="AQ1703" t="s">
        <v>702</v>
      </c>
      <c r="AR1703" t="s">
        <v>5116</v>
      </c>
      <c r="AS1703" t="s">
        <v>5084</v>
      </c>
      <c r="AT1703" t="s">
        <v>164</v>
      </c>
      <c r="AU1703" t="s">
        <v>122</v>
      </c>
      <c r="AV1703" t="s">
        <v>3119</v>
      </c>
      <c r="AW1703" t="s">
        <v>11805</v>
      </c>
      <c r="AX1703" t="s">
        <v>4390</v>
      </c>
      <c r="AY1703" t="s">
        <v>8138</v>
      </c>
      <c r="AZ1703" t="s">
        <v>1185</v>
      </c>
      <c r="BA1703">
        <v>2.54</v>
      </c>
      <c r="BB1703">
        <v>730.94</v>
      </c>
      <c r="BC1703">
        <v>0.34</v>
      </c>
      <c r="BD1703">
        <v>213.14</v>
      </c>
      <c r="BE1703">
        <v>215.07</v>
      </c>
      <c r="BF1703">
        <v>213.14</v>
      </c>
      <c r="BG1703" t="s">
        <v>19043</v>
      </c>
      <c r="BH1703" t="s">
        <v>8138</v>
      </c>
      <c r="BI1703" t="s">
        <v>19044</v>
      </c>
      <c r="BJ1703" t="s">
        <v>101</v>
      </c>
      <c r="BK1703" t="s">
        <v>2709</v>
      </c>
      <c r="BL1703" t="s">
        <v>7511</v>
      </c>
      <c r="BM1703" t="s">
        <v>3890</v>
      </c>
      <c r="BN1703" t="s">
        <v>14623</v>
      </c>
    </row>
    <row r="1704" spans="1:66" x14ac:dyDescent="0.25">
      <c r="A1704" t="str">
        <f>HYPERLINK("https://elite.finviz.com/quote.ashx?t=SFBC&amp;ty=c&amp;p=d&amp;b=1", "SFBC")</f>
        <v>SFBC</v>
      </c>
      <c r="B1704">
        <v>6</v>
      </c>
      <c r="C1704">
        <v>127.03</v>
      </c>
      <c r="D1704">
        <v>55.46</v>
      </c>
      <c r="E1704" t="s">
        <v>19045</v>
      </c>
      <c r="F1704" t="s">
        <v>67</v>
      </c>
      <c r="G1704" t="s">
        <v>550</v>
      </c>
      <c r="H1704" t="s">
        <v>697</v>
      </c>
      <c r="I1704" t="s">
        <v>70</v>
      </c>
      <c r="J1704" t="s">
        <v>321</v>
      </c>
      <c r="K1704">
        <v>121.45</v>
      </c>
      <c r="L1704">
        <v>47.33</v>
      </c>
      <c r="M1704" t="s">
        <v>5577</v>
      </c>
      <c r="N1704">
        <v>467</v>
      </c>
      <c r="O1704">
        <v>19.48</v>
      </c>
      <c r="R1704">
        <v>1.93</v>
      </c>
      <c r="S1704">
        <v>1.1499999999999999</v>
      </c>
      <c r="T1704" t="s">
        <v>6990</v>
      </c>
      <c r="U1704">
        <v>0.76</v>
      </c>
      <c r="V1704" t="s">
        <v>893</v>
      </c>
      <c r="W1704" t="s">
        <v>648</v>
      </c>
      <c r="X1704" t="s">
        <v>2108</v>
      </c>
      <c r="Y1704" t="s">
        <v>2386</v>
      </c>
      <c r="Z1704" t="s">
        <v>16321</v>
      </c>
      <c r="AA1704">
        <v>2.4300000000000002</v>
      </c>
      <c r="AB1704" t="s">
        <v>9825</v>
      </c>
      <c r="AC1704" t="s">
        <v>15209</v>
      </c>
      <c r="AE1704" t="s">
        <v>1090</v>
      </c>
      <c r="AF1704" t="s">
        <v>11845</v>
      </c>
      <c r="AG1704" t="s">
        <v>2127</v>
      </c>
      <c r="AH1704" t="s">
        <v>5611</v>
      </c>
      <c r="AJ1704" t="s">
        <v>164</v>
      </c>
      <c r="AK1704" t="s">
        <v>9402</v>
      </c>
      <c r="AL1704">
        <v>0.14000000000000001</v>
      </c>
      <c r="AN1704">
        <v>0.39</v>
      </c>
      <c r="AP1704" t="s">
        <v>7512</v>
      </c>
      <c r="AQ1704" t="s">
        <v>2127</v>
      </c>
      <c r="AR1704" t="s">
        <v>3344</v>
      </c>
      <c r="AS1704" t="s">
        <v>3018</v>
      </c>
      <c r="AT1704" t="s">
        <v>2186</v>
      </c>
      <c r="AU1704" t="s">
        <v>5058</v>
      </c>
      <c r="AV1704" t="s">
        <v>5246</v>
      </c>
      <c r="AW1704" t="s">
        <v>7884</v>
      </c>
      <c r="AX1704" t="s">
        <v>2521</v>
      </c>
      <c r="AY1704" t="s">
        <v>15935</v>
      </c>
      <c r="AZ1704" t="s">
        <v>2521</v>
      </c>
      <c r="BB1704">
        <v>10.8</v>
      </c>
      <c r="BC1704">
        <v>0.15</v>
      </c>
      <c r="BD1704">
        <v>46.85</v>
      </c>
      <c r="BE1704">
        <v>46.85</v>
      </c>
      <c r="BF1704">
        <v>46.85</v>
      </c>
      <c r="BG1704" t="s">
        <v>19046</v>
      </c>
      <c r="BH1704" t="s">
        <v>19047</v>
      </c>
      <c r="BI1704" t="s">
        <v>19048</v>
      </c>
      <c r="BJ1704" t="s">
        <v>101</v>
      </c>
      <c r="BK1704" t="s">
        <v>2892</v>
      </c>
      <c r="BL1704" t="s">
        <v>3408</v>
      </c>
      <c r="BM1704" t="s">
        <v>6137</v>
      </c>
      <c r="BN1704" t="s">
        <v>14623</v>
      </c>
    </row>
    <row r="1705" spans="1:66" x14ac:dyDescent="0.25">
      <c r="A1705" t="str">
        <f>HYPERLINK("https://elite.finviz.com/quote.ashx?t=NATH&amp;ty=c&amp;p=d&amp;b=1", "NATH")</f>
        <v>NATH</v>
      </c>
      <c r="B1705">
        <v>6</v>
      </c>
      <c r="C1705">
        <v>127.03</v>
      </c>
      <c r="D1705">
        <v>55.46</v>
      </c>
      <c r="E1705" t="s">
        <v>19049</v>
      </c>
      <c r="F1705" t="s">
        <v>67</v>
      </c>
      <c r="G1705" t="s">
        <v>813</v>
      </c>
      <c r="H1705" t="s">
        <v>2285</v>
      </c>
      <c r="I1705" t="s">
        <v>70</v>
      </c>
      <c r="J1705" t="s">
        <v>321</v>
      </c>
      <c r="K1705">
        <v>441.47</v>
      </c>
      <c r="L1705">
        <v>107.95</v>
      </c>
      <c r="M1705" t="s">
        <v>4902</v>
      </c>
      <c r="N1705">
        <v>1600</v>
      </c>
      <c r="O1705">
        <v>18.71</v>
      </c>
      <c r="R1705">
        <v>2.94</v>
      </c>
      <c r="T1705" t="s">
        <v>4267</v>
      </c>
      <c r="U1705">
        <v>2</v>
      </c>
      <c r="V1705" t="s">
        <v>10943</v>
      </c>
      <c r="W1705" t="s">
        <v>164</v>
      </c>
      <c r="X1705" t="s">
        <v>1115</v>
      </c>
      <c r="Y1705" t="s">
        <v>5739</v>
      </c>
      <c r="Z1705" t="s">
        <v>7280</v>
      </c>
      <c r="AA1705">
        <v>5.77</v>
      </c>
      <c r="AB1705" t="s">
        <v>6968</v>
      </c>
      <c r="AC1705" t="s">
        <v>9987</v>
      </c>
      <c r="AE1705" t="s">
        <v>4476</v>
      </c>
      <c r="AF1705" t="s">
        <v>2000</v>
      </c>
      <c r="AG1705" t="s">
        <v>1283</v>
      </c>
      <c r="AH1705" t="s">
        <v>4824</v>
      </c>
      <c r="AJ1705" t="s">
        <v>164</v>
      </c>
      <c r="AK1705" t="s">
        <v>19050</v>
      </c>
      <c r="AL1705">
        <v>2.7</v>
      </c>
      <c r="AM1705">
        <v>2.65</v>
      </c>
      <c r="AO1705" t="s">
        <v>1266</v>
      </c>
      <c r="AP1705" t="s">
        <v>3899</v>
      </c>
      <c r="AQ1705" t="s">
        <v>14195</v>
      </c>
      <c r="AR1705" t="s">
        <v>180</v>
      </c>
      <c r="AS1705" t="s">
        <v>744</v>
      </c>
      <c r="AT1705" t="s">
        <v>6056</v>
      </c>
      <c r="AU1705" t="s">
        <v>5685</v>
      </c>
      <c r="AV1705" t="s">
        <v>6532</v>
      </c>
      <c r="AW1705" t="s">
        <v>3315</v>
      </c>
      <c r="AX1705" t="s">
        <v>5468</v>
      </c>
      <c r="AY1705" t="s">
        <v>9417</v>
      </c>
      <c r="AZ1705" t="s">
        <v>14031</v>
      </c>
      <c r="BB1705">
        <v>45.86</v>
      </c>
      <c r="BC1705">
        <v>0.12</v>
      </c>
      <c r="BD1705">
        <v>106.75</v>
      </c>
      <c r="BE1705">
        <v>107.65</v>
      </c>
      <c r="BF1705">
        <v>107.1</v>
      </c>
      <c r="BG1705" t="s">
        <v>19051</v>
      </c>
      <c r="BH1705" t="s">
        <v>9417</v>
      </c>
      <c r="BI1705" t="s">
        <v>19052</v>
      </c>
      <c r="BJ1705" t="s">
        <v>101</v>
      </c>
      <c r="BK1705" t="s">
        <v>8985</v>
      </c>
      <c r="BL1705" t="s">
        <v>10137</v>
      </c>
      <c r="BM1705" t="s">
        <v>11888</v>
      </c>
      <c r="BN1705" t="s">
        <v>14623</v>
      </c>
    </row>
    <row r="1706" spans="1:66" x14ac:dyDescent="0.25">
      <c r="A1706" t="str">
        <f>HYPERLINK("https://elite.finviz.com/quote.ashx?t=AEIS&amp;ty=c&amp;p=d&amp;b=1", "AEIS")</f>
        <v>AEIS</v>
      </c>
      <c r="B1706">
        <v>6</v>
      </c>
      <c r="C1706">
        <v>127.03</v>
      </c>
      <c r="D1706">
        <v>55.48</v>
      </c>
      <c r="E1706" t="s">
        <v>19053</v>
      </c>
      <c r="F1706" t="s">
        <v>67</v>
      </c>
      <c r="G1706" t="s">
        <v>260</v>
      </c>
      <c r="H1706" t="s">
        <v>1128</v>
      </c>
      <c r="I1706" t="s">
        <v>70</v>
      </c>
      <c r="J1706" t="s">
        <v>321</v>
      </c>
      <c r="K1706">
        <v>6183.2</v>
      </c>
      <c r="L1706">
        <v>164.21</v>
      </c>
      <c r="M1706" t="s">
        <v>9498</v>
      </c>
      <c r="N1706">
        <v>57955</v>
      </c>
      <c r="O1706">
        <v>74.5</v>
      </c>
      <c r="P1706">
        <v>24.76</v>
      </c>
      <c r="Q1706">
        <v>2.79</v>
      </c>
      <c r="R1706">
        <v>3.78</v>
      </c>
      <c r="S1706">
        <v>4.92</v>
      </c>
      <c r="T1706" t="s">
        <v>6156</v>
      </c>
      <c r="U1706">
        <v>0.4</v>
      </c>
      <c r="V1706" t="s">
        <v>10943</v>
      </c>
      <c r="W1706" t="s">
        <v>164</v>
      </c>
      <c r="X1706" t="s">
        <v>164</v>
      </c>
      <c r="Z1706" t="s">
        <v>3868</v>
      </c>
      <c r="AA1706">
        <v>2.2000000000000002</v>
      </c>
      <c r="AB1706" t="s">
        <v>19054</v>
      </c>
      <c r="AC1706" t="s">
        <v>11896</v>
      </c>
      <c r="AD1706" t="s">
        <v>14860</v>
      </c>
      <c r="AE1706" t="s">
        <v>6028</v>
      </c>
      <c r="AF1706" t="s">
        <v>4623</v>
      </c>
      <c r="AG1706" t="s">
        <v>10403</v>
      </c>
      <c r="AH1706" t="s">
        <v>16077</v>
      </c>
      <c r="AI1706" t="s">
        <v>5082</v>
      </c>
      <c r="AJ1706" t="s">
        <v>13117</v>
      </c>
      <c r="AK1706" t="s">
        <v>19055</v>
      </c>
      <c r="AL1706">
        <v>4.09</v>
      </c>
      <c r="AM1706">
        <v>2.97</v>
      </c>
      <c r="AN1706">
        <v>0.55000000000000004</v>
      </c>
      <c r="AO1706" t="s">
        <v>5800</v>
      </c>
      <c r="AP1706" t="s">
        <v>4518</v>
      </c>
      <c r="AQ1706" t="s">
        <v>6404</v>
      </c>
      <c r="AR1706" t="s">
        <v>170</v>
      </c>
      <c r="AS1706" t="s">
        <v>304</v>
      </c>
      <c r="AT1706" t="s">
        <v>1768</v>
      </c>
      <c r="AU1706" t="s">
        <v>327</v>
      </c>
      <c r="AV1706" t="s">
        <v>15975</v>
      </c>
      <c r="AW1706" t="s">
        <v>3929</v>
      </c>
      <c r="AX1706" t="s">
        <v>10623</v>
      </c>
      <c r="AY1706" t="s">
        <v>3929</v>
      </c>
      <c r="AZ1706" t="s">
        <v>19056</v>
      </c>
      <c r="BA1706">
        <v>2</v>
      </c>
      <c r="BB1706">
        <v>405.97</v>
      </c>
      <c r="BC1706">
        <v>0.5</v>
      </c>
      <c r="BD1706">
        <v>167.35</v>
      </c>
      <c r="BE1706">
        <v>167.95</v>
      </c>
      <c r="BF1706">
        <v>163.93</v>
      </c>
      <c r="BG1706" t="s">
        <v>19057</v>
      </c>
      <c r="BH1706" t="s">
        <v>3929</v>
      </c>
      <c r="BI1706" t="s">
        <v>19058</v>
      </c>
      <c r="BJ1706" t="s">
        <v>101</v>
      </c>
      <c r="BK1706" t="s">
        <v>5039</v>
      </c>
      <c r="BL1706" t="s">
        <v>12283</v>
      </c>
      <c r="BM1706" t="s">
        <v>18873</v>
      </c>
      <c r="BN1706" t="s">
        <v>14623</v>
      </c>
    </row>
    <row r="1707" spans="1:66" x14ac:dyDescent="0.25">
      <c r="A1707" t="str">
        <f>HYPERLINK("https://elite.finviz.com/quote.ashx?t=HTFL&amp;ty=c&amp;p=d&amp;b=1", "HTFL")</f>
        <v>HTFL</v>
      </c>
      <c r="B1707">
        <v>6</v>
      </c>
      <c r="C1707">
        <v>127.03</v>
      </c>
      <c r="D1707">
        <v>55.48</v>
      </c>
      <c r="E1707" t="s">
        <v>19059</v>
      </c>
      <c r="F1707" t="s">
        <v>107</v>
      </c>
      <c r="G1707" t="s">
        <v>428</v>
      </c>
      <c r="H1707" t="s">
        <v>2075</v>
      </c>
      <c r="I1707" t="s">
        <v>70</v>
      </c>
      <c r="J1707" t="s">
        <v>321</v>
      </c>
      <c r="K1707">
        <v>2835.43</v>
      </c>
      <c r="L1707">
        <v>34</v>
      </c>
      <c r="M1707" t="s">
        <v>822</v>
      </c>
      <c r="N1707">
        <v>77730</v>
      </c>
      <c r="AI1707" t="s">
        <v>8721</v>
      </c>
      <c r="AJ1707" t="s">
        <v>164</v>
      </c>
      <c r="AK1707" t="s">
        <v>7288</v>
      </c>
      <c r="AL1707">
        <v>3.52</v>
      </c>
      <c r="AM1707">
        <v>3.52</v>
      </c>
      <c r="AR1707" t="s">
        <v>6421</v>
      </c>
      <c r="AS1707" t="s">
        <v>2886</v>
      </c>
      <c r="AT1707" t="s">
        <v>911</v>
      </c>
      <c r="AU1707" t="s">
        <v>4077</v>
      </c>
      <c r="AV1707" t="s">
        <v>4077</v>
      </c>
      <c r="AW1707" t="s">
        <v>2335</v>
      </c>
      <c r="AX1707" t="s">
        <v>5948</v>
      </c>
      <c r="AY1707" t="s">
        <v>2335</v>
      </c>
      <c r="AZ1707" t="s">
        <v>5948</v>
      </c>
      <c r="BA1707">
        <v>1.4</v>
      </c>
      <c r="BB1707">
        <v>690.73</v>
      </c>
      <c r="BC1707">
        <v>0.4</v>
      </c>
      <c r="BD1707">
        <v>33.92</v>
      </c>
      <c r="BE1707">
        <v>34.49</v>
      </c>
      <c r="BF1707">
        <v>33.49</v>
      </c>
      <c r="BG1707" t="s">
        <v>19060</v>
      </c>
      <c r="BH1707" t="s">
        <v>2335</v>
      </c>
      <c r="BI1707" t="s">
        <v>5948</v>
      </c>
      <c r="BJ1707" t="s">
        <v>101</v>
      </c>
      <c r="BN1707" t="s">
        <v>14623</v>
      </c>
    </row>
    <row r="1708" spans="1:66" x14ac:dyDescent="0.25">
      <c r="A1708" t="str">
        <f>HYPERLINK("https://elite.finviz.com/quote.ashx?t=MTUS&amp;ty=c&amp;p=d&amp;b=1", "MTUS")</f>
        <v>MTUS</v>
      </c>
      <c r="B1708">
        <v>6</v>
      </c>
      <c r="C1708">
        <v>127.03</v>
      </c>
      <c r="D1708">
        <v>55.49</v>
      </c>
      <c r="E1708" t="s">
        <v>19061</v>
      </c>
      <c r="F1708" t="s">
        <v>67</v>
      </c>
      <c r="G1708" t="s">
        <v>355</v>
      </c>
      <c r="H1708" t="s">
        <v>10220</v>
      </c>
      <c r="I1708" t="s">
        <v>70</v>
      </c>
      <c r="J1708" t="s">
        <v>71</v>
      </c>
      <c r="K1708">
        <v>704.73</v>
      </c>
      <c r="L1708">
        <v>16.850000000000001</v>
      </c>
      <c r="M1708" t="s">
        <v>2125</v>
      </c>
      <c r="N1708">
        <v>28777</v>
      </c>
      <c r="P1708">
        <v>12.6</v>
      </c>
      <c r="R1708">
        <v>0.67</v>
      </c>
      <c r="S1708">
        <v>1.02</v>
      </c>
      <c r="Z1708" t="s">
        <v>164</v>
      </c>
      <c r="AA1708">
        <v>-0.53</v>
      </c>
      <c r="AB1708" t="s">
        <v>19062</v>
      </c>
      <c r="AD1708" t="s">
        <v>10486</v>
      </c>
      <c r="AE1708" t="s">
        <v>19063</v>
      </c>
      <c r="AF1708" t="s">
        <v>8470</v>
      </c>
      <c r="AG1708" t="s">
        <v>3753</v>
      </c>
      <c r="AH1708" t="s">
        <v>3542</v>
      </c>
      <c r="AI1708" t="s">
        <v>2169</v>
      </c>
      <c r="AJ1708" t="s">
        <v>4086</v>
      </c>
      <c r="AK1708" t="s">
        <v>19064</v>
      </c>
      <c r="AL1708">
        <v>2.0299999999999998</v>
      </c>
      <c r="AM1708">
        <v>1.22</v>
      </c>
      <c r="AN1708">
        <v>0.02</v>
      </c>
      <c r="AO1708" t="s">
        <v>5150</v>
      </c>
      <c r="AP1708" t="s">
        <v>2007</v>
      </c>
      <c r="AQ1708" t="s">
        <v>2723</v>
      </c>
      <c r="AR1708" t="s">
        <v>901</v>
      </c>
      <c r="AS1708" t="s">
        <v>5132</v>
      </c>
      <c r="AT1708" t="s">
        <v>5158</v>
      </c>
      <c r="AU1708" t="s">
        <v>2356</v>
      </c>
      <c r="AV1708" t="s">
        <v>3789</v>
      </c>
      <c r="AW1708" t="s">
        <v>9240</v>
      </c>
      <c r="AX1708" t="s">
        <v>9721</v>
      </c>
      <c r="AY1708" t="s">
        <v>9240</v>
      </c>
      <c r="AZ1708" t="s">
        <v>16809</v>
      </c>
      <c r="BA1708">
        <v>2</v>
      </c>
      <c r="BB1708">
        <v>338.84</v>
      </c>
      <c r="BC1708">
        <v>0.3</v>
      </c>
      <c r="BD1708">
        <v>16.7</v>
      </c>
      <c r="BE1708">
        <v>16.95</v>
      </c>
      <c r="BF1708">
        <v>16.73</v>
      </c>
      <c r="BG1708" t="s">
        <v>19065</v>
      </c>
      <c r="BH1708" t="s">
        <v>19066</v>
      </c>
      <c r="BI1708" t="s">
        <v>19067</v>
      </c>
      <c r="BJ1708" t="s">
        <v>101</v>
      </c>
      <c r="BK1708" t="s">
        <v>6348</v>
      </c>
      <c r="BL1708" t="s">
        <v>7123</v>
      </c>
      <c r="BM1708" t="s">
        <v>14148</v>
      </c>
      <c r="BN1708" t="s">
        <v>14623</v>
      </c>
    </row>
    <row r="1709" spans="1:66" x14ac:dyDescent="0.25">
      <c r="A1709" t="str">
        <f>HYPERLINK("https://elite.finviz.com/quote.ashx?t=MGLD&amp;ty=c&amp;p=d&amp;b=1", "MGLD")</f>
        <v>MGLD</v>
      </c>
      <c r="B1709">
        <v>6</v>
      </c>
      <c r="C1709">
        <v>127.03</v>
      </c>
      <c r="D1709">
        <v>55.5</v>
      </c>
      <c r="E1709" t="s">
        <v>19068</v>
      </c>
      <c r="F1709" t="s">
        <v>107</v>
      </c>
      <c r="G1709" t="s">
        <v>550</v>
      </c>
      <c r="H1709" t="s">
        <v>2597</v>
      </c>
      <c r="I1709" t="s">
        <v>70</v>
      </c>
      <c r="J1709" t="s">
        <v>383</v>
      </c>
      <c r="K1709">
        <v>44.91</v>
      </c>
      <c r="L1709">
        <v>1.05</v>
      </c>
      <c r="M1709" t="s">
        <v>4699</v>
      </c>
      <c r="N1709">
        <v>6260</v>
      </c>
      <c r="R1709">
        <v>1.49</v>
      </c>
      <c r="S1709">
        <v>1.95</v>
      </c>
      <c r="AA1709">
        <v>-0.14000000000000001</v>
      </c>
      <c r="AE1709" t="s">
        <v>4868</v>
      </c>
      <c r="AF1709" t="s">
        <v>7230</v>
      </c>
      <c r="AG1709" t="s">
        <v>2582</v>
      </c>
      <c r="AH1709" t="s">
        <v>16721</v>
      </c>
      <c r="AJ1709" t="s">
        <v>183</v>
      </c>
      <c r="AK1709" t="s">
        <v>1765</v>
      </c>
      <c r="AL1709">
        <v>2.87</v>
      </c>
      <c r="AM1709">
        <v>2.57</v>
      </c>
      <c r="AN1709">
        <v>0.1</v>
      </c>
      <c r="AO1709" t="s">
        <v>12846</v>
      </c>
      <c r="AP1709" t="s">
        <v>19069</v>
      </c>
      <c r="AQ1709" t="s">
        <v>16619</v>
      </c>
      <c r="AR1709" t="s">
        <v>3372</v>
      </c>
      <c r="AS1709" t="s">
        <v>9204</v>
      </c>
      <c r="AT1709" t="s">
        <v>3447</v>
      </c>
      <c r="AU1709" t="s">
        <v>6795</v>
      </c>
      <c r="AV1709" t="s">
        <v>2717</v>
      </c>
      <c r="AW1709" t="s">
        <v>4397</v>
      </c>
      <c r="AX1709" t="s">
        <v>19070</v>
      </c>
      <c r="AY1709" t="s">
        <v>19071</v>
      </c>
      <c r="AZ1709" t="s">
        <v>19070</v>
      </c>
      <c r="BB1709">
        <v>12.6</v>
      </c>
      <c r="BC1709">
        <v>1.77</v>
      </c>
      <c r="BD1709">
        <v>1.05</v>
      </c>
      <c r="BE1709">
        <v>1.05</v>
      </c>
      <c r="BF1709">
        <v>1.03</v>
      </c>
      <c r="BG1709" t="s">
        <v>19072</v>
      </c>
      <c r="BH1709" t="s">
        <v>16966</v>
      </c>
      <c r="BI1709" t="s">
        <v>19073</v>
      </c>
      <c r="BJ1709" t="s">
        <v>101</v>
      </c>
      <c r="BK1709" t="s">
        <v>1475</v>
      </c>
      <c r="BL1709" t="s">
        <v>6860</v>
      </c>
      <c r="BM1709" t="s">
        <v>13420</v>
      </c>
      <c r="BN1709" t="s">
        <v>14623</v>
      </c>
    </row>
    <row r="1710" spans="1:66" x14ac:dyDescent="0.25">
      <c r="A1710" t="str">
        <f>HYPERLINK("https://elite.finviz.com/quote.ashx?t=ANY&amp;ty=c&amp;p=d&amp;b=1", "ANY")</f>
        <v>ANY</v>
      </c>
      <c r="B1710">
        <v>6</v>
      </c>
      <c r="C1710">
        <v>127.03</v>
      </c>
      <c r="D1710">
        <v>55.51</v>
      </c>
      <c r="E1710" t="s">
        <v>19074</v>
      </c>
      <c r="F1710" t="s">
        <v>107</v>
      </c>
      <c r="G1710" t="s">
        <v>550</v>
      </c>
      <c r="H1710" t="s">
        <v>551</v>
      </c>
      <c r="I1710" t="s">
        <v>70</v>
      </c>
      <c r="J1710" t="s">
        <v>321</v>
      </c>
      <c r="K1710">
        <v>19.260000000000002</v>
      </c>
      <c r="L1710">
        <v>0.68</v>
      </c>
      <c r="M1710" t="s">
        <v>14607</v>
      </c>
      <c r="N1710">
        <v>231851</v>
      </c>
      <c r="R1710">
        <v>1.78</v>
      </c>
      <c r="S1710">
        <v>0.57999999999999996</v>
      </c>
      <c r="AA1710">
        <v>-0.62</v>
      </c>
      <c r="AB1710" t="s">
        <v>19075</v>
      </c>
      <c r="AC1710" t="s">
        <v>19076</v>
      </c>
      <c r="AE1710" t="s">
        <v>19077</v>
      </c>
      <c r="AF1710" t="s">
        <v>18940</v>
      </c>
      <c r="AG1710" t="s">
        <v>2524</v>
      </c>
      <c r="AH1710" t="s">
        <v>19078</v>
      </c>
      <c r="AI1710" t="s">
        <v>3605</v>
      </c>
      <c r="AJ1710" t="s">
        <v>164</v>
      </c>
      <c r="AK1710" t="s">
        <v>1959</v>
      </c>
      <c r="AL1710">
        <v>6.69</v>
      </c>
      <c r="AM1710">
        <v>6.69</v>
      </c>
      <c r="AN1710">
        <v>0</v>
      </c>
      <c r="AO1710" t="s">
        <v>19079</v>
      </c>
      <c r="AP1710" t="s">
        <v>19080</v>
      </c>
      <c r="AQ1710" t="s">
        <v>19081</v>
      </c>
      <c r="AR1710" t="s">
        <v>2235</v>
      </c>
      <c r="AS1710" t="s">
        <v>7970</v>
      </c>
      <c r="AT1710" t="s">
        <v>3757</v>
      </c>
      <c r="AU1710" t="s">
        <v>6168</v>
      </c>
      <c r="AV1710" t="s">
        <v>6058</v>
      </c>
      <c r="AW1710" t="s">
        <v>4478</v>
      </c>
      <c r="AX1710" t="s">
        <v>19082</v>
      </c>
      <c r="AY1710" t="s">
        <v>4626</v>
      </c>
      <c r="AZ1710" t="s">
        <v>19083</v>
      </c>
      <c r="BA1710">
        <v>1</v>
      </c>
      <c r="BB1710">
        <v>988.15</v>
      </c>
      <c r="BC1710">
        <v>0.83</v>
      </c>
      <c r="BD1710">
        <v>0.69</v>
      </c>
      <c r="BE1710">
        <v>0.7</v>
      </c>
      <c r="BF1710">
        <v>0.68</v>
      </c>
      <c r="BG1710" t="s">
        <v>19084</v>
      </c>
      <c r="BH1710" t="s">
        <v>579</v>
      </c>
      <c r="BI1710" t="s">
        <v>19083</v>
      </c>
      <c r="BJ1710" t="s">
        <v>101</v>
      </c>
      <c r="BK1710" t="s">
        <v>12410</v>
      </c>
      <c r="BL1710" t="s">
        <v>8479</v>
      </c>
      <c r="BM1710" t="s">
        <v>19085</v>
      </c>
      <c r="BN1710" t="s">
        <v>14623</v>
      </c>
    </row>
    <row r="1711" spans="1:66" x14ac:dyDescent="0.25">
      <c r="A1711" t="str">
        <f>HYPERLINK("https://elite.finviz.com/quote.ashx?t=EYPT&amp;ty=c&amp;p=d&amp;b=1", "EYPT")</f>
        <v>EYPT</v>
      </c>
      <c r="B1711">
        <v>6</v>
      </c>
      <c r="C1711">
        <v>127.03</v>
      </c>
      <c r="D1711">
        <v>55.53</v>
      </c>
      <c r="E1711" t="s">
        <v>19086</v>
      </c>
      <c r="F1711" t="s">
        <v>67</v>
      </c>
      <c r="G1711" t="s">
        <v>428</v>
      </c>
      <c r="H1711" t="s">
        <v>429</v>
      </c>
      <c r="I1711" t="s">
        <v>70</v>
      </c>
      <c r="J1711" t="s">
        <v>321</v>
      </c>
      <c r="K1711">
        <v>915.01</v>
      </c>
      <c r="L1711">
        <v>13.27</v>
      </c>
      <c r="M1711" t="s">
        <v>3463</v>
      </c>
      <c r="N1711">
        <v>100219</v>
      </c>
      <c r="R1711">
        <v>17.63</v>
      </c>
      <c r="S1711">
        <v>3.72</v>
      </c>
      <c r="AA1711">
        <v>-2.68</v>
      </c>
      <c r="AB1711" t="s">
        <v>13734</v>
      </c>
      <c r="AC1711" t="s">
        <v>14942</v>
      </c>
      <c r="AD1711" t="s">
        <v>5725</v>
      </c>
      <c r="AE1711" t="s">
        <v>6118</v>
      </c>
      <c r="AF1711" t="s">
        <v>6956</v>
      </c>
      <c r="AG1711" t="s">
        <v>16206</v>
      </c>
      <c r="AH1711" t="s">
        <v>15512</v>
      </c>
      <c r="AI1711" t="s">
        <v>799</v>
      </c>
      <c r="AJ1711" t="s">
        <v>822</v>
      </c>
      <c r="AK1711" t="s">
        <v>1975</v>
      </c>
      <c r="AL1711">
        <v>8</v>
      </c>
      <c r="AM1711">
        <v>7.91</v>
      </c>
      <c r="AN1711">
        <v>0.09</v>
      </c>
      <c r="AO1711" t="s">
        <v>19087</v>
      </c>
      <c r="AP1711" t="s">
        <v>19088</v>
      </c>
      <c r="AQ1711" t="s">
        <v>19089</v>
      </c>
      <c r="AR1711" t="s">
        <v>1475</v>
      </c>
      <c r="AS1711" t="s">
        <v>4133</v>
      </c>
      <c r="AT1711" t="s">
        <v>1657</v>
      </c>
      <c r="AU1711" t="s">
        <v>6598</v>
      </c>
      <c r="AV1711" t="s">
        <v>762</v>
      </c>
      <c r="AW1711" t="s">
        <v>8073</v>
      </c>
      <c r="AX1711" t="s">
        <v>7702</v>
      </c>
      <c r="AY1711" t="s">
        <v>8073</v>
      </c>
      <c r="AZ1711" t="s">
        <v>19090</v>
      </c>
      <c r="BA1711">
        <v>1.08</v>
      </c>
      <c r="BB1711">
        <v>779.58</v>
      </c>
      <c r="BC1711">
        <v>0.45</v>
      </c>
      <c r="BD1711">
        <v>13.19</v>
      </c>
      <c r="BE1711">
        <v>13.41</v>
      </c>
      <c r="BF1711">
        <v>13.07</v>
      </c>
      <c r="BG1711" t="s">
        <v>19091</v>
      </c>
      <c r="BH1711" t="s">
        <v>1123</v>
      </c>
      <c r="BI1711" t="s">
        <v>19092</v>
      </c>
      <c r="BJ1711" t="s">
        <v>101</v>
      </c>
      <c r="BK1711" t="s">
        <v>19093</v>
      </c>
      <c r="BL1711" t="s">
        <v>19094</v>
      </c>
      <c r="BM1711" t="s">
        <v>1912</v>
      </c>
      <c r="BN1711" t="s">
        <v>14623</v>
      </c>
    </row>
    <row r="1712" spans="1:66" x14ac:dyDescent="0.25">
      <c r="A1712" t="str">
        <f>HYPERLINK("https://elite.finviz.com/quote.ashx?t=NTHI&amp;ty=c&amp;p=d&amp;b=1", "NTHI")</f>
        <v>NTHI</v>
      </c>
      <c r="B1712">
        <v>6</v>
      </c>
      <c r="C1712">
        <v>127.03</v>
      </c>
      <c r="D1712">
        <v>55.53</v>
      </c>
      <c r="E1712" t="s">
        <v>19095</v>
      </c>
      <c r="F1712" t="s">
        <v>107</v>
      </c>
      <c r="G1712" t="s">
        <v>428</v>
      </c>
      <c r="H1712" t="s">
        <v>429</v>
      </c>
      <c r="I1712" t="s">
        <v>70</v>
      </c>
      <c r="J1712" t="s">
        <v>321</v>
      </c>
      <c r="K1712">
        <v>188.92</v>
      </c>
      <c r="L1712">
        <v>9.86</v>
      </c>
      <c r="M1712" t="s">
        <v>93</v>
      </c>
      <c r="N1712">
        <v>32456</v>
      </c>
      <c r="R1712">
        <v>3148.63</v>
      </c>
      <c r="AA1712">
        <v>-2.59</v>
      </c>
      <c r="AB1712" t="s">
        <v>19096</v>
      </c>
      <c r="AH1712" t="s">
        <v>579</v>
      </c>
      <c r="AJ1712" t="s">
        <v>6156</v>
      </c>
      <c r="AK1712" t="s">
        <v>6104</v>
      </c>
      <c r="AL1712">
        <v>0.06</v>
      </c>
      <c r="AM1712">
        <v>0.06</v>
      </c>
      <c r="AP1712" t="s">
        <v>19097</v>
      </c>
      <c r="AQ1712" t="s">
        <v>19098</v>
      </c>
      <c r="AR1712" t="s">
        <v>6528</v>
      </c>
      <c r="AS1712" t="s">
        <v>1514</v>
      </c>
      <c r="AT1712" t="s">
        <v>273</v>
      </c>
      <c r="AU1712" t="s">
        <v>7720</v>
      </c>
      <c r="AV1712" t="s">
        <v>16157</v>
      </c>
      <c r="AW1712" t="s">
        <v>6516</v>
      </c>
      <c r="AX1712" t="s">
        <v>19099</v>
      </c>
      <c r="AY1712" t="s">
        <v>19100</v>
      </c>
      <c r="AZ1712" t="s">
        <v>19101</v>
      </c>
      <c r="BB1712">
        <v>236.18</v>
      </c>
      <c r="BC1712">
        <v>0.48</v>
      </c>
      <c r="BD1712">
        <v>10.37</v>
      </c>
      <c r="BE1712">
        <v>10.47</v>
      </c>
      <c r="BF1712">
        <v>9.84</v>
      </c>
      <c r="BG1712" t="s">
        <v>19102</v>
      </c>
      <c r="BH1712" t="s">
        <v>19100</v>
      </c>
      <c r="BI1712" t="s">
        <v>19101</v>
      </c>
      <c r="BJ1712" t="s">
        <v>101</v>
      </c>
      <c r="BK1712" t="s">
        <v>19103</v>
      </c>
      <c r="BL1712" t="s">
        <v>19104</v>
      </c>
      <c r="BN1712" t="s">
        <v>14623</v>
      </c>
    </row>
    <row r="1713" spans="1:66" x14ac:dyDescent="0.25">
      <c r="A1713" t="str">
        <f>HYPERLINK("https://elite.finviz.com/quote.ashx?t=CBAN&amp;ty=c&amp;p=d&amp;b=1", "CBAN")</f>
        <v>CBAN</v>
      </c>
      <c r="B1713">
        <v>6</v>
      </c>
      <c r="C1713">
        <v>127.03</v>
      </c>
      <c r="D1713">
        <v>55.54</v>
      </c>
      <c r="E1713" t="s">
        <v>19105</v>
      </c>
      <c r="F1713" t="s">
        <v>67</v>
      </c>
      <c r="G1713" t="s">
        <v>550</v>
      </c>
      <c r="H1713" t="s">
        <v>697</v>
      </c>
      <c r="I1713" t="s">
        <v>70</v>
      </c>
      <c r="J1713" t="s">
        <v>71</v>
      </c>
      <c r="K1713">
        <v>308.8</v>
      </c>
      <c r="L1713">
        <v>17.68</v>
      </c>
      <c r="M1713" t="s">
        <v>4539</v>
      </c>
      <c r="N1713">
        <v>4326</v>
      </c>
      <c r="O1713">
        <v>11.2</v>
      </c>
      <c r="P1713">
        <v>8.26</v>
      </c>
      <c r="R1713">
        <v>1.69</v>
      </c>
      <c r="S1713">
        <v>1.05</v>
      </c>
      <c r="T1713" t="s">
        <v>2742</v>
      </c>
      <c r="U1713">
        <v>0.46</v>
      </c>
      <c r="V1713" t="s">
        <v>2859</v>
      </c>
      <c r="W1713" t="s">
        <v>6003</v>
      </c>
      <c r="X1713" t="s">
        <v>5779</v>
      </c>
      <c r="Y1713" t="s">
        <v>712</v>
      </c>
      <c r="Z1713" t="s">
        <v>19106</v>
      </c>
      <c r="AA1713">
        <v>1.58</v>
      </c>
      <c r="AB1713" t="s">
        <v>11444</v>
      </c>
      <c r="AC1713" t="s">
        <v>4323</v>
      </c>
      <c r="AE1713" t="s">
        <v>2448</v>
      </c>
      <c r="AF1713" t="s">
        <v>8015</v>
      </c>
      <c r="AG1713" t="s">
        <v>9887</v>
      </c>
      <c r="AH1713" t="s">
        <v>4223</v>
      </c>
      <c r="AI1713" t="s">
        <v>1253</v>
      </c>
      <c r="AJ1713" t="s">
        <v>1022</v>
      </c>
      <c r="AK1713" t="s">
        <v>19107</v>
      </c>
      <c r="AL1713">
        <v>0.1</v>
      </c>
      <c r="AN1713">
        <v>0.84</v>
      </c>
      <c r="AP1713" t="s">
        <v>9483</v>
      </c>
      <c r="AQ1713" t="s">
        <v>6721</v>
      </c>
      <c r="AR1713" t="s">
        <v>307</v>
      </c>
      <c r="AS1713" t="s">
        <v>342</v>
      </c>
      <c r="AT1713" t="s">
        <v>5116</v>
      </c>
      <c r="AU1713" t="s">
        <v>3521</v>
      </c>
      <c r="AV1713" t="s">
        <v>6791</v>
      </c>
      <c r="AW1713" t="s">
        <v>14499</v>
      </c>
      <c r="AX1713" t="s">
        <v>8051</v>
      </c>
      <c r="AY1713" t="s">
        <v>4210</v>
      </c>
      <c r="AZ1713" t="s">
        <v>5571</v>
      </c>
      <c r="BA1713">
        <v>2</v>
      </c>
      <c r="BB1713">
        <v>63.33</v>
      </c>
      <c r="BC1713">
        <v>0.24</v>
      </c>
      <c r="BD1713">
        <v>17.670000000000002</v>
      </c>
      <c r="BE1713">
        <v>17.84</v>
      </c>
      <c r="BF1713">
        <v>17.690000000000001</v>
      </c>
      <c r="BG1713" t="s">
        <v>19108</v>
      </c>
      <c r="BH1713" t="s">
        <v>4884</v>
      </c>
      <c r="BI1713" t="s">
        <v>19109</v>
      </c>
      <c r="BJ1713" t="s">
        <v>101</v>
      </c>
      <c r="BK1713" t="s">
        <v>1310</v>
      </c>
      <c r="BL1713" t="s">
        <v>2945</v>
      </c>
      <c r="BM1713" t="s">
        <v>1552</v>
      </c>
      <c r="BN1713" t="s">
        <v>14623</v>
      </c>
    </row>
    <row r="1714" spans="1:66" x14ac:dyDescent="0.25">
      <c r="A1714" t="str">
        <f>HYPERLINK("https://elite.finviz.com/quote.ashx?t=ANGO&amp;ty=c&amp;p=d&amp;b=1", "ANGO")</f>
        <v>ANGO</v>
      </c>
      <c r="B1714">
        <v>6</v>
      </c>
      <c r="C1714">
        <v>127.03</v>
      </c>
      <c r="D1714">
        <v>55.55</v>
      </c>
      <c r="E1714" t="s">
        <v>19110</v>
      </c>
      <c r="F1714" t="s">
        <v>67</v>
      </c>
      <c r="G1714" t="s">
        <v>428</v>
      </c>
      <c r="H1714" t="s">
        <v>2161</v>
      </c>
      <c r="I1714" t="s">
        <v>70</v>
      </c>
      <c r="J1714" t="s">
        <v>321</v>
      </c>
      <c r="K1714">
        <v>429.5</v>
      </c>
      <c r="L1714">
        <v>10.57</v>
      </c>
      <c r="M1714" t="s">
        <v>1648</v>
      </c>
      <c r="N1714">
        <v>95592</v>
      </c>
      <c r="R1714">
        <v>1.47</v>
      </c>
      <c r="S1714">
        <v>2.37</v>
      </c>
      <c r="AA1714">
        <v>-0.83</v>
      </c>
      <c r="AB1714" t="s">
        <v>6231</v>
      </c>
      <c r="AC1714" t="s">
        <v>14240</v>
      </c>
      <c r="AE1714" t="s">
        <v>2109</v>
      </c>
      <c r="AF1714" t="s">
        <v>4367</v>
      </c>
      <c r="AG1714" t="s">
        <v>5263</v>
      </c>
      <c r="AH1714" t="s">
        <v>9545</v>
      </c>
      <c r="AI1714" t="s">
        <v>19111</v>
      </c>
      <c r="AJ1714" t="s">
        <v>164</v>
      </c>
      <c r="AK1714" t="s">
        <v>19112</v>
      </c>
      <c r="AL1714">
        <v>2.21</v>
      </c>
      <c r="AM1714">
        <v>1.4</v>
      </c>
      <c r="AN1714">
        <v>0.02</v>
      </c>
      <c r="AO1714" t="s">
        <v>9662</v>
      </c>
      <c r="AP1714" t="s">
        <v>5480</v>
      </c>
      <c r="AQ1714" t="s">
        <v>9826</v>
      </c>
      <c r="AR1714" t="s">
        <v>4687</v>
      </c>
      <c r="AS1714" t="s">
        <v>1932</v>
      </c>
      <c r="AT1714" t="s">
        <v>10852</v>
      </c>
      <c r="AU1714" t="s">
        <v>2984</v>
      </c>
      <c r="AV1714" t="s">
        <v>2585</v>
      </c>
      <c r="AW1714" t="s">
        <v>309</v>
      </c>
      <c r="AX1714" t="s">
        <v>1928</v>
      </c>
      <c r="AY1714" t="s">
        <v>15454</v>
      </c>
      <c r="AZ1714" t="s">
        <v>19113</v>
      </c>
      <c r="BA1714">
        <v>1</v>
      </c>
      <c r="BB1714">
        <v>534.33000000000004</v>
      </c>
      <c r="BC1714">
        <v>0.63</v>
      </c>
      <c r="BD1714">
        <v>10.59</v>
      </c>
      <c r="BE1714">
        <v>10.65</v>
      </c>
      <c r="BF1714">
        <v>10.5</v>
      </c>
      <c r="BG1714" t="s">
        <v>19114</v>
      </c>
      <c r="BH1714" t="s">
        <v>19115</v>
      </c>
      <c r="BI1714" t="s">
        <v>19116</v>
      </c>
      <c r="BJ1714" t="s">
        <v>101</v>
      </c>
      <c r="BK1714" t="s">
        <v>9636</v>
      </c>
      <c r="BL1714" t="s">
        <v>6392</v>
      </c>
      <c r="BM1714" t="s">
        <v>12686</v>
      </c>
      <c r="BN1714" t="s">
        <v>14623</v>
      </c>
    </row>
    <row r="1715" spans="1:66" x14ac:dyDescent="0.25">
      <c r="A1715" t="str">
        <f>HYPERLINK("https://elite.finviz.com/quote.ashx?t=DSGN&amp;ty=c&amp;p=d&amp;b=1", "DSGN")</f>
        <v>DSGN</v>
      </c>
      <c r="B1715">
        <v>6</v>
      </c>
      <c r="C1715">
        <v>127.03</v>
      </c>
      <c r="D1715">
        <v>55.56</v>
      </c>
      <c r="E1715" t="s">
        <v>19117</v>
      </c>
      <c r="F1715" t="s">
        <v>67</v>
      </c>
      <c r="G1715" t="s">
        <v>428</v>
      </c>
      <c r="H1715" t="s">
        <v>429</v>
      </c>
      <c r="I1715" t="s">
        <v>70</v>
      </c>
      <c r="J1715" t="s">
        <v>321</v>
      </c>
      <c r="K1715">
        <v>351.65</v>
      </c>
      <c r="L1715">
        <v>6.18</v>
      </c>
      <c r="M1715" t="s">
        <v>3552</v>
      </c>
      <c r="N1715">
        <v>19732</v>
      </c>
      <c r="S1715">
        <v>1.65</v>
      </c>
      <c r="AA1715">
        <v>-1.1200000000000001</v>
      </c>
      <c r="AB1715" t="s">
        <v>10475</v>
      </c>
      <c r="AC1715" t="s">
        <v>16578</v>
      </c>
      <c r="AD1715" t="s">
        <v>18780</v>
      </c>
      <c r="AI1715" t="s">
        <v>11402</v>
      </c>
      <c r="AJ1715" t="s">
        <v>4155</v>
      </c>
      <c r="AK1715" t="s">
        <v>19118</v>
      </c>
      <c r="AL1715">
        <v>25.13</v>
      </c>
      <c r="AM1715">
        <v>25.13</v>
      </c>
      <c r="AN1715">
        <v>0.01</v>
      </c>
      <c r="AR1715" t="s">
        <v>5151</v>
      </c>
      <c r="AS1715" t="s">
        <v>2407</v>
      </c>
      <c r="AT1715" t="s">
        <v>3257</v>
      </c>
      <c r="AU1715" t="s">
        <v>14050</v>
      </c>
      <c r="AV1715" t="s">
        <v>18015</v>
      </c>
      <c r="AW1715" t="s">
        <v>19119</v>
      </c>
      <c r="AX1715" t="s">
        <v>19120</v>
      </c>
      <c r="AY1715" t="s">
        <v>9677</v>
      </c>
      <c r="AZ1715" t="s">
        <v>19121</v>
      </c>
      <c r="BA1715">
        <v>2.33</v>
      </c>
      <c r="BB1715">
        <v>144.62</v>
      </c>
      <c r="BC1715">
        <v>0.48</v>
      </c>
      <c r="BD1715">
        <v>6.11</v>
      </c>
      <c r="BE1715">
        <v>6.22</v>
      </c>
      <c r="BF1715">
        <v>6.08</v>
      </c>
      <c r="BG1715" t="s">
        <v>19122</v>
      </c>
      <c r="BH1715" t="s">
        <v>19123</v>
      </c>
      <c r="BI1715" t="s">
        <v>19124</v>
      </c>
      <c r="BJ1715" t="s">
        <v>101</v>
      </c>
      <c r="BK1715" t="s">
        <v>19125</v>
      </c>
      <c r="BL1715" t="s">
        <v>19126</v>
      </c>
      <c r="BM1715" t="s">
        <v>828</v>
      </c>
      <c r="BN1715" t="s">
        <v>14623</v>
      </c>
    </row>
    <row r="1716" spans="1:66" x14ac:dyDescent="0.25">
      <c r="A1716" t="str">
        <f>HYPERLINK("https://elite.finviz.com/quote.ashx?t=NFBK&amp;ty=c&amp;p=d&amp;b=1", "NFBK")</f>
        <v>NFBK</v>
      </c>
      <c r="B1716">
        <v>6</v>
      </c>
      <c r="C1716">
        <v>127.03</v>
      </c>
      <c r="D1716">
        <v>55.56</v>
      </c>
      <c r="E1716" t="s">
        <v>19127</v>
      </c>
      <c r="F1716" t="s">
        <v>67</v>
      </c>
      <c r="G1716" t="s">
        <v>550</v>
      </c>
      <c r="H1716" t="s">
        <v>697</v>
      </c>
      <c r="I1716" t="s">
        <v>70</v>
      </c>
      <c r="J1716" t="s">
        <v>321</v>
      </c>
      <c r="K1716">
        <v>495.66</v>
      </c>
      <c r="L1716">
        <v>11.85</v>
      </c>
      <c r="M1716" t="s">
        <v>2641</v>
      </c>
      <c r="N1716">
        <v>31633</v>
      </c>
      <c r="O1716">
        <v>13.73</v>
      </c>
      <c r="P1716">
        <v>9.08</v>
      </c>
      <c r="R1716">
        <v>1.93</v>
      </c>
      <c r="S1716">
        <v>0.7</v>
      </c>
      <c r="T1716" t="s">
        <v>5026</v>
      </c>
      <c r="U1716">
        <v>0.52</v>
      </c>
      <c r="V1716" t="s">
        <v>2859</v>
      </c>
      <c r="W1716" t="s">
        <v>164</v>
      </c>
      <c r="X1716" t="s">
        <v>4881</v>
      </c>
      <c r="Y1716" t="s">
        <v>3170</v>
      </c>
      <c r="Z1716" t="s">
        <v>15012</v>
      </c>
      <c r="AA1716">
        <v>0.86</v>
      </c>
      <c r="AB1716" t="s">
        <v>12539</v>
      </c>
      <c r="AC1716" t="s">
        <v>5356</v>
      </c>
      <c r="AE1716" t="s">
        <v>1207</v>
      </c>
      <c r="AF1716" t="s">
        <v>12553</v>
      </c>
      <c r="AG1716" t="s">
        <v>3952</v>
      </c>
      <c r="AH1716" t="s">
        <v>2985</v>
      </c>
      <c r="AI1716" t="s">
        <v>4760</v>
      </c>
      <c r="AJ1716" t="s">
        <v>2294</v>
      </c>
      <c r="AK1716" t="s">
        <v>19128</v>
      </c>
      <c r="AL1716">
        <v>0.06</v>
      </c>
      <c r="AN1716">
        <v>1.3</v>
      </c>
      <c r="AP1716" t="s">
        <v>10508</v>
      </c>
      <c r="AQ1716" t="s">
        <v>14309</v>
      </c>
      <c r="AR1716" t="s">
        <v>2274</v>
      </c>
      <c r="AS1716" t="s">
        <v>2876</v>
      </c>
      <c r="AT1716" t="s">
        <v>84</v>
      </c>
      <c r="AU1716" t="s">
        <v>4299</v>
      </c>
      <c r="AV1716" t="s">
        <v>2764</v>
      </c>
      <c r="AW1716" t="s">
        <v>1690</v>
      </c>
      <c r="AX1716" t="s">
        <v>11062</v>
      </c>
      <c r="AY1716" t="s">
        <v>349</v>
      </c>
      <c r="AZ1716" t="s">
        <v>3889</v>
      </c>
      <c r="BA1716">
        <v>3</v>
      </c>
      <c r="BB1716">
        <v>185.41</v>
      </c>
      <c r="BC1716">
        <v>0.6</v>
      </c>
      <c r="BD1716">
        <v>11.82</v>
      </c>
      <c r="BE1716">
        <v>11.97</v>
      </c>
      <c r="BF1716">
        <v>11.81</v>
      </c>
      <c r="BG1716" t="s">
        <v>19129</v>
      </c>
      <c r="BH1716" t="s">
        <v>7021</v>
      </c>
      <c r="BI1716" t="s">
        <v>19130</v>
      </c>
      <c r="BJ1716" t="s">
        <v>101</v>
      </c>
      <c r="BK1716" t="s">
        <v>1358</v>
      </c>
      <c r="BL1716" t="s">
        <v>272</v>
      </c>
      <c r="BM1716" t="s">
        <v>5084</v>
      </c>
      <c r="BN1716" t="s">
        <v>14623</v>
      </c>
    </row>
    <row r="1717" spans="1:66" x14ac:dyDescent="0.25">
      <c r="A1717" t="str">
        <f>HYPERLINK("https://elite.finviz.com/quote.ashx?t=BHR&amp;ty=c&amp;p=d&amp;b=1", "BHR")</f>
        <v>BHR</v>
      </c>
      <c r="B1717">
        <v>6</v>
      </c>
      <c r="C1717">
        <v>127.03</v>
      </c>
      <c r="D1717">
        <v>55.58</v>
      </c>
      <c r="E1717" t="s">
        <v>19131</v>
      </c>
      <c r="F1717" t="s">
        <v>67</v>
      </c>
      <c r="G1717" t="s">
        <v>68</v>
      </c>
      <c r="H1717" t="s">
        <v>4145</v>
      </c>
      <c r="I1717" t="s">
        <v>70</v>
      </c>
      <c r="J1717" t="s">
        <v>71</v>
      </c>
      <c r="K1717">
        <v>194.09</v>
      </c>
      <c r="L1717">
        <v>2.85</v>
      </c>
      <c r="M1717" t="s">
        <v>2125</v>
      </c>
      <c r="N1717">
        <v>19427</v>
      </c>
      <c r="R1717">
        <v>0.27</v>
      </c>
      <c r="S1717">
        <v>0.86</v>
      </c>
      <c r="T1717" t="s">
        <v>4913</v>
      </c>
      <c r="U1717">
        <v>0.2</v>
      </c>
      <c r="V1717" t="s">
        <v>198</v>
      </c>
      <c r="W1717" t="s">
        <v>164</v>
      </c>
      <c r="Y1717" t="s">
        <v>3813</v>
      </c>
      <c r="AA1717">
        <v>-0.77</v>
      </c>
      <c r="AB1717" t="s">
        <v>4886</v>
      </c>
      <c r="AC1717" t="s">
        <v>19132</v>
      </c>
      <c r="AE1717" t="s">
        <v>2893</v>
      </c>
      <c r="AF1717" t="s">
        <v>2225</v>
      </c>
      <c r="AG1717" t="s">
        <v>268</v>
      </c>
      <c r="AH1717" t="s">
        <v>5189</v>
      </c>
      <c r="AI1717" t="s">
        <v>5908</v>
      </c>
      <c r="AJ1717" t="s">
        <v>5549</v>
      </c>
      <c r="AK1717" t="s">
        <v>19133</v>
      </c>
      <c r="AL1717">
        <v>0.82</v>
      </c>
      <c r="AM1717">
        <v>0.8</v>
      </c>
      <c r="AN1717">
        <v>1.9</v>
      </c>
      <c r="AO1717" t="s">
        <v>1675</v>
      </c>
      <c r="AP1717" t="s">
        <v>1452</v>
      </c>
      <c r="AQ1717" t="s">
        <v>4635</v>
      </c>
      <c r="AR1717" t="s">
        <v>5111</v>
      </c>
      <c r="AS1717" t="s">
        <v>5859</v>
      </c>
      <c r="AT1717" t="s">
        <v>1863</v>
      </c>
      <c r="AU1717" t="s">
        <v>4258</v>
      </c>
      <c r="AV1717" t="s">
        <v>6466</v>
      </c>
      <c r="AW1717" t="s">
        <v>2488</v>
      </c>
      <c r="AX1717" t="s">
        <v>4625</v>
      </c>
      <c r="AY1717" t="s">
        <v>16096</v>
      </c>
      <c r="AZ1717" t="s">
        <v>11361</v>
      </c>
      <c r="BA1717">
        <v>3</v>
      </c>
      <c r="BB1717">
        <v>399.12</v>
      </c>
      <c r="BC1717">
        <v>0.17</v>
      </c>
      <c r="BD1717">
        <v>2.82</v>
      </c>
      <c r="BE1717">
        <v>2.86</v>
      </c>
      <c r="BF1717">
        <v>2.81</v>
      </c>
      <c r="BG1717" t="s">
        <v>19134</v>
      </c>
      <c r="BH1717" t="s">
        <v>19135</v>
      </c>
      <c r="BI1717" t="s">
        <v>19136</v>
      </c>
      <c r="BJ1717" t="s">
        <v>101</v>
      </c>
      <c r="BK1717" t="s">
        <v>10557</v>
      </c>
      <c r="BL1717" t="s">
        <v>5527</v>
      </c>
      <c r="BM1717" t="s">
        <v>6040</v>
      </c>
      <c r="BN1717" t="s">
        <v>14623</v>
      </c>
    </row>
    <row r="1718" spans="1:66" x14ac:dyDescent="0.25">
      <c r="A1718" t="str">
        <f>HYPERLINK("https://elite.finviz.com/quote.ashx?t=CNO&amp;ty=c&amp;p=d&amp;b=1", "CNO")</f>
        <v>CNO</v>
      </c>
      <c r="B1718">
        <v>6</v>
      </c>
      <c r="C1718">
        <v>127.03</v>
      </c>
      <c r="D1718">
        <v>55.59</v>
      </c>
      <c r="E1718" t="s">
        <v>19137</v>
      </c>
      <c r="F1718" t="s">
        <v>67</v>
      </c>
      <c r="G1718" t="s">
        <v>550</v>
      </c>
      <c r="H1718" t="s">
        <v>5652</v>
      </c>
      <c r="I1718" t="s">
        <v>70</v>
      </c>
      <c r="J1718" t="s">
        <v>71</v>
      </c>
      <c r="K1718">
        <v>3842.38</v>
      </c>
      <c r="L1718">
        <v>39.64</v>
      </c>
      <c r="M1718" t="s">
        <v>8179</v>
      </c>
      <c r="N1718">
        <v>56337</v>
      </c>
      <c r="O1718">
        <v>14.61</v>
      </c>
      <c r="P1718">
        <v>9.31</v>
      </c>
      <c r="Q1718">
        <v>2.39</v>
      </c>
      <c r="R1718">
        <v>0.87</v>
      </c>
      <c r="S1718">
        <v>1.53</v>
      </c>
      <c r="T1718" t="s">
        <v>2175</v>
      </c>
      <c r="U1718">
        <v>0.66</v>
      </c>
      <c r="V1718" t="s">
        <v>5717</v>
      </c>
      <c r="W1718" t="s">
        <v>11629</v>
      </c>
      <c r="X1718" t="s">
        <v>3181</v>
      </c>
      <c r="Y1718" t="s">
        <v>223</v>
      </c>
      <c r="Z1718" t="s">
        <v>10519</v>
      </c>
      <c r="AA1718">
        <v>2.71</v>
      </c>
      <c r="AB1718" t="s">
        <v>975</v>
      </c>
      <c r="AC1718" t="s">
        <v>1283</v>
      </c>
      <c r="AD1718" t="s">
        <v>2174</v>
      </c>
      <c r="AE1718" t="s">
        <v>969</v>
      </c>
      <c r="AF1718" t="s">
        <v>2624</v>
      </c>
      <c r="AG1718" t="s">
        <v>342</v>
      </c>
      <c r="AH1718" t="s">
        <v>2887</v>
      </c>
      <c r="AI1718" t="s">
        <v>3257</v>
      </c>
      <c r="AJ1718" t="s">
        <v>9711</v>
      </c>
      <c r="AK1718" t="s">
        <v>16628</v>
      </c>
      <c r="AN1718">
        <v>1.64</v>
      </c>
      <c r="AP1718" t="s">
        <v>5479</v>
      </c>
      <c r="AQ1718" t="s">
        <v>463</v>
      </c>
      <c r="AR1718" t="s">
        <v>907</v>
      </c>
      <c r="AS1718" t="s">
        <v>4946</v>
      </c>
      <c r="AT1718" t="s">
        <v>6719</v>
      </c>
      <c r="AU1718" t="s">
        <v>3035</v>
      </c>
      <c r="AV1718" t="s">
        <v>4216</v>
      </c>
      <c r="AW1718" t="s">
        <v>6204</v>
      </c>
      <c r="AX1718" t="s">
        <v>302</v>
      </c>
      <c r="AY1718" t="s">
        <v>4053</v>
      </c>
      <c r="AZ1718" t="s">
        <v>728</v>
      </c>
      <c r="BA1718">
        <v>3</v>
      </c>
      <c r="BB1718">
        <v>775.91</v>
      </c>
      <c r="BC1718">
        <v>0.26</v>
      </c>
      <c r="BD1718">
        <v>39.369999999999997</v>
      </c>
      <c r="BE1718">
        <v>39.950000000000003</v>
      </c>
      <c r="BF1718">
        <v>39.49</v>
      </c>
      <c r="BG1718" t="s">
        <v>19138</v>
      </c>
      <c r="BH1718" t="s">
        <v>4053</v>
      </c>
      <c r="BI1718" t="s">
        <v>19139</v>
      </c>
      <c r="BJ1718" t="s">
        <v>101</v>
      </c>
      <c r="BK1718" t="s">
        <v>3638</v>
      </c>
      <c r="BL1718" t="s">
        <v>2665</v>
      </c>
      <c r="BM1718" t="s">
        <v>7108</v>
      </c>
      <c r="BN1718" t="s">
        <v>14623</v>
      </c>
    </row>
    <row r="1719" spans="1:66" x14ac:dyDescent="0.25">
      <c r="A1719" t="str">
        <f>HYPERLINK("https://elite.finviz.com/quote.ashx?t=TILE&amp;ty=c&amp;p=d&amp;b=1", "TILE")</f>
        <v>TILE</v>
      </c>
      <c r="B1719">
        <v>6</v>
      </c>
      <c r="C1719">
        <v>127.03</v>
      </c>
      <c r="D1719">
        <v>55.6</v>
      </c>
      <c r="E1719" t="s">
        <v>19140</v>
      </c>
      <c r="F1719" t="s">
        <v>67</v>
      </c>
      <c r="G1719" t="s">
        <v>813</v>
      </c>
      <c r="H1719" t="s">
        <v>3866</v>
      </c>
      <c r="I1719" t="s">
        <v>70</v>
      </c>
      <c r="J1719" t="s">
        <v>321</v>
      </c>
      <c r="K1719">
        <v>1662.76</v>
      </c>
      <c r="L1719">
        <v>28.49</v>
      </c>
      <c r="M1719" t="s">
        <v>3336</v>
      </c>
      <c r="N1719">
        <v>49925</v>
      </c>
      <c r="O1719">
        <v>17.600000000000001</v>
      </c>
      <c r="P1719">
        <v>14.69</v>
      </c>
      <c r="Q1719">
        <v>1.28</v>
      </c>
      <c r="R1719">
        <v>1.23</v>
      </c>
      <c r="S1719">
        <v>2.89</v>
      </c>
      <c r="T1719" t="s">
        <v>3358</v>
      </c>
      <c r="U1719">
        <v>0.05</v>
      </c>
      <c r="V1719" t="s">
        <v>4882</v>
      </c>
      <c r="W1719" t="s">
        <v>164</v>
      </c>
      <c r="X1719" t="s">
        <v>164</v>
      </c>
      <c r="Y1719" t="s">
        <v>15536</v>
      </c>
      <c r="Z1719" t="s">
        <v>901</v>
      </c>
      <c r="AA1719">
        <v>1.62</v>
      </c>
      <c r="AB1719" t="s">
        <v>6799</v>
      </c>
      <c r="AC1719" t="s">
        <v>2201</v>
      </c>
      <c r="AD1719" t="s">
        <v>7033</v>
      </c>
      <c r="AE1719" t="s">
        <v>3506</v>
      </c>
      <c r="AF1719" t="s">
        <v>1932</v>
      </c>
      <c r="AG1719" t="s">
        <v>337</v>
      </c>
      <c r="AH1719" t="s">
        <v>5658</v>
      </c>
      <c r="AI1719" t="s">
        <v>11359</v>
      </c>
      <c r="AJ1719" t="s">
        <v>14481</v>
      </c>
      <c r="AK1719" t="s">
        <v>19141</v>
      </c>
      <c r="AL1719">
        <v>2.88</v>
      </c>
      <c r="AM1719">
        <v>1.59</v>
      </c>
      <c r="AN1719">
        <v>0.69</v>
      </c>
      <c r="AO1719" t="s">
        <v>12460</v>
      </c>
      <c r="AP1719" t="s">
        <v>902</v>
      </c>
      <c r="AQ1719" t="s">
        <v>2448</v>
      </c>
      <c r="AR1719" t="s">
        <v>5187</v>
      </c>
      <c r="AS1719" t="s">
        <v>305</v>
      </c>
      <c r="AT1719" t="s">
        <v>2423</v>
      </c>
      <c r="AU1719" t="s">
        <v>2403</v>
      </c>
      <c r="AV1719" t="s">
        <v>3314</v>
      </c>
      <c r="AW1719" t="s">
        <v>8889</v>
      </c>
      <c r="AX1719" t="s">
        <v>5510</v>
      </c>
      <c r="AY1719" t="s">
        <v>8889</v>
      </c>
      <c r="AZ1719" t="s">
        <v>19142</v>
      </c>
      <c r="BA1719">
        <v>1</v>
      </c>
      <c r="BB1719">
        <v>420.11</v>
      </c>
      <c r="BC1719">
        <v>0.42</v>
      </c>
      <c r="BD1719">
        <v>28.35</v>
      </c>
      <c r="BE1719">
        <v>28.87</v>
      </c>
      <c r="BF1719">
        <v>28.44</v>
      </c>
      <c r="BG1719" t="s">
        <v>19143</v>
      </c>
      <c r="BH1719" t="s">
        <v>8889</v>
      </c>
      <c r="BI1719" t="s">
        <v>19144</v>
      </c>
      <c r="BJ1719" t="s">
        <v>101</v>
      </c>
      <c r="BK1719" t="s">
        <v>11571</v>
      </c>
      <c r="BL1719" t="s">
        <v>19145</v>
      </c>
      <c r="BM1719" t="s">
        <v>14164</v>
      </c>
      <c r="BN1719" t="s">
        <v>14623</v>
      </c>
    </row>
    <row r="1720" spans="1:66" x14ac:dyDescent="0.25">
      <c r="A1720" t="str">
        <f>HYPERLINK("https://elite.finviz.com/quote.ashx?t=GBCI&amp;ty=c&amp;p=d&amp;b=1", "GBCI")</f>
        <v>GBCI</v>
      </c>
      <c r="B1720">
        <v>6</v>
      </c>
      <c r="C1720">
        <v>127.03</v>
      </c>
      <c r="D1720">
        <v>55.6</v>
      </c>
      <c r="E1720" t="s">
        <v>19146</v>
      </c>
      <c r="F1720" t="s">
        <v>67</v>
      </c>
      <c r="G1720" t="s">
        <v>550</v>
      </c>
      <c r="H1720" t="s">
        <v>697</v>
      </c>
      <c r="I1720" t="s">
        <v>70</v>
      </c>
      <c r="J1720" t="s">
        <v>71</v>
      </c>
      <c r="K1720">
        <v>5821.53</v>
      </c>
      <c r="L1720">
        <v>49.1</v>
      </c>
      <c r="M1720" t="s">
        <v>4840</v>
      </c>
      <c r="N1720">
        <v>112693</v>
      </c>
      <c r="O1720">
        <v>25.5</v>
      </c>
      <c r="P1720">
        <v>15.82</v>
      </c>
      <c r="Q1720">
        <v>0.88</v>
      </c>
      <c r="R1720">
        <v>4.42</v>
      </c>
      <c r="S1720">
        <v>1.65</v>
      </c>
      <c r="T1720" t="s">
        <v>1768</v>
      </c>
      <c r="U1720">
        <v>1.32</v>
      </c>
      <c r="V1720" t="s">
        <v>16780</v>
      </c>
      <c r="W1720" t="s">
        <v>164</v>
      </c>
      <c r="X1720" t="s">
        <v>2509</v>
      </c>
      <c r="Y1720" t="s">
        <v>2822</v>
      </c>
      <c r="Z1720" t="s">
        <v>19147</v>
      </c>
      <c r="AA1720">
        <v>1.93</v>
      </c>
      <c r="AB1720" t="s">
        <v>11532</v>
      </c>
      <c r="AC1720" t="s">
        <v>14915</v>
      </c>
      <c r="AD1720" t="s">
        <v>8728</v>
      </c>
      <c r="AE1720" t="s">
        <v>5700</v>
      </c>
      <c r="AF1720" t="s">
        <v>5468</v>
      </c>
      <c r="AG1720" t="s">
        <v>7650</v>
      </c>
      <c r="AH1720" t="s">
        <v>10407</v>
      </c>
      <c r="AI1720" t="s">
        <v>5540</v>
      </c>
      <c r="AJ1720" t="s">
        <v>6192</v>
      </c>
      <c r="AK1720" t="s">
        <v>19148</v>
      </c>
      <c r="AL1720">
        <v>0.05</v>
      </c>
      <c r="AN1720">
        <v>0.99</v>
      </c>
      <c r="AP1720" t="s">
        <v>10499</v>
      </c>
      <c r="AQ1720" t="s">
        <v>1562</v>
      </c>
      <c r="AR1720" t="s">
        <v>5968</v>
      </c>
      <c r="AS1720" t="s">
        <v>3916</v>
      </c>
      <c r="AT1720" t="s">
        <v>2880</v>
      </c>
      <c r="AU1720" t="s">
        <v>5045</v>
      </c>
      <c r="AV1720" t="s">
        <v>2823</v>
      </c>
      <c r="AW1720" t="s">
        <v>4257</v>
      </c>
      <c r="AX1720" t="s">
        <v>8697</v>
      </c>
      <c r="AY1720" t="s">
        <v>17301</v>
      </c>
      <c r="AZ1720" t="s">
        <v>8683</v>
      </c>
      <c r="BA1720">
        <v>1.83</v>
      </c>
      <c r="BB1720">
        <v>774.3</v>
      </c>
      <c r="BC1720">
        <v>0.51</v>
      </c>
      <c r="BD1720">
        <v>48.8</v>
      </c>
      <c r="BE1720">
        <v>49.62</v>
      </c>
      <c r="BF1720">
        <v>48.94</v>
      </c>
      <c r="BG1720" t="s">
        <v>19149</v>
      </c>
      <c r="BH1720" t="s">
        <v>17444</v>
      </c>
      <c r="BI1720" t="s">
        <v>19150</v>
      </c>
      <c r="BJ1720" t="s">
        <v>101</v>
      </c>
      <c r="BK1720" t="s">
        <v>10918</v>
      </c>
      <c r="BL1720" t="s">
        <v>419</v>
      </c>
      <c r="BM1720" t="s">
        <v>2192</v>
      </c>
      <c r="BN1720" t="s">
        <v>14623</v>
      </c>
    </row>
    <row r="1721" spans="1:66" x14ac:dyDescent="0.25">
      <c r="A1721" t="str">
        <f>HYPERLINK("https://elite.finviz.com/quote.ashx?t=DOMH&amp;ty=c&amp;p=d&amp;b=1", "DOMH")</f>
        <v>DOMH</v>
      </c>
      <c r="B1721">
        <v>6</v>
      </c>
      <c r="C1721">
        <v>127.03</v>
      </c>
      <c r="D1721">
        <v>55.62</v>
      </c>
      <c r="E1721" t="s">
        <v>19151</v>
      </c>
      <c r="F1721" t="s">
        <v>107</v>
      </c>
      <c r="G1721" t="s">
        <v>550</v>
      </c>
      <c r="H1721" t="s">
        <v>551</v>
      </c>
      <c r="I1721" t="s">
        <v>70</v>
      </c>
      <c r="J1721" t="s">
        <v>321</v>
      </c>
      <c r="K1721">
        <v>104.46</v>
      </c>
      <c r="L1721">
        <v>6.72</v>
      </c>
      <c r="M1721" t="s">
        <v>183</v>
      </c>
      <c r="N1721">
        <v>69149</v>
      </c>
      <c r="R1721">
        <v>1.98</v>
      </c>
      <c r="S1721">
        <v>1.17</v>
      </c>
      <c r="V1721" t="s">
        <v>7315</v>
      </c>
      <c r="AA1721">
        <v>-2.41</v>
      </c>
      <c r="AB1721" t="s">
        <v>4094</v>
      </c>
      <c r="AC1721" t="s">
        <v>16207</v>
      </c>
      <c r="AE1721" t="s">
        <v>19152</v>
      </c>
      <c r="AG1721" t="s">
        <v>19153</v>
      </c>
      <c r="AH1721" t="s">
        <v>19154</v>
      </c>
      <c r="AJ1721" t="s">
        <v>164</v>
      </c>
      <c r="AK1721" t="s">
        <v>6330</v>
      </c>
      <c r="AL1721">
        <v>3.65</v>
      </c>
      <c r="AM1721">
        <v>3.65</v>
      </c>
      <c r="AN1721">
        <v>0.03</v>
      </c>
      <c r="AO1721" t="s">
        <v>19155</v>
      </c>
      <c r="AP1721" t="s">
        <v>19156</v>
      </c>
      <c r="AQ1721" t="s">
        <v>19157</v>
      </c>
      <c r="AR1721" t="s">
        <v>777</v>
      </c>
      <c r="AS1721" t="s">
        <v>5579</v>
      </c>
      <c r="AT1721" t="s">
        <v>1063</v>
      </c>
      <c r="AU1721" t="s">
        <v>9860</v>
      </c>
      <c r="AV1721" t="s">
        <v>5485</v>
      </c>
      <c r="AW1721" t="s">
        <v>2914</v>
      </c>
      <c r="AX1721" t="s">
        <v>15071</v>
      </c>
      <c r="AY1721" t="s">
        <v>5335</v>
      </c>
      <c r="AZ1721" t="s">
        <v>19158</v>
      </c>
      <c r="BA1721">
        <v>1</v>
      </c>
      <c r="BB1721">
        <v>320.67</v>
      </c>
      <c r="BC1721">
        <v>0.76</v>
      </c>
      <c r="BD1721">
        <v>6.71</v>
      </c>
      <c r="BE1721">
        <v>6.92</v>
      </c>
      <c r="BF1721">
        <v>6.69</v>
      </c>
      <c r="BG1721" t="s">
        <v>19159</v>
      </c>
      <c r="BH1721" t="s">
        <v>579</v>
      </c>
      <c r="BI1721" t="s">
        <v>19158</v>
      </c>
      <c r="BJ1721" t="s">
        <v>101</v>
      </c>
      <c r="BK1721" t="s">
        <v>2687</v>
      </c>
      <c r="BL1721" t="s">
        <v>11811</v>
      </c>
      <c r="BM1721" t="s">
        <v>19160</v>
      </c>
      <c r="BN1721" t="s">
        <v>14623</v>
      </c>
    </row>
    <row r="1722" spans="1:66" x14ac:dyDescent="0.25">
      <c r="A1722" t="str">
        <f>HYPERLINK("https://elite.finviz.com/quote.ashx?t=SOCA&amp;ty=c&amp;p=d&amp;b=1", "SOCA")</f>
        <v>SOCA</v>
      </c>
      <c r="B1722">
        <v>6</v>
      </c>
      <c r="C1722">
        <v>127.03</v>
      </c>
      <c r="D1722">
        <v>55.65</v>
      </c>
      <c r="E1722" t="s">
        <v>19161</v>
      </c>
      <c r="F1722" t="s">
        <v>107</v>
      </c>
      <c r="G1722" t="s">
        <v>550</v>
      </c>
      <c r="H1722" t="s">
        <v>2120</v>
      </c>
      <c r="I1722" t="s">
        <v>70</v>
      </c>
      <c r="J1722" t="s">
        <v>321</v>
      </c>
      <c r="K1722">
        <v>234.27</v>
      </c>
      <c r="L1722">
        <v>9.99</v>
      </c>
      <c r="M1722" t="s">
        <v>7270</v>
      </c>
      <c r="N1722">
        <v>1479</v>
      </c>
      <c r="AJ1722" t="s">
        <v>164</v>
      </c>
      <c r="AL1722">
        <v>0.02</v>
      </c>
      <c r="AM1722">
        <v>0.02</v>
      </c>
      <c r="AR1722" t="s">
        <v>430</v>
      </c>
      <c r="AT1722" t="s">
        <v>4494</v>
      </c>
      <c r="AU1722" t="s">
        <v>4494</v>
      </c>
      <c r="AV1722" t="s">
        <v>4494</v>
      </c>
      <c r="AW1722" t="s">
        <v>7270</v>
      </c>
      <c r="AX1722" t="s">
        <v>3336</v>
      </c>
      <c r="AY1722" t="s">
        <v>7270</v>
      </c>
      <c r="AZ1722" t="s">
        <v>3336</v>
      </c>
      <c r="BB1722">
        <v>229.33</v>
      </c>
      <c r="BC1722">
        <v>0.02</v>
      </c>
      <c r="BD1722">
        <v>10.050000000000001</v>
      </c>
      <c r="BE1722">
        <v>9.99</v>
      </c>
      <c r="BF1722">
        <v>9.99</v>
      </c>
      <c r="BG1722" t="s">
        <v>19162</v>
      </c>
      <c r="BH1722" t="s">
        <v>7270</v>
      </c>
      <c r="BI1722" t="s">
        <v>3336</v>
      </c>
      <c r="BJ1722" t="s">
        <v>101</v>
      </c>
      <c r="BN1722" t="s">
        <v>14623</v>
      </c>
    </row>
    <row r="1723" spans="1:66" x14ac:dyDescent="0.25">
      <c r="A1723" t="str">
        <f>HYPERLINK("https://elite.finviz.com/quote.ashx?t=TPL&amp;ty=c&amp;p=d&amp;b=1", "TPL")</f>
        <v>TPL</v>
      </c>
      <c r="B1723">
        <v>6</v>
      </c>
      <c r="C1723">
        <v>127.03</v>
      </c>
      <c r="D1723">
        <v>55.66</v>
      </c>
      <c r="E1723" t="s">
        <v>19163</v>
      </c>
      <c r="F1723" t="s">
        <v>195</v>
      </c>
      <c r="G1723" t="s">
        <v>1048</v>
      </c>
      <c r="H1723" t="s">
        <v>1049</v>
      </c>
      <c r="I1723" t="s">
        <v>70</v>
      </c>
      <c r="J1723" t="s">
        <v>71</v>
      </c>
      <c r="K1723">
        <v>21799.34</v>
      </c>
      <c r="L1723">
        <v>948.32</v>
      </c>
      <c r="M1723" t="s">
        <v>4547</v>
      </c>
      <c r="N1723">
        <v>14739</v>
      </c>
      <c r="O1723">
        <v>47.26</v>
      </c>
      <c r="R1723">
        <v>29.34</v>
      </c>
      <c r="S1723">
        <v>16.91</v>
      </c>
      <c r="T1723" t="s">
        <v>4782</v>
      </c>
      <c r="U1723">
        <v>6.4</v>
      </c>
      <c r="V1723" t="s">
        <v>2187</v>
      </c>
      <c r="W1723" t="s">
        <v>1643</v>
      </c>
      <c r="X1723" t="s">
        <v>5010</v>
      </c>
      <c r="Y1723" t="s">
        <v>13295</v>
      </c>
      <c r="Z1723" t="s">
        <v>9107</v>
      </c>
      <c r="AA1723">
        <v>20.07</v>
      </c>
      <c r="AB1723" t="s">
        <v>3128</v>
      </c>
      <c r="AC1723" t="s">
        <v>2796</v>
      </c>
      <c r="AE1723" t="s">
        <v>5838</v>
      </c>
      <c r="AF1723" t="s">
        <v>5458</v>
      </c>
      <c r="AG1723" t="s">
        <v>2922</v>
      </c>
      <c r="AH1723" t="s">
        <v>11728</v>
      </c>
      <c r="AJ1723" t="s">
        <v>714</v>
      </c>
      <c r="AK1723" t="s">
        <v>19164</v>
      </c>
      <c r="AL1723">
        <v>14.79</v>
      </c>
      <c r="AM1723">
        <v>14.79</v>
      </c>
      <c r="AN1723">
        <v>0</v>
      </c>
      <c r="AO1723" t="s">
        <v>19165</v>
      </c>
      <c r="AP1723" t="s">
        <v>19166</v>
      </c>
      <c r="AQ1723" t="s">
        <v>19167</v>
      </c>
      <c r="AR1723" t="s">
        <v>2838</v>
      </c>
      <c r="AS1723" t="s">
        <v>1902</v>
      </c>
      <c r="AT1723" t="s">
        <v>2624</v>
      </c>
      <c r="AU1723" t="s">
        <v>2361</v>
      </c>
      <c r="AV1723" t="s">
        <v>17709</v>
      </c>
      <c r="AW1723" t="s">
        <v>5488</v>
      </c>
      <c r="AX1723" t="s">
        <v>5282</v>
      </c>
      <c r="AY1723" t="s">
        <v>14300</v>
      </c>
      <c r="AZ1723" t="s">
        <v>5282</v>
      </c>
      <c r="BA1723">
        <v>1.33</v>
      </c>
      <c r="BB1723">
        <v>147.59</v>
      </c>
      <c r="BC1723">
        <v>0.35</v>
      </c>
      <c r="BD1723">
        <v>925.57</v>
      </c>
      <c r="BE1723">
        <v>951.54</v>
      </c>
      <c r="BF1723">
        <v>938.13</v>
      </c>
      <c r="BG1723" t="s">
        <v>19168</v>
      </c>
      <c r="BH1723" t="s">
        <v>14300</v>
      </c>
      <c r="BI1723" t="s">
        <v>19169</v>
      </c>
      <c r="BJ1723" t="s">
        <v>101</v>
      </c>
      <c r="BK1723" t="s">
        <v>11042</v>
      </c>
      <c r="BL1723" t="s">
        <v>19170</v>
      </c>
      <c r="BM1723" t="s">
        <v>969</v>
      </c>
      <c r="BN1723" t="s">
        <v>14623</v>
      </c>
    </row>
    <row r="1724" spans="1:66" x14ac:dyDescent="0.25">
      <c r="A1724" t="str">
        <f>HYPERLINK("https://elite.finviz.com/quote.ashx?t=FPH&amp;ty=c&amp;p=d&amp;b=1", "FPH")</f>
        <v>FPH</v>
      </c>
      <c r="B1724">
        <v>6</v>
      </c>
      <c r="C1724">
        <v>127.03</v>
      </c>
      <c r="D1724">
        <v>55.7</v>
      </c>
      <c r="E1724" t="s">
        <v>19171</v>
      </c>
      <c r="F1724" t="s">
        <v>107</v>
      </c>
      <c r="G1724" t="s">
        <v>68</v>
      </c>
      <c r="H1724" t="s">
        <v>11109</v>
      </c>
      <c r="I1724" t="s">
        <v>70</v>
      </c>
      <c r="J1724" t="s">
        <v>71</v>
      </c>
      <c r="K1724">
        <v>656.33</v>
      </c>
      <c r="L1724">
        <v>6.09</v>
      </c>
      <c r="M1724" t="s">
        <v>2274</v>
      </c>
      <c r="N1724">
        <v>31172</v>
      </c>
      <c r="O1724">
        <v>5.64</v>
      </c>
      <c r="R1724">
        <v>3.32</v>
      </c>
      <c r="S1724">
        <v>0.55000000000000004</v>
      </c>
      <c r="Z1724" t="s">
        <v>164</v>
      </c>
      <c r="AA1724">
        <v>1.08</v>
      </c>
      <c r="AB1724" t="s">
        <v>19172</v>
      </c>
      <c r="AC1724" t="s">
        <v>3986</v>
      </c>
      <c r="AE1724" t="s">
        <v>12766</v>
      </c>
      <c r="AF1724" t="s">
        <v>4256</v>
      </c>
      <c r="AG1724" t="s">
        <v>3758</v>
      </c>
      <c r="AH1724" t="s">
        <v>10900</v>
      </c>
      <c r="AJ1724" t="s">
        <v>164</v>
      </c>
      <c r="AK1724" t="s">
        <v>19173</v>
      </c>
      <c r="AN1724">
        <v>0.77</v>
      </c>
      <c r="AO1724" t="s">
        <v>3416</v>
      </c>
      <c r="AP1724" t="s">
        <v>2133</v>
      </c>
      <c r="AQ1724" t="s">
        <v>8936</v>
      </c>
      <c r="AR1724" t="s">
        <v>3638</v>
      </c>
      <c r="AS1724" t="s">
        <v>2473</v>
      </c>
      <c r="AT1724" t="s">
        <v>2175</v>
      </c>
      <c r="AU1724" t="s">
        <v>334</v>
      </c>
      <c r="AV1724" t="s">
        <v>8437</v>
      </c>
      <c r="AW1724" t="s">
        <v>3431</v>
      </c>
      <c r="AX1724" t="s">
        <v>3794</v>
      </c>
      <c r="AY1724" t="s">
        <v>2701</v>
      </c>
      <c r="AZ1724" t="s">
        <v>19174</v>
      </c>
      <c r="BA1724">
        <v>2</v>
      </c>
      <c r="BB1724">
        <v>193.45</v>
      </c>
      <c r="BC1724">
        <v>0.56999999999999995</v>
      </c>
      <c r="BD1724">
        <v>5.99</v>
      </c>
      <c r="BE1724">
        <v>6.2</v>
      </c>
      <c r="BF1724">
        <v>6.06</v>
      </c>
      <c r="BG1724" t="s">
        <v>19175</v>
      </c>
      <c r="BH1724" t="s">
        <v>19176</v>
      </c>
      <c r="BI1724" t="s">
        <v>19177</v>
      </c>
      <c r="BJ1724" t="s">
        <v>101</v>
      </c>
      <c r="BK1724" t="s">
        <v>4248</v>
      </c>
      <c r="BL1724" t="s">
        <v>511</v>
      </c>
      <c r="BM1724" t="s">
        <v>19178</v>
      </c>
      <c r="BN1724" t="s">
        <v>14623</v>
      </c>
    </row>
    <row r="1725" spans="1:66" x14ac:dyDescent="0.25">
      <c r="A1725" t="str">
        <f>HYPERLINK("https://elite.finviz.com/quote.ashx?t=REPX&amp;ty=c&amp;p=d&amp;b=1", "REPX")</f>
        <v>REPX</v>
      </c>
      <c r="B1725">
        <v>6</v>
      </c>
      <c r="C1725">
        <v>127.03</v>
      </c>
      <c r="D1725">
        <v>55.71</v>
      </c>
      <c r="E1725" t="s">
        <v>19179</v>
      </c>
      <c r="F1725" t="s">
        <v>67</v>
      </c>
      <c r="G1725" t="s">
        <v>1048</v>
      </c>
      <c r="H1725" t="s">
        <v>1049</v>
      </c>
      <c r="I1725" t="s">
        <v>70</v>
      </c>
      <c r="J1725" t="s">
        <v>383</v>
      </c>
      <c r="K1725">
        <v>631.01</v>
      </c>
      <c r="L1725">
        <v>28.63</v>
      </c>
      <c r="M1725" t="s">
        <v>3842</v>
      </c>
      <c r="N1725">
        <v>23672</v>
      </c>
      <c r="O1725">
        <v>6.33</v>
      </c>
      <c r="P1725">
        <v>5.74</v>
      </c>
      <c r="Q1725">
        <v>1.7</v>
      </c>
      <c r="R1725">
        <v>1.61</v>
      </c>
      <c r="S1725">
        <v>1.1299999999999999</v>
      </c>
      <c r="T1725" t="s">
        <v>5611</v>
      </c>
      <c r="U1725">
        <v>1.52</v>
      </c>
      <c r="V1725" t="s">
        <v>11396</v>
      </c>
      <c r="W1725" t="s">
        <v>4907</v>
      </c>
      <c r="X1725" t="s">
        <v>18003</v>
      </c>
      <c r="Z1725" t="s">
        <v>15004</v>
      </c>
      <c r="AA1725">
        <v>4.5199999999999996</v>
      </c>
      <c r="AD1725" t="s">
        <v>8818</v>
      </c>
      <c r="AE1725" t="s">
        <v>1074</v>
      </c>
      <c r="AF1725" t="s">
        <v>19180</v>
      </c>
      <c r="AG1725" t="s">
        <v>19181</v>
      </c>
      <c r="AH1725" t="s">
        <v>19182</v>
      </c>
      <c r="AI1725" t="s">
        <v>3454</v>
      </c>
      <c r="AJ1725" t="s">
        <v>655</v>
      </c>
      <c r="AK1725" t="s">
        <v>474</v>
      </c>
      <c r="AL1725">
        <v>0.64</v>
      </c>
      <c r="AM1725">
        <v>0.6</v>
      </c>
      <c r="AN1725">
        <v>0.49</v>
      </c>
      <c r="AO1725" t="s">
        <v>19183</v>
      </c>
      <c r="AP1725" t="s">
        <v>19184</v>
      </c>
      <c r="AQ1725" t="s">
        <v>11397</v>
      </c>
      <c r="AR1725" t="s">
        <v>323</v>
      </c>
      <c r="AS1725" t="s">
        <v>5369</v>
      </c>
      <c r="AT1725" t="s">
        <v>3916</v>
      </c>
      <c r="AU1725" t="s">
        <v>6936</v>
      </c>
      <c r="AV1725" t="s">
        <v>2197</v>
      </c>
      <c r="AW1725" t="s">
        <v>3577</v>
      </c>
      <c r="AX1725" t="s">
        <v>4315</v>
      </c>
      <c r="AY1725" t="s">
        <v>19185</v>
      </c>
      <c r="AZ1725" t="s">
        <v>13489</v>
      </c>
      <c r="BA1725">
        <v>1</v>
      </c>
      <c r="BB1725">
        <v>124.74</v>
      </c>
      <c r="BC1725">
        <v>0.67</v>
      </c>
      <c r="BD1725">
        <v>28</v>
      </c>
      <c r="BE1725">
        <v>28.84</v>
      </c>
      <c r="BF1725">
        <v>27.94</v>
      </c>
      <c r="BG1725" t="s">
        <v>19186</v>
      </c>
      <c r="BH1725" t="s">
        <v>3362</v>
      </c>
      <c r="BI1725" t="s">
        <v>19187</v>
      </c>
      <c r="BJ1725" t="s">
        <v>101</v>
      </c>
      <c r="BK1725" t="s">
        <v>2869</v>
      </c>
      <c r="BL1725" t="s">
        <v>7959</v>
      </c>
      <c r="BM1725" t="s">
        <v>7088</v>
      </c>
      <c r="BN1725" t="s">
        <v>14623</v>
      </c>
    </row>
    <row r="1726" spans="1:66" x14ac:dyDescent="0.25">
      <c r="A1726" t="str">
        <f>HYPERLINK("https://elite.finviz.com/quote.ashx?t=ELMD&amp;ty=c&amp;p=d&amp;b=1", "ELMD")</f>
        <v>ELMD</v>
      </c>
      <c r="B1726">
        <v>6</v>
      </c>
      <c r="C1726">
        <v>127.03</v>
      </c>
      <c r="D1726">
        <v>55.72</v>
      </c>
      <c r="E1726" t="s">
        <v>19188</v>
      </c>
      <c r="F1726" t="s">
        <v>67</v>
      </c>
      <c r="G1726" t="s">
        <v>428</v>
      </c>
      <c r="H1726" t="s">
        <v>2051</v>
      </c>
      <c r="I1726" t="s">
        <v>70</v>
      </c>
      <c r="J1726" t="s">
        <v>383</v>
      </c>
      <c r="K1726">
        <v>204.58</v>
      </c>
      <c r="L1726">
        <v>24.5</v>
      </c>
      <c r="M1726" t="s">
        <v>2123</v>
      </c>
      <c r="N1726">
        <v>22815</v>
      </c>
      <c r="O1726">
        <v>28.91</v>
      </c>
      <c r="P1726">
        <v>20.14</v>
      </c>
      <c r="Q1726">
        <v>3.22</v>
      </c>
      <c r="R1726">
        <v>3.2</v>
      </c>
      <c r="S1726">
        <v>4.7300000000000004</v>
      </c>
      <c r="Z1726" t="s">
        <v>164</v>
      </c>
      <c r="AA1726">
        <v>0.85</v>
      </c>
      <c r="AB1726" t="s">
        <v>19189</v>
      </c>
      <c r="AC1726" t="s">
        <v>3243</v>
      </c>
      <c r="AD1726" t="s">
        <v>5911</v>
      </c>
      <c r="AE1726" t="s">
        <v>15034</v>
      </c>
      <c r="AF1726" t="s">
        <v>5057</v>
      </c>
      <c r="AG1726" t="s">
        <v>3815</v>
      </c>
      <c r="AH1726" t="s">
        <v>3103</v>
      </c>
      <c r="AI1726" t="s">
        <v>12145</v>
      </c>
      <c r="AJ1726" t="s">
        <v>11513</v>
      </c>
      <c r="AK1726" t="s">
        <v>19190</v>
      </c>
      <c r="AL1726">
        <v>4.3099999999999996</v>
      </c>
      <c r="AM1726">
        <v>3.99</v>
      </c>
      <c r="AN1726">
        <v>0</v>
      </c>
      <c r="AO1726" t="s">
        <v>19191</v>
      </c>
      <c r="AP1726" t="s">
        <v>310</v>
      </c>
      <c r="AQ1726" t="s">
        <v>3327</v>
      </c>
      <c r="AR1726" t="s">
        <v>3325</v>
      </c>
      <c r="AS1726" t="s">
        <v>2523</v>
      </c>
      <c r="AT1726" t="s">
        <v>4494</v>
      </c>
      <c r="AU1726" t="s">
        <v>8526</v>
      </c>
      <c r="AV1726" t="s">
        <v>8179</v>
      </c>
      <c r="AW1726" t="s">
        <v>2271</v>
      </c>
      <c r="AX1726" t="s">
        <v>2014</v>
      </c>
      <c r="AY1726" t="s">
        <v>19192</v>
      </c>
      <c r="AZ1726" t="s">
        <v>2014</v>
      </c>
      <c r="BA1726">
        <v>1</v>
      </c>
      <c r="BB1726">
        <v>89.04</v>
      </c>
      <c r="BC1726">
        <v>0.91</v>
      </c>
      <c r="BD1726">
        <v>23.24</v>
      </c>
      <c r="BE1726">
        <v>24.5</v>
      </c>
      <c r="BF1726">
        <v>23.56</v>
      </c>
      <c r="BG1726" t="s">
        <v>19193</v>
      </c>
      <c r="BH1726" t="s">
        <v>19192</v>
      </c>
      <c r="BI1726" t="s">
        <v>19194</v>
      </c>
      <c r="BJ1726" t="s">
        <v>101</v>
      </c>
      <c r="BK1726" t="s">
        <v>6331</v>
      </c>
      <c r="BL1726" t="s">
        <v>891</v>
      </c>
      <c r="BM1726" t="s">
        <v>9557</v>
      </c>
      <c r="BN1726" t="s">
        <v>14623</v>
      </c>
    </row>
    <row r="1727" spans="1:66" x14ac:dyDescent="0.25">
      <c r="A1727" t="str">
        <f>HYPERLINK("https://elite.finviz.com/quote.ashx?t=AFBI&amp;ty=c&amp;p=d&amp;b=1", "AFBI")</f>
        <v>AFBI</v>
      </c>
      <c r="B1727">
        <v>6</v>
      </c>
      <c r="C1727">
        <v>127.03</v>
      </c>
      <c r="D1727">
        <v>55.73</v>
      </c>
      <c r="E1727" t="s">
        <v>19195</v>
      </c>
      <c r="F1727" t="s">
        <v>107</v>
      </c>
      <c r="G1727" t="s">
        <v>550</v>
      </c>
      <c r="H1727" t="s">
        <v>697</v>
      </c>
      <c r="I1727" t="s">
        <v>70</v>
      </c>
      <c r="J1727" t="s">
        <v>321</v>
      </c>
      <c r="K1727">
        <v>124.44</v>
      </c>
      <c r="L1727">
        <v>19.7</v>
      </c>
      <c r="M1727" t="s">
        <v>2757</v>
      </c>
      <c r="N1727">
        <v>91</v>
      </c>
      <c r="O1727">
        <v>18.28</v>
      </c>
      <c r="R1727">
        <v>2.4300000000000002</v>
      </c>
      <c r="S1727">
        <v>1</v>
      </c>
      <c r="V1727" t="s">
        <v>19196</v>
      </c>
      <c r="Z1727" t="s">
        <v>164</v>
      </c>
      <c r="AA1727">
        <v>1.08</v>
      </c>
      <c r="AB1727" t="s">
        <v>9889</v>
      </c>
      <c r="AC1727" t="s">
        <v>19197</v>
      </c>
      <c r="AE1727" t="s">
        <v>291</v>
      </c>
      <c r="AF1727" t="s">
        <v>10577</v>
      </c>
      <c r="AG1727" t="s">
        <v>19198</v>
      </c>
      <c r="AH1727" t="s">
        <v>3542</v>
      </c>
      <c r="AJ1727" t="s">
        <v>3495</v>
      </c>
      <c r="AK1727" t="s">
        <v>1953</v>
      </c>
      <c r="AL1727">
        <v>0.6</v>
      </c>
      <c r="AN1727">
        <v>0.44</v>
      </c>
      <c r="AP1727" t="s">
        <v>3794</v>
      </c>
      <c r="AQ1727" t="s">
        <v>5798</v>
      </c>
      <c r="AR1727" t="s">
        <v>5036</v>
      </c>
      <c r="AS1727" t="s">
        <v>273</v>
      </c>
      <c r="AT1727" t="s">
        <v>4494</v>
      </c>
      <c r="AU1727" t="s">
        <v>5660</v>
      </c>
      <c r="AV1727" t="s">
        <v>297</v>
      </c>
      <c r="AW1727" t="s">
        <v>2768</v>
      </c>
      <c r="AX1727" t="s">
        <v>614</v>
      </c>
      <c r="AY1727" t="s">
        <v>7285</v>
      </c>
      <c r="AZ1727" t="s">
        <v>7390</v>
      </c>
      <c r="BB1727">
        <v>10.26</v>
      </c>
      <c r="BC1727">
        <v>0.03</v>
      </c>
      <c r="BD1727">
        <v>19.68</v>
      </c>
      <c r="BE1727">
        <v>19.72</v>
      </c>
      <c r="BF1727">
        <v>19.72</v>
      </c>
      <c r="BG1727" t="s">
        <v>19199</v>
      </c>
      <c r="BH1727" t="s">
        <v>7285</v>
      </c>
      <c r="BI1727" t="s">
        <v>19200</v>
      </c>
      <c r="BJ1727" t="s">
        <v>101</v>
      </c>
      <c r="BK1727" t="s">
        <v>1254</v>
      </c>
      <c r="BL1727" t="s">
        <v>2555</v>
      </c>
      <c r="BM1727" t="s">
        <v>4828</v>
      </c>
      <c r="BN1727" t="s">
        <v>14623</v>
      </c>
    </row>
    <row r="1728" spans="1:66" x14ac:dyDescent="0.25">
      <c r="A1728" t="str">
        <f>HYPERLINK("https://elite.finviz.com/quote.ashx?t=LVWR&amp;ty=c&amp;p=d&amp;b=1", "LVWR")</f>
        <v>LVWR</v>
      </c>
      <c r="B1728">
        <v>6</v>
      </c>
      <c r="C1728">
        <v>127.03</v>
      </c>
      <c r="D1728">
        <v>55.73</v>
      </c>
      <c r="E1728" t="s">
        <v>19201</v>
      </c>
      <c r="F1728" t="s">
        <v>67</v>
      </c>
      <c r="G1728" t="s">
        <v>813</v>
      </c>
      <c r="H1728" t="s">
        <v>890</v>
      </c>
      <c r="I1728" t="s">
        <v>70</v>
      </c>
      <c r="J1728" t="s">
        <v>71</v>
      </c>
      <c r="K1728">
        <v>994.24</v>
      </c>
      <c r="L1728">
        <v>4.88</v>
      </c>
      <c r="M1728" t="s">
        <v>4255</v>
      </c>
      <c r="N1728">
        <v>10688</v>
      </c>
      <c r="R1728">
        <v>41.74</v>
      </c>
      <c r="S1728">
        <v>12.48</v>
      </c>
      <c r="AA1728">
        <v>-0.41</v>
      </c>
      <c r="AB1728" t="s">
        <v>7865</v>
      </c>
      <c r="AC1728" t="s">
        <v>1727</v>
      </c>
      <c r="AE1728" t="s">
        <v>5147</v>
      </c>
      <c r="AF1728" t="s">
        <v>7587</v>
      </c>
      <c r="AH1728" t="s">
        <v>12181</v>
      </c>
      <c r="AJ1728" t="s">
        <v>1998</v>
      </c>
      <c r="AK1728" t="s">
        <v>4891</v>
      </c>
      <c r="AL1728">
        <v>2.38</v>
      </c>
      <c r="AM1728">
        <v>1.37</v>
      </c>
      <c r="AN1728">
        <v>0.01</v>
      </c>
      <c r="AO1728" t="s">
        <v>2948</v>
      </c>
      <c r="AP1728" t="s">
        <v>19202</v>
      </c>
      <c r="AQ1728" t="s">
        <v>19203</v>
      </c>
      <c r="AR1728" t="s">
        <v>7616</v>
      </c>
      <c r="AS1728" t="s">
        <v>2579</v>
      </c>
      <c r="AT1728" t="s">
        <v>4697</v>
      </c>
      <c r="AU1728" t="s">
        <v>9865</v>
      </c>
      <c r="AV1728" t="s">
        <v>19204</v>
      </c>
      <c r="AW1728" t="s">
        <v>6191</v>
      </c>
      <c r="AX1728" t="s">
        <v>9668</v>
      </c>
      <c r="AY1728" t="s">
        <v>19205</v>
      </c>
      <c r="AZ1728" t="s">
        <v>19206</v>
      </c>
      <c r="BA1728">
        <v>3</v>
      </c>
      <c r="BB1728">
        <v>247.02</v>
      </c>
      <c r="BC1728">
        <v>0.15</v>
      </c>
      <c r="BD1728">
        <v>4.7699999999999996</v>
      </c>
      <c r="BE1728">
        <v>4.87</v>
      </c>
      <c r="BF1728">
        <v>4.55</v>
      </c>
      <c r="BG1728" t="s">
        <v>19207</v>
      </c>
      <c r="BH1728" t="s">
        <v>19208</v>
      </c>
      <c r="BI1728" t="s">
        <v>19206</v>
      </c>
      <c r="BJ1728" t="s">
        <v>101</v>
      </c>
      <c r="BK1728" t="s">
        <v>6068</v>
      </c>
      <c r="BL1728" t="s">
        <v>19209</v>
      </c>
      <c r="BM1728" t="s">
        <v>6033</v>
      </c>
      <c r="BN1728" t="s">
        <v>14623</v>
      </c>
    </row>
    <row r="1729" spans="1:66" x14ac:dyDescent="0.25">
      <c r="A1729" t="str">
        <f>HYPERLINK("https://elite.finviz.com/quote.ashx?t=LOAR&amp;ty=c&amp;p=d&amp;b=1", "LOAR")</f>
        <v>LOAR</v>
      </c>
      <c r="B1729">
        <v>6</v>
      </c>
      <c r="C1729">
        <v>127.03</v>
      </c>
      <c r="D1729">
        <v>55.74</v>
      </c>
      <c r="E1729" t="s">
        <v>19210</v>
      </c>
      <c r="F1729" t="s">
        <v>107</v>
      </c>
      <c r="G1729" t="s">
        <v>260</v>
      </c>
      <c r="H1729" t="s">
        <v>4779</v>
      </c>
      <c r="I1729" t="s">
        <v>70</v>
      </c>
      <c r="J1729" t="s">
        <v>71</v>
      </c>
      <c r="K1729">
        <v>7337.66</v>
      </c>
      <c r="L1729">
        <v>78.38</v>
      </c>
      <c r="M1729" t="s">
        <v>3344</v>
      </c>
      <c r="N1729">
        <v>50273</v>
      </c>
      <c r="O1729">
        <v>166.86</v>
      </c>
      <c r="P1729">
        <v>78.64</v>
      </c>
      <c r="Q1729">
        <v>3.85</v>
      </c>
      <c r="R1729">
        <v>16.239999999999998</v>
      </c>
      <c r="S1729">
        <v>6.5</v>
      </c>
      <c r="Z1729" t="s">
        <v>164</v>
      </c>
      <c r="AA1729">
        <v>0.47</v>
      </c>
      <c r="AD1729" t="s">
        <v>5762</v>
      </c>
      <c r="AE1729" t="s">
        <v>12993</v>
      </c>
      <c r="AF1729" t="s">
        <v>19211</v>
      </c>
      <c r="AH1729" t="s">
        <v>19212</v>
      </c>
      <c r="AI1729" t="s">
        <v>3747</v>
      </c>
      <c r="AJ1729" t="s">
        <v>19213</v>
      </c>
      <c r="AK1729" t="s">
        <v>19214</v>
      </c>
      <c r="AL1729">
        <v>6.15</v>
      </c>
      <c r="AM1729">
        <v>4.01</v>
      </c>
      <c r="AN1729">
        <v>0.25</v>
      </c>
      <c r="AO1729" t="s">
        <v>19215</v>
      </c>
      <c r="AP1729" t="s">
        <v>1701</v>
      </c>
      <c r="AQ1729" t="s">
        <v>801</v>
      </c>
      <c r="AR1729" t="s">
        <v>295</v>
      </c>
      <c r="AS1729" t="s">
        <v>2624</v>
      </c>
      <c r="AT1729" t="s">
        <v>3019</v>
      </c>
      <c r="AU1729" t="s">
        <v>4551</v>
      </c>
      <c r="AV1729" t="s">
        <v>3336</v>
      </c>
      <c r="AW1729" t="s">
        <v>2012</v>
      </c>
      <c r="AX1729" t="s">
        <v>13277</v>
      </c>
      <c r="AY1729" t="s">
        <v>19216</v>
      </c>
      <c r="AZ1729" t="s">
        <v>8997</v>
      </c>
      <c r="BA1729">
        <v>1</v>
      </c>
      <c r="BB1729">
        <v>951.91</v>
      </c>
      <c r="BC1729">
        <v>0.19</v>
      </c>
      <c r="BD1729">
        <v>77.67</v>
      </c>
      <c r="BE1729">
        <v>79.06</v>
      </c>
      <c r="BF1729">
        <v>78.150000000000006</v>
      </c>
      <c r="BG1729" t="s">
        <v>19217</v>
      </c>
      <c r="BH1729" t="s">
        <v>19216</v>
      </c>
      <c r="BI1729" t="s">
        <v>5450</v>
      </c>
      <c r="BJ1729" t="s">
        <v>101</v>
      </c>
      <c r="BK1729" t="s">
        <v>1156</v>
      </c>
      <c r="BL1729" t="s">
        <v>11116</v>
      </c>
      <c r="BM1729" t="s">
        <v>6859</v>
      </c>
      <c r="BN1729" t="s">
        <v>14623</v>
      </c>
    </row>
    <row r="1730" spans="1:66" x14ac:dyDescent="0.25">
      <c r="A1730" t="str">
        <f>HYPERLINK("https://elite.finviz.com/quote.ashx?t=NUTX&amp;ty=c&amp;p=d&amp;b=1", "NUTX")</f>
        <v>NUTX</v>
      </c>
      <c r="B1730">
        <v>6</v>
      </c>
      <c r="C1730">
        <v>127.03</v>
      </c>
      <c r="D1730">
        <v>55.81</v>
      </c>
      <c r="E1730" t="s">
        <v>19218</v>
      </c>
      <c r="F1730" t="s">
        <v>67</v>
      </c>
      <c r="G1730" t="s">
        <v>428</v>
      </c>
      <c r="H1730" t="s">
        <v>3160</v>
      </c>
      <c r="I1730" t="s">
        <v>70</v>
      </c>
      <c r="J1730" t="s">
        <v>321</v>
      </c>
      <c r="K1730">
        <v>552.24</v>
      </c>
      <c r="L1730">
        <v>99.41</v>
      </c>
      <c r="M1730" t="s">
        <v>92</v>
      </c>
      <c r="N1730">
        <v>20923</v>
      </c>
      <c r="O1730">
        <v>8.35</v>
      </c>
      <c r="P1730">
        <v>8.3699999999999992</v>
      </c>
      <c r="R1730">
        <v>0.88</v>
      </c>
      <c r="S1730">
        <v>2.79</v>
      </c>
      <c r="Z1730" t="s">
        <v>164</v>
      </c>
      <c r="AA1730">
        <v>11.9</v>
      </c>
      <c r="AB1730" t="s">
        <v>8204</v>
      </c>
      <c r="AE1730" t="s">
        <v>19219</v>
      </c>
      <c r="AF1730" t="s">
        <v>1557</v>
      </c>
      <c r="AG1730" t="s">
        <v>19220</v>
      </c>
      <c r="AH1730" t="s">
        <v>19221</v>
      </c>
      <c r="AI1730" t="s">
        <v>4873</v>
      </c>
      <c r="AJ1730" t="s">
        <v>4237</v>
      </c>
      <c r="AK1730" t="s">
        <v>732</v>
      </c>
      <c r="AL1730">
        <v>2.27</v>
      </c>
      <c r="AM1730">
        <v>2.2599999999999998</v>
      </c>
      <c r="AN1730">
        <v>1.73</v>
      </c>
      <c r="AO1730" t="s">
        <v>780</v>
      </c>
      <c r="AP1730" t="s">
        <v>947</v>
      </c>
      <c r="AQ1730" t="s">
        <v>10073</v>
      </c>
      <c r="AR1730" t="s">
        <v>7935</v>
      </c>
      <c r="AS1730" t="s">
        <v>2967</v>
      </c>
      <c r="AT1730" t="s">
        <v>605</v>
      </c>
      <c r="AU1730" t="s">
        <v>578</v>
      </c>
      <c r="AV1730" t="s">
        <v>6740</v>
      </c>
      <c r="AW1730" t="s">
        <v>18084</v>
      </c>
      <c r="AX1730" t="s">
        <v>7633</v>
      </c>
      <c r="AY1730" t="s">
        <v>19222</v>
      </c>
      <c r="AZ1730" t="s">
        <v>19223</v>
      </c>
      <c r="BA1730">
        <v>1</v>
      </c>
      <c r="BB1730">
        <v>250.34</v>
      </c>
      <c r="BC1730">
        <v>0.28999999999999998</v>
      </c>
      <c r="BD1730">
        <v>97.07</v>
      </c>
      <c r="BE1730">
        <v>100.25</v>
      </c>
      <c r="BF1730">
        <v>98.1</v>
      </c>
      <c r="BG1730" t="s">
        <v>19224</v>
      </c>
      <c r="BH1730" t="s">
        <v>19225</v>
      </c>
      <c r="BI1730" t="s">
        <v>19226</v>
      </c>
      <c r="BJ1730" t="s">
        <v>101</v>
      </c>
      <c r="BK1730" t="s">
        <v>19227</v>
      </c>
      <c r="BL1730" t="s">
        <v>19228</v>
      </c>
      <c r="BM1730" t="s">
        <v>19229</v>
      </c>
      <c r="BN1730" t="s">
        <v>14623</v>
      </c>
    </row>
    <row r="1731" spans="1:66" x14ac:dyDescent="0.25">
      <c r="A1731" t="str">
        <f>HYPERLINK("https://elite.finviz.com/quote.ashx?t=OCC&amp;ty=c&amp;p=d&amp;b=1", "OCC")</f>
        <v>OCC</v>
      </c>
      <c r="B1731">
        <v>6</v>
      </c>
      <c r="C1731">
        <v>127.03</v>
      </c>
      <c r="D1731">
        <v>55.86</v>
      </c>
      <c r="E1731" t="s">
        <v>19230</v>
      </c>
      <c r="F1731" t="s">
        <v>107</v>
      </c>
      <c r="G1731" t="s">
        <v>108</v>
      </c>
      <c r="H1731" t="s">
        <v>1921</v>
      </c>
      <c r="I1731" t="s">
        <v>70</v>
      </c>
      <c r="J1731" t="s">
        <v>321</v>
      </c>
      <c r="K1731">
        <v>71.849999999999994</v>
      </c>
      <c r="L1731">
        <v>8.1</v>
      </c>
      <c r="M1731" t="s">
        <v>2826</v>
      </c>
      <c r="N1731">
        <v>6649</v>
      </c>
      <c r="R1731">
        <v>0.99</v>
      </c>
      <c r="S1731">
        <v>3.66</v>
      </c>
      <c r="V1731" t="s">
        <v>19231</v>
      </c>
      <c r="AA1731">
        <v>-0.15</v>
      </c>
      <c r="AC1731" t="s">
        <v>1160</v>
      </c>
      <c r="AE1731" t="s">
        <v>5676</v>
      </c>
      <c r="AF1731" t="s">
        <v>1751</v>
      </c>
      <c r="AG1731" t="s">
        <v>2826</v>
      </c>
      <c r="AH1731" t="s">
        <v>13228</v>
      </c>
      <c r="AJ1731" t="s">
        <v>164</v>
      </c>
      <c r="AK1731" t="s">
        <v>6815</v>
      </c>
      <c r="AL1731">
        <v>1.81</v>
      </c>
      <c r="AM1731">
        <v>0.71</v>
      </c>
      <c r="AN1731">
        <v>0.52</v>
      </c>
      <c r="AO1731" t="s">
        <v>4400</v>
      </c>
      <c r="AP1731" t="s">
        <v>3227</v>
      </c>
      <c r="AQ1731" t="s">
        <v>5070</v>
      </c>
      <c r="AR1731" t="s">
        <v>4819</v>
      </c>
      <c r="AS1731" t="s">
        <v>6196</v>
      </c>
      <c r="AT1731" t="s">
        <v>10226</v>
      </c>
      <c r="AU1731" t="s">
        <v>3001</v>
      </c>
      <c r="AV1731" t="s">
        <v>5526</v>
      </c>
      <c r="AW1731" t="s">
        <v>13555</v>
      </c>
      <c r="AX1731" t="s">
        <v>1203</v>
      </c>
      <c r="AY1731" t="s">
        <v>13555</v>
      </c>
      <c r="AZ1731" t="s">
        <v>19232</v>
      </c>
      <c r="BB1731">
        <v>299.94</v>
      </c>
      <c r="BC1731">
        <v>0.08</v>
      </c>
      <c r="BD1731">
        <v>8.2100000000000009</v>
      </c>
      <c r="BE1731">
        <v>8.24</v>
      </c>
      <c r="BF1731">
        <v>7.99</v>
      </c>
      <c r="BG1731" t="s">
        <v>19233</v>
      </c>
      <c r="BH1731" t="s">
        <v>19234</v>
      </c>
      <c r="BI1731" t="s">
        <v>19235</v>
      </c>
      <c r="BJ1731" t="s">
        <v>101</v>
      </c>
      <c r="BK1731" t="s">
        <v>19236</v>
      </c>
      <c r="BL1731" t="s">
        <v>19237</v>
      </c>
      <c r="BM1731" t="s">
        <v>19238</v>
      </c>
      <c r="BN1731" t="s">
        <v>14623</v>
      </c>
    </row>
    <row r="1732" spans="1:66" x14ac:dyDescent="0.25">
      <c r="A1732" t="str">
        <f>HYPERLINK("https://elite.finviz.com/quote.ashx?t=PODC&amp;ty=c&amp;p=d&amp;b=1", "PODC")</f>
        <v>PODC</v>
      </c>
      <c r="B1732">
        <v>6</v>
      </c>
      <c r="C1732">
        <v>127.03</v>
      </c>
      <c r="D1732">
        <v>55.86</v>
      </c>
      <c r="E1732" t="s">
        <v>19239</v>
      </c>
      <c r="F1732" t="s">
        <v>107</v>
      </c>
      <c r="G1732" t="s">
        <v>598</v>
      </c>
      <c r="H1732" t="s">
        <v>599</v>
      </c>
      <c r="I1732" t="s">
        <v>70</v>
      </c>
      <c r="J1732" t="s">
        <v>321</v>
      </c>
      <c r="K1732">
        <v>48.77</v>
      </c>
      <c r="L1732">
        <v>1.85</v>
      </c>
      <c r="M1732" t="s">
        <v>6692</v>
      </c>
      <c r="N1732">
        <v>15709</v>
      </c>
      <c r="R1732">
        <v>0.9</v>
      </c>
      <c r="S1732">
        <v>3.3</v>
      </c>
      <c r="AA1732">
        <v>-0.24</v>
      </c>
      <c r="AB1732" t="s">
        <v>8080</v>
      </c>
      <c r="AC1732" t="s">
        <v>12026</v>
      </c>
      <c r="AD1732" t="s">
        <v>13643</v>
      </c>
      <c r="AE1732" t="s">
        <v>7851</v>
      </c>
      <c r="AF1732" t="s">
        <v>5564</v>
      </c>
      <c r="AG1732" t="s">
        <v>2885</v>
      </c>
      <c r="AH1732" t="s">
        <v>1436</v>
      </c>
      <c r="AI1732" t="s">
        <v>821</v>
      </c>
      <c r="AJ1732" t="s">
        <v>2560</v>
      </c>
      <c r="AK1732" t="s">
        <v>2233</v>
      </c>
      <c r="AL1732">
        <v>1.1599999999999999</v>
      </c>
      <c r="AM1732">
        <v>1.1599999999999999</v>
      </c>
      <c r="AN1732">
        <v>0</v>
      </c>
      <c r="AO1732" t="s">
        <v>3127</v>
      </c>
      <c r="AP1732" t="s">
        <v>6205</v>
      </c>
      <c r="AQ1732" t="s">
        <v>19240</v>
      </c>
      <c r="AR1732" t="s">
        <v>2205</v>
      </c>
      <c r="AS1732" t="s">
        <v>864</v>
      </c>
      <c r="AT1732" t="s">
        <v>4476</v>
      </c>
      <c r="AU1732" t="s">
        <v>2237</v>
      </c>
      <c r="AV1732" t="s">
        <v>8830</v>
      </c>
      <c r="AW1732" t="s">
        <v>8184</v>
      </c>
      <c r="AX1732" t="s">
        <v>4836</v>
      </c>
      <c r="AY1732" t="s">
        <v>7805</v>
      </c>
      <c r="AZ1732" t="s">
        <v>11841</v>
      </c>
      <c r="BA1732">
        <v>1</v>
      </c>
      <c r="BB1732">
        <v>76.27</v>
      </c>
      <c r="BC1732">
        <v>0.73</v>
      </c>
      <c r="BD1732">
        <v>1.81</v>
      </c>
      <c r="BE1732">
        <v>1.89</v>
      </c>
      <c r="BF1732">
        <v>1.82</v>
      </c>
      <c r="BG1732" t="s">
        <v>19241</v>
      </c>
      <c r="BH1732" t="s">
        <v>18507</v>
      </c>
      <c r="BI1732" t="s">
        <v>11841</v>
      </c>
      <c r="BJ1732" t="s">
        <v>101</v>
      </c>
      <c r="BK1732" t="s">
        <v>19242</v>
      </c>
      <c r="BL1732" t="s">
        <v>1570</v>
      </c>
      <c r="BM1732" t="s">
        <v>4747</v>
      </c>
      <c r="BN1732" t="s">
        <v>14623</v>
      </c>
    </row>
    <row r="1733" spans="1:66" x14ac:dyDescent="0.25">
      <c r="A1733" t="str">
        <f>HYPERLINK("https://elite.finviz.com/quote.ashx?t=BWB&amp;ty=c&amp;p=d&amp;b=1", "BWB")</f>
        <v>BWB</v>
      </c>
      <c r="B1733">
        <v>6</v>
      </c>
      <c r="C1733">
        <v>127.03</v>
      </c>
      <c r="D1733">
        <v>55.88</v>
      </c>
      <c r="E1733" t="s">
        <v>19243</v>
      </c>
      <c r="F1733" t="s">
        <v>67</v>
      </c>
      <c r="G1733" t="s">
        <v>550</v>
      </c>
      <c r="H1733" t="s">
        <v>697</v>
      </c>
      <c r="I1733" t="s">
        <v>70</v>
      </c>
      <c r="J1733" t="s">
        <v>321</v>
      </c>
      <c r="K1733">
        <v>467.21</v>
      </c>
      <c r="L1733">
        <v>17</v>
      </c>
      <c r="M1733" t="s">
        <v>4963</v>
      </c>
      <c r="N1733">
        <v>8962</v>
      </c>
      <c r="O1733">
        <v>14.01</v>
      </c>
      <c r="P1733">
        <v>9.81</v>
      </c>
      <c r="Q1733">
        <v>0.7</v>
      </c>
      <c r="R1733">
        <v>1.74</v>
      </c>
      <c r="S1733">
        <v>1.1399999999999999</v>
      </c>
      <c r="Z1733" t="s">
        <v>164</v>
      </c>
      <c r="AA1733">
        <v>1.21</v>
      </c>
      <c r="AB1733" t="s">
        <v>1579</v>
      </c>
      <c r="AC1733" t="s">
        <v>124</v>
      </c>
      <c r="AD1733" t="s">
        <v>11608</v>
      </c>
      <c r="AE1733" t="s">
        <v>2715</v>
      </c>
      <c r="AF1733" t="s">
        <v>3353</v>
      </c>
      <c r="AG1733" t="s">
        <v>13792</v>
      </c>
      <c r="AH1733" t="s">
        <v>6415</v>
      </c>
      <c r="AI1733" t="s">
        <v>5122</v>
      </c>
      <c r="AJ1733" t="s">
        <v>5895</v>
      </c>
      <c r="AK1733" t="s">
        <v>8522</v>
      </c>
      <c r="AL1733">
        <v>0.09</v>
      </c>
      <c r="AN1733">
        <v>1.1100000000000001</v>
      </c>
      <c r="AP1733" t="s">
        <v>139</v>
      </c>
      <c r="AQ1733" t="s">
        <v>11871</v>
      </c>
      <c r="AR1733" t="s">
        <v>749</v>
      </c>
      <c r="AS1733" t="s">
        <v>4216</v>
      </c>
      <c r="AT1733" t="s">
        <v>3550</v>
      </c>
      <c r="AU1733" t="s">
        <v>1872</v>
      </c>
      <c r="AV1733" t="s">
        <v>4088</v>
      </c>
      <c r="AW1733" t="s">
        <v>701</v>
      </c>
      <c r="AX1733" t="s">
        <v>7688</v>
      </c>
      <c r="AY1733" t="s">
        <v>701</v>
      </c>
      <c r="AZ1733" t="s">
        <v>4821</v>
      </c>
      <c r="BA1733">
        <v>1</v>
      </c>
      <c r="BB1733">
        <v>84.82</v>
      </c>
      <c r="BC1733">
        <v>0.37</v>
      </c>
      <c r="BD1733">
        <v>17.11</v>
      </c>
      <c r="BE1733">
        <v>17.260000000000002</v>
      </c>
      <c r="BF1733">
        <v>17</v>
      </c>
      <c r="BG1733" t="s">
        <v>19244</v>
      </c>
      <c r="BH1733" t="s">
        <v>19245</v>
      </c>
      <c r="BI1733" t="s">
        <v>19246</v>
      </c>
      <c r="BJ1733" t="s">
        <v>101</v>
      </c>
      <c r="BK1733" t="s">
        <v>3496</v>
      </c>
      <c r="BL1733" t="s">
        <v>3065</v>
      </c>
      <c r="BM1733" t="s">
        <v>7290</v>
      </c>
      <c r="BN1733" t="s">
        <v>14623</v>
      </c>
    </row>
    <row r="1734" spans="1:66" x14ac:dyDescent="0.25">
      <c r="A1734" t="str">
        <f>HYPERLINK("https://elite.finviz.com/quote.ashx?t=CSPI&amp;ty=c&amp;p=d&amp;b=1", "CSPI")</f>
        <v>CSPI</v>
      </c>
      <c r="B1734">
        <v>6</v>
      </c>
      <c r="C1734">
        <v>127.03</v>
      </c>
      <c r="D1734">
        <v>55.91</v>
      </c>
      <c r="E1734" t="s">
        <v>19247</v>
      </c>
      <c r="F1734" t="s">
        <v>67</v>
      </c>
      <c r="G1734" t="s">
        <v>108</v>
      </c>
      <c r="H1734" t="s">
        <v>1322</v>
      </c>
      <c r="I1734" t="s">
        <v>70</v>
      </c>
      <c r="J1734" t="s">
        <v>321</v>
      </c>
      <c r="K1734">
        <v>124.13</v>
      </c>
      <c r="L1734">
        <v>12.59</v>
      </c>
      <c r="M1734" t="s">
        <v>3916</v>
      </c>
      <c r="N1734">
        <v>2919</v>
      </c>
      <c r="R1734">
        <v>2.17</v>
      </c>
      <c r="S1734">
        <v>2.61</v>
      </c>
      <c r="T1734" t="s">
        <v>2881</v>
      </c>
      <c r="U1734">
        <v>0.12</v>
      </c>
      <c r="V1734" t="s">
        <v>4882</v>
      </c>
      <c r="W1734" t="s">
        <v>2681</v>
      </c>
      <c r="Y1734" t="s">
        <v>5828</v>
      </c>
      <c r="AA1734">
        <v>-0.18</v>
      </c>
      <c r="AC1734" t="s">
        <v>3981</v>
      </c>
      <c r="AE1734" t="s">
        <v>1364</v>
      </c>
      <c r="AF1734" t="s">
        <v>4395</v>
      </c>
      <c r="AG1734" t="s">
        <v>6231</v>
      </c>
      <c r="AH1734" t="s">
        <v>6722</v>
      </c>
      <c r="AJ1734" t="s">
        <v>3446</v>
      </c>
      <c r="AK1734" t="s">
        <v>11323</v>
      </c>
      <c r="AL1734">
        <v>3.22</v>
      </c>
      <c r="AM1734">
        <v>2.99</v>
      </c>
      <c r="AN1734">
        <v>0.03</v>
      </c>
      <c r="AO1734" t="s">
        <v>375</v>
      </c>
      <c r="AP1734" t="s">
        <v>8251</v>
      </c>
      <c r="AQ1734" t="s">
        <v>4711</v>
      </c>
      <c r="AR1734" t="s">
        <v>906</v>
      </c>
      <c r="AS1734" t="s">
        <v>2398</v>
      </c>
      <c r="AT1734" t="s">
        <v>3758</v>
      </c>
      <c r="AU1734" t="s">
        <v>6791</v>
      </c>
      <c r="AV1734" t="s">
        <v>19248</v>
      </c>
      <c r="AW1734" t="s">
        <v>10687</v>
      </c>
      <c r="AX1734" t="s">
        <v>17490</v>
      </c>
      <c r="AY1734" t="s">
        <v>19249</v>
      </c>
      <c r="AZ1734" t="s">
        <v>17490</v>
      </c>
      <c r="BB1734">
        <v>35.76</v>
      </c>
      <c r="BC1734">
        <v>0.28999999999999998</v>
      </c>
      <c r="BD1734">
        <v>12.32</v>
      </c>
      <c r="BE1734">
        <v>12.61</v>
      </c>
      <c r="BF1734">
        <v>12.44</v>
      </c>
      <c r="BG1734" t="s">
        <v>19250</v>
      </c>
      <c r="BH1734" t="s">
        <v>19251</v>
      </c>
      <c r="BI1734" t="s">
        <v>19252</v>
      </c>
      <c r="BJ1734" t="s">
        <v>101</v>
      </c>
      <c r="BK1734" t="s">
        <v>1675</v>
      </c>
      <c r="BL1734" t="s">
        <v>9364</v>
      </c>
      <c r="BM1734" t="s">
        <v>430</v>
      </c>
      <c r="BN1734" t="s">
        <v>14623</v>
      </c>
    </row>
    <row r="1735" spans="1:66" x14ac:dyDescent="0.25">
      <c r="A1735" t="str">
        <f>HYPERLINK("https://elite.finviz.com/quote.ashx?t=HVII&amp;ty=c&amp;p=d&amp;b=1", "HVII")</f>
        <v>HVII</v>
      </c>
      <c r="B1735">
        <v>6</v>
      </c>
      <c r="C1735">
        <v>127.03</v>
      </c>
      <c r="D1735">
        <v>55.91</v>
      </c>
      <c r="E1735" t="s">
        <v>19253</v>
      </c>
      <c r="F1735" t="s">
        <v>107</v>
      </c>
      <c r="G1735" t="s">
        <v>550</v>
      </c>
      <c r="H1735" t="s">
        <v>2120</v>
      </c>
      <c r="I1735" t="s">
        <v>70</v>
      </c>
      <c r="J1735" t="s">
        <v>321</v>
      </c>
      <c r="K1735">
        <v>266.18</v>
      </c>
      <c r="L1735">
        <v>10.23</v>
      </c>
      <c r="M1735" t="s">
        <v>164</v>
      </c>
      <c r="N1735">
        <v>10</v>
      </c>
      <c r="S1735">
        <v>1.43</v>
      </c>
      <c r="AJ1735" t="s">
        <v>164</v>
      </c>
      <c r="AK1735" t="s">
        <v>14091</v>
      </c>
      <c r="AL1735">
        <v>12.65</v>
      </c>
      <c r="AM1735">
        <v>12.65</v>
      </c>
      <c r="AN1735">
        <v>0</v>
      </c>
      <c r="AR1735" t="s">
        <v>914</v>
      </c>
      <c r="AS1735" t="s">
        <v>6156</v>
      </c>
      <c r="AT1735" t="s">
        <v>4801</v>
      </c>
      <c r="AU1735" t="s">
        <v>2571</v>
      </c>
      <c r="AV1735" t="s">
        <v>3671</v>
      </c>
      <c r="AW1735" t="s">
        <v>298</v>
      </c>
      <c r="AX1735" t="s">
        <v>1338</v>
      </c>
      <c r="AY1735" t="s">
        <v>298</v>
      </c>
      <c r="AZ1735" t="s">
        <v>2811</v>
      </c>
      <c r="BB1735">
        <v>43.81</v>
      </c>
      <c r="BC1735">
        <v>0</v>
      </c>
      <c r="BD1735">
        <v>10.23</v>
      </c>
      <c r="BE1735">
        <v>10.23</v>
      </c>
      <c r="BF1735">
        <v>10.23</v>
      </c>
      <c r="BG1735" t="s">
        <v>19254</v>
      </c>
      <c r="BH1735" t="s">
        <v>298</v>
      </c>
      <c r="BI1735" t="s">
        <v>2811</v>
      </c>
      <c r="BJ1735" t="s">
        <v>101</v>
      </c>
      <c r="BK1735" t="s">
        <v>2609</v>
      </c>
      <c r="BL1735" t="s">
        <v>5164</v>
      </c>
      <c r="BN1735" t="s">
        <v>14623</v>
      </c>
    </row>
    <row r="1736" spans="1:66" x14ac:dyDescent="0.25">
      <c r="A1736" t="str">
        <f>HYPERLINK("https://elite.finviz.com/quote.ashx?t=CLBK&amp;ty=c&amp;p=d&amp;b=1", "CLBK")</f>
        <v>CLBK</v>
      </c>
      <c r="B1736">
        <v>6</v>
      </c>
      <c r="C1736">
        <v>127.03</v>
      </c>
      <c r="D1736">
        <v>55.93</v>
      </c>
      <c r="E1736" t="s">
        <v>19255</v>
      </c>
      <c r="F1736" t="s">
        <v>67</v>
      </c>
      <c r="G1736" t="s">
        <v>550</v>
      </c>
      <c r="H1736" t="s">
        <v>697</v>
      </c>
      <c r="I1736" t="s">
        <v>70</v>
      </c>
      <c r="J1736" t="s">
        <v>321</v>
      </c>
      <c r="K1736">
        <v>1619.55</v>
      </c>
      <c r="L1736">
        <v>15.44</v>
      </c>
      <c r="M1736" t="s">
        <v>4955</v>
      </c>
      <c r="N1736">
        <v>10958</v>
      </c>
      <c r="O1736">
        <v>256.82</v>
      </c>
      <c r="P1736">
        <v>25.3</v>
      </c>
      <c r="R1736">
        <v>3.53</v>
      </c>
      <c r="S1736">
        <v>1.45</v>
      </c>
      <c r="AA1736">
        <v>0.06</v>
      </c>
      <c r="AE1736" t="s">
        <v>110</v>
      </c>
      <c r="AF1736" t="s">
        <v>7553</v>
      </c>
      <c r="AG1736" t="s">
        <v>1960</v>
      </c>
      <c r="AH1736" t="s">
        <v>5593</v>
      </c>
      <c r="AI1736" t="s">
        <v>7082</v>
      </c>
      <c r="AJ1736" t="s">
        <v>164</v>
      </c>
      <c r="AK1736" t="s">
        <v>13468</v>
      </c>
      <c r="AL1736">
        <v>0.04</v>
      </c>
      <c r="AN1736">
        <v>1.1499999999999999</v>
      </c>
      <c r="AP1736" t="s">
        <v>4873</v>
      </c>
      <c r="AQ1736" t="s">
        <v>2185</v>
      </c>
      <c r="AR1736" t="s">
        <v>2339</v>
      </c>
      <c r="AS1736" t="s">
        <v>2876</v>
      </c>
      <c r="AT1736" t="s">
        <v>2630</v>
      </c>
      <c r="AU1736" t="s">
        <v>1934</v>
      </c>
      <c r="AV1736" t="s">
        <v>6937</v>
      </c>
      <c r="AW1736" t="s">
        <v>5356</v>
      </c>
      <c r="AX1736" t="s">
        <v>1454</v>
      </c>
      <c r="AY1736" t="s">
        <v>6891</v>
      </c>
      <c r="AZ1736" t="s">
        <v>1007</v>
      </c>
      <c r="BA1736">
        <v>2</v>
      </c>
      <c r="BB1736">
        <v>118.85</v>
      </c>
      <c r="BC1736">
        <v>0.32</v>
      </c>
      <c r="BD1736">
        <v>15.46</v>
      </c>
      <c r="BE1736">
        <v>15.69</v>
      </c>
      <c r="BF1736">
        <v>15.38</v>
      </c>
      <c r="BG1736" t="s">
        <v>19256</v>
      </c>
      <c r="BH1736" t="s">
        <v>5820</v>
      </c>
      <c r="BI1736" t="s">
        <v>13160</v>
      </c>
      <c r="BJ1736" t="s">
        <v>101</v>
      </c>
      <c r="BK1736" t="s">
        <v>2316</v>
      </c>
      <c r="BL1736" t="s">
        <v>2003</v>
      </c>
      <c r="BM1736" t="s">
        <v>4478</v>
      </c>
      <c r="BN1736" t="s">
        <v>14623</v>
      </c>
    </row>
    <row r="1737" spans="1:66" x14ac:dyDescent="0.25">
      <c r="A1737" t="str">
        <f>HYPERLINK("https://elite.finviz.com/quote.ashx?t=JAGX&amp;ty=c&amp;p=d&amp;b=1", "JAGX")</f>
        <v>JAGX</v>
      </c>
      <c r="B1737">
        <v>6</v>
      </c>
      <c r="C1737">
        <v>127.03</v>
      </c>
      <c r="D1737">
        <v>55.93</v>
      </c>
      <c r="E1737" t="s">
        <v>19257</v>
      </c>
      <c r="F1737" t="s">
        <v>107</v>
      </c>
      <c r="G1737" t="s">
        <v>428</v>
      </c>
      <c r="H1737" t="s">
        <v>429</v>
      </c>
      <c r="I1737" t="s">
        <v>70</v>
      </c>
      <c r="J1737" t="s">
        <v>321</v>
      </c>
      <c r="K1737">
        <v>4.6100000000000003</v>
      </c>
      <c r="L1737">
        <v>2.12</v>
      </c>
      <c r="M1737" t="s">
        <v>4495</v>
      </c>
      <c r="N1737">
        <v>28223</v>
      </c>
      <c r="R1737">
        <v>0.39</v>
      </c>
      <c r="S1737">
        <v>0.59</v>
      </c>
      <c r="AA1737">
        <v>-72.02</v>
      </c>
      <c r="AB1737" t="s">
        <v>19258</v>
      </c>
      <c r="AC1737" t="s">
        <v>19259</v>
      </c>
      <c r="AD1737" t="s">
        <v>8961</v>
      </c>
      <c r="AE1737" t="s">
        <v>11239</v>
      </c>
      <c r="AF1737" t="s">
        <v>15866</v>
      </c>
      <c r="AG1737" t="s">
        <v>1629</v>
      </c>
      <c r="AH1737" t="s">
        <v>12048</v>
      </c>
      <c r="AI1737" t="s">
        <v>19260</v>
      </c>
      <c r="AJ1737" t="s">
        <v>164</v>
      </c>
      <c r="AK1737" t="s">
        <v>8593</v>
      </c>
      <c r="AL1737">
        <v>0.95</v>
      </c>
      <c r="AM1737">
        <v>0.59</v>
      </c>
      <c r="AN1737">
        <v>3.82</v>
      </c>
      <c r="AO1737" t="s">
        <v>19261</v>
      </c>
      <c r="AP1737" t="s">
        <v>19262</v>
      </c>
      <c r="AQ1737" t="s">
        <v>19263</v>
      </c>
      <c r="AR1737" t="s">
        <v>7567</v>
      </c>
      <c r="AS1737" t="s">
        <v>8054</v>
      </c>
      <c r="AT1737" t="s">
        <v>3326</v>
      </c>
      <c r="AU1737" t="s">
        <v>3480</v>
      </c>
      <c r="AV1737" t="s">
        <v>19264</v>
      </c>
      <c r="AW1737" t="s">
        <v>2914</v>
      </c>
      <c r="AX1737" t="s">
        <v>13386</v>
      </c>
      <c r="AY1737" t="s">
        <v>19265</v>
      </c>
      <c r="AZ1737" t="s">
        <v>13386</v>
      </c>
      <c r="BA1737">
        <v>1</v>
      </c>
      <c r="BB1737">
        <v>129.31</v>
      </c>
      <c r="BC1737">
        <v>0.78</v>
      </c>
      <c r="BD1737">
        <v>2.0499999999999998</v>
      </c>
      <c r="BE1737">
        <v>2.14</v>
      </c>
      <c r="BF1737">
        <v>2.04</v>
      </c>
      <c r="BG1737" t="s">
        <v>19266</v>
      </c>
      <c r="BH1737" t="s">
        <v>579</v>
      </c>
      <c r="BI1737" t="s">
        <v>13386</v>
      </c>
      <c r="BJ1737" t="s">
        <v>101</v>
      </c>
      <c r="BK1737" t="s">
        <v>8919</v>
      </c>
      <c r="BL1737" t="s">
        <v>19267</v>
      </c>
      <c r="BM1737" t="s">
        <v>19268</v>
      </c>
      <c r="BN1737" t="s">
        <v>14623</v>
      </c>
    </row>
    <row r="1738" spans="1:66" x14ac:dyDescent="0.25">
      <c r="A1738" t="str">
        <f>HYPERLINK("https://elite.finviz.com/quote.ashx?t=MPX&amp;ty=c&amp;p=d&amp;b=1", "MPX")</f>
        <v>MPX</v>
      </c>
      <c r="B1738">
        <v>6</v>
      </c>
      <c r="C1738">
        <v>127.03</v>
      </c>
      <c r="D1738">
        <v>55.94</v>
      </c>
      <c r="E1738" t="s">
        <v>19269</v>
      </c>
      <c r="F1738" t="s">
        <v>67</v>
      </c>
      <c r="G1738" t="s">
        <v>813</v>
      </c>
      <c r="H1738" t="s">
        <v>5716</v>
      </c>
      <c r="I1738" t="s">
        <v>70</v>
      </c>
      <c r="J1738" t="s">
        <v>71</v>
      </c>
      <c r="K1738">
        <v>324.58</v>
      </c>
      <c r="L1738">
        <v>9.27</v>
      </c>
      <c r="M1738" t="s">
        <v>5116</v>
      </c>
      <c r="N1738">
        <v>1926</v>
      </c>
      <c r="O1738">
        <v>23.5</v>
      </c>
      <c r="R1738">
        <v>1.45</v>
      </c>
      <c r="S1738">
        <v>2.5499999999999998</v>
      </c>
      <c r="T1738" t="s">
        <v>4077</v>
      </c>
      <c r="U1738">
        <v>0.56000000000000005</v>
      </c>
      <c r="V1738" t="s">
        <v>893</v>
      </c>
      <c r="W1738" t="s">
        <v>164</v>
      </c>
      <c r="X1738" t="s">
        <v>11629</v>
      </c>
      <c r="Y1738" t="s">
        <v>7088</v>
      </c>
      <c r="Z1738" t="s">
        <v>19270</v>
      </c>
      <c r="AA1738">
        <v>0.39</v>
      </c>
      <c r="AB1738" t="s">
        <v>11312</v>
      </c>
      <c r="AC1738" t="s">
        <v>1704</v>
      </c>
      <c r="AE1738" t="s">
        <v>19271</v>
      </c>
      <c r="AF1738" t="s">
        <v>6043</v>
      </c>
      <c r="AG1738" t="s">
        <v>2304</v>
      </c>
      <c r="AH1738" t="s">
        <v>4516</v>
      </c>
      <c r="AJ1738" t="s">
        <v>164</v>
      </c>
      <c r="AK1738" t="s">
        <v>8078</v>
      </c>
      <c r="AL1738">
        <v>2.96</v>
      </c>
      <c r="AM1738">
        <v>1.81</v>
      </c>
      <c r="AN1738">
        <v>0</v>
      </c>
      <c r="AO1738" t="s">
        <v>4492</v>
      </c>
      <c r="AP1738" t="s">
        <v>1772</v>
      </c>
      <c r="AQ1738" t="s">
        <v>1826</v>
      </c>
      <c r="AR1738" t="s">
        <v>6121</v>
      </c>
      <c r="AS1738" t="s">
        <v>1453</v>
      </c>
      <c r="AT1738" t="s">
        <v>2082</v>
      </c>
      <c r="AU1738" t="s">
        <v>3025</v>
      </c>
      <c r="AV1738" t="s">
        <v>2985</v>
      </c>
      <c r="AW1738" t="s">
        <v>14948</v>
      </c>
      <c r="AX1738" t="s">
        <v>13511</v>
      </c>
      <c r="AY1738" t="s">
        <v>14955</v>
      </c>
      <c r="AZ1738" t="s">
        <v>1687</v>
      </c>
      <c r="BA1738">
        <v>3</v>
      </c>
      <c r="BB1738">
        <v>21.58</v>
      </c>
      <c r="BC1738">
        <v>0.32</v>
      </c>
      <c r="BD1738">
        <v>9.14</v>
      </c>
      <c r="BE1738">
        <v>9.1300000000000008</v>
      </c>
      <c r="BF1738">
        <v>9.1300000000000008</v>
      </c>
      <c r="BG1738" t="s">
        <v>19272</v>
      </c>
      <c r="BH1738" t="s">
        <v>19273</v>
      </c>
      <c r="BI1738" t="s">
        <v>19274</v>
      </c>
      <c r="BJ1738" t="s">
        <v>101</v>
      </c>
      <c r="BK1738" t="s">
        <v>11336</v>
      </c>
      <c r="BL1738" t="s">
        <v>2487</v>
      </c>
      <c r="BM1738" t="s">
        <v>9780</v>
      </c>
      <c r="BN1738" t="s">
        <v>14623</v>
      </c>
    </row>
    <row r="1739" spans="1:66" x14ac:dyDescent="0.25">
      <c r="A1739" t="str">
        <f>HYPERLINK("https://elite.finviz.com/quote.ashx?t=ANIX&amp;ty=c&amp;p=d&amp;b=1", "ANIX")</f>
        <v>ANIX</v>
      </c>
      <c r="B1739">
        <v>6</v>
      </c>
      <c r="C1739">
        <v>127.03</v>
      </c>
      <c r="D1739">
        <v>55.94</v>
      </c>
      <c r="E1739" t="s">
        <v>19275</v>
      </c>
      <c r="F1739" t="s">
        <v>107</v>
      </c>
      <c r="G1739" t="s">
        <v>428</v>
      </c>
      <c r="H1739" t="s">
        <v>429</v>
      </c>
      <c r="I1739" t="s">
        <v>70</v>
      </c>
      <c r="J1739" t="s">
        <v>321</v>
      </c>
      <c r="K1739">
        <v>110.35</v>
      </c>
      <c r="L1739">
        <v>3.35</v>
      </c>
      <c r="M1739" t="s">
        <v>3495</v>
      </c>
      <c r="N1739">
        <v>41062</v>
      </c>
      <c r="S1739">
        <v>6.63</v>
      </c>
      <c r="AA1739">
        <v>-0.34</v>
      </c>
      <c r="AB1739" t="s">
        <v>4269</v>
      </c>
      <c r="AC1739" t="s">
        <v>5552</v>
      </c>
      <c r="AD1739" t="s">
        <v>6956</v>
      </c>
      <c r="AE1739" t="s">
        <v>579</v>
      </c>
      <c r="AI1739" t="s">
        <v>372</v>
      </c>
      <c r="AJ1739" t="s">
        <v>2619</v>
      </c>
      <c r="AK1739" t="s">
        <v>7192</v>
      </c>
      <c r="AL1739">
        <v>8.4499999999999993</v>
      </c>
      <c r="AM1739">
        <v>8.4499999999999993</v>
      </c>
      <c r="AN1739">
        <v>0.01</v>
      </c>
      <c r="AR1739" t="s">
        <v>5685</v>
      </c>
      <c r="AS1739" t="s">
        <v>7978</v>
      </c>
      <c r="AT1739" t="s">
        <v>1872</v>
      </c>
      <c r="AU1739" t="s">
        <v>521</v>
      </c>
      <c r="AV1739" t="s">
        <v>7688</v>
      </c>
      <c r="AW1739" t="s">
        <v>7782</v>
      </c>
      <c r="AX1739" t="s">
        <v>14549</v>
      </c>
      <c r="AY1739" t="s">
        <v>17077</v>
      </c>
      <c r="AZ1739" t="s">
        <v>19276</v>
      </c>
      <c r="BA1739">
        <v>1</v>
      </c>
      <c r="BB1739">
        <v>105.34</v>
      </c>
      <c r="BC1739">
        <v>1.37</v>
      </c>
      <c r="BD1739">
        <v>3.38</v>
      </c>
      <c r="BE1739">
        <v>3.44</v>
      </c>
      <c r="BF1739">
        <v>3.33</v>
      </c>
      <c r="BG1739" t="s">
        <v>19277</v>
      </c>
      <c r="BH1739" t="s">
        <v>2802</v>
      </c>
      <c r="BI1739" t="s">
        <v>19278</v>
      </c>
      <c r="BJ1739" t="s">
        <v>101</v>
      </c>
      <c r="BK1739" t="s">
        <v>1981</v>
      </c>
      <c r="BL1739" t="s">
        <v>2584</v>
      </c>
      <c r="BM1739" t="s">
        <v>8634</v>
      </c>
      <c r="BN1739" t="s">
        <v>14623</v>
      </c>
    </row>
    <row r="1740" spans="1:66" x14ac:dyDescent="0.25">
      <c r="A1740" t="str">
        <f>HYPERLINK("https://elite.finviz.com/quote.ashx?t=R&amp;ty=c&amp;p=d&amp;b=1", "R")</f>
        <v>R</v>
      </c>
      <c r="B1740">
        <v>6</v>
      </c>
      <c r="C1740">
        <v>127.03</v>
      </c>
      <c r="D1740">
        <v>55.94</v>
      </c>
      <c r="E1740" t="s">
        <v>19279</v>
      </c>
      <c r="F1740" t="s">
        <v>107</v>
      </c>
      <c r="G1740" t="s">
        <v>260</v>
      </c>
      <c r="H1740" t="s">
        <v>7905</v>
      </c>
      <c r="I1740" t="s">
        <v>70</v>
      </c>
      <c r="J1740" t="s">
        <v>71</v>
      </c>
      <c r="K1740">
        <v>7646.61</v>
      </c>
      <c r="L1740">
        <v>187.46</v>
      </c>
      <c r="M1740" t="s">
        <v>9136</v>
      </c>
      <c r="N1740">
        <v>81833</v>
      </c>
      <c r="O1740">
        <v>16</v>
      </c>
      <c r="P1740">
        <v>12.4</v>
      </c>
      <c r="Q1740">
        <v>1.28</v>
      </c>
      <c r="R1740">
        <v>0.6</v>
      </c>
      <c r="S1740">
        <v>2.4900000000000002</v>
      </c>
      <c r="T1740" t="s">
        <v>2201</v>
      </c>
      <c r="U1740">
        <v>3.34</v>
      </c>
      <c r="V1740" t="s">
        <v>1440</v>
      </c>
      <c r="W1740" t="s">
        <v>2169</v>
      </c>
      <c r="X1740" t="s">
        <v>1115</v>
      </c>
      <c r="Y1740" t="s">
        <v>1160</v>
      </c>
      <c r="Z1740" t="s">
        <v>18942</v>
      </c>
      <c r="AA1740">
        <v>11.71</v>
      </c>
      <c r="AB1740" t="s">
        <v>4659</v>
      </c>
      <c r="AD1740" t="s">
        <v>4906</v>
      </c>
      <c r="AE1740" t="s">
        <v>2764</v>
      </c>
      <c r="AF1740" t="s">
        <v>3189</v>
      </c>
      <c r="AG1740" t="s">
        <v>1507</v>
      </c>
      <c r="AH1740" t="s">
        <v>430</v>
      </c>
      <c r="AI1740" t="s">
        <v>7541</v>
      </c>
      <c r="AJ1740" t="s">
        <v>13438</v>
      </c>
      <c r="AK1740" t="s">
        <v>12685</v>
      </c>
      <c r="AL1740">
        <v>0.82</v>
      </c>
      <c r="AM1740">
        <v>0.82</v>
      </c>
      <c r="AN1740">
        <v>2.84</v>
      </c>
      <c r="AO1740" t="s">
        <v>2381</v>
      </c>
      <c r="AP1740" t="s">
        <v>712</v>
      </c>
      <c r="AQ1740" t="s">
        <v>6475</v>
      </c>
      <c r="AR1740" t="s">
        <v>3757</v>
      </c>
      <c r="AS1740" t="s">
        <v>910</v>
      </c>
      <c r="AT1740" t="s">
        <v>149</v>
      </c>
      <c r="AU1740" t="s">
        <v>2383</v>
      </c>
      <c r="AV1740" t="s">
        <v>5976</v>
      </c>
      <c r="AW1740" t="s">
        <v>6359</v>
      </c>
      <c r="AX1740" t="s">
        <v>563</v>
      </c>
      <c r="AY1740" t="s">
        <v>6359</v>
      </c>
      <c r="AZ1740" t="s">
        <v>19280</v>
      </c>
      <c r="BA1740">
        <v>1.82</v>
      </c>
      <c r="BB1740">
        <v>333.79</v>
      </c>
      <c r="BC1740">
        <v>0.86</v>
      </c>
      <c r="BD1740">
        <v>184.59</v>
      </c>
      <c r="BE1740">
        <v>188.62</v>
      </c>
      <c r="BF1740">
        <v>184.57</v>
      </c>
      <c r="BG1740" t="s">
        <v>19281</v>
      </c>
      <c r="BH1740" t="s">
        <v>6359</v>
      </c>
      <c r="BI1740" t="s">
        <v>19282</v>
      </c>
      <c r="BJ1740" t="s">
        <v>101</v>
      </c>
      <c r="BK1740" t="s">
        <v>16280</v>
      </c>
      <c r="BL1740" t="s">
        <v>19283</v>
      </c>
      <c r="BM1740" t="s">
        <v>6651</v>
      </c>
      <c r="BN1740" t="s">
        <v>14623</v>
      </c>
    </row>
    <row r="1741" spans="1:66" x14ac:dyDescent="0.25">
      <c r="A1741" t="str">
        <f>HYPERLINK("https://elite.finviz.com/quote.ashx?t=INTG&amp;ty=c&amp;p=d&amp;b=1", "INTG")</f>
        <v>INTG</v>
      </c>
      <c r="B1741">
        <v>6</v>
      </c>
      <c r="C1741">
        <v>127.03</v>
      </c>
      <c r="D1741">
        <v>55.95</v>
      </c>
      <c r="E1741" t="s">
        <v>19284</v>
      </c>
      <c r="F1741" t="s">
        <v>107</v>
      </c>
      <c r="G1741" t="s">
        <v>813</v>
      </c>
      <c r="H1741" t="s">
        <v>16375</v>
      </c>
      <c r="I1741" t="s">
        <v>70</v>
      </c>
      <c r="J1741" t="s">
        <v>321</v>
      </c>
      <c r="K1741">
        <v>38.54</v>
      </c>
      <c r="L1741">
        <v>17.89</v>
      </c>
      <c r="M1741" t="s">
        <v>1202</v>
      </c>
      <c r="N1741">
        <v>277</v>
      </c>
      <c r="R1741">
        <v>0.63</v>
      </c>
      <c r="AA1741">
        <v>-3.48</v>
      </c>
      <c r="AE1741" t="s">
        <v>4966</v>
      </c>
      <c r="AF1741" t="s">
        <v>4934</v>
      </c>
      <c r="AG1741" t="s">
        <v>309</v>
      </c>
      <c r="AH1741" t="s">
        <v>1470</v>
      </c>
      <c r="AJ1741" t="s">
        <v>747</v>
      </c>
      <c r="AK1741" t="s">
        <v>295</v>
      </c>
      <c r="AL1741">
        <v>0.6</v>
      </c>
      <c r="AM1741">
        <v>0.6</v>
      </c>
      <c r="AO1741" t="s">
        <v>2163</v>
      </c>
      <c r="AP1741" t="s">
        <v>4672</v>
      </c>
      <c r="AQ1741" t="s">
        <v>15299</v>
      </c>
      <c r="AR1741" t="s">
        <v>6330</v>
      </c>
      <c r="AS1741" t="s">
        <v>6956</v>
      </c>
      <c r="AT1741" t="s">
        <v>81</v>
      </c>
      <c r="AU1741" t="s">
        <v>10412</v>
      </c>
      <c r="AV1741" t="s">
        <v>4449</v>
      </c>
      <c r="AW1741" t="s">
        <v>1446</v>
      </c>
      <c r="AX1741" t="s">
        <v>19285</v>
      </c>
      <c r="AY1741" t="s">
        <v>1446</v>
      </c>
      <c r="AZ1741" t="s">
        <v>19285</v>
      </c>
      <c r="BB1741">
        <v>5.28</v>
      </c>
      <c r="BC1741">
        <v>0.19</v>
      </c>
      <c r="BD1741">
        <v>18</v>
      </c>
      <c r="BE1741">
        <v>18.12</v>
      </c>
      <c r="BF1741">
        <v>18.12</v>
      </c>
      <c r="BG1741" t="s">
        <v>19286</v>
      </c>
      <c r="BH1741" t="s">
        <v>19287</v>
      </c>
      <c r="BI1741" t="s">
        <v>19288</v>
      </c>
      <c r="BJ1741" t="s">
        <v>101</v>
      </c>
      <c r="BK1741" t="s">
        <v>1138</v>
      </c>
      <c r="BL1741" t="s">
        <v>6577</v>
      </c>
      <c r="BM1741" t="s">
        <v>1272</v>
      </c>
      <c r="BN1741" t="s">
        <v>14623</v>
      </c>
    </row>
    <row r="1742" spans="1:66" x14ac:dyDescent="0.25">
      <c r="A1742" t="str">
        <f>HYPERLINK("https://elite.finviz.com/quote.ashx?t=AAMI&amp;ty=c&amp;p=d&amp;b=1", "AAMI")</f>
        <v>AAMI</v>
      </c>
      <c r="B1742">
        <v>6</v>
      </c>
      <c r="C1742">
        <v>127.03</v>
      </c>
      <c r="D1742">
        <v>55.95</v>
      </c>
      <c r="E1742" t="s">
        <v>19289</v>
      </c>
      <c r="F1742" t="s">
        <v>67</v>
      </c>
      <c r="G1742" t="s">
        <v>550</v>
      </c>
      <c r="H1742" t="s">
        <v>2597</v>
      </c>
      <c r="I1742" t="s">
        <v>70</v>
      </c>
      <c r="J1742" t="s">
        <v>71</v>
      </c>
      <c r="K1742">
        <v>1751.02</v>
      </c>
      <c r="L1742">
        <v>48.9</v>
      </c>
      <c r="M1742" t="s">
        <v>5084</v>
      </c>
      <c r="N1742">
        <v>50234</v>
      </c>
      <c r="O1742">
        <v>20.399999999999999</v>
      </c>
      <c r="P1742">
        <v>11.28</v>
      </c>
      <c r="R1742">
        <v>3.12</v>
      </c>
      <c r="S1742">
        <v>190.33</v>
      </c>
      <c r="T1742" t="s">
        <v>4539</v>
      </c>
      <c r="U1742">
        <v>0.04</v>
      </c>
      <c r="V1742" t="s">
        <v>2620</v>
      </c>
      <c r="W1742" t="s">
        <v>164</v>
      </c>
      <c r="X1742" t="s">
        <v>164</v>
      </c>
      <c r="Y1742" t="s">
        <v>4998</v>
      </c>
      <c r="Z1742" t="s">
        <v>7338</v>
      </c>
      <c r="AA1742">
        <v>2.4</v>
      </c>
      <c r="AB1742" t="s">
        <v>1078</v>
      </c>
      <c r="AC1742" t="s">
        <v>4431</v>
      </c>
      <c r="AE1742" t="s">
        <v>10165</v>
      </c>
      <c r="AF1742" t="s">
        <v>3940</v>
      </c>
      <c r="AG1742" t="s">
        <v>5707</v>
      </c>
      <c r="AH1742" t="s">
        <v>3314</v>
      </c>
      <c r="AI1742" t="s">
        <v>8290</v>
      </c>
      <c r="AJ1742" t="s">
        <v>19290</v>
      </c>
      <c r="AK1742" t="s">
        <v>15544</v>
      </c>
      <c r="AL1742">
        <v>1.71</v>
      </c>
      <c r="AM1742">
        <v>1.71</v>
      </c>
      <c r="AN1742">
        <v>38.950000000000003</v>
      </c>
      <c r="AO1742" t="s">
        <v>19291</v>
      </c>
      <c r="AP1742" t="s">
        <v>2270</v>
      </c>
      <c r="AQ1742" t="s">
        <v>10361</v>
      </c>
      <c r="AR1742" t="s">
        <v>203</v>
      </c>
      <c r="AS1742" t="s">
        <v>3613</v>
      </c>
      <c r="AT1742" t="s">
        <v>3118</v>
      </c>
      <c r="AU1742" t="s">
        <v>8125</v>
      </c>
      <c r="AV1742" t="s">
        <v>19292</v>
      </c>
      <c r="AW1742" t="s">
        <v>6345</v>
      </c>
      <c r="AX1742" t="s">
        <v>19293</v>
      </c>
      <c r="AY1742" t="s">
        <v>6345</v>
      </c>
      <c r="AZ1742" t="s">
        <v>19294</v>
      </c>
      <c r="BA1742">
        <v>3</v>
      </c>
      <c r="BB1742">
        <v>316.77999999999997</v>
      </c>
      <c r="BC1742">
        <v>0.56000000000000005</v>
      </c>
      <c r="BD1742">
        <v>48.05</v>
      </c>
      <c r="BE1742">
        <v>49.19</v>
      </c>
      <c r="BF1742">
        <v>48.45</v>
      </c>
      <c r="BG1742" t="s">
        <v>19295</v>
      </c>
      <c r="BH1742" t="s">
        <v>6345</v>
      </c>
      <c r="BI1742" t="s">
        <v>19296</v>
      </c>
      <c r="BJ1742" t="s">
        <v>101</v>
      </c>
      <c r="BK1742" t="s">
        <v>2238</v>
      </c>
      <c r="BL1742" t="s">
        <v>19297</v>
      </c>
      <c r="BM1742" t="s">
        <v>17803</v>
      </c>
      <c r="BN1742" t="s">
        <v>14623</v>
      </c>
    </row>
    <row r="1743" spans="1:66" x14ac:dyDescent="0.25">
      <c r="A1743" t="str">
        <f>HYPERLINK("https://elite.finviz.com/quote.ashx?t=CHMG&amp;ty=c&amp;p=d&amp;b=1", "CHMG")</f>
        <v>CHMG</v>
      </c>
      <c r="B1743">
        <v>6</v>
      </c>
      <c r="C1743">
        <v>127.03</v>
      </c>
      <c r="D1743">
        <v>55.96</v>
      </c>
      <c r="E1743" t="s">
        <v>19298</v>
      </c>
      <c r="F1743" t="s">
        <v>67</v>
      </c>
      <c r="G1743" t="s">
        <v>550</v>
      </c>
      <c r="H1743" t="s">
        <v>697</v>
      </c>
      <c r="I1743" t="s">
        <v>70</v>
      </c>
      <c r="J1743" t="s">
        <v>321</v>
      </c>
      <c r="K1743">
        <v>256.51</v>
      </c>
      <c r="L1743">
        <v>53.54</v>
      </c>
      <c r="M1743" t="s">
        <v>1409</v>
      </c>
      <c r="N1743">
        <v>1970</v>
      </c>
      <c r="O1743">
        <v>22.57</v>
      </c>
      <c r="P1743">
        <v>7.58</v>
      </c>
      <c r="R1743">
        <v>1.88</v>
      </c>
      <c r="S1743">
        <v>1.0900000000000001</v>
      </c>
      <c r="T1743" t="s">
        <v>744</v>
      </c>
      <c r="U1743">
        <v>1.29</v>
      </c>
      <c r="V1743" t="s">
        <v>5673</v>
      </c>
      <c r="W1743" t="s">
        <v>164</v>
      </c>
      <c r="X1743" t="s">
        <v>1025</v>
      </c>
      <c r="Y1743" t="s">
        <v>3244</v>
      </c>
      <c r="Z1743" t="s">
        <v>3192</v>
      </c>
      <c r="AA1743">
        <v>2.37</v>
      </c>
      <c r="AB1743" t="s">
        <v>842</v>
      </c>
      <c r="AC1743" t="s">
        <v>3076</v>
      </c>
      <c r="AE1743" t="s">
        <v>10586</v>
      </c>
      <c r="AF1743" t="s">
        <v>3888</v>
      </c>
      <c r="AG1743" t="s">
        <v>330</v>
      </c>
      <c r="AH1743" t="s">
        <v>19299</v>
      </c>
      <c r="AI1743" t="s">
        <v>10808</v>
      </c>
      <c r="AJ1743" t="s">
        <v>3024</v>
      </c>
      <c r="AK1743" t="s">
        <v>1278</v>
      </c>
      <c r="AL1743">
        <v>0.2</v>
      </c>
      <c r="AN1743">
        <v>0.46</v>
      </c>
      <c r="AP1743" t="s">
        <v>1064</v>
      </c>
      <c r="AQ1743" t="s">
        <v>5579</v>
      </c>
      <c r="AR1743" t="s">
        <v>1488</v>
      </c>
      <c r="AS1743" t="s">
        <v>5116</v>
      </c>
      <c r="AT1743" t="s">
        <v>3013</v>
      </c>
      <c r="AU1743" t="s">
        <v>387</v>
      </c>
      <c r="AV1743" t="s">
        <v>776</v>
      </c>
      <c r="AW1743" t="s">
        <v>7867</v>
      </c>
      <c r="AX1743" t="s">
        <v>4852</v>
      </c>
      <c r="AY1743" t="s">
        <v>14499</v>
      </c>
      <c r="AZ1743" t="s">
        <v>12428</v>
      </c>
      <c r="BA1743">
        <v>2</v>
      </c>
      <c r="BB1743">
        <v>14.14</v>
      </c>
      <c r="BC1743">
        <v>0.5</v>
      </c>
      <c r="BD1743">
        <v>53.31</v>
      </c>
      <c r="BE1743">
        <v>53.75</v>
      </c>
      <c r="BF1743">
        <v>53.75</v>
      </c>
      <c r="BG1743" t="s">
        <v>19300</v>
      </c>
      <c r="BH1743" t="s">
        <v>1258</v>
      </c>
      <c r="BI1743" t="s">
        <v>19301</v>
      </c>
      <c r="BJ1743" t="s">
        <v>101</v>
      </c>
      <c r="BK1743" t="s">
        <v>3099</v>
      </c>
      <c r="BL1743" t="s">
        <v>9864</v>
      </c>
      <c r="BM1743" t="s">
        <v>1675</v>
      </c>
      <c r="BN1743" t="s">
        <v>14623</v>
      </c>
    </row>
    <row r="1744" spans="1:66" x14ac:dyDescent="0.25">
      <c r="A1744" t="str">
        <f>HYPERLINK("https://elite.finviz.com/quote.ashx?t=DTI&amp;ty=c&amp;p=d&amp;b=1", "DTI")</f>
        <v>DTI</v>
      </c>
      <c r="B1744">
        <v>6</v>
      </c>
      <c r="C1744">
        <v>127.03</v>
      </c>
      <c r="D1744">
        <v>55.96</v>
      </c>
      <c r="E1744" t="s">
        <v>19302</v>
      </c>
      <c r="F1744" t="s">
        <v>107</v>
      </c>
      <c r="G1744" t="s">
        <v>1048</v>
      </c>
      <c r="H1744" t="s">
        <v>8341</v>
      </c>
      <c r="I1744" t="s">
        <v>70</v>
      </c>
      <c r="J1744" t="s">
        <v>321</v>
      </c>
      <c r="K1744">
        <v>82.91</v>
      </c>
      <c r="L1744">
        <v>2.33</v>
      </c>
      <c r="M1744" t="s">
        <v>6056</v>
      </c>
      <c r="N1744">
        <v>25052</v>
      </c>
      <c r="P1744">
        <v>16.61</v>
      </c>
      <c r="R1744">
        <v>0.51</v>
      </c>
      <c r="S1744">
        <v>0.68</v>
      </c>
      <c r="Z1744" t="s">
        <v>164</v>
      </c>
      <c r="AA1744">
        <v>-0.13</v>
      </c>
      <c r="AD1744" t="s">
        <v>7794</v>
      </c>
      <c r="AE1744" t="s">
        <v>1809</v>
      </c>
      <c r="AH1744" t="s">
        <v>5620</v>
      </c>
      <c r="AI1744" t="s">
        <v>19303</v>
      </c>
      <c r="AJ1744" t="s">
        <v>7709</v>
      </c>
      <c r="AK1744" t="s">
        <v>2492</v>
      </c>
      <c r="AL1744">
        <v>2.06</v>
      </c>
      <c r="AM1744">
        <v>1.46</v>
      </c>
      <c r="AN1744">
        <v>0.65</v>
      </c>
      <c r="AO1744" t="s">
        <v>4496</v>
      </c>
      <c r="AP1744" t="s">
        <v>9703</v>
      </c>
      <c r="AQ1744" t="s">
        <v>5686</v>
      </c>
      <c r="AR1744" t="s">
        <v>7629</v>
      </c>
      <c r="AS1744" t="s">
        <v>5911</v>
      </c>
      <c r="AT1744" t="s">
        <v>2584</v>
      </c>
      <c r="AU1744" t="s">
        <v>5838</v>
      </c>
      <c r="AV1744" t="s">
        <v>384</v>
      </c>
      <c r="AW1744" t="s">
        <v>19304</v>
      </c>
      <c r="AX1744" t="s">
        <v>15701</v>
      </c>
      <c r="AY1744" t="s">
        <v>19305</v>
      </c>
      <c r="AZ1744" t="s">
        <v>19306</v>
      </c>
      <c r="BA1744">
        <v>3</v>
      </c>
      <c r="BB1744">
        <v>97.13</v>
      </c>
      <c r="BC1744">
        <v>0.91</v>
      </c>
      <c r="BD1744">
        <v>2.29</v>
      </c>
      <c r="BE1744">
        <v>2.39</v>
      </c>
      <c r="BF1744">
        <v>2.29</v>
      </c>
      <c r="BG1744" t="s">
        <v>19307</v>
      </c>
      <c r="BH1744" t="s">
        <v>19308</v>
      </c>
      <c r="BI1744" t="s">
        <v>19306</v>
      </c>
      <c r="BJ1744" t="s">
        <v>101</v>
      </c>
      <c r="BK1744" t="s">
        <v>6594</v>
      </c>
      <c r="BL1744" t="s">
        <v>14173</v>
      </c>
      <c r="BM1744" t="s">
        <v>2094</v>
      </c>
      <c r="BN1744" t="s">
        <v>14623</v>
      </c>
    </row>
    <row r="1745" spans="1:66" x14ac:dyDescent="0.25">
      <c r="A1745" t="str">
        <f>HYPERLINK("https://elite.finviz.com/quote.ashx?t=NXL&amp;ty=c&amp;p=d&amp;b=1", "NXL")</f>
        <v>NXL</v>
      </c>
      <c r="B1745">
        <v>6</v>
      </c>
      <c r="C1745">
        <v>127.03</v>
      </c>
      <c r="D1745">
        <v>55.98</v>
      </c>
      <c r="E1745" t="s">
        <v>19309</v>
      </c>
      <c r="F1745" t="s">
        <v>107</v>
      </c>
      <c r="G1745" t="s">
        <v>428</v>
      </c>
      <c r="H1745" t="s">
        <v>2051</v>
      </c>
      <c r="I1745" t="s">
        <v>70</v>
      </c>
      <c r="J1745" t="s">
        <v>321</v>
      </c>
      <c r="K1745">
        <v>17.100000000000001</v>
      </c>
      <c r="L1745">
        <v>0.97</v>
      </c>
      <c r="M1745" t="s">
        <v>4902</v>
      </c>
      <c r="N1745">
        <v>80936</v>
      </c>
      <c r="R1745">
        <v>100.58</v>
      </c>
      <c r="S1745">
        <v>2.83</v>
      </c>
      <c r="AA1745">
        <v>-0.69</v>
      </c>
      <c r="AB1745" t="s">
        <v>3226</v>
      </c>
      <c r="AC1745" t="s">
        <v>331</v>
      </c>
      <c r="AE1745" t="s">
        <v>1150</v>
      </c>
      <c r="AF1745" t="s">
        <v>3602</v>
      </c>
      <c r="AG1745" t="s">
        <v>5273</v>
      </c>
      <c r="AH1745" t="s">
        <v>19310</v>
      </c>
      <c r="AI1745" t="s">
        <v>164</v>
      </c>
      <c r="AJ1745" t="s">
        <v>164</v>
      </c>
      <c r="AK1745" t="s">
        <v>8808</v>
      </c>
      <c r="AL1745">
        <v>10.44</v>
      </c>
      <c r="AM1745">
        <v>10.15</v>
      </c>
      <c r="AN1745">
        <v>0</v>
      </c>
      <c r="AO1745" t="s">
        <v>19311</v>
      </c>
      <c r="AP1745" t="s">
        <v>19312</v>
      </c>
      <c r="AQ1745" t="s">
        <v>19313</v>
      </c>
      <c r="AR1745" t="s">
        <v>73</v>
      </c>
      <c r="AS1745" t="s">
        <v>2555</v>
      </c>
      <c r="AT1745" t="s">
        <v>2625</v>
      </c>
      <c r="AU1745" t="s">
        <v>3433</v>
      </c>
      <c r="AV1745" t="s">
        <v>19314</v>
      </c>
      <c r="AW1745" t="s">
        <v>3163</v>
      </c>
      <c r="AX1745" t="s">
        <v>19315</v>
      </c>
      <c r="AY1745" t="s">
        <v>5236</v>
      </c>
      <c r="AZ1745" t="s">
        <v>2798</v>
      </c>
      <c r="BA1745">
        <v>1</v>
      </c>
      <c r="BB1745">
        <v>990.82</v>
      </c>
      <c r="BC1745">
        <v>0.28999999999999998</v>
      </c>
      <c r="BD1745">
        <v>0.96</v>
      </c>
      <c r="BE1745">
        <v>0.99</v>
      </c>
      <c r="BF1745">
        <v>0.95</v>
      </c>
      <c r="BG1745" t="s">
        <v>19316</v>
      </c>
      <c r="BH1745" t="s">
        <v>5236</v>
      </c>
      <c r="BI1745" t="s">
        <v>19317</v>
      </c>
      <c r="BJ1745" t="s">
        <v>101</v>
      </c>
      <c r="BK1745" t="s">
        <v>3066</v>
      </c>
      <c r="BL1745" t="s">
        <v>15740</v>
      </c>
      <c r="BM1745" t="s">
        <v>13116</v>
      </c>
      <c r="BN1745" t="s">
        <v>14623</v>
      </c>
    </row>
    <row r="1746" spans="1:66" x14ac:dyDescent="0.25">
      <c r="A1746" t="str">
        <f>HYPERLINK("https://elite.finviz.com/quote.ashx?t=MGTX&amp;ty=c&amp;p=d&amp;b=1", "MGTX")</f>
        <v>MGTX</v>
      </c>
      <c r="B1746">
        <v>6</v>
      </c>
      <c r="C1746">
        <v>127.03</v>
      </c>
      <c r="D1746">
        <v>55.98</v>
      </c>
      <c r="E1746" t="s">
        <v>19318</v>
      </c>
      <c r="F1746" t="s">
        <v>67</v>
      </c>
      <c r="G1746" t="s">
        <v>428</v>
      </c>
      <c r="H1746" t="s">
        <v>429</v>
      </c>
      <c r="I1746" t="s">
        <v>70</v>
      </c>
      <c r="J1746" t="s">
        <v>321</v>
      </c>
      <c r="K1746">
        <v>649.61</v>
      </c>
      <c r="L1746">
        <v>8.07</v>
      </c>
      <c r="M1746" t="s">
        <v>7598</v>
      </c>
      <c r="N1746">
        <v>33739</v>
      </c>
      <c r="P1746">
        <v>91.76</v>
      </c>
      <c r="R1746">
        <v>17.13</v>
      </c>
      <c r="S1746">
        <v>219.49</v>
      </c>
      <c r="AA1746">
        <v>-2.04</v>
      </c>
      <c r="AB1746" t="s">
        <v>15594</v>
      </c>
      <c r="AC1746" t="s">
        <v>19319</v>
      </c>
      <c r="AD1746" t="s">
        <v>4292</v>
      </c>
      <c r="AE1746" t="s">
        <v>19320</v>
      </c>
      <c r="AF1746" t="s">
        <v>5621</v>
      </c>
      <c r="AG1746" t="s">
        <v>718</v>
      </c>
      <c r="AH1746" t="s">
        <v>19321</v>
      </c>
      <c r="AI1746" t="s">
        <v>4131</v>
      </c>
      <c r="AJ1746" t="s">
        <v>8932</v>
      </c>
      <c r="AK1746" t="s">
        <v>2803</v>
      </c>
      <c r="AL1746">
        <v>0.88</v>
      </c>
      <c r="AM1746">
        <v>0.88</v>
      </c>
      <c r="AN1746">
        <v>27.19</v>
      </c>
      <c r="AO1746" t="s">
        <v>6253</v>
      </c>
      <c r="AP1746" t="s">
        <v>19322</v>
      </c>
      <c r="AQ1746" t="s">
        <v>19323</v>
      </c>
      <c r="AR1746" t="s">
        <v>283</v>
      </c>
      <c r="AS1746" t="s">
        <v>8966</v>
      </c>
      <c r="AT1746" t="s">
        <v>4393</v>
      </c>
      <c r="AU1746" t="s">
        <v>7437</v>
      </c>
      <c r="AV1746" t="s">
        <v>6393</v>
      </c>
      <c r="AW1746" t="s">
        <v>15856</v>
      </c>
      <c r="AX1746" t="s">
        <v>12293</v>
      </c>
      <c r="AY1746" t="s">
        <v>10461</v>
      </c>
      <c r="AZ1746" t="s">
        <v>13061</v>
      </c>
      <c r="BA1746">
        <v>1</v>
      </c>
      <c r="BB1746">
        <v>464.09</v>
      </c>
      <c r="BC1746">
        <v>0.26</v>
      </c>
      <c r="BD1746">
        <v>8.19</v>
      </c>
      <c r="BE1746">
        <v>8.24</v>
      </c>
      <c r="BF1746">
        <v>8.01</v>
      </c>
      <c r="BG1746" t="s">
        <v>19324</v>
      </c>
      <c r="BH1746" t="s">
        <v>3006</v>
      </c>
      <c r="BI1746" t="s">
        <v>19325</v>
      </c>
      <c r="BJ1746" t="s">
        <v>101</v>
      </c>
      <c r="BK1746" t="s">
        <v>10270</v>
      </c>
      <c r="BL1746" t="s">
        <v>5212</v>
      </c>
      <c r="BM1746" t="s">
        <v>9307</v>
      </c>
      <c r="BN1746" t="s">
        <v>14623</v>
      </c>
    </row>
    <row r="1747" spans="1:66" x14ac:dyDescent="0.25">
      <c r="A1747" t="str">
        <f>HYPERLINK("https://elite.finviz.com/quote.ashx?t=DTSQ&amp;ty=c&amp;p=d&amp;b=1", "DTSQ")</f>
        <v>DTSQ</v>
      </c>
      <c r="B1747">
        <v>6</v>
      </c>
      <c r="C1747">
        <v>127.03</v>
      </c>
      <c r="D1747">
        <v>56.01</v>
      </c>
      <c r="E1747" t="s">
        <v>19326</v>
      </c>
      <c r="F1747" t="s">
        <v>107</v>
      </c>
      <c r="G1747" t="s">
        <v>550</v>
      </c>
      <c r="H1747" t="s">
        <v>2120</v>
      </c>
      <c r="I1747" t="s">
        <v>70</v>
      </c>
      <c r="J1747" t="s">
        <v>321</v>
      </c>
      <c r="K1747">
        <v>93.54</v>
      </c>
      <c r="L1747">
        <v>10.51</v>
      </c>
      <c r="M1747" t="s">
        <v>2757</v>
      </c>
      <c r="N1747">
        <v>5</v>
      </c>
      <c r="O1747">
        <v>37.299999999999997</v>
      </c>
      <c r="S1747">
        <v>1.31</v>
      </c>
      <c r="Z1747" t="s">
        <v>164</v>
      </c>
      <c r="AA1747">
        <v>0.28000000000000003</v>
      </c>
      <c r="AJ1747" t="s">
        <v>164</v>
      </c>
      <c r="AK1747" t="s">
        <v>19327</v>
      </c>
      <c r="AL1747">
        <v>2.85</v>
      </c>
      <c r="AM1747">
        <v>2.85</v>
      </c>
      <c r="AN1747">
        <v>0</v>
      </c>
      <c r="AR1747" t="s">
        <v>164</v>
      </c>
      <c r="AS1747" t="s">
        <v>4237</v>
      </c>
      <c r="AT1747" t="s">
        <v>2646</v>
      </c>
      <c r="AU1747" t="s">
        <v>6478</v>
      </c>
      <c r="AV1747" t="s">
        <v>2356</v>
      </c>
      <c r="AW1747" t="s">
        <v>8607</v>
      </c>
      <c r="AX1747" t="s">
        <v>3035</v>
      </c>
      <c r="AY1747" t="s">
        <v>8607</v>
      </c>
      <c r="AZ1747" t="s">
        <v>2542</v>
      </c>
      <c r="BB1747">
        <v>26.97</v>
      </c>
      <c r="BC1747">
        <v>0</v>
      </c>
      <c r="BD1747">
        <v>10.5</v>
      </c>
      <c r="BE1747">
        <v>10.46</v>
      </c>
      <c r="BF1747">
        <v>10.46</v>
      </c>
      <c r="BG1747" t="s">
        <v>19328</v>
      </c>
      <c r="BH1747" t="s">
        <v>2880</v>
      </c>
      <c r="BI1747" t="s">
        <v>7682</v>
      </c>
      <c r="BJ1747" t="s">
        <v>101</v>
      </c>
      <c r="BK1747" t="s">
        <v>2234</v>
      </c>
      <c r="BL1747" t="s">
        <v>6956</v>
      </c>
      <c r="BN1747" t="s">
        <v>14623</v>
      </c>
    </row>
    <row r="1748" spans="1:66" x14ac:dyDescent="0.25">
      <c r="A1748" t="str">
        <f>HYPERLINK("https://elite.finviz.com/quote.ashx?t=NRP&amp;ty=c&amp;p=d&amp;b=1", "NRP")</f>
        <v>NRP</v>
      </c>
      <c r="B1748">
        <v>6</v>
      </c>
      <c r="C1748">
        <v>127.03</v>
      </c>
      <c r="D1748">
        <v>56.02</v>
      </c>
      <c r="E1748" t="s">
        <v>19329</v>
      </c>
      <c r="F1748" t="s">
        <v>107</v>
      </c>
      <c r="G1748" t="s">
        <v>1048</v>
      </c>
      <c r="H1748" t="s">
        <v>2807</v>
      </c>
      <c r="I1748" t="s">
        <v>70</v>
      </c>
      <c r="J1748" t="s">
        <v>71</v>
      </c>
      <c r="K1748">
        <v>1359.27</v>
      </c>
      <c r="L1748">
        <v>103.46</v>
      </c>
      <c r="M1748" t="s">
        <v>2646</v>
      </c>
      <c r="N1748">
        <v>1633</v>
      </c>
      <c r="O1748">
        <v>9.7200000000000006</v>
      </c>
      <c r="R1748">
        <v>6.19</v>
      </c>
      <c r="S1748">
        <v>2.34</v>
      </c>
      <c r="T1748" t="s">
        <v>5425</v>
      </c>
      <c r="U1748">
        <v>2.98</v>
      </c>
      <c r="V1748" t="s">
        <v>10236</v>
      </c>
      <c r="W1748" t="s">
        <v>164</v>
      </c>
      <c r="X1748" t="s">
        <v>731</v>
      </c>
      <c r="Y1748" t="s">
        <v>10073</v>
      </c>
      <c r="Z1748" t="s">
        <v>1928</v>
      </c>
      <c r="AA1748">
        <v>10.64</v>
      </c>
      <c r="AB1748" t="s">
        <v>5374</v>
      </c>
      <c r="AE1748" t="s">
        <v>19330</v>
      </c>
      <c r="AF1748" t="s">
        <v>484</v>
      </c>
      <c r="AG1748" t="s">
        <v>1932</v>
      </c>
      <c r="AH1748" t="s">
        <v>9977</v>
      </c>
      <c r="AJ1748" t="s">
        <v>2468</v>
      </c>
      <c r="AK1748" t="s">
        <v>4991</v>
      </c>
      <c r="AL1748">
        <v>2.2000000000000002</v>
      </c>
      <c r="AM1748">
        <v>2.2000000000000002</v>
      </c>
      <c r="AN1748">
        <v>0.17</v>
      </c>
      <c r="AO1748" t="s">
        <v>7764</v>
      </c>
      <c r="AP1748" t="s">
        <v>5590</v>
      </c>
      <c r="AQ1748" t="s">
        <v>19331</v>
      </c>
      <c r="AR1748" t="s">
        <v>2424</v>
      </c>
      <c r="AS1748" t="s">
        <v>1129</v>
      </c>
      <c r="AT1748" t="s">
        <v>2785</v>
      </c>
      <c r="AU1748" t="s">
        <v>84</v>
      </c>
      <c r="AV1748" t="s">
        <v>5660</v>
      </c>
      <c r="AW1748" t="s">
        <v>5928</v>
      </c>
      <c r="AX1748" t="s">
        <v>3601</v>
      </c>
      <c r="AY1748" t="s">
        <v>1529</v>
      </c>
      <c r="AZ1748" t="s">
        <v>8322</v>
      </c>
      <c r="BA1748">
        <v>3</v>
      </c>
      <c r="BB1748">
        <v>19.649999999999999</v>
      </c>
      <c r="BC1748">
        <v>0.3</v>
      </c>
      <c r="BD1748">
        <v>103.16</v>
      </c>
      <c r="BE1748">
        <v>102.79</v>
      </c>
      <c r="BF1748">
        <v>102.79</v>
      </c>
      <c r="BG1748" t="s">
        <v>19332</v>
      </c>
      <c r="BH1748" t="s">
        <v>17724</v>
      </c>
      <c r="BI1748" t="s">
        <v>19333</v>
      </c>
      <c r="BJ1748" t="s">
        <v>101</v>
      </c>
      <c r="BK1748" t="s">
        <v>2499</v>
      </c>
      <c r="BL1748" t="s">
        <v>12781</v>
      </c>
      <c r="BM1748" t="s">
        <v>3146</v>
      </c>
      <c r="BN1748" t="s">
        <v>14623</v>
      </c>
    </row>
    <row r="1749" spans="1:66" x14ac:dyDescent="0.25">
      <c r="A1749" t="str">
        <f>HYPERLINK("https://elite.finviz.com/quote.ashx?t=CBFV&amp;ty=c&amp;p=d&amp;b=1", "CBFV")</f>
        <v>CBFV</v>
      </c>
      <c r="B1749">
        <v>6</v>
      </c>
      <c r="C1749">
        <v>127.03</v>
      </c>
      <c r="D1749">
        <v>56.02</v>
      </c>
      <c r="E1749" t="s">
        <v>19334</v>
      </c>
      <c r="F1749" t="s">
        <v>67</v>
      </c>
      <c r="G1749" t="s">
        <v>550</v>
      </c>
      <c r="H1749" t="s">
        <v>697</v>
      </c>
      <c r="I1749" t="s">
        <v>70</v>
      </c>
      <c r="J1749" t="s">
        <v>321</v>
      </c>
      <c r="K1749">
        <v>166.74</v>
      </c>
      <c r="L1749">
        <v>33.44</v>
      </c>
      <c r="M1749" t="s">
        <v>2176</v>
      </c>
      <c r="N1749">
        <v>1465</v>
      </c>
      <c r="O1749">
        <v>15.57</v>
      </c>
      <c r="P1749">
        <v>11.04</v>
      </c>
      <c r="R1749">
        <v>2.08</v>
      </c>
      <c r="S1749">
        <v>1.1200000000000001</v>
      </c>
      <c r="T1749" t="s">
        <v>2735</v>
      </c>
      <c r="U1749">
        <v>1.01</v>
      </c>
      <c r="V1749" t="s">
        <v>3046</v>
      </c>
      <c r="W1749" t="s">
        <v>164</v>
      </c>
      <c r="X1749" t="s">
        <v>4856</v>
      </c>
      <c r="Y1749" t="s">
        <v>969</v>
      </c>
      <c r="Z1749" t="s">
        <v>9467</v>
      </c>
      <c r="AA1749">
        <v>2.15</v>
      </c>
      <c r="AB1749" t="s">
        <v>6150</v>
      </c>
      <c r="AC1749" t="s">
        <v>3559</v>
      </c>
      <c r="AE1749" t="s">
        <v>3073</v>
      </c>
      <c r="AF1749" t="s">
        <v>1161</v>
      </c>
      <c r="AG1749" t="s">
        <v>6183</v>
      </c>
      <c r="AH1749" t="s">
        <v>4849</v>
      </c>
      <c r="AI1749" t="s">
        <v>19335</v>
      </c>
      <c r="AJ1749" t="s">
        <v>4155</v>
      </c>
      <c r="AK1749" t="s">
        <v>19336</v>
      </c>
      <c r="AL1749">
        <v>0.06</v>
      </c>
      <c r="AN1749">
        <v>0.25</v>
      </c>
      <c r="AP1749" t="s">
        <v>4314</v>
      </c>
      <c r="AQ1749" t="s">
        <v>4315</v>
      </c>
      <c r="AR1749" t="s">
        <v>4216</v>
      </c>
      <c r="AS1749" t="s">
        <v>4276</v>
      </c>
      <c r="AT1749" t="s">
        <v>439</v>
      </c>
      <c r="AU1749" t="s">
        <v>5369</v>
      </c>
      <c r="AV1749" t="s">
        <v>5224</v>
      </c>
      <c r="AW1749" t="s">
        <v>9511</v>
      </c>
      <c r="AX1749" t="s">
        <v>2885</v>
      </c>
      <c r="AY1749" t="s">
        <v>9511</v>
      </c>
      <c r="AZ1749" t="s">
        <v>19337</v>
      </c>
      <c r="BA1749">
        <v>2.33</v>
      </c>
      <c r="BB1749">
        <v>25.39</v>
      </c>
      <c r="BC1749">
        <v>0.21</v>
      </c>
      <c r="BD1749">
        <v>33.89</v>
      </c>
      <c r="BE1749">
        <v>33.86</v>
      </c>
      <c r="BF1749">
        <v>33.44</v>
      </c>
      <c r="BG1749" t="s">
        <v>19338</v>
      </c>
      <c r="BH1749" t="s">
        <v>7190</v>
      </c>
      <c r="BI1749" t="s">
        <v>19339</v>
      </c>
      <c r="BJ1749" t="s">
        <v>101</v>
      </c>
      <c r="BK1749" t="s">
        <v>3128</v>
      </c>
      <c r="BL1749" t="s">
        <v>11027</v>
      </c>
      <c r="BM1749" t="s">
        <v>11368</v>
      </c>
      <c r="BN1749" t="s">
        <v>14623</v>
      </c>
    </row>
    <row r="1750" spans="1:66" x14ac:dyDescent="0.25">
      <c r="A1750" t="str">
        <f>HYPERLINK("https://elite.finviz.com/quote.ashx?t=VMI&amp;ty=c&amp;p=d&amp;b=1", "VMI")</f>
        <v>VMI</v>
      </c>
      <c r="B1750">
        <v>6</v>
      </c>
      <c r="C1750">
        <v>127.03</v>
      </c>
      <c r="D1750">
        <v>56.03</v>
      </c>
      <c r="E1750" t="s">
        <v>19340</v>
      </c>
      <c r="F1750" t="s">
        <v>107</v>
      </c>
      <c r="G1750" t="s">
        <v>260</v>
      </c>
      <c r="H1750" t="s">
        <v>2508</v>
      </c>
      <c r="I1750" t="s">
        <v>70</v>
      </c>
      <c r="J1750" t="s">
        <v>71</v>
      </c>
      <c r="K1750">
        <v>7513.16</v>
      </c>
      <c r="L1750">
        <v>380.64</v>
      </c>
      <c r="M1750" t="s">
        <v>3020</v>
      </c>
      <c r="N1750">
        <v>52862</v>
      </c>
      <c r="O1750">
        <v>35.43</v>
      </c>
      <c r="P1750">
        <v>18.22</v>
      </c>
      <c r="Q1750">
        <v>3.36</v>
      </c>
      <c r="R1750">
        <v>1.84</v>
      </c>
      <c r="S1750">
        <v>6.86</v>
      </c>
      <c r="T1750" t="s">
        <v>4865</v>
      </c>
      <c r="U1750">
        <v>2.64</v>
      </c>
      <c r="V1750" t="s">
        <v>4741</v>
      </c>
      <c r="W1750" t="s">
        <v>164</v>
      </c>
      <c r="X1750" t="s">
        <v>6593</v>
      </c>
      <c r="Y1750" t="s">
        <v>1066</v>
      </c>
      <c r="Z1750" t="s">
        <v>11319</v>
      </c>
      <c r="AA1750">
        <v>10.74</v>
      </c>
      <c r="AB1750" t="s">
        <v>1508</v>
      </c>
      <c r="AC1750" t="s">
        <v>10795</v>
      </c>
      <c r="AD1750" t="s">
        <v>11544</v>
      </c>
      <c r="AE1750" t="s">
        <v>1998</v>
      </c>
      <c r="AF1750" t="s">
        <v>5395</v>
      </c>
      <c r="AG1750" t="s">
        <v>484</v>
      </c>
      <c r="AH1750" t="s">
        <v>2610</v>
      </c>
      <c r="AI1750" t="s">
        <v>975</v>
      </c>
      <c r="AJ1750" t="s">
        <v>4879</v>
      </c>
      <c r="AK1750" t="s">
        <v>19341</v>
      </c>
      <c r="AL1750">
        <v>2.15</v>
      </c>
      <c r="AM1750">
        <v>1.44</v>
      </c>
      <c r="AN1750">
        <v>0.56000000000000005</v>
      </c>
      <c r="AO1750" t="s">
        <v>3260</v>
      </c>
      <c r="AP1750" t="s">
        <v>9736</v>
      </c>
      <c r="AQ1750" t="s">
        <v>4428</v>
      </c>
      <c r="AR1750" t="s">
        <v>5071</v>
      </c>
      <c r="AS1750" t="s">
        <v>352</v>
      </c>
      <c r="AT1750" t="s">
        <v>3487</v>
      </c>
      <c r="AU1750" t="s">
        <v>5188</v>
      </c>
      <c r="AV1750" t="s">
        <v>3841</v>
      </c>
      <c r="AW1750" t="s">
        <v>4150</v>
      </c>
      <c r="AX1750" t="s">
        <v>6343</v>
      </c>
      <c r="AY1750" t="s">
        <v>4150</v>
      </c>
      <c r="AZ1750" t="s">
        <v>14843</v>
      </c>
      <c r="BA1750">
        <v>1.86</v>
      </c>
      <c r="BB1750">
        <v>199.51</v>
      </c>
      <c r="BC1750">
        <v>0.93</v>
      </c>
      <c r="BD1750">
        <v>364.66</v>
      </c>
      <c r="BE1750">
        <v>383.23</v>
      </c>
      <c r="BF1750">
        <v>372</v>
      </c>
      <c r="BG1750" t="s">
        <v>19342</v>
      </c>
      <c r="BH1750" t="s">
        <v>4150</v>
      </c>
      <c r="BI1750" t="s">
        <v>19343</v>
      </c>
      <c r="BJ1750" t="s">
        <v>101</v>
      </c>
      <c r="BK1750" t="s">
        <v>3531</v>
      </c>
      <c r="BL1750" t="s">
        <v>8237</v>
      </c>
      <c r="BM1750" t="s">
        <v>1366</v>
      </c>
      <c r="BN1750" t="s">
        <v>14623</v>
      </c>
    </row>
    <row r="1751" spans="1:66" x14ac:dyDescent="0.25">
      <c r="A1751" t="str">
        <f>HYPERLINK("https://elite.finviz.com/quote.ashx?t=CDIO&amp;ty=c&amp;p=d&amp;b=1", "CDIO")</f>
        <v>CDIO</v>
      </c>
      <c r="B1751">
        <v>6</v>
      </c>
      <c r="C1751">
        <v>127.03</v>
      </c>
      <c r="D1751">
        <v>56.03</v>
      </c>
      <c r="E1751" t="s">
        <v>19344</v>
      </c>
      <c r="F1751" t="s">
        <v>107</v>
      </c>
      <c r="G1751" t="s">
        <v>428</v>
      </c>
      <c r="H1751" t="s">
        <v>429</v>
      </c>
      <c r="I1751" t="s">
        <v>70</v>
      </c>
      <c r="J1751" t="s">
        <v>321</v>
      </c>
      <c r="K1751">
        <v>7.23</v>
      </c>
      <c r="L1751">
        <v>4.0999999999999996</v>
      </c>
      <c r="M1751" t="s">
        <v>1338</v>
      </c>
      <c r="N1751">
        <v>4436</v>
      </c>
      <c r="R1751">
        <v>361.53</v>
      </c>
      <c r="S1751">
        <v>0.73</v>
      </c>
      <c r="AA1751">
        <v>-4.66</v>
      </c>
      <c r="AB1751" t="s">
        <v>2163</v>
      </c>
      <c r="AE1751" t="s">
        <v>19345</v>
      </c>
      <c r="AF1751" t="s">
        <v>19346</v>
      </c>
      <c r="AH1751" t="s">
        <v>5558</v>
      </c>
      <c r="AI1751" t="s">
        <v>164</v>
      </c>
      <c r="AJ1751" t="s">
        <v>164</v>
      </c>
      <c r="AK1751" t="s">
        <v>121</v>
      </c>
      <c r="AL1751">
        <v>23.55</v>
      </c>
      <c r="AM1751">
        <v>23.55</v>
      </c>
      <c r="AN1751">
        <v>0.06</v>
      </c>
      <c r="AO1751" t="s">
        <v>19347</v>
      </c>
      <c r="AP1751" t="s">
        <v>19348</v>
      </c>
      <c r="AQ1751" t="s">
        <v>19349</v>
      </c>
      <c r="AR1751" t="s">
        <v>3146</v>
      </c>
      <c r="AS1751" t="s">
        <v>521</v>
      </c>
      <c r="AT1751" t="s">
        <v>4957</v>
      </c>
      <c r="AU1751" t="s">
        <v>7978</v>
      </c>
      <c r="AV1751" t="s">
        <v>19350</v>
      </c>
      <c r="AW1751" t="s">
        <v>19351</v>
      </c>
      <c r="AX1751" t="s">
        <v>12993</v>
      </c>
      <c r="AY1751" t="s">
        <v>9392</v>
      </c>
      <c r="AZ1751" t="s">
        <v>6358</v>
      </c>
      <c r="BA1751">
        <v>1</v>
      </c>
      <c r="BB1751">
        <v>34.270000000000003</v>
      </c>
      <c r="BC1751">
        <v>0.46</v>
      </c>
      <c r="BD1751">
        <v>4.0599999999999996</v>
      </c>
      <c r="BE1751">
        <v>4.25</v>
      </c>
      <c r="BF1751">
        <v>4</v>
      </c>
      <c r="BG1751" t="s">
        <v>19352</v>
      </c>
      <c r="BH1751" t="s">
        <v>19353</v>
      </c>
      <c r="BI1751" t="s">
        <v>6358</v>
      </c>
      <c r="BJ1751" t="s">
        <v>101</v>
      </c>
      <c r="BK1751" t="s">
        <v>7116</v>
      </c>
      <c r="BL1751" t="s">
        <v>19354</v>
      </c>
      <c r="BM1751" t="s">
        <v>4951</v>
      </c>
      <c r="BN1751" t="s">
        <v>14623</v>
      </c>
    </row>
    <row r="1752" spans="1:66" x14ac:dyDescent="0.25">
      <c r="A1752" t="str">
        <f>HYPERLINK("https://elite.finviz.com/quote.ashx?t=BRID&amp;ty=c&amp;p=d&amp;b=1", "BRID")</f>
        <v>BRID</v>
      </c>
      <c r="B1752">
        <v>6</v>
      </c>
      <c r="C1752">
        <v>127.03</v>
      </c>
      <c r="D1752">
        <v>56.03</v>
      </c>
      <c r="E1752" t="s">
        <v>19355</v>
      </c>
      <c r="F1752" t="s">
        <v>107</v>
      </c>
      <c r="G1752" t="s">
        <v>2244</v>
      </c>
      <c r="H1752" t="s">
        <v>3269</v>
      </c>
      <c r="I1752" t="s">
        <v>70</v>
      </c>
      <c r="J1752" t="s">
        <v>321</v>
      </c>
      <c r="K1752">
        <v>72.84</v>
      </c>
      <c r="L1752">
        <v>8.02</v>
      </c>
      <c r="M1752" t="s">
        <v>3890</v>
      </c>
      <c r="N1752">
        <v>740</v>
      </c>
      <c r="R1752">
        <v>0.32</v>
      </c>
      <c r="S1752">
        <v>0.6</v>
      </c>
      <c r="V1752" t="s">
        <v>19356</v>
      </c>
      <c r="AA1752">
        <v>-0.8</v>
      </c>
      <c r="AB1752" t="s">
        <v>1342</v>
      </c>
      <c r="AE1752" t="s">
        <v>7808</v>
      </c>
      <c r="AF1752" t="s">
        <v>10819</v>
      </c>
      <c r="AG1752" t="s">
        <v>6150</v>
      </c>
      <c r="AH1752" t="s">
        <v>5090</v>
      </c>
      <c r="AJ1752" t="s">
        <v>3456</v>
      </c>
      <c r="AK1752" t="s">
        <v>4393</v>
      </c>
      <c r="AL1752">
        <v>3.54</v>
      </c>
      <c r="AM1752">
        <v>1.48</v>
      </c>
      <c r="AN1752">
        <v>0.05</v>
      </c>
      <c r="AO1752" t="s">
        <v>3353</v>
      </c>
      <c r="AP1752" t="s">
        <v>4210</v>
      </c>
      <c r="AQ1752" t="s">
        <v>3554</v>
      </c>
      <c r="AR1752" t="s">
        <v>1559</v>
      </c>
      <c r="AS1752" t="s">
        <v>5425</v>
      </c>
      <c r="AT1752" t="s">
        <v>1760</v>
      </c>
      <c r="AU1752" t="s">
        <v>756</v>
      </c>
      <c r="AV1752" t="s">
        <v>5409</v>
      </c>
      <c r="AW1752" t="s">
        <v>1272</v>
      </c>
      <c r="AX1752" t="s">
        <v>12383</v>
      </c>
      <c r="AY1752" t="s">
        <v>5284</v>
      </c>
      <c r="AZ1752" t="s">
        <v>12383</v>
      </c>
      <c r="BB1752">
        <v>4.8499999999999996</v>
      </c>
      <c r="BC1752">
        <v>0.54</v>
      </c>
      <c r="BD1752">
        <v>8.0500000000000007</v>
      </c>
      <c r="BE1752">
        <v>8.1</v>
      </c>
      <c r="BF1752">
        <v>8.01</v>
      </c>
      <c r="BG1752" t="s">
        <v>19357</v>
      </c>
      <c r="BH1752" t="s">
        <v>19358</v>
      </c>
      <c r="BI1752" t="s">
        <v>19359</v>
      </c>
      <c r="BJ1752" t="s">
        <v>101</v>
      </c>
      <c r="BK1752" t="s">
        <v>3950</v>
      </c>
      <c r="BL1752" t="s">
        <v>19360</v>
      </c>
      <c r="BM1752" t="s">
        <v>15437</v>
      </c>
      <c r="BN1752" t="s">
        <v>14623</v>
      </c>
    </row>
    <row r="1753" spans="1:66" x14ac:dyDescent="0.25">
      <c r="A1753" t="str">
        <f>HYPERLINK("https://elite.finviz.com/quote.ashx?t=OZ&amp;ty=c&amp;p=d&amp;b=1", "OZ")</f>
        <v>OZ</v>
      </c>
      <c r="B1753">
        <v>6</v>
      </c>
      <c r="C1753">
        <v>127.03</v>
      </c>
      <c r="D1753">
        <v>56.04</v>
      </c>
      <c r="E1753" t="s">
        <v>19361</v>
      </c>
      <c r="F1753" t="s">
        <v>107</v>
      </c>
      <c r="G1753" t="s">
        <v>68</v>
      </c>
      <c r="H1753" t="s">
        <v>11109</v>
      </c>
      <c r="I1753" t="s">
        <v>70</v>
      </c>
      <c r="J1753" t="s">
        <v>383</v>
      </c>
      <c r="K1753">
        <v>250.66</v>
      </c>
      <c r="L1753">
        <v>64.489999999999995</v>
      </c>
      <c r="M1753" t="s">
        <v>8228</v>
      </c>
      <c r="N1753">
        <v>1</v>
      </c>
      <c r="R1753">
        <v>43.97</v>
      </c>
      <c r="S1753">
        <v>0.81</v>
      </c>
      <c r="AA1753">
        <v>-8.56</v>
      </c>
      <c r="AB1753" t="s">
        <v>4824</v>
      </c>
      <c r="AC1753" t="s">
        <v>19362</v>
      </c>
      <c r="AE1753" t="s">
        <v>19363</v>
      </c>
      <c r="AF1753" t="s">
        <v>19364</v>
      </c>
      <c r="AG1753" t="s">
        <v>19365</v>
      </c>
      <c r="AH1753" t="s">
        <v>19366</v>
      </c>
      <c r="AJ1753" t="s">
        <v>164</v>
      </c>
      <c r="AK1753" t="s">
        <v>6670</v>
      </c>
      <c r="AL1753">
        <v>1.1200000000000001</v>
      </c>
      <c r="AM1753">
        <v>1.1200000000000001</v>
      </c>
      <c r="AN1753">
        <v>0.8</v>
      </c>
      <c r="AO1753" t="s">
        <v>19367</v>
      </c>
      <c r="AP1753" t="s">
        <v>19368</v>
      </c>
      <c r="AQ1753" t="s">
        <v>19369</v>
      </c>
      <c r="AR1753" t="s">
        <v>3487</v>
      </c>
      <c r="AS1753" t="s">
        <v>1760</v>
      </c>
      <c r="AT1753" t="s">
        <v>1338</v>
      </c>
      <c r="AU1753" t="s">
        <v>5116</v>
      </c>
      <c r="AV1753" t="s">
        <v>6127</v>
      </c>
      <c r="AW1753" t="s">
        <v>1081</v>
      </c>
      <c r="AX1753" t="s">
        <v>8086</v>
      </c>
      <c r="AY1753" t="s">
        <v>6686</v>
      </c>
      <c r="AZ1753" t="s">
        <v>9843</v>
      </c>
      <c r="BB1753">
        <v>5.92</v>
      </c>
      <c r="BC1753">
        <v>0</v>
      </c>
      <c r="BD1753">
        <v>64.19</v>
      </c>
      <c r="BE1753">
        <v>64.489999999999995</v>
      </c>
      <c r="BF1753">
        <v>64.489999999999995</v>
      </c>
      <c r="BG1753" t="s">
        <v>19370</v>
      </c>
      <c r="BH1753" t="s">
        <v>19371</v>
      </c>
      <c r="BI1753" t="s">
        <v>19372</v>
      </c>
      <c r="BJ1753" t="s">
        <v>101</v>
      </c>
      <c r="BK1753" t="s">
        <v>822</v>
      </c>
      <c r="BL1753" t="s">
        <v>3433</v>
      </c>
      <c r="BM1753" t="s">
        <v>84</v>
      </c>
      <c r="BN1753" t="s">
        <v>14623</v>
      </c>
    </row>
    <row r="1754" spans="1:66" x14ac:dyDescent="0.25">
      <c r="A1754" t="str">
        <f>HYPERLINK("https://elite.finviz.com/quote.ashx?t=FSTR&amp;ty=c&amp;p=d&amp;b=1", "FSTR")</f>
        <v>FSTR</v>
      </c>
      <c r="B1754">
        <v>6</v>
      </c>
      <c r="C1754">
        <v>127.03</v>
      </c>
      <c r="D1754">
        <v>56.05</v>
      </c>
      <c r="E1754" t="s">
        <v>19373</v>
      </c>
      <c r="F1754" t="s">
        <v>67</v>
      </c>
      <c r="G1754" t="s">
        <v>260</v>
      </c>
      <c r="H1754" t="s">
        <v>10167</v>
      </c>
      <c r="I1754" t="s">
        <v>70</v>
      </c>
      <c r="J1754" t="s">
        <v>321</v>
      </c>
      <c r="K1754">
        <v>286.02999999999997</v>
      </c>
      <c r="L1754">
        <v>26.99</v>
      </c>
      <c r="M1754" t="s">
        <v>3447</v>
      </c>
      <c r="N1754">
        <v>3124</v>
      </c>
      <c r="O1754">
        <v>8.16</v>
      </c>
      <c r="P1754">
        <v>14.11</v>
      </c>
      <c r="R1754">
        <v>0.56000000000000005</v>
      </c>
      <c r="S1754">
        <v>1.61</v>
      </c>
      <c r="V1754" t="s">
        <v>19374</v>
      </c>
      <c r="Z1754" t="s">
        <v>164</v>
      </c>
      <c r="AA1754">
        <v>3.31</v>
      </c>
      <c r="AB1754" t="s">
        <v>19375</v>
      </c>
      <c r="AC1754" t="s">
        <v>3113</v>
      </c>
      <c r="AE1754" t="s">
        <v>15209</v>
      </c>
      <c r="AF1754" t="s">
        <v>1837</v>
      </c>
      <c r="AG1754" t="s">
        <v>10469</v>
      </c>
      <c r="AH1754" t="s">
        <v>1129</v>
      </c>
      <c r="AI1754" t="s">
        <v>9755</v>
      </c>
      <c r="AJ1754" t="s">
        <v>164</v>
      </c>
      <c r="AK1754" t="s">
        <v>7241</v>
      </c>
      <c r="AL1754">
        <v>2.5299999999999998</v>
      </c>
      <c r="AM1754">
        <v>1.43</v>
      </c>
      <c r="AN1754">
        <v>0.57999999999999996</v>
      </c>
      <c r="AO1754" t="s">
        <v>6675</v>
      </c>
      <c r="AP1754" t="s">
        <v>6150</v>
      </c>
      <c r="AQ1754" t="s">
        <v>3432</v>
      </c>
      <c r="AR1754" t="s">
        <v>3636</v>
      </c>
      <c r="AS1754" t="s">
        <v>975</v>
      </c>
      <c r="AT1754" t="s">
        <v>8425</v>
      </c>
      <c r="AU1754" t="s">
        <v>2783</v>
      </c>
      <c r="AV1754" t="s">
        <v>3270</v>
      </c>
      <c r="AW1754" t="s">
        <v>798</v>
      </c>
      <c r="AX1754" t="s">
        <v>3570</v>
      </c>
      <c r="AY1754" t="s">
        <v>19376</v>
      </c>
      <c r="AZ1754" t="s">
        <v>19377</v>
      </c>
      <c r="BA1754">
        <v>2</v>
      </c>
      <c r="BB1754">
        <v>34.01</v>
      </c>
      <c r="BC1754">
        <v>0.33</v>
      </c>
      <c r="BD1754">
        <v>26.71</v>
      </c>
      <c r="BE1754">
        <v>26.9</v>
      </c>
      <c r="BF1754">
        <v>26.05</v>
      </c>
      <c r="BG1754" t="s">
        <v>19378</v>
      </c>
      <c r="BH1754" t="s">
        <v>19379</v>
      </c>
      <c r="BI1754" t="s">
        <v>19380</v>
      </c>
      <c r="BJ1754" t="s">
        <v>101</v>
      </c>
      <c r="BK1754" t="s">
        <v>10829</v>
      </c>
      <c r="BL1754" t="s">
        <v>3762</v>
      </c>
      <c r="BM1754" t="s">
        <v>10156</v>
      </c>
      <c r="BN1754" t="s">
        <v>14623</v>
      </c>
    </row>
    <row r="1755" spans="1:66" x14ac:dyDescent="0.25">
      <c r="A1755" t="str">
        <f>HYPERLINK("https://elite.finviz.com/quote.ashx?t=RRGB&amp;ty=c&amp;p=d&amp;b=1", "RRGB")</f>
        <v>RRGB</v>
      </c>
      <c r="B1755">
        <v>6</v>
      </c>
      <c r="C1755">
        <v>127.03</v>
      </c>
      <c r="D1755">
        <v>56.07</v>
      </c>
      <c r="E1755" t="s">
        <v>19381</v>
      </c>
      <c r="F1755" t="s">
        <v>107</v>
      </c>
      <c r="G1755" t="s">
        <v>813</v>
      </c>
      <c r="H1755" t="s">
        <v>2285</v>
      </c>
      <c r="I1755" t="s">
        <v>70</v>
      </c>
      <c r="J1755" t="s">
        <v>321</v>
      </c>
      <c r="K1755">
        <v>121.87</v>
      </c>
      <c r="L1755">
        <v>6.8</v>
      </c>
      <c r="M1755" t="s">
        <v>4759</v>
      </c>
      <c r="N1755">
        <v>38710</v>
      </c>
      <c r="R1755">
        <v>0.1</v>
      </c>
      <c r="AA1755">
        <v>-3.4</v>
      </c>
      <c r="AB1755" t="s">
        <v>3898</v>
      </c>
      <c r="AC1755" t="s">
        <v>6507</v>
      </c>
      <c r="AE1755" t="s">
        <v>10262</v>
      </c>
      <c r="AF1755" t="s">
        <v>3208</v>
      </c>
      <c r="AG1755" t="s">
        <v>7137</v>
      </c>
      <c r="AH1755" t="s">
        <v>5628</v>
      </c>
      <c r="AI1755" t="s">
        <v>19382</v>
      </c>
      <c r="AJ1755" t="s">
        <v>352</v>
      </c>
      <c r="AK1755" t="s">
        <v>7360</v>
      </c>
      <c r="AL1755">
        <v>0.46</v>
      </c>
      <c r="AM1755">
        <v>0.32</v>
      </c>
      <c r="AO1755" t="s">
        <v>4223</v>
      </c>
      <c r="AP1755" t="s">
        <v>4840</v>
      </c>
      <c r="AQ1755" t="s">
        <v>4187</v>
      </c>
      <c r="AR1755" t="s">
        <v>4172</v>
      </c>
      <c r="AS1755" t="s">
        <v>4269</v>
      </c>
      <c r="AT1755" t="s">
        <v>5593</v>
      </c>
      <c r="AU1755" t="s">
        <v>2066</v>
      </c>
      <c r="AV1755" t="s">
        <v>13242</v>
      </c>
      <c r="AW1755" t="s">
        <v>19383</v>
      </c>
      <c r="AX1755" t="s">
        <v>4797</v>
      </c>
      <c r="AY1755" t="s">
        <v>19383</v>
      </c>
      <c r="AZ1755" t="s">
        <v>19384</v>
      </c>
      <c r="BA1755">
        <v>1.5</v>
      </c>
      <c r="BB1755">
        <v>302.12</v>
      </c>
      <c r="BC1755">
        <v>0.45</v>
      </c>
      <c r="BD1755">
        <v>6.74</v>
      </c>
      <c r="BE1755">
        <v>6.85</v>
      </c>
      <c r="BF1755">
        <v>6.7</v>
      </c>
      <c r="BG1755" t="s">
        <v>19385</v>
      </c>
      <c r="BH1755" t="s">
        <v>19386</v>
      </c>
      <c r="BI1755" t="s">
        <v>19384</v>
      </c>
      <c r="BJ1755" t="s">
        <v>101</v>
      </c>
      <c r="BK1755" t="s">
        <v>10580</v>
      </c>
      <c r="BL1755" t="s">
        <v>9863</v>
      </c>
      <c r="BM1755" t="s">
        <v>13827</v>
      </c>
      <c r="BN1755" t="s">
        <v>14623</v>
      </c>
    </row>
    <row r="1756" spans="1:66" x14ac:dyDescent="0.25">
      <c r="A1756" t="str">
        <f>HYPERLINK("https://elite.finviz.com/quote.ashx?t=SD&amp;ty=c&amp;p=d&amp;b=1", "SD")</f>
        <v>SD</v>
      </c>
      <c r="B1756">
        <v>6</v>
      </c>
      <c r="C1756">
        <v>127.03</v>
      </c>
      <c r="D1756">
        <v>56.12</v>
      </c>
      <c r="E1756" t="s">
        <v>19387</v>
      </c>
      <c r="F1756" t="s">
        <v>67</v>
      </c>
      <c r="G1756" t="s">
        <v>1048</v>
      </c>
      <c r="H1756" t="s">
        <v>1049</v>
      </c>
      <c r="I1756" t="s">
        <v>70</v>
      </c>
      <c r="J1756" t="s">
        <v>71</v>
      </c>
      <c r="K1756">
        <v>429.63</v>
      </c>
      <c r="L1756">
        <v>11.69</v>
      </c>
      <c r="M1756" t="s">
        <v>2610</v>
      </c>
      <c r="N1756">
        <v>55235</v>
      </c>
      <c r="O1756">
        <v>5.72</v>
      </c>
      <c r="P1756">
        <v>7.31</v>
      </c>
      <c r="Q1756">
        <v>0.27</v>
      </c>
      <c r="R1756">
        <v>2.94</v>
      </c>
      <c r="S1756">
        <v>0.89</v>
      </c>
      <c r="T1756" t="s">
        <v>4324</v>
      </c>
      <c r="U1756">
        <v>0.45</v>
      </c>
      <c r="V1756" t="s">
        <v>4676</v>
      </c>
      <c r="W1756" t="s">
        <v>10949</v>
      </c>
      <c r="Z1756" t="s">
        <v>664</v>
      </c>
      <c r="AA1756">
        <v>2.04</v>
      </c>
      <c r="AB1756" t="s">
        <v>9578</v>
      </c>
      <c r="AD1756" t="s">
        <v>729</v>
      </c>
      <c r="AE1756" t="s">
        <v>2095</v>
      </c>
      <c r="AF1756" t="s">
        <v>7049</v>
      </c>
      <c r="AG1756" t="s">
        <v>19388</v>
      </c>
      <c r="AH1756" t="s">
        <v>3383</v>
      </c>
      <c r="AI1756" t="s">
        <v>5743</v>
      </c>
      <c r="AJ1756" t="s">
        <v>149</v>
      </c>
      <c r="AK1756" t="s">
        <v>9209</v>
      </c>
      <c r="AL1756">
        <v>2.2999999999999998</v>
      </c>
      <c r="AM1756">
        <v>2.2999999999999998</v>
      </c>
      <c r="AN1756">
        <v>0</v>
      </c>
      <c r="AO1756" t="s">
        <v>7130</v>
      </c>
      <c r="AP1756" t="s">
        <v>12768</v>
      </c>
      <c r="AQ1756" t="s">
        <v>1810</v>
      </c>
      <c r="AR1756" t="s">
        <v>1776</v>
      </c>
      <c r="AS1756" t="s">
        <v>4547</v>
      </c>
      <c r="AT1756" t="s">
        <v>5577</v>
      </c>
      <c r="AU1756" t="s">
        <v>3054</v>
      </c>
      <c r="AV1756" t="s">
        <v>3951</v>
      </c>
      <c r="AW1756" t="s">
        <v>2870</v>
      </c>
      <c r="AX1756" t="s">
        <v>10042</v>
      </c>
      <c r="AY1756" t="s">
        <v>5123</v>
      </c>
      <c r="AZ1756" t="s">
        <v>18941</v>
      </c>
      <c r="BA1756">
        <v>1</v>
      </c>
      <c r="BB1756">
        <v>295.94</v>
      </c>
      <c r="BC1756">
        <v>0.66</v>
      </c>
      <c r="BD1756">
        <v>11.57</v>
      </c>
      <c r="BE1756">
        <v>11.78</v>
      </c>
      <c r="BF1756">
        <v>11.61</v>
      </c>
      <c r="BG1756" t="s">
        <v>19389</v>
      </c>
      <c r="BH1756" t="s">
        <v>19390</v>
      </c>
      <c r="BI1756" t="s">
        <v>19391</v>
      </c>
      <c r="BJ1756" t="s">
        <v>101</v>
      </c>
      <c r="BK1756" t="s">
        <v>3054</v>
      </c>
      <c r="BL1756" t="s">
        <v>6155</v>
      </c>
      <c r="BM1756" t="s">
        <v>14499</v>
      </c>
      <c r="BN1756" t="s">
        <v>14623</v>
      </c>
    </row>
    <row r="1757" spans="1:66" x14ac:dyDescent="0.25">
      <c r="A1757" t="str">
        <f>HYPERLINK("https://elite.finviz.com/quote.ashx?t=VNME&amp;ty=c&amp;p=d&amp;b=1", "VNME")</f>
        <v>VNME</v>
      </c>
      <c r="B1757">
        <v>6</v>
      </c>
      <c r="C1757">
        <v>127.03</v>
      </c>
      <c r="D1757">
        <v>56.12</v>
      </c>
      <c r="E1757" t="s">
        <v>19392</v>
      </c>
      <c r="F1757" t="s">
        <v>107</v>
      </c>
      <c r="G1757" t="s">
        <v>550</v>
      </c>
      <c r="H1757" t="s">
        <v>2120</v>
      </c>
      <c r="I1757" t="s">
        <v>70</v>
      </c>
      <c r="J1757" t="s">
        <v>321</v>
      </c>
      <c r="K1757">
        <v>305.64999999999998</v>
      </c>
      <c r="L1757">
        <v>9.94</v>
      </c>
      <c r="M1757" t="s">
        <v>164</v>
      </c>
      <c r="N1757">
        <v>0</v>
      </c>
      <c r="S1757">
        <v>10247.42</v>
      </c>
      <c r="AJ1757" t="s">
        <v>164</v>
      </c>
      <c r="AK1757" t="s">
        <v>4133</v>
      </c>
      <c r="AL1757">
        <v>0.08</v>
      </c>
      <c r="AM1757">
        <v>0.08</v>
      </c>
      <c r="AN1757">
        <v>10</v>
      </c>
      <c r="AR1757" t="s">
        <v>4507</v>
      </c>
      <c r="AT1757" t="s">
        <v>822</v>
      </c>
      <c r="AU1757" t="s">
        <v>822</v>
      </c>
      <c r="AV1757" t="s">
        <v>822</v>
      </c>
      <c r="AW1757" t="s">
        <v>2638</v>
      </c>
      <c r="AX1757" t="s">
        <v>4849</v>
      </c>
      <c r="AY1757" t="s">
        <v>2638</v>
      </c>
      <c r="AZ1757" t="s">
        <v>4849</v>
      </c>
      <c r="BB1757">
        <v>138.33000000000001</v>
      </c>
      <c r="BC1757">
        <v>0</v>
      </c>
      <c r="BD1757">
        <v>9.94</v>
      </c>
      <c r="BE1757">
        <v>9.94</v>
      </c>
      <c r="BF1757">
        <v>9.94</v>
      </c>
      <c r="BG1757" t="s">
        <v>19393</v>
      </c>
      <c r="BH1757" t="s">
        <v>2638</v>
      </c>
      <c r="BI1757" t="s">
        <v>4849</v>
      </c>
      <c r="BJ1757" t="s">
        <v>101</v>
      </c>
      <c r="BN1757" t="s">
        <v>14623</v>
      </c>
    </row>
    <row r="1758" spans="1:66" x14ac:dyDescent="0.25">
      <c r="A1758" t="str">
        <f>HYPERLINK("https://elite.finviz.com/quote.ashx?t=EVR&amp;ty=c&amp;p=d&amp;b=1", "EVR")</f>
        <v>EVR</v>
      </c>
      <c r="B1758">
        <v>6</v>
      </c>
      <c r="C1758">
        <v>127.03</v>
      </c>
      <c r="D1758">
        <v>56.13</v>
      </c>
      <c r="E1758" t="s">
        <v>19394</v>
      </c>
      <c r="F1758" t="s">
        <v>107</v>
      </c>
      <c r="G1758" t="s">
        <v>550</v>
      </c>
      <c r="H1758" t="s">
        <v>551</v>
      </c>
      <c r="I1758" t="s">
        <v>70</v>
      </c>
      <c r="J1758" t="s">
        <v>71</v>
      </c>
      <c r="K1758">
        <v>13147.64</v>
      </c>
      <c r="L1758">
        <v>340.63</v>
      </c>
      <c r="M1758" t="s">
        <v>2785</v>
      </c>
      <c r="N1758">
        <v>30230</v>
      </c>
      <c r="O1758">
        <v>30.98</v>
      </c>
      <c r="P1758">
        <v>18.489999999999998</v>
      </c>
      <c r="Q1758">
        <v>0.86</v>
      </c>
      <c r="R1758">
        <v>4.04</v>
      </c>
      <c r="S1758">
        <v>7.94</v>
      </c>
      <c r="T1758" t="s">
        <v>5055</v>
      </c>
      <c r="U1758">
        <v>3.28</v>
      </c>
      <c r="V1758" t="s">
        <v>4882</v>
      </c>
      <c r="W1758" t="s">
        <v>3066</v>
      </c>
      <c r="X1758" t="s">
        <v>4077</v>
      </c>
      <c r="Y1758" t="s">
        <v>661</v>
      </c>
      <c r="Z1758" t="s">
        <v>7005</v>
      </c>
      <c r="AA1758">
        <v>10.99</v>
      </c>
      <c r="AB1758" t="s">
        <v>9120</v>
      </c>
      <c r="AC1758" t="s">
        <v>2205</v>
      </c>
      <c r="AD1758" t="s">
        <v>4869</v>
      </c>
      <c r="AE1758" t="s">
        <v>3749</v>
      </c>
      <c r="AF1758" t="s">
        <v>2218</v>
      </c>
      <c r="AG1758" t="s">
        <v>1515</v>
      </c>
      <c r="AH1758" t="s">
        <v>3373</v>
      </c>
      <c r="AI1758" t="s">
        <v>256</v>
      </c>
      <c r="AJ1758" t="s">
        <v>6194</v>
      </c>
      <c r="AK1758" t="s">
        <v>19112</v>
      </c>
      <c r="AL1758">
        <v>2.82</v>
      </c>
      <c r="AM1758">
        <v>2.82</v>
      </c>
      <c r="AN1758">
        <v>0.56000000000000005</v>
      </c>
      <c r="AO1758" t="s">
        <v>19395</v>
      </c>
      <c r="AP1758" t="s">
        <v>3843</v>
      </c>
      <c r="AQ1758" t="s">
        <v>10200</v>
      </c>
      <c r="AR1758" t="s">
        <v>7484</v>
      </c>
      <c r="AS1758" t="s">
        <v>1776</v>
      </c>
      <c r="AT1758" t="s">
        <v>3447</v>
      </c>
      <c r="AU1758" t="s">
        <v>2697</v>
      </c>
      <c r="AV1758" t="s">
        <v>19396</v>
      </c>
      <c r="AW1758" t="s">
        <v>4921</v>
      </c>
      <c r="AX1758" t="s">
        <v>8239</v>
      </c>
      <c r="AY1758" t="s">
        <v>4921</v>
      </c>
      <c r="AZ1758" t="s">
        <v>19397</v>
      </c>
      <c r="BA1758">
        <v>1.43</v>
      </c>
      <c r="BB1758">
        <v>513.98</v>
      </c>
      <c r="BC1758">
        <v>0.21</v>
      </c>
      <c r="BD1758">
        <v>337.91</v>
      </c>
      <c r="BE1758">
        <v>340</v>
      </c>
      <c r="BF1758">
        <v>339.39</v>
      </c>
      <c r="BG1758" t="s">
        <v>19398</v>
      </c>
      <c r="BH1758" t="s">
        <v>4921</v>
      </c>
      <c r="BI1758" t="s">
        <v>19399</v>
      </c>
      <c r="BJ1758" t="s">
        <v>101</v>
      </c>
      <c r="BK1758" t="s">
        <v>17259</v>
      </c>
      <c r="BL1758" t="s">
        <v>16238</v>
      </c>
      <c r="BM1758" t="s">
        <v>956</v>
      </c>
      <c r="BN1758" t="s">
        <v>14623</v>
      </c>
    </row>
    <row r="1759" spans="1:66" x14ac:dyDescent="0.25">
      <c r="A1759" t="str">
        <f>HYPERLINK("https://elite.finviz.com/quote.ashx?t=TBPH&amp;ty=c&amp;p=d&amp;b=1", "TBPH")</f>
        <v>TBPH</v>
      </c>
      <c r="B1759">
        <v>6</v>
      </c>
      <c r="C1759">
        <v>127.03</v>
      </c>
      <c r="D1759">
        <v>56.16</v>
      </c>
      <c r="E1759" t="s">
        <v>19400</v>
      </c>
      <c r="F1759" t="s">
        <v>67</v>
      </c>
      <c r="G1759" t="s">
        <v>428</v>
      </c>
      <c r="H1759" t="s">
        <v>429</v>
      </c>
      <c r="I1759" t="s">
        <v>70</v>
      </c>
      <c r="J1759" t="s">
        <v>321</v>
      </c>
      <c r="K1759">
        <v>706.06</v>
      </c>
      <c r="L1759">
        <v>14.02</v>
      </c>
      <c r="M1759" t="s">
        <v>2082</v>
      </c>
      <c r="N1759">
        <v>52971</v>
      </c>
      <c r="O1759">
        <v>59.94</v>
      </c>
      <c r="P1759">
        <v>47.42</v>
      </c>
      <c r="Q1759">
        <v>0.82</v>
      </c>
      <c r="R1759">
        <v>9.15</v>
      </c>
      <c r="S1759">
        <v>3.14</v>
      </c>
      <c r="AA1759">
        <v>0.23</v>
      </c>
      <c r="AB1759" t="s">
        <v>18279</v>
      </c>
      <c r="AC1759" t="s">
        <v>3835</v>
      </c>
      <c r="AD1759" t="s">
        <v>12666</v>
      </c>
      <c r="AE1759" t="s">
        <v>3138</v>
      </c>
      <c r="AF1759" t="s">
        <v>5395</v>
      </c>
      <c r="AG1759" t="s">
        <v>3031</v>
      </c>
      <c r="AH1759" t="s">
        <v>15554</v>
      </c>
      <c r="AI1759" t="s">
        <v>18125</v>
      </c>
      <c r="AJ1759" t="s">
        <v>3950</v>
      </c>
      <c r="AK1759" t="s">
        <v>18878</v>
      </c>
      <c r="AL1759">
        <v>6.7</v>
      </c>
      <c r="AM1759">
        <v>6.7</v>
      </c>
      <c r="AN1759">
        <v>0.21</v>
      </c>
      <c r="AO1759" t="s">
        <v>19401</v>
      </c>
      <c r="AP1759" t="s">
        <v>6949</v>
      </c>
      <c r="AQ1759" t="s">
        <v>13213</v>
      </c>
      <c r="AR1759" t="s">
        <v>2736</v>
      </c>
      <c r="AS1759" t="s">
        <v>5779</v>
      </c>
      <c r="AT1759" t="s">
        <v>3736</v>
      </c>
      <c r="AU1759" t="s">
        <v>5912</v>
      </c>
      <c r="AV1759" t="s">
        <v>11879</v>
      </c>
      <c r="AW1759" t="s">
        <v>4439</v>
      </c>
      <c r="AX1759" t="s">
        <v>14244</v>
      </c>
      <c r="AY1759" t="s">
        <v>4439</v>
      </c>
      <c r="AZ1759" t="s">
        <v>8586</v>
      </c>
      <c r="BA1759">
        <v>1.67</v>
      </c>
      <c r="BB1759">
        <v>372.47</v>
      </c>
      <c r="BC1759">
        <v>0.5</v>
      </c>
      <c r="BD1759">
        <v>13.79</v>
      </c>
      <c r="BE1759">
        <v>14.05</v>
      </c>
      <c r="BF1759">
        <v>13.66</v>
      </c>
      <c r="BG1759" t="s">
        <v>19402</v>
      </c>
      <c r="BH1759" t="s">
        <v>16795</v>
      </c>
      <c r="BI1759" t="s">
        <v>19403</v>
      </c>
      <c r="BJ1759" t="s">
        <v>101</v>
      </c>
      <c r="BK1759" t="s">
        <v>5261</v>
      </c>
      <c r="BL1759" t="s">
        <v>6754</v>
      </c>
      <c r="BM1759" t="s">
        <v>19404</v>
      </c>
      <c r="BN1759" t="s">
        <v>14623</v>
      </c>
    </row>
    <row r="1760" spans="1:66" x14ac:dyDescent="0.25">
      <c r="A1760" t="str">
        <f>HYPERLINK("https://elite.finviz.com/quote.ashx?t=VRDN&amp;ty=c&amp;p=d&amp;b=1", "VRDN")</f>
        <v>VRDN</v>
      </c>
      <c r="B1760">
        <v>6</v>
      </c>
      <c r="C1760">
        <v>127.03</v>
      </c>
      <c r="D1760">
        <v>56.2</v>
      </c>
      <c r="E1760" t="s">
        <v>19405</v>
      </c>
      <c r="F1760" t="s">
        <v>67</v>
      </c>
      <c r="G1760" t="s">
        <v>428</v>
      </c>
      <c r="H1760" t="s">
        <v>429</v>
      </c>
      <c r="I1760" t="s">
        <v>70</v>
      </c>
      <c r="J1760" t="s">
        <v>321</v>
      </c>
      <c r="K1760">
        <v>1598.27</v>
      </c>
      <c r="L1760">
        <v>19.57</v>
      </c>
      <c r="M1760" t="s">
        <v>2619</v>
      </c>
      <c r="N1760">
        <v>49597</v>
      </c>
      <c r="R1760">
        <v>5327.55</v>
      </c>
      <c r="S1760">
        <v>4.9000000000000004</v>
      </c>
      <c r="AA1760">
        <v>-4.2699999999999996</v>
      </c>
      <c r="AB1760" t="s">
        <v>3666</v>
      </c>
      <c r="AC1760" t="s">
        <v>12003</v>
      </c>
      <c r="AD1760" t="s">
        <v>15580</v>
      </c>
      <c r="AE1760" t="s">
        <v>4254</v>
      </c>
      <c r="AF1760" t="s">
        <v>19406</v>
      </c>
      <c r="AG1760" t="s">
        <v>2011</v>
      </c>
      <c r="AH1760" t="s">
        <v>2841</v>
      </c>
      <c r="AI1760" t="s">
        <v>3344</v>
      </c>
      <c r="AJ1760" t="s">
        <v>164</v>
      </c>
      <c r="AK1760" t="s">
        <v>12694</v>
      </c>
      <c r="AL1760">
        <v>11.01</v>
      </c>
      <c r="AM1760">
        <v>11.01</v>
      </c>
      <c r="AN1760">
        <v>0.04</v>
      </c>
      <c r="AO1760" t="s">
        <v>19407</v>
      </c>
      <c r="AP1760" t="s">
        <v>19408</v>
      </c>
      <c r="AQ1760" t="s">
        <v>19409</v>
      </c>
      <c r="AR1760" t="s">
        <v>1100</v>
      </c>
      <c r="AS1760" t="s">
        <v>2523</v>
      </c>
      <c r="AT1760" t="s">
        <v>4267</v>
      </c>
      <c r="AU1760" t="s">
        <v>9751</v>
      </c>
      <c r="AV1760" t="s">
        <v>19410</v>
      </c>
      <c r="AW1760" t="s">
        <v>706</v>
      </c>
      <c r="AX1760" t="s">
        <v>3760</v>
      </c>
      <c r="AY1760" t="s">
        <v>19411</v>
      </c>
      <c r="AZ1760" t="s">
        <v>19412</v>
      </c>
      <c r="BA1760">
        <v>1.1200000000000001</v>
      </c>
      <c r="BB1760">
        <v>768.88</v>
      </c>
      <c r="BC1760">
        <v>0.23</v>
      </c>
      <c r="BD1760">
        <v>19.079999999999998</v>
      </c>
      <c r="BE1760">
        <v>19.59</v>
      </c>
      <c r="BF1760">
        <v>18.920000000000002</v>
      </c>
      <c r="BG1760" t="s">
        <v>19413</v>
      </c>
      <c r="BH1760" t="s">
        <v>17537</v>
      </c>
      <c r="BI1760" t="s">
        <v>19414</v>
      </c>
      <c r="BJ1760" t="s">
        <v>101</v>
      </c>
      <c r="BK1760" t="s">
        <v>5844</v>
      </c>
      <c r="BL1760" t="s">
        <v>2684</v>
      </c>
      <c r="BM1760" t="s">
        <v>14355</v>
      </c>
      <c r="BN1760" t="s">
        <v>14623</v>
      </c>
    </row>
    <row r="1761" spans="1:66" x14ac:dyDescent="0.25">
      <c r="A1761" t="str">
        <f>HYPERLINK("https://elite.finviz.com/quote.ashx?t=UTMD&amp;ty=c&amp;p=d&amp;b=1", "UTMD")</f>
        <v>UTMD</v>
      </c>
      <c r="B1761">
        <v>6</v>
      </c>
      <c r="C1761">
        <v>127.03</v>
      </c>
      <c r="D1761">
        <v>56.21</v>
      </c>
      <c r="E1761" t="s">
        <v>19415</v>
      </c>
      <c r="F1761" t="s">
        <v>67</v>
      </c>
      <c r="G1761" t="s">
        <v>428</v>
      </c>
      <c r="H1761" t="s">
        <v>2161</v>
      </c>
      <c r="I1761" t="s">
        <v>70</v>
      </c>
      <c r="J1761" t="s">
        <v>321</v>
      </c>
      <c r="K1761">
        <v>201.23</v>
      </c>
      <c r="L1761">
        <v>62.77</v>
      </c>
      <c r="M1761" t="s">
        <v>2362</v>
      </c>
      <c r="N1761">
        <v>877</v>
      </c>
      <c r="O1761">
        <v>16.79</v>
      </c>
      <c r="R1761">
        <v>5.18</v>
      </c>
      <c r="S1761">
        <v>1.72</v>
      </c>
      <c r="T1761" t="s">
        <v>2202</v>
      </c>
      <c r="U1761">
        <v>1.22</v>
      </c>
      <c r="V1761" t="s">
        <v>5673</v>
      </c>
      <c r="W1761" t="s">
        <v>2217</v>
      </c>
      <c r="X1761" t="s">
        <v>302</v>
      </c>
      <c r="Y1761" t="s">
        <v>3118</v>
      </c>
      <c r="Z1761" t="s">
        <v>11744</v>
      </c>
      <c r="AA1761">
        <v>3.74</v>
      </c>
      <c r="AB1761" t="s">
        <v>2331</v>
      </c>
      <c r="AC1761" t="s">
        <v>211</v>
      </c>
      <c r="AE1761" t="s">
        <v>5410</v>
      </c>
      <c r="AF1761" t="s">
        <v>11702</v>
      </c>
      <c r="AG1761" t="s">
        <v>3315</v>
      </c>
      <c r="AH1761" t="s">
        <v>7468</v>
      </c>
      <c r="AJ1761" t="s">
        <v>164</v>
      </c>
      <c r="AK1761" t="s">
        <v>2139</v>
      </c>
      <c r="AL1761">
        <v>41.87</v>
      </c>
      <c r="AM1761">
        <v>38.22</v>
      </c>
      <c r="AN1761">
        <v>0</v>
      </c>
      <c r="AO1761" t="s">
        <v>19416</v>
      </c>
      <c r="AP1761" t="s">
        <v>19417</v>
      </c>
      <c r="AQ1761" t="s">
        <v>4449</v>
      </c>
      <c r="AR1761" t="s">
        <v>2609</v>
      </c>
      <c r="AS1761" t="s">
        <v>8016</v>
      </c>
      <c r="AT1761" t="s">
        <v>149</v>
      </c>
      <c r="AU1761" t="s">
        <v>2123</v>
      </c>
      <c r="AV1761" t="s">
        <v>2446</v>
      </c>
      <c r="AW1761" t="s">
        <v>8293</v>
      </c>
      <c r="AX1761" t="s">
        <v>1625</v>
      </c>
      <c r="AY1761" t="s">
        <v>16335</v>
      </c>
      <c r="AZ1761" t="s">
        <v>15526</v>
      </c>
      <c r="BA1761">
        <v>1</v>
      </c>
      <c r="BB1761">
        <v>13.17</v>
      </c>
      <c r="BC1761">
        <v>0.23</v>
      </c>
      <c r="BD1761">
        <v>62.44</v>
      </c>
      <c r="BE1761">
        <v>62.44</v>
      </c>
      <c r="BF1761">
        <v>62.44</v>
      </c>
      <c r="BG1761" t="s">
        <v>19418</v>
      </c>
      <c r="BH1761" t="s">
        <v>19419</v>
      </c>
      <c r="BI1761" t="s">
        <v>19420</v>
      </c>
      <c r="BJ1761" t="s">
        <v>101</v>
      </c>
      <c r="BK1761" t="s">
        <v>7436</v>
      </c>
      <c r="BL1761" t="s">
        <v>531</v>
      </c>
      <c r="BM1761" t="s">
        <v>4446</v>
      </c>
      <c r="BN1761" t="s">
        <v>14623</v>
      </c>
    </row>
    <row r="1762" spans="1:66" x14ac:dyDescent="0.25">
      <c r="A1762" t="str">
        <f>HYPERLINK("https://elite.finviz.com/quote.ashx?t=XLO&amp;ty=c&amp;p=d&amp;b=1", "XLO")</f>
        <v>XLO</v>
      </c>
      <c r="B1762">
        <v>6</v>
      </c>
      <c r="C1762">
        <v>127.03</v>
      </c>
      <c r="D1762">
        <v>56.21</v>
      </c>
      <c r="E1762" t="s">
        <v>19421</v>
      </c>
      <c r="F1762" t="s">
        <v>107</v>
      </c>
      <c r="G1762" t="s">
        <v>428</v>
      </c>
      <c r="H1762" t="s">
        <v>429</v>
      </c>
      <c r="I1762" t="s">
        <v>70</v>
      </c>
      <c r="J1762" t="s">
        <v>321</v>
      </c>
      <c r="K1762">
        <v>39.15</v>
      </c>
      <c r="L1762">
        <v>0.76</v>
      </c>
      <c r="M1762" t="s">
        <v>5777</v>
      </c>
      <c r="N1762">
        <v>12787</v>
      </c>
      <c r="R1762">
        <v>2.61</v>
      </c>
      <c r="S1762">
        <v>5.54</v>
      </c>
      <c r="AA1762">
        <v>-0.77</v>
      </c>
      <c r="AB1762" t="s">
        <v>10765</v>
      </c>
      <c r="AC1762" t="s">
        <v>1450</v>
      </c>
      <c r="AD1762" t="s">
        <v>1601</v>
      </c>
      <c r="AE1762" t="s">
        <v>19422</v>
      </c>
      <c r="AH1762" t="s">
        <v>19423</v>
      </c>
      <c r="AI1762" t="s">
        <v>19424</v>
      </c>
      <c r="AJ1762" t="s">
        <v>3446</v>
      </c>
      <c r="AK1762" t="s">
        <v>14947</v>
      </c>
      <c r="AL1762">
        <v>2.3199999999999998</v>
      </c>
      <c r="AM1762">
        <v>2.3199999999999998</v>
      </c>
      <c r="AN1762">
        <v>1.07</v>
      </c>
      <c r="AO1762" t="s">
        <v>5490</v>
      </c>
      <c r="AP1762" t="s">
        <v>19425</v>
      </c>
      <c r="AQ1762" t="s">
        <v>19426</v>
      </c>
      <c r="AR1762" t="s">
        <v>6937</v>
      </c>
      <c r="AS1762" t="s">
        <v>10226</v>
      </c>
      <c r="AT1762" t="s">
        <v>2219</v>
      </c>
      <c r="AU1762" t="s">
        <v>8593</v>
      </c>
      <c r="AV1762" t="s">
        <v>2538</v>
      </c>
      <c r="AW1762" t="s">
        <v>15949</v>
      </c>
      <c r="AX1762" t="s">
        <v>2769</v>
      </c>
      <c r="AY1762" t="s">
        <v>6983</v>
      </c>
      <c r="AZ1762" t="s">
        <v>2769</v>
      </c>
      <c r="BA1762">
        <v>1</v>
      </c>
      <c r="BB1762">
        <v>541.41</v>
      </c>
      <c r="BC1762">
        <v>0.08</v>
      </c>
      <c r="BD1762">
        <v>0.76</v>
      </c>
      <c r="BE1762">
        <v>0.76</v>
      </c>
      <c r="BF1762">
        <v>0.75</v>
      </c>
      <c r="BG1762" t="s">
        <v>19427</v>
      </c>
      <c r="BH1762" t="s">
        <v>19428</v>
      </c>
      <c r="BI1762" t="s">
        <v>19429</v>
      </c>
      <c r="BJ1762" t="s">
        <v>101</v>
      </c>
      <c r="BK1762" t="s">
        <v>6751</v>
      </c>
      <c r="BL1762" t="s">
        <v>4093</v>
      </c>
      <c r="BM1762" t="s">
        <v>1932</v>
      </c>
      <c r="BN1762" t="s">
        <v>14623</v>
      </c>
    </row>
    <row r="1763" spans="1:66" x14ac:dyDescent="0.25">
      <c r="A1763" t="str">
        <f>HYPERLINK("https://elite.finviz.com/quote.ashx?t=TH&amp;ty=c&amp;p=d&amp;b=1", "TH")</f>
        <v>TH</v>
      </c>
      <c r="B1763">
        <v>6</v>
      </c>
      <c r="C1763">
        <v>127.03</v>
      </c>
      <c r="D1763">
        <v>56.23</v>
      </c>
      <c r="E1763" t="s">
        <v>19430</v>
      </c>
      <c r="F1763" t="s">
        <v>67</v>
      </c>
      <c r="G1763" t="s">
        <v>260</v>
      </c>
      <c r="H1763" t="s">
        <v>1077</v>
      </c>
      <c r="I1763" t="s">
        <v>70</v>
      </c>
      <c r="J1763" t="s">
        <v>321</v>
      </c>
      <c r="K1763">
        <v>891.02</v>
      </c>
      <c r="L1763">
        <v>8.93</v>
      </c>
      <c r="M1763" t="s">
        <v>5577</v>
      </c>
      <c r="N1763">
        <v>70547</v>
      </c>
      <c r="O1763">
        <v>83.61</v>
      </c>
      <c r="R1763">
        <v>2.87</v>
      </c>
      <c r="S1763">
        <v>2.2200000000000002</v>
      </c>
      <c r="Z1763" t="s">
        <v>164</v>
      </c>
      <c r="AA1763">
        <v>0.11</v>
      </c>
      <c r="AC1763" t="s">
        <v>19431</v>
      </c>
      <c r="AE1763" t="s">
        <v>14470</v>
      </c>
      <c r="AF1763" t="s">
        <v>1066</v>
      </c>
      <c r="AG1763" t="s">
        <v>1100</v>
      </c>
      <c r="AH1763" t="s">
        <v>18898</v>
      </c>
      <c r="AI1763" t="s">
        <v>3473</v>
      </c>
      <c r="AJ1763" t="s">
        <v>6192</v>
      </c>
      <c r="AK1763" t="s">
        <v>4560</v>
      </c>
      <c r="AL1763">
        <v>1.47</v>
      </c>
      <c r="AM1763">
        <v>1.47</v>
      </c>
      <c r="AN1763">
        <v>0.09</v>
      </c>
      <c r="AO1763" t="s">
        <v>7995</v>
      </c>
      <c r="AP1763" t="s">
        <v>9123</v>
      </c>
      <c r="AQ1763" t="s">
        <v>3244</v>
      </c>
      <c r="AR1763" t="s">
        <v>5163</v>
      </c>
      <c r="AS1763" t="s">
        <v>3035</v>
      </c>
      <c r="AT1763" t="s">
        <v>6056</v>
      </c>
      <c r="AU1763" t="s">
        <v>506</v>
      </c>
      <c r="AV1763" t="s">
        <v>7575</v>
      </c>
      <c r="AW1763" t="s">
        <v>10958</v>
      </c>
      <c r="AX1763" t="s">
        <v>8712</v>
      </c>
      <c r="AY1763" t="s">
        <v>19432</v>
      </c>
      <c r="AZ1763" t="s">
        <v>19433</v>
      </c>
      <c r="BA1763">
        <v>1.67</v>
      </c>
      <c r="BB1763">
        <v>397.7</v>
      </c>
      <c r="BC1763">
        <v>0.62</v>
      </c>
      <c r="BD1763">
        <v>8.84</v>
      </c>
      <c r="BE1763">
        <v>9.02</v>
      </c>
      <c r="BF1763">
        <v>8.9</v>
      </c>
      <c r="BG1763" t="s">
        <v>19434</v>
      </c>
      <c r="BH1763" t="s">
        <v>4680</v>
      </c>
      <c r="BI1763" t="s">
        <v>19435</v>
      </c>
      <c r="BJ1763" t="s">
        <v>101</v>
      </c>
      <c r="BK1763" t="s">
        <v>4925</v>
      </c>
      <c r="BL1763" t="s">
        <v>10025</v>
      </c>
      <c r="BM1763" t="s">
        <v>7964</v>
      </c>
      <c r="BN1763" t="s">
        <v>14623</v>
      </c>
    </row>
    <row r="1764" spans="1:66" x14ac:dyDescent="0.25">
      <c r="A1764" t="str">
        <f>HYPERLINK("https://elite.finviz.com/quote.ashx?t=DAKT&amp;ty=c&amp;p=d&amp;b=1", "DAKT")</f>
        <v>DAKT</v>
      </c>
      <c r="B1764">
        <v>6</v>
      </c>
      <c r="C1764">
        <v>127.03</v>
      </c>
      <c r="D1764">
        <v>56.25</v>
      </c>
      <c r="E1764" t="s">
        <v>19436</v>
      </c>
      <c r="F1764" t="s">
        <v>67</v>
      </c>
      <c r="G1764" t="s">
        <v>108</v>
      </c>
      <c r="H1764" t="s">
        <v>3346</v>
      </c>
      <c r="I1764" t="s">
        <v>70</v>
      </c>
      <c r="J1764" t="s">
        <v>321</v>
      </c>
      <c r="K1764">
        <v>1013.55</v>
      </c>
      <c r="L1764">
        <v>20.89</v>
      </c>
      <c r="M1764" t="s">
        <v>11369</v>
      </c>
      <c r="N1764">
        <v>128354</v>
      </c>
      <c r="O1764">
        <v>4746.59</v>
      </c>
      <c r="P1764">
        <v>17.329999999999998</v>
      </c>
      <c r="R1764">
        <v>1.35</v>
      </c>
      <c r="S1764">
        <v>3.62</v>
      </c>
      <c r="V1764" t="s">
        <v>19437</v>
      </c>
      <c r="AA1764">
        <v>0</v>
      </c>
      <c r="AE1764" t="s">
        <v>6436</v>
      </c>
      <c r="AF1764" t="s">
        <v>4377</v>
      </c>
      <c r="AG1764" t="s">
        <v>5885</v>
      </c>
      <c r="AH1764" t="s">
        <v>10958</v>
      </c>
      <c r="AI1764" t="s">
        <v>19438</v>
      </c>
      <c r="AJ1764" t="s">
        <v>19439</v>
      </c>
      <c r="AK1764" t="s">
        <v>19440</v>
      </c>
      <c r="AL1764">
        <v>2.0699999999999998</v>
      </c>
      <c r="AM1764">
        <v>1.54</v>
      </c>
      <c r="AN1764">
        <v>0.06</v>
      </c>
      <c r="AO1764" t="s">
        <v>19441</v>
      </c>
      <c r="AP1764" t="s">
        <v>2640</v>
      </c>
      <c r="AQ1764" t="s">
        <v>2145</v>
      </c>
      <c r="AR1764" t="s">
        <v>4204</v>
      </c>
      <c r="AS1764" t="s">
        <v>6475</v>
      </c>
      <c r="AT1764" t="s">
        <v>3257</v>
      </c>
      <c r="AU1764" t="s">
        <v>1563</v>
      </c>
      <c r="AV1764" t="s">
        <v>7914</v>
      </c>
      <c r="AW1764" t="s">
        <v>2088</v>
      </c>
      <c r="AX1764" t="s">
        <v>5086</v>
      </c>
      <c r="AY1764" t="s">
        <v>2088</v>
      </c>
      <c r="AZ1764" t="s">
        <v>19442</v>
      </c>
      <c r="BA1764">
        <v>1</v>
      </c>
      <c r="BB1764">
        <v>444.02</v>
      </c>
      <c r="BC1764">
        <v>1.02</v>
      </c>
      <c r="BD1764">
        <v>21.09</v>
      </c>
      <c r="BE1764">
        <v>21.12</v>
      </c>
      <c r="BF1764">
        <v>20.79</v>
      </c>
      <c r="BG1764" t="s">
        <v>19443</v>
      </c>
      <c r="BH1764" t="s">
        <v>19444</v>
      </c>
      <c r="BI1764" t="s">
        <v>19445</v>
      </c>
      <c r="BJ1764" t="s">
        <v>101</v>
      </c>
      <c r="BK1764" t="s">
        <v>5086</v>
      </c>
      <c r="BL1764" t="s">
        <v>4573</v>
      </c>
      <c r="BM1764" t="s">
        <v>11479</v>
      </c>
      <c r="BN1764" t="s">
        <v>14623</v>
      </c>
    </row>
    <row r="1765" spans="1:66" x14ac:dyDescent="0.25">
      <c r="A1765" t="str">
        <f>HYPERLINK("https://elite.finviz.com/quote.ashx?t=ROAD&amp;ty=c&amp;p=d&amp;b=1", "ROAD")</f>
        <v>ROAD</v>
      </c>
      <c r="B1765">
        <v>6</v>
      </c>
      <c r="C1765">
        <v>127.03</v>
      </c>
      <c r="D1765">
        <v>56.25</v>
      </c>
      <c r="E1765" t="s">
        <v>19446</v>
      </c>
      <c r="F1765" t="s">
        <v>67</v>
      </c>
      <c r="G1765" t="s">
        <v>260</v>
      </c>
      <c r="H1765" t="s">
        <v>2944</v>
      </c>
      <c r="I1765" t="s">
        <v>70</v>
      </c>
      <c r="J1765" t="s">
        <v>321</v>
      </c>
      <c r="K1765">
        <v>7151.77</v>
      </c>
      <c r="L1765">
        <v>127.5</v>
      </c>
      <c r="M1765" t="s">
        <v>9925</v>
      </c>
      <c r="N1765">
        <v>74891</v>
      </c>
      <c r="O1765">
        <v>93.2</v>
      </c>
      <c r="P1765">
        <v>42.29</v>
      </c>
      <c r="Q1765">
        <v>2.27</v>
      </c>
      <c r="R1765">
        <v>2.92</v>
      </c>
      <c r="S1765">
        <v>8.36</v>
      </c>
      <c r="Z1765" t="s">
        <v>164</v>
      </c>
      <c r="AA1765">
        <v>1.37</v>
      </c>
      <c r="AB1765" t="s">
        <v>11132</v>
      </c>
      <c r="AC1765" t="s">
        <v>3189</v>
      </c>
      <c r="AD1765" t="s">
        <v>3609</v>
      </c>
      <c r="AE1765" t="s">
        <v>8390</v>
      </c>
      <c r="AF1765" t="s">
        <v>9310</v>
      </c>
      <c r="AG1765" t="s">
        <v>10068</v>
      </c>
      <c r="AH1765" t="s">
        <v>19447</v>
      </c>
      <c r="AI1765" t="s">
        <v>2007</v>
      </c>
      <c r="AJ1765" t="s">
        <v>2757</v>
      </c>
      <c r="AK1765" t="s">
        <v>19448</v>
      </c>
      <c r="AL1765">
        <v>1.47</v>
      </c>
      <c r="AM1765">
        <v>1.2</v>
      </c>
      <c r="AN1765">
        <v>1.76</v>
      </c>
      <c r="AO1765" t="s">
        <v>536</v>
      </c>
      <c r="AP1765" t="s">
        <v>5847</v>
      </c>
      <c r="AQ1765" t="s">
        <v>2624</v>
      </c>
      <c r="AR1765" t="s">
        <v>1050</v>
      </c>
      <c r="AS1765" t="s">
        <v>2522</v>
      </c>
      <c r="AT1765" t="s">
        <v>2145</v>
      </c>
      <c r="AU1765" t="s">
        <v>12553</v>
      </c>
      <c r="AV1765" t="s">
        <v>6042</v>
      </c>
      <c r="AW1765" t="s">
        <v>2332</v>
      </c>
      <c r="AX1765" t="s">
        <v>19449</v>
      </c>
      <c r="AY1765" t="s">
        <v>2332</v>
      </c>
      <c r="AZ1765" t="s">
        <v>19450</v>
      </c>
      <c r="BA1765">
        <v>1.6</v>
      </c>
      <c r="BB1765">
        <v>536.41</v>
      </c>
      <c r="BC1765">
        <v>0.49</v>
      </c>
      <c r="BD1765">
        <v>127.94</v>
      </c>
      <c r="BE1765">
        <v>129.26</v>
      </c>
      <c r="BF1765">
        <v>127.43</v>
      </c>
      <c r="BG1765" t="s">
        <v>19451</v>
      </c>
      <c r="BH1765" t="s">
        <v>2332</v>
      </c>
      <c r="BI1765" t="s">
        <v>19452</v>
      </c>
      <c r="BJ1765" t="s">
        <v>101</v>
      </c>
      <c r="BK1765" t="s">
        <v>7320</v>
      </c>
      <c r="BL1765" t="s">
        <v>19453</v>
      </c>
      <c r="BM1765" t="s">
        <v>19454</v>
      </c>
      <c r="BN1765" t="s">
        <v>14623</v>
      </c>
    </row>
    <row r="1766" spans="1:66" x14ac:dyDescent="0.25">
      <c r="A1766" t="str">
        <f>HYPERLINK("https://elite.finviz.com/quote.ashx?t=ACNT&amp;ty=c&amp;p=d&amp;b=1", "ACNT")</f>
        <v>ACNT</v>
      </c>
      <c r="B1766">
        <v>6</v>
      </c>
      <c r="C1766">
        <v>127.03</v>
      </c>
      <c r="D1766">
        <v>56.28</v>
      </c>
      <c r="E1766" t="s">
        <v>19455</v>
      </c>
      <c r="F1766" t="s">
        <v>67</v>
      </c>
      <c r="G1766" t="s">
        <v>355</v>
      </c>
      <c r="H1766" t="s">
        <v>10220</v>
      </c>
      <c r="I1766" t="s">
        <v>70</v>
      </c>
      <c r="J1766" t="s">
        <v>321</v>
      </c>
      <c r="K1766">
        <v>119.77</v>
      </c>
      <c r="L1766">
        <v>12.78</v>
      </c>
      <c r="M1766" t="s">
        <v>969</v>
      </c>
      <c r="N1766">
        <v>2392</v>
      </c>
      <c r="R1766">
        <v>0.94</v>
      </c>
      <c r="S1766">
        <v>1.34</v>
      </c>
      <c r="V1766" t="s">
        <v>19456</v>
      </c>
      <c r="AA1766">
        <v>-0.28999999999999998</v>
      </c>
      <c r="AC1766" t="s">
        <v>19457</v>
      </c>
      <c r="AE1766" t="s">
        <v>844</v>
      </c>
      <c r="AF1766" t="s">
        <v>5643</v>
      </c>
      <c r="AG1766" t="s">
        <v>10332</v>
      </c>
      <c r="AH1766" t="s">
        <v>19458</v>
      </c>
      <c r="AJ1766" t="s">
        <v>15141</v>
      </c>
      <c r="AK1766" t="s">
        <v>12448</v>
      </c>
      <c r="AL1766">
        <v>6.64</v>
      </c>
      <c r="AM1766">
        <v>6.13</v>
      </c>
      <c r="AN1766">
        <v>0.25</v>
      </c>
      <c r="AO1766" t="s">
        <v>9684</v>
      </c>
      <c r="AP1766" t="s">
        <v>3940</v>
      </c>
      <c r="AQ1766" t="s">
        <v>9938</v>
      </c>
      <c r="AR1766" t="s">
        <v>4873</v>
      </c>
      <c r="AS1766" t="s">
        <v>4945</v>
      </c>
      <c r="AT1766" t="s">
        <v>4976</v>
      </c>
      <c r="AU1766" t="s">
        <v>909</v>
      </c>
      <c r="AV1766" t="s">
        <v>2842</v>
      </c>
      <c r="AW1766" t="s">
        <v>4927</v>
      </c>
      <c r="AX1766" t="s">
        <v>3962</v>
      </c>
      <c r="AY1766" t="s">
        <v>19459</v>
      </c>
      <c r="AZ1766" t="s">
        <v>9189</v>
      </c>
      <c r="BA1766">
        <v>1</v>
      </c>
      <c r="BB1766">
        <v>67.42</v>
      </c>
      <c r="BC1766">
        <v>0.13</v>
      </c>
      <c r="BD1766">
        <v>12.68</v>
      </c>
      <c r="BE1766">
        <v>12.84</v>
      </c>
      <c r="BF1766">
        <v>12.69</v>
      </c>
      <c r="BG1766" t="s">
        <v>19460</v>
      </c>
      <c r="BH1766" t="s">
        <v>19461</v>
      </c>
      <c r="BI1766" t="s">
        <v>19462</v>
      </c>
      <c r="BJ1766" t="s">
        <v>101</v>
      </c>
      <c r="BK1766" t="s">
        <v>3024</v>
      </c>
      <c r="BL1766" t="s">
        <v>110</v>
      </c>
      <c r="BM1766" t="s">
        <v>12257</v>
      </c>
      <c r="BN1766" t="s">
        <v>14623</v>
      </c>
    </row>
    <row r="1767" spans="1:66" x14ac:dyDescent="0.25">
      <c r="A1767" t="str">
        <f>HYPERLINK("https://elite.finviz.com/quote.ashx?t=KLIC&amp;ty=c&amp;p=d&amp;b=1", "KLIC")</f>
        <v>KLIC</v>
      </c>
      <c r="B1767">
        <v>6</v>
      </c>
      <c r="C1767">
        <v>127.03</v>
      </c>
      <c r="D1767">
        <v>56.29</v>
      </c>
      <c r="E1767" t="s">
        <v>19463</v>
      </c>
      <c r="F1767" t="s">
        <v>67</v>
      </c>
      <c r="G1767" t="s">
        <v>108</v>
      </c>
      <c r="H1767" t="s">
        <v>2097</v>
      </c>
      <c r="I1767" t="s">
        <v>70</v>
      </c>
      <c r="J1767" t="s">
        <v>321</v>
      </c>
      <c r="K1767">
        <v>2113.98</v>
      </c>
      <c r="L1767">
        <v>40.54</v>
      </c>
      <c r="M1767" t="s">
        <v>11260</v>
      </c>
      <c r="N1767">
        <v>45852</v>
      </c>
      <c r="O1767">
        <v>513.16</v>
      </c>
      <c r="P1767">
        <v>30</v>
      </c>
      <c r="R1767">
        <v>3.21</v>
      </c>
      <c r="S1767">
        <v>2.54</v>
      </c>
      <c r="T1767" t="s">
        <v>6692</v>
      </c>
      <c r="U1767">
        <v>0.82</v>
      </c>
      <c r="V1767" t="s">
        <v>8236</v>
      </c>
      <c r="W1767" t="s">
        <v>3981</v>
      </c>
      <c r="X1767" t="s">
        <v>5224</v>
      </c>
      <c r="Y1767" t="s">
        <v>10073</v>
      </c>
      <c r="AA1767">
        <v>0.08</v>
      </c>
      <c r="AE1767" t="s">
        <v>19464</v>
      </c>
      <c r="AF1767" t="s">
        <v>19465</v>
      </c>
      <c r="AG1767" t="s">
        <v>1475</v>
      </c>
      <c r="AH1767" t="s">
        <v>17088</v>
      </c>
      <c r="AI1767" t="s">
        <v>7006</v>
      </c>
      <c r="AJ1767" t="s">
        <v>2741</v>
      </c>
      <c r="AK1767" t="s">
        <v>19466</v>
      </c>
      <c r="AL1767">
        <v>4.9400000000000004</v>
      </c>
      <c r="AM1767">
        <v>4.0999999999999996</v>
      </c>
      <c r="AN1767">
        <v>0.04</v>
      </c>
      <c r="AO1767" t="s">
        <v>19467</v>
      </c>
      <c r="AP1767" t="s">
        <v>4078</v>
      </c>
      <c r="AQ1767" t="s">
        <v>3493</v>
      </c>
      <c r="AR1767" t="s">
        <v>304</v>
      </c>
      <c r="AS1767" t="s">
        <v>4154</v>
      </c>
      <c r="AT1767" t="s">
        <v>2808</v>
      </c>
      <c r="AU1767" t="s">
        <v>605</v>
      </c>
      <c r="AV1767" t="s">
        <v>2967</v>
      </c>
      <c r="AW1767" t="s">
        <v>5663</v>
      </c>
      <c r="AX1767" t="s">
        <v>10959</v>
      </c>
      <c r="AY1767" t="s">
        <v>11996</v>
      </c>
      <c r="AZ1767" t="s">
        <v>15960</v>
      </c>
      <c r="BA1767">
        <v>2</v>
      </c>
      <c r="BB1767">
        <v>510.25</v>
      </c>
      <c r="BC1767">
        <v>0.32</v>
      </c>
      <c r="BD1767">
        <v>41.05</v>
      </c>
      <c r="BE1767">
        <v>41.05</v>
      </c>
      <c r="BF1767">
        <v>40.479999999999997</v>
      </c>
      <c r="BG1767" t="s">
        <v>19468</v>
      </c>
      <c r="BH1767" t="s">
        <v>4605</v>
      </c>
      <c r="BI1767" t="s">
        <v>19469</v>
      </c>
      <c r="BJ1767" t="s">
        <v>101</v>
      </c>
      <c r="BK1767" t="s">
        <v>685</v>
      </c>
      <c r="BL1767" t="s">
        <v>15014</v>
      </c>
      <c r="BM1767" t="s">
        <v>308</v>
      </c>
      <c r="BN1767" t="s">
        <v>14623</v>
      </c>
    </row>
    <row r="1768" spans="1:66" x14ac:dyDescent="0.25">
      <c r="A1768" t="str">
        <f>HYPERLINK("https://elite.finviz.com/quote.ashx?t=DGICA&amp;ty=c&amp;p=d&amp;b=1", "DGICA")</f>
        <v>DGICA</v>
      </c>
      <c r="B1768">
        <v>6</v>
      </c>
      <c r="C1768">
        <v>127.03</v>
      </c>
      <c r="D1768">
        <v>56.3</v>
      </c>
      <c r="E1768" t="s">
        <v>19470</v>
      </c>
      <c r="F1768" t="s">
        <v>67</v>
      </c>
      <c r="G1768" t="s">
        <v>550</v>
      </c>
      <c r="H1768" t="s">
        <v>4407</v>
      </c>
      <c r="I1768" t="s">
        <v>70</v>
      </c>
      <c r="J1768" t="s">
        <v>321</v>
      </c>
      <c r="K1768">
        <v>685.85</v>
      </c>
      <c r="L1768">
        <v>19.170000000000002</v>
      </c>
      <c r="M1768" t="s">
        <v>1457</v>
      </c>
      <c r="N1768">
        <v>15066</v>
      </c>
      <c r="O1768">
        <v>8.0500000000000007</v>
      </c>
      <c r="P1768">
        <v>9.5</v>
      </c>
      <c r="Q1768">
        <v>0.57999999999999996</v>
      </c>
      <c r="R1768">
        <v>0.69</v>
      </c>
      <c r="S1768">
        <v>1.1399999999999999</v>
      </c>
      <c r="T1768" t="s">
        <v>4765</v>
      </c>
      <c r="U1768">
        <v>0.71</v>
      </c>
      <c r="V1768" t="s">
        <v>4066</v>
      </c>
      <c r="W1768" t="s">
        <v>5610</v>
      </c>
      <c r="X1768" t="s">
        <v>387</v>
      </c>
      <c r="Y1768" t="s">
        <v>2822</v>
      </c>
      <c r="Z1768" t="s">
        <v>13834</v>
      </c>
      <c r="AA1768">
        <v>2.38</v>
      </c>
      <c r="AB1768" t="s">
        <v>112</v>
      </c>
      <c r="AC1768" t="s">
        <v>2649</v>
      </c>
      <c r="AD1768" t="s">
        <v>5798</v>
      </c>
      <c r="AE1768" t="s">
        <v>6121</v>
      </c>
      <c r="AF1768" t="s">
        <v>6106</v>
      </c>
      <c r="AG1768" t="s">
        <v>926</v>
      </c>
      <c r="AH1768" t="s">
        <v>183</v>
      </c>
      <c r="AI1768" t="s">
        <v>3581</v>
      </c>
      <c r="AJ1768" t="s">
        <v>3358</v>
      </c>
      <c r="AK1768" t="s">
        <v>8862</v>
      </c>
      <c r="AL1768">
        <v>0.52</v>
      </c>
      <c r="AN1768">
        <v>0.06</v>
      </c>
      <c r="AP1768" t="s">
        <v>2555</v>
      </c>
      <c r="AQ1768" t="s">
        <v>5658</v>
      </c>
      <c r="AR1768" t="s">
        <v>1761</v>
      </c>
      <c r="AS1768" t="s">
        <v>2619</v>
      </c>
      <c r="AT1768" t="s">
        <v>3000</v>
      </c>
      <c r="AU1768" t="s">
        <v>2581</v>
      </c>
      <c r="AV1768" t="s">
        <v>417</v>
      </c>
      <c r="AW1768" t="s">
        <v>7948</v>
      </c>
      <c r="AX1768" t="s">
        <v>1361</v>
      </c>
      <c r="AY1768" t="s">
        <v>2701</v>
      </c>
      <c r="AZ1768" t="s">
        <v>2702</v>
      </c>
      <c r="BA1768">
        <v>2.33</v>
      </c>
      <c r="BB1768">
        <v>164.68</v>
      </c>
      <c r="BC1768">
        <v>0.32</v>
      </c>
      <c r="BD1768">
        <v>18.98</v>
      </c>
      <c r="BE1768">
        <v>19.32</v>
      </c>
      <c r="BF1768">
        <v>18.989999999999998</v>
      </c>
      <c r="BG1768" t="s">
        <v>19471</v>
      </c>
      <c r="BH1768" t="s">
        <v>4997</v>
      </c>
      <c r="BI1768" t="s">
        <v>19472</v>
      </c>
      <c r="BJ1768" t="s">
        <v>101</v>
      </c>
      <c r="BK1768" t="s">
        <v>7689</v>
      </c>
      <c r="BL1768" t="s">
        <v>4237</v>
      </c>
      <c r="BM1768" t="s">
        <v>18781</v>
      </c>
      <c r="BN1768" t="s">
        <v>14623</v>
      </c>
    </row>
    <row r="1769" spans="1:66" x14ac:dyDescent="0.25">
      <c r="A1769" t="str">
        <f>HYPERLINK("https://elite.finviz.com/quote.ashx?t=CNTX&amp;ty=c&amp;p=d&amp;b=1", "CNTX")</f>
        <v>CNTX</v>
      </c>
      <c r="B1769">
        <v>6</v>
      </c>
      <c r="C1769">
        <v>127.03</v>
      </c>
      <c r="D1769">
        <v>56.31</v>
      </c>
      <c r="E1769" t="s">
        <v>19473</v>
      </c>
      <c r="F1769" t="s">
        <v>107</v>
      </c>
      <c r="G1769" t="s">
        <v>428</v>
      </c>
      <c r="H1769" t="s">
        <v>429</v>
      </c>
      <c r="I1769" t="s">
        <v>70</v>
      </c>
      <c r="J1769" t="s">
        <v>321</v>
      </c>
      <c r="K1769">
        <v>82.54</v>
      </c>
      <c r="L1769">
        <v>0.92</v>
      </c>
      <c r="M1769" t="s">
        <v>2609</v>
      </c>
      <c r="N1769">
        <v>35365</v>
      </c>
      <c r="S1769">
        <v>1</v>
      </c>
      <c r="AA1769">
        <v>-0.4</v>
      </c>
      <c r="AB1769" t="s">
        <v>1009</v>
      </c>
      <c r="AC1769" t="s">
        <v>372</v>
      </c>
      <c r="AD1769" t="s">
        <v>2146</v>
      </c>
      <c r="AI1769" t="s">
        <v>19474</v>
      </c>
      <c r="AJ1769" t="s">
        <v>4271</v>
      </c>
      <c r="AK1769" t="s">
        <v>19475</v>
      </c>
      <c r="AL1769">
        <v>19.04</v>
      </c>
      <c r="AM1769">
        <v>19.04</v>
      </c>
      <c r="AN1769">
        <v>0</v>
      </c>
      <c r="AR1769" t="s">
        <v>5658</v>
      </c>
      <c r="AS1769" t="s">
        <v>3429</v>
      </c>
      <c r="AT1769" t="s">
        <v>8229</v>
      </c>
      <c r="AU1769" t="s">
        <v>6573</v>
      </c>
      <c r="AV1769" t="s">
        <v>3368</v>
      </c>
      <c r="AW1769" t="s">
        <v>3109</v>
      </c>
      <c r="AX1769" t="s">
        <v>8152</v>
      </c>
      <c r="AY1769" t="s">
        <v>15309</v>
      </c>
      <c r="AZ1769" t="s">
        <v>19476</v>
      </c>
      <c r="BA1769">
        <v>1</v>
      </c>
      <c r="BB1769">
        <v>175.52</v>
      </c>
      <c r="BC1769">
        <v>0.72</v>
      </c>
      <c r="BD1769">
        <v>0.9</v>
      </c>
      <c r="BE1769">
        <v>0.95</v>
      </c>
      <c r="BF1769">
        <v>0.9</v>
      </c>
      <c r="BG1769" t="s">
        <v>19477</v>
      </c>
      <c r="BH1769" t="s">
        <v>19478</v>
      </c>
      <c r="BI1769" t="s">
        <v>15326</v>
      </c>
      <c r="BJ1769" t="s">
        <v>101</v>
      </c>
      <c r="BK1769" t="s">
        <v>8393</v>
      </c>
      <c r="BL1769" t="s">
        <v>982</v>
      </c>
      <c r="BM1769" t="s">
        <v>19479</v>
      </c>
      <c r="BN1769" t="s">
        <v>14623</v>
      </c>
    </row>
    <row r="1770" spans="1:66" x14ac:dyDescent="0.25">
      <c r="A1770" t="str">
        <f>HYPERLINK("https://elite.finviz.com/quote.ashx?t=PIPR&amp;ty=c&amp;p=d&amp;b=1", "PIPR")</f>
        <v>PIPR</v>
      </c>
      <c r="B1770">
        <v>6</v>
      </c>
      <c r="C1770">
        <v>127.03</v>
      </c>
      <c r="D1770">
        <v>56.31</v>
      </c>
      <c r="E1770" t="s">
        <v>19480</v>
      </c>
      <c r="F1770" t="s">
        <v>67</v>
      </c>
      <c r="G1770" t="s">
        <v>550</v>
      </c>
      <c r="H1770" t="s">
        <v>551</v>
      </c>
      <c r="I1770" t="s">
        <v>70</v>
      </c>
      <c r="J1770" t="s">
        <v>71</v>
      </c>
      <c r="K1770">
        <v>6221.94</v>
      </c>
      <c r="L1770">
        <v>351.71</v>
      </c>
      <c r="M1770" t="s">
        <v>4902</v>
      </c>
      <c r="N1770">
        <v>17884</v>
      </c>
      <c r="O1770">
        <v>29.68</v>
      </c>
      <c r="P1770">
        <v>19.440000000000001</v>
      </c>
      <c r="R1770">
        <v>3.88</v>
      </c>
      <c r="S1770">
        <v>4.7699999999999996</v>
      </c>
      <c r="T1770" t="s">
        <v>3856</v>
      </c>
      <c r="U1770">
        <v>2.64</v>
      </c>
      <c r="V1770" t="s">
        <v>4882</v>
      </c>
      <c r="W1770" t="s">
        <v>2841</v>
      </c>
      <c r="X1770" t="s">
        <v>5864</v>
      </c>
      <c r="Y1770" t="s">
        <v>10073</v>
      </c>
      <c r="Z1770" t="s">
        <v>6169</v>
      </c>
      <c r="AA1770">
        <v>11.85</v>
      </c>
      <c r="AB1770" t="s">
        <v>18389</v>
      </c>
      <c r="AC1770" t="s">
        <v>1161</v>
      </c>
      <c r="AE1770" t="s">
        <v>6122</v>
      </c>
      <c r="AF1770" t="s">
        <v>17451</v>
      </c>
      <c r="AG1770" t="s">
        <v>1609</v>
      </c>
      <c r="AH1770" t="s">
        <v>7711</v>
      </c>
      <c r="AI1770" t="s">
        <v>10813</v>
      </c>
      <c r="AJ1770" t="s">
        <v>1580</v>
      </c>
      <c r="AK1770" t="s">
        <v>19481</v>
      </c>
      <c r="AL1770">
        <v>0.76</v>
      </c>
      <c r="AM1770">
        <v>0.76</v>
      </c>
      <c r="AN1770">
        <v>0.09</v>
      </c>
      <c r="AO1770" t="s">
        <v>9528</v>
      </c>
      <c r="AP1770" t="s">
        <v>3490</v>
      </c>
      <c r="AQ1770" t="s">
        <v>9864</v>
      </c>
      <c r="AR1770" t="s">
        <v>648</v>
      </c>
      <c r="AS1770" t="s">
        <v>3635</v>
      </c>
      <c r="AT1770" t="s">
        <v>2609</v>
      </c>
      <c r="AU1770" t="s">
        <v>4133</v>
      </c>
      <c r="AV1770" t="s">
        <v>829</v>
      </c>
      <c r="AW1770" t="s">
        <v>5359</v>
      </c>
      <c r="AX1770" t="s">
        <v>1784</v>
      </c>
      <c r="AY1770" t="s">
        <v>5359</v>
      </c>
      <c r="AZ1770" t="s">
        <v>19482</v>
      </c>
      <c r="BA1770">
        <v>2.5</v>
      </c>
      <c r="BB1770">
        <v>155.38</v>
      </c>
      <c r="BC1770">
        <v>0.41</v>
      </c>
      <c r="BD1770">
        <v>347.81</v>
      </c>
      <c r="BE1770">
        <v>353.25</v>
      </c>
      <c r="BF1770">
        <v>350.56</v>
      </c>
      <c r="BG1770" t="s">
        <v>19483</v>
      </c>
      <c r="BH1770" t="s">
        <v>5359</v>
      </c>
      <c r="BI1770" t="s">
        <v>19484</v>
      </c>
      <c r="BJ1770" t="s">
        <v>101</v>
      </c>
      <c r="BK1770" t="s">
        <v>5705</v>
      </c>
      <c r="BL1770" t="s">
        <v>5822</v>
      </c>
      <c r="BM1770" t="s">
        <v>13432</v>
      </c>
      <c r="BN1770" t="s">
        <v>14623</v>
      </c>
    </row>
    <row r="1771" spans="1:66" x14ac:dyDescent="0.25">
      <c r="A1771" t="str">
        <f>HYPERLINK("https://elite.finviz.com/quote.ashx?t=PBHC&amp;ty=c&amp;p=d&amp;b=1", "PBHC")</f>
        <v>PBHC</v>
      </c>
      <c r="B1771">
        <v>6</v>
      </c>
      <c r="C1771">
        <v>127.03</v>
      </c>
      <c r="D1771">
        <v>56.34</v>
      </c>
      <c r="E1771" t="s">
        <v>19485</v>
      </c>
      <c r="F1771" t="s">
        <v>107</v>
      </c>
      <c r="G1771" t="s">
        <v>550</v>
      </c>
      <c r="H1771" t="s">
        <v>697</v>
      </c>
      <c r="I1771" t="s">
        <v>70</v>
      </c>
      <c r="J1771" t="s">
        <v>321</v>
      </c>
      <c r="K1771">
        <v>95.06</v>
      </c>
      <c r="L1771">
        <v>15.41</v>
      </c>
      <c r="M1771" t="s">
        <v>11260</v>
      </c>
      <c r="N1771">
        <v>1624</v>
      </c>
      <c r="O1771">
        <v>165.17</v>
      </c>
      <c r="R1771">
        <v>1.1100000000000001</v>
      </c>
      <c r="S1771">
        <v>0.76</v>
      </c>
      <c r="T1771" t="s">
        <v>2742</v>
      </c>
      <c r="U1771">
        <v>0.4</v>
      </c>
      <c r="V1771" t="s">
        <v>14858</v>
      </c>
      <c r="W1771" t="s">
        <v>821</v>
      </c>
      <c r="X1771" t="s">
        <v>5224</v>
      </c>
      <c r="Y1771" t="s">
        <v>10073</v>
      </c>
      <c r="AA1771">
        <v>0.09</v>
      </c>
      <c r="AE1771" t="s">
        <v>3672</v>
      </c>
      <c r="AF1771" t="s">
        <v>15044</v>
      </c>
      <c r="AG1771" t="s">
        <v>5676</v>
      </c>
      <c r="AH1771" t="s">
        <v>5121</v>
      </c>
      <c r="AJ1771" t="s">
        <v>5549</v>
      </c>
      <c r="AK1771" t="s">
        <v>1099</v>
      </c>
      <c r="AL1771">
        <v>0.06</v>
      </c>
      <c r="AN1771">
        <v>1.1599999999999999</v>
      </c>
      <c r="AP1771" t="s">
        <v>1417</v>
      </c>
      <c r="AQ1771" t="s">
        <v>4782</v>
      </c>
      <c r="AR1771" t="s">
        <v>4216</v>
      </c>
      <c r="AS1771" t="s">
        <v>6692</v>
      </c>
      <c r="AT1771" t="s">
        <v>7338</v>
      </c>
      <c r="AU1771" t="s">
        <v>7088</v>
      </c>
      <c r="AV1771" t="s">
        <v>11402</v>
      </c>
      <c r="AW1771" t="s">
        <v>1082</v>
      </c>
      <c r="AX1771" t="s">
        <v>7387</v>
      </c>
      <c r="AY1771" t="s">
        <v>14418</v>
      </c>
      <c r="AZ1771" t="s">
        <v>7760</v>
      </c>
      <c r="BB1771">
        <v>4</v>
      </c>
      <c r="BC1771">
        <v>1.44</v>
      </c>
      <c r="BD1771">
        <v>15.6</v>
      </c>
      <c r="BE1771">
        <v>15.72</v>
      </c>
      <c r="BF1771">
        <v>15.41</v>
      </c>
      <c r="BG1771" t="s">
        <v>19486</v>
      </c>
      <c r="BH1771" t="s">
        <v>19487</v>
      </c>
      <c r="BI1771" t="s">
        <v>19488</v>
      </c>
      <c r="BJ1771" t="s">
        <v>101</v>
      </c>
      <c r="BK1771" t="s">
        <v>7682</v>
      </c>
      <c r="BL1771" t="s">
        <v>10612</v>
      </c>
      <c r="BM1771" t="s">
        <v>6276</v>
      </c>
      <c r="BN1771" t="s">
        <v>14623</v>
      </c>
    </row>
    <row r="1772" spans="1:66" x14ac:dyDescent="0.25">
      <c r="A1772" t="str">
        <f>HYPERLINK("https://elite.finviz.com/quote.ashx?t=NPCE&amp;ty=c&amp;p=d&amp;b=1", "NPCE")</f>
        <v>NPCE</v>
      </c>
      <c r="B1772">
        <v>6</v>
      </c>
      <c r="C1772">
        <v>127.03</v>
      </c>
      <c r="D1772">
        <v>56.38</v>
      </c>
      <c r="E1772" t="s">
        <v>19489</v>
      </c>
      <c r="F1772" t="s">
        <v>67</v>
      </c>
      <c r="G1772" t="s">
        <v>428</v>
      </c>
      <c r="H1772" t="s">
        <v>2051</v>
      </c>
      <c r="I1772" t="s">
        <v>70</v>
      </c>
      <c r="J1772" t="s">
        <v>321</v>
      </c>
      <c r="K1772">
        <v>333.47</v>
      </c>
      <c r="L1772">
        <v>10.08</v>
      </c>
      <c r="M1772" t="s">
        <v>3047</v>
      </c>
      <c r="N1772">
        <v>18999</v>
      </c>
      <c r="R1772">
        <v>3.76</v>
      </c>
      <c r="S1772">
        <v>17.14</v>
      </c>
      <c r="AA1772">
        <v>-0.83</v>
      </c>
      <c r="AB1772" t="s">
        <v>1476</v>
      </c>
      <c r="AC1772" t="s">
        <v>2581</v>
      </c>
      <c r="AD1772" t="s">
        <v>17546</v>
      </c>
      <c r="AE1772" t="s">
        <v>1340</v>
      </c>
      <c r="AF1772" t="s">
        <v>7834</v>
      </c>
      <c r="AG1772" t="s">
        <v>1001</v>
      </c>
      <c r="AH1772" t="s">
        <v>1986</v>
      </c>
      <c r="AI1772" t="s">
        <v>5410</v>
      </c>
      <c r="AJ1772" t="s">
        <v>196</v>
      </c>
      <c r="AK1772" t="s">
        <v>17923</v>
      </c>
      <c r="AL1772">
        <v>5.47</v>
      </c>
      <c r="AM1772">
        <v>4.51</v>
      </c>
      <c r="AN1772">
        <v>3.68</v>
      </c>
      <c r="AO1772" t="s">
        <v>19490</v>
      </c>
      <c r="AP1772" t="s">
        <v>14970</v>
      </c>
      <c r="AQ1772" t="s">
        <v>7318</v>
      </c>
      <c r="AR1772" t="s">
        <v>3119</v>
      </c>
      <c r="AS1772" t="s">
        <v>165</v>
      </c>
      <c r="AT1772" t="s">
        <v>4255</v>
      </c>
      <c r="AU1772" t="s">
        <v>2487</v>
      </c>
      <c r="AV1772" t="s">
        <v>7525</v>
      </c>
      <c r="AW1772" t="s">
        <v>1892</v>
      </c>
      <c r="AX1772" t="s">
        <v>7465</v>
      </c>
      <c r="AY1772" t="s">
        <v>18239</v>
      </c>
      <c r="AZ1772" t="s">
        <v>19491</v>
      </c>
      <c r="BA1772">
        <v>1</v>
      </c>
      <c r="BB1772">
        <v>243.59</v>
      </c>
      <c r="BC1772">
        <v>0.27</v>
      </c>
      <c r="BD1772">
        <v>10.01</v>
      </c>
      <c r="BE1772">
        <v>10.07</v>
      </c>
      <c r="BF1772">
        <v>9.8800000000000008</v>
      </c>
      <c r="BG1772" t="s">
        <v>19492</v>
      </c>
      <c r="BH1772" t="s">
        <v>19493</v>
      </c>
      <c r="BI1772" t="s">
        <v>19494</v>
      </c>
      <c r="BJ1772" t="s">
        <v>101</v>
      </c>
      <c r="BK1772" t="s">
        <v>11702</v>
      </c>
      <c r="BL1772" t="s">
        <v>1923</v>
      </c>
      <c r="BM1772" t="s">
        <v>19495</v>
      </c>
      <c r="BN1772" t="s">
        <v>14623</v>
      </c>
    </row>
    <row r="1773" spans="1:66" x14ac:dyDescent="0.25">
      <c r="A1773" t="str">
        <f>HYPERLINK("https://elite.finviz.com/quote.ashx?t=GPMT&amp;ty=c&amp;p=d&amp;b=1", "GPMT")</f>
        <v>GPMT</v>
      </c>
      <c r="B1773">
        <v>6</v>
      </c>
      <c r="C1773">
        <v>127.03</v>
      </c>
      <c r="D1773">
        <v>56.39</v>
      </c>
      <c r="E1773" t="s">
        <v>19496</v>
      </c>
      <c r="F1773" t="s">
        <v>107</v>
      </c>
      <c r="G1773" t="s">
        <v>68</v>
      </c>
      <c r="H1773" t="s">
        <v>5566</v>
      </c>
      <c r="I1773" t="s">
        <v>70</v>
      </c>
      <c r="J1773" t="s">
        <v>71</v>
      </c>
      <c r="K1773">
        <v>142.41999999999999</v>
      </c>
      <c r="L1773">
        <v>3.01</v>
      </c>
      <c r="M1773" t="s">
        <v>3336</v>
      </c>
      <c r="N1773">
        <v>17089</v>
      </c>
      <c r="R1773">
        <v>0.86</v>
      </c>
      <c r="S1773">
        <v>0.24</v>
      </c>
      <c r="T1773" t="s">
        <v>8593</v>
      </c>
      <c r="U1773">
        <v>0.2</v>
      </c>
      <c r="V1773" t="s">
        <v>700</v>
      </c>
      <c r="W1773" t="s">
        <v>19497</v>
      </c>
      <c r="X1773" t="s">
        <v>10728</v>
      </c>
      <c r="Y1773" t="s">
        <v>6282</v>
      </c>
      <c r="AA1773">
        <v>-2.13</v>
      </c>
      <c r="AE1773" t="s">
        <v>15470</v>
      </c>
      <c r="AF1773" t="s">
        <v>1086</v>
      </c>
      <c r="AG1773" t="s">
        <v>8358</v>
      </c>
      <c r="AH1773" t="s">
        <v>19498</v>
      </c>
      <c r="AI1773" t="s">
        <v>3386</v>
      </c>
      <c r="AJ1773" t="s">
        <v>6118</v>
      </c>
      <c r="AK1773" t="s">
        <v>4720</v>
      </c>
      <c r="AL1773">
        <v>0.22</v>
      </c>
      <c r="AM1773">
        <v>0.11</v>
      </c>
      <c r="AN1773">
        <v>2.23</v>
      </c>
      <c r="AO1773" t="s">
        <v>17491</v>
      </c>
      <c r="AP1773" t="s">
        <v>9344</v>
      </c>
      <c r="AQ1773" t="s">
        <v>19499</v>
      </c>
      <c r="AR1773" t="s">
        <v>6003</v>
      </c>
      <c r="AS1773" t="s">
        <v>6430</v>
      </c>
      <c r="AT1773" t="s">
        <v>3047</v>
      </c>
      <c r="AU1773" t="s">
        <v>8054</v>
      </c>
      <c r="AV1773" t="s">
        <v>3955</v>
      </c>
      <c r="AW1773" t="s">
        <v>5606</v>
      </c>
      <c r="AX1773" t="s">
        <v>4557</v>
      </c>
      <c r="AY1773" t="s">
        <v>172</v>
      </c>
      <c r="AZ1773" t="s">
        <v>18447</v>
      </c>
      <c r="BA1773">
        <v>2.33</v>
      </c>
      <c r="BB1773">
        <v>377.87</v>
      </c>
      <c r="BC1773">
        <v>0.16</v>
      </c>
      <c r="BD1773">
        <v>2.99</v>
      </c>
      <c r="BE1773">
        <v>3.02</v>
      </c>
      <c r="BF1773">
        <v>2.99</v>
      </c>
      <c r="BG1773" t="s">
        <v>19500</v>
      </c>
      <c r="BH1773" t="s">
        <v>19501</v>
      </c>
      <c r="BI1773" t="s">
        <v>18447</v>
      </c>
      <c r="BJ1773" t="s">
        <v>101</v>
      </c>
      <c r="BK1773" t="s">
        <v>6022</v>
      </c>
      <c r="BL1773" t="s">
        <v>9187</v>
      </c>
      <c r="BM1773" t="s">
        <v>7468</v>
      </c>
      <c r="BN1773" t="s">
        <v>14623</v>
      </c>
    </row>
    <row r="1774" spans="1:66" x14ac:dyDescent="0.25">
      <c r="A1774" t="str">
        <f>HYPERLINK("https://elite.finviz.com/quote.ashx?t=INNV&amp;ty=c&amp;p=d&amp;b=1", "INNV")</f>
        <v>INNV</v>
      </c>
      <c r="B1774">
        <v>6</v>
      </c>
      <c r="C1774">
        <v>127.03</v>
      </c>
      <c r="D1774">
        <v>56.39</v>
      </c>
      <c r="E1774" t="s">
        <v>19502</v>
      </c>
      <c r="F1774" t="s">
        <v>67</v>
      </c>
      <c r="G1774" t="s">
        <v>428</v>
      </c>
      <c r="H1774" t="s">
        <v>3160</v>
      </c>
      <c r="I1774" t="s">
        <v>70</v>
      </c>
      <c r="J1774" t="s">
        <v>321</v>
      </c>
      <c r="K1774">
        <v>642.92999999999995</v>
      </c>
      <c r="L1774">
        <v>4.74</v>
      </c>
      <c r="M1774" t="s">
        <v>7568</v>
      </c>
      <c r="N1774">
        <v>5727</v>
      </c>
      <c r="P1774">
        <v>15.99</v>
      </c>
      <c r="R1774">
        <v>0.75</v>
      </c>
      <c r="S1774">
        <v>2.73</v>
      </c>
      <c r="AA1774">
        <v>-0.22</v>
      </c>
      <c r="AB1774" t="s">
        <v>19115</v>
      </c>
      <c r="AE1774" t="s">
        <v>1199</v>
      </c>
      <c r="AF1774" t="s">
        <v>3952</v>
      </c>
      <c r="AG1774" t="s">
        <v>466</v>
      </c>
      <c r="AH1774" t="s">
        <v>1652</v>
      </c>
      <c r="AI1774" t="s">
        <v>19503</v>
      </c>
      <c r="AJ1774" t="s">
        <v>580</v>
      </c>
      <c r="AK1774" t="s">
        <v>9196</v>
      </c>
      <c r="AL1774">
        <v>1.07</v>
      </c>
      <c r="AM1774">
        <v>1.07</v>
      </c>
      <c r="AN1774">
        <v>0.43</v>
      </c>
      <c r="AO1774" t="s">
        <v>1497</v>
      </c>
      <c r="AP1774" t="s">
        <v>2125</v>
      </c>
      <c r="AQ1774" t="s">
        <v>3586</v>
      </c>
      <c r="AR1774" t="s">
        <v>484</v>
      </c>
      <c r="AS1774" t="s">
        <v>5864</v>
      </c>
      <c r="AT1774" t="s">
        <v>2408</v>
      </c>
      <c r="AU1774" t="s">
        <v>767</v>
      </c>
      <c r="AV1774" t="s">
        <v>8097</v>
      </c>
      <c r="AW1774" t="s">
        <v>3941</v>
      </c>
      <c r="AX1774" t="s">
        <v>17021</v>
      </c>
      <c r="AY1774" t="s">
        <v>6282</v>
      </c>
      <c r="AZ1774" t="s">
        <v>14328</v>
      </c>
      <c r="BA1774">
        <v>3.5</v>
      </c>
      <c r="BB1774">
        <v>38.5</v>
      </c>
      <c r="BC1774">
        <v>0.53</v>
      </c>
      <c r="BD1774">
        <v>4.79</v>
      </c>
      <c r="BE1774">
        <v>4.87</v>
      </c>
      <c r="BF1774">
        <v>4.78</v>
      </c>
      <c r="BG1774" t="s">
        <v>19504</v>
      </c>
      <c r="BH1774" t="s">
        <v>9246</v>
      </c>
      <c r="BI1774" t="s">
        <v>14328</v>
      </c>
      <c r="BJ1774" t="s">
        <v>101</v>
      </c>
      <c r="BK1774" t="s">
        <v>12146</v>
      </c>
      <c r="BL1774" t="s">
        <v>19505</v>
      </c>
      <c r="BM1774" t="s">
        <v>19227</v>
      </c>
      <c r="BN1774" t="s">
        <v>14623</v>
      </c>
    </row>
    <row r="1775" spans="1:66" x14ac:dyDescent="0.25">
      <c r="A1775" t="str">
        <f>HYPERLINK("https://elite.finviz.com/quote.ashx?t=CV&amp;ty=c&amp;p=d&amp;b=1", "CV")</f>
        <v>CV</v>
      </c>
      <c r="B1775">
        <v>6</v>
      </c>
      <c r="C1775">
        <v>127.03</v>
      </c>
      <c r="D1775">
        <v>56.4</v>
      </c>
      <c r="E1775" t="s">
        <v>19506</v>
      </c>
      <c r="F1775" t="s">
        <v>67</v>
      </c>
      <c r="G1775" t="s">
        <v>428</v>
      </c>
      <c r="H1775" t="s">
        <v>2051</v>
      </c>
      <c r="I1775" t="s">
        <v>70</v>
      </c>
      <c r="J1775" t="s">
        <v>321</v>
      </c>
      <c r="K1775">
        <v>205.79</v>
      </c>
      <c r="L1775">
        <v>4.4000000000000004</v>
      </c>
      <c r="M1775" t="s">
        <v>5574</v>
      </c>
      <c r="N1775">
        <v>24463</v>
      </c>
      <c r="AI1775" t="s">
        <v>19507</v>
      </c>
      <c r="AJ1775" t="s">
        <v>164</v>
      </c>
      <c r="AL1775">
        <v>1.58</v>
      </c>
      <c r="AM1775">
        <v>0.86</v>
      </c>
      <c r="AN1775">
        <v>0.45</v>
      </c>
      <c r="AR1775" t="s">
        <v>4518</v>
      </c>
      <c r="AS1775" t="s">
        <v>8155</v>
      </c>
      <c r="AT1775" t="s">
        <v>291</v>
      </c>
      <c r="AU1775" t="s">
        <v>1955</v>
      </c>
      <c r="AV1775" t="s">
        <v>4428</v>
      </c>
      <c r="AW1775" t="s">
        <v>1865</v>
      </c>
      <c r="AX1775" t="s">
        <v>2525</v>
      </c>
      <c r="AY1775" t="s">
        <v>19508</v>
      </c>
      <c r="AZ1775" t="s">
        <v>2525</v>
      </c>
      <c r="BA1775">
        <v>1</v>
      </c>
      <c r="BB1775">
        <v>247.19</v>
      </c>
      <c r="BC1775">
        <v>0.35</v>
      </c>
      <c r="BD1775">
        <v>4.55</v>
      </c>
      <c r="BE1775">
        <v>4.5999999999999996</v>
      </c>
      <c r="BF1775">
        <v>4.38</v>
      </c>
      <c r="BG1775" t="s">
        <v>19509</v>
      </c>
      <c r="BH1775" t="s">
        <v>19508</v>
      </c>
      <c r="BI1775" t="s">
        <v>2525</v>
      </c>
      <c r="BJ1775" t="s">
        <v>101</v>
      </c>
      <c r="BN1775" t="s">
        <v>14623</v>
      </c>
    </row>
    <row r="1776" spans="1:66" x14ac:dyDescent="0.25">
      <c r="A1776" t="str">
        <f>HYPERLINK("https://elite.finviz.com/quote.ashx?t=ECG&amp;ty=c&amp;p=d&amp;b=1", "ECG")</f>
        <v>ECG</v>
      </c>
      <c r="B1776">
        <v>6</v>
      </c>
      <c r="C1776">
        <v>127.03</v>
      </c>
      <c r="D1776">
        <v>56.42</v>
      </c>
      <c r="E1776" t="s">
        <v>19510</v>
      </c>
      <c r="F1776" t="s">
        <v>107</v>
      </c>
      <c r="G1776" t="s">
        <v>260</v>
      </c>
      <c r="H1776" t="s">
        <v>2944</v>
      </c>
      <c r="I1776" t="s">
        <v>70</v>
      </c>
      <c r="J1776" t="s">
        <v>71</v>
      </c>
      <c r="K1776">
        <v>4084.61</v>
      </c>
      <c r="L1776">
        <v>80.08</v>
      </c>
      <c r="M1776" t="s">
        <v>4689</v>
      </c>
      <c r="N1776">
        <v>32343</v>
      </c>
      <c r="O1776">
        <v>24.66</v>
      </c>
      <c r="P1776">
        <v>24.69</v>
      </c>
      <c r="R1776">
        <v>1.25</v>
      </c>
      <c r="S1776">
        <v>7.94</v>
      </c>
      <c r="Z1776" t="s">
        <v>164</v>
      </c>
      <c r="AA1776">
        <v>3.25</v>
      </c>
      <c r="AB1776" t="s">
        <v>2748</v>
      </c>
      <c r="AE1776" t="s">
        <v>12627</v>
      </c>
      <c r="AF1776" t="s">
        <v>7216</v>
      </c>
      <c r="AH1776" t="s">
        <v>717</v>
      </c>
      <c r="AI1776" t="s">
        <v>19511</v>
      </c>
      <c r="AJ1776" t="s">
        <v>164</v>
      </c>
      <c r="AK1776" t="s">
        <v>1319</v>
      </c>
      <c r="AL1776">
        <v>1.77</v>
      </c>
      <c r="AM1776">
        <v>1.69</v>
      </c>
      <c r="AN1776">
        <v>0.71</v>
      </c>
      <c r="AO1776" t="s">
        <v>6751</v>
      </c>
      <c r="AP1776" t="s">
        <v>3566</v>
      </c>
      <c r="AQ1776" t="s">
        <v>3887</v>
      </c>
      <c r="AR1776" t="s">
        <v>304</v>
      </c>
      <c r="AS1776" t="s">
        <v>3542</v>
      </c>
      <c r="AT1776" t="s">
        <v>5071</v>
      </c>
      <c r="AU1776" t="s">
        <v>276</v>
      </c>
      <c r="AV1776" t="s">
        <v>8653</v>
      </c>
      <c r="AW1776" t="s">
        <v>3571</v>
      </c>
      <c r="AX1776" t="s">
        <v>9051</v>
      </c>
      <c r="AY1776" t="s">
        <v>3571</v>
      </c>
      <c r="AZ1776" t="s">
        <v>19512</v>
      </c>
      <c r="BA1776">
        <v>2</v>
      </c>
      <c r="BB1776">
        <v>507.81</v>
      </c>
      <c r="BC1776">
        <v>0.22</v>
      </c>
      <c r="BD1776">
        <v>79.28</v>
      </c>
      <c r="BE1776">
        <v>80.44</v>
      </c>
      <c r="BF1776">
        <v>78.930000000000007</v>
      </c>
      <c r="BG1776" t="s">
        <v>19513</v>
      </c>
      <c r="BH1776" t="s">
        <v>3571</v>
      </c>
      <c r="BI1776" t="s">
        <v>19512</v>
      </c>
      <c r="BJ1776" t="s">
        <v>101</v>
      </c>
      <c r="BK1776" t="s">
        <v>6651</v>
      </c>
      <c r="BL1776" t="s">
        <v>19514</v>
      </c>
      <c r="BN1776" t="s">
        <v>14623</v>
      </c>
    </row>
    <row r="1777" spans="1:66" x14ac:dyDescent="0.25">
      <c r="A1777" t="str">
        <f>HYPERLINK("https://elite.finviz.com/quote.ashx?t=ARAY&amp;ty=c&amp;p=d&amp;b=1", "ARAY")</f>
        <v>ARAY</v>
      </c>
      <c r="B1777">
        <v>6</v>
      </c>
      <c r="C1777">
        <v>127.03</v>
      </c>
      <c r="D1777">
        <v>56.42</v>
      </c>
      <c r="E1777" t="s">
        <v>19515</v>
      </c>
      <c r="F1777" t="s">
        <v>67</v>
      </c>
      <c r="G1777" t="s">
        <v>428</v>
      </c>
      <c r="H1777" t="s">
        <v>2051</v>
      </c>
      <c r="I1777" t="s">
        <v>70</v>
      </c>
      <c r="J1777" t="s">
        <v>321</v>
      </c>
      <c r="K1777">
        <v>190.42</v>
      </c>
      <c r="L1777">
        <v>1.69</v>
      </c>
      <c r="M1777" t="s">
        <v>1417</v>
      </c>
      <c r="N1777">
        <v>243960</v>
      </c>
      <c r="P1777">
        <v>47.61</v>
      </c>
      <c r="R1777">
        <v>0.42</v>
      </c>
      <c r="S1777">
        <v>2.35</v>
      </c>
      <c r="AA1777">
        <v>-0.02</v>
      </c>
      <c r="AB1777" t="s">
        <v>11409</v>
      </c>
      <c r="AE1777" t="s">
        <v>4976</v>
      </c>
      <c r="AF1777" t="s">
        <v>3916</v>
      </c>
      <c r="AG1777" t="s">
        <v>9130</v>
      </c>
      <c r="AH1777" t="s">
        <v>5558</v>
      </c>
      <c r="AI1777" t="s">
        <v>5720</v>
      </c>
      <c r="AJ1777" t="s">
        <v>2610</v>
      </c>
      <c r="AK1777" t="s">
        <v>19516</v>
      </c>
      <c r="AL1777">
        <v>1.63</v>
      </c>
      <c r="AM1777">
        <v>0.9</v>
      </c>
      <c r="AN1777">
        <v>2.17</v>
      </c>
      <c r="AO1777" t="s">
        <v>5333</v>
      </c>
      <c r="AP1777" t="s">
        <v>6493</v>
      </c>
      <c r="AQ1777" t="s">
        <v>2263</v>
      </c>
      <c r="AR1777" t="s">
        <v>1474</v>
      </c>
      <c r="AS1777" t="s">
        <v>5969</v>
      </c>
      <c r="AT1777" t="s">
        <v>912</v>
      </c>
      <c r="AU1777" t="s">
        <v>293</v>
      </c>
      <c r="AV1777" t="s">
        <v>3486</v>
      </c>
      <c r="AW1777" t="s">
        <v>468</v>
      </c>
      <c r="AX1777" t="s">
        <v>17582</v>
      </c>
      <c r="AY1777" t="s">
        <v>19517</v>
      </c>
      <c r="AZ1777" t="s">
        <v>19518</v>
      </c>
      <c r="BA1777">
        <v>1</v>
      </c>
      <c r="BB1777">
        <v>790.3</v>
      </c>
      <c r="BC1777">
        <v>1.1000000000000001</v>
      </c>
      <c r="BD1777">
        <v>1.67</v>
      </c>
      <c r="BE1777">
        <v>1.74</v>
      </c>
      <c r="BF1777">
        <v>1.68</v>
      </c>
      <c r="BG1777" t="s">
        <v>19519</v>
      </c>
      <c r="BH1777" t="s">
        <v>19520</v>
      </c>
      <c r="BI1777" t="s">
        <v>19518</v>
      </c>
      <c r="BJ1777" t="s">
        <v>101</v>
      </c>
      <c r="BK1777" t="s">
        <v>8005</v>
      </c>
      <c r="BL1777" t="s">
        <v>8794</v>
      </c>
      <c r="BM1777" t="s">
        <v>5639</v>
      </c>
      <c r="BN1777" t="s">
        <v>14623</v>
      </c>
    </row>
    <row r="1778" spans="1:66" x14ac:dyDescent="0.25">
      <c r="A1778" t="str">
        <f>HYPERLINK("https://elite.finviz.com/quote.ashx?t=NJR&amp;ty=c&amp;p=d&amp;b=1", "NJR")</f>
        <v>NJR</v>
      </c>
      <c r="B1778">
        <v>6</v>
      </c>
      <c r="C1778">
        <v>127.03</v>
      </c>
      <c r="D1778">
        <v>56.44</v>
      </c>
      <c r="E1778" t="s">
        <v>19521</v>
      </c>
      <c r="F1778" t="s">
        <v>67</v>
      </c>
      <c r="G1778" t="s">
        <v>287</v>
      </c>
      <c r="H1778" t="s">
        <v>3541</v>
      </c>
      <c r="I1778" t="s">
        <v>70</v>
      </c>
      <c r="J1778" t="s">
        <v>71</v>
      </c>
      <c r="K1778">
        <v>4773.45</v>
      </c>
      <c r="L1778">
        <v>47.52</v>
      </c>
      <c r="M1778" t="s">
        <v>4849</v>
      </c>
      <c r="N1778">
        <v>53648</v>
      </c>
      <c r="O1778">
        <v>11.61</v>
      </c>
      <c r="P1778">
        <v>15.27</v>
      </c>
      <c r="Q1778">
        <v>2.85</v>
      </c>
      <c r="R1778">
        <v>2.2799999999999998</v>
      </c>
      <c r="S1778">
        <v>1.97</v>
      </c>
      <c r="T1778" t="s">
        <v>3481</v>
      </c>
      <c r="U1778">
        <v>1.82</v>
      </c>
      <c r="V1778" t="s">
        <v>4676</v>
      </c>
      <c r="W1778" t="s">
        <v>2922</v>
      </c>
      <c r="X1778" t="s">
        <v>3837</v>
      </c>
      <c r="Y1778" t="s">
        <v>2378</v>
      </c>
      <c r="Z1778" t="s">
        <v>9558</v>
      </c>
      <c r="AA1778">
        <v>4.09</v>
      </c>
      <c r="AB1778" t="s">
        <v>16831</v>
      </c>
      <c r="AC1778" t="s">
        <v>2625</v>
      </c>
      <c r="AD1778" t="s">
        <v>1751</v>
      </c>
      <c r="AE1778" t="s">
        <v>2729</v>
      </c>
      <c r="AF1778" t="s">
        <v>4234</v>
      </c>
      <c r="AG1778" t="s">
        <v>3415</v>
      </c>
      <c r="AH1778" t="s">
        <v>6393</v>
      </c>
      <c r="AI1778" t="s">
        <v>19522</v>
      </c>
      <c r="AJ1778" t="s">
        <v>4273</v>
      </c>
      <c r="AK1778" t="s">
        <v>19523</v>
      </c>
      <c r="AL1778">
        <v>0.76</v>
      </c>
      <c r="AM1778">
        <v>0.48</v>
      </c>
      <c r="AN1778">
        <v>1.47</v>
      </c>
      <c r="AO1778" t="s">
        <v>5295</v>
      </c>
      <c r="AP1778" t="s">
        <v>5295</v>
      </c>
      <c r="AQ1778" t="s">
        <v>14945</v>
      </c>
      <c r="AR1778" t="s">
        <v>5692</v>
      </c>
      <c r="AS1778" t="s">
        <v>3024</v>
      </c>
      <c r="AT1778" t="s">
        <v>4552</v>
      </c>
      <c r="AU1778" t="s">
        <v>2186</v>
      </c>
      <c r="AV1778" t="s">
        <v>4552</v>
      </c>
      <c r="AW1778" t="s">
        <v>1820</v>
      </c>
      <c r="AX1778" t="s">
        <v>7453</v>
      </c>
      <c r="AY1778" t="s">
        <v>2488</v>
      </c>
      <c r="AZ1778" t="s">
        <v>6028</v>
      </c>
      <c r="BA1778">
        <v>1.86</v>
      </c>
      <c r="BB1778">
        <v>629.70000000000005</v>
      </c>
      <c r="BC1778">
        <v>0.3</v>
      </c>
      <c r="BD1778">
        <v>47.28</v>
      </c>
      <c r="BE1778">
        <v>47.92</v>
      </c>
      <c r="BF1778">
        <v>47.5</v>
      </c>
      <c r="BG1778" t="s">
        <v>19524</v>
      </c>
      <c r="BH1778" t="s">
        <v>8096</v>
      </c>
      <c r="BI1778" t="s">
        <v>19525</v>
      </c>
      <c r="BJ1778" t="s">
        <v>101</v>
      </c>
      <c r="BK1778" t="s">
        <v>3777</v>
      </c>
      <c r="BL1778" t="s">
        <v>5257</v>
      </c>
      <c r="BM1778" t="s">
        <v>344</v>
      </c>
      <c r="BN1778" t="s">
        <v>14623</v>
      </c>
    </row>
    <row r="1779" spans="1:66" x14ac:dyDescent="0.25">
      <c r="A1779" t="str">
        <f>HYPERLINK("https://elite.finviz.com/quote.ashx?t=IHRT&amp;ty=c&amp;p=d&amp;b=1", "IHRT")</f>
        <v>IHRT</v>
      </c>
      <c r="B1779">
        <v>6</v>
      </c>
      <c r="C1779">
        <v>127.03</v>
      </c>
      <c r="D1779">
        <v>56.46</v>
      </c>
      <c r="E1779" t="s">
        <v>19526</v>
      </c>
      <c r="F1779" t="s">
        <v>67</v>
      </c>
      <c r="G1779" t="s">
        <v>598</v>
      </c>
      <c r="H1779" t="s">
        <v>4546</v>
      </c>
      <c r="I1779" t="s">
        <v>70</v>
      </c>
      <c r="J1779" t="s">
        <v>321</v>
      </c>
      <c r="K1779">
        <v>377.37</v>
      </c>
      <c r="L1779">
        <v>2.76</v>
      </c>
      <c r="M1779" t="s">
        <v>5159</v>
      </c>
      <c r="N1779">
        <v>59552</v>
      </c>
      <c r="P1779">
        <v>6.56</v>
      </c>
      <c r="R1779">
        <v>0.1</v>
      </c>
      <c r="AA1779">
        <v>-2.4500000000000002</v>
      </c>
      <c r="AB1779" t="s">
        <v>18375</v>
      </c>
      <c r="AE1779" t="s">
        <v>4204</v>
      </c>
      <c r="AF1779" t="s">
        <v>648</v>
      </c>
      <c r="AG1779" t="s">
        <v>3344</v>
      </c>
      <c r="AH1779" t="s">
        <v>1657</v>
      </c>
      <c r="AI1779" t="s">
        <v>19527</v>
      </c>
      <c r="AJ1779" t="s">
        <v>4689</v>
      </c>
      <c r="AK1779" t="s">
        <v>19528</v>
      </c>
      <c r="AL1779">
        <v>1.5</v>
      </c>
      <c r="AM1779">
        <v>1.5</v>
      </c>
      <c r="AO1779" t="s">
        <v>8085</v>
      </c>
      <c r="AP1779" t="s">
        <v>6532</v>
      </c>
      <c r="AQ1779" t="s">
        <v>5707</v>
      </c>
      <c r="AR1779" t="s">
        <v>2848</v>
      </c>
      <c r="AS1779" t="s">
        <v>660</v>
      </c>
      <c r="AT1779" t="s">
        <v>2386</v>
      </c>
      <c r="AU1779" t="s">
        <v>3835</v>
      </c>
      <c r="AV1779" t="s">
        <v>19529</v>
      </c>
      <c r="AW1779" t="s">
        <v>19530</v>
      </c>
      <c r="AX1779" t="s">
        <v>19531</v>
      </c>
      <c r="AY1779" t="s">
        <v>19530</v>
      </c>
      <c r="AZ1779" t="s">
        <v>19532</v>
      </c>
      <c r="BA1779">
        <v>3.5</v>
      </c>
      <c r="BB1779">
        <v>818.74</v>
      </c>
      <c r="BC1779">
        <v>0.26</v>
      </c>
      <c r="BD1779">
        <v>2.8</v>
      </c>
      <c r="BE1779">
        <v>2.81</v>
      </c>
      <c r="BF1779">
        <v>2.75</v>
      </c>
      <c r="BG1779" t="s">
        <v>19533</v>
      </c>
      <c r="BH1779" t="s">
        <v>19534</v>
      </c>
      <c r="BI1779" t="s">
        <v>19535</v>
      </c>
      <c r="BJ1779" t="s">
        <v>101</v>
      </c>
      <c r="BK1779" t="s">
        <v>1037</v>
      </c>
      <c r="BL1779" t="s">
        <v>12478</v>
      </c>
      <c r="BM1779" t="s">
        <v>15592</v>
      </c>
      <c r="BN1779" t="s">
        <v>14623</v>
      </c>
    </row>
    <row r="1780" spans="1:66" x14ac:dyDescent="0.25">
      <c r="A1780" t="str">
        <f>HYPERLINK("https://elite.finviz.com/quote.ashx?t=UFI&amp;ty=c&amp;p=d&amp;b=1", "UFI")</f>
        <v>UFI</v>
      </c>
      <c r="B1780">
        <v>6</v>
      </c>
      <c r="C1780">
        <v>127.03</v>
      </c>
      <c r="D1780">
        <v>56.46</v>
      </c>
      <c r="E1780" t="s">
        <v>19536</v>
      </c>
      <c r="F1780" t="s">
        <v>107</v>
      </c>
      <c r="G1780" t="s">
        <v>813</v>
      </c>
      <c r="H1780" t="s">
        <v>14450</v>
      </c>
      <c r="I1780" t="s">
        <v>70</v>
      </c>
      <c r="J1780" t="s">
        <v>71</v>
      </c>
      <c r="K1780">
        <v>85.56</v>
      </c>
      <c r="L1780">
        <v>4.66</v>
      </c>
      <c r="M1780" t="s">
        <v>227</v>
      </c>
      <c r="N1780">
        <v>1919</v>
      </c>
      <c r="P1780">
        <v>6.85</v>
      </c>
      <c r="R1780">
        <v>0.15</v>
      </c>
      <c r="S1780">
        <v>0.34</v>
      </c>
      <c r="AA1780">
        <v>-1.1399999999999999</v>
      </c>
      <c r="AC1780" t="s">
        <v>7903</v>
      </c>
      <c r="AE1780" t="s">
        <v>4707</v>
      </c>
      <c r="AF1780" t="s">
        <v>7454</v>
      </c>
      <c r="AG1780" t="s">
        <v>4879</v>
      </c>
      <c r="AH1780" t="s">
        <v>19537</v>
      </c>
      <c r="AI1780" t="s">
        <v>6934</v>
      </c>
      <c r="AJ1780" t="s">
        <v>164</v>
      </c>
      <c r="AK1780" t="s">
        <v>10127</v>
      </c>
      <c r="AL1780">
        <v>3.32</v>
      </c>
      <c r="AM1780">
        <v>1.55</v>
      </c>
      <c r="AN1780">
        <v>0.46</v>
      </c>
      <c r="AO1780" t="s">
        <v>5158</v>
      </c>
      <c r="AP1780" t="s">
        <v>9704</v>
      </c>
      <c r="AQ1780" t="s">
        <v>7582</v>
      </c>
      <c r="AR1780" t="s">
        <v>387</v>
      </c>
      <c r="AS1780" t="s">
        <v>6150</v>
      </c>
      <c r="AT1780" t="s">
        <v>1560</v>
      </c>
      <c r="AU1780" t="s">
        <v>2742</v>
      </c>
      <c r="AV1780" t="s">
        <v>5371</v>
      </c>
      <c r="AW1780" t="s">
        <v>8225</v>
      </c>
      <c r="AX1780" t="s">
        <v>3305</v>
      </c>
      <c r="AY1780" t="s">
        <v>19538</v>
      </c>
      <c r="AZ1780" t="s">
        <v>3305</v>
      </c>
      <c r="BA1780">
        <v>3</v>
      </c>
      <c r="BB1780">
        <v>44.14</v>
      </c>
      <c r="BC1780">
        <v>0.15</v>
      </c>
      <c r="BD1780">
        <v>4.63</v>
      </c>
      <c r="BE1780">
        <v>4.5999999999999996</v>
      </c>
      <c r="BF1780">
        <v>4.5999999999999996</v>
      </c>
      <c r="BG1780" t="s">
        <v>19539</v>
      </c>
      <c r="BH1780" t="s">
        <v>11714</v>
      </c>
      <c r="BI1780" t="s">
        <v>18600</v>
      </c>
      <c r="BJ1780" t="s">
        <v>101</v>
      </c>
      <c r="BK1780" t="s">
        <v>4647</v>
      </c>
      <c r="BL1780" t="s">
        <v>309</v>
      </c>
      <c r="BM1780" t="s">
        <v>19540</v>
      </c>
      <c r="BN1780" t="s">
        <v>14623</v>
      </c>
    </row>
    <row r="1781" spans="1:66" x14ac:dyDescent="0.25">
      <c r="A1781" t="str">
        <f>HYPERLINK("https://elite.finviz.com/quote.ashx?t=SFST&amp;ty=c&amp;p=d&amp;b=1", "SFST")</f>
        <v>SFST</v>
      </c>
      <c r="B1781">
        <v>6</v>
      </c>
      <c r="C1781">
        <v>127.03</v>
      </c>
      <c r="D1781">
        <v>56.47</v>
      </c>
      <c r="E1781" t="s">
        <v>19541</v>
      </c>
      <c r="F1781" t="s">
        <v>67</v>
      </c>
      <c r="G1781" t="s">
        <v>550</v>
      </c>
      <c r="H1781" t="s">
        <v>697</v>
      </c>
      <c r="I1781" t="s">
        <v>70</v>
      </c>
      <c r="J1781" t="s">
        <v>321</v>
      </c>
      <c r="K1781">
        <v>369.2</v>
      </c>
      <c r="L1781">
        <v>45.13</v>
      </c>
      <c r="M1781" t="s">
        <v>2571</v>
      </c>
      <c r="N1781">
        <v>5273</v>
      </c>
      <c r="O1781">
        <v>16.75</v>
      </c>
      <c r="P1781">
        <v>11.09</v>
      </c>
      <c r="R1781">
        <v>1.7</v>
      </c>
      <c r="S1781">
        <v>1.07</v>
      </c>
      <c r="Z1781" t="s">
        <v>164</v>
      </c>
      <c r="AA1781">
        <v>2.69</v>
      </c>
      <c r="AB1781" t="s">
        <v>19192</v>
      </c>
      <c r="AC1781" t="s">
        <v>7672</v>
      </c>
      <c r="AE1781" t="s">
        <v>1749</v>
      </c>
      <c r="AF1781" t="s">
        <v>19542</v>
      </c>
      <c r="AG1781" t="s">
        <v>3965</v>
      </c>
      <c r="AH1781" t="s">
        <v>307</v>
      </c>
      <c r="AI1781" t="s">
        <v>8565</v>
      </c>
      <c r="AJ1781" t="s">
        <v>4699</v>
      </c>
      <c r="AK1781" t="s">
        <v>19543</v>
      </c>
      <c r="AL1781">
        <v>0.09</v>
      </c>
      <c r="AN1781">
        <v>0.83</v>
      </c>
      <c r="AP1781" t="s">
        <v>9987</v>
      </c>
      <c r="AQ1781" t="s">
        <v>2085</v>
      </c>
      <c r="AR1781" t="s">
        <v>714</v>
      </c>
      <c r="AS1781" t="s">
        <v>6975</v>
      </c>
      <c r="AT1781" t="s">
        <v>3047</v>
      </c>
      <c r="AU1781" t="s">
        <v>162</v>
      </c>
      <c r="AV1781" t="s">
        <v>6393</v>
      </c>
      <c r="AW1781" t="s">
        <v>9085</v>
      </c>
      <c r="AX1781" t="s">
        <v>7663</v>
      </c>
      <c r="AY1781" t="s">
        <v>9085</v>
      </c>
      <c r="AZ1781" t="s">
        <v>3631</v>
      </c>
      <c r="BA1781">
        <v>2</v>
      </c>
      <c r="BB1781">
        <v>23.62</v>
      </c>
      <c r="BC1781">
        <v>0.79</v>
      </c>
      <c r="BD1781">
        <v>44.87</v>
      </c>
      <c r="BE1781">
        <v>45.34</v>
      </c>
      <c r="BF1781">
        <v>44.76</v>
      </c>
      <c r="BG1781" t="s">
        <v>19544</v>
      </c>
      <c r="BH1781" t="s">
        <v>19545</v>
      </c>
      <c r="BI1781" t="s">
        <v>19546</v>
      </c>
      <c r="BJ1781" t="s">
        <v>101</v>
      </c>
      <c r="BK1781" t="s">
        <v>5970</v>
      </c>
      <c r="BL1781" t="s">
        <v>113</v>
      </c>
      <c r="BM1781" t="s">
        <v>1306</v>
      </c>
      <c r="BN1781" t="s">
        <v>14623</v>
      </c>
    </row>
    <row r="1782" spans="1:66" x14ac:dyDescent="0.25">
      <c r="A1782" t="str">
        <f>HYPERLINK("https://elite.finviz.com/quote.ashx?t=OPY&amp;ty=c&amp;p=d&amp;b=1", "OPY")</f>
        <v>OPY</v>
      </c>
      <c r="B1782">
        <v>6</v>
      </c>
      <c r="C1782">
        <v>127.03</v>
      </c>
      <c r="D1782">
        <v>56.47</v>
      </c>
      <c r="E1782" t="s">
        <v>19547</v>
      </c>
      <c r="F1782" t="s">
        <v>107</v>
      </c>
      <c r="G1782" t="s">
        <v>550</v>
      </c>
      <c r="H1782" t="s">
        <v>551</v>
      </c>
      <c r="I1782" t="s">
        <v>70</v>
      </c>
      <c r="J1782" t="s">
        <v>71</v>
      </c>
      <c r="K1782">
        <v>801.62</v>
      </c>
      <c r="L1782">
        <v>76.930000000000007</v>
      </c>
      <c r="M1782" t="s">
        <v>4801</v>
      </c>
      <c r="N1782">
        <v>3029</v>
      </c>
      <c r="O1782">
        <v>9.93</v>
      </c>
      <c r="R1782">
        <v>0.54</v>
      </c>
      <c r="S1782">
        <v>0.9</v>
      </c>
      <c r="T1782" t="s">
        <v>2759</v>
      </c>
      <c r="U1782">
        <v>0.72</v>
      </c>
      <c r="V1782" t="s">
        <v>3046</v>
      </c>
      <c r="W1782" t="s">
        <v>3962</v>
      </c>
      <c r="X1782" t="s">
        <v>4999</v>
      </c>
      <c r="Y1782" t="s">
        <v>2193</v>
      </c>
      <c r="Z1782" t="s">
        <v>2555</v>
      </c>
      <c r="AA1782">
        <v>7.74</v>
      </c>
      <c r="AB1782" t="s">
        <v>15308</v>
      </c>
      <c r="AC1782" t="s">
        <v>10073</v>
      </c>
      <c r="AE1782" t="s">
        <v>4549</v>
      </c>
      <c r="AF1782" t="s">
        <v>7124</v>
      </c>
      <c r="AG1782" t="s">
        <v>616</v>
      </c>
      <c r="AH1782" t="s">
        <v>584</v>
      </c>
      <c r="AJ1782" t="s">
        <v>2402</v>
      </c>
      <c r="AK1782" t="s">
        <v>11201</v>
      </c>
      <c r="AL1782">
        <v>1.18</v>
      </c>
      <c r="AM1782">
        <v>1.18</v>
      </c>
      <c r="AN1782">
        <v>1.51</v>
      </c>
      <c r="AO1782" t="s">
        <v>19548</v>
      </c>
      <c r="AP1782" t="s">
        <v>6795</v>
      </c>
      <c r="AQ1782" t="s">
        <v>4254</v>
      </c>
      <c r="AR1782" t="s">
        <v>5660</v>
      </c>
      <c r="AS1782" t="s">
        <v>862</v>
      </c>
      <c r="AT1782" t="s">
        <v>3257</v>
      </c>
      <c r="AU1782" t="s">
        <v>5026</v>
      </c>
      <c r="AV1782" t="s">
        <v>11564</v>
      </c>
      <c r="AW1782" t="s">
        <v>2870</v>
      </c>
      <c r="AX1782" t="s">
        <v>9253</v>
      </c>
      <c r="AY1782" t="s">
        <v>2870</v>
      </c>
      <c r="AZ1782" t="s">
        <v>19549</v>
      </c>
      <c r="BA1782">
        <v>1</v>
      </c>
      <c r="BB1782">
        <v>52.56</v>
      </c>
      <c r="BC1782">
        <v>0.2</v>
      </c>
      <c r="BD1782">
        <v>76.56</v>
      </c>
      <c r="BE1782">
        <v>77.739999999999995</v>
      </c>
      <c r="BF1782">
        <v>76.91</v>
      </c>
      <c r="BG1782" t="s">
        <v>19550</v>
      </c>
      <c r="BH1782" t="s">
        <v>2870</v>
      </c>
      <c r="BI1782" t="s">
        <v>19551</v>
      </c>
      <c r="BJ1782" t="s">
        <v>101</v>
      </c>
      <c r="BK1782" t="s">
        <v>3766</v>
      </c>
      <c r="BL1782" t="s">
        <v>12993</v>
      </c>
      <c r="BM1782" t="s">
        <v>10480</v>
      </c>
      <c r="BN1782" t="s">
        <v>14623</v>
      </c>
    </row>
    <row r="1783" spans="1:66" x14ac:dyDescent="0.25">
      <c r="A1783" t="str">
        <f>HYPERLINK("https://elite.finviz.com/quote.ashx?t=LQDT&amp;ty=c&amp;p=d&amp;b=1", "LQDT")</f>
        <v>LQDT</v>
      </c>
      <c r="B1783">
        <v>6</v>
      </c>
      <c r="C1783">
        <v>127.03</v>
      </c>
      <c r="D1783">
        <v>56.48</v>
      </c>
      <c r="E1783" t="s">
        <v>19552</v>
      </c>
      <c r="F1783" t="s">
        <v>67</v>
      </c>
      <c r="G1783" t="s">
        <v>813</v>
      </c>
      <c r="H1783" t="s">
        <v>4388</v>
      </c>
      <c r="I1783" t="s">
        <v>70</v>
      </c>
      <c r="J1783" t="s">
        <v>321</v>
      </c>
      <c r="K1783">
        <v>859.96</v>
      </c>
      <c r="L1783">
        <v>27.53</v>
      </c>
      <c r="M1783" t="s">
        <v>2418</v>
      </c>
      <c r="N1783">
        <v>25424</v>
      </c>
      <c r="O1783">
        <v>33.33</v>
      </c>
      <c r="P1783">
        <v>19.66</v>
      </c>
      <c r="R1783">
        <v>1.85</v>
      </c>
      <c r="S1783">
        <v>4.12</v>
      </c>
      <c r="Z1783" t="s">
        <v>164</v>
      </c>
      <c r="AA1783">
        <v>0.83</v>
      </c>
      <c r="AB1783" t="s">
        <v>19553</v>
      </c>
      <c r="AE1783" t="s">
        <v>11524</v>
      </c>
      <c r="AF1783" t="s">
        <v>7345</v>
      </c>
      <c r="AG1783" t="s">
        <v>4089</v>
      </c>
      <c r="AH1783" t="s">
        <v>6517</v>
      </c>
      <c r="AI1783" t="s">
        <v>485</v>
      </c>
      <c r="AJ1783" t="s">
        <v>6149</v>
      </c>
      <c r="AK1783" t="s">
        <v>19554</v>
      </c>
      <c r="AL1783">
        <v>1.41</v>
      </c>
      <c r="AM1783">
        <v>1.31</v>
      </c>
      <c r="AN1783">
        <v>7.0000000000000007E-2</v>
      </c>
      <c r="AO1783" t="s">
        <v>16182</v>
      </c>
      <c r="AP1783" t="s">
        <v>8852</v>
      </c>
      <c r="AQ1783" t="s">
        <v>7685</v>
      </c>
      <c r="AR1783" t="s">
        <v>3842</v>
      </c>
      <c r="AS1783" t="s">
        <v>4255</v>
      </c>
      <c r="AT1783" t="s">
        <v>3552</v>
      </c>
      <c r="AU1783" t="s">
        <v>3204</v>
      </c>
      <c r="AV1783" t="s">
        <v>7468</v>
      </c>
      <c r="AW1783" t="s">
        <v>6074</v>
      </c>
      <c r="AX1783" t="s">
        <v>8521</v>
      </c>
      <c r="AY1783" t="s">
        <v>19555</v>
      </c>
      <c r="AZ1783" t="s">
        <v>7032</v>
      </c>
      <c r="BA1783">
        <v>1</v>
      </c>
      <c r="BB1783">
        <v>269.98</v>
      </c>
      <c r="BC1783">
        <v>0.33</v>
      </c>
      <c r="BD1783">
        <v>27.38</v>
      </c>
      <c r="BE1783">
        <v>27.76</v>
      </c>
      <c r="BF1783">
        <v>27.37</v>
      </c>
      <c r="BG1783" t="s">
        <v>19556</v>
      </c>
      <c r="BH1783" t="s">
        <v>19557</v>
      </c>
      <c r="BI1783" t="s">
        <v>19558</v>
      </c>
      <c r="BJ1783" t="s">
        <v>101</v>
      </c>
      <c r="BK1783" t="s">
        <v>11856</v>
      </c>
      <c r="BL1783" t="s">
        <v>3239</v>
      </c>
      <c r="BM1783" t="s">
        <v>9003</v>
      </c>
      <c r="BN1783" t="s">
        <v>14623</v>
      </c>
    </row>
    <row r="1784" spans="1:66" x14ac:dyDescent="0.25">
      <c r="A1784" t="str">
        <f>HYPERLINK("https://elite.finviz.com/quote.ashx?t=AACB&amp;ty=c&amp;p=d&amp;b=1", "AACB")</f>
        <v>AACB</v>
      </c>
      <c r="B1784">
        <v>6</v>
      </c>
      <c r="C1784">
        <v>127.03</v>
      </c>
      <c r="D1784">
        <v>56.53</v>
      </c>
      <c r="E1784" t="s">
        <v>19559</v>
      </c>
      <c r="F1784" t="s">
        <v>107</v>
      </c>
      <c r="G1784" t="s">
        <v>550</v>
      </c>
      <c r="H1784" t="s">
        <v>2120</v>
      </c>
      <c r="I1784" t="s">
        <v>70</v>
      </c>
      <c r="J1784" t="s">
        <v>321</v>
      </c>
      <c r="K1784">
        <v>296.75</v>
      </c>
      <c r="L1784">
        <v>10.18</v>
      </c>
      <c r="M1784" t="s">
        <v>2213</v>
      </c>
      <c r="N1784">
        <v>661</v>
      </c>
      <c r="S1784">
        <v>1.33</v>
      </c>
      <c r="AJ1784" t="s">
        <v>164</v>
      </c>
      <c r="AK1784" t="s">
        <v>7066</v>
      </c>
      <c r="AL1784">
        <v>2.92</v>
      </c>
      <c r="AM1784">
        <v>2.92</v>
      </c>
      <c r="AN1784">
        <v>0</v>
      </c>
      <c r="AR1784" t="s">
        <v>2215</v>
      </c>
      <c r="AS1784" t="s">
        <v>2215</v>
      </c>
      <c r="AT1784" t="s">
        <v>914</v>
      </c>
      <c r="AU1784" t="s">
        <v>3336</v>
      </c>
      <c r="AV1784" t="s">
        <v>1488</v>
      </c>
      <c r="AW1784" t="s">
        <v>2213</v>
      </c>
      <c r="AX1784" t="s">
        <v>1338</v>
      </c>
      <c r="AY1784" t="s">
        <v>2213</v>
      </c>
      <c r="AZ1784" t="s">
        <v>2522</v>
      </c>
      <c r="BB1784">
        <v>44.61</v>
      </c>
      <c r="BC1784">
        <v>0.05</v>
      </c>
      <c r="BD1784">
        <v>10.199999999999999</v>
      </c>
      <c r="BE1784">
        <v>10.18</v>
      </c>
      <c r="BF1784">
        <v>10.18</v>
      </c>
      <c r="BG1784" t="s">
        <v>19560</v>
      </c>
      <c r="BH1784" t="s">
        <v>164</v>
      </c>
      <c r="BI1784" t="s">
        <v>2522</v>
      </c>
      <c r="BJ1784" t="s">
        <v>101</v>
      </c>
      <c r="BK1784" t="s">
        <v>4780</v>
      </c>
      <c r="BN1784" t="s">
        <v>14623</v>
      </c>
    </row>
    <row r="1785" spans="1:66" x14ac:dyDescent="0.25">
      <c r="A1785" t="str">
        <f>HYPERLINK("https://elite.finviz.com/quote.ashx?t=OPRX&amp;ty=c&amp;p=d&amp;b=1", "OPRX")</f>
        <v>OPRX</v>
      </c>
      <c r="B1785">
        <v>6</v>
      </c>
      <c r="C1785">
        <v>127.03</v>
      </c>
      <c r="D1785">
        <v>56.54</v>
      </c>
      <c r="E1785" t="s">
        <v>19561</v>
      </c>
      <c r="F1785" t="s">
        <v>67</v>
      </c>
      <c r="G1785" t="s">
        <v>428</v>
      </c>
      <c r="H1785" t="s">
        <v>2075</v>
      </c>
      <c r="I1785" t="s">
        <v>70</v>
      </c>
      <c r="J1785" t="s">
        <v>321</v>
      </c>
      <c r="K1785">
        <v>346.88</v>
      </c>
      <c r="L1785">
        <v>18.68</v>
      </c>
      <c r="M1785" t="s">
        <v>910</v>
      </c>
      <c r="N1785">
        <v>64271</v>
      </c>
      <c r="P1785">
        <v>24.4</v>
      </c>
      <c r="R1785">
        <v>3.31</v>
      </c>
      <c r="S1785">
        <v>2.91</v>
      </c>
      <c r="AA1785">
        <v>-0.54</v>
      </c>
      <c r="AC1785" t="s">
        <v>18577</v>
      </c>
      <c r="AE1785" t="s">
        <v>9107</v>
      </c>
      <c r="AF1785" t="s">
        <v>4666</v>
      </c>
      <c r="AG1785" t="s">
        <v>5595</v>
      </c>
      <c r="AH1785" t="s">
        <v>19562</v>
      </c>
      <c r="AI1785" t="s">
        <v>19563</v>
      </c>
      <c r="AJ1785" t="s">
        <v>8374</v>
      </c>
      <c r="AK1785" t="s">
        <v>19564</v>
      </c>
      <c r="AL1785">
        <v>2.57</v>
      </c>
      <c r="AM1785">
        <v>2.57</v>
      </c>
      <c r="AN1785">
        <v>0.24</v>
      </c>
      <c r="AO1785" t="s">
        <v>7771</v>
      </c>
      <c r="AP1785" t="s">
        <v>2941</v>
      </c>
      <c r="AQ1785" t="s">
        <v>19565</v>
      </c>
      <c r="AR1785" t="s">
        <v>7090</v>
      </c>
      <c r="AS1785" t="s">
        <v>614</v>
      </c>
      <c r="AT1785" t="s">
        <v>4976</v>
      </c>
      <c r="AU1785" t="s">
        <v>7724</v>
      </c>
      <c r="AV1785" t="s">
        <v>19566</v>
      </c>
      <c r="AW1785" t="s">
        <v>11242</v>
      </c>
      <c r="AX1785" t="s">
        <v>13731</v>
      </c>
      <c r="AY1785" t="s">
        <v>11242</v>
      </c>
      <c r="AZ1785" t="s">
        <v>19567</v>
      </c>
      <c r="BA1785">
        <v>1.29</v>
      </c>
      <c r="BB1785">
        <v>333.52</v>
      </c>
      <c r="BC1785">
        <v>0.68</v>
      </c>
      <c r="BD1785">
        <v>18.34</v>
      </c>
      <c r="BE1785">
        <v>18.8</v>
      </c>
      <c r="BF1785">
        <v>18.48</v>
      </c>
      <c r="BG1785" t="s">
        <v>19568</v>
      </c>
      <c r="BH1785" t="s">
        <v>13975</v>
      </c>
      <c r="BI1785" t="s">
        <v>19569</v>
      </c>
      <c r="BJ1785" t="s">
        <v>101</v>
      </c>
      <c r="BK1785" t="s">
        <v>10446</v>
      </c>
      <c r="BL1785" t="s">
        <v>19570</v>
      </c>
      <c r="BM1785" t="s">
        <v>19571</v>
      </c>
      <c r="BN1785" t="s">
        <v>14623</v>
      </c>
    </row>
    <row r="1786" spans="1:66" x14ac:dyDescent="0.25">
      <c r="A1786" t="str">
        <f>HYPERLINK("https://elite.finviz.com/quote.ashx?t=FTCI&amp;ty=c&amp;p=d&amp;b=1", "FTCI")</f>
        <v>FTCI</v>
      </c>
      <c r="B1786">
        <v>6</v>
      </c>
      <c r="C1786">
        <v>127.03</v>
      </c>
      <c r="D1786">
        <v>56.55</v>
      </c>
      <c r="E1786" t="s">
        <v>19572</v>
      </c>
      <c r="F1786" t="s">
        <v>107</v>
      </c>
      <c r="G1786" t="s">
        <v>108</v>
      </c>
      <c r="H1786" t="s">
        <v>2924</v>
      </c>
      <c r="I1786" t="s">
        <v>70</v>
      </c>
      <c r="J1786" t="s">
        <v>321</v>
      </c>
      <c r="K1786">
        <v>107.94</v>
      </c>
      <c r="L1786">
        <v>7.26</v>
      </c>
      <c r="M1786" t="s">
        <v>7582</v>
      </c>
      <c r="N1786">
        <v>9083</v>
      </c>
      <c r="R1786">
        <v>1.68</v>
      </c>
      <c r="S1786">
        <v>11.94</v>
      </c>
      <c r="AA1786">
        <v>-3.64</v>
      </c>
      <c r="AB1786" t="s">
        <v>9165</v>
      </c>
      <c r="AC1786" t="s">
        <v>9435</v>
      </c>
      <c r="AD1786" t="s">
        <v>19573</v>
      </c>
      <c r="AE1786" t="s">
        <v>11181</v>
      </c>
      <c r="AF1786" t="s">
        <v>19574</v>
      </c>
      <c r="AG1786" t="s">
        <v>10568</v>
      </c>
      <c r="AH1786" t="s">
        <v>19575</v>
      </c>
      <c r="AI1786" t="s">
        <v>19576</v>
      </c>
      <c r="AJ1786" t="s">
        <v>3112</v>
      </c>
      <c r="AK1786" t="s">
        <v>247</v>
      </c>
      <c r="AL1786">
        <v>1.1499999999999999</v>
      </c>
      <c r="AM1786">
        <v>0.9</v>
      </c>
      <c r="AN1786">
        <v>1.31</v>
      </c>
      <c r="AO1786" t="s">
        <v>14628</v>
      </c>
      <c r="AP1786" t="s">
        <v>19577</v>
      </c>
      <c r="AQ1786" t="s">
        <v>4171</v>
      </c>
      <c r="AR1786" t="s">
        <v>4498</v>
      </c>
      <c r="AS1786" t="s">
        <v>2967</v>
      </c>
      <c r="AT1786" t="s">
        <v>3496</v>
      </c>
      <c r="AU1786" t="s">
        <v>4904</v>
      </c>
      <c r="AV1786" t="s">
        <v>19578</v>
      </c>
      <c r="AW1786" t="s">
        <v>411</v>
      </c>
      <c r="AX1786" t="s">
        <v>8685</v>
      </c>
      <c r="AY1786" t="s">
        <v>411</v>
      </c>
      <c r="AZ1786" t="s">
        <v>19579</v>
      </c>
      <c r="BA1786">
        <v>2.33</v>
      </c>
      <c r="BB1786">
        <v>88.07</v>
      </c>
      <c r="BC1786">
        <v>0.37</v>
      </c>
      <c r="BD1786">
        <v>7.53</v>
      </c>
      <c r="BE1786">
        <v>7.65</v>
      </c>
      <c r="BF1786">
        <v>7.18</v>
      </c>
      <c r="BG1786" t="s">
        <v>19580</v>
      </c>
      <c r="BH1786" t="s">
        <v>19581</v>
      </c>
      <c r="BI1786" t="s">
        <v>19582</v>
      </c>
      <c r="BJ1786" t="s">
        <v>101</v>
      </c>
      <c r="BK1786" t="s">
        <v>19583</v>
      </c>
      <c r="BL1786" t="s">
        <v>19584</v>
      </c>
      <c r="BM1786" t="s">
        <v>19585</v>
      </c>
      <c r="BN1786" t="s">
        <v>14623</v>
      </c>
    </row>
    <row r="1787" spans="1:66" x14ac:dyDescent="0.25">
      <c r="A1787" t="str">
        <f>HYPERLINK("https://elite.finviz.com/quote.ashx?t=ACET&amp;ty=c&amp;p=d&amp;b=1", "ACET")</f>
        <v>ACET</v>
      </c>
      <c r="B1787">
        <v>6</v>
      </c>
      <c r="C1787">
        <v>127.03</v>
      </c>
      <c r="D1787">
        <v>56.56</v>
      </c>
      <c r="E1787" t="s">
        <v>19586</v>
      </c>
      <c r="F1787" t="s">
        <v>107</v>
      </c>
      <c r="G1787" t="s">
        <v>428</v>
      </c>
      <c r="H1787" t="s">
        <v>429</v>
      </c>
      <c r="I1787" t="s">
        <v>70</v>
      </c>
      <c r="J1787" t="s">
        <v>321</v>
      </c>
      <c r="K1787">
        <v>68.88</v>
      </c>
      <c r="L1787">
        <v>0.83</v>
      </c>
      <c r="M1787" t="s">
        <v>5153</v>
      </c>
      <c r="N1787">
        <v>114358</v>
      </c>
      <c r="S1787">
        <v>0.52</v>
      </c>
      <c r="AA1787">
        <v>-1.3</v>
      </c>
      <c r="AB1787" t="s">
        <v>3751</v>
      </c>
      <c r="AC1787" t="s">
        <v>11165</v>
      </c>
      <c r="AD1787" t="s">
        <v>13792</v>
      </c>
      <c r="AI1787" t="s">
        <v>11638</v>
      </c>
      <c r="AJ1787" t="s">
        <v>164</v>
      </c>
      <c r="AK1787" t="s">
        <v>19587</v>
      </c>
      <c r="AL1787">
        <v>7.48</v>
      </c>
      <c r="AM1787">
        <v>7.48</v>
      </c>
      <c r="AN1787">
        <v>0.12</v>
      </c>
      <c r="AR1787" t="s">
        <v>3951</v>
      </c>
      <c r="AS1787" t="s">
        <v>9751</v>
      </c>
      <c r="AT1787" t="s">
        <v>169</v>
      </c>
      <c r="AU1787" t="s">
        <v>3188</v>
      </c>
      <c r="AV1787" t="s">
        <v>7935</v>
      </c>
      <c r="AW1787" t="s">
        <v>8182</v>
      </c>
      <c r="AX1787" t="s">
        <v>6669</v>
      </c>
      <c r="AY1787" t="s">
        <v>19588</v>
      </c>
      <c r="AZ1787" t="s">
        <v>19589</v>
      </c>
      <c r="BA1787">
        <v>1.29</v>
      </c>
      <c r="BB1787">
        <v>489.54</v>
      </c>
      <c r="BC1787">
        <v>0.83</v>
      </c>
      <c r="BD1787">
        <v>0.84</v>
      </c>
      <c r="BE1787">
        <v>0.84</v>
      </c>
      <c r="BF1787">
        <v>0.81</v>
      </c>
      <c r="BG1787" t="s">
        <v>19590</v>
      </c>
      <c r="BH1787" t="s">
        <v>14412</v>
      </c>
      <c r="BI1787" t="s">
        <v>19589</v>
      </c>
      <c r="BJ1787" t="s">
        <v>101</v>
      </c>
      <c r="BK1787" t="s">
        <v>9303</v>
      </c>
      <c r="BL1787" t="s">
        <v>4516</v>
      </c>
      <c r="BM1787" t="s">
        <v>15818</v>
      </c>
      <c r="BN1787" t="s">
        <v>14623</v>
      </c>
    </row>
    <row r="1788" spans="1:66" x14ac:dyDescent="0.25">
      <c r="A1788" t="str">
        <f>HYPERLINK("https://elite.finviz.com/quote.ashx?t=AMBA&amp;ty=c&amp;p=d&amp;b=1", "AMBA")</f>
        <v>AMBA</v>
      </c>
      <c r="B1788">
        <v>6</v>
      </c>
      <c r="C1788">
        <v>127.03</v>
      </c>
      <c r="D1788">
        <v>56.62</v>
      </c>
      <c r="E1788" t="s">
        <v>19591</v>
      </c>
      <c r="F1788" t="s">
        <v>67</v>
      </c>
      <c r="G1788" t="s">
        <v>108</v>
      </c>
      <c r="H1788" t="s">
        <v>2097</v>
      </c>
      <c r="I1788" t="s">
        <v>70</v>
      </c>
      <c r="J1788" t="s">
        <v>321</v>
      </c>
      <c r="K1788">
        <v>3530.38</v>
      </c>
      <c r="L1788">
        <v>82.7</v>
      </c>
      <c r="M1788" t="s">
        <v>5424</v>
      </c>
      <c r="N1788">
        <v>90384</v>
      </c>
      <c r="P1788">
        <v>158.80000000000001</v>
      </c>
      <c r="R1788">
        <v>10.14</v>
      </c>
      <c r="S1788">
        <v>6.12</v>
      </c>
      <c r="AA1788">
        <v>-2.11</v>
      </c>
      <c r="AB1788" t="s">
        <v>19592</v>
      </c>
      <c r="AC1788" t="s">
        <v>4238</v>
      </c>
      <c r="AE1788" t="s">
        <v>19593</v>
      </c>
      <c r="AF1788" t="s">
        <v>4126</v>
      </c>
      <c r="AG1788" t="s">
        <v>6378</v>
      </c>
      <c r="AH1788" t="s">
        <v>19594</v>
      </c>
      <c r="AI1788" t="s">
        <v>19595</v>
      </c>
      <c r="AJ1788" t="s">
        <v>1510</v>
      </c>
      <c r="AK1788" t="s">
        <v>19596</v>
      </c>
      <c r="AL1788">
        <v>2.73</v>
      </c>
      <c r="AM1788">
        <v>2.46</v>
      </c>
      <c r="AN1788">
        <v>0.01</v>
      </c>
      <c r="AO1788" t="s">
        <v>8990</v>
      </c>
      <c r="AP1788" t="s">
        <v>19597</v>
      </c>
      <c r="AQ1788" t="s">
        <v>19598</v>
      </c>
      <c r="AR1788" t="s">
        <v>2811</v>
      </c>
      <c r="AS1788" t="s">
        <v>3443</v>
      </c>
      <c r="AT1788" t="s">
        <v>629</v>
      </c>
      <c r="AU1788" t="s">
        <v>2946</v>
      </c>
      <c r="AV1788" t="s">
        <v>12500</v>
      </c>
      <c r="AW1788" t="s">
        <v>10146</v>
      </c>
      <c r="AX1788" t="s">
        <v>9951</v>
      </c>
      <c r="AY1788" t="s">
        <v>10146</v>
      </c>
      <c r="AZ1788" t="s">
        <v>19599</v>
      </c>
      <c r="BA1788">
        <v>1.73</v>
      </c>
      <c r="BB1788">
        <v>851.91</v>
      </c>
      <c r="BC1788">
        <v>0.37</v>
      </c>
      <c r="BD1788">
        <v>83.4</v>
      </c>
      <c r="BE1788">
        <v>83.42</v>
      </c>
      <c r="BF1788">
        <v>82.1</v>
      </c>
      <c r="BG1788" t="s">
        <v>19600</v>
      </c>
      <c r="BH1788" t="s">
        <v>13345</v>
      </c>
      <c r="BI1788" t="s">
        <v>19601</v>
      </c>
      <c r="BJ1788" t="s">
        <v>101</v>
      </c>
      <c r="BK1788" t="s">
        <v>1340</v>
      </c>
      <c r="BL1788" t="s">
        <v>19602</v>
      </c>
      <c r="BM1788" t="s">
        <v>1265</v>
      </c>
      <c r="BN1788" t="s">
        <v>14623</v>
      </c>
    </row>
    <row r="1789" spans="1:66" x14ac:dyDescent="0.25">
      <c r="A1789" t="str">
        <f>HYPERLINK("https://elite.finviz.com/quote.ashx?t=RVP&amp;ty=c&amp;p=d&amp;b=1", "RVP")</f>
        <v>RVP</v>
      </c>
      <c r="B1789">
        <v>6</v>
      </c>
      <c r="C1789">
        <v>127.03</v>
      </c>
      <c r="D1789">
        <v>56.65</v>
      </c>
      <c r="E1789" t="s">
        <v>19603</v>
      </c>
      <c r="F1789" t="s">
        <v>107</v>
      </c>
      <c r="G1789" t="s">
        <v>428</v>
      </c>
      <c r="H1789" t="s">
        <v>2161</v>
      </c>
      <c r="I1789" t="s">
        <v>70</v>
      </c>
      <c r="J1789" t="s">
        <v>383</v>
      </c>
      <c r="K1789">
        <v>24.84</v>
      </c>
      <c r="L1789">
        <v>0.83</v>
      </c>
      <c r="M1789" t="s">
        <v>406</v>
      </c>
      <c r="N1789">
        <v>4067</v>
      </c>
      <c r="R1789">
        <v>0.65</v>
      </c>
      <c r="S1789">
        <v>0.33</v>
      </c>
      <c r="AA1789">
        <v>-0.3</v>
      </c>
      <c r="AE1789" t="s">
        <v>2760</v>
      </c>
      <c r="AF1789" t="s">
        <v>12185</v>
      </c>
      <c r="AG1789" t="s">
        <v>9070</v>
      </c>
      <c r="AH1789" t="s">
        <v>6911</v>
      </c>
      <c r="AJ1789" t="s">
        <v>5593</v>
      </c>
      <c r="AK1789" t="s">
        <v>9751</v>
      </c>
      <c r="AL1789">
        <v>7.01</v>
      </c>
      <c r="AM1789">
        <v>4.7300000000000004</v>
      </c>
      <c r="AN1789">
        <v>0.01</v>
      </c>
      <c r="AO1789" t="s">
        <v>9091</v>
      </c>
      <c r="AP1789" t="s">
        <v>19604</v>
      </c>
      <c r="AQ1789" t="s">
        <v>19605</v>
      </c>
      <c r="AR1789" t="s">
        <v>5045</v>
      </c>
      <c r="AS1789" t="s">
        <v>2317</v>
      </c>
      <c r="AT1789" t="s">
        <v>910</v>
      </c>
      <c r="AU1789" t="s">
        <v>204</v>
      </c>
      <c r="AV1789" t="s">
        <v>1489</v>
      </c>
      <c r="AW1789" t="s">
        <v>13734</v>
      </c>
      <c r="AX1789" t="s">
        <v>11897</v>
      </c>
      <c r="AY1789" t="s">
        <v>15635</v>
      </c>
      <c r="AZ1789" t="s">
        <v>19606</v>
      </c>
      <c r="BB1789">
        <v>64.3</v>
      </c>
      <c r="BC1789">
        <v>0.22</v>
      </c>
      <c r="BD1789">
        <v>0.83</v>
      </c>
      <c r="BE1789">
        <v>0.84</v>
      </c>
      <c r="BF1789">
        <v>0.81</v>
      </c>
      <c r="BG1789" t="s">
        <v>19607</v>
      </c>
      <c r="BH1789" t="s">
        <v>5181</v>
      </c>
      <c r="BI1789" t="s">
        <v>19608</v>
      </c>
      <c r="BJ1789" t="s">
        <v>101</v>
      </c>
      <c r="BK1789" t="s">
        <v>1256</v>
      </c>
      <c r="BL1789" t="s">
        <v>5224</v>
      </c>
      <c r="BM1789" t="s">
        <v>531</v>
      </c>
      <c r="BN1789" t="s">
        <v>14623</v>
      </c>
    </row>
    <row r="1790" spans="1:66" x14ac:dyDescent="0.25">
      <c r="A1790" t="str">
        <f>HYPERLINK("https://elite.finviz.com/quote.ashx?t=MMS&amp;ty=c&amp;p=d&amp;b=1", "MMS")</f>
        <v>MMS</v>
      </c>
      <c r="B1790">
        <v>6</v>
      </c>
      <c r="C1790">
        <v>127.03</v>
      </c>
      <c r="D1790">
        <v>56.68</v>
      </c>
      <c r="E1790" t="s">
        <v>19609</v>
      </c>
      <c r="F1790" t="s">
        <v>67</v>
      </c>
      <c r="G1790" t="s">
        <v>260</v>
      </c>
      <c r="H1790" t="s">
        <v>1077</v>
      </c>
      <c r="I1790" t="s">
        <v>70</v>
      </c>
      <c r="J1790" t="s">
        <v>71</v>
      </c>
      <c r="K1790">
        <v>4952.29</v>
      </c>
      <c r="L1790">
        <v>87.89</v>
      </c>
      <c r="M1790" t="s">
        <v>2560</v>
      </c>
      <c r="N1790">
        <v>108841</v>
      </c>
      <c r="O1790">
        <v>16.2</v>
      </c>
      <c r="P1790">
        <v>11.53</v>
      </c>
      <c r="Q1790">
        <v>1.59</v>
      </c>
      <c r="R1790">
        <v>0.91</v>
      </c>
      <c r="S1790">
        <v>2.79</v>
      </c>
      <c r="T1790" t="s">
        <v>4856</v>
      </c>
      <c r="U1790">
        <v>1.2</v>
      </c>
      <c r="V1790" t="s">
        <v>3046</v>
      </c>
      <c r="W1790" t="s">
        <v>5114</v>
      </c>
      <c r="X1790" t="s">
        <v>180</v>
      </c>
      <c r="Y1790" t="s">
        <v>3482</v>
      </c>
      <c r="Z1790" t="s">
        <v>7797</v>
      </c>
      <c r="AA1790">
        <v>5.43</v>
      </c>
      <c r="AB1790" t="s">
        <v>8016</v>
      </c>
      <c r="AC1790" t="s">
        <v>1204</v>
      </c>
      <c r="AD1790" t="s">
        <v>7669</v>
      </c>
      <c r="AE1790" t="s">
        <v>6121</v>
      </c>
      <c r="AF1790" t="s">
        <v>2406</v>
      </c>
      <c r="AG1790" t="s">
        <v>13468</v>
      </c>
      <c r="AH1790" t="s">
        <v>1560</v>
      </c>
      <c r="AI1790" t="s">
        <v>1725</v>
      </c>
      <c r="AJ1790" t="s">
        <v>5424</v>
      </c>
      <c r="AK1790" t="s">
        <v>4596</v>
      </c>
      <c r="AL1790">
        <v>2.27</v>
      </c>
      <c r="AM1790">
        <v>2.27</v>
      </c>
      <c r="AN1790">
        <v>1</v>
      </c>
      <c r="AO1790" t="s">
        <v>1414</v>
      </c>
      <c r="AP1790" t="s">
        <v>8401</v>
      </c>
      <c r="AQ1790" t="s">
        <v>2581</v>
      </c>
      <c r="AR1790" t="s">
        <v>3856</v>
      </c>
      <c r="AS1790" t="s">
        <v>2307</v>
      </c>
      <c r="AT1790" t="s">
        <v>3896</v>
      </c>
      <c r="AU1790" t="s">
        <v>3601</v>
      </c>
      <c r="AV1790" t="s">
        <v>8417</v>
      </c>
      <c r="AW1790" t="s">
        <v>5686</v>
      </c>
      <c r="AX1790" t="s">
        <v>982</v>
      </c>
      <c r="AY1790" t="s">
        <v>2355</v>
      </c>
      <c r="AZ1790" t="s">
        <v>10033</v>
      </c>
      <c r="BA1790">
        <v>1.67</v>
      </c>
      <c r="BB1790">
        <v>564.37</v>
      </c>
      <c r="BC1790">
        <v>0.68</v>
      </c>
      <c r="BD1790">
        <v>87.74</v>
      </c>
      <c r="BE1790">
        <v>88.19</v>
      </c>
      <c r="BF1790">
        <v>87.46</v>
      </c>
      <c r="BG1790" t="s">
        <v>19610</v>
      </c>
      <c r="BH1790" t="s">
        <v>5674</v>
      </c>
      <c r="BI1790" t="s">
        <v>19611</v>
      </c>
      <c r="BJ1790" t="s">
        <v>101</v>
      </c>
      <c r="BK1790" t="s">
        <v>1715</v>
      </c>
      <c r="BL1790" t="s">
        <v>9877</v>
      </c>
      <c r="BM1790" t="s">
        <v>818</v>
      </c>
      <c r="BN1790" t="s">
        <v>14623</v>
      </c>
    </row>
    <row r="1791" spans="1:66" x14ac:dyDescent="0.25">
      <c r="A1791" t="str">
        <f>HYPERLINK("https://elite.finviz.com/quote.ashx?t=LH&amp;ty=c&amp;p=d&amp;b=1", "LH")</f>
        <v>LH</v>
      </c>
      <c r="B1791">
        <v>6</v>
      </c>
      <c r="C1791">
        <v>127.03</v>
      </c>
      <c r="D1791">
        <v>56.72</v>
      </c>
      <c r="E1791" t="s">
        <v>19612</v>
      </c>
      <c r="F1791" t="s">
        <v>195</v>
      </c>
      <c r="G1791" t="s">
        <v>428</v>
      </c>
      <c r="H1791" t="s">
        <v>4202</v>
      </c>
      <c r="I1791" t="s">
        <v>70</v>
      </c>
      <c r="J1791" t="s">
        <v>71</v>
      </c>
      <c r="K1791">
        <v>23211.49</v>
      </c>
      <c r="L1791">
        <v>279.32</v>
      </c>
      <c r="M1791" t="s">
        <v>1488</v>
      </c>
      <c r="N1791">
        <v>69232</v>
      </c>
      <c r="O1791">
        <v>30.8</v>
      </c>
      <c r="P1791">
        <v>15.87</v>
      </c>
      <c r="Q1791">
        <v>3.19</v>
      </c>
      <c r="R1791">
        <v>1.72</v>
      </c>
      <c r="S1791">
        <v>2.73</v>
      </c>
      <c r="T1791" t="s">
        <v>3447</v>
      </c>
      <c r="U1791">
        <v>2.88</v>
      </c>
      <c r="V1791" t="s">
        <v>6765</v>
      </c>
      <c r="W1791" t="s">
        <v>164</v>
      </c>
      <c r="Z1791" t="s">
        <v>19613</v>
      </c>
      <c r="AA1791">
        <v>9.07</v>
      </c>
      <c r="AB1791" t="s">
        <v>19614</v>
      </c>
      <c r="AC1791" t="s">
        <v>273</v>
      </c>
      <c r="AD1791" t="s">
        <v>419</v>
      </c>
      <c r="AE1791" t="s">
        <v>10425</v>
      </c>
      <c r="AF1791" t="s">
        <v>1092</v>
      </c>
      <c r="AG1791" t="s">
        <v>4710</v>
      </c>
      <c r="AH1791" t="s">
        <v>2200</v>
      </c>
      <c r="AI1791" t="s">
        <v>4530</v>
      </c>
      <c r="AJ1791" t="s">
        <v>3571</v>
      </c>
      <c r="AK1791" t="s">
        <v>9899</v>
      </c>
      <c r="AL1791">
        <v>1.5</v>
      </c>
      <c r="AM1791">
        <v>1.32</v>
      </c>
      <c r="AN1791">
        <v>0.77</v>
      </c>
      <c r="AO1791" t="s">
        <v>16602</v>
      </c>
      <c r="AP1791" t="s">
        <v>5557</v>
      </c>
      <c r="AQ1791" t="s">
        <v>5210</v>
      </c>
      <c r="AR1791" t="s">
        <v>2145</v>
      </c>
      <c r="AS1791" t="s">
        <v>6990</v>
      </c>
      <c r="AT1791" t="s">
        <v>3013</v>
      </c>
      <c r="AU1791" t="s">
        <v>2317</v>
      </c>
      <c r="AV1791" t="s">
        <v>2891</v>
      </c>
      <c r="AW1791" t="s">
        <v>4763</v>
      </c>
      <c r="AX1791" t="s">
        <v>7617</v>
      </c>
      <c r="AY1791" t="s">
        <v>4763</v>
      </c>
      <c r="AZ1791" t="s">
        <v>2684</v>
      </c>
      <c r="BA1791">
        <v>1.65</v>
      </c>
      <c r="BB1791">
        <v>627.16999999999996</v>
      </c>
      <c r="BC1791">
        <v>0.39</v>
      </c>
      <c r="BD1791">
        <v>276.14</v>
      </c>
      <c r="BE1791">
        <v>279.5</v>
      </c>
      <c r="BF1791">
        <v>276.69</v>
      </c>
      <c r="BG1791" t="s">
        <v>19615</v>
      </c>
      <c r="BH1791" t="s">
        <v>4763</v>
      </c>
      <c r="BI1791" t="s">
        <v>19616</v>
      </c>
      <c r="BJ1791" t="s">
        <v>101</v>
      </c>
      <c r="BK1791" t="s">
        <v>3432</v>
      </c>
      <c r="BL1791" t="s">
        <v>16934</v>
      </c>
      <c r="BM1791" t="s">
        <v>1162</v>
      </c>
      <c r="BN1791" t="s">
        <v>14623</v>
      </c>
    </row>
    <row r="1792" spans="1:66" x14ac:dyDescent="0.25">
      <c r="A1792" t="str">
        <f>HYPERLINK("https://elite.finviz.com/quote.ashx?t=HHS&amp;ty=c&amp;p=d&amp;b=1", "HHS")</f>
        <v>HHS</v>
      </c>
      <c r="B1792">
        <v>6</v>
      </c>
      <c r="C1792">
        <v>127.03</v>
      </c>
      <c r="D1792">
        <v>56.75</v>
      </c>
      <c r="E1792" t="s">
        <v>19617</v>
      </c>
      <c r="F1792" t="s">
        <v>107</v>
      </c>
      <c r="G1792" t="s">
        <v>260</v>
      </c>
      <c r="H1792" t="s">
        <v>2508</v>
      </c>
      <c r="I1792" t="s">
        <v>70</v>
      </c>
      <c r="J1792" t="s">
        <v>321</v>
      </c>
      <c r="K1792">
        <v>28.1</v>
      </c>
      <c r="L1792">
        <v>3.79</v>
      </c>
      <c r="M1792" t="s">
        <v>2234</v>
      </c>
      <c r="N1792">
        <v>7</v>
      </c>
      <c r="R1792">
        <v>0.16</v>
      </c>
      <c r="S1792">
        <v>1.26</v>
      </c>
      <c r="V1792" t="s">
        <v>19618</v>
      </c>
      <c r="AA1792">
        <v>-0.41</v>
      </c>
      <c r="AC1792" t="s">
        <v>1657</v>
      </c>
      <c r="AE1792" t="s">
        <v>2336</v>
      </c>
      <c r="AF1792" t="s">
        <v>9511</v>
      </c>
      <c r="AG1792" t="s">
        <v>3322</v>
      </c>
      <c r="AH1792" t="s">
        <v>19619</v>
      </c>
      <c r="AJ1792" t="s">
        <v>3000</v>
      </c>
      <c r="AK1792" t="s">
        <v>4224</v>
      </c>
      <c r="AL1792">
        <v>1.6</v>
      </c>
      <c r="AM1792">
        <v>1.6</v>
      </c>
      <c r="AN1792">
        <v>1.02</v>
      </c>
      <c r="AO1792" t="s">
        <v>9096</v>
      </c>
      <c r="AP1792" t="s">
        <v>8013</v>
      </c>
      <c r="AQ1792" t="s">
        <v>5746</v>
      </c>
      <c r="AR1792" t="s">
        <v>4569</v>
      </c>
      <c r="AS1792" t="s">
        <v>2146</v>
      </c>
      <c r="AT1792" t="s">
        <v>2543</v>
      </c>
      <c r="AU1792" t="s">
        <v>7685</v>
      </c>
      <c r="AV1792" t="s">
        <v>19620</v>
      </c>
      <c r="AW1792" t="s">
        <v>2190</v>
      </c>
      <c r="AX1792" t="s">
        <v>9790</v>
      </c>
      <c r="AY1792" t="s">
        <v>8726</v>
      </c>
      <c r="AZ1792" t="s">
        <v>9790</v>
      </c>
      <c r="BA1792">
        <v>1</v>
      </c>
      <c r="BB1792">
        <v>12.34</v>
      </c>
      <c r="BC1792">
        <v>0</v>
      </c>
      <c r="BD1792">
        <v>3.66</v>
      </c>
      <c r="BE1792">
        <v>3.63</v>
      </c>
      <c r="BF1792">
        <v>3.63</v>
      </c>
      <c r="BG1792" t="s">
        <v>19621</v>
      </c>
      <c r="BH1792" t="s">
        <v>6821</v>
      </c>
      <c r="BI1792" t="s">
        <v>19622</v>
      </c>
      <c r="BJ1792" t="s">
        <v>101</v>
      </c>
      <c r="BK1792" t="s">
        <v>148</v>
      </c>
      <c r="BL1792" t="s">
        <v>16748</v>
      </c>
      <c r="BM1792" t="s">
        <v>14025</v>
      </c>
      <c r="BN1792" t="s">
        <v>14623</v>
      </c>
    </row>
    <row r="1793" spans="1:66" x14ac:dyDescent="0.25">
      <c r="A1793" t="str">
        <f>HYPERLINK("https://elite.finviz.com/quote.ashx?t=ZURA&amp;ty=c&amp;p=d&amp;b=1", "ZURA")</f>
        <v>ZURA</v>
      </c>
      <c r="B1793">
        <v>6</v>
      </c>
      <c r="C1793">
        <v>127.03</v>
      </c>
      <c r="D1793">
        <v>56.79</v>
      </c>
      <c r="E1793" t="s">
        <v>19623</v>
      </c>
      <c r="F1793" t="s">
        <v>107</v>
      </c>
      <c r="G1793" t="s">
        <v>428</v>
      </c>
      <c r="H1793" t="s">
        <v>429</v>
      </c>
      <c r="I1793" t="s">
        <v>70</v>
      </c>
      <c r="J1793" t="s">
        <v>321</v>
      </c>
      <c r="K1793">
        <v>139.54</v>
      </c>
      <c r="L1793">
        <v>2.15</v>
      </c>
      <c r="M1793" t="s">
        <v>2876</v>
      </c>
      <c r="N1793">
        <v>53327</v>
      </c>
      <c r="S1793">
        <v>1.06</v>
      </c>
      <c r="AA1793">
        <v>-0.76</v>
      </c>
      <c r="AD1793" t="s">
        <v>17437</v>
      </c>
      <c r="AI1793" t="s">
        <v>3581</v>
      </c>
      <c r="AJ1793" t="s">
        <v>164</v>
      </c>
      <c r="AK1793" t="s">
        <v>14875</v>
      </c>
      <c r="AL1793">
        <v>8.4</v>
      </c>
      <c r="AM1793">
        <v>8.4</v>
      </c>
      <c r="AN1793">
        <v>0</v>
      </c>
      <c r="AR1793" t="s">
        <v>9515</v>
      </c>
      <c r="AS1793" t="s">
        <v>3837</v>
      </c>
      <c r="AT1793" t="s">
        <v>5592</v>
      </c>
      <c r="AU1793" t="s">
        <v>6064</v>
      </c>
      <c r="AV1793" t="s">
        <v>4484</v>
      </c>
      <c r="AW1793" t="s">
        <v>5409</v>
      </c>
      <c r="AX1793" t="s">
        <v>19624</v>
      </c>
      <c r="AY1793" t="s">
        <v>19625</v>
      </c>
      <c r="AZ1793" t="s">
        <v>16158</v>
      </c>
      <c r="BA1793">
        <v>1.29</v>
      </c>
      <c r="BB1793">
        <v>630.66</v>
      </c>
      <c r="BC1793">
        <v>0.3</v>
      </c>
      <c r="BD1793">
        <v>2.1</v>
      </c>
      <c r="BE1793">
        <v>2.12</v>
      </c>
      <c r="BF1793">
        <v>2.0699999999999998</v>
      </c>
      <c r="BG1793" t="s">
        <v>19626</v>
      </c>
      <c r="BH1793" t="s">
        <v>19627</v>
      </c>
      <c r="BI1793" t="s">
        <v>16158</v>
      </c>
      <c r="BJ1793" t="s">
        <v>101</v>
      </c>
      <c r="BK1793" t="s">
        <v>12286</v>
      </c>
      <c r="BL1793" t="s">
        <v>7513</v>
      </c>
      <c r="BM1793" t="s">
        <v>19628</v>
      </c>
      <c r="BN1793" t="s">
        <v>14623</v>
      </c>
    </row>
    <row r="1794" spans="1:66" x14ac:dyDescent="0.25">
      <c r="A1794" t="str">
        <f>HYPERLINK("https://elite.finviz.com/quote.ashx?t=IIIV&amp;ty=c&amp;p=d&amp;b=1", "IIIV")</f>
        <v>IIIV</v>
      </c>
      <c r="B1794">
        <v>6</v>
      </c>
      <c r="C1794">
        <v>127.03</v>
      </c>
      <c r="D1794">
        <v>56.8</v>
      </c>
      <c r="E1794" t="s">
        <v>19629</v>
      </c>
      <c r="F1794" t="s">
        <v>67</v>
      </c>
      <c r="G1794" t="s">
        <v>108</v>
      </c>
      <c r="H1794" t="s">
        <v>109</v>
      </c>
      <c r="I1794" t="s">
        <v>70</v>
      </c>
      <c r="J1794" t="s">
        <v>321</v>
      </c>
      <c r="K1794">
        <v>1031.6500000000001</v>
      </c>
      <c r="L1794">
        <v>31.9</v>
      </c>
      <c r="M1794" t="s">
        <v>3447</v>
      </c>
      <c r="N1794">
        <v>26910</v>
      </c>
      <c r="O1794">
        <v>6.43</v>
      </c>
      <c r="P1794">
        <v>27</v>
      </c>
      <c r="Q1794">
        <v>0.15</v>
      </c>
      <c r="R1794">
        <v>4.34</v>
      </c>
      <c r="S1794">
        <v>1.98</v>
      </c>
      <c r="AA1794">
        <v>4.96</v>
      </c>
      <c r="AB1794" t="s">
        <v>19630</v>
      </c>
      <c r="AC1794" t="s">
        <v>19631</v>
      </c>
      <c r="AD1794" t="s">
        <v>11131</v>
      </c>
      <c r="AE1794" t="s">
        <v>12972</v>
      </c>
      <c r="AF1794" t="s">
        <v>7388</v>
      </c>
      <c r="AG1794" t="s">
        <v>11932</v>
      </c>
      <c r="AH1794" t="s">
        <v>7091</v>
      </c>
      <c r="AI1794" t="s">
        <v>2291</v>
      </c>
      <c r="AJ1794" t="s">
        <v>299</v>
      </c>
      <c r="AK1794" t="s">
        <v>19632</v>
      </c>
      <c r="AL1794">
        <v>2.02</v>
      </c>
      <c r="AM1794">
        <v>1.98</v>
      </c>
      <c r="AN1794">
        <v>0.01</v>
      </c>
      <c r="AO1794" t="s">
        <v>19633</v>
      </c>
      <c r="AP1794" t="s">
        <v>4873</v>
      </c>
      <c r="AQ1794" t="s">
        <v>19634</v>
      </c>
      <c r="AR1794" t="s">
        <v>4945</v>
      </c>
      <c r="AS1794" t="s">
        <v>7154</v>
      </c>
      <c r="AT1794" t="s">
        <v>2743</v>
      </c>
      <c r="AU1794" t="s">
        <v>912</v>
      </c>
      <c r="AV1794" t="s">
        <v>10499</v>
      </c>
      <c r="AW1794" t="s">
        <v>6499</v>
      </c>
      <c r="AX1794" t="s">
        <v>8456</v>
      </c>
      <c r="AY1794" t="s">
        <v>6499</v>
      </c>
      <c r="AZ1794" t="s">
        <v>11531</v>
      </c>
      <c r="BA1794">
        <v>1.33</v>
      </c>
      <c r="BB1794">
        <v>274.01</v>
      </c>
      <c r="BC1794">
        <v>0.35</v>
      </c>
      <c r="BD1794">
        <v>31.57</v>
      </c>
      <c r="BE1794">
        <v>32.07</v>
      </c>
      <c r="BF1794">
        <v>31.49</v>
      </c>
      <c r="BG1794" t="s">
        <v>19635</v>
      </c>
      <c r="BH1794" t="s">
        <v>7014</v>
      </c>
      <c r="BI1794" t="s">
        <v>19636</v>
      </c>
      <c r="BJ1794" t="s">
        <v>101</v>
      </c>
      <c r="BK1794" t="s">
        <v>8886</v>
      </c>
      <c r="BL1794" t="s">
        <v>8280</v>
      </c>
      <c r="BM1794" t="s">
        <v>515</v>
      </c>
      <c r="BN1794" t="s">
        <v>14623</v>
      </c>
    </row>
    <row r="1795" spans="1:66" x14ac:dyDescent="0.25">
      <c r="A1795" t="str">
        <f>HYPERLINK("https://elite.finviz.com/quote.ashx?t=USLM&amp;ty=c&amp;p=d&amp;b=1", "USLM")</f>
        <v>USLM</v>
      </c>
      <c r="B1795">
        <v>6</v>
      </c>
      <c r="C1795">
        <v>127.03</v>
      </c>
      <c r="D1795">
        <v>56.83</v>
      </c>
      <c r="E1795" t="s">
        <v>19637</v>
      </c>
      <c r="F1795" t="s">
        <v>67</v>
      </c>
      <c r="G1795" t="s">
        <v>355</v>
      </c>
      <c r="H1795" t="s">
        <v>7681</v>
      </c>
      <c r="I1795" t="s">
        <v>70</v>
      </c>
      <c r="J1795" t="s">
        <v>321</v>
      </c>
      <c r="K1795">
        <v>3635.79</v>
      </c>
      <c r="L1795">
        <v>126.95</v>
      </c>
      <c r="M1795" t="s">
        <v>2003</v>
      </c>
      <c r="N1795">
        <v>13278</v>
      </c>
      <c r="O1795">
        <v>29.11</v>
      </c>
      <c r="P1795">
        <v>26.23</v>
      </c>
      <c r="Q1795">
        <v>2.56</v>
      </c>
      <c r="R1795">
        <v>10.32</v>
      </c>
      <c r="S1795">
        <v>6.45</v>
      </c>
      <c r="T1795" t="s">
        <v>4794</v>
      </c>
      <c r="U1795">
        <v>0.23</v>
      </c>
      <c r="V1795" t="s">
        <v>4186</v>
      </c>
      <c r="W1795" t="s">
        <v>2621</v>
      </c>
      <c r="X1795" t="s">
        <v>9110</v>
      </c>
      <c r="Y1795" t="s">
        <v>2622</v>
      </c>
      <c r="Z1795" t="s">
        <v>8966</v>
      </c>
      <c r="AA1795">
        <v>4.3600000000000003</v>
      </c>
      <c r="AB1795" t="s">
        <v>19638</v>
      </c>
      <c r="AC1795" t="s">
        <v>3174</v>
      </c>
      <c r="AD1795" t="s">
        <v>8086</v>
      </c>
      <c r="AE1795" t="s">
        <v>7869</v>
      </c>
      <c r="AF1795" t="s">
        <v>8057</v>
      </c>
      <c r="AG1795" t="s">
        <v>3774</v>
      </c>
      <c r="AH1795" t="s">
        <v>12847</v>
      </c>
      <c r="AI1795" t="s">
        <v>6985</v>
      </c>
      <c r="AJ1795" t="s">
        <v>4191</v>
      </c>
      <c r="AK1795" t="s">
        <v>6809</v>
      </c>
      <c r="AL1795">
        <v>21.75</v>
      </c>
      <c r="AM1795">
        <v>20.37</v>
      </c>
      <c r="AN1795">
        <v>0.01</v>
      </c>
      <c r="AO1795" t="s">
        <v>19639</v>
      </c>
      <c r="AP1795" t="s">
        <v>15850</v>
      </c>
      <c r="AQ1795" t="s">
        <v>7323</v>
      </c>
      <c r="AR1795" t="s">
        <v>5779</v>
      </c>
      <c r="AS1795" t="s">
        <v>304</v>
      </c>
      <c r="AT1795" t="s">
        <v>6463</v>
      </c>
      <c r="AU1795" t="s">
        <v>2450</v>
      </c>
      <c r="AV1795" t="s">
        <v>3103</v>
      </c>
      <c r="AW1795" t="s">
        <v>6739</v>
      </c>
      <c r="AX1795" t="s">
        <v>5086</v>
      </c>
      <c r="AY1795" t="s">
        <v>18294</v>
      </c>
      <c r="AZ1795" t="s">
        <v>19640</v>
      </c>
      <c r="BA1795">
        <v>1</v>
      </c>
      <c r="BB1795">
        <v>139.65</v>
      </c>
      <c r="BC1795">
        <v>0.33</v>
      </c>
      <c r="BD1795">
        <v>127.32</v>
      </c>
      <c r="BE1795">
        <v>129.63</v>
      </c>
      <c r="BF1795">
        <v>126.79</v>
      </c>
      <c r="BG1795" t="s">
        <v>19641</v>
      </c>
      <c r="BH1795" t="s">
        <v>18294</v>
      </c>
      <c r="BI1795" t="s">
        <v>19642</v>
      </c>
      <c r="BJ1795" t="s">
        <v>101</v>
      </c>
      <c r="BK1795" t="s">
        <v>19643</v>
      </c>
      <c r="BL1795" t="s">
        <v>5051</v>
      </c>
      <c r="BM1795" t="s">
        <v>19644</v>
      </c>
      <c r="BN1795" t="s">
        <v>14623</v>
      </c>
    </row>
    <row r="1796" spans="1:66" x14ac:dyDescent="0.25">
      <c r="A1796" t="str">
        <f>HYPERLINK("https://elite.finviz.com/quote.ashx?t=AVD&amp;ty=c&amp;p=d&amp;b=1", "AVD")</f>
        <v>AVD</v>
      </c>
      <c r="B1796">
        <v>6</v>
      </c>
      <c r="C1796">
        <v>127.03</v>
      </c>
      <c r="D1796">
        <v>56.87</v>
      </c>
      <c r="E1796" t="s">
        <v>19645</v>
      </c>
      <c r="F1796" t="s">
        <v>67</v>
      </c>
      <c r="G1796" t="s">
        <v>355</v>
      </c>
      <c r="H1796" t="s">
        <v>9610</v>
      </c>
      <c r="I1796" t="s">
        <v>70</v>
      </c>
      <c r="J1796" t="s">
        <v>71</v>
      </c>
      <c r="K1796">
        <v>160.02000000000001</v>
      </c>
      <c r="L1796">
        <v>5.63</v>
      </c>
      <c r="M1796" t="s">
        <v>183</v>
      </c>
      <c r="N1796">
        <v>22844</v>
      </c>
      <c r="P1796">
        <v>14.81</v>
      </c>
      <c r="R1796">
        <v>0.3</v>
      </c>
      <c r="S1796">
        <v>0.7</v>
      </c>
      <c r="V1796" t="s">
        <v>19646</v>
      </c>
      <c r="AA1796">
        <v>-4.37</v>
      </c>
      <c r="AE1796" t="s">
        <v>481</v>
      </c>
      <c r="AF1796" t="s">
        <v>8932</v>
      </c>
      <c r="AG1796" t="s">
        <v>2356</v>
      </c>
      <c r="AH1796" t="s">
        <v>7388</v>
      </c>
      <c r="AI1796" t="s">
        <v>19647</v>
      </c>
      <c r="AJ1796" t="s">
        <v>1648</v>
      </c>
      <c r="AK1796" t="s">
        <v>19648</v>
      </c>
      <c r="AL1796">
        <v>1.91</v>
      </c>
      <c r="AM1796">
        <v>1</v>
      </c>
      <c r="AN1796">
        <v>0.9</v>
      </c>
      <c r="AO1796" t="s">
        <v>11559</v>
      </c>
      <c r="AP1796" t="s">
        <v>9731</v>
      </c>
      <c r="AQ1796" t="s">
        <v>426</v>
      </c>
      <c r="AR1796" t="s">
        <v>892</v>
      </c>
      <c r="AS1796" t="s">
        <v>1749</v>
      </c>
      <c r="AT1796" t="s">
        <v>6829</v>
      </c>
      <c r="AU1796" t="s">
        <v>3420</v>
      </c>
      <c r="AV1796" t="s">
        <v>7381</v>
      </c>
      <c r="AW1796" t="s">
        <v>5725</v>
      </c>
      <c r="AX1796" t="s">
        <v>15851</v>
      </c>
      <c r="AY1796" t="s">
        <v>3193</v>
      </c>
      <c r="AZ1796" t="s">
        <v>3632</v>
      </c>
      <c r="BA1796">
        <v>1</v>
      </c>
      <c r="BB1796">
        <v>236.15</v>
      </c>
      <c r="BC1796">
        <v>0.34</v>
      </c>
      <c r="BD1796">
        <v>5.62</v>
      </c>
      <c r="BE1796">
        <v>5.76</v>
      </c>
      <c r="BF1796">
        <v>5.55</v>
      </c>
      <c r="BG1796" t="s">
        <v>19649</v>
      </c>
      <c r="BH1796" t="s">
        <v>19650</v>
      </c>
      <c r="BI1796" t="s">
        <v>19651</v>
      </c>
      <c r="BJ1796" t="s">
        <v>101</v>
      </c>
      <c r="BK1796" t="s">
        <v>6742</v>
      </c>
      <c r="BL1796" t="s">
        <v>791</v>
      </c>
      <c r="BM1796" t="s">
        <v>4659</v>
      </c>
      <c r="BN1796" t="s">
        <v>14623</v>
      </c>
    </row>
    <row r="1797" spans="1:66" x14ac:dyDescent="0.25">
      <c r="A1797" t="str">
        <f>HYPERLINK("https://elite.finviz.com/quote.ashx?t=HSCS&amp;ty=c&amp;p=d&amp;b=1", "HSCS")</f>
        <v>HSCS</v>
      </c>
      <c r="B1797">
        <v>6</v>
      </c>
      <c r="C1797">
        <v>127.03</v>
      </c>
      <c r="D1797">
        <v>56.87</v>
      </c>
      <c r="E1797" t="s">
        <v>19652</v>
      </c>
      <c r="F1797" t="s">
        <v>107</v>
      </c>
      <c r="G1797" t="s">
        <v>428</v>
      </c>
      <c r="H1797" t="s">
        <v>2051</v>
      </c>
      <c r="I1797" t="s">
        <v>70</v>
      </c>
      <c r="J1797" t="s">
        <v>321</v>
      </c>
      <c r="K1797">
        <v>9.7899999999999991</v>
      </c>
      <c r="L1797">
        <v>3.7</v>
      </c>
      <c r="M1797" t="s">
        <v>4065</v>
      </c>
      <c r="N1797">
        <v>31382</v>
      </c>
      <c r="R1797">
        <v>979.41</v>
      </c>
      <c r="S1797">
        <v>2.69</v>
      </c>
      <c r="AA1797">
        <v>-8.3000000000000007</v>
      </c>
      <c r="AB1797" t="s">
        <v>19653</v>
      </c>
      <c r="AC1797" t="s">
        <v>1663</v>
      </c>
      <c r="AE1797" t="s">
        <v>19654</v>
      </c>
      <c r="AF1797" t="s">
        <v>19655</v>
      </c>
      <c r="AG1797" t="s">
        <v>19656</v>
      </c>
      <c r="AI1797" t="s">
        <v>9489</v>
      </c>
      <c r="AJ1797" t="s">
        <v>196</v>
      </c>
      <c r="AK1797" t="s">
        <v>1438</v>
      </c>
      <c r="AL1797">
        <v>1.29</v>
      </c>
      <c r="AM1797">
        <v>1.08</v>
      </c>
      <c r="AN1797">
        <v>0.62</v>
      </c>
      <c r="AO1797" t="s">
        <v>19657</v>
      </c>
      <c r="AP1797" t="s">
        <v>19658</v>
      </c>
      <c r="AQ1797" t="s">
        <v>19659</v>
      </c>
      <c r="AR1797" t="s">
        <v>6936</v>
      </c>
      <c r="AS1797" t="s">
        <v>12712</v>
      </c>
      <c r="AT1797" t="s">
        <v>5150</v>
      </c>
      <c r="AU1797" t="s">
        <v>2732</v>
      </c>
      <c r="AV1797" t="s">
        <v>5620</v>
      </c>
      <c r="AW1797" t="s">
        <v>374</v>
      </c>
      <c r="AX1797" t="s">
        <v>14986</v>
      </c>
      <c r="AY1797" t="s">
        <v>19660</v>
      </c>
      <c r="AZ1797" t="s">
        <v>10277</v>
      </c>
      <c r="BA1797">
        <v>1</v>
      </c>
      <c r="BB1797">
        <v>131.30000000000001</v>
      </c>
      <c r="BC1797">
        <v>0.85</v>
      </c>
      <c r="BD1797">
        <v>3.74</v>
      </c>
      <c r="BE1797">
        <v>3.8</v>
      </c>
      <c r="BF1797">
        <v>3.75</v>
      </c>
      <c r="BG1797" t="s">
        <v>19661</v>
      </c>
      <c r="BH1797" t="s">
        <v>19527</v>
      </c>
      <c r="BI1797" t="s">
        <v>19662</v>
      </c>
      <c r="BJ1797" t="s">
        <v>101</v>
      </c>
      <c r="BK1797" t="s">
        <v>581</v>
      </c>
      <c r="BL1797" t="s">
        <v>19503</v>
      </c>
      <c r="BM1797" t="s">
        <v>19663</v>
      </c>
      <c r="BN1797" t="s">
        <v>14623</v>
      </c>
    </row>
    <row r="1798" spans="1:66" x14ac:dyDescent="0.25">
      <c r="A1798" t="str">
        <f>HYPERLINK("https://elite.finviz.com/quote.ashx?t=DOUG&amp;ty=c&amp;p=d&amp;b=1", "DOUG")</f>
        <v>DOUG</v>
      </c>
      <c r="B1798">
        <v>6</v>
      </c>
      <c r="C1798">
        <v>127.03</v>
      </c>
      <c r="D1798">
        <v>56.89</v>
      </c>
      <c r="E1798" t="s">
        <v>19664</v>
      </c>
      <c r="F1798" t="s">
        <v>67</v>
      </c>
      <c r="G1798" t="s">
        <v>68</v>
      </c>
      <c r="H1798" t="s">
        <v>7494</v>
      </c>
      <c r="I1798" t="s">
        <v>70</v>
      </c>
      <c r="J1798" t="s">
        <v>71</v>
      </c>
      <c r="K1798">
        <v>263.91000000000003</v>
      </c>
      <c r="L1798">
        <v>2.97</v>
      </c>
      <c r="M1798" t="s">
        <v>1904</v>
      </c>
      <c r="N1798">
        <v>114043</v>
      </c>
      <c r="R1798">
        <v>0.26</v>
      </c>
      <c r="S1798">
        <v>1.92</v>
      </c>
      <c r="V1798" t="s">
        <v>19665</v>
      </c>
      <c r="AA1798">
        <v>-0.73</v>
      </c>
      <c r="AE1798" t="s">
        <v>848</v>
      </c>
      <c r="AF1798" t="s">
        <v>19666</v>
      </c>
      <c r="AG1798" t="s">
        <v>585</v>
      </c>
      <c r="AH1798" t="s">
        <v>4500</v>
      </c>
      <c r="AJ1798" t="s">
        <v>1764</v>
      </c>
      <c r="AK1798" t="s">
        <v>4392</v>
      </c>
      <c r="AL1798">
        <v>1.99</v>
      </c>
      <c r="AM1798">
        <v>1.99</v>
      </c>
      <c r="AN1798">
        <v>1.07</v>
      </c>
      <c r="AO1798" t="s">
        <v>2963</v>
      </c>
      <c r="AP1798" t="s">
        <v>2206</v>
      </c>
      <c r="AQ1798" t="s">
        <v>15649</v>
      </c>
      <c r="AR1798" t="s">
        <v>954</v>
      </c>
      <c r="AS1798" t="s">
        <v>204</v>
      </c>
      <c r="AT1798" t="s">
        <v>2205</v>
      </c>
      <c r="AU1798" t="s">
        <v>13765</v>
      </c>
      <c r="AV1798" t="s">
        <v>15625</v>
      </c>
      <c r="AW1798" t="s">
        <v>9018</v>
      </c>
      <c r="AX1798" t="s">
        <v>11627</v>
      </c>
      <c r="AY1798" t="s">
        <v>15209</v>
      </c>
      <c r="AZ1798" t="s">
        <v>19667</v>
      </c>
      <c r="BA1798">
        <v>1</v>
      </c>
      <c r="BB1798">
        <v>743.7</v>
      </c>
      <c r="BC1798">
        <v>0.54</v>
      </c>
      <c r="BD1798">
        <v>3.09</v>
      </c>
      <c r="BE1798">
        <v>3.1</v>
      </c>
      <c r="BF1798">
        <v>2.97</v>
      </c>
      <c r="BG1798" t="s">
        <v>19668</v>
      </c>
      <c r="BH1798" t="s">
        <v>19669</v>
      </c>
      <c r="BI1798" t="s">
        <v>19670</v>
      </c>
      <c r="BJ1798" t="s">
        <v>101</v>
      </c>
      <c r="BK1798" t="s">
        <v>12534</v>
      </c>
      <c r="BL1798" t="s">
        <v>11771</v>
      </c>
      <c r="BM1798" t="s">
        <v>16577</v>
      </c>
      <c r="BN1798" t="s">
        <v>14623</v>
      </c>
    </row>
    <row r="1799" spans="1:66" x14ac:dyDescent="0.25">
      <c r="A1799" t="str">
        <f>HYPERLINK("https://elite.finviz.com/quote.ashx?t=CVV&amp;ty=c&amp;p=d&amp;b=1", "CVV")</f>
        <v>CVV</v>
      </c>
      <c r="B1799">
        <v>6</v>
      </c>
      <c r="C1799">
        <v>127.03</v>
      </c>
      <c r="D1799">
        <v>56.92</v>
      </c>
      <c r="E1799" t="s">
        <v>19671</v>
      </c>
      <c r="F1799" t="s">
        <v>107</v>
      </c>
      <c r="G1799" t="s">
        <v>260</v>
      </c>
      <c r="H1799" t="s">
        <v>261</v>
      </c>
      <c r="I1799" t="s">
        <v>70</v>
      </c>
      <c r="J1799" t="s">
        <v>321</v>
      </c>
      <c r="K1799">
        <v>22.64</v>
      </c>
      <c r="L1799">
        <v>3.29</v>
      </c>
      <c r="M1799" t="s">
        <v>10469</v>
      </c>
      <c r="N1799">
        <v>6342</v>
      </c>
      <c r="R1799">
        <v>0.78</v>
      </c>
      <c r="S1799">
        <v>0.9</v>
      </c>
      <c r="AA1799">
        <v>-0.05</v>
      </c>
      <c r="AC1799" t="s">
        <v>4398</v>
      </c>
      <c r="AE1799" t="s">
        <v>3233</v>
      </c>
      <c r="AF1799" t="s">
        <v>1844</v>
      </c>
      <c r="AG1799" t="s">
        <v>2066</v>
      </c>
      <c r="AH1799" t="s">
        <v>19672</v>
      </c>
      <c r="AJ1799" t="s">
        <v>164</v>
      </c>
      <c r="AK1799" t="s">
        <v>4116</v>
      </c>
      <c r="AL1799">
        <v>4</v>
      </c>
      <c r="AM1799">
        <v>3.49</v>
      </c>
      <c r="AN1799">
        <v>0.01</v>
      </c>
      <c r="AO1799" t="s">
        <v>19673</v>
      </c>
      <c r="AP1799" t="s">
        <v>7165</v>
      </c>
      <c r="AQ1799" t="s">
        <v>4634</v>
      </c>
      <c r="AR1799" t="s">
        <v>197</v>
      </c>
      <c r="AS1799" t="s">
        <v>7541</v>
      </c>
      <c r="AT1799" t="s">
        <v>4437</v>
      </c>
      <c r="AU1799" t="s">
        <v>2185</v>
      </c>
      <c r="AV1799" t="s">
        <v>4759</v>
      </c>
      <c r="AW1799" t="s">
        <v>10281</v>
      </c>
      <c r="AX1799" t="s">
        <v>10750</v>
      </c>
      <c r="AY1799" t="s">
        <v>6279</v>
      </c>
      <c r="AZ1799" t="s">
        <v>14907</v>
      </c>
      <c r="BA1799">
        <v>1</v>
      </c>
      <c r="BB1799">
        <v>32.18</v>
      </c>
      <c r="BC1799">
        <v>0.69</v>
      </c>
      <c r="BD1799">
        <v>3.39</v>
      </c>
      <c r="BE1799">
        <v>3.38</v>
      </c>
      <c r="BF1799">
        <v>3.3</v>
      </c>
      <c r="BG1799" t="s">
        <v>19674</v>
      </c>
      <c r="BH1799" t="s">
        <v>19675</v>
      </c>
      <c r="BI1799" t="s">
        <v>19676</v>
      </c>
      <c r="BJ1799" t="s">
        <v>101</v>
      </c>
      <c r="BK1799" t="s">
        <v>2289</v>
      </c>
      <c r="BL1799" t="s">
        <v>3126</v>
      </c>
      <c r="BM1799" t="s">
        <v>164</v>
      </c>
      <c r="BN1799" t="s">
        <v>14623</v>
      </c>
    </row>
    <row r="1800" spans="1:66" x14ac:dyDescent="0.25">
      <c r="A1800" t="str">
        <f>HYPERLINK("https://elite.finviz.com/quote.ashx?t=VMC&amp;ty=c&amp;p=d&amp;b=1", "VMC")</f>
        <v>VMC</v>
      </c>
      <c r="B1800">
        <v>6</v>
      </c>
      <c r="C1800">
        <v>127.03</v>
      </c>
      <c r="D1800">
        <v>56.92</v>
      </c>
      <c r="E1800" t="s">
        <v>19677</v>
      </c>
      <c r="F1800" t="s">
        <v>195</v>
      </c>
      <c r="G1800" t="s">
        <v>355</v>
      </c>
      <c r="H1800" t="s">
        <v>7681</v>
      </c>
      <c r="I1800" t="s">
        <v>70</v>
      </c>
      <c r="J1800" t="s">
        <v>71</v>
      </c>
      <c r="K1800">
        <v>39358.47</v>
      </c>
      <c r="L1800">
        <v>297.89</v>
      </c>
      <c r="M1800" t="s">
        <v>3552</v>
      </c>
      <c r="N1800">
        <v>107169</v>
      </c>
      <c r="O1800">
        <v>41.64</v>
      </c>
      <c r="P1800">
        <v>30.23</v>
      </c>
      <c r="Q1800">
        <v>2.85</v>
      </c>
      <c r="R1800">
        <v>5.18</v>
      </c>
      <c r="S1800">
        <v>4.68</v>
      </c>
      <c r="T1800" t="s">
        <v>1022</v>
      </c>
      <c r="U1800">
        <v>1.93</v>
      </c>
      <c r="V1800" t="s">
        <v>2708</v>
      </c>
      <c r="W1800" t="s">
        <v>9751</v>
      </c>
      <c r="X1800" t="s">
        <v>6392</v>
      </c>
      <c r="Y1800" t="s">
        <v>6348</v>
      </c>
      <c r="Z1800" t="s">
        <v>2189</v>
      </c>
      <c r="AA1800">
        <v>7.15</v>
      </c>
      <c r="AB1800" t="s">
        <v>4067</v>
      </c>
      <c r="AC1800" t="s">
        <v>6859</v>
      </c>
      <c r="AD1800" t="s">
        <v>11845</v>
      </c>
      <c r="AE1800" t="s">
        <v>2880</v>
      </c>
      <c r="AF1800" t="s">
        <v>4852</v>
      </c>
      <c r="AG1800" t="s">
        <v>466</v>
      </c>
      <c r="AH1800" t="s">
        <v>6936</v>
      </c>
      <c r="AI1800" t="s">
        <v>13365</v>
      </c>
      <c r="AJ1800" t="s">
        <v>19678</v>
      </c>
      <c r="AK1800" t="s">
        <v>8099</v>
      </c>
      <c r="AL1800">
        <v>1.67</v>
      </c>
      <c r="AM1800">
        <v>1.1299999999999999</v>
      </c>
      <c r="AN1800">
        <v>0.66</v>
      </c>
      <c r="AO1800" t="s">
        <v>17529</v>
      </c>
      <c r="AP1800" t="s">
        <v>10006</v>
      </c>
      <c r="AQ1800" t="s">
        <v>13198</v>
      </c>
      <c r="AR1800" t="s">
        <v>4267</v>
      </c>
      <c r="AS1800" t="s">
        <v>5084</v>
      </c>
      <c r="AT1800" t="s">
        <v>1457</v>
      </c>
      <c r="AU1800" t="s">
        <v>2764</v>
      </c>
      <c r="AV1800" t="s">
        <v>2913</v>
      </c>
      <c r="AW1800" t="s">
        <v>3937</v>
      </c>
      <c r="AX1800" t="s">
        <v>6201</v>
      </c>
      <c r="AY1800" t="s">
        <v>3937</v>
      </c>
      <c r="AZ1800" t="s">
        <v>17711</v>
      </c>
      <c r="BA1800">
        <v>1.75</v>
      </c>
      <c r="BB1800">
        <v>885.81</v>
      </c>
      <c r="BC1800">
        <v>0.43</v>
      </c>
      <c r="BD1800">
        <v>294.76</v>
      </c>
      <c r="BE1800">
        <v>298.61</v>
      </c>
      <c r="BF1800">
        <v>295.75</v>
      </c>
      <c r="BG1800" t="s">
        <v>19679</v>
      </c>
      <c r="BH1800" t="s">
        <v>3937</v>
      </c>
      <c r="BI1800" t="s">
        <v>19680</v>
      </c>
      <c r="BJ1800" t="s">
        <v>101</v>
      </c>
      <c r="BK1800" t="s">
        <v>7727</v>
      </c>
      <c r="BL1800" t="s">
        <v>11880</v>
      </c>
      <c r="BM1800" t="s">
        <v>2067</v>
      </c>
      <c r="BN1800" t="s">
        <v>14623</v>
      </c>
    </row>
    <row r="1801" spans="1:66" x14ac:dyDescent="0.25">
      <c r="A1801" t="str">
        <f>HYPERLINK("https://elite.finviz.com/quote.ashx?t=BBOT&amp;ty=c&amp;p=d&amp;b=1", "BBOT")</f>
        <v>BBOT</v>
      </c>
      <c r="B1801">
        <v>6</v>
      </c>
      <c r="C1801">
        <v>127.03</v>
      </c>
      <c r="D1801">
        <v>56.94</v>
      </c>
      <c r="E1801" t="s">
        <v>19681</v>
      </c>
      <c r="F1801" t="s">
        <v>107</v>
      </c>
      <c r="G1801" t="s">
        <v>428</v>
      </c>
      <c r="H1801" t="s">
        <v>429</v>
      </c>
      <c r="I1801" t="s">
        <v>70</v>
      </c>
      <c r="J1801" t="s">
        <v>321</v>
      </c>
      <c r="K1801">
        <v>958.67</v>
      </c>
      <c r="L1801">
        <v>11.44</v>
      </c>
      <c r="M1801" t="s">
        <v>11896</v>
      </c>
      <c r="N1801">
        <v>3674</v>
      </c>
      <c r="O1801">
        <v>57</v>
      </c>
      <c r="S1801">
        <v>1.42</v>
      </c>
      <c r="Z1801" t="s">
        <v>164</v>
      </c>
      <c r="AA1801">
        <v>0.2</v>
      </c>
      <c r="AI1801" t="s">
        <v>19682</v>
      </c>
      <c r="AJ1801" t="s">
        <v>164</v>
      </c>
      <c r="AK1801" t="s">
        <v>9968</v>
      </c>
      <c r="AL1801">
        <v>0.33</v>
      </c>
      <c r="AM1801">
        <v>0.33</v>
      </c>
      <c r="AN1801">
        <v>0</v>
      </c>
      <c r="AR1801" t="s">
        <v>12048</v>
      </c>
      <c r="AS1801" t="s">
        <v>18151</v>
      </c>
      <c r="AT1801" t="s">
        <v>1927</v>
      </c>
      <c r="AU1801" t="s">
        <v>602</v>
      </c>
      <c r="AV1801" t="s">
        <v>7854</v>
      </c>
      <c r="AW1801" t="s">
        <v>10559</v>
      </c>
      <c r="AX1801" t="s">
        <v>3689</v>
      </c>
      <c r="AY1801" t="s">
        <v>10559</v>
      </c>
      <c r="AZ1801" t="s">
        <v>3689</v>
      </c>
      <c r="BA1801">
        <v>1</v>
      </c>
      <c r="BB1801">
        <v>202.24</v>
      </c>
      <c r="BC1801">
        <v>0.06</v>
      </c>
      <c r="BD1801">
        <v>11.82</v>
      </c>
      <c r="BE1801">
        <v>11.94</v>
      </c>
      <c r="BF1801">
        <v>11.72</v>
      </c>
      <c r="BG1801" t="s">
        <v>19683</v>
      </c>
      <c r="BH1801" t="s">
        <v>10559</v>
      </c>
      <c r="BI1801" t="s">
        <v>3689</v>
      </c>
      <c r="BJ1801" t="s">
        <v>101</v>
      </c>
      <c r="BK1801" t="s">
        <v>699</v>
      </c>
      <c r="BL1801" t="s">
        <v>4999</v>
      </c>
      <c r="BM1801" t="s">
        <v>2399</v>
      </c>
      <c r="BN1801" t="s">
        <v>14623</v>
      </c>
    </row>
    <row r="1802" spans="1:66" x14ac:dyDescent="0.25">
      <c r="A1802" t="str">
        <f>HYPERLINK("https://elite.finviz.com/quote.ashx?t=IMXI&amp;ty=c&amp;p=d&amp;b=1", "IMXI")</f>
        <v>IMXI</v>
      </c>
      <c r="B1802">
        <v>6</v>
      </c>
      <c r="C1802">
        <v>127.03</v>
      </c>
      <c r="D1802">
        <v>56.97</v>
      </c>
      <c r="E1802" t="s">
        <v>19684</v>
      </c>
      <c r="F1802" t="s">
        <v>67</v>
      </c>
      <c r="G1802" t="s">
        <v>108</v>
      </c>
      <c r="H1802" t="s">
        <v>109</v>
      </c>
      <c r="I1802" t="s">
        <v>70</v>
      </c>
      <c r="J1802" t="s">
        <v>321</v>
      </c>
      <c r="K1802">
        <v>421.91</v>
      </c>
      <c r="L1802">
        <v>14.21</v>
      </c>
      <c r="M1802" t="s">
        <v>2757</v>
      </c>
      <c r="N1802">
        <v>54037</v>
      </c>
      <c r="O1802">
        <v>8.68</v>
      </c>
      <c r="P1802">
        <v>6.69</v>
      </c>
      <c r="Q1802">
        <v>4.2300000000000004</v>
      </c>
      <c r="R1802">
        <v>0.76</v>
      </c>
      <c r="S1802">
        <v>2.94</v>
      </c>
      <c r="Z1802" t="s">
        <v>164</v>
      </c>
      <c r="AA1802">
        <v>1.64</v>
      </c>
      <c r="AB1802" t="s">
        <v>7108</v>
      </c>
      <c r="AC1802" t="s">
        <v>9144</v>
      </c>
      <c r="AD1802" t="s">
        <v>6151</v>
      </c>
      <c r="AE1802" t="s">
        <v>842</v>
      </c>
      <c r="AF1802" t="s">
        <v>4450</v>
      </c>
      <c r="AG1802" t="s">
        <v>14942</v>
      </c>
      <c r="AH1802" t="s">
        <v>76</v>
      </c>
      <c r="AI1802" t="s">
        <v>3257</v>
      </c>
      <c r="AJ1802" t="s">
        <v>164</v>
      </c>
      <c r="AK1802" t="s">
        <v>19685</v>
      </c>
      <c r="AL1802">
        <v>1.63</v>
      </c>
      <c r="AM1802">
        <v>1.63</v>
      </c>
      <c r="AN1802">
        <v>1.17</v>
      </c>
      <c r="AO1802" t="s">
        <v>2635</v>
      </c>
      <c r="AP1802" t="s">
        <v>2423</v>
      </c>
      <c r="AQ1802" t="s">
        <v>11505</v>
      </c>
      <c r="AR1802" t="s">
        <v>1022</v>
      </c>
      <c r="AS1802" t="s">
        <v>3169</v>
      </c>
      <c r="AT1802" t="s">
        <v>9511</v>
      </c>
      <c r="AU1802" t="s">
        <v>6532</v>
      </c>
      <c r="AV1802" t="s">
        <v>430</v>
      </c>
      <c r="AW1802" t="s">
        <v>10533</v>
      </c>
      <c r="AX1802" t="s">
        <v>19686</v>
      </c>
      <c r="AY1802" t="s">
        <v>19687</v>
      </c>
      <c r="AZ1802" t="s">
        <v>19686</v>
      </c>
      <c r="BA1802">
        <v>3</v>
      </c>
      <c r="BB1802">
        <v>632.63</v>
      </c>
      <c r="BC1802">
        <v>0.3</v>
      </c>
      <c r="BD1802">
        <v>14.2</v>
      </c>
      <c r="BE1802">
        <v>14.23</v>
      </c>
      <c r="BF1802">
        <v>14.2</v>
      </c>
      <c r="BG1802" t="s">
        <v>19688</v>
      </c>
      <c r="BH1802" t="s">
        <v>19689</v>
      </c>
      <c r="BI1802" t="s">
        <v>19690</v>
      </c>
      <c r="BJ1802" t="s">
        <v>101</v>
      </c>
      <c r="BK1802" t="s">
        <v>7585</v>
      </c>
      <c r="BL1802" t="s">
        <v>197</v>
      </c>
      <c r="BM1802" t="s">
        <v>19691</v>
      </c>
      <c r="BN1802" t="s">
        <v>14623</v>
      </c>
    </row>
    <row r="1803" spans="1:66" x14ac:dyDescent="0.25">
      <c r="A1803" t="str">
        <f>HYPERLINK("https://elite.finviz.com/quote.ashx?t=HUBS&amp;ty=c&amp;p=d&amp;b=1", "HUBS")</f>
        <v>HUBS</v>
      </c>
      <c r="B1803">
        <v>6</v>
      </c>
      <c r="C1803">
        <v>127.03</v>
      </c>
      <c r="D1803">
        <v>56.97</v>
      </c>
      <c r="E1803" t="s">
        <v>19692</v>
      </c>
      <c r="F1803" t="s">
        <v>107</v>
      </c>
      <c r="G1803" t="s">
        <v>108</v>
      </c>
      <c r="H1803" t="s">
        <v>136</v>
      </c>
      <c r="I1803" t="s">
        <v>70</v>
      </c>
      <c r="J1803" t="s">
        <v>71</v>
      </c>
      <c r="K1803">
        <v>27068.97</v>
      </c>
      <c r="L1803">
        <v>513.71</v>
      </c>
      <c r="M1803" t="s">
        <v>5058</v>
      </c>
      <c r="N1803">
        <v>58343</v>
      </c>
      <c r="P1803">
        <v>44.89</v>
      </c>
      <c r="R1803">
        <v>9.5</v>
      </c>
      <c r="S1803">
        <v>13.11</v>
      </c>
      <c r="Z1803" t="s">
        <v>164</v>
      </c>
      <c r="AA1803">
        <v>-0.23</v>
      </c>
      <c r="AD1803" t="s">
        <v>11778</v>
      </c>
      <c r="AE1803" t="s">
        <v>16429</v>
      </c>
      <c r="AF1803" t="s">
        <v>5571</v>
      </c>
      <c r="AG1803" t="s">
        <v>10781</v>
      </c>
      <c r="AH1803" t="s">
        <v>2225</v>
      </c>
      <c r="AI1803" t="s">
        <v>7088</v>
      </c>
      <c r="AJ1803" t="s">
        <v>13745</v>
      </c>
      <c r="AK1803" t="s">
        <v>8996</v>
      </c>
      <c r="AL1803">
        <v>1.65</v>
      </c>
      <c r="AM1803">
        <v>1.65</v>
      </c>
      <c r="AN1803">
        <v>0.14000000000000001</v>
      </c>
      <c r="AO1803" t="s">
        <v>19693</v>
      </c>
      <c r="AP1803" t="s">
        <v>13522</v>
      </c>
      <c r="AQ1803" t="s">
        <v>15000</v>
      </c>
      <c r="AR1803" t="s">
        <v>4154</v>
      </c>
      <c r="AS1803" t="s">
        <v>2496</v>
      </c>
      <c r="AT1803" t="s">
        <v>5132</v>
      </c>
      <c r="AU1803" t="s">
        <v>5331</v>
      </c>
      <c r="AV1803" t="s">
        <v>19694</v>
      </c>
      <c r="AW1803" t="s">
        <v>9710</v>
      </c>
      <c r="AX1803" t="s">
        <v>16257</v>
      </c>
      <c r="AY1803" t="s">
        <v>5868</v>
      </c>
      <c r="AZ1803" t="s">
        <v>16257</v>
      </c>
      <c r="BA1803">
        <v>1.27</v>
      </c>
      <c r="BB1803">
        <v>850.2</v>
      </c>
      <c r="BC1803">
        <v>0.24</v>
      </c>
      <c r="BD1803">
        <v>506.68</v>
      </c>
      <c r="BE1803">
        <v>506.63</v>
      </c>
      <c r="BF1803">
        <v>506.63</v>
      </c>
      <c r="BG1803" t="s">
        <v>19695</v>
      </c>
      <c r="BH1803" t="s">
        <v>5868</v>
      </c>
      <c r="BI1803" t="s">
        <v>19696</v>
      </c>
      <c r="BJ1803" t="s">
        <v>101</v>
      </c>
      <c r="BK1803" t="s">
        <v>6538</v>
      </c>
      <c r="BL1803" t="s">
        <v>19697</v>
      </c>
      <c r="BM1803" t="s">
        <v>5309</v>
      </c>
      <c r="BN1803" t="s">
        <v>14623</v>
      </c>
    </row>
    <row r="1804" spans="1:66" x14ac:dyDescent="0.25">
      <c r="A1804" t="str">
        <f>HYPERLINK("https://elite.finviz.com/quote.ashx?t=CNSP&amp;ty=c&amp;p=d&amp;b=1", "CNSP")</f>
        <v>CNSP</v>
      </c>
      <c r="B1804">
        <v>6</v>
      </c>
      <c r="C1804">
        <v>127.03</v>
      </c>
      <c r="D1804">
        <v>56.98</v>
      </c>
      <c r="E1804" t="s">
        <v>19698</v>
      </c>
      <c r="F1804" t="s">
        <v>107</v>
      </c>
      <c r="G1804" t="s">
        <v>428</v>
      </c>
      <c r="H1804" t="s">
        <v>429</v>
      </c>
      <c r="I1804" t="s">
        <v>70</v>
      </c>
      <c r="J1804" t="s">
        <v>321</v>
      </c>
      <c r="K1804">
        <v>4.84</v>
      </c>
      <c r="L1804">
        <v>8.42</v>
      </c>
      <c r="M1804" t="s">
        <v>11805</v>
      </c>
      <c r="N1804">
        <v>2383</v>
      </c>
      <c r="S1804">
        <v>0.32</v>
      </c>
      <c r="AA1804">
        <v>-203.95</v>
      </c>
      <c r="AB1804" t="s">
        <v>19699</v>
      </c>
      <c r="AC1804" t="s">
        <v>19700</v>
      </c>
      <c r="AD1804" t="s">
        <v>19701</v>
      </c>
      <c r="AI1804" t="s">
        <v>13782</v>
      </c>
      <c r="AJ1804" t="s">
        <v>164</v>
      </c>
      <c r="AK1804" t="s">
        <v>3746</v>
      </c>
      <c r="AL1804">
        <v>10.210000000000001</v>
      </c>
      <c r="AM1804">
        <v>10.210000000000001</v>
      </c>
      <c r="AN1804">
        <v>0.01</v>
      </c>
      <c r="AR1804" t="s">
        <v>4518</v>
      </c>
      <c r="AS1804" t="s">
        <v>5700</v>
      </c>
      <c r="AT1804" t="s">
        <v>1652</v>
      </c>
      <c r="AU1804" t="s">
        <v>9122</v>
      </c>
      <c r="AV1804" t="s">
        <v>16133</v>
      </c>
      <c r="AW1804" t="s">
        <v>15781</v>
      </c>
      <c r="AX1804" t="s">
        <v>19197</v>
      </c>
      <c r="AY1804" t="s">
        <v>19702</v>
      </c>
      <c r="AZ1804" t="s">
        <v>19197</v>
      </c>
      <c r="BA1804">
        <v>1</v>
      </c>
      <c r="BB1804">
        <v>50.61</v>
      </c>
      <c r="BC1804">
        <v>0.17</v>
      </c>
      <c r="BD1804">
        <v>8.65</v>
      </c>
      <c r="BE1804">
        <v>8.64</v>
      </c>
      <c r="BF1804">
        <v>8.5299999999999994</v>
      </c>
      <c r="BG1804" t="s">
        <v>19703</v>
      </c>
      <c r="BH1804" t="s">
        <v>579</v>
      </c>
      <c r="BI1804" t="s">
        <v>19197</v>
      </c>
      <c r="BJ1804" t="s">
        <v>101</v>
      </c>
      <c r="BK1804" t="s">
        <v>12406</v>
      </c>
      <c r="BL1804" t="s">
        <v>19704</v>
      </c>
      <c r="BM1804" t="s">
        <v>4011</v>
      </c>
      <c r="BN1804" t="s">
        <v>14623</v>
      </c>
    </row>
    <row r="1805" spans="1:66" x14ac:dyDescent="0.25">
      <c r="A1805" t="str">
        <f>HYPERLINK("https://elite.finviz.com/quote.ashx?t=PCSC&amp;ty=c&amp;p=d&amp;b=1", "PCSC")</f>
        <v>PCSC</v>
      </c>
      <c r="B1805">
        <v>6</v>
      </c>
      <c r="C1805">
        <v>127.03</v>
      </c>
      <c r="D1805">
        <v>57</v>
      </c>
      <c r="E1805" t="s">
        <v>19705</v>
      </c>
      <c r="F1805" t="s">
        <v>107</v>
      </c>
      <c r="G1805" t="s">
        <v>550</v>
      </c>
      <c r="H1805" t="s">
        <v>2120</v>
      </c>
      <c r="I1805" t="s">
        <v>70</v>
      </c>
      <c r="J1805" t="s">
        <v>321</v>
      </c>
      <c r="K1805">
        <v>117.78</v>
      </c>
      <c r="L1805">
        <v>10.64</v>
      </c>
      <c r="M1805" t="s">
        <v>3226</v>
      </c>
      <c r="N1805">
        <v>1</v>
      </c>
      <c r="O1805">
        <v>36.17</v>
      </c>
      <c r="S1805">
        <v>1.34</v>
      </c>
      <c r="Z1805" t="s">
        <v>164</v>
      </c>
      <c r="AA1805">
        <v>0.28999999999999998</v>
      </c>
      <c r="AJ1805" t="s">
        <v>164</v>
      </c>
      <c r="AK1805" t="s">
        <v>6655</v>
      </c>
      <c r="AL1805">
        <v>5.21</v>
      </c>
      <c r="AM1805">
        <v>5.21</v>
      </c>
      <c r="AN1805">
        <v>0</v>
      </c>
      <c r="AR1805" t="s">
        <v>2215</v>
      </c>
      <c r="AS1805" t="s">
        <v>3358</v>
      </c>
      <c r="AT1805" t="s">
        <v>4849</v>
      </c>
      <c r="AU1805" t="s">
        <v>969</v>
      </c>
      <c r="AV1805" t="s">
        <v>323</v>
      </c>
      <c r="AW1805" t="s">
        <v>3950</v>
      </c>
      <c r="AX1805" t="s">
        <v>2821</v>
      </c>
      <c r="AY1805" t="s">
        <v>3950</v>
      </c>
      <c r="AZ1805" t="s">
        <v>464</v>
      </c>
      <c r="BB1805">
        <v>4.5599999999999996</v>
      </c>
      <c r="BC1805">
        <v>0</v>
      </c>
      <c r="BD1805">
        <v>10.6</v>
      </c>
      <c r="BE1805">
        <v>10.64</v>
      </c>
      <c r="BF1805">
        <v>10.64</v>
      </c>
      <c r="BG1805" t="s">
        <v>19706</v>
      </c>
      <c r="BH1805" t="s">
        <v>3950</v>
      </c>
      <c r="BI1805" t="s">
        <v>464</v>
      </c>
      <c r="BJ1805" t="s">
        <v>101</v>
      </c>
      <c r="BK1805" t="s">
        <v>2700</v>
      </c>
      <c r="BL1805" t="s">
        <v>5210</v>
      </c>
      <c r="BN1805" t="s">
        <v>14623</v>
      </c>
    </row>
    <row r="1806" spans="1:66" x14ac:dyDescent="0.25">
      <c r="A1806" t="str">
        <f>HYPERLINK("https://elite.finviz.com/quote.ashx?t=OYSE&amp;ty=c&amp;p=d&amp;b=1", "OYSE")</f>
        <v>OYSE</v>
      </c>
      <c r="B1806">
        <v>6</v>
      </c>
      <c r="C1806">
        <v>127.03</v>
      </c>
      <c r="D1806">
        <v>57</v>
      </c>
      <c r="E1806" t="s">
        <v>19707</v>
      </c>
      <c r="F1806" t="s">
        <v>107</v>
      </c>
      <c r="G1806" t="s">
        <v>550</v>
      </c>
      <c r="H1806" t="s">
        <v>2120</v>
      </c>
      <c r="I1806" t="s">
        <v>70</v>
      </c>
      <c r="J1806" t="s">
        <v>321</v>
      </c>
      <c r="K1806">
        <v>340.33</v>
      </c>
      <c r="L1806">
        <v>10.039999999999999</v>
      </c>
      <c r="M1806" t="s">
        <v>164</v>
      </c>
      <c r="N1806">
        <v>0</v>
      </c>
      <c r="S1806">
        <v>1.38</v>
      </c>
      <c r="AJ1806" t="s">
        <v>164</v>
      </c>
      <c r="AK1806" t="s">
        <v>4507</v>
      </c>
      <c r="AL1806">
        <v>12.24</v>
      </c>
      <c r="AM1806">
        <v>12.24</v>
      </c>
      <c r="AN1806">
        <v>0</v>
      </c>
      <c r="AR1806" t="s">
        <v>164</v>
      </c>
      <c r="AS1806" t="s">
        <v>580</v>
      </c>
      <c r="AT1806" t="s">
        <v>406</v>
      </c>
      <c r="AU1806" t="s">
        <v>6182</v>
      </c>
      <c r="AV1806" t="s">
        <v>6182</v>
      </c>
      <c r="AW1806" t="s">
        <v>214</v>
      </c>
      <c r="AX1806" t="s">
        <v>1025</v>
      </c>
      <c r="AY1806" t="s">
        <v>214</v>
      </c>
      <c r="AZ1806" t="s">
        <v>1025</v>
      </c>
      <c r="BB1806">
        <v>122.55</v>
      </c>
      <c r="BC1806">
        <v>0</v>
      </c>
      <c r="BD1806">
        <v>10.039999999999999</v>
      </c>
      <c r="BE1806">
        <v>10.039999999999999</v>
      </c>
      <c r="BF1806">
        <v>10.039999999999999</v>
      </c>
      <c r="BG1806" t="s">
        <v>19708</v>
      </c>
      <c r="BH1806" t="s">
        <v>214</v>
      </c>
      <c r="BI1806" t="s">
        <v>1025</v>
      </c>
      <c r="BJ1806" t="s">
        <v>101</v>
      </c>
      <c r="BN1806" t="s">
        <v>14623</v>
      </c>
    </row>
    <row r="1807" spans="1:66" x14ac:dyDescent="0.25">
      <c r="A1807" t="str">
        <f>HYPERLINK("https://elite.finviz.com/quote.ashx?t=BLZE&amp;ty=c&amp;p=d&amp;b=1", "BLZE")</f>
        <v>BLZE</v>
      </c>
      <c r="B1807">
        <v>6</v>
      </c>
      <c r="C1807">
        <v>127.03</v>
      </c>
      <c r="D1807">
        <v>57.02</v>
      </c>
      <c r="E1807" t="s">
        <v>19709</v>
      </c>
      <c r="F1807" t="s">
        <v>67</v>
      </c>
      <c r="G1807" t="s">
        <v>108</v>
      </c>
      <c r="H1807" t="s">
        <v>109</v>
      </c>
      <c r="I1807" t="s">
        <v>70</v>
      </c>
      <c r="J1807" t="s">
        <v>321</v>
      </c>
      <c r="K1807">
        <v>540.70000000000005</v>
      </c>
      <c r="L1807">
        <v>9.57</v>
      </c>
      <c r="M1807" t="s">
        <v>7867</v>
      </c>
      <c r="N1807">
        <v>135051</v>
      </c>
      <c r="P1807">
        <v>143.63</v>
      </c>
      <c r="R1807">
        <v>3.94</v>
      </c>
      <c r="S1807">
        <v>6.78</v>
      </c>
      <c r="AA1807">
        <v>-0.89</v>
      </c>
      <c r="AB1807" t="s">
        <v>19710</v>
      </c>
      <c r="AC1807" t="s">
        <v>19711</v>
      </c>
      <c r="AE1807" t="s">
        <v>8558</v>
      </c>
      <c r="AF1807" t="s">
        <v>5081</v>
      </c>
      <c r="AG1807" t="s">
        <v>10525</v>
      </c>
      <c r="AH1807" t="s">
        <v>1305</v>
      </c>
      <c r="AI1807" t="s">
        <v>19712</v>
      </c>
      <c r="AJ1807" t="s">
        <v>164</v>
      </c>
      <c r="AK1807" t="s">
        <v>15415</v>
      </c>
      <c r="AL1807">
        <v>1.08</v>
      </c>
      <c r="AM1807">
        <v>1.08</v>
      </c>
      <c r="AN1807">
        <v>0.77</v>
      </c>
      <c r="AO1807" t="s">
        <v>19713</v>
      </c>
      <c r="AP1807" t="s">
        <v>19714</v>
      </c>
      <c r="AQ1807" t="s">
        <v>12747</v>
      </c>
      <c r="AR1807" t="s">
        <v>4995</v>
      </c>
      <c r="AS1807" t="s">
        <v>2107</v>
      </c>
      <c r="AT1807" t="s">
        <v>4552</v>
      </c>
      <c r="AU1807" t="s">
        <v>7790</v>
      </c>
      <c r="AV1807" t="s">
        <v>19715</v>
      </c>
      <c r="AW1807" t="s">
        <v>19716</v>
      </c>
      <c r="AX1807" t="s">
        <v>12731</v>
      </c>
      <c r="AY1807" t="s">
        <v>19716</v>
      </c>
      <c r="AZ1807" t="s">
        <v>19717</v>
      </c>
      <c r="BA1807">
        <v>1.1200000000000001</v>
      </c>
      <c r="BB1807">
        <v>644.37</v>
      </c>
      <c r="BC1807">
        <v>0.74</v>
      </c>
      <c r="BD1807">
        <v>9.7899999999999991</v>
      </c>
      <c r="BE1807">
        <v>9.86</v>
      </c>
      <c r="BF1807">
        <v>9.51</v>
      </c>
      <c r="BG1807" t="s">
        <v>19718</v>
      </c>
      <c r="BH1807" t="s">
        <v>19719</v>
      </c>
      <c r="BI1807" t="s">
        <v>19720</v>
      </c>
      <c r="BJ1807" t="s">
        <v>101</v>
      </c>
      <c r="BK1807" t="s">
        <v>8816</v>
      </c>
      <c r="BL1807" t="s">
        <v>11607</v>
      </c>
      <c r="BM1807" t="s">
        <v>19721</v>
      </c>
      <c r="BN1807" t="s">
        <v>14623</v>
      </c>
    </row>
    <row r="1808" spans="1:66" x14ac:dyDescent="0.25">
      <c r="A1808" t="str">
        <f>HYPERLINK("https://elite.finviz.com/quote.ashx?t=AENT&amp;ty=c&amp;p=d&amp;b=1", "AENT")</f>
        <v>AENT</v>
      </c>
      <c r="B1808">
        <v>6</v>
      </c>
      <c r="C1808">
        <v>127.03</v>
      </c>
      <c r="D1808">
        <v>57.02</v>
      </c>
      <c r="E1808" t="s">
        <v>19722</v>
      </c>
      <c r="F1808" t="s">
        <v>107</v>
      </c>
      <c r="G1808" t="s">
        <v>598</v>
      </c>
      <c r="H1808" t="s">
        <v>4247</v>
      </c>
      <c r="I1808" t="s">
        <v>70</v>
      </c>
      <c r="J1808" t="s">
        <v>321</v>
      </c>
      <c r="K1808">
        <v>344.98</v>
      </c>
      <c r="L1808">
        <v>6.77</v>
      </c>
      <c r="M1808" t="s">
        <v>4526</v>
      </c>
      <c r="N1808">
        <v>19481</v>
      </c>
      <c r="O1808">
        <v>22.88</v>
      </c>
      <c r="P1808">
        <v>13.27</v>
      </c>
      <c r="R1808">
        <v>0.32</v>
      </c>
      <c r="S1808">
        <v>3.34</v>
      </c>
      <c r="Z1808" t="s">
        <v>164</v>
      </c>
      <c r="AA1808">
        <v>0.3</v>
      </c>
      <c r="AB1808" t="s">
        <v>3560</v>
      </c>
      <c r="AE1808" t="s">
        <v>5061</v>
      </c>
      <c r="AH1808" t="s">
        <v>4645</v>
      </c>
      <c r="AI1808" t="s">
        <v>8272</v>
      </c>
      <c r="AJ1808" t="s">
        <v>5549</v>
      </c>
      <c r="AK1808" t="s">
        <v>7800</v>
      </c>
      <c r="AL1808">
        <v>1.26</v>
      </c>
      <c r="AM1808">
        <v>0.67</v>
      </c>
      <c r="AN1808">
        <v>0.88</v>
      </c>
      <c r="AO1808" t="s">
        <v>2911</v>
      </c>
      <c r="AP1808" t="s">
        <v>307</v>
      </c>
      <c r="AQ1808" t="s">
        <v>3019</v>
      </c>
      <c r="AR1808" t="s">
        <v>776</v>
      </c>
      <c r="AS1808" t="s">
        <v>9718</v>
      </c>
      <c r="AT1808" t="s">
        <v>2385</v>
      </c>
      <c r="AU1808" t="s">
        <v>1005</v>
      </c>
      <c r="AV1808" t="s">
        <v>1479</v>
      </c>
      <c r="AW1808" t="s">
        <v>16855</v>
      </c>
      <c r="AX1808" t="s">
        <v>16167</v>
      </c>
      <c r="AY1808" t="s">
        <v>14260</v>
      </c>
      <c r="AZ1808" t="s">
        <v>19723</v>
      </c>
      <c r="BA1808">
        <v>1</v>
      </c>
      <c r="BB1808">
        <v>57.35</v>
      </c>
      <c r="BC1808">
        <v>1.2</v>
      </c>
      <c r="BD1808">
        <v>6.5</v>
      </c>
      <c r="BE1808">
        <v>6.78</v>
      </c>
      <c r="BF1808">
        <v>6.55</v>
      </c>
      <c r="BG1808" t="s">
        <v>19724</v>
      </c>
      <c r="BH1808" t="s">
        <v>19725</v>
      </c>
      <c r="BI1808" t="s">
        <v>19726</v>
      </c>
      <c r="BJ1808" t="s">
        <v>101</v>
      </c>
      <c r="BK1808" t="s">
        <v>13862</v>
      </c>
      <c r="BL1808" t="s">
        <v>19727</v>
      </c>
      <c r="BM1808" t="s">
        <v>11215</v>
      </c>
      <c r="BN1808" t="s">
        <v>14623</v>
      </c>
    </row>
    <row r="1809" spans="1:66" x14ac:dyDescent="0.25">
      <c r="A1809" t="str">
        <f>HYPERLINK("https://elite.finviz.com/quote.ashx?t=NETD&amp;ty=c&amp;p=d&amp;b=1", "NETD")</f>
        <v>NETD</v>
      </c>
      <c r="B1809">
        <v>6</v>
      </c>
      <c r="C1809">
        <v>127.03</v>
      </c>
      <c r="D1809">
        <v>57.02</v>
      </c>
      <c r="E1809" t="s">
        <v>19728</v>
      </c>
      <c r="F1809" t="s">
        <v>107</v>
      </c>
      <c r="G1809" t="s">
        <v>550</v>
      </c>
      <c r="H1809" t="s">
        <v>2120</v>
      </c>
      <c r="I1809" t="s">
        <v>70</v>
      </c>
      <c r="J1809" t="s">
        <v>321</v>
      </c>
      <c r="K1809">
        <v>241.36</v>
      </c>
      <c r="L1809">
        <v>11.31</v>
      </c>
      <c r="M1809" t="s">
        <v>2785</v>
      </c>
      <c r="N1809">
        <v>25</v>
      </c>
      <c r="O1809">
        <v>55.2</v>
      </c>
      <c r="S1809">
        <v>1.34</v>
      </c>
      <c r="Z1809" t="s">
        <v>164</v>
      </c>
      <c r="AA1809">
        <v>0.2</v>
      </c>
      <c r="AJ1809" t="s">
        <v>1092</v>
      </c>
      <c r="AK1809" t="s">
        <v>19729</v>
      </c>
      <c r="AL1809">
        <v>2.86</v>
      </c>
      <c r="AM1809">
        <v>2.86</v>
      </c>
      <c r="AN1809">
        <v>0.01</v>
      </c>
      <c r="AR1809" t="s">
        <v>497</v>
      </c>
      <c r="AS1809" t="s">
        <v>1409</v>
      </c>
      <c r="AT1809" t="s">
        <v>193</v>
      </c>
      <c r="AU1809" t="s">
        <v>4759</v>
      </c>
      <c r="AV1809" t="s">
        <v>7154</v>
      </c>
      <c r="AW1809" t="s">
        <v>4938</v>
      </c>
      <c r="AX1809" t="s">
        <v>1391</v>
      </c>
      <c r="AY1809" t="s">
        <v>4938</v>
      </c>
      <c r="AZ1809" t="s">
        <v>2386</v>
      </c>
      <c r="BB1809">
        <v>110.6</v>
      </c>
      <c r="BC1809">
        <v>0</v>
      </c>
      <c r="BD1809">
        <v>11.22</v>
      </c>
      <c r="BE1809">
        <v>11.22</v>
      </c>
      <c r="BF1809">
        <v>11.22</v>
      </c>
      <c r="BG1809" t="s">
        <v>19730</v>
      </c>
      <c r="BH1809" t="s">
        <v>4938</v>
      </c>
      <c r="BI1809" t="s">
        <v>1199</v>
      </c>
      <c r="BJ1809" t="s">
        <v>101</v>
      </c>
      <c r="BK1809" t="s">
        <v>1599</v>
      </c>
      <c r="BL1809" t="s">
        <v>4189</v>
      </c>
      <c r="BM1809" t="s">
        <v>7542</v>
      </c>
      <c r="BN1809" t="s">
        <v>14623</v>
      </c>
    </row>
    <row r="1810" spans="1:66" x14ac:dyDescent="0.25">
      <c r="A1810" t="str">
        <f>HYPERLINK("https://elite.finviz.com/quote.ashx?t=CINF&amp;ty=c&amp;p=d&amp;b=1", "CINF")</f>
        <v>CINF</v>
      </c>
      <c r="B1810">
        <v>6</v>
      </c>
      <c r="C1810">
        <v>127.03</v>
      </c>
      <c r="D1810">
        <v>57.03</v>
      </c>
      <c r="E1810" t="s">
        <v>19731</v>
      </c>
      <c r="F1810" t="s">
        <v>195</v>
      </c>
      <c r="G1810" t="s">
        <v>550</v>
      </c>
      <c r="H1810" t="s">
        <v>4407</v>
      </c>
      <c r="I1810" t="s">
        <v>70</v>
      </c>
      <c r="J1810" t="s">
        <v>321</v>
      </c>
      <c r="K1810">
        <v>24426</v>
      </c>
      <c r="L1810">
        <v>156.19999999999999</v>
      </c>
      <c r="M1810" t="s">
        <v>1488</v>
      </c>
      <c r="N1810">
        <v>33732</v>
      </c>
      <c r="O1810">
        <v>13.55</v>
      </c>
      <c r="P1810">
        <v>18.489999999999998</v>
      </c>
      <c r="Q1810">
        <v>2.97</v>
      </c>
      <c r="R1810">
        <v>2.09</v>
      </c>
      <c r="S1810">
        <v>1.71</v>
      </c>
      <c r="T1810" t="s">
        <v>2868</v>
      </c>
      <c r="U1810">
        <v>3.42</v>
      </c>
      <c r="V1810" t="s">
        <v>4676</v>
      </c>
      <c r="W1810" t="s">
        <v>238</v>
      </c>
      <c r="X1810" t="s">
        <v>776</v>
      </c>
      <c r="Y1810" t="s">
        <v>1207</v>
      </c>
      <c r="Z1810" t="s">
        <v>15192</v>
      </c>
      <c r="AA1810">
        <v>11.53</v>
      </c>
      <c r="AB1810" t="s">
        <v>5766</v>
      </c>
      <c r="AC1810" t="s">
        <v>8818</v>
      </c>
      <c r="AD1810" t="s">
        <v>247</v>
      </c>
      <c r="AE1810" t="s">
        <v>127</v>
      </c>
      <c r="AF1810" t="s">
        <v>3496</v>
      </c>
      <c r="AG1810" t="s">
        <v>5847</v>
      </c>
      <c r="AH1810" t="s">
        <v>9547</v>
      </c>
      <c r="AI1810" t="s">
        <v>13550</v>
      </c>
      <c r="AJ1810" t="s">
        <v>2717</v>
      </c>
      <c r="AK1810" t="s">
        <v>19732</v>
      </c>
      <c r="AL1810">
        <v>0.56999999999999995</v>
      </c>
      <c r="AN1810">
        <v>0.06</v>
      </c>
      <c r="AP1810" t="s">
        <v>14945</v>
      </c>
      <c r="AQ1810" t="s">
        <v>6875</v>
      </c>
      <c r="AR1810" t="s">
        <v>5158</v>
      </c>
      <c r="AS1810" t="s">
        <v>4280</v>
      </c>
      <c r="AT1810" t="s">
        <v>3552</v>
      </c>
      <c r="AU1810" t="s">
        <v>744</v>
      </c>
      <c r="AV1810" t="s">
        <v>3746</v>
      </c>
      <c r="AW1810" t="s">
        <v>3950</v>
      </c>
      <c r="AX1810" t="s">
        <v>4815</v>
      </c>
      <c r="AY1810" t="s">
        <v>1082</v>
      </c>
      <c r="AZ1810" t="s">
        <v>3038</v>
      </c>
      <c r="BA1810">
        <v>2.27</v>
      </c>
      <c r="BB1810">
        <v>523.09</v>
      </c>
      <c r="BC1810">
        <v>0.23</v>
      </c>
      <c r="BD1810">
        <v>154.41999999999999</v>
      </c>
      <c r="BE1810">
        <v>156.78</v>
      </c>
      <c r="BF1810">
        <v>155.15</v>
      </c>
      <c r="BG1810" t="s">
        <v>19733</v>
      </c>
      <c r="BH1810" t="s">
        <v>1082</v>
      </c>
      <c r="BI1810" t="s">
        <v>19734</v>
      </c>
      <c r="BJ1810" t="s">
        <v>101</v>
      </c>
      <c r="BK1810" t="s">
        <v>3126</v>
      </c>
      <c r="BL1810" t="s">
        <v>2408</v>
      </c>
      <c r="BM1810" t="s">
        <v>2628</v>
      </c>
      <c r="BN1810" t="s">
        <v>14623</v>
      </c>
    </row>
    <row r="1811" spans="1:66" x14ac:dyDescent="0.25">
      <c r="A1811" t="str">
        <f>HYPERLINK("https://elite.finviz.com/quote.ashx?t=SCHL&amp;ty=c&amp;p=d&amp;b=1", "SCHL")</f>
        <v>SCHL</v>
      </c>
      <c r="B1811">
        <v>6</v>
      </c>
      <c r="C1811">
        <v>127.03</v>
      </c>
      <c r="D1811">
        <v>57.06</v>
      </c>
      <c r="E1811" t="s">
        <v>19735</v>
      </c>
      <c r="F1811" t="s">
        <v>67</v>
      </c>
      <c r="G1811" t="s">
        <v>598</v>
      </c>
      <c r="H1811" t="s">
        <v>5379</v>
      </c>
      <c r="I1811" t="s">
        <v>70</v>
      </c>
      <c r="J1811" t="s">
        <v>321</v>
      </c>
      <c r="K1811">
        <v>682.01</v>
      </c>
      <c r="L1811">
        <v>27.13</v>
      </c>
      <c r="M1811" t="s">
        <v>2361</v>
      </c>
      <c r="N1811">
        <v>62640</v>
      </c>
      <c r="P1811">
        <v>14.24</v>
      </c>
      <c r="R1811">
        <v>0.42</v>
      </c>
      <c r="S1811">
        <v>0.78</v>
      </c>
      <c r="T1811" t="s">
        <v>5132</v>
      </c>
      <c r="U1811">
        <v>0.8</v>
      </c>
      <c r="V1811" t="s">
        <v>10250</v>
      </c>
      <c r="W1811" t="s">
        <v>164</v>
      </c>
      <c r="X1811" t="s">
        <v>1115</v>
      </c>
      <c r="Y1811" t="s">
        <v>351</v>
      </c>
      <c r="AA1811">
        <v>-0.66</v>
      </c>
      <c r="AC1811" t="s">
        <v>1397</v>
      </c>
      <c r="AE1811" t="s">
        <v>2630</v>
      </c>
      <c r="AF1811" t="s">
        <v>2263</v>
      </c>
      <c r="AG1811" t="s">
        <v>7338</v>
      </c>
      <c r="AH1811" t="s">
        <v>4893</v>
      </c>
      <c r="AI1811" t="s">
        <v>4281</v>
      </c>
      <c r="AJ1811" t="s">
        <v>164</v>
      </c>
      <c r="AK1811" t="s">
        <v>9967</v>
      </c>
      <c r="AL1811">
        <v>1.1599999999999999</v>
      </c>
      <c r="AM1811">
        <v>0.65</v>
      </c>
      <c r="AN1811">
        <v>0.52</v>
      </c>
      <c r="AO1811" t="s">
        <v>19736</v>
      </c>
      <c r="AP1811" t="s">
        <v>2610</v>
      </c>
      <c r="AQ1811" t="s">
        <v>2059</v>
      </c>
      <c r="AR1811" t="s">
        <v>370</v>
      </c>
      <c r="AS1811" t="s">
        <v>5467</v>
      </c>
      <c r="AT1811" t="s">
        <v>3542</v>
      </c>
      <c r="AU1811" t="s">
        <v>3952</v>
      </c>
      <c r="AV1811" t="s">
        <v>9474</v>
      </c>
      <c r="AW1811" t="s">
        <v>8380</v>
      </c>
      <c r="AX1811" t="s">
        <v>19737</v>
      </c>
      <c r="AY1811" t="s">
        <v>1197</v>
      </c>
      <c r="AZ1811" t="s">
        <v>19738</v>
      </c>
      <c r="BA1811">
        <v>1</v>
      </c>
      <c r="BB1811">
        <v>327.72</v>
      </c>
      <c r="BC1811">
        <v>0.67</v>
      </c>
      <c r="BD1811">
        <v>26.41</v>
      </c>
      <c r="BE1811">
        <v>27.19</v>
      </c>
      <c r="BF1811">
        <v>26.34</v>
      </c>
      <c r="BG1811" t="s">
        <v>19739</v>
      </c>
      <c r="BH1811" t="s">
        <v>19419</v>
      </c>
      <c r="BI1811" t="s">
        <v>3576</v>
      </c>
      <c r="BJ1811" t="s">
        <v>101</v>
      </c>
      <c r="BK1811" t="s">
        <v>4332</v>
      </c>
      <c r="BL1811" t="s">
        <v>19740</v>
      </c>
      <c r="BM1811" t="s">
        <v>14563</v>
      </c>
      <c r="BN1811" t="s">
        <v>14623</v>
      </c>
    </row>
    <row r="1812" spans="1:66" x14ac:dyDescent="0.25">
      <c r="A1812" t="str">
        <f>HYPERLINK("https://elite.finviz.com/quote.ashx?t=FGI&amp;ty=c&amp;p=d&amp;b=1", "FGI")</f>
        <v>FGI</v>
      </c>
      <c r="B1812">
        <v>6</v>
      </c>
      <c r="C1812">
        <v>127.03</v>
      </c>
      <c r="D1812">
        <v>57.07</v>
      </c>
      <c r="E1812" t="s">
        <v>19741</v>
      </c>
      <c r="F1812" t="s">
        <v>107</v>
      </c>
      <c r="G1812" t="s">
        <v>813</v>
      </c>
      <c r="H1812" t="s">
        <v>3866</v>
      </c>
      <c r="I1812" t="s">
        <v>70</v>
      </c>
      <c r="J1812" t="s">
        <v>321</v>
      </c>
      <c r="K1812">
        <v>12.64</v>
      </c>
      <c r="L1812">
        <v>6.59</v>
      </c>
      <c r="M1812" t="s">
        <v>14499</v>
      </c>
      <c r="N1812">
        <v>11718</v>
      </c>
      <c r="P1812">
        <v>13.18</v>
      </c>
      <c r="R1812">
        <v>0.09</v>
      </c>
      <c r="S1812">
        <v>0.59</v>
      </c>
      <c r="AA1812">
        <v>-1.47</v>
      </c>
      <c r="AE1812" t="s">
        <v>10393</v>
      </c>
      <c r="AF1812" t="s">
        <v>12128</v>
      </c>
      <c r="AG1812" t="s">
        <v>7388</v>
      </c>
      <c r="AH1812" t="s">
        <v>1871</v>
      </c>
      <c r="AI1812" t="s">
        <v>19742</v>
      </c>
      <c r="AJ1812" t="s">
        <v>164</v>
      </c>
      <c r="AK1812" t="s">
        <v>3115</v>
      </c>
      <c r="AL1812">
        <v>1.21</v>
      </c>
      <c r="AM1812">
        <v>0.9</v>
      </c>
      <c r="AN1812">
        <v>1.18</v>
      </c>
      <c r="AO1812" t="s">
        <v>7040</v>
      </c>
      <c r="AP1812" t="s">
        <v>6204</v>
      </c>
      <c r="AQ1812" t="s">
        <v>2190</v>
      </c>
      <c r="AR1812" t="s">
        <v>11062</v>
      </c>
      <c r="AS1812" t="s">
        <v>1206</v>
      </c>
      <c r="AT1812" t="s">
        <v>6815</v>
      </c>
      <c r="AU1812" t="s">
        <v>3902</v>
      </c>
      <c r="AV1812" t="s">
        <v>624</v>
      </c>
      <c r="AW1812" t="s">
        <v>19576</v>
      </c>
      <c r="AX1812" t="s">
        <v>19743</v>
      </c>
      <c r="AY1812" t="s">
        <v>19576</v>
      </c>
      <c r="AZ1812" t="s">
        <v>19744</v>
      </c>
      <c r="BA1812">
        <v>1</v>
      </c>
      <c r="BB1812">
        <v>706.18</v>
      </c>
      <c r="BC1812">
        <v>0.06</v>
      </c>
      <c r="BD1812">
        <v>6.86</v>
      </c>
      <c r="BE1812">
        <v>6.86</v>
      </c>
      <c r="BF1812">
        <v>6.53</v>
      </c>
      <c r="BG1812" t="s">
        <v>19745</v>
      </c>
      <c r="BH1812" t="s">
        <v>17939</v>
      </c>
      <c r="BI1812" t="s">
        <v>19744</v>
      </c>
      <c r="BJ1812" t="s">
        <v>101</v>
      </c>
      <c r="BK1812" t="s">
        <v>19746</v>
      </c>
      <c r="BL1812" t="s">
        <v>16856</v>
      </c>
      <c r="BM1812" t="s">
        <v>16661</v>
      </c>
      <c r="BN1812" t="s">
        <v>14623</v>
      </c>
    </row>
    <row r="1813" spans="1:66" x14ac:dyDescent="0.25">
      <c r="A1813" t="str">
        <f>HYPERLINK("https://elite.finviz.com/quote.ashx?t=SHPH&amp;ty=c&amp;p=d&amp;b=1", "SHPH")</f>
        <v>SHPH</v>
      </c>
      <c r="B1813">
        <v>6</v>
      </c>
      <c r="C1813">
        <v>127.03</v>
      </c>
      <c r="D1813">
        <v>57.1</v>
      </c>
      <c r="E1813" t="s">
        <v>19747</v>
      </c>
      <c r="F1813" t="s">
        <v>107</v>
      </c>
      <c r="G1813" t="s">
        <v>428</v>
      </c>
      <c r="H1813" t="s">
        <v>1296</v>
      </c>
      <c r="I1813" t="s">
        <v>70</v>
      </c>
      <c r="J1813" t="s">
        <v>321</v>
      </c>
      <c r="K1813">
        <v>4.41</v>
      </c>
      <c r="L1813">
        <v>4.12</v>
      </c>
      <c r="M1813" t="s">
        <v>7270</v>
      </c>
      <c r="N1813">
        <v>22787</v>
      </c>
      <c r="S1813">
        <v>1.22</v>
      </c>
      <c r="AA1813">
        <v>-60.37</v>
      </c>
      <c r="AB1813" t="s">
        <v>15921</v>
      </c>
      <c r="AC1813" t="s">
        <v>13428</v>
      </c>
      <c r="AJ1813" t="s">
        <v>164</v>
      </c>
      <c r="AK1813" t="s">
        <v>1409</v>
      </c>
      <c r="AL1813">
        <v>3.07</v>
      </c>
      <c r="AM1813">
        <v>3.07</v>
      </c>
      <c r="AN1813">
        <v>0.2</v>
      </c>
      <c r="AR1813" t="s">
        <v>7361</v>
      </c>
      <c r="AS1813" t="s">
        <v>3672</v>
      </c>
      <c r="AT1813" t="s">
        <v>11639</v>
      </c>
      <c r="AU1813" t="s">
        <v>333</v>
      </c>
      <c r="AV1813" t="s">
        <v>1958</v>
      </c>
      <c r="AW1813" t="s">
        <v>19748</v>
      </c>
      <c r="AX1813" t="s">
        <v>10378</v>
      </c>
      <c r="AY1813" t="s">
        <v>17822</v>
      </c>
      <c r="AZ1813" t="s">
        <v>13757</v>
      </c>
      <c r="BB1813">
        <v>108.49</v>
      </c>
      <c r="BC1813">
        <v>0.75</v>
      </c>
      <c r="BD1813">
        <v>4.1399999999999997</v>
      </c>
      <c r="BE1813">
        <v>4.2300000000000004</v>
      </c>
      <c r="BF1813">
        <v>4.07</v>
      </c>
      <c r="BG1813" t="s">
        <v>19749</v>
      </c>
      <c r="BH1813" t="s">
        <v>3265</v>
      </c>
      <c r="BI1813" t="s">
        <v>13757</v>
      </c>
      <c r="BJ1813" t="s">
        <v>101</v>
      </c>
      <c r="BK1813" t="s">
        <v>3663</v>
      </c>
      <c r="BL1813" t="s">
        <v>19750</v>
      </c>
      <c r="BM1813" t="s">
        <v>19751</v>
      </c>
      <c r="BN1813" t="s">
        <v>14623</v>
      </c>
    </row>
    <row r="1814" spans="1:66" x14ac:dyDescent="0.25">
      <c r="A1814" t="str">
        <f>HYPERLINK("https://elite.finviz.com/quote.ashx?t=OACC&amp;ty=c&amp;p=d&amp;b=1", "OACC")</f>
        <v>OACC</v>
      </c>
      <c r="B1814">
        <v>6</v>
      </c>
      <c r="C1814">
        <v>127.03</v>
      </c>
      <c r="D1814">
        <v>57.11</v>
      </c>
      <c r="E1814" t="s">
        <v>19752</v>
      </c>
      <c r="F1814" t="s">
        <v>107</v>
      </c>
      <c r="G1814" t="s">
        <v>550</v>
      </c>
      <c r="H1814" t="s">
        <v>2120</v>
      </c>
      <c r="I1814" t="s">
        <v>70</v>
      </c>
      <c r="J1814" t="s">
        <v>321</v>
      </c>
      <c r="K1814">
        <v>258.08999999999997</v>
      </c>
      <c r="L1814">
        <v>10.5</v>
      </c>
      <c r="M1814" t="s">
        <v>164</v>
      </c>
      <c r="N1814">
        <v>0</v>
      </c>
      <c r="O1814">
        <v>53.11</v>
      </c>
      <c r="S1814">
        <v>1.35</v>
      </c>
      <c r="Z1814" t="s">
        <v>164</v>
      </c>
      <c r="AA1814">
        <v>0.2</v>
      </c>
      <c r="AJ1814" t="s">
        <v>164</v>
      </c>
      <c r="AK1814" t="s">
        <v>19753</v>
      </c>
      <c r="AL1814">
        <v>1.39</v>
      </c>
      <c r="AM1814">
        <v>1.39</v>
      </c>
      <c r="AN1814">
        <v>0</v>
      </c>
      <c r="AR1814" t="s">
        <v>141</v>
      </c>
      <c r="AS1814" t="s">
        <v>3446</v>
      </c>
      <c r="AT1814" t="s">
        <v>4266</v>
      </c>
      <c r="AU1814" t="s">
        <v>4849</v>
      </c>
      <c r="AV1814" t="s">
        <v>3842</v>
      </c>
      <c r="AW1814" t="s">
        <v>3896</v>
      </c>
      <c r="AX1814" t="s">
        <v>2202</v>
      </c>
      <c r="AY1814" t="s">
        <v>4168</v>
      </c>
      <c r="AZ1814" t="s">
        <v>5336</v>
      </c>
      <c r="BB1814">
        <v>69.36</v>
      </c>
      <c r="BC1814">
        <v>0</v>
      </c>
      <c r="BD1814">
        <v>10.5</v>
      </c>
      <c r="BE1814">
        <v>10.5</v>
      </c>
      <c r="BF1814">
        <v>10.5</v>
      </c>
      <c r="BG1814" t="s">
        <v>19754</v>
      </c>
      <c r="BH1814" t="s">
        <v>4168</v>
      </c>
      <c r="BI1814" t="s">
        <v>5336</v>
      </c>
      <c r="BJ1814" t="s">
        <v>101</v>
      </c>
      <c r="BK1814" t="s">
        <v>164</v>
      </c>
      <c r="BL1814" t="s">
        <v>246</v>
      </c>
      <c r="BN1814" t="s">
        <v>14623</v>
      </c>
    </row>
    <row r="1815" spans="1:66" x14ac:dyDescent="0.25">
      <c r="A1815" t="str">
        <f>HYPERLINK("https://elite.finviz.com/quote.ashx?t=DCI&amp;ty=c&amp;p=d&amp;b=1", "DCI")</f>
        <v>DCI</v>
      </c>
      <c r="B1815">
        <v>6</v>
      </c>
      <c r="C1815">
        <v>127.03</v>
      </c>
      <c r="D1815">
        <v>57.15</v>
      </c>
      <c r="E1815" t="s">
        <v>19755</v>
      </c>
      <c r="F1815" t="s">
        <v>107</v>
      </c>
      <c r="G1815" t="s">
        <v>260</v>
      </c>
      <c r="H1815" t="s">
        <v>261</v>
      </c>
      <c r="I1815" t="s">
        <v>70</v>
      </c>
      <c r="J1815" t="s">
        <v>71</v>
      </c>
      <c r="K1815">
        <v>9367.1200000000008</v>
      </c>
      <c r="L1815">
        <v>80.39</v>
      </c>
      <c r="M1815" t="s">
        <v>3112</v>
      </c>
      <c r="N1815">
        <v>53512</v>
      </c>
      <c r="O1815">
        <v>26.34</v>
      </c>
      <c r="P1815">
        <v>18.37</v>
      </c>
      <c r="Q1815">
        <v>2.92</v>
      </c>
      <c r="R1815">
        <v>2.54</v>
      </c>
      <c r="S1815">
        <v>6.41</v>
      </c>
      <c r="T1815" t="s">
        <v>4780</v>
      </c>
      <c r="U1815">
        <v>1.1399999999999999</v>
      </c>
      <c r="V1815" t="s">
        <v>7906</v>
      </c>
      <c r="W1815" t="s">
        <v>7209</v>
      </c>
      <c r="X1815" t="s">
        <v>2861</v>
      </c>
      <c r="Y1815" t="s">
        <v>2386</v>
      </c>
      <c r="Z1815" t="s">
        <v>3377</v>
      </c>
      <c r="AA1815">
        <v>3.05</v>
      </c>
      <c r="AB1815" t="s">
        <v>2523</v>
      </c>
      <c r="AC1815" t="s">
        <v>147</v>
      </c>
      <c r="AD1815" t="s">
        <v>2849</v>
      </c>
      <c r="AE1815" t="s">
        <v>6937</v>
      </c>
      <c r="AF1815" t="s">
        <v>8818</v>
      </c>
      <c r="AG1815" t="s">
        <v>2816</v>
      </c>
      <c r="AH1815" t="s">
        <v>5969</v>
      </c>
      <c r="AI1815" t="s">
        <v>4881</v>
      </c>
      <c r="AJ1815" t="s">
        <v>6563</v>
      </c>
      <c r="AK1815" t="s">
        <v>1463</v>
      </c>
      <c r="AL1815">
        <v>1.93</v>
      </c>
      <c r="AM1815">
        <v>1.25</v>
      </c>
      <c r="AN1815">
        <v>0.46</v>
      </c>
      <c r="AO1815" t="s">
        <v>3689</v>
      </c>
      <c r="AP1815" t="s">
        <v>310</v>
      </c>
      <c r="AQ1815" t="s">
        <v>12974</v>
      </c>
      <c r="AR1815" t="s">
        <v>1559</v>
      </c>
      <c r="AS1815" t="s">
        <v>2421</v>
      </c>
      <c r="AT1815" t="s">
        <v>4703</v>
      </c>
      <c r="AU1815" t="s">
        <v>896</v>
      </c>
      <c r="AV1815" t="s">
        <v>6413</v>
      </c>
      <c r="AW1815" t="s">
        <v>5763</v>
      </c>
      <c r="AX1815" t="s">
        <v>11116</v>
      </c>
      <c r="AY1815" t="s">
        <v>5763</v>
      </c>
      <c r="AZ1815" t="s">
        <v>10230</v>
      </c>
      <c r="BA1815">
        <v>3.2</v>
      </c>
      <c r="BB1815">
        <v>618.41999999999996</v>
      </c>
      <c r="BC1815">
        <v>0.3</v>
      </c>
      <c r="BD1815">
        <v>80.040000000000006</v>
      </c>
      <c r="BE1815">
        <v>80.73</v>
      </c>
      <c r="BF1815">
        <v>80.03</v>
      </c>
      <c r="BG1815" t="s">
        <v>19756</v>
      </c>
      <c r="BH1815" t="s">
        <v>5763</v>
      </c>
      <c r="BI1815" t="s">
        <v>19757</v>
      </c>
      <c r="BJ1815" t="s">
        <v>101</v>
      </c>
      <c r="BK1815" t="s">
        <v>1847</v>
      </c>
      <c r="BL1815" t="s">
        <v>6830</v>
      </c>
      <c r="BM1815" t="s">
        <v>10557</v>
      </c>
      <c r="BN1815" t="s">
        <v>14623</v>
      </c>
    </row>
    <row r="1816" spans="1:66" x14ac:dyDescent="0.25">
      <c r="A1816" t="str">
        <f>HYPERLINK("https://elite.finviz.com/quote.ashx?t=GREE&amp;ty=c&amp;p=d&amp;b=1", "GREE")</f>
        <v>GREE</v>
      </c>
      <c r="B1816">
        <v>6</v>
      </c>
      <c r="C1816">
        <v>127.03</v>
      </c>
      <c r="D1816">
        <v>57.18</v>
      </c>
      <c r="E1816" t="s">
        <v>19758</v>
      </c>
      <c r="F1816" t="s">
        <v>107</v>
      </c>
      <c r="G1816" t="s">
        <v>550</v>
      </c>
      <c r="H1816" t="s">
        <v>551</v>
      </c>
      <c r="I1816" t="s">
        <v>70</v>
      </c>
      <c r="J1816" t="s">
        <v>321</v>
      </c>
      <c r="K1816">
        <v>26.25</v>
      </c>
      <c r="L1816">
        <v>1.67</v>
      </c>
      <c r="M1816" t="s">
        <v>1180</v>
      </c>
      <c r="N1816">
        <v>78139</v>
      </c>
      <c r="R1816">
        <v>0.44</v>
      </c>
      <c r="AA1816">
        <v>-1.57</v>
      </c>
      <c r="AB1816" t="s">
        <v>18631</v>
      </c>
      <c r="AE1816" t="s">
        <v>9364</v>
      </c>
      <c r="AF1816" t="s">
        <v>6482</v>
      </c>
      <c r="AG1816" t="s">
        <v>2007</v>
      </c>
      <c r="AH1816" t="s">
        <v>600</v>
      </c>
      <c r="AI1816" t="s">
        <v>851</v>
      </c>
      <c r="AJ1816" t="s">
        <v>203</v>
      </c>
      <c r="AK1816" t="s">
        <v>3020</v>
      </c>
      <c r="AL1816">
        <v>1.05</v>
      </c>
      <c r="AM1816">
        <v>1.05</v>
      </c>
      <c r="AO1816" t="s">
        <v>2826</v>
      </c>
      <c r="AP1816" t="s">
        <v>6789</v>
      </c>
      <c r="AQ1816" t="s">
        <v>19759</v>
      </c>
      <c r="AR1816" t="s">
        <v>2685</v>
      </c>
      <c r="AS1816" t="s">
        <v>9789</v>
      </c>
      <c r="AT1816" t="s">
        <v>2948</v>
      </c>
      <c r="AU1816" t="s">
        <v>7361</v>
      </c>
      <c r="AV1816" t="s">
        <v>16083</v>
      </c>
      <c r="AW1816" t="s">
        <v>19760</v>
      </c>
      <c r="AX1816" t="s">
        <v>6215</v>
      </c>
      <c r="AY1816" t="s">
        <v>19761</v>
      </c>
      <c r="AZ1816" t="s">
        <v>19762</v>
      </c>
      <c r="BA1816">
        <v>1</v>
      </c>
      <c r="BB1816">
        <v>226.31</v>
      </c>
      <c r="BC1816">
        <v>1.22</v>
      </c>
      <c r="BD1816">
        <v>1.71</v>
      </c>
      <c r="BE1816">
        <v>1.75</v>
      </c>
      <c r="BF1816">
        <v>1.66</v>
      </c>
      <c r="BG1816" t="s">
        <v>19763</v>
      </c>
      <c r="BH1816" t="s">
        <v>5233</v>
      </c>
      <c r="BI1816" t="s">
        <v>19762</v>
      </c>
      <c r="BJ1816" t="s">
        <v>101</v>
      </c>
      <c r="BK1816" t="s">
        <v>4017</v>
      </c>
      <c r="BL1816" t="s">
        <v>2989</v>
      </c>
      <c r="BM1816" t="s">
        <v>5354</v>
      </c>
      <c r="BN1816" t="s">
        <v>14623</v>
      </c>
    </row>
    <row r="1817" spans="1:66" x14ac:dyDescent="0.25">
      <c r="A1817" t="str">
        <f>HYPERLINK("https://elite.finviz.com/quote.ashx?t=LOAN&amp;ty=c&amp;p=d&amp;b=1", "LOAN")</f>
        <v>LOAN</v>
      </c>
      <c r="B1817">
        <v>6</v>
      </c>
      <c r="C1817">
        <v>127.03</v>
      </c>
      <c r="D1817">
        <v>57.18</v>
      </c>
      <c r="E1817" t="s">
        <v>19764</v>
      </c>
      <c r="F1817" t="s">
        <v>107</v>
      </c>
      <c r="G1817" t="s">
        <v>68</v>
      </c>
      <c r="H1817" t="s">
        <v>5566</v>
      </c>
      <c r="I1817" t="s">
        <v>70</v>
      </c>
      <c r="J1817" t="s">
        <v>321</v>
      </c>
      <c r="K1817">
        <v>62.57</v>
      </c>
      <c r="L1817">
        <v>5.47</v>
      </c>
      <c r="M1817" t="s">
        <v>3000</v>
      </c>
      <c r="N1817">
        <v>924</v>
      </c>
      <c r="O1817">
        <v>11.39</v>
      </c>
      <c r="P1817">
        <v>11.16</v>
      </c>
      <c r="R1817">
        <v>6.73</v>
      </c>
      <c r="S1817">
        <v>1.44</v>
      </c>
      <c r="T1817" t="s">
        <v>6456</v>
      </c>
      <c r="U1817">
        <v>0.46</v>
      </c>
      <c r="V1817" t="s">
        <v>4489</v>
      </c>
      <c r="W1817" t="s">
        <v>5660</v>
      </c>
      <c r="X1817" t="s">
        <v>13117</v>
      </c>
      <c r="Y1817" t="s">
        <v>530</v>
      </c>
      <c r="Z1817" t="s">
        <v>14004</v>
      </c>
      <c r="AA1817">
        <v>0.48</v>
      </c>
      <c r="AB1817" t="s">
        <v>322</v>
      </c>
      <c r="AC1817" t="s">
        <v>1338</v>
      </c>
      <c r="AE1817" t="s">
        <v>1153</v>
      </c>
      <c r="AF1817" t="s">
        <v>4462</v>
      </c>
      <c r="AG1817" t="s">
        <v>2064</v>
      </c>
      <c r="AH1817" t="s">
        <v>1727</v>
      </c>
      <c r="AI1817" t="s">
        <v>164</v>
      </c>
      <c r="AJ1817" t="s">
        <v>164</v>
      </c>
      <c r="AK1817" t="s">
        <v>13676</v>
      </c>
      <c r="AL1817">
        <v>1.38</v>
      </c>
      <c r="AM1817">
        <v>1.38</v>
      </c>
      <c r="AN1817">
        <v>0.52</v>
      </c>
      <c r="AO1817" t="s">
        <v>10883</v>
      </c>
      <c r="AP1817" t="s">
        <v>5657</v>
      </c>
      <c r="AQ1817" t="s">
        <v>19765</v>
      </c>
      <c r="AR1817" t="s">
        <v>2082</v>
      </c>
      <c r="AS1817" t="s">
        <v>4256</v>
      </c>
      <c r="AT1817" t="s">
        <v>3757</v>
      </c>
      <c r="AU1817" t="s">
        <v>1837</v>
      </c>
      <c r="AV1817" t="s">
        <v>8179</v>
      </c>
      <c r="AW1817" t="s">
        <v>11253</v>
      </c>
      <c r="AX1817" t="s">
        <v>370</v>
      </c>
      <c r="AY1817" t="s">
        <v>19766</v>
      </c>
      <c r="AZ1817" t="s">
        <v>5439</v>
      </c>
      <c r="BA1817">
        <v>3</v>
      </c>
      <c r="BB1817">
        <v>22.73</v>
      </c>
      <c r="BC1817">
        <v>0.14000000000000001</v>
      </c>
      <c r="BD1817">
        <v>5.45</v>
      </c>
      <c r="BE1817">
        <v>5.48</v>
      </c>
      <c r="BF1817">
        <v>5.42</v>
      </c>
      <c r="BG1817" t="s">
        <v>19767</v>
      </c>
      <c r="BH1817" t="s">
        <v>11820</v>
      </c>
      <c r="BI1817" t="s">
        <v>19768</v>
      </c>
      <c r="BJ1817" t="s">
        <v>101</v>
      </c>
      <c r="BK1817" t="s">
        <v>4142</v>
      </c>
      <c r="BL1817" t="s">
        <v>4967</v>
      </c>
      <c r="BM1817" t="s">
        <v>3842</v>
      </c>
      <c r="BN1817" t="s">
        <v>14623</v>
      </c>
    </row>
    <row r="1818" spans="1:66" x14ac:dyDescent="0.25">
      <c r="A1818" t="str">
        <f>HYPERLINK("https://elite.finviz.com/quote.ashx?t=INSW&amp;ty=c&amp;p=d&amp;b=1", "INSW")</f>
        <v>INSW</v>
      </c>
      <c r="B1818">
        <v>6</v>
      </c>
      <c r="C1818">
        <v>127.03</v>
      </c>
      <c r="D1818">
        <v>57.21</v>
      </c>
      <c r="E1818" t="s">
        <v>19769</v>
      </c>
      <c r="F1818" t="s">
        <v>67</v>
      </c>
      <c r="G1818" t="s">
        <v>1048</v>
      </c>
      <c r="H1818" t="s">
        <v>3915</v>
      </c>
      <c r="I1818" t="s">
        <v>70</v>
      </c>
      <c r="J1818" t="s">
        <v>71</v>
      </c>
      <c r="K1818">
        <v>2334.5300000000002</v>
      </c>
      <c r="L1818">
        <v>47.29</v>
      </c>
      <c r="M1818" t="s">
        <v>2294</v>
      </c>
      <c r="N1818">
        <v>51418</v>
      </c>
      <c r="O1818">
        <v>9.84</v>
      </c>
      <c r="P1818">
        <v>8.08</v>
      </c>
      <c r="R1818">
        <v>2.92</v>
      </c>
      <c r="S1818">
        <v>1.23</v>
      </c>
      <c r="T1818" t="s">
        <v>5383</v>
      </c>
      <c r="U1818">
        <v>0.95</v>
      </c>
      <c r="V1818" t="s">
        <v>5717</v>
      </c>
      <c r="W1818" t="s">
        <v>3431</v>
      </c>
      <c r="X1818" t="s">
        <v>19770</v>
      </c>
      <c r="Z1818" t="s">
        <v>19578</v>
      </c>
      <c r="AA1818">
        <v>4.8099999999999996</v>
      </c>
      <c r="AD1818" t="s">
        <v>7193</v>
      </c>
      <c r="AE1818" t="s">
        <v>19771</v>
      </c>
      <c r="AF1818" t="s">
        <v>13781</v>
      </c>
      <c r="AG1818" t="s">
        <v>7294</v>
      </c>
      <c r="AH1818" t="s">
        <v>7960</v>
      </c>
      <c r="AI1818" t="s">
        <v>2877</v>
      </c>
      <c r="AJ1818" t="s">
        <v>3890</v>
      </c>
      <c r="AK1818" t="s">
        <v>9781</v>
      </c>
      <c r="AL1818">
        <v>0.95</v>
      </c>
      <c r="AM1818">
        <v>0.95</v>
      </c>
      <c r="AN1818">
        <v>0.3</v>
      </c>
      <c r="AO1818" t="s">
        <v>19315</v>
      </c>
      <c r="AP1818" t="s">
        <v>12003</v>
      </c>
      <c r="AQ1818" t="s">
        <v>10294</v>
      </c>
      <c r="AR1818" t="s">
        <v>3671</v>
      </c>
      <c r="AS1818" t="s">
        <v>7322</v>
      </c>
      <c r="AT1818" t="s">
        <v>4271</v>
      </c>
      <c r="AU1818" t="s">
        <v>5658</v>
      </c>
      <c r="AV1818" t="s">
        <v>116</v>
      </c>
      <c r="AW1818" t="s">
        <v>15172</v>
      </c>
      <c r="AX1818" t="s">
        <v>14932</v>
      </c>
      <c r="AY1818" t="s">
        <v>4053</v>
      </c>
      <c r="AZ1818" t="s">
        <v>19772</v>
      </c>
      <c r="BA1818">
        <v>1</v>
      </c>
      <c r="BB1818">
        <v>572.12</v>
      </c>
      <c r="BC1818">
        <v>0.32</v>
      </c>
      <c r="BD1818">
        <v>47.4</v>
      </c>
      <c r="BE1818">
        <v>47.47</v>
      </c>
      <c r="BF1818">
        <v>47.22</v>
      </c>
      <c r="BG1818" t="s">
        <v>19773</v>
      </c>
      <c r="BH1818" t="s">
        <v>2105</v>
      </c>
      <c r="BI1818" t="s">
        <v>19774</v>
      </c>
      <c r="BJ1818" t="s">
        <v>101</v>
      </c>
      <c r="BK1818" t="s">
        <v>5712</v>
      </c>
      <c r="BL1818" t="s">
        <v>18842</v>
      </c>
      <c r="BM1818" t="s">
        <v>4316</v>
      </c>
      <c r="BN1818" t="s">
        <v>14623</v>
      </c>
    </row>
    <row r="1819" spans="1:66" x14ac:dyDescent="0.25">
      <c r="A1819" t="str">
        <f>HYPERLINK("https://elite.finviz.com/quote.ashx?t=STEM&amp;ty=c&amp;p=d&amp;b=1", "STEM")</f>
        <v>STEM</v>
      </c>
      <c r="B1819">
        <v>6</v>
      </c>
      <c r="C1819">
        <v>127.03</v>
      </c>
      <c r="D1819">
        <v>57.21</v>
      </c>
      <c r="E1819" t="s">
        <v>19775</v>
      </c>
      <c r="F1819" t="s">
        <v>107</v>
      </c>
      <c r="G1819" t="s">
        <v>287</v>
      </c>
      <c r="H1819" t="s">
        <v>288</v>
      </c>
      <c r="I1819" t="s">
        <v>70</v>
      </c>
      <c r="J1819" t="s">
        <v>71</v>
      </c>
      <c r="K1819">
        <v>155.16999999999999</v>
      </c>
      <c r="L1819">
        <v>18.5</v>
      </c>
      <c r="M1819" t="s">
        <v>5742</v>
      </c>
      <c r="N1819">
        <v>109190</v>
      </c>
      <c r="R1819">
        <v>0.99</v>
      </c>
      <c r="AA1819">
        <v>-29.36</v>
      </c>
      <c r="AB1819" t="s">
        <v>19776</v>
      </c>
      <c r="AC1819" t="s">
        <v>19777</v>
      </c>
      <c r="AD1819" t="s">
        <v>13613</v>
      </c>
      <c r="AE1819" t="s">
        <v>8298</v>
      </c>
      <c r="AF1819" t="s">
        <v>3443</v>
      </c>
      <c r="AH1819" t="s">
        <v>2337</v>
      </c>
      <c r="AI1819" t="s">
        <v>13427</v>
      </c>
      <c r="AJ1819" t="s">
        <v>13090</v>
      </c>
      <c r="AK1819" t="s">
        <v>1811</v>
      </c>
      <c r="AL1819">
        <v>0.89</v>
      </c>
      <c r="AM1819">
        <v>0.84</v>
      </c>
      <c r="AO1819" t="s">
        <v>9556</v>
      </c>
      <c r="AP1819" t="s">
        <v>19778</v>
      </c>
      <c r="AQ1819" t="s">
        <v>19779</v>
      </c>
      <c r="AR1819" t="s">
        <v>11151</v>
      </c>
      <c r="AS1819" t="s">
        <v>10714</v>
      </c>
      <c r="AT1819" t="s">
        <v>3560</v>
      </c>
      <c r="AU1819" t="s">
        <v>7381</v>
      </c>
      <c r="AV1819" t="s">
        <v>13569</v>
      </c>
      <c r="AW1819" t="s">
        <v>5637</v>
      </c>
      <c r="AX1819" t="s">
        <v>19780</v>
      </c>
      <c r="AY1819" t="s">
        <v>17942</v>
      </c>
      <c r="AZ1819" t="s">
        <v>19781</v>
      </c>
      <c r="BA1819">
        <v>3</v>
      </c>
      <c r="BB1819">
        <v>543.46</v>
      </c>
      <c r="BC1819">
        <v>0.71</v>
      </c>
      <c r="BD1819">
        <v>19.41</v>
      </c>
      <c r="BE1819">
        <v>19.5</v>
      </c>
      <c r="BF1819">
        <v>18.22</v>
      </c>
      <c r="BG1819" t="s">
        <v>19782</v>
      </c>
      <c r="BH1819" t="s">
        <v>17168</v>
      </c>
      <c r="BI1819" t="s">
        <v>19781</v>
      </c>
      <c r="BJ1819" t="s">
        <v>101</v>
      </c>
      <c r="BK1819" t="s">
        <v>19783</v>
      </c>
      <c r="BL1819" t="s">
        <v>1588</v>
      </c>
      <c r="BM1819" t="s">
        <v>19784</v>
      </c>
      <c r="BN1819" t="s">
        <v>14623</v>
      </c>
    </row>
    <row r="1820" spans="1:66" x14ac:dyDescent="0.25">
      <c r="A1820" t="str">
        <f>HYPERLINK("https://elite.finviz.com/quote.ashx?t=MEDP&amp;ty=c&amp;p=d&amp;b=1", "MEDP")</f>
        <v>MEDP</v>
      </c>
      <c r="B1820">
        <v>6</v>
      </c>
      <c r="C1820">
        <v>127.03</v>
      </c>
      <c r="D1820">
        <v>57.22</v>
      </c>
      <c r="E1820" t="s">
        <v>19785</v>
      </c>
      <c r="F1820" t="s">
        <v>107</v>
      </c>
      <c r="G1820" t="s">
        <v>428</v>
      </c>
      <c r="H1820" t="s">
        <v>4202</v>
      </c>
      <c r="I1820" t="s">
        <v>70</v>
      </c>
      <c r="J1820" t="s">
        <v>321</v>
      </c>
      <c r="K1820">
        <v>13786.09</v>
      </c>
      <c r="L1820">
        <v>490.73</v>
      </c>
      <c r="M1820" t="s">
        <v>2216</v>
      </c>
      <c r="N1820">
        <v>34119</v>
      </c>
      <c r="O1820">
        <v>36.49</v>
      </c>
      <c r="P1820">
        <v>31.37</v>
      </c>
      <c r="Q1820">
        <v>3.53</v>
      </c>
      <c r="R1820">
        <v>6.18</v>
      </c>
      <c r="S1820">
        <v>79.78</v>
      </c>
      <c r="Z1820" t="s">
        <v>164</v>
      </c>
      <c r="AA1820">
        <v>13.45</v>
      </c>
      <c r="AB1820" t="s">
        <v>5805</v>
      </c>
      <c r="AC1820" t="s">
        <v>6794</v>
      </c>
      <c r="AD1820" t="s">
        <v>10247</v>
      </c>
      <c r="AE1820" t="s">
        <v>12974</v>
      </c>
      <c r="AF1820" t="s">
        <v>18114</v>
      </c>
      <c r="AG1820" t="s">
        <v>14442</v>
      </c>
      <c r="AH1820" t="s">
        <v>8437</v>
      </c>
      <c r="AI1820" t="s">
        <v>4125</v>
      </c>
      <c r="AJ1820" t="s">
        <v>4408</v>
      </c>
      <c r="AK1820" t="s">
        <v>14158</v>
      </c>
      <c r="AL1820">
        <v>0.43</v>
      </c>
      <c r="AM1820">
        <v>0.43</v>
      </c>
      <c r="AN1820">
        <v>0.87</v>
      </c>
      <c r="AO1820" t="s">
        <v>5348</v>
      </c>
      <c r="AP1820" t="s">
        <v>13872</v>
      </c>
      <c r="AQ1820" t="s">
        <v>9483</v>
      </c>
      <c r="AR1820" t="s">
        <v>4891</v>
      </c>
      <c r="AS1820" t="s">
        <v>3208</v>
      </c>
      <c r="AT1820" t="s">
        <v>2560</v>
      </c>
      <c r="AU1820" t="s">
        <v>713</v>
      </c>
      <c r="AV1820" t="s">
        <v>11201</v>
      </c>
      <c r="AW1820" t="s">
        <v>13365</v>
      </c>
      <c r="AX1820" t="s">
        <v>8778</v>
      </c>
      <c r="AY1820" t="s">
        <v>13365</v>
      </c>
      <c r="AZ1820" t="s">
        <v>11350</v>
      </c>
      <c r="BA1820">
        <v>3.36</v>
      </c>
      <c r="BB1820">
        <v>467.28</v>
      </c>
      <c r="BC1820">
        <v>0.26</v>
      </c>
      <c r="BD1820">
        <v>487.95</v>
      </c>
      <c r="BE1820">
        <v>492.43</v>
      </c>
      <c r="BF1820">
        <v>486.86</v>
      </c>
      <c r="BG1820" t="s">
        <v>19786</v>
      </c>
      <c r="BH1820" t="s">
        <v>13365</v>
      </c>
      <c r="BI1820" t="s">
        <v>19787</v>
      </c>
      <c r="BJ1820" t="s">
        <v>101</v>
      </c>
      <c r="BK1820" t="s">
        <v>19788</v>
      </c>
      <c r="BL1820" t="s">
        <v>19789</v>
      </c>
      <c r="BM1820" t="s">
        <v>5550</v>
      </c>
      <c r="BN1820" t="s">
        <v>14623</v>
      </c>
    </row>
    <row r="1821" spans="1:66" x14ac:dyDescent="0.25">
      <c r="A1821" t="str">
        <f>HYPERLINK("https://elite.finviz.com/quote.ashx?t=CFSB&amp;ty=c&amp;p=d&amp;b=1", "CFSB")</f>
        <v>CFSB</v>
      </c>
      <c r="B1821">
        <v>6</v>
      </c>
      <c r="C1821">
        <v>127.03</v>
      </c>
      <c r="D1821">
        <v>57.22</v>
      </c>
      <c r="E1821" t="s">
        <v>19790</v>
      </c>
      <c r="F1821" t="s">
        <v>107</v>
      </c>
      <c r="G1821" t="s">
        <v>550</v>
      </c>
      <c r="H1821" t="s">
        <v>697</v>
      </c>
      <c r="I1821" t="s">
        <v>70</v>
      </c>
      <c r="J1821" t="s">
        <v>321</v>
      </c>
      <c r="K1821">
        <v>92.86</v>
      </c>
      <c r="L1821">
        <v>14.18</v>
      </c>
      <c r="M1821" t="s">
        <v>497</v>
      </c>
      <c r="N1821">
        <v>695</v>
      </c>
      <c r="R1821">
        <v>6.74</v>
      </c>
      <c r="S1821">
        <v>1.17</v>
      </c>
      <c r="Z1821" t="s">
        <v>164</v>
      </c>
      <c r="AA1821">
        <v>-0.04</v>
      </c>
      <c r="AE1821" t="s">
        <v>2595</v>
      </c>
      <c r="AF1821" t="s">
        <v>7976</v>
      </c>
      <c r="AG1821" t="s">
        <v>371</v>
      </c>
      <c r="AH1821" t="s">
        <v>234</v>
      </c>
      <c r="AJ1821" t="s">
        <v>164</v>
      </c>
      <c r="AK1821" t="s">
        <v>5685</v>
      </c>
      <c r="AL1821">
        <v>0.12</v>
      </c>
      <c r="AN1821">
        <v>0.15</v>
      </c>
      <c r="AP1821" t="s">
        <v>4155</v>
      </c>
      <c r="AQ1821" t="s">
        <v>1866</v>
      </c>
      <c r="AR1821" t="s">
        <v>1764</v>
      </c>
      <c r="AS1821" t="s">
        <v>4623</v>
      </c>
      <c r="AT1821" t="s">
        <v>4623</v>
      </c>
      <c r="AU1821" t="s">
        <v>192</v>
      </c>
      <c r="AV1821" t="s">
        <v>17899</v>
      </c>
      <c r="AW1821" t="s">
        <v>15000</v>
      </c>
      <c r="AX1821" t="s">
        <v>7088</v>
      </c>
      <c r="AY1821" t="s">
        <v>15000</v>
      </c>
      <c r="AZ1821" t="s">
        <v>19791</v>
      </c>
      <c r="BB1821">
        <v>3.85</v>
      </c>
      <c r="BC1821">
        <v>0.64</v>
      </c>
      <c r="BD1821">
        <v>14.15</v>
      </c>
      <c r="BE1821">
        <v>14.11</v>
      </c>
      <c r="BF1821">
        <v>14.11</v>
      </c>
      <c r="BG1821" t="s">
        <v>19792</v>
      </c>
      <c r="BH1821" t="s">
        <v>15000</v>
      </c>
      <c r="BI1821" t="s">
        <v>19793</v>
      </c>
      <c r="BJ1821" t="s">
        <v>101</v>
      </c>
      <c r="BK1821" t="s">
        <v>2384</v>
      </c>
      <c r="BL1821" t="s">
        <v>9062</v>
      </c>
      <c r="BM1821" t="s">
        <v>19794</v>
      </c>
      <c r="BN1821" t="s">
        <v>14623</v>
      </c>
    </row>
    <row r="1822" spans="1:66" x14ac:dyDescent="0.25">
      <c r="A1822" t="str">
        <f>HYPERLINK("https://elite.finviz.com/quote.ashx?t=OESX&amp;ty=c&amp;p=d&amp;b=1", "OESX")</f>
        <v>OESX</v>
      </c>
      <c r="B1822">
        <v>6</v>
      </c>
      <c r="C1822">
        <v>127.03</v>
      </c>
      <c r="D1822">
        <v>57.23</v>
      </c>
      <c r="E1822" t="s">
        <v>19795</v>
      </c>
      <c r="F1822" t="s">
        <v>107</v>
      </c>
      <c r="G1822" t="s">
        <v>260</v>
      </c>
      <c r="H1822" t="s">
        <v>1128</v>
      </c>
      <c r="I1822" t="s">
        <v>70</v>
      </c>
      <c r="J1822" t="s">
        <v>321</v>
      </c>
      <c r="K1822">
        <v>30.28</v>
      </c>
      <c r="L1822">
        <v>8.6</v>
      </c>
      <c r="M1822" t="s">
        <v>6533</v>
      </c>
      <c r="N1822">
        <v>139</v>
      </c>
      <c r="R1822">
        <v>0.38</v>
      </c>
      <c r="S1822">
        <v>2.67</v>
      </c>
      <c r="AA1822">
        <v>-2.82</v>
      </c>
      <c r="AE1822" t="s">
        <v>19304</v>
      </c>
      <c r="AF1822" t="s">
        <v>13455</v>
      </c>
      <c r="AG1822" t="s">
        <v>15423</v>
      </c>
      <c r="AH1822" t="s">
        <v>7039</v>
      </c>
      <c r="AI1822" t="s">
        <v>5184</v>
      </c>
      <c r="AJ1822" t="s">
        <v>164</v>
      </c>
      <c r="AK1822" t="s">
        <v>3703</v>
      </c>
      <c r="AL1822">
        <v>1.23</v>
      </c>
      <c r="AM1822">
        <v>0.84</v>
      </c>
      <c r="AN1822">
        <v>1.1000000000000001</v>
      </c>
      <c r="AO1822" t="s">
        <v>17729</v>
      </c>
      <c r="AP1822" t="s">
        <v>12166</v>
      </c>
      <c r="AQ1822" t="s">
        <v>508</v>
      </c>
      <c r="AR1822" t="s">
        <v>417</v>
      </c>
      <c r="AS1822" t="s">
        <v>3181</v>
      </c>
      <c r="AT1822" t="s">
        <v>1438</v>
      </c>
      <c r="AU1822" t="s">
        <v>3735</v>
      </c>
      <c r="AV1822" t="s">
        <v>4807</v>
      </c>
      <c r="AW1822" t="s">
        <v>3109</v>
      </c>
      <c r="AX1822" t="s">
        <v>6213</v>
      </c>
      <c r="AY1822" t="s">
        <v>576</v>
      </c>
      <c r="AZ1822" t="s">
        <v>5486</v>
      </c>
      <c r="BA1822">
        <v>1</v>
      </c>
      <c r="BB1822">
        <v>18.89</v>
      </c>
      <c r="BC1822">
        <v>0.03</v>
      </c>
      <c r="BD1822">
        <v>8.76</v>
      </c>
      <c r="BE1822">
        <v>8.3699999999999992</v>
      </c>
      <c r="BF1822">
        <v>8.3699999999999992</v>
      </c>
      <c r="BG1822" t="s">
        <v>19796</v>
      </c>
      <c r="BH1822" t="s">
        <v>19797</v>
      </c>
      <c r="BI1822" t="s">
        <v>905</v>
      </c>
      <c r="BJ1822" t="s">
        <v>101</v>
      </c>
      <c r="BK1822" t="s">
        <v>13046</v>
      </c>
      <c r="BL1822" t="s">
        <v>15351</v>
      </c>
      <c r="BM1822" t="s">
        <v>3113</v>
      </c>
      <c r="BN1822" t="s">
        <v>14623</v>
      </c>
    </row>
    <row r="1823" spans="1:66" x14ac:dyDescent="0.25">
      <c r="A1823" t="str">
        <f>HYPERLINK("https://elite.finviz.com/quote.ashx?t=TASK&amp;ty=c&amp;p=d&amp;b=1", "TASK")</f>
        <v>TASK</v>
      </c>
      <c r="B1823">
        <v>6</v>
      </c>
      <c r="C1823">
        <v>127.03</v>
      </c>
      <c r="D1823">
        <v>57.24</v>
      </c>
      <c r="E1823" t="s">
        <v>19798</v>
      </c>
      <c r="F1823" t="s">
        <v>107</v>
      </c>
      <c r="G1823" t="s">
        <v>108</v>
      </c>
      <c r="H1823" t="s">
        <v>1322</v>
      </c>
      <c r="I1823" t="s">
        <v>70</v>
      </c>
      <c r="J1823" t="s">
        <v>321</v>
      </c>
      <c r="K1823">
        <v>1600.61</v>
      </c>
      <c r="L1823">
        <v>17.809999999999999</v>
      </c>
      <c r="M1823" t="s">
        <v>6156</v>
      </c>
      <c r="N1823">
        <v>20062</v>
      </c>
      <c r="O1823">
        <v>26.4</v>
      </c>
      <c r="P1823">
        <v>10.3</v>
      </c>
      <c r="Q1823">
        <v>1.55</v>
      </c>
      <c r="R1823">
        <v>1.45</v>
      </c>
      <c r="S1823">
        <v>2.94</v>
      </c>
      <c r="Z1823" t="s">
        <v>164</v>
      </c>
      <c r="AA1823">
        <v>0.67</v>
      </c>
      <c r="AC1823" t="s">
        <v>4850</v>
      </c>
      <c r="AD1823" t="s">
        <v>10763</v>
      </c>
      <c r="AE1823" t="s">
        <v>6393</v>
      </c>
      <c r="AF1823" t="s">
        <v>827</v>
      </c>
      <c r="AG1823" t="s">
        <v>2397</v>
      </c>
      <c r="AH1823" t="s">
        <v>1508</v>
      </c>
      <c r="AI1823" t="s">
        <v>9144</v>
      </c>
      <c r="AJ1823" t="s">
        <v>3598</v>
      </c>
      <c r="AK1823" t="s">
        <v>3374</v>
      </c>
      <c r="AL1823">
        <v>2.84</v>
      </c>
      <c r="AM1823">
        <v>2.84</v>
      </c>
      <c r="AN1823">
        <v>0.56999999999999995</v>
      </c>
      <c r="AO1823" t="s">
        <v>4793</v>
      </c>
      <c r="AP1823" t="s">
        <v>6876</v>
      </c>
      <c r="AQ1823" t="s">
        <v>1772</v>
      </c>
      <c r="AR1823" t="s">
        <v>3349</v>
      </c>
      <c r="AS1823" t="s">
        <v>3349</v>
      </c>
      <c r="AT1823" t="s">
        <v>6463</v>
      </c>
      <c r="AU1823" t="s">
        <v>1776</v>
      </c>
      <c r="AV1823" t="s">
        <v>7898</v>
      </c>
      <c r="AW1823" t="s">
        <v>6058</v>
      </c>
      <c r="AX1823" t="s">
        <v>5620</v>
      </c>
      <c r="AY1823" t="s">
        <v>2364</v>
      </c>
      <c r="AZ1823" t="s">
        <v>19799</v>
      </c>
      <c r="BA1823">
        <v>3</v>
      </c>
      <c r="BB1823">
        <v>325.44</v>
      </c>
      <c r="BC1823">
        <v>0.22</v>
      </c>
      <c r="BD1823">
        <v>17.78</v>
      </c>
      <c r="BE1823">
        <v>17.84</v>
      </c>
      <c r="BF1823">
        <v>17.75</v>
      </c>
      <c r="BG1823" t="s">
        <v>19800</v>
      </c>
      <c r="BH1823" t="s">
        <v>3083</v>
      </c>
      <c r="BI1823" t="s">
        <v>19801</v>
      </c>
      <c r="BJ1823" t="s">
        <v>101</v>
      </c>
      <c r="BK1823" t="s">
        <v>3506</v>
      </c>
      <c r="BL1823" t="s">
        <v>9007</v>
      </c>
      <c r="BM1823" t="s">
        <v>19802</v>
      </c>
      <c r="BN1823" t="s">
        <v>14623</v>
      </c>
    </row>
    <row r="1824" spans="1:66" x14ac:dyDescent="0.25">
      <c r="A1824" t="str">
        <f>HYPERLINK("https://elite.finviz.com/quote.ashx?t=WALD&amp;ty=c&amp;p=d&amp;b=1", "WALD")</f>
        <v>WALD</v>
      </c>
      <c r="B1824">
        <v>6</v>
      </c>
      <c r="C1824">
        <v>127.03</v>
      </c>
      <c r="D1824">
        <v>57.26</v>
      </c>
      <c r="E1824" t="s">
        <v>19803</v>
      </c>
      <c r="F1824" t="s">
        <v>67</v>
      </c>
      <c r="G1824" t="s">
        <v>2244</v>
      </c>
      <c r="H1824" t="s">
        <v>5311</v>
      </c>
      <c r="I1824" t="s">
        <v>70</v>
      </c>
      <c r="J1824" t="s">
        <v>321</v>
      </c>
      <c r="K1824">
        <v>245.44</v>
      </c>
      <c r="L1824">
        <v>2</v>
      </c>
      <c r="M1824" t="s">
        <v>5777</v>
      </c>
      <c r="N1824">
        <v>11629</v>
      </c>
      <c r="R1824">
        <v>0.9</v>
      </c>
      <c r="S1824">
        <v>0.34</v>
      </c>
      <c r="AA1824">
        <v>-0.38</v>
      </c>
      <c r="AB1824" t="s">
        <v>19804</v>
      </c>
      <c r="AC1824" t="s">
        <v>19805</v>
      </c>
      <c r="AE1824" t="s">
        <v>5926</v>
      </c>
      <c r="AF1824" t="s">
        <v>9999</v>
      </c>
      <c r="AH1824" t="s">
        <v>19806</v>
      </c>
      <c r="AI1824" t="s">
        <v>164</v>
      </c>
      <c r="AJ1824" t="s">
        <v>164</v>
      </c>
      <c r="AK1824" t="s">
        <v>11495</v>
      </c>
      <c r="AL1824">
        <v>1.35</v>
      </c>
      <c r="AM1824">
        <v>0.66</v>
      </c>
      <c r="AN1824">
        <v>0.27</v>
      </c>
      <c r="AO1824" t="s">
        <v>12226</v>
      </c>
      <c r="AP1824" t="s">
        <v>19432</v>
      </c>
      <c r="AQ1824" t="s">
        <v>14610</v>
      </c>
      <c r="AR1824" t="s">
        <v>3601</v>
      </c>
      <c r="AS1824" t="s">
        <v>2406</v>
      </c>
      <c r="AT1824" t="s">
        <v>2849</v>
      </c>
      <c r="AU1824" t="s">
        <v>234</v>
      </c>
      <c r="AV1824" t="s">
        <v>12215</v>
      </c>
      <c r="AW1824" t="s">
        <v>19271</v>
      </c>
      <c r="AX1824" t="s">
        <v>5572</v>
      </c>
      <c r="AY1824" t="s">
        <v>19807</v>
      </c>
      <c r="AZ1824" t="s">
        <v>5572</v>
      </c>
      <c r="BA1824">
        <v>1.67</v>
      </c>
      <c r="BB1824">
        <v>277.11</v>
      </c>
      <c r="BC1824">
        <v>0.15</v>
      </c>
      <c r="BD1824">
        <v>2.0099999999999998</v>
      </c>
      <c r="BE1824">
        <v>2.0099999999999998</v>
      </c>
      <c r="BF1824">
        <v>1.98</v>
      </c>
      <c r="BG1824" t="s">
        <v>19808</v>
      </c>
      <c r="BH1824" t="s">
        <v>19809</v>
      </c>
      <c r="BI1824" t="s">
        <v>5572</v>
      </c>
      <c r="BJ1824" t="s">
        <v>101</v>
      </c>
      <c r="BK1824" t="s">
        <v>19508</v>
      </c>
      <c r="BL1824" t="s">
        <v>7012</v>
      </c>
      <c r="BM1824" t="s">
        <v>17486</v>
      </c>
      <c r="BN1824" t="s">
        <v>14623</v>
      </c>
    </row>
    <row r="1825" spans="1:66" x14ac:dyDescent="0.25">
      <c r="A1825" t="str">
        <f>HYPERLINK("https://elite.finviz.com/quote.ashx?t=KROS&amp;ty=c&amp;p=d&amp;b=1", "KROS")</f>
        <v>KROS</v>
      </c>
      <c r="B1825">
        <v>6</v>
      </c>
      <c r="C1825">
        <v>127.03</v>
      </c>
      <c r="D1825">
        <v>57.27</v>
      </c>
      <c r="E1825" t="s">
        <v>19810</v>
      </c>
      <c r="F1825" t="s">
        <v>67</v>
      </c>
      <c r="G1825" t="s">
        <v>428</v>
      </c>
      <c r="H1825" t="s">
        <v>429</v>
      </c>
      <c r="I1825" t="s">
        <v>70</v>
      </c>
      <c r="J1825" t="s">
        <v>321</v>
      </c>
      <c r="K1825">
        <v>643.95000000000005</v>
      </c>
      <c r="L1825">
        <v>15.85</v>
      </c>
      <c r="M1825" t="s">
        <v>141</v>
      </c>
      <c r="N1825">
        <v>30444</v>
      </c>
      <c r="O1825">
        <v>50.61</v>
      </c>
      <c r="Q1825">
        <v>32.65</v>
      </c>
      <c r="R1825">
        <v>2.77</v>
      </c>
      <c r="S1825">
        <v>0.91</v>
      </c>
      <c r="AA1825">
        <v>0.31</v>
      </c>
      <c r="AB1825" t="s">
        <v>19811</v>
      </c>
      <c r="AC1825" t="s">
        <v>19812</v>
      </c>
      <c r="AD1825" t="s">
        <v>9136</v>
      </c>
      <c r="AE1825" t="s">
        <v>19813</v>
      </c>
      <c r="AF1825" t="s">
        <v>19814</v>
      </c>
      <c r="AG1825" t="s">
        <v>19815</v>
      </c>
      <c r="AH1825" t="s">
        <v>19816</v>
      </c>
      <c r="AI1825" t="s">
        <v>12428</v>
      </c>
      <c r="AJ1825" t="s">
        <v>802</v>
      </c>
      <c r="AK1825" t="s">
        <v>11995</v>
      </c>
      <c r="AL1825">
        <v>21.11</v>
      </c>
      <c r="AM1825">
        <v>21.11</v>
      </c>
      <c r="AN1825">
        <v>0.03</v>
      </c>
      <c r="AO1825" t="s">
        <v>16686</v>
      </c>
      <c r="AP1825" t="s">
        <v>4494</v>
      </c>
      <c r="AQ1825" t="s">
        <v>9478</v>
      </c>
      <c r="AR1825" t="s">
        <v>3173</v>
      </c>
      <c r="AS1825" t="s">
        <v>6118</v>
      </c>
      <c r="AT1825" t="s">
        <v>1837</v>
      </c>
      <c r="AU1825" t="s">
        <v>3053</v>
      </c>
      <c r="AV1825" t="s">
        <v>10247</v>
      </c>
      <c r="AW1825" t="s">
        <v>5895</v>
      </c>
      <c r="AX1825" t="s">
        <v>12784</v>
      </c>
      <c r="AY1825" t="s">
        <v>9616</v>
      </c>
      <c r="AZ1825" t="s">
        <v>6889</v>
      </c>
      <c r="BA1825">
        <v>1.8</v>
      </c>
      <c r="BB1825">
        <v>439.16</v>
      </c>
      <c r="BC1825">
        <v>0.24</v>
      </c>
      <c r="BD1825">
        <v>15.8</v>
      </c>
      <c r="BE1825">
        <v>15.97</v>
      </c>
      <c r="BF1825">
        <v>15.8</v>
      </c>
      <c r="BG1825" t="s">
        <v>19817</v>
      </c>
      <c r="BH1825" t="s">
        <v>19818</v>
      </c>
      <c r="BI1825" t="s">
        <v>6889</v>
      </c>
      <c r="BJ1825" t="s">
        <v>101</v>
      </c>
      <c r="BK1825" t="s">
        <v>2601</v>
      </c>
      <c r="BL1825" t="s">
        <v>5508</v>
      </c>
      <c r="BM1825" t="s">
        <v>19819</v>
      </c>
      <c r="BN1825" t="s">
        <v>14623</v>
      </c>
    </row>
    <row r="1826" spans="1:66" x14ac:dyDescent="0.25">
      <c r="A1826" t="str">
        <f>HYPERLINK("https://elite.finviz.com/quote.ashx?t=DGII&amp;ty=c&amp;p=d&amp;b=1", "DGII")</f>
        <v>DGII</v>
      </c>
      <c r="B1826">
        <v>6</v>
      </c>
      <c r="C1826">
        <v>127.03</v>
      </c>
      <c r="D1826">
        <v>57.3</v>
      </c>
      <c r="E1826" t="s">
        <v>19820</v>
      </c>
      <c r="F1826" t="s">
        <v>67</v>
      </c>
      <c r="G1826" t="s">
        <v>108</v>
      </c>
      <c r="H1826" t="s">
        <v>1921</v>
      </c>
      <c r="I1826" t="s">
        <v>70</v>
      </c>
      <c r="J1826" t="s">
        <v>321</v>
      </c>
      <c r="K1826">
        <v>1362.01</v>
      </c>
      <c r="L1826">
        <v>36.69</v>
      </c>
      <c r="M1826" t="s">
        <v>2331</v>
      </c>
      <c r="N1826">
        <v>25437</v>
      </c>
      <c r="O1826">
        <v>32.18</v>
      </c>
      <c r="P1826">
        <v>16.7</v>
      </c>
      <c r="Q1826">
        <v>4.53</v>
      </c>
      <c r="R1826">
        <v>3.24</v>
      </c>
      <c r="S1826">
        <v>2.19</v>
      </c>
      <c r="Z1826" t="s">
        <v>164</v>
      </c>
      <c r="AA1826">
        <v>1.1399999999999999</v>
      </c>
      <c r="AB1826" t="s">
        <v>17283</v>
      </c>
      <c r="AC1826" t="s">
        <v>3327</v>
      </c>
      <c r="AD1826" t="s">
        <v>2697</v>
      </c>
      <c r="AE1826" t="s">
        <v>8937</v>
      </c>
      <c r="AF1826" t="s">
        <v>5459</v>
      </c>
      <c r="AG1826" t="s">
        <v>2824</v>
      </c>
      <c r="AH1826" t="s">
        <v>2876</v>
      </c>
      <c r="AI1826" t="s">
        <v>1282</v>
      </c>
      <c r="AJ1826" t="s">
        <v>164</v>
      </c>
      <c r="AK1826" t="s">
        <v>19821</v>
      </c>
      <c r="AL1826">
        <v>1.43</v>
      </c>
      <c r="AM1826">
        <v>1.03</v>
      </c>
      <c r="AN1826">
        <v>0.08</v>
      </c>
      <c r="AO1826" t="s">
        <v>3650</v>
      </c>
      <c r="AP1826" t="s">
        <v>7575</v>
      </c>
      <c r="AQ1826" t="s">
        <v>4852</v>
      </c>
      <c r="AR1826" t="s">
        <v>4839</v>
      </c>
      <c r="AS1826" t="s">
        <v>2735</v>
      </c>
      <c r="AT1826" t="s">
        <v>715</v>
      </c>
      <c r="AU1826" t="s">
        <v>5114</v>
      </c>
      <c r="AV1826" t="s">
        <v>18834</v>
      </c>
      <c r="AW1826" t="s">
        <v>3577</v>
      </c>
      <c r="AX1826" t="s">
        <v>18550</v>
      </c>
      <c r="AY1826" t="s">
        <v>3577</v>
      </c>
      <c r="AZ1826" t="s">
        <v>19822</v>
      </c>
      <c r="BA1826">
        <v>1.8</v>
      </c>
      <c r="BB1826">
        <v>192.23</v>
      </c>
      <c r="BC1826">
        <v>0.47</v>
      </c>
      <c r="BD1826">
        <v>36.94</v>
      </c>
      <c r="BE1826">
        <v>37.229999999999997</v>
      </c>
      <c r="BF1826">
        <v>36.5</v>
      </c>
      <c r="BG1826" t="s">
        <v>19823</v>
      </c>
      <c r="BH1826" t="s">
        <v>19824</v>
      </c>
      <c r="BI1826" t="s">
        <v>19825</v>
      </c>
      <c r="BJ1826" t="s">
        <v>101</v>
      </c>
      <c r="BK1826" t="s">
        <v>322</v>
      </c>
      <c r="BL1826" t="s">
        <v>10360</v>
      </c>
      <c r="BM1826" t="s">
        <v>3684</v>
      </c>
      <c r="BN1826" t="s">
        <v>14623</v>
      </c>
    </row>
    <row r="1827" spans="1:66" x14ac:dyDescent="0.25">
      <c r="A1827" t="str">
        <f>HYPERLINK("https://elite.finviz.com/quote.ashx?t=GL&amp;ty=c&amp;p=d&amp;b=1", "GL")</f>
        <v>GL</v>
      </c>
      <c r="B1827">
        <v>6</v>
      </c>
      <c r="C1827">
        <v>127.03</v>
      </c>
      <c r="D1827">
        <v>57.32</v>
      </c>
      <c r="E1827" t="s">
        <v>19826</v>
      </c>
      <c r="F1827" t="s">
        <v>195</v>
      </c>
      <c r="G1827" t="s">
        <v>550</v>
      </c>
      <c r="H1827" t="s">
        <v>5652</v>
      </c>
      <c r="I1827" t="s">
        <v>70</v>
      </c>
      <c r="J1827" t="s">
        <v>71</v>
      </c>
      <c r="K1827">
        <v>11636.16</v>
      </c>
      <c r="L1827">
        <v>143.65</v>
      </c>
      <c r="M1827" t="s">
        <v>7464</v>
      </c>
      <c r="N1827">
        <v>63228</v>
      </c>
      <c r="O1827">
        <v>11.48</v>
      </c>
      <c r="P1827">
        <v>9.56</v>
      </c>
      <c r="Q1827">
        <v>1.1499999999999999</v>
      </c>
      <c r="R1827">
        <v>1.98</v>
      </c>
      <c r="S1827">
        <v>2.15</v>
      </c>
      <c r="T1827" t="s">
        <v>6572</v>
      </c>
      <c r="U1827">
        <v>1.02</v>
      </c>
      <c r="V1827" t="s">
        <v>4105</v>
      </c>
      <c r="W1827" t="s">
        <v>4760</v>
      </c>
      <c r="X1827" t="s">
        <v>3372</v>
      </c>
      <c r="Y1827" t="s">
        <v>7150</v>
      </c>
      <c r="Z1827" t="s">
        <v>707</v>
      </c>
      <c r="AA1827">
        <v>12.52</v>
      </c>
      <c r="AB1827" t="s">
        <v>9460</v>
      </c>
      <c r="AC1827" t="s">
        <v>662</v>
      </c>
      <c r="AD1827" t="s">
        <v>3962</v>
      </c>
      <c r="AE1827" t="s">
        <v>289</v>
      </c>
      <c r="AF1827" t="s">
        <v>4690</v>
      </c>
      <c r="AG1827" t="s">
        <v>3450</v>
      </c>
      <c r="AH1827" t="s">
        <v>205</v>
      </c>
      <c r="AI1827" t="s">
        <v>1763</v>
      </c>
      <c r="AJ1827" t="s">
        <v>16413</v>
      </c>
      <c r="AK1827" t="s">
        <v>19064</v>
      </c>
      <c r="AL1827">
        <v>0.78</v>
      </c>
      <c r="AN1827">
        <v>0.51</v>
      </c>
      <c r="AP1827" t="s">
        <v>606</v>
      </c>
      <c r="AQ1827" t="s">
        <v>3710</v>
      </c>
      <c r="AR1827" t="s">
        <v>3832</v>
      </c>
      <c r="AS1827" t="s">
        <v>6336</v>
      </c>
      <c r="AT1827" t="s">
        <v>3447</v>
      </c>
      <c r="AU1827" t="s">
        <v>2941</v>
      </c>
      <c r="AV1827" t="s">
        <v>11493</v>
      </c>
      <c r="AW1827" t="s">
        <v>2673</v>
      </c>
      <c r="AX1827" t="s">
        <v>4554</v>
      </c>
      <c r="AY1827" t="s">
        <v>2673</v>
      </c>
      <c r="AZ1827" t="s">
        <v>10553</v>
      </c>
      <c r="BA1827">
        <v>1.67</v>
      </c>
      <c r="BB1827">
        <v>633.95000000000005</v>
      </c>
      <c r="BC1827">
        <v>0.35</v>
      </c>
      <c r="BD1827">
        <v>143.03</v>
      </c>
      <c r="BE1827">
        <v>144.96</v>
      </c>
      <c r="BF1827">
        <v>143.46</v>
      </c>
      <c r="BG1827" t="s">
        <v>19827</v>
      </c>
      <c r="BH1827" t="s">
        <v>2673</v>
      </c>
      <c r="BI1827" t="s">
        <v>19828</v>
      </c>
      <c r="BJ1827" t="s">
        <v>101</v>
      </c>
      <c r="BK1827" t="s">
        <v>11239</v>
      </c>
      <c r="BL1827" t="s">
        <v>11505</v>
      </c>
      <c r="BM1827" t="s">
        <v>5500</v>
      </c>
      <c r="BN1827" t="s">
        <v>14623</v>
      </c>
    </row>
    <row r="1828" spans="1:66" x14ac:dyDescent="0.25">
      <c r="A1828" t="str">
        <f>HYPERLINK("https://elite.finviz.com/quote.ashx?t=ABCB&amp;ty=c&amp;p=d&amp;b=1", "ABCB")</f>
        <v>ABCB</v>
      </c>
      <c r="B1828">
        <v>6</v>
      </c>
      <c r="C1828">
        <v>127.03</v>
      </c>
      <c r="D1828">
        <v>57.33</v>
      </c>
      <c r="E1828" t="s">
        <v>19829</v>
      </c>
      <c r="F1828" t="s">
        <v>67</v>
      </c>
      <c r="G1828" t="s">
        <v>550</v>
      </c>
      <c r="H1828" t="s">
        <v>697</v>
      </c>
      <c r="I1828" t="s">
        <v>70</v>
      </c>
      <c r="J1828" t="s">
        <v>71</v>
      </c>
      <c r="K1828">
        <v>5111.09</v>
      </c>
      <c r="L1828">
        <v>74.52</v>
      </c>
      <c r="M1828" t="s">
        <v>124</v>
      </c>
      <c r="N1828">
        <v>32660</v>
      </c>
      <c r="O1828">
        <v>13.14</v>
      </c>
      <c r="P1828">
        <v>12.37</v>
      </c>
      <c r="R1828">
        <v>3.07</v>
      </c>
      <c r="S1828">
        <v>1.31</v>
      </c>
      <c r="T1828" t="s">
        <v>2644</v>
      </c>
      <c r="U1828">
        <v>0.75</v>
      </c>
      <c r="V1828" t="s">
        <v>198</v>
      </c>
      <c r="W1828" t="s">
        <v>5658</v>
      </c>
      <c r="X1828" t="s">
        <v>648</v>
      </c>
      <c r="Y1828" t="s">
        <v>896</v>
      </c>
      <c r="Z1828" t="s">
        <v>13198</v>
      </c>
      <c r="AA1828">
        <v>5.67</v>
      </c>
      <c r="AB1828" t="s">
        <v>2176</v>
      </c>
      <c r="AC1828" t="s">
        <v>562</v>
      </c>
      <c r="AE1828" t="s">
        <v>2231</v>
      </c>
      <c r="AF1828" t="s">
        <v>4181</v>
      </c>
      <c r="AG1828" t="s">
        <v>5901</v>
      </c>
      <c r="AH1828" t="s">
        <v>8763</v>
      </c>
      <c r="AI1828" t="s">
        <v>12265</v>
      </c>
      <c r="AJ1828" t="s">
        <v>406</v>
      </c>
      <c r="AK1828" t="s">
        <v>7451</v>
      </c>
      <c r="AL1828">
        <v>0.18</v>
      </c>
      <c r="AN1828">
        <v>0.13</v>
      </c>
      <c r="AP1828" t="s">
        <v>5724</v>
      </c>
      <c r="AQ1828" t="s">
        <v>13719</v>
      </c>
      <c r="AR1828" t="s">
        <v>2186</v>
      </c>
      <c r="AS1828" t="s">
        <v>1303</v>
      </c>
      <c r="AT1828" t="s">
        <v>2290</v>
      </c>
      <c r="AU1828" t="s">
        <v>5102</v>
      </c>
      <c r="AV1828" t="s">
        <v>8781</v>
      </c>
      <c r="AW1828" t="s">
        <v>4316</v>
      </c>
      <c r="AX1828" t="s">
        <v>3058</v>
      </c>
      <c r="AY1828" t="s">
        <v>4316</v>
      </c>
      <c r="AZ1828" t="s">
        <v>5522</v>
      </c>
      <c r="BA1828">
        <v>1.5</v>
      </c>
      <c r="BB1828">
        <v>437.93</v>
      </c>
      <c r="BC1828">
        <v>0.26</v>
      </c>
      <c r="BD1828">
        <v>74.77</v>
      </c>
      <c r="BE1828">
        <v>75.53</v>
      </c>
      <c r="BF1828">
        <v>74.489999999999995</v>
      </c>
      <c r="BG1828" t="s">
        <v>19830</v>
      </c>
      <c r="BH1828" t="s">
        <v>4316</v>
      </c>
      <c r="BI1828" t="s">
        <v>19831</v>
      </c>
      <c r="BJ1828" t="s">
        <v>101</v>
      </c>
      <c r="BK1828" t="s">
        <v>5307</v>
      </c>
      <c r="BL1828" t="s">
        <v>19832</v>
      </c>
      <c r="BM1828" t="s">
        <v>8491</v>
      </c>
      <c r="BN1828" t="s">
        <v>14623</v>
      </c>
    </row>
    <row r="1829" spans="1:66" x14ac:dyDescent="0.25">
      <c r="A1829" t="str">
        <f>HYPERLINK("https://elite.finviz.com/quote.ashx?t=MGRT&amp;ty=c&amp;p=d&amp;b=1", "MGRT")</f>
        <v>MGRT</v>
      </c>
      <c r="B1829">
        <v>6</v>
      </c>
      <c r="C1829">
        <v>127.03</v>
      </c>
      <c r="D1829">
        <v>57.33</v>
      </c>
      <c r="E1829" t="s">
        <v>19833</v>
      </c>
      <c r="F1829" t="s">
        <v>107</v>
      </c>
      <c r="G1829" t="s">
        <v>108</v>
      </c>
      <c r="H1829" t="s">
        <v>1322</v>
      </c>
      <c r="I1829" t="s">
        <v>70</v>
      </c>
      <c r="J1829" t="s">
        <v>321</v>
      </c>
      <c r="L1829">
        <v>4.34</v>
      </c>
      <c r="M1829" t="s">
        <v>5301</v>
      </c>
      <c r="N1829">
        <v>4670</v>
      </c>
      <c r="AR1829" t="s">
        <v>11641</v>
      </c>
      <c r="AS1829" t="s">
        <v>1935</v>
      </c>
      <c r="AT1829" t="s">
        <v>1395</v>
      </c>
      <c r="AU1829" t="s">
        <v>9747</v>
      </c>
      <c r="AV1829" t="s">
        <v>15917</v>
      </c>
      <c r="AW1829" t="s">
        <v>7402</v>
      </c>
      <c r="AX1829" t="s">
        <v>19834</v>
      </c>
      <c r="AY1829" t="s">
        <v>7402</v>
      </c>
      <c r="AZ1829" t="s">
        <v>19834</v>
      </c>
      <c r="BB1829">
        <v>308.72000000000003</v>
      </c>
      <c r="BC1829">
        <v>0.05</v>
      </c>
      <c r="BD1829">
        <v>4.5999999999999996</v>
      </c>
      <c r="BE1829">
        <v>4.34</v>
      </c>
      <c r="BF1829">
        <v>4.33</v>
      </c>
      <c r="BG1829" t="s">
        <v>19835</v>
      </c>
      <c r="BH1829" t="s">
        <v>7402</v>
      </c>
      <c r="BI1829" t="s">
        <v>19834</v>
      </c>
      <c r="BJ1829" t="s">
        <v>101</v>
      </c>
      <c r="BN1829" t="s">
        <v>14623</v>
      </c>
    </row>
    <row r="1830" spans="1:66" x14ac:dyDescent="0.25">
      <c r="A1830" t="str">
        <f>HYPERLINK("https://elite.finviz.com/quote.ashx?t=ACIC&amp;ty=c&amp;p=d&amp;b=1", "ACIC")</f>
        <v>ACIC</v>
      </c>
      <c r="B1830">
        <v>6</v>
      </c>
      <c r="C1830">
        <v>127.03</v>
      </c>
      <c r="D1830">
        <v>57.34</v>
      </c>
      <c r="E1830" t="s">
        <v>19836</v>
      </c>
      <c r="F1830" t="s">
        <v>67</v>
      </c>
      <c r="G1830" t="s">
        <v>550</v>
      </c>
      <c r="H1830" t="s">
        <v>4407</v>
      </c>
      <c r="I1830" t="s">
        <v>70</v>
      </c>
      <c r="J1830" t="s">
        <v>321</v>
      </c>
      <c r="K1830">
        <v>555.67999999999995</v>
      </c>
      <c r="L1830">
        <v>11.4</v>
      </c>
      <c r="M1830" t="s">
        <v>1022</v>
      </c>
      <c r="N1830">
        <v>16754</v>
      </c>
      <c r="O1830">
        <v>6.91</v>
      </c>
      <c r="P1830">
        <v>8.14</v>
      </c>
      <c r="R1830">
        <v>1.74</v>
      </c>
      <c r="S1830">
        <v>1.9</v>
      </c>
      <c r="T1830" t="s">
        <v>5026</v>
      </c>
      <c r="V1830" t="s">
        <v>19837</v>
      </c>
      <c r="Z1830" t="s">
        <v>164</v>
      </c>
      <c r="AA1830">
        <v>1.65</v>
      </c>
      <c r="AD1830" t="s">
        <v>4953</v>
      </c>
      <c r="AE1830" t="s">
        <v>9496</v>
      </c>
      <c r="AF1830" t="s">
        <v>19838</v>
      </c>
      <c r="AG1830" t="s">
        <v>1210</v>
      </c>
      <c r="AH1830" t="s">
        <v>10091</v>
      </c>
      <c r="AI1830" t="s">
        <v>11819</v>
      </c>
      <c r="AJ1830" t="s">
        <v>9084</v>
      </c>
      <c r="AK1830" t="s">
        <v>12527</v>
      </c>
      <c r="AL1830">
        <v>1.95</v>
      </c>
      <c r="AN1830">
        <v>0.52</v>
      </c>
      <c r="AP1830" t="s">
        <v>7344</v>
      </c>
      <c r="AQ1830" t="s">
        <v>18449</v>
      </c>
      <c r="AR1830" t="s">
        <v>4800</v>
      </c>
      <c r="AS1830" t="s">
        <v>5132</v>
      </c>
      <c r="AT1830" t="s">
        <v>2609</v>
      </c>
      <c r="AU1830" t="s">
        <v>912</v>
      </c>
      <c r="AV1830" t="s">
        <v>1226</v>
      </c>
      <c r="AW1830" t="s">
        <v>1727</v>
      </c>
      <c r="AX1830" t="s">
        <v>2169</v>
      </c>
      <c r="AY1830" t="s">
        <v>4470</v>
      </c>
      <c r="AZ1830" t="s">
        <v>17334</v>
      </c>
      <c r="BA1830">
        <v>2</v>
      </c>
      <c r="BB1830">
        <v>191.69</v>
      </c>
      <c r="BC1830">
        <v>0.31</v>
      </c>
      <c r="BD1830">
        <v>11.32</v>
      </c>
      <c r="BE1830">
        <v>11.5</v>
      </c>
      <c r="BF1830">
        <v>11.31</v>
      </c>
      <c r="BG1830" t="s">
        <v>19839</v>
      </c>
      <c r="BH1830" t="s">
        <v>19840</v>
      </c>
      <c r="BI1830" t="s">
        <v>19841</v>
      </c>
      <c r="BJ1830" t="s">
        <v>101</v>
      </c>
      <c r="BK1830" t="s">
        <v>6075</v>
      </c>
      <c r="BL1830" t="s">
        <v>133</v>
      </c>
      <c r="BM1830" t="s">
        <v>2697</v>
      </c>
      <c r="BN1830" t="s">
        <v>14623</v>
      </c>
    </row>
    <row r="1831" spans="1:66" x14ac:dyDescent="0.25">
      <c r="A1831" t="str">
        <f>HYPERLINK("https://elite.finviz.com/quote.ashx?t=REX&amp;ty=c&amp;p=d&amp;b=1", "REX")</f>
        <v>REX</v>
      </c>
      <c r="B1831">
        <v>6</v>
      </c>
      <c r="C1831">
        <v>127.03</v>
      </c>
      <c r="D1831">
        <v>57.34</v>
      </c>
      <c r="E1831" t="s">
        <v>19842</v>
      </c>
      <c r="F1831" t="s">
        <v>67</v>
      </c>
      <c r="G1831" t="s">
        <v>355</v>
      </c>
      <c r="H1831" t="s">
        <v>5130</v>
      </c>
      <c r="I1831" t="s">
        <v>70</v>
      </c>
      <c r="J1831" t="s">
        <v>71</v>
      </c>
      <c r="K1831">
        <v>1014.6</v>
      </c>
      <c r="L1831">
        <v>30.69</v>
      </c>
      <c r="M1831" t="s">
        <v>4538</v>
      </c>
      <c r="N1831">
        <v>13430</v>
      </c>
      <c r="O1831">
        <v>20.77</v>
      </c>
      <c r="R1831">
        <v>1.56</v>
      </c>
      <c r="S1831">
        <v>1.86</v>
      </c>
      <c r="Z1831" t="s">
        <v>164</v>
      </c>
      <c r="AA1831">
        <v>1.48</v>
      </c>
      <c r="AB1831" t="s">
        <v>2841</v>
      </c>
      <c r="AC1831" t="s">
        <v>13152</v>
      </c>
      <c r="AE1831" t="s">
        <v>481</v>
      </c>
      <c r="AF1831" t="s">
        <v>4764</v>
      </c>
      <c r="AG1831" t="s">
        <v>875</v>
      </c>
      <c r="AH1831" t="s">
        <v>1507</v>
      </c>
      <c r="AJ1831" t="s">
        <v>164</v>
      </c>
      <c r="AK1831" t="s">
        <v>7686</v>
      </c>
      <c r="AL1831">
        <v>10.53</v>
      </c>
      <c r="AM1831">
        <v>9.68</v>
      </c>
      <c r="AN1831">
        <v>0.05</v>
      </c>
      <c r="AO1831" t="s">
        <v>3560</v>
      </c>
      <c r="AP1831" t="s">
        <v>660</v>
      </c>
      <c r="AQ1831" t="s">
        <v>3687</v>
      </c>
      <c r="AR1831" t="s">
        <v>180</v>
      </c>
      <c r="AS1831" t="s">
        <v>7154</v>
      </c>
      <c r="AT1831" t="s">
        <v>4191</v>
      </c>
      <c r="AU1831" t="s">
        <v>1474</v>
      </c>
      <c r="AV1831" t="s">
        <v>19843</v>
      </c>
      <c r="AW1831" t="s">
        <v>6354</v>
      </c>
      <c r="AX1831" t="s">
        <v>5464</v>
      </c>
      <c r="AY1831" t="s">
        <v>6354</v>
      </c>
      <c r="AZ1831" t="s">
        <v>19844</v>
      </c>
      <c r="BA1831">
        <v>1</v>
      </c>
      <c r="BB1831">
        <v>215.84</v>
      </c>
      <c r="BC1831">
        <v>0.22</v>
      </c>
      <c r="BD1831">
        <v>30.77</v>
      </c>
      <c r="BE1831">
        <v>30.99</v>
      </c>
      <c r="BF1831">
        <v>30.51</v>
      </c>
      <c r="BG1831" t="s">
        <v>19845</v>
      </c>
      <c r="BH1831" t="s">
        <v>6354</v>
      </c>
      <c r="BI1831" t="s">
        <v>19846</v>
      </c>
      <c r="BJ1831" t="s">
        <v>101</v>
      </c>
      <c r="BK1831" t="s">
        <v>3138</v>
      </c>
      <c r="BL1831" t="s">
        <v>13701</v>
      </c>
      <c r="BM1831" t="s">
        <v>7463</v>
      </c>
      <c r="BN1831" t="s">
        <v>14623</v>
      </c>
    </row>
    <row r="1832" spans="1:66" x14ac:dyDescent="0.25">
      <c r="A1832" t="str">
        <f>HYPERLINK("https://elite.finviz.com/quote.ashx?t=RAIL&amp;ty=c&amp;p=d&amp;b=1", "RAIL")</f>
        <v>RAIL</v>
      </c>
      <c r="B1832">
        <v>6</v>
      </c>
      <c r="C1832">
        <v>127.03</v>
      </c>
      <c r="D1832">
        <v>57.35</v>
      </c>
      <c r="E1832" t="s">
        <v>19847</v>
      </c>
      <c r="F1832" t="s">
        <v>107</v>
      </c>
      <c r="G1832" t="s">
        <v>260</v>
      </c>
      <c r="H1832" t="s">
        <v>10167</v>
      </c>
      <c r="I1832" t="s">
        <v>70</v>
      </c>
      <c r="J1832" t="s">
        <v>321</v>
      </c>
      <c r="K1832">
        <v>179.71</v>
      </c>
      <c r="L1832">
        <v>9.4</v>
      </c>
      <c r="M1832" t="s">
        <v>6298</v>
      </c>
      <c r="N1832">
        <v>16791</v>
      </c>
      <c r="P1832">
        <v>13.72</v>
      </c>
      <c r="R1832">
        <v>0.39</v>
      </c>
      <c r="V1832" t="s">
        <v>19848</v>
      </c>
      <c r="AA1832">
        <v>-0.86</v>
      </c>
      <c r="AB1832" t="s">
        <v>13921</v>
      </c>
      <c r="AC1832" t="s">
        <v>302</v>
      </c>
      <c r="AD1832" t="s">
        <v>2828</v>
      </c>
      <c r="AE1832" t="s">
        <v>8156</v>
      </c>
      <c r="AF1832" t="s">
        <v>6653</v>
      </c>
      <c r="AG1832" t="s">
        <v>13652</v>
      </c>
      <c r="AH1832" t="s">
        <v>15231</v>
      </c>
      <c r="AI1832" t="s">
        <v>1647</v>
      </c>
      <c r="AJ1832" t="s">
        <v>2638</v>
      </c>
      <c r="AK1832" t="s">
        <v>7720</v>
      </c>
      <c r="AL1832">
        <v>1.57</v>
      </c>
      <c r="AM1832">
        <v>0.75</v>
      </c>
      <c r="AO1832" t="s">
        <v>13015</v>
      </c>
      <c r="AP1832" t="s">
        <v>3688</v>
      </c>
      <c r="AQ1832" t="s">
        <v>19319</v>
      </c>
      <c r="AR1832" t="s">
        <v>1159</v>
      </c>
      <c r="AS1832" t="s">
        <v>169</v>
      </c>
      <c r="AT1832" t="s">
        <v>437</v>
      </c>
      <c r="AU1832" t="s">
        <v>4902</v>
      </c>
      <c r="AV1832" t="s">
        <v>2515</v>
      </c>
      <c r="AW1832" t="s">
        <v>10281</v>
      </c>
      <c r="AX1832" t="s">
        <v>12238</v>
      </c>
      <c r="AY1832" t="s">
        <v>4349</v>
      </c>
      <c r="AZ1832" t="s">
        <v>19849</v>
      </c>
      <c r="BA1832">
        <v>1</v>
      </c>
      <c r="BB1832">
        <v>198.2</v>
      </c>
      <c r="BC1832">
        <v>0.3</v>
      </c>
      <c r="BD1832">
        <v>9.4600000000000009</v>
      </c>
      <c r="BE1832">
        <v>9.5500000000000007</v>
      </c>
      <c r="BF1832">
        <v>9.42</v>
      </c>
      <c r="BG1832" t="s">
        <v>19850</v>
      </c>
      <c r="BH1832" t="s">
        <v>5277</v>
      </c>
      <c r="BI1832" t="s">
        <v>19851</v>
      </c>
      <c r="BJ1832" t="s">
        <v>101</v>
      </c>
      <c r="BK1832" t="s">
        <v>2150</v>
      </c>
      <c r="BL1832" t="s">
        <v>12899</v>
      </c>
      <c r="BM1832" t="s">
        <v>5371</v>
      </c>
      <c r="BN1832" t="s">
        <v>14623</v>
      </c>
    </row>
    <row r="1833" spans="1:66" x14ac:dyDescent="0.25">
      <c r="A1833" t="str">
        <f>HYPERLINK("https://elite.finviz.com/quote.ashx?t=ACM&amp;ty=c&amp;p=d&amp;b=1", "ACM")</f>
        <v>ACM</v>
      </c>
      <c r="B1833">
        <v>6</v>
      </c>
      <c r="C1833">
        <v>127.03</v>
      </c>
      <c r="D1833">
        <v>57.35</v>
      </c>
      <c r="E1833" t="s">
        <v>19852</v>
      </c>
      <c r="F1833" t="s">
        <v>107</v>
      </c>
      <c r="G1833" t="s">
        <v>260</v>
      </c>
      <c r="H1833" t="s">
        <v>2944</v>
      </c>
      <c r="I1833" t="s">
        <v>70</v>
      </c>
      <c r="J1833" t="s">
        <v>71</v>
      </c>
      <c r="K1833">
        <v>17071.64</v>
      </c>
      <c r="L1833">
        <v>128.9</v>
      </c>
      <c r="M1833" t="s">
        <v>1409</v>
      </c>
      <c r="N1833">
        <v>87392</v>
      </c>
      <c r="O1833">
        <v>26.21</v>
      </c>
      <c r="P1833">
        <v>22.52</v>
      </c>
      <c r="Q1833">
        <v>2.36</v>
      </c>
      <c r="R1833">
        <v>1.06</v>
      </c>
      <c r="S1833">
        <v>6.84</v>
      </c>
      <c r="T1833" t="s">
        <v>2571</v>
      </c>
      <c r="U1833">
        <v>1</v>
      </c>
      <c r="V1833" t="s">
        <v>700</v>
      </c>
      <c r="W1833" t="s">
        <v>10317</v>
      </c>
      <c r="Z1833" t="s">
        <v>11538</v>
      </c>
      <c r="AA1833">
        <v>4.92</v>
      </c>
      <c r="AB1833" t="s">
        <v>5844</v>
      </c>
      <c r="AD1833" t="s">
        <v>1395</v>
      </c>
      <c r="AE1833" t="s">
        <v>4780</v>
      </c>
      <c r="AF1833" t="s">
        <v>2398</v>
      </c>
      <c r="AG1833" t="s">
        <v>2662</v>
      </c>
      <c r="AH1833" t="s">
        <v>227</v>
      </c>
      <c r="AI1833" t="s">
        <v>5944</v>
      </c>
      <c r="AJ1833" t="s">
        <v>502</v>
      </c>
      <c r="AK1833" t="s">
        <v>19853</v>
      </c>
      <c r="AL1833">
        <v>1.17</v>
      </c>
      <c r="AM1833">
        <v>1.17</v>
      </c>
      <c r="AN1833">
        <v>1.28</v>
      </c>
      <c r="AO1833" t="s">
        <v>2884</v>
      </c>
      <c r="AP1833" t="s">
        <v>6684</v>
      </c>
      <c r="AQ1833" t="s">
        <v>9651</v>
      </c>
      <c r="AR1833" t="s">
        <v>2424</v>
      </c>
      <c r="AS1833" t="s">
        <v>910</v>
      </c>
      <c r="AT1833" t="s">
        <v>3493</v>
      </c>
      <c r="AU1833" t="s">
        <v>636</v>
      </c>
      <c r="AV1833" t="s">
        <v>3068</v>
      </c>
      <c r="AW1833" t="s">
        <v>9600</v>
      </c>
      <c r="AX1833" t="s">
        <v>10331</v>
      </c>
      <c r="AY1833" t="s">
        <v>9600</v>
      </c>
      <c r="AZ1833" t="s">
        <v>19173</v>
      </c>
      <c r="BA1833">
        <v>1.75</v>
      </c>
      <c r="BB1833">
        <v>918.78</v>
      </c>
      <c r="BC1833">
        <v>0.34</v>
      </c>
      <c r="BD1833">
        <v>128.36000000000001</v>
      </c>
      <c r="BE1833">
        <v>129.68</v>
      </c>
      <c r="BF1833">
        <v>128.72999999999999</v>
      </c>
      <c r="BG1833" t="s">
        <v>19854</v>
      </c>
      <c r="BH1833" t="s">
        <v>9600</v>
      </c>
      <c r="BI1833" t="s">
        <v>19855</v>
      </c>
      <c r="BJ1833" t="s">
        <v>101</v>
      </c>
      <c r="BK1833" t="s">
        <v>4683</v>
      </c>
      <c r="BL1833" t="s">
        <v>4940</v>
      </c>
      <c r="BM1833" t="s">
        <v>6063</v>
      </c>
      <c r="BN1833" t="s">
        <v>14623</v>
      </c>
    </row>
    <row r="1834" spans="1:66" x14ac:dyDescent="0.25">
      <c r="A1834" t="str">
        <f>HYPERLINK("https://elite.finviz.com/quote.ashx?t=SBGI&amp;ty=c&amp;p=d&amp;b=1", "SBGI")</f>
        <v>SBGI</v>
      </c>
      <c r="B1834">
        <v>6</v>
      </c>
      <c r="C1834">
        <v>127.03</v>
      </c>
      <c r="D1834">
        <v>57.36</v>
      </c>
      <c r="E1834" t="s">
        <v>19856</v>
      </c>
      <c r="F1834" t="s">
        <v>67</v>
      </c>
      <c r="G1834" t="s">
        <v>598</v>
      </c>
      <c r="H1834" t="s">
        <v>4546</v>
      </c>
      <c r="I1834" t="s">
        <v>70</v>
      </c>
      <c r="J1834" t="s">
        <v>321</v>
      </c>
      <c r="K1834">
        <v>1018.24</v>
      </c>
      <c r="L1834">
        <v>14.62</v>
      </c>
      <c r="M1834" t="s">
        <v>580</v>
      </c>
      <c r="N1834">
        <v>35762</v>
      </c>
      <c r="O1834">
        <v>18.3</v>
      </c>
      <c r="P1834">
        <v>22.94</v>
      </c>
      <c r="R1834">
        <v>0.28999999999999998</v>
      </c>
      <c r="S1834">
        <v>2.82</v>
      </c>
      <c r="T1834" t="s">
        <v>5025</v>
      </c>
      <c r="U1834">
        <v>1</v>
      </c>
      <c r="V1834" t="s">
        <v>4882</v>
      </c>
      <c r="W1834" t="s">
        <v>164</v>
      </c>
      <c r="X1834" t="s">
        <v>4512</v>
      </c>
      <c r="Y1834" t="s">
        <v>371</v>
      </c>
      <c r="Z1834" t="s">
        <v>8153</v>
      </c>
      <c r="AA1834">
        <v>0.8</v>
      </c>
      <c r="AC1834" t="s">
        <v>17986</v>
      </c>
      <c r="AE1834" t="s">
        <v>1515</v>
      </c>
      <c r="AF1834" t="s">
        <v>1056</v>
      </c>
      <c r="AG1834" t="s">
        <v>5763</v>
      </c>
      <c r="AH1834" t="s">
        <v>1929</v>
      </c>
      <c r="AI1834" t="s">
        <v>19857</v>
      </c>
      <c r="AJ1834" t="s">
        <v>5610</v>
      </c>
      <c r="AK1834" t="s">
        <v>17815</v>
      </c>
      <c r="AL1834">
        <v>1.89</v>
      </c>
      <c r="AM1834">
        <v>1.89</v>
      </c>
      <c r="AN1834">
        <v>11.78</v>
      </c>
      <c r="AO1834" t="s">
        <v>15581</v>
      </c>
      <c r="AP1834" t="s">
        <v>3290</v>
      </c>
      <c r="AQ1834" t="s">
        <v>3551</v>
      </c>
      <c r="AR1834" t="s">
        <v>4765</v>
      </c>
      <c r="AS1834" t="s">
        <v>2473</v>
      </c>
      <c r="AT1834" t="s">
        <v>2736</v>
      </c>
      <c r="AU1834" t="s">
        <v>3500</v>
      </c>
      <c r="AV1834" t="s">
        <v>4203</v>
      </c>
      <c r="AW1834" t="s">
        <v>14645</v>
      </c>
      <c r="AX1834" t="s">
        <v>6154</v>
      </c>
      <c r="AY1834" t="s">
        <v>9766</v>
      </c>
      <c r="AZ1834" t="s">
        <v>6154</v>
      </c>
      <c r="BA1834">
        <v>3</v>
      </c>
      <c r="BB1834">
        <v>539.22</v>
      </c>
      <c r="BC1834">
        <v>0.23</v>
      </c>
      <c r="BD1834">
        <v>14.61</v>
      </c>
      <c r="BE1834">
        <v>14.8</v>
      </c>
      <c r="BF1834">
        <v>14.59</v>
      </c>
      <c r="BG1834" t="s">
        <v>19858</v>
      </c>
      <c r="BH1834" t="s">
        <v>19859</v>
      </c>
      <c r="BI1834" t="s">
        <v>19860</v>
      </c>
      <c r="BJ1834" t="s">
        <v>101</v>
      </c>
      <c r="BK1834" t="s">
        <v>8050</v>
      </c>
      <c r="BL1834" t="s">
        <v>134</v>
      </c>
      <c r="BM1834" t="s">
        <v>1820</v>
      </c>
      <c r="BN1834" t="s">
        <v>14623</v>
      </c>
    </row>
    <row r="1835" spans="1:66" x14ac:dyDescent="0.25">
      <c r="A1835" t="str">
        <f>HYPERLINK("https://elite.finviz.com/quote.ashx?t=CLB&amp;ty=c&amp;p=d&amp;b=1", "CLB")</f>
        <v>CLB</v>
      </c>
      <c r="B1835">
        <v>6</v>
      </c>
      <c r="C1835">
        <v>127.03</v>
      </c>
      <c r="D1835">
        <v>57.38</v>
      </c>
      <c r="E1835" t="s">
        <v>19861</v>
      </c>
      <c r="F1835" t="s">
        <v>67</v>
      </c>
      <c r="G1835" t="s">
        <v>1048</v>
      </c>
      <c r="H1835" t="s">
        <v>8341</v>
      </c>
      <c r="I1835" t="s">
        <v>70</v>
      </c>
      <c r="J1835" t="s">
        <v>71</v>
      </c>
      <c r="K1835">
        <v>589.91999999999996</v>
      </c>
      <c r="L1835">
        <v>12.58</v>
      </c>
      <c r="M1835" t="s">
        <v>907</v>
      </c>
      <c r="N1835">
        <v>49259</v>
      </c>
      <c r="O1835">
        <v>20.23</v>
      </c>
      <c r="P1835">
        <v>14.93</v>
      </c>
      <c r="Q1835">
        <v>4.2300000000000004</v>
      </c>
      <c r="R1835">
        <v>1.1399999999999999</v>
      </c>
      <c r="S1835">
        <v>2.2400000000000002</v>
      </c>
      <c r="T1835" t="s">
        <v>3446</v>
      </c>
      <c r="U1835">
        <v>0.04</v>
      </c>
      <c r="V1835" t="s">
        <v>4827</v>
      </c>
      <c r="W1835" t="s">
        <v>164</v>
      </c>
      <c r="X1835" t="s">
        <v>164</v>
      </c>
      <c r="Y1835" t="s">
        <v>8605</v>
      </c>
      <c r="Z1835" t="s">
        <v>8164</v>
      </c>
      <c r="AA1835">
        <v>0.62</v>
      </c>
      <c r="AB1835" t="s">
        <v>10359</v>
      </c>
      <c r="AC1835" t="s">
        <v>9677</v>
      </c>
      <c r="AD1835" t="s">
        <v>9228</v>
      </c>
      <c r="AE1835" t="s">
        <v>3047</v>
      </c>
      <c r="AF1835" t="s">
        <v>2494</v>
      </c>
      <c r="AG1835" t="s">
        <v>2076</v>
      </c>
      <c r="AH1835" t="s">
        <v>386</v>
      </c>
      <c r="AI1835" t="s">
        <v>3832</v>
      </c>
      <c r="AJ1835" t="s">
        <v>164</v>
      </c>
      <c r="AK1835" t="s">
        <v>19862</v>
      </c>
      <c r="AL1835">
        <v>2.27</v>
      </c>
      <c r="AM1835">
        <v>1.7</v>
      </c>
      <c r="AN1835">
        <v>0.68</v>
      </c>
      <c r="AO1835" t="s">
        <v>928</v>
      </c>
      <c r="AP1835" t="s">
        <v>5864</v>
      </c>
      <c r="AQ1835" t="s">
        <v>4641</v>
      </c>
      <c r="AR1835" t="s">
        <v>161</v>
      </c>
      <c r="AS1835" t="s">
        <v>5497</v>
      </c>
      <c r="AT1835" t="s">
        <v>4267</v>
      </c>
      <c r="AU1835" t="s">
        <v>2887</v>
      </c>
      <c r="AV1835" t="s">
        <v>19863</v>
      </c>
      <c r="AW1835" t="s">
        <v>7972</v>
      </c>
      <c r="AX1835" t="s">
        <v>5184</v>
      </c>
      <c r="AY1835" t="s">
        <v>19864</v>
      </c>
      <c r="AZ1835" t="s">
        <v>5184</v>
      </c>
      <c r="BA1835">
        <v>3</v>
      </c>
      <c r="BB1835">
        <v>535.91999999999996</v>
      </c>
      <c r="BC1835">
        <v>0.32</v>
      </c>
      <c r="BD1835">
        <v>12.4</v>
      </c>
      <c r="BE1835">
        <v>12.74</v>
      </c>
      <c r="BF1835">
        <v>12.36</v>
      </c>
      <c r="BG1835" t="s">
        <v>19865</v>
      </c>
      <c r="BH1835" t="s">
        <v>4781</v>
      </c>
      <c r="BI1835" t="s">
        <v>19866</v>
      </c>
      <c r="BJ1835" t="s">
        <v>101</v>
      </c>
      <c r="BK1835" t="s">
        <v>6420</v>
      </c>
      <c r="BL1835" t="s">
        <v>14832</v>
      </c>
      <c r="BM1835" t="s">
        <v>17652</v>
      </c>
      <c r="BN1835" t="s">
        <v>14623</v>
      </c>
    </row>
    <row r="1836" spans="1:66" x14ac:dyDescent="0.25">
      <c r="A1836" t="str">
        <f>HYPERLINK("https://elite.finviz.com/quote.ashx?t=WINA&amp;ty=c&amp;p=d&amp;b=1", "WINA")</f>
        <v>WINA</v>
      </c>
      <c r="B1836">
        <v>6</v>
      </c>
      <c r="C1836">
        <v>127.03</v>
      </c>
      <c r="D1836">
        <v>57.38</v>
      </c>
      <c r="E1836" t="s">
        <v>19867</v>
      </c>
      <c r="F1836" t="s">
        <v>67</v>
      </c>
      <c r="G1836" t="s">
        <v>813</v>
      </c>
      <c r="H1836" t="s">
        <v>2262</v>
      </c>
      <c r="I1836" t="s">
        <v>70</v>
      </c>
      <c r="J1836" t="s">
        <v>321</v>
      </c>
      <c r="K1836">
        <v>1748.21</v>
      </c>
      <c r="L1836">
        <v>492.67</v>
      </c>
      <c r="M1836" t="s">
        <v>1445</v>
      </c>
      <c r="N1836">
        <v>3236</v>
      </c>
      <c r="O1836">
        <v>43.87</v>
      </c>
      <c r="P1836">
        <v>39.729999999999997</v>
      </c>
      <c r="R1836">
        <v>20.96</v>
      </c>
      <c r="T1836" t="s">
        <v>6245</v>
      </c>
      <c r="U1836">
        <v>3.72</v>
      </c>
      <c r="V1836" t="s">
        <v>8649</v>
      </c>
      <c r="W1836" t="s">
        <v>6124</v>
      </c>
      <c r="X1836" t="s">
        <v>9556</v>
      </c>
      <c r="Y1836" t="s">
        <v>19868</v>
      </c>
      <c r="Z1836" t="s">
        <v>13444</v>
      </c>
      <c r="AA1836">
        <v>11.23</v>
      </c>
      <c r="AB1836" t="s">
        <v>1559</v>
      </c>
      <c r="AC1836" t="s">
        <v>9703</v>
      </c>
      <c r="AE1836" t="s">
        <v>5055</v>
      </c>
      <c r="AF1836" t="s">
        <v>6478</v>
      </c>
      <c r="AG1836" t="s">
        <v>3671</v>
      </c>
      <c r="AH1836" t="s">
        <v>5610</v>
      </c>
      <c r="AI1836" t="s">
        <v>141</v>
      </c>
      <c r="AJ1836" t="s">
        <v>5195</v>
      </c>
      <c r="AK1836" t="s">
        <v>19869</v>
      </c>
      <c r="AL1836">
        <v>4.5999999999999996</v>
      </c>
      <c r="AM1836">
        <v>4.54</v>
      </c>
      <c r="AO1836" t="s">
        <v>19870</v>
      </c>
      <c r="AP1836" t="s">
        <v>15726</v>
      </c>
      <c r="AQ1836" t="s">
        <v>19871</v>
      </c>
      <c r="AR1836" t="s">
        <v>248</v>
      </c>
      <c r="AS1836" t="s">
        <v>4677</v>
      </c>
      <c r="AT1836" t="s">
        <v>1657</v>
      </c>
      <c r="AU1836" t="s">
        <v>5127</v>
      </c>
      <c r="AV1836" t="s">
        <v>116</v>
      </c>
      <c r="AW1836" t="s">
        <v>8121</v>
      </c>
      <c r="AX1836" t="s">
        <v>16126</v>
      </c>
      <c r="AY1836" t="s">
        <v>8121</v>
      </c>
      <c r="AZ1836" t="s">
        <v>7257</v>
      </c>
      <c r="BA1836">
        <v>1</v>
      </c>
      <c r="BB1836">
        <v>74.510000000000005</v>
      </c>
      <c r="BC1836">
        <v>0.15</v>
      </c>
      <c r="BD1836">
        <v>494.44</v>
      </c>
      <c r="BE1836">
        <v>493.17</v>
      </c>
      <c r="BF1836">
        <v>492.52</v>
      </c>
      <c r="BG1836" t="s">
        <v>19872</v>
      </c>
      <c r="BH1836" t="s">
        <v>8121</v>
      </c>
      <c r="BI1836" t="s">
        <v>19873</v>
      </c>
      <c r="BJ1836" t="s">
        <v>101</v>
      </c>
      <c r="BK1836" t="s">
        <v>6229</v>
      </c>
      <c r="BL1836" t="s">
        <v>19874</v>
      </c>
      <c r="BM1836" t="s">
        <v>209</v>
      </c>
      <c r="BN1836" t="s">
        <v>14623</v>
      </c>
    </row>
    <row r="1837" spans="1:66" x14ac:dyDescent="0.25">
      <c r="A1837" t="str">
        <f>HYPERLINK("https://elite.finviz.com/quote.ashx?t=FORD&amp;ty=c&amp;p=d&amp;b=1", "FORD")</f>
        <v>FORD</v>
      </c>
      <c r="B1837">
        <v>6</v>
      </c>
      <c r="C1837">
        <v>127.03</v>
      </c>
      <c r="D1837">
        <v>57.4</v>
      </c>
      <c r="E1837" t="s">
        <v>19875</v>
      </c>
      <c r="F1837" t="s">
        <v>107</v>
      </c>
      <c r="G1837" t="s">
        <v>813</v>
      </c>
      <c r="H1837" t="s">
        <v>4043</v>
      </c>
      <c r="I1837" t="s">
        <v>70</v>
      </c>
      <c r="J1837" t="s">
        <v>321</v>
      </c>
      <c r="K1837">
        <v>2505.38</v>
      </c>
      <c r="L1837">
        <v>29.64</v>
      </c>
      <c r="M1837" t="s">
        <v>205</v>
      </c>
      <c r="N1837">
        <v>81600</v>
      </c>
      <c r="R1837">
        <v>128.09</v>
      </c>
      <c r="AA1837">
        <v>-3.32</v>
      </c>
      <c r="AC1837" t="s">
        <v>775</v>
      </c>
      <c r="AE1837" t="s">
        <v>19876</v>
      </c>
      <c r="AF1837" t="s">
        <v>647</v>
      </c>
      <c r="AG1837" t="s">
        <v>842</v>
      </c>
      <c r="AH1837" t="s">
        <v>19877</v>
      </c>
      <c r="AJ1837" t="s">
        <v>164</v>
      </c>
      <c r="AK1837" t="s">
        <v>237</v>
      </c>
      <c r="AL1837">
        <v>1.51</v>
      </c>
      <c r="AM1837">
        <v>1.51</v>
      </c>
      <c r="AN1837">
        <v>0.97</v>
      </c>
      <c r="AO1837" t="s">
        <v>10557</v>
      </c>
      <c r="AP1837" t="s">
        <v>19878</v>
      </c>
      <c r="AQ1837" t="s">
        <v>9283</v>
      </c>
      <c r="AR1837" t="s">
        <v>6234</v>
      </c>
      <c r="AS1837" t="s">
        <v>19879</v>
      </c>
      <c r="AT1837" t="s">
        <v>2407</v>
      </c>
      <c r="AU1837" t="s">
        <v>19880</v>
      </c>
      <c r="AV1837" t="s">
        <v>19881</v>
      </c>
      <c r="AW1837" t="s">
        <v>6029</v>
      </c>
      <c r="AX1837" t="s">
        <v>19882</v>
      </c>
      <c r="AY1837" t="s">
        <v>6029</v>
      </c>
      <c r="AZ1837" t="s">
        <v>19883</v>
      </c>
      <c r="BA1837">
        <v>3</v>
      </c>
      <c r="BB1837">
        <v>214.11</v>
      </c>
      <c r="BC1837">
        <v>1.35</v>
      </c>
      <c r="BD1837">
        <v>28.82</v>
      </c>
      <c r="BE1837">
        <v>30.63</v>
      </c>
      <c r="BF1837">
        <v>29.33</v>
      </c>
      <c r="BG1837" t="s">
        <v>19884</v>
      </c>
      <c r="BH1837" t="s">
        <v>19885</v>
      </c>
      <c r="BI1837" t="s">
        <v>19886</v>
      </c>
      <c r="BJ1837" t="s">
        <v>101</v>
      </c>
      <c r="BK1837" t="s">
        <v>19887</v>
      </c>
      <c r="BL1837" t="s">
        <v>19888</v>
      </c>
      <c r="BM1837" t="s">
        <v>19889</v>
      </c>
      <c r="BN1837" t="s">
        <v>14623</v>
      </c>
    </row>
    <row r="1838" spans="1:66" x14ac:dyDescent="0.25">
      <c r="A1838" t="str">
        <f>HYPERLINK("https://elite.finviz.com/quote.ashx?t=SCI&amp;ty=c&amp;p=d&amp;b=1", "SCI")</f>
        <v>SCI</v>
      </c>
      <c r="B1838">
        <v>6</v>
      </c>
      <c r="C1838">
        <v>127.03</v>
      </c>
      <c r="D1838">
        <v>57.4</v>
      </c>
      <c r="E1838" t="s">
        <v>19890</v>
      </c>
      <c r="F1838" t="s">
        <v>107</v>
      </c>
      <c r="G1838" t="s">
        <v>813</v>
      </c>
      <c r="H1838" t="s">
        <v>10177</v>
      </c>
      <c r="I1838" t="s">
        <v>70</v>
      </c>
      <c r="J1838" t="s">
        <v>71</v>
      </c>
      <c r="K1838">
        <v>11413.43</v>
      </c>
      <c r="L1838">
        <v>81.39</v>
      </c>
      <c r="M1838" t="s">
        <v>8179</v>
      </c>
      <c r="N1838">
        <v>98564</v>
      </c>
      <c r="O1838">
        <v>22.09</v>
      </c>
      <c r="P1838">
        <v>19.28</v>
      </c>
      <c r="Q1838">
        <v>2.2799999999999998</v>
      </c>
      <c r="R1838">
        <v>2.69</v>
      </c>
      <c r="S1838">
        <v>7.35</v>
      </c>
      <c r="T1838" t="s">
        <v>305</v>
      </c>
      <c r="U1838">
        <v>1.26</v>
      </c>
      <c r="V1838" t="s">
        <v>3833</v>
      </c>
      <c r="W1838" t="s">
        <v>5114</v>
      </c>
      <c r="X1838" t="s">
        <v>4067</v>
      </c>
      <c r="Y1838" t="s">
        <v>10073</v>
      </c>
      <c r="Z1838" t="s">
        <v>5086</v>
      </c>
      <c r="AA1838">
        <v>3.68</v>
      </c>
      <c r="AB1838" t="s">
        <v>15107</v>
      </c>
      <c r="AC1838" t="s">
        <v>3923</v>
      </c>
      <c r="AD1838" t="s">
        <v>2499</v>
      </c>
      <c r="AE1838" t="s">
        <v>213</v>
      </c>
      <c r="AF1838" t="s">
        <v>141</v>
      </c>
      <c r="AG1838" t="s">
        <v>3054</v>
      </c>
      <c r="AH1838" t="s">
        <v>2624</v>
      </c>
      <c r="AI1838" t="s">
        <v>5111</v>
      </c>
      <c r="AJ1838" t="s">
        <v>4764</v>
      </c>
      <c r="AK1838" t="s">
        <v>15211</v>
      </c>
      <c r="AL1838">
        <v>0.61</v>
      </c>
      <c r="AM1838">
        <v>0.56000000000000005</v>
      </c>
      <c r="AN1838">
        <v>3.23</v>
      </c>
      <c r="AO1838" t="s">
        <v>5571</v>
      </c>
      <c r="AP1838" t="s">
        <v>6515</v>
      </c>
      <c r="AQ1838" t="s">
        <v>14731</v>
      </c>
      <c r="AR1838" t="s">
        <v>4276</v>
      </c>
      <c r="AS1838" t="s">
        <v>2609</v>
      </c>
      <c r="AT1838" t="s">
        <v>6692</v>
      </c>
      <c r="AU1838" t="s">
        <v>90</v>
      </c>
      <c r="AV1838" t="s">
        <v>465</v>
      </c>
      <c r="AW1838" t="s">
        <v>9511</v>
      </c>
      <c r="AX1838" t="s">
        <v>3664</v>
      </c>
      <c r="AY1838" t="s">
        <v>12181</v>
      </c>
      <c r="AZ1838" t="s">
        <v>1455</v>
      </c>
      <c r="BA1838">
        <v>1.2</v>
      </c>
      <c r="BB1838">
        <v>997.61</v>
      </c>
      <c r="BC1838">
        <v>0.35</v>
      </c>
      <c r="BD1838">
        <v>80.83</v>
      </c>
      <c r="BE1838">
        <v>81.66</v>
      </c>
      <c r="BF1838">
        <v>80.650000000000006</v>
      </c>
      <c r="BG1838" t="s">
        <v>19891</v>
      </c>
      <c r="BH1838" t="s">
        <v>12181</v>
      </c>
      <c r="BI1838" t="s">
        <v>19892</v>
      </c>
      <c r="BJ1838" t="s">
        <v>101</v>
      </c>
      <c r="BK1838" t="s">
        <v>386</v>
      </c>
      <c r="BL1838" t="s">
        <v>5116</v>
      </c>
      <c r="BM1838" t="s">
        <v>4600</v>
      </c>
      <c r="BN1838" t="s">
        <v>14623</v>
      </c>
    </row>
    <row r="1839" spans="1:66" x14ac:dyDescent="0.25">
      <c r="A1839" t="str">
        <f>HYPERLINK("https://elite.finviz.com/quote.ashx?t=LTC&amp;ty=c&amp;p=d&amp;b=1", "LTC")</f>
        <v>LTC</v>
      </c>
      <c r="B1839">
        <v>6</v>
      </c>
      <c r="C1839">
        <v>127.03</v>
      </c>
      <c r="D1839">
        <v>57.41</v>
      </c>
      <c r="E1839" t="s">
        <v>19893</v>
      </c>
      <c r="F1839" t="s">
        <v>67</v>
      </c>
      <c r="G1839" t="s">
        <v>68</v>
      </c>
      <c r="H1839" t="s">
        <v>6072</v>
      </c>
      <c r="I1839" t="s">
        <v>70</v>
      </c>
      <c r="J1839" t="s">
        <v>71</v>
      </c>
      <c r="K1839">
        <v>1680.69</v>
      </c>
      <c r="L1839">
        <v>36.49</v>
      </c>
      <c r="M1839" t="s">
        <v>4849</v>
      </c>
      <c r="N1839">
        <v>67146</v>
      </c>
      <c r="O1839">
        <v>20</v>
      </c>
      <c r="P1839">
        <v>18.22</v>
      </c>
      <c r="R1839">
        <v>7.69</v>
      </c>
      <c r="S1839">
        <v>1.76</v>
      </c>
      <c r="T1839" t="s">
        <v>229</v>
      </c>
      <c r="U1839">
        <v>2.2799999999999998</v>
      </c>
      <c r="V1839" t="s">
        <v>4676</v>
      </c>
      <c r="W1839" t="s">
        <v>164</v>
      </c>
      <c r="X1839" t="s">
        <v>164</v>
      </c>
      <c r="Y1839" t="s">
        <v>164</v>
      </c>
      <c r="Z1839" t="s">
        <v>19894</v>
      </c>
      <c r="AA1839">
        <v>1.82</v>
      </c>
      <c r="AB1839" t="s">
        <v>2516</v>
      </c>
      <c r="AC1839" t="s">
        <v>439</v>
      </c>
      <c r="AD1839" t="s">
        <v>1444</v>
      </c>
      <c r="AE1839" t="s">
        <v>2492</v>
      </c>
      <c r="AF1839" t="s">
        <v>6168</v>
      </c>
      <c r="AG1839" t="s">
        <v>180</v>
      </c>
      <c r="AH1839" t="s">
        <v>8694</v>
      </c>
      <c r="AI1839" t="s">
        <v>8310</v>
      </c>
      <c r="AJ1839" t="s">
        <v>5577</v>
      </c>
      <c r="AK1839" t="s">
        <v>19895</v>
      </c>
      <c r="AL1839">
        <v>62.37</v>
      </c>
      <c r="AM1839">
        <v>62.37</v>
      </c>
      <c r="AN1839">
        <v>0.73</v>
      </c>
      <c r="AO1839" t="s">
        <v>4909</v>
      </c>
      <c r="AP1839" t="s">
        <v>19896</v>
      </c>
      <c r="AQ1839" t="s">
        <v>8570</v>
      </c>
      <c r="AR1839" t="s">
        <v>3551</v>
      </c>
      <c r="AS1839" t="s">
        <v>2509</v>
      </c>
      <c r="AT1839" t="s">
        <v>2864</v>
      </c>
      <c r="AU1839" t="s">
        <v>6151</v>
      </c>
      <c r="AV1839" t="s">
        <v>2495</v>
      </c>
      <c r="AW1839" t="s">
        <v>5365</v>
      </c>
      <c r="AX1839" t="s">
        <v>1207</v>
      </c>
      <c r="AY1839" t="s">
        <v>8659</v>
      </c>
      <c r="AZ1839" t="s">
        <v>8078</v>
      </c>
      <c r="BA1839">
        <v>2.71</v>
      </c>
      <c r="BB1839">
        <v>375.04</v>
      </c>
      <c r="BC1839">
        <v>0.63</v>
      </c>
      <c r="BD1839">
        <v>36.299999999999997</v>
      </c>
      <c r="BE1839">
        <v>36.65</v>
      </c>
      <c r="BF1839">
        <v>36.35</v>
      </c>
      <c r="BG1839" t="s">
        <v>19897</v>
      </c>
      <c r="BH1839" t="s">
        <v>18426</v>
      </c>
      <c r="BI1839" t="s">
        <v>19898</v>
      </c>
      <c r="BJ1839" t="s">
        <v>101</v>
      </c>
      <c r="BK1839" t="s">
        <v>7685</v>
      </c>
      <c r="BL1839" t="s">
        <v>3480</v>
      </c>
      <c r="BM1839" t="s">
        <v>4065</v>
      </c>
      <c r="BN1839" t="s">
        <v>14623</v>
      </c>
    </row>
    <row r="1840" spans="1:66" x14ac:dyDescent="0.25">
      <c r="A1840" t="str">
        <f>HYPERLINK("https://elite.finviz.com/quote.ashx?t=ORMP&amp;ty=c&amp;p=d&amp;b=1", "ORMP")</f>
        <v>ORMP</v>
      </c>
      <c r="B1840">
        <v>6</v>
      </c>
      <c r="C1840">
        <v>127.03</v>
      </c>
      <c r="D1840">
        <v>57.41</v>
      </c>
      <c r="E1840" t="s">
        <v>19899</v>
      </c>
      <c r="F1840" t="s">
        <v>107</v>
      </c>
      <c r="G1840" t="s">
        <v>428</v>
      </c>
      <c r="H1840" t="s">
        <v>429</v>
      </c>
      <c r="I1840" t="s">
        <v>70</v>
      </c>
      <c r="J1840" t="s">
        <v>321</v>
      </c>
      <c r="K1840">
        <v>98.41</v>
      </c>
      <c r="L1840">
        <v>2.4</v>
      </c>
      <c r="M1840" t="s">
        <v>164</v>
      </c>
      <c r="N1840">
        <v>6768</v>
      </c>
      <c r="R1840">
        <v>49.2</v>
      </c>
      <c r="S1840">
        <v>0.63</v>
      </c>
      <c r="AA1840">
        <v>-0.61</v>
      </c>
      <c r="AB1840" t="s">
        <v>10648</v>
      </c>
      <c r="AC1840" t="s">
        <v>902</v>
      </c>
      <c r="AE1840" t="s">
        <v>19900</v>
      </c>
      <c r="AI1840" t="s">
        <v>164</v>
      </c>
      <c r="AJ1840" t="s">
        <v>164</v>
      </c>
      <c r="AK1840" t="s">
        <v>9794</v>
      </c>
      <c r="AL1840">
        <v>26.81</v>
      </c>
      <c r="AM1840">
        <v>26.81</v>
      </c>
      <c r="AN1840">
        <v>0.01</v>
      </c>
      <c r="AO1840" t="s">
        <v>2594</v>
      </c>
      <c r="AP1840" t="s">
        <v>19901</v>
      </c>
      <c r="AQ1840" t="s">
        <v>19902</v>
      </c>
      <c r="AR1840" t="s">
        <v>755</v>
      </c>
      <c r="AS1840" t="s">
        <v>926</v>
      </c>
      <c r="AT1840" t="s">
        <v>305</v>
      </c>
      <c r="AU1840" t="s">
        <v>4815</v>
      </c>
      <c r="AV1840" t="s">
        <v>1160</v>
      </c>
      <c r="AW1840" t="s">
        <v>2998</v>
      </c>
      <c r="AX1840" t="s">
        <v>5095</v>
      </c>
      <c r="AY1840" t="s">
        <v>19037</v>
      </c>
      <c r="AZ1840" t="s">
        <v>2358</v>
      </c>
      <c r="BA1840">
        <v>3</v>
      </c>
      <c r="BB1840">
        <v>81.13</v>
      </c>
      <c r="BC1840">
        <v>0.3</v>
      </c>
      <c r="BD1840">
        <v>2.4</v>
      </c>
      <c r="BE1840">
        <v>2.4</v>
      </c>
      <c r="BF1840">
        <v>2.34</v>
      </c>
      <c r="BG1840" t="s">
        <v>19903</v>
      </c>
      <c r="BH1840" t="s">
        <v>19904</v>
      </c>
      <c r="BI1840" t="s">
        <v>19905</v>
      </c>
      <c r="BJ1840" t="s">
        <v>101</v>
      </c>
      <c r="BK1840" t="s">
        <v>5128</v>
      </c>
      <c r="BL1840" t="s">
        <v>3520</v>
      </c>
      <c r="BM1840" t="s">
        <v>212</v>
      </c>
      <c r="BN1840" t="s">
        <v>14623</v>
      </c>
    </row>
    <row r="1841" spans="1:66" x14ac:dyDescent="0.25">
      <c r="A1841" t="str">
        <f>HYPERLINK("https://elite.finviz.com/quote.ashx?t=LVLU&amp;ty=c&amp;p=d&amp;b=1", "LVLU")</f>
        <v>LVLU</v>
      </c>
      <c r="B1841">
        <v>6</v>
      </c>
      <c r="C1841">
        <v>127.03</v>
      </c>
      <c r="D1841">
        <v>57.46</v>
      </c>
      <c r="E1841" t="s">
        <v>19906</v>
      </c>
      <c r="F1841" t="s">
        <v>107</v>
      </c>
      <c r="G1841" t="s">
        <v>813</v>
      </c>
      <c r="H1841" t="s">
        <v>4488</v>
      </c>
      <c r="I1841" t="s">
        <v>70</v>
      </c>
      <c r="J1841" t="s">
        <v>321</v>
      </c>
      <c r="K1841">
        <v>13.51</v>
      </c>
      <c r="L1841">
        <v>4.91</v>
      </c>
      <c r="M1841" t="s">
        <v>4299</v>
      </c>
      <c r="N1841">
        <v>5616</v>
      </c>
      <c r="R1841">
        <v>0.05</v>
      </c>
      <c r="S1841">
        <v>3.2</v>
      </c>
      <c r="AA1841">
        <v>-17.850000000000001</v>
      </c>
      <c r="AB1841" t="s">
        <v>796</v>
      </c>
      <c r="AC1841" t="s">
        <v>19907</v>
      </c>
      <c r="AE1841" t="s">
        <v>618</v>
      </c>
      <c r="AF1841" t="s">
        <v>4021</v>
      </c>
      <c r="AG1841" t="s">
        <v>10262</v>
      </c>
      <c r="AH1841" t="s">
        <v>3070</v>
      </c>
      <c r="AJ1841" t="s">
        <v>164</v>
      </c>
      <c r="AK1841" t="s">
        <v>5267</v>
      </c>
      <c r="AL1841">
        <v>0.62</v>
      </c>
      <c r="AM1841">
        <v>0.12</v>
      </c>
      <c r="AN1841">
        <v>5.94</v>
      </c>
      <c r="AO1841" t="s">
        <v>16046</v>
      </c>
      <c r="AP1841" t="s">
        <v>9741</v>
      </c>
      <c r="AQ1841" t="s">
        <v>10629</v>
      </c>
      <c r="AR1841" t="s">
        <v>12450</v>
      </c>
      <c r="AS1841" t="s">
        <v>1557</v>
      </c>
      <c r="AT1841" t="s">
        <v>326</v>
      </c>
      <c r="AU1841" t="s">
        <v>672</v>
      </c>
      <c r="AV1841" t="s">
        <v>19908</v>
      </c>
      <c r="AW1841" t="s">
        <v>19909</v>
      </c>
      <c r="AX1841" t="s">
        <v>18153</v>
      </c>
      <c r="AY1841" t="s">
        <v>19910</v>
      </c>
      <c r="AZ1841" t="s">
        <v>18153</v>
      </c>
      <c r="BA1841">
        <v>3</v>
      </c>
      <c r="BB1841">
        <v>183.46</v>
      </c>
      <c r="BC1841">
        <v>0.11</v>
      </c>
      <c r="BD1841">
        <v>4.72</v>
      </c>
      <c r="BE1841">
        <v>4.92</v>
      </c>
      <c r="BF1841">
        <v>4.82</v>
      </c>
      <c r="BG1841" t="s">
        <v>19911</v>
      </c>
      <c r="BH1841" t="s">
        <v>19912</v>
      </c>
      <c r="BI1841" t="s">
        <v>18153</v>
      </c>
      <c r="BJ1841" t="s">
        <v>101</v>
      </c>
      <c r="BK1841" t="s">
        <v>3071</v>
      </c>
      <c r="BL1841" t="s">
        <v>9694</v>
      </c>
      <c r="BM1841" t="s">
        <v>19913</v>
      </c>
      <c r="BN1841" t="s">
        <v>14623</v>
      </c>
    </row>
    <row r="1842" spans="1:66" x14ac:dyDescent="0.25">
      <c r="A1842" t="str">
        <f>HYPERLINK("https://elite.finviz.com/quote.ashx?t=SOUL&amp;ty=c&amp;p=d&amp;b=1", "SOUL")</f>
        <v>SOUL</v>
      </c>
      <c r="B1842">
        <v>6</v>
      </c>
      <c r="C1842">
        <v>127.03</v>
      </c>
      <c r="D1842">
        <v>57.48</v>
      </c>
      <c r="E1842" t="s">
        <v>19914</v>
      </c>
      <c r="F1842" t="s">
        <v>107</v>
      </c>
      <c r="G1842" t="s">
        <v>550</v>
      </c>
      <c r="H1842" t="s">
        <v>2120</v>
      </c>
      <c r="I1842" t="s">
        <v>70</v>
      </c>
      <c r="J1842" t="s">
        <v>71</v>
      </c>
      <c r="K1842">
        <v>271.97000000000003</v>
      </c>
      <c r="L1842">
        <v>10.09</v>
      </c>
      <c r="M1842" t="s">
        <v>2757</v>
      </c>
      <c r="N1842">
        <v>2</v>
      </c>
      <c r="S1842">
        <v>1.37</v>
      </c>
      <c r="AJ1842" t="s">
        <v>2174</v>
      </c>
      <c r="AK1842" t="s">
        <v>9486</v>
      </c>
      <c r="AL1842">
        <v>18.829999999999998</v>
      </c>
      <c r="AM1842">
        <v>18.829999999999998</v>
      </c>
      <c r="AN1842">
        <v>0</v>
      </c>
      <c r="AR1842" t="s">
        <v>4267</v>
      </c>
      <c r="AS1842" t="s">
        <v>4840</v>
      </c>
      <c r="AT1842" t="s">
        <v>4494</v>
      </c>
      <c r="AU1842" t="s">
        <v>430</v>
      </c>
      <c r="AV1842" t="s">
        <v>4801</v>
      </c>
      <c r="AW1842" t="s">
        <v>3431</v>
      </c>
      <c r="AX1842" t="s">
        <v>2881</v>
      </c>
      <c r="AY1842" t="s">
        <v>3431</v>
      </c>
      <c r="AZ1842" t="s">
        <v>4299</v>
      </c>
      <c r="BB1842">
        <v>32.93</v>
      </c>
      <c r="BC1842">
        <v>0</v>
      </c>
      <c r="BD1842">
        <v>10.08</v>
      </c>
      <c r="BE1842">
        <v>10.09</v>
      </c>
      <c r="BF1842">
        <v>10.09</v>
      </c>
      <c r="BG1842" t="s">
        <v>19915</v>
      </c>
      <c r="BH1842" t="s">
        <v>3431</v>
      </c>
      <c r="BI1842" t="s">
        <v>4299</v>
      </c>
      <c r="BJ1842" t="s">
        <v>101</v>
      </c>
      <c r="BK1842" t="s">
        <v>5071</v>
      </c>
      <c r="BN1842" t="s">
        <v>14623</v>
      </c>
    </row>
    <row r="1843" spans="1:66" x14ac:dyDescent="0.25">
      <c r="A1843" t="str">
        <f>HYPERLINK("https://elite.finviz.com/quote.ashx?t=TOMZ&amp;ty=c&amp;p=d&amp;b=1", "TOMZ")</f>
        <v>TOMZ</v>
      </c>
      <c r="B1843">
        <v>6</v>
      </c>
      <c r="C1843">
        <v>127.03</v>
      </c>
      <c r="D1843">
        <v>57.51</v>
      </c>
      <c r="E1843" t="s">
        <v>19916</v>
      </c>
      <c r="F1843" t="s">
        <v>107</v>
      </c>
      <c r="G1843" t="s">
        <v>260</v>
      </c>
      <c r="H1843" t="s">
        <v>4347</v>
      </c>
      <c r="I1843" t="s">
        <v>70</v>
      </c>
      <c r="J1843" t="s">
        <v>321</v>
      </c>
      <c r="K1843">
        <v>20.51</v>
      </c>
      <c r="L1843">
        <v>1.02</v>
      </c>
      <c r="M1843" t="s">
        <v>72</v>
      </c>
      <c r="N1843">
        <v>6255</v>
      </c>
      <c r="P1843">
        <v>17.02</v>
      </c>
      <c r="R1843">
        <v>3.3</v>
      </c>
      <c r="S1843">
        <v>7.7</v>
      </c>
      <c r="AA1843">
        <v>-0.23</v>
      </c>
      <c r="AB1843" t="s">
        <v>4323</v>
      </c>
      <c r="AC1843" t="s">
        <v>7754</v>
      </c>
      <c r="AE1843" t="s">
        <v>16721</v>
      </c>
      <c r="AF1843" t="s">
        <v>2745</v>
      </c>
      <c r="AG1843" t="s">
        <v>4795</v>
      </c>
      <c r="AH1843" t="s">
        <v>19917</v>
      </c>
      <c r="AI1843" t="s">
        <v>579</v>
      </c>
      <c r="AJ1843" t="s">
        <v>164</v>
      </c>
      <c r="AK1843" t="s">
        <v>5907</v>
      </c>
      <c r="AL1843">
        <v>2.08</v>
      </c>
      <c r="AM1843">
        <v>0.72</v>
      </c>
      <c r="AN1843">
        <v>1.26</v>
      </c>
      <c r="AO1843" t="s">
        <v>14884</v>
      </c>
      <c r="AP1843" t="s">
        <v>17346</v>
      </c>
      <c r="AQ1843" t="s">
        <v>19918</v>
      </c>
      <c r="AR1843" t="s">
        <v>3793</v>
      </c>
      <c r="AS1843" t="s">
        <v>1736</v>
      </c>
      <c r="AT1843" t="s">
        <v>7605</v>
      </c>
      <c r="AU1843" t="s">
        <v>12974</v>
      </c>
      <c r="AV1843" t="s">
        <v>6331</v>
      </c>
      <c r="AW1843" t="s">
        <v>19919</v>
      </c>
      <c r="AX1843" t="s">
        <v>11060</v>
      </c>
      <c r="AY1843" t="s">
        <v>19920</v>
      </c>
      <c r="AZ1843" t="s">
        <v>8724</v>
      </c>
      <c r="BA1843">
        <v>1</v>
      </c>
      <c r="BB1843">
        <v>40.53</v>
      </c>
      <c r="BC1843">
        <v>0.54</v>
      </c>
      <c r="BD1843">
        <v>1.05</v>
      </c>
      <c r="BE1843">
        <v>1.0900000000000001</v>
      </c>
      <c r="BF1843">
        <v>1.04</v>
      </c>
      <c r="BG1843" t="s">
        <v>19921</v>
      </c>
      <c r="BH1843" t="s">
        <v>19922</v>
      </c>
      <c r="BI1843" t="s">
        <v>19923</v>
      </c>
      <c r="BJ1843" t="s">
        <v>101</v>
      </c>
      <c r="BK1843" t="s">
        <v>72</v>
      </c>
      <c r="BL1843" t="s">
        <v>13045</v>
      </c>
      <c r="BM1843" t="s">
        <v>3439</v>
      </c>
      <c r="BN1843" t="s">
        <v>14623</v>
      </c>
    </row>
    <row r="1844" spans="1:66" x14ac:dyDescent="0.25">
      <c r="A1844" t="str">
        <f>HYPERLINK("https://elite.finviz.com/quote.ashx?t=QUIK&amp;ty=c&amp;p=d&amp;b=1", "QUIK")</f>
        <v>QUIK</v>
      </c>
      <c r="B1844">
        <v>6</v>
      </c>
      <c r="C1844">
        <v>127.03</v>
      </c>
      <c r="D1844">
        <v>57.52</v>
      </c>
      <c r="E1844" t="s">
        <v>19924</v>
      </c>
      <c r="F1844" t="s">
        <v>107</v>
      </c>
      <c r="G1844" t="s">
        <v>108</v>
      </c>
      <c r="H1844" t="s">
        <v>1808</v>
      </c>
      <c r="I1844" t="s">
        <v>70</v>
      </c>
      <c r="J1844" t="s">
        <v>321</v>
      </c>
      <c r="K1844">
        <v>100.69</v>
      </c>
      <c r="L1844">
        <v>6.13</v>
      </c>
      <c r="M1844" t="s">
        <v>4881</v>
      </c>
      <c r="N1844">
        <v>25681</v>
      </c>
      <c r="P1844">
        <v>40.869999999999997</v>
      </c>
      <c r="R1844">
        <v>5.6</v>
      </c>
      <c r="S1844">
        <v>3.63</v>
      </c>
      <c r="AA1844">
        <v>-0.48</v>
      </c>
      <c r="AB1844" t="s">
        <v>10109</v>
      </c>
      <c r="AC1844" t="s">
        <v>19925</v>
      </c>
      <c r="AE1844" t="s">
        <v>5284</v>
      </c>
      <c r="AF1844" t="s">
        <v>3374</v>
      </c>
      <c r="AG1844" t="s">
        <v>7555</v>
      </c>
      <c r="AH1844" t="s">
        <v>5846</v>
      </c>
      <c r="AI1844" t="s">
        <v>19926</v>
      </c>
      <c r="AJ1844" t="s">
        <v>5913</v>
      </c>
      <c r="AK1844" t="s">
        <v>2334</v>
      </c>
      <c r="AL1844">
        <v>1.25</v>
      </c>
      <c r="AM1844">
        <v>1.21</v>
      </c>
      <c r="AN1844">
        <v>0.64</v>
      </c>
      <c r="AO1844" t="s">
        <v>6311</v>
      </c>
      <c r="AP1844" t="s">
        <v>19927</v>
      </c>
      <c r="AQ1844" t="s">
        <v>4590</v>
      </c>
      <c r="AR1844" t="s">
        <v>2861</v>
      </c>
      <c r="AS1844" t="s">
        <v>8164</v>
      </c>
      <c r="AT1844" t="s">
        <v>6344</v>
      </c>
      <c r="AU1844" t="s">
        <v>1475</v>
      </c>
      <c r="AV1844" t="s">
        <v>8346</v>
      </c>
      <c r="AW1844" t="s">
        <v>16801</v>
      </c>
      <c r="AX1844" t="s">
        <v>19832</v>
      </c>
      <c r="AY1844" t="s">
        <v>14604</v>
      </c>
      <c r="AZ1844" t="s">
        <v>16392</v>
      </c>
      <c r="BA1844">
        <v>1</v>
      </c>
      <c r="BB1844">
        <v>221.22</v>
      </c>
      <c r="BC1844">
        <v>0.41</v>
      </c>
      <c r="BD1844">
        <v>6.05</v>
      </c>
      <c r="BE1844">
        <v>6.15</v>
      </c>
      <c r="BF1844">
        <v>6.02</v>
      </c>
      <c r="BG1844" t="s">
        <v>19928</v>
      </c>
      <c r="BH1844" t="s">
        <v>19929</v>
      </c>
      <c r="BI1844" t="s">
        <v>19930</v>
      </c>
      <c r="BJ1844" t="s">
        <v>101</v>
      </c>
      <c r="BK1844" t="s">
        <v>6541</v>
      </c>
      <c r="BL1844" t="s">
        <v>11494</v>
      </c>
      <c r="BM1844" t="s">
        <v>13143</v>
      </c>
      <c r="BN1844" t="s">
        <v>14623</v>
      </c>
    </row>
    <row r="1845" spans="1:66" x14ac:dyDescent="0.25">
      <c r="A1845" t="str">
        <f>HYPERLINK("https://elite.finviz.com/quote.ashx?t=ADGM&amp;ty=c&amp;p=d&amp;b=1", "ADGM")</f>
        <v>ADGM</v>
      </c>
      <c r="B1845">
        <v>6</v>
      </c>
      <c r="C1845">
        <v>127.03</v>
      </c>
      <c r="D1845">
        <v>57.53</v>
      </c>
      <c r="E1845" t="s">
        <v>19931</v>
      </c>
      <c r="F1845" t="s">
        <v>107</v>
      </c>
      <c r="G1845" t="s">
        <v>428</v>
      </c>
      <c r="H1845" t="s">
        <v>2051</v>
      </c>
      <c r="I1845" t="s">
        <v>70</v>
      </c>
      <c r="J1845" t="s">
        <v>321</v>
      </c>
      <c r="K1845">
        <v>28.91</v>
      </c>
      <c r="L1845">
        <v>1.88</v>
      </c>
      <c r="M1845" t="s">
        <v>1529</v>
      </c>
      <c r="N1845">
        <v>45104</v>
      </c>
      <c r="R1845">
        <v>90.35</v>
      </c>
      <c r="S1845">
        <v>3.34</v>
      </c>
      <c r="AA1845">
        <v>-4.9400000000000004</v>
      </c>
      <c r="AB1845" t="s">
        <v>19932</v>
      </c>
      <c r="AC1845" t="s">
        <v>19933</v>
      </c>
      <c r="AE1845" t="s">
        <v>3270</v>
      </c>
      <c r="AH1845" t="s">
        <v>579</v>
      </c>
      <c r="AJ1845" t="s">
        <v>164</v>
      </c>
      <c r="AK1845" t="s">
        <v>12052</v>
      </c>
      <c r="AL1845">
        <v>2.5</v>
      </c>
      <c r="AM1845">
        <v>2.13</v>
      </c>
      <c r="AN1845">
        <v>2.0499999999999998</v>
      </c>
      <c r="AO1845" t="s">
        <v>19934</v>
      </c>
      <c r="AP1845" t="s">
        <v>19935</v>
      </c>
      <c r="AQ1845" t="s">
        <v>19936</v>
      </c>
      <c r="AR1845" t="s">
        <v>4067</v>
      </c>
      <c r="AS1845" t="s">
        <v>1563</v>
      </c>
      <c r="AT1845" t="s">
        <v>6573</v>
      </c>
      <c r="AU1845" t="s">
        <v>15907</v>
      </c>
      <c r="AV1845" t="s">
        <v>16323</v>
      </c>
      <c r="AW1845" t="s">
        <v>19937</v>
      </c>
      <c r="AX1845" t="s">
        <v>19938</v>
      </c>
      <c r="AY1845" t="s">
        <v>5093</v>
      </c>
      <c r="AZ1845" t="s">
        <v>19939</v>
      </c>
      <c r="BB1845">
        <v>285.83999999999997</v>
      </c>
      <c r="BC1845">
        <v>0.56000000000000005</v>
      </c>
      <c r="BD1845">
        <v>2.0299999999999998</v>
      </c>
      <c r="BE1845">
        <v>2.02</v>
      </c>
      <c r="BF1845">
        <v>1.88</v>
      </c>
      <c r="BG1845" t="s">
        <v>19940</v>
      </c>
      <c r="BH1845" t="s">
        <v>18667</v>
      </c>
      <c r="BI1845" t="s">
        <v>19939</v>
      </c>
      <c r="BJ1845" t="s">
        <v>101</v>
      </c>
      <c r="BK1845" t="s">
        <v>515</v>
      </c>
      <c r="BL1845" t="s">
        <v>19941</v>
      </c>
      <c r="BM1845" t="s">
        <v>19942</v>
      </c>
      <c r="BN1845" t="s">
        <v>14623</v>
      </c>
    </row>
    <row r="1846" spans="1:66" x14ac:dyDescent="0.25">
      <c r="A1846" t="str">
        <f>HYPERLINK("https://elite.finviz.com/quote.ashx?t=DWTX&amp;ty=c&amp;p=d&amp;b=1", "DWTX")</f>
        <v>DWTX</v>
      </c>
      <c r="B1846">
        <v>6</v>
      </c>
      <c r="C1846">
        <v>127.03</v>
      </c>
      <c r="D1846">
        <v>57.54</v>
      </c>
      <c r="E1846" t="s">
        <v>19943</v>
      </c>
      <c r="F1846" t="s">
        <v>107</v>
      </c>
      <c r="G1846" t="s">
        <v>428</v>
      </c>
      <c r="H1846" t="s">
        <v>429</v>
      </c>
      <c r="I1846" t="s">
        <v>70</v>
      </c>
      <c r="J1846" t="s">
        <v>321</v>
      </c>
      <c r="K1846">
        <v>9.83</v>
      </c>
      <c r="L1846">
        <v>5.14</v>
      </c>
      <c r="M1846" t="s">
        <v>4623</v>
      </c>
      <c r="N1846">
        <v>8300</v>
      </c>
      <c r="AA1846">
        <v>-18.79</v>
      </c>
      <c r="AB1846" t="s">
        <v>686</v>
      </c>
      <c r="AC1846" t="s">
        <v>17277</v>
      </c>
      <c r="AD1846" t="s">
        <v>8736</v>
      </c>
      <c r="AI1846" t="s">
        <v>19944</v>
      </c>
      <c r="AJ1846" t="s">
        <v>164</v>
      </c>
      <c r="AK1846" t="s">
        <v>1599</v>
      </c>
      <c r="AL1846">
        <v>7.8</v>
      </c>
      <c r="AM1846">
        <v>7.8</v>
      </c>
      <c r="AN1846">
        <v>0</v>
      </c>
      <c r="AR1846" t="s">
        <v>4254</v>
      </c>
      <c r="AS1846" t="s">
        <v>165</v>
      </c>
      <c r="AT1846" t="s">
        <v>2108</v>
      </c>
      <c r="AU1846" t="s">
        <v>3450</v>
      </c>
      <c r="AV1846" t="s">
        <v>1180</v>
      </c>
      <c r="AW1846" t="s">
        <v>7532</v>
      </c>
      <c r="AX1846" t="s">
        <v>5587</v>
      </c>
      <c r="AY1846" t="s">
        <v>19945</v>
      </c>
      <c r="AZ1846" t="s">
        <v>19946</v>
      </c>
      <c r="BA1846">
        <v>1</v>
      </c>
      <c r="BB1846">
        <v>18.75</v>
      </c>
      <c r="BC1846">
        <v>1.57</v>
      </c>
      <c r="BD1846">
        <v>5.1100000000000003</v>
      </c>
      <c r="BE1846">
        <v>5.14</v>
      </c>
      <c r="BF1846">
        <v>4.97</v>
      </c>
      <c r="BG1846" t="s">
        <v>19947</v>
      </c>
      <c r="BH1846" t="s">
        <v>19948</v>
      </c>
      <c r="BI1846" t="s">
        <v>19946</v>
      </c>
      <c r="BJ1846" t="s">
        <v>101</v>
      </c>
      <c r="BK1846" t="s">
        <v>3076</v>
      </c>
      <c r="BL1846" t="s">
        <v>19949</v>
      </c>
      <c r="BM1846" t="s">
        <v>6348</v>
      </c>
      <c r="BN1846" t="s">
        <v>14623</v>
      </c>
    </row>
    <row r="1847" spans="1:66" x14ac:dyDescent="0.25">
      <c r="A1847" t="str">
        <f>HYPERLINK("https://elite.finviz.com/quote.ashx?t=MVO&amp;ty=c&amp;p=d&amp;b=1", "MVO")</f>
        <v>MVO</v>
      </c>
      <c r="B1847">
        <v>6</v>
      </c>
      <c r="C1847">
        <v>127.03</v>
      </c>
      <c r="D1847">
        <v>57.56</v>
      </c>
      <c r="E1847" t="s">
        <v>19950</v>
      </c>
      <c r="F1847" t="s">
        <v>107</v>
      </c>
      <c r="G1847" t="s">
        <v>1048</v>
      </c>
      <c r="H1847" t="s">
        <v>1049</v>
      </c>
      <c r="I1847" t="s">
        <v>70</v>
      </c>
      <c r="J1847" t="s">
        <v>71</v>
      </c>
      <c r="K1847">
        <v>70.040000000000006</v>
      </c>
      <c r="L1847">
        <v>6.09</v>
      </c>
      <c r="M1847" t="s">
        <v>2290</v>
      </c>
      <c r="N1847">
        <v>6868</v>
      </c>
      <c r="O1847">
        <v>4.8499999999999996</v>
      </c>
      <c r="R1847">
        <v>4.5599999999999996</v>
      </c>
      <c r="S1847">
        <v>23.83</v>
      </c>
      <c r="T1847" t="s">
        <v>7629</v>
      </c>
      <c r="U1847">
        <v>1.03</v>
      </c>
      <c r="V1847" t="s">
        <v>7944</v>
      </c>
      <c r="W1847" t="s">
        <v>1749</v>
      </c>
      <c r="X1847" t="s">
        <v>10359</v>
      </c>
      <c r="Y1847" t="s">
        <v>4437</v>
      </c>
      <c r="Z1847" t="s">
        <v>1647</v>
      </c>
      <c r="AA1847">
        <v>1.25</v>
      </c>
      <c r="AB1847" t="s">
        <v>874</v>
      </c>
      <c r="AC1847" t="s">
        <v>2678</v>
      </c>
      <c r="AE1847" t="s">
        <v>4213</v>
      </c>
      <c r="AF1847" t="s">
        <v>310</v>
      </c>
      <c r="AG1847" t="s">
        <v>2816</v>
      </c>
      <c r="AH1847" t="s">
        <v>10962</v>
      </c>
      <c r="AJ1847" t="s">
        <v>164</v>
      </c>
      <c r="AK1847" t="s">
        <v>4976</v>
      </c>
      <c r="AN1847">
        <v>0</v>
      </c>
      <c r="AO1847" t="s">
        <v>14089</v>
      </c>
      <c r="AP1847" t="s">
        <v>10660</v>
      </c>
      <c r="AQ1847" t="s">
        <v>10660</v>
      </c>
      <c r="AR1847" t="s">
        <v>4759</v>
      </c>
      <c r="AS1847" t="s">
        <v>1952</v>
      </c>
      <c r="AT1847" t="s">
        <v>6572</v>
      </c>
      <c r="AU1847" t="s">
        <v>2662</v>
      </c>
      <c r="AV1847" t="s">
        <v>2263</v>
      </c>
      <c r="AW1847" t="s">
        <v>5159</v>
      </c>
      <c r="AX1847" t="s">
        <v>3335</v>
      </c>
      <c r="AY1847" t="s">
        <v>8833</v>
      </c>
      <c r="AZ1847" t="s">
        <v>16590</v>
      </c>
      <c r="BB1847">
        <v>69.92</v>
      </c>
      <c r="BC1847">
        <v>0.35</v>
      </c>
      <c r="BD1847">
        <v>6.07</v>
      </c>
      <c r="BE1847">
        <v>6.1</v>
      </c>
      <c r="BF1847">
        <v>6.06</v>
      </c>
      <c r="BG1847" t="s">
        <v>19951</v>
      </c>
      <c r="BH1847" t="s">
        <v>19952</v>
      </c>
      <c r="BI1847" t="s">
        <v>19953</v>
      </c>
      <c r="BJ1847" t="s">
        <v>101</v>
      </c>
      <c r="BK1847" t="s">
        <v>3204</v>
      </c>
      <c r="BL1847" t="s">
        <v>4641</v>
      </c>
      <c r="BM1847" t="s">
        <v>17318</v>
      </c>
      <c r="BN1847" t="s">
        <v>14623</v>
      </c>
    </row>
    <row r="1848" spans="1:66" x14ac:dyDescent="0.25">
      <c r="A1848" t="str">
        <f>HYPERLINK("https://elite.finviz.com/quote.ashx?t=LILA&amp;ty=c&amp;p=d&amp;b=1", "LILA")</f>
        <v>LILA</v>
      </c>
      <c r="B1848">
        <v>6</v>
      </c>
      <c r="C1848">
        <v>127.03</v>
      </c>
      <c r="D1848">
        <v>57.56</v>
      </c>
      <c r="E1848" t="s">
        <v>10280</v>
      </c>
      <c r="F1848" t="s">
        <v>67</v>
      </c>
      <c r="G1848" t="s">
        <v>598</v>
      </c>
      <c r="H1848" t="s">
        <v>6147</v>
      </c>
      <c r="I1848" t="s">
        <v>70</v>
      </c>
      <c r="J1848" t="s">
        <v>321</v>
      </c>
      <c r="K1848">
        <v>1642.14</v>
      </c>
      <c r="L1848">
        <v>8.09</v>
      </c>
      <c r="M1848" t="s">
        <v>1648</v>
      </c>
      <c r="N1848">
        <v>40738</v>
      </c>
      <c r="P1848">
        <v>42.53</v>
      </c>
      <c r="R1848">
        <v>0.37</v>
      </c>
      <c r="S1848">
        <v>2.66</v>
      </c>
      <c r="AA1848">
        <v>-5.93</v>
      </c>
      <c r="AB1848" t="s">
        <v>10281</v>
      </c>
      <c r="AC1848" t="s">
        <v>10282</v>
      </c>
      <c r="AE1848" t="s">
        <v>9475</v>
      </c>
      <c r="AF1848" t="s">
        <v>4124</v>
      </c>
      <c r="AG1848" t="s">
        <v>5425</v>
      </c>
      <c r="AH1848" t="s">
        <v>4646</v>
      </c>
      <c r="AI1848" t="s">
        <v>19954</v>
      </c>
      <c r="AJ1848" t="s">
        <v>2215</v>
      </c>
      <c r="AK1848" t="s">
        <v>6413</v>
      </c>
      <c r="AL1848">
        <v>1.08</v>
      </c>
      <c r="AM1848">
        <v>1.08</v>
      </c>
      <c r="AN1848">
        <v>14.28</v>
      </c>
      <c r="AO1848" t="s">
        <v>1774</v>
      </c>
      <c r="AP1848" t="s">
        <v>8814</v>
      </c>
      <c r="AQ1848" t="s">
        <v>10285</v>
      </c>
      <c r="AR1848" t="s">
        <v>5779</v>
      </c>
      <c r="AS1848" t="s">
        <v>5188</v>
      </c>
      <c r="AT1848" t="s">
        <v>3544</v>
      </c>
      <c r="AU1848" t="s">
        <v>2945</v>
      </c>
      <c r="AV1848" t="s">
        <v>4460</v>
      </c>
      <c r="AW1848" t="s">
        <v>4439</v>
      </c>
      <c r="AX1848" t="s">
        <v>17189</v>
      </c>
      <c r="AY1848" t="s">
        <v>19955</v>
      </c>
      <c r="AZ1848" t="s">
        <v>19956</v>
      </c>
      <c r="BA1848">
        <v>2</v>
      </c>
      <c r="BB1848">
        <v>440.35</v>
      </c>
      <c r="BC1848">
        <v>0.33</v>
      </c>
      <c r="BD1848">
        <v>8.1</v>
      </c>
      <c r="BE1848">
        <v>8.19</v>
      </c>
      <c r="BF1848">
        <v>8.07</v>
      </c>
      <c r="BG1848" t="s">
        <v>19957</v>
      </c>
      <c r="BH1848" t="s">
        <v>19958</v>
      </c>
      <c r="BI1848" t="s">
        <v>19956</v>
      </c>
      <c r="BJ1848" t="s">
        <v>101</v>
      </c>
      <c r="BK1848" t="s">
        <v>9304</v>
      </c>
      <c r="BL1848" t="s">
        <v>3548</v>
      </c>
      <c r="BM1848" t="s">
        <v>5266</v>
      </c>
      <c r="BN1848" t="s">
        <v>14623</v>
      </c>
    </row>
    <row r="1849" spans="1:66" x14ac:dyDescent="0.25">
      <c r="A1849" t="str">
        <f>HYPERLINK("https://elite.finviz.com/quote.ashx?t=EGHT&amp;ty=c&amp;p=d&amp;b=1", "EGHT")</f>
        <v>EGHT</v>
      </c>
      <c r="B1849">
        <v>6</v>
      </c>
      <c r="C1849">
        <v>127.03</v>
      </c>
      <c r="D1849">
        <v>57.56</v>
      </c>
      <c r="E1849" t="s">
        <v>19959</v>
      </c>
      <c r="F1849" t="s">
        <v>67</v>
      </c>
      <c r="G1849" t="s">
        <v>108</v>
      </c>
      <c r="H1849" t="s">
        <v>136</v>
      </c>
      <c r="I1849" t="s">
        <v>70</v>
      </c>
      <c r="J1849" t="s">
        <v>321</v>
      </c>
      <c r="K1849">
        <v>302.06</v>
      </c>
      <c r="L1849">
        <v>2.21</v>
      </c>
      <c r="M1849" t="s">
        <v>822</v>
      </c>
      <c r="N1849">
        <v>122759</v>
      </c>
      <c r="P1849">
        <v>6.33</v>
      </c>
      <c r="R1849">
        <v>0.42</v>
      </c>
      <c r="S1849">
        <v>2.35</v>
      </c>
      <c r="AA1849">
        <v>-0.16</v>
      </c>
      <c r="AB1849" t="s">
        <v>832</v>
      </c>
      <c r="AC1849" t="s">
        <v>9155</v>
      </c>
      <c r="AD1849" t="s">
        <v>2364</v>
      </c>
      <c r="AE1849" t="s">
        <v>9084</v>
      </c>
      <c r="AF1849" t="s">
        <v>3170</v>
      </c>
      <c r="AG1849" t="s">
        <v>4728</v>
      </c>
      <c r="AH1849" t="s">
        <v>7338</v>
      </c>
      <c r="AI1849" t="s">
        <v>5187</v>
      </c>
      <c r="AJ1849" t="s">
        <v>7455</v>
      </c>
      <c r="AK1849" t="s">
        <v>5523</v>
      </c>
      <c r="AL1849">
        <v>1.01</v>
      </c>
      <c r="AM1849">
        <v>1.01</v>
      </c>
      <c r="AN1849">
        <v>3.07</v>
      </c>
      <c r="AO1849" t="s">
        <v>19960</v>
      </c>
      <c r="AP1849" t="s">
        <v>3208</v>
      </c>
      <c r="AQ1849" t="s">
        <v>6105</v>
      </c>
      <c r="AR1849" t="s">
        <v>334</v>
      </c>
      <c r="AS1849" t="s">
        <v>322</v>
      </c>
      <c r="AT1849" t="s">
        <v>275</v>
      </c>
      <c r="AU1849" t="s">
        <v>6587</v>
      </c>
      <c r="AV1849" t="s">
        <v>5660</v>
      </c>
      <c r="AW1849" t="s">
        <v>6985</v>
      </c>
      <c r="AX1849" t="s">
        <v>9005</v>
      </c>
      <c r="AY1849" t="s">
        <v>19961</v>
      </c>
      <c r="AZ1849" t="s">
        <v>8587</v>
      </c>
      <c r="BA1849">
        <v>2.71</v>
      </c>
      <c r="BB1849">
        <v>805.03</v>
      </c>
      <c r="BC1849">
        <v>0.54</v>
      </c>
      <c r="BD1849">
        <v>2.21</v>
      </c>
      <c r="BE1849">
        <v>2.2599999999999998</v>
      </c>
      <c r="BF1849">
        <v>2.2000000000000002</v>
      </c>
      <c r="BG1849" t="s">
        <v>19962</v>
      </c>
      <c r="BH1849" t="s">
        <v>19963</v>
      </c>
      <c r="BI1849" t="s">
        <v>19964</v>
      </c>
      <c r="BJ1849" t="s">
        <v>101</v>
      </c>
      <c r="BK1849" t="s">
        <v>11039</v>
      </c>
      <c r="BL1849" t="s">
        <v>4824</v>
      </c>
      <c r="BM1849" t="s">
        <v>3560</v>
      </c>
      <c r="BN1849" t="s">
        <v>14623</v>
      </c>
    </row>
    <row r="1850" spans="1:66" x14ac:dyDescent="0.25">
      <c r="A1850" t="str">
        <f>HYPERLINK("https://elite.finviz.com/quote.ashx?t=ISTR&amp;ty=c&amp;p=d&amp;b=1", "ISTR")</f>
        <v>ISTR</v>
      </c>
      <c r="B1850">
        <v>6</v>
      </c>
      <c r="C1850">
        <v>127.03</v>
      </c>
      <c r="D1850">
        <v>57.56</v>
      </c>
      <c r="E1850" t="s">
        <v>19965</v>
      </c>
      <c r="F1850" t="s">
        <v>67</v>
      </c>
      <c r="G1850" t="s">
        <v>550</v>
      </c>
      <c r="H1850" t="s">
        <v>697</v>
      </c>
      <c r="I1850" t="s">
        <v>70</v>
      </c>
      <c r="J1850" t="s">
        <v>321</v>
      </c>
      <c r="K1850">
        <v>229.43</v>
      </c>
      <c r="L1850">
        <v>23.35</v>
      </c>
      <c r="M1850" t="s">
        <v>497</v>
      </c>
      <c r="N1850">
        <v>7064</v>
      </c>
      <c r="O1850">
        <v>10.44</v>
      </c>
      <c r="P1850">
        <v>8.77</v>
      </c>
      <c r="Q1850">
        <v>0.53</v>
      </c>
      <c r="R1850">
        <v>1.48</v>
      </c>
      <c r="S1850">
        <v>0.9</v>
      </c>
      <c r="T1850" t="s">
        <v>2087</v>
      </c>
      <c r="U1850">
        <v>0.42</v>
      </c>
      <c r="V1850" t="s">
        <v>198</v>
      </c>
      <c r="W1850" t="s">
        <v>6430</v>
      </c>
      <c r="X1850" t="s">
        <v>8650</v>
      </c>
      <c r="Y1850" t="s">
        <v>10221</v>
      </c>
      <c r="Z1850" t="s">
        <v>3663</v>
      </c>
      <c r="AA1850">
        <v>2.2400000000000002</v>
      </c>
      <c r="AB1850" t="s">
        <v>19966</v>
      </c>
      <c r="AC1850" t="s">
        <v>4690</v>
      </c>
      <c r="AD1850" t="s">
        <v>18702</v>
      </c>
      <c r="AE1850" t="s">
        <v>7484</v>
      </c>
      <c r="AF1850" t="s">
        <v>9864</v>
      </c>
      <c r="AG1850" t="s">
        <v>1585</v>
      </c>
      <c r="AH1850" t="s">
        <v>6265</v>
      </c>
      <c r="AI1850" t="s">
        <v>3003</v>
      </c>
      <c r="AJ1850" t="s">
        <v>164</v>
      </c>
      <c r="AK1850" t="s">
        <v>10043</v>
      </c>
      <c r="AL1850">
        <v>0.06</v>
      </c>
      <c r="AN1850">
        <v>0.42</v>
      </c>
      <c r="AP1850" t="s">
        <v>9972</v>
      </c>
      <c r="AQ1850" t="s">
        <v>3965</v>
      </c>
      <c r="AR1850" t="s">
        <v>2186</v>
      </c>
      <c r="AS1850" t="s">
        <v>2217</v>
      </c>
      <c r="AT1850" t="s">
        <v>5166</v>
      </c>
      <c r="AU1850" t="s">
        <v>1088</v>
      </c>
      <c r="AV1850" t="s">
        <v>802</v>
      </c>
      <c r="AW1850" t="s">
        <v>3286</v>
      </c>
      <c r="AX1850" t="s">
        <v>3920</v>
      </c>
      <c r="AY1850" t="s">
        <v>8654</v>
      </c>
      <c r="AZ1850" t="s">
        <v>10725</v>
      </c>
      <c r="BA1850">
        <v>1</v>
      </c>
      <c r="BB1850">
        <v>41.35</v>
      </c>
      <c r="BC1850">
        <v>0.61</v>
      </c>
      <c r="BD1850">
        <v>23.3</v>
      </c>
      <c r="BE1850">
        <v>23.41</v>
      </c>
      <c r="BF1850">
        <v>23.29</v>
      </c>
      <c r="BG1850" t="s">
        <v>19967</v>
      </c>
      <c r="BH1850" t="s">
        <v>3565</v>
      </c>
      <c r="BI1850" t="s">
        <v>19968</v>
      </c>
      <c r="BJ1850" t="s">
        <v>101</v>
      </c>
      <c r="BK1850" t="s">
        <v>339</v>
      </c>
      <c r="BL1850" t="s">
        <v>19969</v>
      </c>
      <c r="BM1850" t="s">
        <v>3052</v>
      </c>
      <c r="BN1850" t="s">
        <v>14623</v>
      </c>
    </row>
    <row r="1851" spans="1:66" x14ac:dyDescent="0.25">
      <c r="A1851" t="str">
        <f>HYPERLINK("https://elite.finviz.com/quote.ashx?t=CTNM&amp;ty=c&amp;p=d&amp;b=1", "CTNM")</f>
        <v>CTNM</v>
      </c>
      <c r="B1851">
        <v>6</v>
      </c>
      <c r="C1851">
        <v>127.03</v>
      </c>
      <c r="D1851">
        <v>57.58</v>
      </c>
      <c r="E1851" t="s">
        <v>19970</v>
      </c>
      <c r="F1851" t="s">
        <v>107</v>
      </c>
      <c r="G1851" t="s">
        <v>428</v>
      </c>
      <c r="H1851" t="s">
        <v>429</v>
      </c>
      <c r="I1851" t="s">
        <v>70</v>
      </c>
      <c r="J1851" t="s">
        <v>321</v>
      </c>
      <c r="K1851">
        <v>325</v>
      </c>
      <c r="L1851">
        <v>11.59</v>
      </c>
      <c r="M1851" t="s">
        <v>8855</v>
      </c>
      <c r="N1851">
        <v>31643</v>
      </c>
      <c r="S1851">
        <v>1.75</v>
      </c>
      <c r="AA1851">
        <v>-2.2000000000000002</v>
      </c>
      <c r="AB1851" t="s">
        <v>9509</v>
      </c>
      <c r="AD1851" t="s">
        <v>10065</v>
      </c>
      <c r="AE1851" t="s">
        <v>579</v>
      </c>
      <c r="AI1851" t="s">
        <v>18216</v>
      </c>
      <c r="AJ1851" t="s">
        <v>164</v>
      </c>
      <c r="AK1851" t="s">
        <v>19971</v>
      </c>
      <c r="AL1851">
        <v>24.51</v>
      </c>
      <c r="AM1851">
        <v>24.51</v>
      </c>
      <c r="AN1851">
        <v>0.03</v>
      </c>
      <c r="AR1851" t="s">
        <v>1064</v>
      </c>
      <c r="AS1851" t="s">
        <v>2748</v>
      </c>
      <c r="AT1851" t="s">
        <v>770</v>
      </c>
      <c r="AU1851" t="s">
        <v>6839</v>
      </c>
      <c r="AV1851" t="s">
        <v>7809</v>
      </c>
      <c r="AW1851" t="s">
        <v>5299</v>
      </c>
      <c r="AX1851" t="s">
        <v>19972</v>
      </c>
      <c r="AY1851" t="s">
        <v>10603</v>
      </c>
      <c r="AZ1851" t="s">
        <v>19973</v>
      </c>
      <c r="BA1851">
        <v>1.1399999999999999</v>
      </c>
      <c r="BB1851">
        <v>283.31</v>
      </c>
      <c r="BC1851">
        <v>0.39</v>
      </c>
      <c r="BD1851">
        <v>10.86</v>
      </c>
      <c r="BE1851">
        <v>11.5</v>
      </c>
      <c r="BF1851">
        <v>11.01</v>
      </c>
      <c r="BG1851" t="s">
        <v>19974</v>
      </c>
      <c r="BH1851" t="s">
        <v>6244</v>
      </c>
      <c r="BI1851" t="s">
        <v>19973</v>
      </c>
      <c r="BJ1851" t="s">
        <v>101</v>
      </c>
      <c r="BK1851" t="s">
        <v>19975</v>
      </c>
      <c r="BL1851" t="s">
        <v>10314</v>
      </c>
      <c r="BM1851" t="s">
        <v>12825</v>
      </c>
      <c r="BN1851" t="s">
        <v>14623</v>
      </c>
    </row>
    <row r="1852" spans="1:66" x14ac:dyDescent="0.25">
      <c r="A1852" t="str">
        <f>HYPERLINK("https://elite.finviz.com/quote.ashx?t=COSO&amp;ty=c&amp;p=d&amp;b=1", "COSO")</f>
        <v>COSO</v>
      </c>
      <c r="B1852">
        <v>6</v>
      </c>
      <c r="C1852">
        <v>127.03</v>
      </c>
      <c r="D1852">
        <v>57.59</v>
      </c>
      <c r="E1852" t="s">
        <v>19976</v>
      </c>
      <c r="F1852" t="s">
        <v>67</v>
      </c>
      <c r="G1852" t="s">
        <v>550</v>
      </c>
      <c r="H1852" t="s">
        <v>697</v>
      </c>
      <c r="I1852" t="s">
        <v>70</v>
      </c>
      <c r="J1852" t="s">
        <v>71</v>
      </c>
      <c r="K1852">
        <v>276.60000000000002</v>
      </c>
      <c r="L1852">
        <v>23.09</v>
      </c>
      <c r="M1852" t="s">
        <v>4759</v>
      </c>
      <c r="N1852">
        <v>1016</v>
      </c>
      <c r="O1852">
        <v>9.9499999999999993</v>
      </c>
      <c r="R1852">
        <v>2.0699999999999998</v>
      </c>
      <c r="S1852">
        <v>1.1299999999999999</v>
      </c>
      <c r="Z1852" t="s">
        <v>164</v>
      </c>
      <c r="AA1852">
        <v>2.3199999999999998</v>
      </c>
      <c r="AB1852" t="s">
        <v>2471</v>
      </c>
      <c r="AC1852" t="s">
        <v>12647</v>
      </c>
      <c r="AE1852" t="s">
        <v>9830</v>
      </c>
      <c r="AF1852" t="s">
        <v>3762</v>
      </c>
      <c r="AG1852" t="s">
        <v>8244</v>
      </c>
      <c r="AH1852" t="s">
        <v>1776</v>
      </c>
      <c r="AI1852" t="s">
        <v>2694</v>
      </c>
      <c r="AJ1852" t="s">
        <v>1088</v>
      </c>
      <c r="AK1852" t="s">
        <v>12048</v>
      </c>
      <c r="AL1852">
        <v>0.08</v>
      </c>
      <c r="AN1852">
        <v>0.09</v>
      </c>
      <c r="AP1852" t="s">
        <v>4181</v>
      </c>
      <c r="AQ1852" t="s">
        <v>7273</v>
      </c>
      <c r="AR1852" t="s">
        <v>4256</v>
      </c>
      <c r="AS1852" t="s">
        <v>4658</v>
      </c>
      <c r="AT1852" t="s">
        <v>6463</v>
      </c>
      <c r="AU1852" t="s">
        <v>1474</v>
      </c>
      <c r="AV1852" t="s">
        <v>9545</v>
      </c>
      <c r="AW1852" t="s">
        <v>11628</v>
      </c>
      <c r="AX1852" t="s">
        <v>876</v>
      </c>
      <c r="AY1852" t="s">
        <v>11628</v>
      </c>
      <c r="AZ1852" t="s">
        <v>876</v>
      </c>
      <c r="BA1852">
        <v>1</v>
      </c>
      <c r="BB1852">
        <v>43.53</v>
      </c>
      <c r="BC1852">
        <v>0.08</v>
      </c>
      <c r="BD1852">
        <v>22.87</v>
      </c>
      <c r="BE1852">
        <v>22.87</v>
      </c>
      <c r="BF1852">
        <v>22.87</v>
      </c>
      <c r="BG1852" t="s">
        <v>19977</v>
      </c>
      <c r="BH1852" t="s">
        <v>11153</v>
      </c>
      <c r="BI1852" t="s">
        <v>19978</v>
      </c>
      <c r="BJ1852" t="s">
        <v>101</v>
      </c>
      <c r="BK1852" t="s">
        <v>5460</v>
      </c>
      <c r="BL1852" t="s">
        <v>1960</v>
      </c>
      <c r="BM1852" t="s">
        <v>16876</v>
      </c>
      <c r="BN1852" t="s">
        <v>14623</v>
      </c>
    </row>
    <row r="1853" spans="1:66" x14ac:dyDescent="0.25">
      <c r="A1853" t="str">
        <f>HYPERLINK("https://elite.finviz.com/quote.ashx?t=PAHC&amp;ty=c&amp;p=d&amp;b=1", "PAHC")</f>
        <v>PAHC</v>
      </c>
      <c r="B1853">
        <v>6</v>
      </c>
      <c r="C1853">
        <v>127.03</v>
      </c>
      <c r="D1853">
        <v>57.64</v>
      </c>
      <c r="E1853" t="s">
        <v>19979</v>
      </c>
      <c r="F1853" t="s">
        <v>67</v>
      </c>
      <c r="G1853" t="s">
        <v>428</v>
      </c>
      <c r="H1853" t="s">
        <v>1296</v>
      </c>
      <c r="I1853" t="s">
        <v>70</v>
      </c>
      <c r="J1853" t="s">
        <v>321</v>
      </c>
      <c r="K1853">
        <v>1565</v>
      </c>
      <c r="L1853">
        <v>38.61</v>
      </c>
      <c r="M1853" t="s">
        <v>4780</v>
      </c>
      <c r="N1853">
        <v>41458</v>
      </c>
      <c r="O1853">
        <v>32.549999999999997</v>
      </c>
      <c r="P1853">
        <v>13.26</v>
      </c>
      <c r="Q1853">
        <v>2.0499999999999998</v>
      </c>
      <c r="R1853">
        <v>1.21</v>
      </c>
      <c r="S1853">
        <v>5.48</v>
      </c>
      <c r="T1853" t="s">
        <v>2650</v>
      </c>
      <c r="U1853">
        <v>0.48</v>
      </c>
      <c r="V1853" t="s">
        <v>7315</v>
      </c>
      <c r="W1853" t="s">
        <v>164</v>
      </c>
      <c r="X1853" t="s">
        <v>164</v>
      </c>
      <c r="Y1853" t="s">
        <v>164</v>
      </c>
      <c r="Z1853" t="s">
        <v>14022</v>
      </c>
      <c r="AA1853">
        <v>1.19</v>
      </c>
      <c r="AB1853" t="s">
        <v>10808</v>
      </c>
      <c r="AC1853" t="s">
        <v>3228</v>
      </c>
      <c r="AD1853" t="s">
        <v>9860</v>
      </c>
      <c r="AE1853" t="s">
        <v>7578</v>
      </c>
      <c r="AF1853" t="s">
        <v>2740</v>
      </c>
      <c r="AG1853" t="s">
        <v>3099</v>
      </c>
      <c r="AH1853" t="s">
        <v>19980</v>
      </c>
      <c r="AI1853" t="s">
        <v>9789</v>
      </c>
      <c r="AJ1853" t="s">
        <v>770</v>
      </c>
      <c r="AK1853" t="s">
        <v>17522</v>
      </c>
      <c r="AL1853">
        <v>2.76</v>
      </c>
      <c r="AM1853">
        <v>1.25</v>
      </c>
      <c r="AN1853">
        <v>2.67</v>
      </c>
      <c r="AO1853" t="s">
        <v>11541</v>
      </c>
      <c r="AP1853" t="s">
        <v>827</v>
      </c>
      <c r="AQ1853" t="s">
        <v>1050</v>
      </c>
      <c r="AR1853" t="s">
        <v>911</v>
      </c>
      <c r="AS1853" t="s">
        <v>353</v>
      </c>
      <c r="AT1853" t="s">
        <v>4953</v>
      </c>
      <c r="AU1853" t="s">
        <v>11141</v>
      </c>
      <c r="AV1853" t="s">
        <v>19981</v>
      </c>
      <c r="AW1853" t="s">
        <v>3792</v>
      </c>
      <c r="AX1853" t="s">
        <v>10486</v>
      </c>
      <c r="AY1853" t="s">
        <v>3792</v>
      </c>
      <c r="AZ1853" t="s">
        <v>18020</v>
      </c>
      <c r="BA1853">
        <v>2.75</v>
      </c>
      <c r="BB1853">
        <v>339.3</v>
      </c>
      <c r="BC1853">
        <v>0.43</v>
      </c>
      <c r="BD1853">
        <v>38.04</v>
      </c>
      <c r="BE1853">
        <v>38.630000000000003</v>
      </c>
      <c r="BF1853">
        <v>38.22</v>
      </c>
      <c r="BG1853" t="s">
        <v>19982</v>
      </c>
      <c r="BH1853" t="s">
        <v>19983</v>
      </c>
      <c r="BI1853" t="s">
        <v>19984</v>
      </c>
      <c r="BJ1853" t="s">
        <v>101</v>
      </c>
      <c r="BK1853" t="s">
        <v>4060</v>
      </c>
      <c r="BL1853" t="s">
        <v>19985</v>
      </c>
      <c r="BM1853" t="s">
        <v>19986</v>
      </c>
      <c r="BN1853" t="s">
        <v>14623</v>
      </c>
    </row>
    <row r="1854" spans="1:66" x14ac:dyDescent="0.25">
      <c r="A1854" t="str">
        <f>HYPERLINK("https://elite.finviz.com/quote.ashx?t=VPG&amp;ty=c&amp;p=d&amp;b=1", "VPG")</f>
        <v>VPG</v>
      </c>
      <c r="B1854">
        <v>6</v>
      </c>
      <c r="C1854">
        <v>127.03</v>
      </c>
      <c r="D1854">
        <v>57.68</v>
      </c>
      <c r="E1854" t="s">
        <v>19987</v>
      </c>
      <c r="F1854" t="s">
        <v>67</v>
      </c>
      <c r="G1854" t="s">
        <v>108</v>
      </c>
      <c r="H1854" t="s">
        <v>9222</v>
      </c>
      <c r="I1854" t="s">
        <v>70</v>
      </c>
      <c r="J1854" t="s">
        <v>71</v>
      </c>
      <c r="K1854">
        <v>420.02</v>
      </c>
      <c r="L1854">
        <v>31.63</v>
      </c>
      <c r="M1854" t="s">
        <v>7270</v>
      </c>
      <c r="N1854">
        <v>8608</v>
      </c>
      <c r="P1854">
        <v>25.41</v>
      </c>
      <c r="R1854">
        <v>1.42</v>
      </c>
      <c r="S1854">
        <v>1.27</v>
      </c>
      <c r="Z1854" t="s">
        <v>164</v>
      </c>
      <c r="AA1854">
        <v>-0.1</v>
      </c>
      <c r="AB1854" t="s">
        <v>1197</v>
      </c>
      <c r="AC1854" t="s">
        <v>3473</v>
      </c>
      <c r="AE1854" t="s">
        <v>2375</v>
      </c>
      <c r="AF1854" t="s">
        <v>2518</v>
      </c>
      <c r="AG1854" t="s">
        <v>2572</v>
      </c>
      <c r="AH1854" t="s">
        <v>4257</v>
      </c>
      <c r="AI1854" t="s">
        <v>6768</v>
      </c>
      <c r="AJ1854" t="s">
        <v>2213</v>
      </c>
      <c r="AK1854" t="s">
        <v>1288</v>
      </c>
      <c r="AL1854">
        <v>4.3499999999999996</v>
      </c>
      <c r="AM1854">
        <v>2.87</v>
      </c>
      <c r="AN1854">
        <v>0.17</v>
      </c>
      <c r="AO1854" t="s">
        <v>18806</v>
      </c>
      <c r="AP1854" t="s">
        <v>90</v>
      </c>
      <c r="AQ1854" t="s">
        <v>7346</v>
      </c>
      <c r="AR1854" t="s">
        <v>4976</v>
      </c>
      <c r="AS1854" t="s">
        <v>1088</v>
      </c>
      <c r="AT1854" t="s">
        <v>5071</v>
      </c>
      <c r="AU1854" t="s">
        <v>2237</v>
      </c>
      <c r="AV1854" t="s">
        <v>8207</v>
      </c>
      <c r="AW1854" t="s">
        <v>2355</v>
      </c>
      <c r="AX1854" t="s">
        <v>7790</v>
      </c>
      <c r="AY1854" t="s">
        <v>2355</v>
      </c>
      <c r="AZ1854" t="s">
        <v>19988</v>
      </c>
      <c r="BA1854">
        <v>1</v>
      </c>
      <c r="BB1854">
        <v>111.07</v>
      </c>
      <c r="BC1854">
        <v>0.27</v>
      </c>
      <c r="BD1854">
        <v>31.82</v>
      </c>
      <c r="BE1854">
        <v>31.92</v>
      </c>
      <c r="BF1854">
        <v>31.34</v>
      </c>
      <c r="BG1854" t="s">
        <v>19989</v>
      </c>
      <c r="BH1854" t="s">
        <v>4959</v>
      </c>
      <c r="BI1854" t="s">
        <v>19990</v>
      </c>
      <c r="BJ1854" t="s">
        <v>101</v>
      </c>
      <c r="BK1854" t="s">
        <v>1206</v>
      </c>
      <c r="BL1854" t="s">
        <v>9081</v>
      </c>
      <c r="BM1854" t="s">
        <v>19991</v>
      </c>
      <c r="BN1854" t="s">
        <v>14623</v>
      </c>
    </row>
    <row r="1855" spans="1:66" x14ac:dyDescent="0.25">
      <c r="A1855" t="str">
        <f>HYPERLINK("https://elite.finviz.com/quote.ashx?t=DUOT&amp;ty=c&amp;p=d&amp;b=1", "DUOT")</f>
        <v>DUOT</v>
      </c>
      <c r="B1855">
        <v>6</v>
      </c>
      <c r="C1855">
        <v>127.03</v>
      </c>
      <c r="D1855">
        <v>57.75</v>
      </c>
      <c r="E1855" t="s">
        <v>19992</v>
      </c>
      <c r="F1855" t="s">
        <v>107</v>
      </c>
      <c r="G1855" t="s">
        <v>108</v>
      </c>
      <c r="H1855" t="s">
        <v>136</v>
      </c>
      <c r="I1855" t="s">
        <v>70</v>
      </c>
      <c r="J1855" t="s">
        <v>321</v>
      </c>
      <c r="K1855">
        <v>148.13</v>
      </c>
      <c r="L1855">
        <v>7.63</v>
      </c>
      <c r="M1855" t="s">
        <v>1783</v>
      </c>
      <c r="N1855">
        <v>17609</v>
      </c>
      <c r="P1855">
        <v>63.58</v>
      </c>
      <c r="R1855">
        <v>9.6199999999999992</v>
      </c>
      <c r="S1855">
        <v>19.86</v>
      </c>
      <c r="AA1855">
        <v>-1.07</v>
      </c>
      <c r="AB1855" t="s">
        <v>3887</v>
      </c>
      <c r="AC1855" t="s">
        <v>171</v>
      </c>
      <c r="AE1855" t="s">
        <v>19993</v>
      </c>
      <c r="AF1855" t="s">
        <v>5101</v>
      </c>
      <c r="AG1855" t="s">
        <v>7672</v>
      </c>
      <c r="AH1855" t="s">
        <v>19994</v>
      </c>
      <c r="AI1855" t="s">
        <v>19995</v>
      </c>
      <c r="AJ1855" t="s">
        <v>4955</v>
      </c>
      <c r="AK1855" t="s">
        <v>10541</v>
      </c>
      <c r="AL1855">
        <v>0.37</v>
      </c>
      <c r="AM1855">
        <v>0.33</v>
      </c>
      <c r="AN1855">
        <v>1.66</v>
      </c>
      <c r="AO1855" t="s">
        <v>12136</v>
      </c>
      <c r="AP1855" t="s">
        <v>19996</v>
      </c>
      <c r="AQ1855" t="s">
        <v>19997</v>
      </c>
      <c r="AR1855" t="s">
        <v>3435</v>
      </c>
      <c r="AS1855" t="s">
        <v>4476</v>
      </c>
      <c r="AT1855" t="s">
        <v>351</v>
      </c>
      <c r="AU1855" t="s">
        <v>2886</v>
      </c>
      <c r="AV1855" t="s">
        <v>2415</v>
      </c>
      <c r="AW1855" t="s">
        <v>1027</v>
      </c>
      <c r="AX1855" t="s">
        <v>19998</v>
      </c>
      <c r="AY1855" t="s">
        <v>19999</v>
      </c>
      <c r="AZ1855" t="s">
        <v>20000</v>
      </c>
      <c r="BA1855">
        <v>1</v>
      </c>
      <c r="BB1855">
        <v>305.54000000000002</v>
      </c>
      <c r="BC1855">
        <v>0.2</v>
      </c>
      <c r="BD1855">
        <v>7.73</v>
      </c>
      <c r="BE1855">
        <v>7.79</v>
      </c>
      <c r="BF1855">
        <v>7.61</v>
      </c>
      <c r="BG1855" t="s">
        <v>20001</v>
      </c>
      <c r="BH1855" t="s">
        <v>5233</v>
      </c>
      <c r="BI1855" t="s">
        <v>20002</v>
      </c>
      <c r="BJ1855" t="s">
        <v>101</v>
      </c>
      <c r="BK1855" t="s">
        <v>8164</v>
      </c>
      <c r="BL1855" t="s">
        <v>3889</v>
      </c>
      <c r="BM1855" t="s">
        <v>20003</v>
      </c>
      <c r="BN1855" t="s">
        <v>14623</v>
      </c>
    </row>
    <row r="1856" spans="1:66" x14ac:dyDescent="0.25">
      <c r="A1856" t="str">
        <f>HYPERLINK("https://elite.finviz.com/quote.ashx?t=ATEN&amp;ty=c&amp;p=d&amp;b=1", "ATEN")</f>
        <v>ATEN</v>
      </c>
      <c r="B1856">
        <v>6</v>
      </c>
      <c r="C1856">
        <v>127.03</v>
      </c>
      <c r="D1856">
        <v>57.76</v>
      </c>
      <c r="E1856" t="s">
        <v>20004</v>
      </c>
      <c r="F1856" t="s">
        <v>67</v>
      </c>
      <c r="G1856" t="s">
        <v>108</v>
      </c>
      <c r="H1856" t="s">
        <v>109</v>
      </c>
      <c r="I1856" t="s">
        <v>70</v>
      </c>
      <c r="J1856" t="s">
        <v>71</v>
      </c>
      <c r="K1856">
        <v>1316.79</v>
      </c>
      <c r="L1856">
        <v>18.25</v>
      </c>
      <c r="M1856" t="s">
        <v>430</v>
      </c>
      <c r="N1856">
        <v>48681</v>
      </c>
      <c r="O1856">
        <v>26.67</v>
      </c>
      <c r="P1856">
        <v>18.809999999999999</v>
      </c>
      <c r="Q1856">
        <v>4.5599999999999996</v>
      </c>
      <c r="R1856">
        <v>4.76</v>
      </c>
      <c r="S1856">
        <v>6.44</v>
      </c>
      <c r="T1856" t="s">
        <v>4881</v>
      </c>
      <c r="U1856">
        <v>0.24</v>
      </c>
      <c r="V1856" t="s">
        <v>3046</v>
      </c>
      <c r="W1856" t="s">
        <v>164</v>
      </c>
      <c r="X1856" t="s">
        <v>11007</v>
      </c>
      <c r="Z1856" t="s">
        <v>4484</v>
      </c>
      <c r="AA1856">
        <v>0.68</v>
      </c>
      <c r="AB1856" t="s">
        <v>2778</v>
      </c>
      <c r="AD1856" t="s">
        <v>4133</v>
      </c>
      <c r="AE1856" t="s">
        <v>1652</v>
      </c>
      <c r="AF1856" t="s">
        <v>6056</v>
      </c>
      <c r="AG1856" t="s">
        <v>3519</v>
      </c>
      <c r="AH1856" t="s">
        <v>9523</v>
      </c>
      <c r="AI1856" t="s">
        <v>6607</v>
      </c>
      <c r="AJ1856" t="s">
        <v>2426</v>
      </c>
      <c r="AK1856" t="s">
        <v>20005</v>
      </c>
      <c r="AL1856">
        <v>4.16</v>
      </c>
      <c r="AM1856">
        <v>3.98</v>
      </c>
      <c r="AN1856">
        <v>1.1299999999999999</v>
      </c>
      <c r="AO1856" t="s">
        <v>20006</v>
      </c>
      <c r="AP1856" t="s">
        <v>15409</v>
      </c>
      <c r="AQ1856" t="s">
        <v>12156</v>
      </c>
      <c r="AR1856" t="s">
        <v>4267</v>
      </c>
      <c r="AS1856" t="s">
        <v>6003</v>
      </c>
      <c r="AT1856" t="s">
        <v>179</v>
      </c>
      <c r="AU1856" t="s">
        <v>5420</v>
      </c>
      <c r="AV1856" t="s">
        <v>2362</v>
      </c>
      <c r="AW1856" t="s">
        <v>2252</v>
      </c>
      <c r="AX1856" t="s">
        <v>875</v>
      </c>
      <c r="AY1856" t="s">
        <v>4997</v>
      </c>
      <c r="AZ1856" t="s">
        <v>12257</v>
      </c>
      <c r="BA1856">
        <v>1.71</v>
      </c>
      <c r="BB1856">
        <v>816.56</v>
      </c>
      <c r="BC1856">
        <v>0.21</v>
      </c>
      <c r="BD1856">
        <v>18.21</v>
      </c>
      <c r="BE1856">
        <v>18.3</v>
      </c>
      <c r="BF1856">
        <v>18.11</v>
      </c>
      <c r="BG1856" t="s">
        <v>20007</v>
      </c>
      <c r="BH1856" t="s">
        <v>4997</v>
      </c>
      <c r="BI1856" t="s">
        <v>20008</v>
      </c>
      <c r="BJ1856" t="s">
        <v>101</v>
      </c>
      <c r="BK1856" t="s">
        <v>815</v>
      </c>
      <c r="BL1856" t="s">
        <v>7118</v>
      </c>
      <c r="BM1856" t="s">
        <v>2077</v>
      </c>
      <c r="BN1856" t="s">
        <v>14623</v>
      </c>
    </row>
    <row r="1857" spans="1:66" x14ac:dyDescent="0.25">
      <c r="A1857" t="str">
        <f>HYPERLINK("https://elite.finviz.com/quote.ashx?t=NTWK&amp;ty=c&amp;p=d&amp;b=1", "NTWK")</f>
        <v>NTWK</v>
      </c>
      <c r="B1857">
        <v>6</v>
      </c>
      <c r="C1857">
        <v>127.03</v>
      </c>
      <c r="D1857">
        <v>57.77</v>
      </c>
      <c r="E1857" t="s">
        <v>20009</v>
      </c>
      <c r="F1857" t="s">
        <v>107</v>
      </c>
      <c r="G1857" t="s">
        <v>108</v>
      </c>
      <c r="H1857" t="s">
        <v>136</v>
      </c>
      <c r="I1857" t="s">
        <v>70</v>
      </c>
      <c r="J1857" t="s">
        <v>321</v>
      </c>
      <c r="K1857">
        <v>56.21</v>
      </c>
      <c r="L1857">
        <v>4.8</v>
      </c>
      <c r="M1857" t="s">
        <v>4052</v>
      </c>
      <c r="N1857">
        <v>14317</v>
      </c>
      <c r="O1857">
        <v>229.67</v>
      </c>
      <c r="R1857">
        <v>0.88</v>
      </c>
      <c r="S1857">
        <v>1.59</v>
      </c>
      <c r="Z1857" t="s">
        <v>164</v>
      </c>
      <c r="AA1857">
        <v>0.02</v>
      </c>
      <c r="AB1857" t="s">
        <v>11399</v>
      </c>
      <c r="AC1857" t="s">
        <v>20010</v>
      </c>
      <c r="AE1857" t="s">
        <v>12383</v>
      </c>
      <c r="AF1857" t="s">
        <v>2108</v>
      </c>
      <c r="AG1857" t="s">
        <v>4537</v>
      </c>
      <c r="AH1857" t="s">
        <v>4648</v>
      </c>
      <c r="AJ1857" t="s">
        <v>4856</v>
      </c>
      <c r="AK1857" t="s">
        <v>3375</v>
      </c>
      <c r="AL1857">
        <v>2.2599999999999998</v>
      </c>
      <c r="AM1857">
        <v>2.2599999999999998</v>
      </c>
      <c r="AN1857">
        <v>0.27</v>
      </c>
      <c r="AO1857" t="s">
        <v>9481</v>
      </c>
      <c r="AP1857" t="s">
        <v>3257</v>
      </c>
      <c r="AQ1857" t="s">
        <v>1765</v>
      </c>
      <c r="AR1857" t="s">
        <v>2945</v>
      </c>
      <c r="AS1857" t="s">
        <v>1474</v>
      </c>
      <c r="AT1857" t="s">
        <v>2408</v>
      </c>
      <c r="AU1857" t="s">
        <v>904</v>
      </c>
      <c r="AV1857" t="s">
        <v>3763</v>
      </c>
      <c r="AW1857" t="s">
        <v>8831</v>
      </c>
      <c r="AX1857" t="s">
        <v>12178</v>
      </c>
      <c r="AY1857" t="s">
        <v>8831</v>
      </c>
      <c r="AZ1857" t="s">
        <v>20011</v>
      </c>
      <c r="BA1857">
        <v>1</v>
      </c>
      <c r="BB1857">
        <v>86.17</v>
      </c>
      <c r="BC1857">
        <v>0.59</v>
      </c>
      <c r="BD1857">
        <v>4.59</v>
      </c>
      <c r="BE1857">
        <v>4.82</v>
      </c>
      <c r="BF1857">
        <v>4.6399999999999997</v>
      </c>
      <c r="BG1857" t="s">
        <v>20012</v>
      </c>
      <c r="BH1857" t="s">
        <v>16966</v>
      </c>
      <c r="BI1857" t="s">
        <v>20013</v>
      </c>
      <c r="BJ1857" t="s">
        <v>101</v>
      </c>
      <c r="BK1857" t="s">
        <v>20014</v>
      </c>
      <c r="BL1857" t="s">
        <v>12124</v>
      </c>
      <c r="BM1857" t="s">
        <v>19197</v>
      </c>
      <c r="BN1857" t="s">
        <v>14623</v>
      </c>
    </row>
    <row r="1858" spans="1:66" x14ac:dyDescent="0.25">
      <c r="A1858" t="str">
        <f>HYPERLINK("https://elite.finviz.com/quote.ashx?t=GSAT&amp;ty=c&amp;p=d&amp;b=1", "GSAT")</f>
        <v>GSAT</v>
      </c>
      <c r="B1858">
        <v>6</v>
      </c>
      <c r="C1858">
        <v>127.03</v>
      </c>
      <c r="D1858">
        <v>57.77</v>
      </c>
      <c r="E1858" t="s">
        <v>20015</v>
      </c>
      <c r="F1858" t="s">
        <v>67</v>
      </c>
      <c r="G1858" t="s">
        <v>598</v>
      </c>
      <c r="H1858" t="s">
        <v>6147</v>
      </c>
      <c r="I1858" t="s">
        <v>70</v>
      </c>
      <c r="J1858" t="s">
        <v>321</v>
      </c>
      <c r="K1858">
        <v>4334.74</v>
      </c>
      <c r="L1858">
        <v>34.22</v>
      </c>
      <c r="M1858" t="s">
        <v>11260</v>
      </c>
      <c r="N1858">
        <v>187119</v>
      </c>
      <c r="P1858">
        <v>2281.33</v>
      </c>
      <c r="R1858">
        <v>16.63</v>
      </c>
      <c r="S1858">
        <v>12.01</v>
      </c>
      <c r="AA1858">
        <v>-0.39</v>
      </c>
      <c r="AB1858" t="s">
        <v>4074</v>
      </c>
      <c r="AC1858" t="s">
        <v>185</v>
      </c>
      <c r="AE1858" t="s">
        <v>536</v>
      </c>
      <c r="AF1858" t="s">
        <v>2340</v>
      </c>
      <c r="AG1858" t="s">
        <v>4621</v>
      </c>
      <c r="AH1858" t="s">
        <v>6293</v>
      </c>
      <c r="AI1858" t="s">
        <v>20016</v>
      </c>
      <c r="AJ1858" t="s">
        <v>406</v>
      </c>
      <c r="AK1858" t="s">
        <v>886</v>
      </c>
      <c r="AL1858">
        <v>2.81</v>
      </c>
      <c r="AM1858">
        <v>2.72</v>
      </c>
      <c r="AN1858">
        <v>1.52</v>
      </c>
      <c r="AO1858" t="s">
        <v>9147</v>
      </c>
      <c r="AP1858" t="s">
        <v>2384</v>
      </c>
      <c r="AQ1858" t="s">
        <v>2957</v>
      </c>
      <c r="AR1858" t="s">
        <v>197</v>
      </c>
      <c r="AS1858" t="s">
        <v>2124</v>
      </c>
      <c r="AT1858" t="s">
        <v>8013</v>
      </c>
      <c r="AU1858" t="s">
        <v>9865</v>
      </c>
      <c r="AV1858" t="s">
        <v>13116</v>
      </c>
      <c r="AW1858" t="s">
        <v>11481</v>
      </c>
      <c r="AX1858" t="s">
        <v>7891</v>
      </c>
      <c r="AY1858" t="s">
        <v>4770</v>
      </c>
      <c r="AZ1858" t="s">
        <v>5922</v>
      </c>
      <c r="BA1858">
        <v>1</v>
      </c>
      <c r="BB1858">
        <v>913.81</v>
      </c>
      <c r="BC1858">
        <v>0.72</v>
      </c>
      <c r="BD1858">
        <v>34.65</v>
      </c>
      <c r="BE1858">
        <v>34.71</v>
      </c>
      <c r="BF1858">
        <v>33.9</v>
      </c>
      <c r="BG1858" t="s">
        <v>20017</v>
      </c>
      <c r="BH1858" t="s">
        <v>20018</v>
      </c>
      <c r="BI1858" t="s">
        <v>20019</v>
      </c>
      <c r="BJ1858" t="s">
        <v>101</v>
      </c>
      <c r="BK1858" t="s">
        <v>20020</v>
      </c>
      <c r="BL1858" t="s">
        <v>20021</v>
      </c>
      <c r="BM1858" t="s">
        <v>20022</v>
      </c>
      <c r="BN1858" t="s">
        <v>14623</v>
      </c>
    </row>
    <row r="1859" spans="1:66" x14ac:dyDescent="0.25">
      <c r="A1859" t="str">
        <f>HYPERLINK("https://elite.finviz.com/quote.ashx?t=AWX&amp;ty=c&amp;p=d&amp;b=1", "AWX")</f>
        <v>AWX</v>
      </c>
      <c r="B1859">
        <v>6</v>
      </c>
      <c r="C1859">
        <v>127.03</v>
      </c>
      <c r="D1859">
        <v>57.79</v>
      </c>
      <c r="E1859" t="s">
        <v>20023</v>
      </c>
      <c r="F1859" t="s">
        <v>107</v>
      </c>
      <c r="G1859" t="s">
        <v>260</v>
      </c>
      <c r="H1859" t="s">
        <v>1573</v>
      </c>
      <c r="I1859" t="s">
        <v>70</v>
      </c>
      <c r="J1859" t="s">
        <v>383</v>
      </c>
      <c r="K1859">
        <v>10.16</v>
      </c>
      <c r="L1859">
        <v>2.6</v>
      </c>
      <c r="M1859" t="s">
        <v>8634</v>
      </c>
      <c r="N1859">
        <v>679</v>
      </c>
      <c r="O1859">
        <v>86.24</v>
      </c>
      <c r="R1859">
        <v>0.13</v>
      </c>
      <c r="S1859">
        <v>0.28000000000000003</v>
      </c>
      <c r="Z1859" t="s">
        <v>164</v>
      </c>
      <c r="AA1859">
        <v>0.03</v>
      </c>
      <c r="AB1859" t="s">
        <v>9761</v>
      </c>
      <c r="AE1859" t="s">
        <v>4667</v>
      </c>
      <c r="AF1859" t="s">
        <v>7090</v>
      </c>
      <c r="AG1859" t="s">
        <v>4690</v>
      </c>
      <c r="AH1859" t="s">
        <v>15315</v>
      </c>
      <c r="AJ1859" t="s">
        <v>164</v>
      </c>
      <c r="AK1859" t="s">
        <v>262</v>
      </c>
      <c r="AL1859">
        <v>0.91</v>
      </c>
      <c r="AM1859">
        <v>0.82</v>
      </c>
      <c r="AN1859">
        <v>0.94</v>
      </c>
      <c r="AO1859" t="s">
        <v>6201</v>
      </c>
      <c r="AP1859" t="s">
        <v>5660</v>
      </c>
      <c r="AQ1859" t="s">
        <v>183</v>
      </c>
      <c r="AR1859" t="s">
        <v>3118</v>
      </c>
      <c r="AS1859" t="s">
        <v>908</v>
      </c>
      <c r="AT1859" t="s">
        <v>8818</v>
      </c>
      <c r="AU1859" t="s">
        <v>5780</v>
      </c>
      <c r="AV1859" t="s">
        <v>5176</v>
      </c>
      <c r="AW1859" t="s">
        <v>8542</v>
      </c>
      <c r="AX1859" t="s">
        <v>466</v>
      </c>
      <c r="AY1859" t="s">
        <v>20024</v>
      </c>
      <c r="AZ1859" t="s">
        <v>16827</v>
      </c>
      <c r="BA1859">
        <v>1</v>
      </c>
      <c r="BB1859">
        <v>4.1100000000000003</v>
      </c>
      <c r="BC1859">
        <v>0.59</v>
      </c>
      <c r="BD1859">
        <v>2.63</v>
      </c>
      <c r="BE1859">
        <v>2.6</v>
      </c>
      <c r="BF1859">
        <v>2.6</v>
      </c>
      <c r="BG1859" t="s">
        <v>20025</v>
      </c>
      <c r="BH1859" t="s">
        <v>5812</v>
      </c>
      <c r="BI1859" t="s">
        <v>20026</v>
      </c>
      <c r="BJ1859" t="s">
        <v>101</v>
      </c>
      <c r="BK1859" t="s">
        <v>2386</v>
      </c>
      <c r="BL1859" t="s">
        <v>468</v>
      </c>
      <c r="BM1859" t="s">
        <v>2823</v>
      </c>
      <c r="BN1859" t="s">
        <v>14623</v>
      </c>
    </row>
    <row r="1860" spans="1:66" x14ac:dyDescent="0.25">
      <c r="A1860" t="str">
        <f>HYPERLINK("https://elite.finviz.com/quote.ashx?t=SYBX&amp;ty=c&amp;p=d&amp;b=1", "SYBX")</f>
        <v>SYBX</v>
      </c>
      <c r="B1860">
        <v>6</v>
      </c>
      <c r="C1860">
        <v>127.03</v>
      </c>
      <c r="D1860">
        <v>57.8</v>
      </c>
      <c r="E1860" t="s">
        <v>20027</v>
      </c>
      <c r="F1860" t="s">
        <v>107</v>
      </c>
      <c r="G1860" t="s">
        <v>428</v>
      </c>
      <c r="H1860" t="s">
        <v>429</v>
      </c>
      <c r="I1860" t="s">
        <v>70</v>
      </c>
      <c r="J1860" t="s">
        <v>321</v>
      </c>
      <c r="K1860">
        <v>19.54</v>
      </c>
      <c r="L1860">
        <v>1.67</v>
      </c>
      <c r="M1860" t="s">
        <v>1763</v>
      </c>
      <c r="N1860">
        <v>919</v>
      </c>
      <c r="S1860">
        <v>1.55</v>
      </c>
      <c r="AA1860">
        <v>-0.09</v>
      </c>
      <c r="AB1860" t="s">
        <v>611</v>
      </c>
      <c r="AC1860" t="s">
        <v>20028</v>
      </c>
      <c r="AE1860" t="s">
        <v>579</v>
      </c>
      <c r="AF1860" t="s">
        <v>20029</v>
      </c>
      <c r="AG1860" t="s">
        <v>11317</v>
      </c>
      <c r="AI1860" t="s">
        <v>18337</v>
      </c>
      <c r="AJ1860" t="s">
        <v>5242</v>
      </c>
      <c r="AK1860" t="s">
        <v>17140</v>
      </c>
      <c r="AL1860">
        <v>3.63</v>
      </c>
      <c r="AM1860">
        <v>3.63</v>
      </c>
      <c r="AN1860">
        <v>0</v>
      </c>
      <c r="AR1860" t="s">
        <v>3949</v>
      </c>
      <c r="AS1860" t="s">
        <v>1749</v>
      </c>
      <c r="AT1860" t="s">
        <v>5100</v>
      </c>
      <c r="AU1860" t="s">
        <v>4718</v>
      </c>
      <c r="AV1860" t="s">
        <v>793</v>
      </c>
      <c r="AW1860" t="s">
        <v>9038</v>
      </c>
      <c r="AX1860" t="s">
        <v>1956</v>
      </c>
      <c r="AY1860" t="s">
        <v>9038</v>
      </c>
      <c r="AZ1860" t="s">
        <v>20030</v>
      </c>
      <c r="BA1860">
        <v>3</v>
      </c>
      <c r="BB1860">
        <v>50.21</v>
      </c>
      <c r="BC1860">
        <v>7.0000000000000007E-2</v>
      </c>
      <c r="BD1860">
        <v>1.66</v>
      </c>
      <c r="BE1860">
        <v>1.64</v>
      </c>
      <c r="BF1860">
        <v>1.64</v>
      </c>
      <c r="BG1860" t="s">
        <v>20031</v>
      </c>
      <c r="BH1860" t="s">
        <v>3590</v>
      </c>
      <c r="BI1860" t="s">
        <v>20030</v>
      </c>
      <c r="BJ1860" t="s">
        <v>101</v>
      </c>
      <c r="BK1860" t="s">
        <v>4671</v>
      </c>
      <c r="BL1860" t="s">
        <v>14969</v>
      </c>
      <c r="BM1860" t="s">
        <v>12465</v>
      </c>
      <c r="BN1860" t="s">
        <v>14623</v>
      </c>
    </row>
    <row r="1861" spans="1:66" x14ac:dyDescent="0.25">
      <c r="A1861" t="str">
        <f>HYPERLINK("https://elite.finviz.com/quote.ashx?t=OVBC&amp;ty=c&amp;p=d&amp;b=1", "OVBC")</f>
        <v>OVBC</v>
      </c>
      <c r="B1861">
        <v>6</v>
      </c>
      <c r="C1861">
        <v>127.03</v>
      </c>
      <c r="D1861">
        <v>57.82</v>
      </c>
      <c r="E1861" t="s">
        <v>20032</v>
      </c>
      <c r="F1861" t="s">
        <v>67</v>
      </c>
      <c r="G1861" t="s">
        <v>550</v>
      </c>
      <c r="H1861" t="s">
        <v>697</v>
      </c>
      <c r="I1861" t="s">
        <v>70</v>
      </c>
      <c r="J1861" t="s">
        <v>321</v>
      </c>
      <c r="K1861">
        <v>177.6</v>
      </c>
      <c r="L1861">
        <v>37.700000000000003</v>
      </c>
      <c r="M1861" t="s">
        <v>164</v>
      </c>
      <c r="N1861">
        <v>2262</v>
      </c>
      <c r="O1861">
        <v>12.82</v>
      </c>
      <c r="R1861">
        <v>1.9</v>
      </c>
      <c r="S1861">
        <v>1.1000000000000001</v>
      </c>
      <c r="T1861" t="s">
        <v>744</v>
      </c>
      <c r="U1861">
        <v>0.9</v>
      </c>
      <c r="V1861" t="s">
        <v>12255</v>
      </c>
      <c r="W1861" t="s">
        <v>1488</v>
      </c>
      <c r="X1861" t="s">
        <v>192</v>
      </c>
      <c r="Y1861" t="s">
        <v>3761</v>
      </c>
      <c r="Z1861" t="s">
        <v>6896</v>
      </c>
      <c r="AA1861">
        <v>2.94</v>
      </c>
      <c r="AB1861" t="s">
        <v>6533</v>
      </c>
      <c r="AC1861" t="s">
        <v>3842</v>
      </c>
      <c r="AE1861" t="s">
        <v>8814</v>
      </c>
      <c r="AF1861" t="s">
        <v>672</v>
      </c>
      <c r="AG1861" t="s">
        <v>6272</v>
      </c>
      <c r="AH1861" t="s">
        <v>904</v>
      </c>
      <c r="AJ1861" t="s">
        <v>2646</v>
      </c>
      <c r="AK1861" t="s">
        <v>11052</v>
      </c>
      <c r="AL1861">
        <v>0.1</v>
      </c>
      <c r="AN1861">
        <v>0.28999999999999998</v>
      </c>
      <c r="AP1861" t="s">
        <v>8015</v>
      </c>
      <c r="AQ1861" t="s">
        <v>15086</v>
      </c>
      <c r="AR1861" t="s">
        <v>633</v>
      </c>
      <c r="AS1861" t="s">
        <v>451</v>
      </c>
      <c r="AT1861" t="s">
        <v>2144</v>
      </c>
      <c r="AU1861" t="s">
        <v>3054</v>
      </c>
      <c r="AV1861" t="s">
        <v>19879</v>
      </c>
      <c r="AW1861" t="s">
        <v>2329</v>
      </c>
      <c r="AX1861" t="s">
        <v>2862</v>
      </c>
      <c r="AY1861" t="s">
        <v>6195</v>
      </c>
      <c r="AZ1861" t="s">
        <v>16015</v>
      </c>
      <c r="BB1861">
        <v>17.21</v>
      </c>
      <c r="BC1861">
        <v>0.46</v>
      </c>
      <c r="BD1861">
        <v>37.700000000000003</v>
      </c>
      <c r="BE1861">
        <v>38</v>
      </c>
      <c r="BF1861">
        <v>37.659999999999997</v>
      </c>
      <c r="BG1861" t="s">
        <v>20033</v>
      </c>
      <c r="BH1861" t="s">
        <v>14280</v>
      </c>
      <c r="BI1861" t="s">
        <v>20034</v>
      </c>
      <c r="BJ1861" t="s">
        <v>101</v>
      </c>
      <c r="BK1861" t="s">
        <v>12187</v>
      </c>
      <c r="BL1861" t="s">
        <v>6042</v>
      </c>
      <c r="BM1861" t="s">
        <v>20035</v>
      </c>
      <c r="BN1861" t="s">
        <v>14623</v>
      </c>
    </row>
    <row r="1862" spans="1:66" x14ac:dyDescent="0.25">
      <c r="A1862" t="str">
        <f>HYPERLINK("https://elite.finviz.com/quote.ashx?t=TBBK&amp;ty=c&amp;p=d&amp;b=1", "TBBK")</f>
        <v>TBBK</v>
      </c>
      <c r="B1862">
        <v>6</v>
      </c>
      <c r="C1862">
        <v>127.03</v>
      </c>
      <c r="D1862">
        <v>57.83</v>
      </c>
      <c r="E1862" t="s">
        <v>20036</v>
      </c>
      <c r="F1862" t="s">
        <v>67</v>
      </c>
      <c r="G1862" t="s">
        <v>550</v>
      </c>
      <c r="H1862" t="s">
        <v>697</v>
      </c>
      <c r="I1862" t="s">
        <v>70</v>
      </c>
      <c r="J1862" t="s">
        <v>321</v>
      </c>
      <c r="K1862">
        <v>3539.85</v>
      </c>
      <c r="L1862">
        <v>76.84</v>
      </c>
      <c r="M1862" t="s">
        <v>3598</v>
      </c>
      <c r="N1862">
        <v>108680</v>
      </c>
      <c r="O1862">
        <v>16.52</v>
      </c>
      <c r="P1862">
        <v>11.38</v>
      </c>
      <c r="R1862">
        <v>4.34</v>
      </c>
      <c r="S1862">
        <v>4.13</v>
      </c>
      <c r="Z1862" t="s">
        <v>164</v>
      </c>
      <c r="AA1862">
        <v>4.6500000000000004</v>
      </c>
      <c r="AB1862" t="s">
        <v>244</v>
      </c>
      <c r="AC1862" t="s">
        <v>11888</v>
      </c>
      <c r="AE1862" t="s">
        <v>15421</v>
      </c>
      <c r="AF1862" t="s">
        <v>3306</v>
      </c>
      <c r="AG1862" t="s">
        <v>3546</v>
      </c>
      <c r="AH1862" t="s">
        <v>2253</v>
      </c>
      <c r="AI1862" t="s">
        <v>241</v>
      </c>
      <c r="AJ1862" t="s">
        <v>20037</v>
      </c>
      <c r="AK1862" t="s">
        <v>20038</v>
      </c>
      <c r="AL1862">
        <v>0.06</v>
      </c>
      <c r="AN1862">
        <v>0.14000000000000001</v>
      </c>
      <c r="AP1862" t="s">
        <v>20039</v>
      </c>
      <c r="AQ1862" t="s">
        <v>3439</v>
      </c>
      <c r="AR1862" t="s">
        <v>213</v>
      </c>
      <c r="AS1862" t="s">
        <v>5780</v>
      </c>
      <c r="AT1862" t="s">
        <v>211</v>
      </c>
      <c r="AU1862" t="s">
        <v>9478</v>
      </c>
      <c r="AV1862" t="s">
        <v>20040</v>
      </c>
      <c r="AW1862" t="s">
        <v>2329</v>
      </c>
      <c r="AX1862" t="s">
        <v>5669</v>
      </c>
      <c r="AY1862" t="s">
        <v>2329</v>
      </c>
      <c r="AZ1862" t="s">
        <v>14546</v>
      </c>
      <c r="BA1862">
        <v>2</v>
      </c>
      <c r="BB1862">
        <v>728.41</v>
      </c>
      <c r="BC1862">
        <v>0.53</v>
      </c>
      <c r="BD1862">
        <v>76.87</v>
      </c>
      <c r="BE1862">
        <v>78.349999999999994</v>
      </c>
      <c r="BF1862">
        <v>76.709999999999994</v>
      </c>
      <c r="BG1862" t="s">
        <v>20041</v>
      </c>
      <c r="BH1862" t="s">
        <v>2329</v>
      </c>
      <c r="BI1862" t="s">
        <v>20042</v>
      </c>
      <c r="BJ1862" t="s">
        <v>101</v>
      </c>
      <c r="BK1862" t="s">
        <v>13335</v>
      </c>
      <c r="BL1862" t="s">
        <v>18684</v>
      </c>
      <c r="BM1862" t="s">
        <v>8766</v>
      </c>
      <c r="BN1862" t="s">
        <v>14623</v>
      </c>
    </row>
    <row r="1863" spans="1:66" x14ac:dyDescent="0.25">
      <c r="A1863" t="str">
        <f>HYPERLINK("https://elite.finviz.com/quote.ashx?t=AMWD&amp;ty=c&amp;p=d&amp;b=1", "AMWD")</f>
        <v>AMWD</v>
      </c>
      <c r="B1863">
        <v>6</v>
      </c>
      <c r="C1863">
        <v>127.03</v>
      </c>
      <c r="D1863">
        <v>57.86</v>
      </c>
      <c r="E1863" t="s">
        <v>20043</v>
      </c>
      <c r="F1863" t="s">
        <v>67</v>
      </c>
      <c r="G1863" t="s">
        <v>813</v>
      </c>
      <c r="H1863" t="s">
        <v>3866</v>
      </c>
      <c r="I1863" t="s">
        <v>70</v>
      </c>
      <c r="J1863" t="s">
        <v>321</v>
      </c>
      <c r="K1863">
        <v>994.98</v>
      </c>
      <c r="L1863">
        <v>68.290000000000006</v>
      </c>
      <c r="M1863" t="s">
        <v>5045</v>
      </c>
      <c r="N1863">
        <v>52615</v>
      </c>
      <c r="O1863">
        <v>12.19</v>
      </c>
      <c r="P1863">
        <v>11.91</v>
      </c>
      <c r="R1863">
        <v>0.6</v>
      </c>
      <c r="S1863">
        <v>1.08</v>
      </c>
      <c r="V1863" t="s">
        <v>20044</v>
      </c>
      <c r="Z1863" t="s">
        <v>164</v>
      </c>
      <c r="AA1863">
        <v>5.6</v>
      </c>
      <c r="AC1863" t="s">
        <v>707</v>
      </c>
      <c r="AE1863" t="s">
        <v>9513</v>
      </c>
      <c r="AF1863" t="s">
        <v>2968</v>
      </c>
      <c r="AG1863" t="s">
        <v>4865</v>
      </c>
      <c r="AH1863" t="s">
        <v>20045</v>
      </c>
      <c r="AI1863" t="s">
        <v>20046</v>
      </c>
      <c r="AJ1863" t="s">
        <v>164</v>
      </c>
      <c r="AK1863" t="s">
        <v>20047</v>
      </c>
      <c r="AL1863">
        <v>2.04</v>
      </c>
      <c r="AM1863">
        <v>1.05</v>
      </c>
      <c r="AN1863">
        <v>0.55000000000000004</v>
      </c>
      <c r="AO1863" t="s">
        <v>2395</v>
      </c>
      <c r="AP1863" t="s">
        <v>3432</v>
      </c>
      <c r="AQ1863" t="s">
        <v>7453</v>
      </c>
      <c r="AR1863" t="s">
        <v>6430</v>
      </c>
      <c r="AS1863" t="s">
        <v>5736</v>
      </c>
      <c r="AT1863" t="s">
        <v>92</v>
      </c>
      <c r="AU1863" t="s">
        <v>5212</v>
      </c>
      <c r="AV1863" t="s">
        <v>2839</v>
      </c>
      <c r="AW1863" t="s">
        <v>4417</v>
      </c>
      <c r="AX1863" t="s">
        <v>19585</v>
      </c>
      <c r="AY1863" t="s">
        <v>17652</v>
      </c>
      <c r="AZ1863" t="s">
        <v>11183</v>
      </c>
      <c r="BA1863">
        <v>2</v>
      </c>
      <c r="BB1863">
        <v>209.31</v>
      </c>
      <c r="BC1863">
        <v>0.89</v>
      </c>
      <c r="BD1863">
        <v>65.37</v>
      </c>
      <c r="BE1863">
        <v>69.94</v>
      </c>
      <c r="BF1863">
        <v>67.86</v>
      </c>
      <c r="BG1863" t="s">
        <v>20048</v>
      </c>
      <c r="BH1863" t="s">
        <v>8968</v>
      </c>
      <c r="BI1863" t="s">
        <v>20049</v>
      </c>
      <c r="BJ1863" t="s">
        <v>101</v>
      </c>
      <c r="BK1863" t="s">
        <v>1670</v>
      </c>
      <c r="BL1863" t="s">
        <v>5010</v>
      </c>
      <c r="BM1863" t="s">
        <v>20050</v>
      </c>
      <c r="BN1863" t="s">
        <v>14623</v>
      </c>
    </row>
    <row r="1864" spans="1:66" x14ac:dyDescent="0.25">
      <c r="A1864" t="str">
        <f>HYPERLINK("https://elite.finviz.com/quote.ashx?t=EPR&amp;ty=c&amp;p=d&amp;b=1", "EPR")</f>
        <v>EPR</v>
      </c>
      <c r="B1864">
        <v>6</v>
      </c>
      <c r="C1864">
        <v>127.03</v>
      </c>
      <c r="D1864">
        <v>57.86</v>
      </c>
      <c r="E1864" t="s">
        <v>20051</v>
      </c>
      <c r="F1864" t="s">
        <v>107</v>
      </c>
      <c r="G1864" t="s">
        <v>68</v>
      </c>
      <c r="H1864" t="s">
        <v>7227</v>
      </c>
      <c r="I1864" t="s">
        <v>70</v>
      </c>
      <c r="J1864" t="s">
        <v>71</v>
      </c>
      <c r="K1864">
        <v>4344.7299999999996</v>
      </c>
      <c r="L1864">
        <v>57.08</v>
      </c>
      <c r="M1864" t="s">
        <v>1657</v>
      </c>
      <c r="N1864">
        <v>85042</v>
      </c>
      <c r="O1864">
        <v>28.03</v>
      </c>
      <c r="P1864">
        <v>19.170000000000002</v>
      </c>
      <c r="Q1864">
        <v>1.1100000000000001</v>
      </c>
      <c r="R1864">
        <v>6.11</v>
      </c>
      <c r="S1864">
        <v>1.86</v>
      </c>
      <c r="T1864" t="s">
        <v>3530</v>
      </c>
      <c r="U1864">
        <v>3.26</v>
      </c>
      <c r="V1864" t="s">
        <v>198</v>
      </c>
      <c r="W1864" t="s">
        <v>2735</v>
      </c>
      <c r="X1864" t="s">
        <v>5167</v>
      </c>
      <c r="Y1864" t="s">
        <v>9738</v>
      </c>
      <c r="Z1864" t="s">
        <v>20052</v>
      </c>
      <c r="AA1864">
        <v>2.04</v>
      </c>
      <c r="AB1864" t="s">
        <v>7486</v>
      </c>
      <c r="AC1864" t="s">
        <v>16782</v>
      </c>
      <c r="AD1864" t="s">
        <v>7390</v>
      </c>
      <c r="AE1864" t="s">
        <v>4856</v>
      </c>
      <c r="AF1864" t="s">
        <v>8240</v>
      </c>
      <c r="AG1864" t="s">
        <v>6478</v>
      </c>
      <c r="AH1864" t="s">
        <v>862</v>
      </c>
      <c r="AI1864" t="s">
        <v>4319</v>
      </c>
      <c r="AJ1864" t="s">
        <v>6597</v>
      </c>
      <c r="AK1864" t="s">
        <v>1505</v>
      </c>
      <c r="AL1864">
        <v>6.09</v>
      </c>
      <c r="AM1864">
        <v>6.09</v>
      </c>
      <c r="AN1864">
        <v>1.29</v>
      </c>
      <c r="AO1864" t="s">
        <v>11249</v>
      </c>
      <c r="AP1864" t="s">
        <v>7360</v>
      </c>
      <c r="AQ1864" t="s">
        <v>2729</v>
      </c>
      <c r="AR1864" t="s">
        <v>6056</v>
      </c>
      <c r="AS1864" t="s">
        <v>5258</v>
      </c>
      <c r="AT1864" t="s">
        <v>4710</v>
      </c>
      <c r="AU1864" t="s">
        <v>4916</v>
      </c>
      <c r="AV1864" t="s">
        <v>1558</v>
      </c>
      <c r="AW1864" t="s">
        <v>7380</v>
      </c>
      <c r="AX1864" t="s">
        <v>9570</v>
      </c>
      <c r="AY1864" t="s">
        <v>9725</v>
      </c>
      <c r="AZ1864" t="s">
        <v>7344</v>
      </c>
      <c r="BA1864">
        <v>2.46</v>
      </c>
      <c r="BB1864">
        <v>946.27</v>
      </c>
      <c r="BC1864">
        <v>0.32</v>
      </c>
      <c r="BD1864">
        <v>56.8</v>
      </c>
      <c r="BE1864">
        <v>57.44</v>
      </c>
      <c r="BF1864">
        <v>56.95</v>
      </c>
      <c r="BG1864" t="s">
        <v>20053</v>
      </c>
      <c r="BH1864" t="s">
        <v>20054</v>
      </c>
      <c r="BI1864" t="s">
        <v>20055</v>
      </c>
      <c r="BJ1864" t="s">
        <v>101</v>
      </c>
      <c r="BK1864" t="s">
        <v>8634</v>
      </c>
      <c r="BL1864" t="s">
        <v>2517</v>
      </c>
      <c r="BM1864" t="s">
        <v>15391</v>
      </c>
      <c r="BN1864" t="s">
        <v>14623</v>
      </c>
    </row>
    <row r="1865" spans="1:66" x14ac:dyDescent="0.25">
      <c r="A1865" t="str">
        <f>HYPERLINK("https://elite.finviz.com/quote.ashx?t=PACK&amp;ty=c&amp;p=d&amp;b=1", "PACK")</f>
        <v>PACK</v>
      </c>
      <c r="B1865">
        <v>6</v>
      </c>
      <c r="C1865">
        <v>127.03</v>
      </c>
      <c r="D1865">
        <v>57.88</v>
      </c>
      <c r="E1865" t="s">
        <v>20056</v>
      </c>
      <c r="F1865" t="s">
        <v>67</v>
      </c>
      <c r="G1865" t="s">
        <v>813</v>
      </c>
      <c r="H1865" t="s">
        <v>7355</v>
      </c>
      <c r="I1865" t="s">
        <v>70</v>
      </c>
      <c r="J1865" t="s">
        <v>71</v>
      </c>
      <c r="K1865">
        <v>437.76</v>
      </c>
      <c r="L1865">
        <v>5.19</v>
      </c>
      <c r="M1865" t="s">
        <v>3976</v>
      </c>
      <c r="N1865">
        <v>56106</v>
      </c>
      <c r="R1865">
        <v>1.1499999999999999</v>
      </c>
      <c r="S1865">
        <v>0.81</v>
      </c>
      <c r="AA1865">
        <v>-0.41</v>
      </c>
      <c r="AB1865" t="s">
        <v>7335</v>
      </c>
      <c r="AC1865" t="s">
        <v>1359</v>
      </c>
      <c r="AE1865" t="s">
        <v>6981</v>
      </c>
      <c r="AF1865" t="s">
        <v>3831</v>
      </c>
      <c r="AG1865" t="s">
        <v>2398</v>
      </c>
      <c r="AH1865" t="s">
        <v>7150</v>
      </c>
      <c r="AI1865" t="s">
        <v>20057</v>
      </c>
      <c r="AJ1865" t="s">
        <v>164</v>
      </c>
      <c r="AK1865" t="s">
        <v>20058</v>
      </c>
      <c r="AL1865">
        <v>1.74</v>
      </c>
      <c r="AM1865">
        <v>1.3</v>
      </c>
      <c r="AN1865">
        <v>0.8</v>
      </c>
      <c r="AO1865" t="s">
        <v>7282</v>
      </c>
      <c r="AP1865" t="s">
        <v>3232</v>
      </c>
      <c r="AQ1865" t="s">
        <v>20059</v>
      </c>
      <c r="AR1865" t="s">
        <v>1204</v>
      </c>
      <c r="AS1865" t="s">
        <v>2581</v>
      </c>
      <c r="AT1865" t="s">
        <v>4526</v>
      </c>
      <c r="AU1865" t="s">
        <v>8078</v>
      </c>
      <c r="AV1865" t="s">
        <v>2333</v>
      </c>
      <c r="AW1865" t="s">
        <v>20060</v>
      </c>
      <c r="AX1865" t="s">
        <v>20061</v>
      </c>
      <c r="AY1865" t="s">
        <v>4590</v>
      </c>
      <c r="AZ1865" t="s">
        <v>14367</v>
      </c>
      <c r="BA1865">
        <v>1.67</v>
      </c>
      <c r="BB1865">
        <v>737.78</v>
      </c>
      <c r="BC1865">
        <v>0.27</v>
      </c>
      <c r="BD1865">
        <v>5.12</v>
      </c>
      <c r="BE1865">
        <v>5.22</v>
      </c>
      <c r="BF1865">
        <v>5.0599999999999996</v>
      </c>
      <c r="BG1865" t="s">
        <v>20062</v>
      </c>
      <c r="BH1865" t="s">
        <v>20063</v>
      </c>
      <c r="BI1865" t="s">
        <v>6585</v>
      </c>
      <c r="BJ1865" t="s">
        <v>101</v>
      </c>
      <c r="BK1865" t="s">
        <v>10572</v>
      </c>
      <c r="BL1865" t="s">
        <v>4282</v>
      </c>
      <c r="BM1865" t="s">
        <v>3080</v>
      </c>
      <c r="BN1865" t="s">
        <v>14623</v>
      </c>
    </row>
    <row r="1866" spans="1:66" x14ac:dyDescent="0.25">
      <c r="A1866" t="str">
        <f>HYPERLINK("https://elite.finviz.com/quote.ashx?t=MCRI&amp;ty=c&amp;p=d&amp;b=1", "MCRI")</f>
        <v>MCRI</v>
      </c>
      <c r="B1866">
        <v>6</v>
      </c>
      <c r="C1866">
        <v>127.03</v>
      </c>
      <c r="D1866">
        <v>57.89</v>
      </c>
      <c r="E1866" t="s">
        <v>20064</v>
      </c>
      <c r="F1866" t="s">
        <v>67</v>
      </c>
      <c r="G1866" t="s">
        <v>813</v>
      </c>
      <c r="H1866" t="s">
        <v>2763</v>
      </c>
      <c r="I1866" t="s">
        <v>70</v>
      </c>
      <c r="J1866" t="s">
        <v>321</v>
      </c>
      <c r="K1866">
        <v>1910.23</v>
      </c>
      <c r="L1866">
        <v>104.57</v>
      </c>
      <c r="M1866" t="s">
        <v>2082</v>
      </c>
      <c r="N1866">
        <v>11438</v>
      </c>
      <c r="O1866">
        <v>19.62</v>
      </c>
      <c r="P1866">
        <v>18.12</v>
      </c>
      <c r="Q1866">
        <v>3.47</v>
      </c>
      <c r="R1866">
        <v>3.57</v>
      </c>
      <c r="S1866">
        <v>3.54</v>
      </c>
      <c r="T1866" t="s">
        <v>1488</v>
      </c>
      <c r="U1866">
        <v>1.2</v>
      </c>
      <c r="V1866" t="s">
        <v>4882</v>
      </c>
      <c r="W1866" t="s">
        <v>10378</v>
      </c>
      <c r="Z1866" t="s">
        <v>12003</v>
      </c>
      <c r="AA1866">
        <v>5.33</v>
      </c>
      <c r="AB1866" t="s">
        <v>205</v>
      </c>
      <c r="AC1866" t="s">
        <v>2733</v>
      </c>
      <c r="AD1866" t="s">
        <v>5210</v>
      </c>
      <c r="AE1866" t="s">
        <v>2809</v>
      </c>
      <c r="AF1866" t="s">
        <v>3581</v>
      </c>
      <c r="AG1866" t="s">
        <v>11239</v>
      </c>
      <c r="AH1866" t="s">
        <v>5025</v>
      </c>
      <c r="AI1866" t="s">
        <v>8533</v>
      </c>
      <c r="AJ1866" t="s">
        <v>4538</v>
      </c>
      <c r="AK1866" t="s">
        <v>11771</v>
      </c>
      <c r="AL1866">
        <v>0.73</v>
      </c>
      <c r="AM1866">
        <v>0.67</v>
      </c>
      <c r="AN1866">
        <v>0.03</v>
      </c>
      <c r="AO1866" t="s">
        <v>20065</v>
      </c>
      <c r="AP1866" t="s">
        <v>10854</v>
      </c>
      <c r="AQ1866" t="s">
        <v>13570</v>
      </c>
      <c r="AR1866" t="s">
        <v>212</v>
      </c>
      <c r="AS1866" t="s">
        <v>3208</v>
      </c>
      <c r="AT1866" t="s">
        <v>3494</v>
      </c>
      <c r="AU1866" t="s">
        <v>910</v>
      </c>
      <c r="AV1866" t="s">
        <v>13570</v>
      </c>
      <c r="AW1866" t="s">
        <v>5509</v>
      </c>
      <c r="AX1866" t="s">
        <v>9515</v>
      </c>
      <c r="AY1866" t="s">
        <v>5509</v>
      </c>
      <c r="AZ1866" t="s">
        <v>11601</v>
      </c>
      <c r="BA1866">
        <v>2.6</v>
      </c>
      <c r="BB1866">
        <v>121.47</v>
      </c>
      <c r="BC1866">
        <v>0.33</v>
      </c>
      <c r="BD1866">
        <v>102.85</v>
      </c>
      <c r="BE1866">
        <v>103.79</v>
      </c>
      <c r="BF1866">
        <v>103.15</v>
      </c>
      <c r="BG1866" t="s">
        <v>20066</v>
      </c>
      <c r="BH1866" t="s">
        <v>5509</v>
      </c>
      <c r="BI1866" t="s">
        <v>20067</v>
      </c>
      <c r="BJ1866" t="s">
        <v>101</v>
      </c>
      <c r="BK1866" t="s">
        <v>1551</v>
      </c>
      <c r="BL1866" t="s">
        <v>8958</v>
      </c>
      <c r="BM1866" t="s">
        <v>12535</v>
      </c>
      <c r="BN1866" t="s">
        <v>14623</v>
      </c>
    </row>
    <row r="1867" spans="1:66" x14ac:dyDescent="0.25">
      <c r="A1867" t="str">
        <f>HYPERLINK("https://elite.finviz.com/quote.ashx?t=ABVC&amp;ty=c&amp;p=d&amp;b=1", "ABVC")</f>
        <v>ABVC</v>
      </c>
      <c r="B1867">
        <v>6</v>
      </c>
      <c r="C1867">
        <v>127.03</v>
      </c>
      <c r="D1867">
        <v>57.91</v>
      </c>
      <c r="E1867" t="s">
        <v>20068</v>
      </c>
      <c r="F1867" t="s">
        <v>107</v>
      </c>
      <c r="G1867" t="s">
        <v>428</v>
      </c>
      <c r="H1867" t="s">
        <v>429</v>
      </c>
      <c r="I1867" t="s">
        <v>70</v>
      </c>
      <c r="J1867" t="s">
        <v>321</v>
      </c>
      <c r="K1867">
        <v>73.69</v>
      </c>
      <c r="L1867">
        <v>3.13</v>
      </c>
      <c r="M1867" t="s">
        <v>3446</v>
      </c>
      <c r="N1867">
        <v>56275</v>
      </c>
      <c r="R1867">
        <v>188.94</v>
      </c>
      <c r="S1867">
        <v>8.7200000000000006</v>
      </c>
      <c r="V1867" t="s">
        <v>20069</v>
      </c>
      <c r="AA1867">
        <v>-0.18</v>
      </c>
      <c r="AB1867" t="s">
        <v>12297</v>
      </c>
      <c r="AC1867" t="s">
        <v>7478</v>
      </c>
      <c r="AE1867" t="s">
        <v>20070</v>
      </c>
      <c r="AF1867" t="s">
        <v>1359</v>
      </c>
      <c r="AG1867" t="s">
        <v>10713</v>
      </c>
      <c r="AH1867" t="s">
        <v>579</v>
      </c>
      <c r="AJ1867" t="s">
        <v>164</v>
      </c>
      <c r="AK1867" t="s">
        <v>192</v>
      </c>
      <c r="AL1867">
        <v>0.42</v>
      </c>
      <c r="AM1867">
        <v>0.42</v>
      </c>
      <c r="AN1867">
        <v>0.33</v>
      </c>
      <c r="AO1867" t="s">
        <v>179</v>
      </c>
      <c r="AP1867" t="s">
        <v>20071</v>
      </c>
      <c r="AQ1867" t="s">
        <v>20072</v>
      </c>
      <c r="AR1867" t="s">
        <v>8808</v>
      </c>
      <c r="AS1867" t="s">
        <v>6684</v>
      </c>
      <c r="AT1867" t="s">
        <v>8240</v>
      </c>
      <c r="AU1867" t="s">
        <v>9186</v>
      </c>
      <c r="AV1867" t="s">
        <v>7736</v>
      </c>
      <c r="AW1867" t="s">
        <v>3700</v>
      </c>
      <c r="AX1867" t="s">
        <v>3971</v>
      </c>
      <c r="AY1867" t="s">
        <v>20073</v>
      </c>
      <c r="AZ1867" t="s">
        <v>20074</v>
      </c>
      <c r="BA1867">
        <v>3</v>
      </c>
      <c r="BB1867">
        <v>323.69</v>
      </c>
      <c r="BC1867">
        <v>0.62</v>
      </c>
      <c r="BD1867">
        <v>3.12</v>
      </c>
      <c r="BE1867">
        <v>3.24</v>
      </c>
      <c r="BF1867">
        <v>3.02</v>
      </c>
      <c r="BG1867" t="s">
        <v>20075</v>
      </c>
      <c r="BH1867" t="s">
        <v>579</v>
      </c>
      <c r="BI1867" t="s">
        <v>20074</v>
      </c>
      <c r="BJ1867" t="s">
        <v>101</v>
      </c>
      <c r="BK1867" t="s">
        <v>9003</v>
      </c>
      <c r="BL1867" t="s">
        <v>20076</v>
      </c>
      <c r="BM1867" t="s">
        <v>20077</v>
      </c>
      <c r="BN1867" t="s">
        <v>14623</v>
      </c>
    </row>
    <row r="1868" spans="1:66" x14ac:dyDescent="0.25">
      <c r="A1868" t="str">
        <f>HYPERLINK("https://elite.finviz.com/quote.ashx?t=MPAA&amp;ty=c&amp;p=d&amp;b=1", "MPAA")</f>
        <v>MPAA</v>
      </c>
      <c r="B1868">
        <v>6</v>
      </c>
      <c r="C1868">
        <v>127.03</v>
      </c>
      <c r="D1868">
        <v>57.97</v>
      </c>
      <c r="E1868" t="s">
        <v>20078</v>
      </c>
      <c r="F1868" t="s">
        <v>67</v>
      </c>
      <c r="G1868" t="s">
        <v>813</v>
      </c>
      <c r="H1868" t="s">
        <v>814</v>
      </c>
      <c r="I1868" t="s">
        <v>70</v>
      </c>
      <c r="J1868" t="s">
        <v>321</v>
      </c>
      <c r="K1868">
        <v>313.02</v>
      </c>
      <c r="L1868">
        <v>16.170000000000002</v>
      </c>
      <c r="M1868" t="s">
        <v>6192</v>
      </c>
      <c r="N1868">
        <v>53904</v>
      </c>
      <c r="O1868">
        <v>206.05</v>
      </c>
      <c r="P1868">
        <v>6.6</v>
      </c>
      <c r="R1868">
        <v>0.4</v>
      </c>
      <c r="S1868">
        <v>1.2</v>
      </c>
      <c r="AA1868">
        <v>0.08</v>
      </c>
      <c r="AC1868" t="s">
        <v>20079</v>
      </c>
      <c r="AE1868" t="s">
        <v>6075</v>
      </c>
      <c r="AF1868" t="s">
        <v>2542</v>
      </c>
      <c r="AG1868" t="s">
        <v>7854</v>
      </c>
      <c r="AH1868" t="s">
        <v>537</v>
      </c>
      <c r="AI1868" t="s">
        <v>2541</v>
      </c>
      <c r="AJ1868" t="s">
        <v>164</v>
      </c>
      <c r="AK1868" t="s">
        <v>11010</v>
      </c>
      <c r="AL1868">
        <v>1.44</v>
      </c>
      <c r="AM1868">
        <v>0.42</v>
      </c>
      <c r="AN1868">
        <v>0.79</v>
      </c>
      <c r="AO1868" t="s">
        <v>6166</v>
      </c>
      <c r="AP1868" t="s">
        <v>2515</v>
      </c>
      <c r="AQ1868" t="s">
        <v>497</v>
      </c>
      <c r="AR1868" t="s">
        <v>4077</v>
      </c>
      <c r="AS1868" t="s">
        <v>371</v>
      </c>
      <c r="AT1868" t="s">
        <v>6104</v>
      </c>
      <c r="AU1868" t="s">
        <v>6860</v>
      </c>
      <c r="AV1868" t="s">
        <v>9293</v>
      </c>
      <c r="AW1868" t="s">
        <v>7754</v>
      </c>
      <c r="AX1868" t="s">
        <v>5515</v>
      </c>
      <c r="AY1868" t="s">
        <v>7754</v>
      </c>
      <c r="AZ1868" t="s">
        <v>20080</v>
      </c>
      <c r="BA1868">
        <v>1</v>
      </c>
      <c r="BB1868">
        <v>215.27</v>
      </c>
      <c r="BC1868">
        <v>0.88</v>
      </c>
      <c r="BD1868">
        <v>16.190000000000001</v>
      </c>
      <c r="BE1868">
        <v>16.3</v>
      </c>
      <c r="BF1868">
        <v>15.57</v>
      </c>
      <c r="BG1868" t="s">
        <v>20081</v>
      </c>
      <c r="BH1868" t="s">
        <v>20082</v>
      </c>
      <c r="BI1868" t="s">
        <v>20083</v>
      </c>
      <c r="BJ1868" t="s">
        <v>101</v>
      </c>
      <c r="BK1868" t="s">
        <v>20084</v>
      </c>
      <c r="BL1868" t="s">
        <v>20085</v>
      </c>
      <c r="BM1868" t="s">
        <v>20086</v>
      </c>
      <c r="BN1868" t="s">
        <v>14623</v>
      </c>
    </row>
    <row r="1869" spans="1:66" x14ac:dyDescent="0.25">
      <c r="A1869" t="str">
        <f>HYPERLINK("https://elite.finviz.com/quote.ashx?t=TCMD&amp;ty=c&amp;p=d&amp;b=1", "TCMD")</f>
        <v>TCMD</v>
      </c>
      <c r="B1869">
        <v>6</v>
      </c>
      <c r="C1869">
        <v>127.03</v>
      </c>
      <c r="D1869">
        <v>58.04</v>
      </c>
      <c r="E1869" t="s">
        <v>20087</v>
      </c>
      <c r="F1869" t="s">
        <v>67</v>
      </c>
      <c r="G1869" t="s">
        <v>428</v>
      </c>
      <c r="H1869" t="s">
        <v>2051</v>
      </c>
      <c r="I1869" t="s">
        <v>70</v>
      </c>
      <c r="J1869" t="s">
        <v>321</v>
      </c>
      <c r="K1869">
        <v>308.08</v>
      </c>
      <c r="L1869">
        <v>13.82</v>
      </c>
      <c r="M1869" t="s">
        <v>3856</v>
      </c>
      <c r="N1869">
        <v>24355</v>
      </c>
      <c r="O1869">
        <v>22.2</v>
      </c>
      <c r="P1869">
        <v>14.81</v>
      </c>
      <c r="Q1869">
        <v>0.73</v>
      </c>
      <c r="R1869">
        <v>1.03</v>
      </c>
      <c r="S1869">
        <v>1.58</v>
      </c>
      <c r="Z1869" t="s">
        <v>164</v>
      </c>
      <c r="AA1869">
        <v>0.62</v>
      </c>
      <c r="AC1869" t="s">
        <v>2523</v>
      </c>
      <c r="AD1869" t="s">
        <v>8867</v>
      </c>
      <c r="AE1869" t="s">
        <v>4686</v>
      </c>
      <c r="AF1869" t="s">
        <v>9196</v>
      </c>
      <c r="AG1869" t="s">
        <v>1775</v>
      </c>
      <c r="AH1869" t="s">
        <v>1021</v>
      </c>
      <c r="AI1869" t="s">
        <v>5595</v>
      </c>
      <c r="AJ1869" t="s">
        <v>9498</v>
      </c>
      <c r="AK1869" t="s">
        <v>9584</v>
      </c>
      <c r="AL1869">
        <v>3.79</v>
      </c>
      <c r="AM1869">
        <v>3.36</v>
      </c>
      <c r="AN1869">
        <v>0.22</v>
      </c>
      <c r="AO1869" t="s">
        <v>14570</v>
      </c>
      <c r="AP1869" t="s">
        <v>2386</v>
      </c>
      <c r="AQ1869" t="s">
        <v>2744</v>
      </c>
      <c r="AR1869" t="s">
        <v>4154</v>
      </c>
      <c r="AS1869" t="s">
        <v>5929</v>
      </c>
      <c r="AT1869" t="s">
        <v>273</v>
      </c>
      <c r="AU1869" t="s">
        <v>5265</v>
      </c>
      <c r="AV1869" t="s">
        <v>7484</v>
      </c>
      <c r="AW1869" t="s">
        <v>2109</v>
      </c>
      <c r="AX1869" t="s">
        <v>10337</v>
      </c>
      <c r="AY1869" t="s">
        <v>2830</v>
      </c>
      <c r="AZ1869" t="s">
        <v>20088</v>
      </c>
      <c r="BA1869">
        <v>2.5</v>
      </c>
      <c r="BB1869">
        <v>217.9</v>
      </c>
      <c r="BC1869">
        <v>0.4</v>
      </c>
      <c r="BD1869">
        <v>13.55</v>
      </c>
      <c r="BE1869">
        <v>13.82</v>
      </c>
      <c r="BF1869">
        <v>13.58</v>
      </c>
      <c r="BG1869" t="s">
        <v>20089</v>
      </c>
      <c r="BH1869" t="s">
        <v>6270</v>
      </c>
      <c r="BI1869" t="s">
        <v>20090</v>
      </c>
      <c r="BJ1869" t="s">
        <v>101</v>
      </c>
      <c r="BK1869" t="s">
        <v>392</v>
      </c>
      <c r="BL1869" t="s">
        <v>316</v>
      </c>
      <c r="BM1869" t="s">
        <v>164</v>
      </c>
      <c r="BN1869" t="s">
        <v>14623</v>
      </c>
    </row>
    <row r="1870" spans="1:66" x14ac:dyDescent="0.25">
      <c r="A1870" t="str">
        <f>HYPERLINK("https://elite.finviz.com/quote.ashx?t=SMHI&amp;ty=c&amp;p=d&amp;b=1", "SMHI")</f>
        <v>SMHI</v>
      </c>
      <c r="B1870">
        <v>6</v>
      </c>
      <c r="C1870">
        <v>127.03</v>
      </c>
      <c r="D1870">
        <v>58.06</v>
      </c>
      <c r="E1870" t="s">
        <v>20091</v>
      </c>
      <c r="F1870" t="s">
        <v>67</v>
      </c>
      <c r="G1870" t="s">
        <v>260</v>
      </c>
      <c r="H1870" t="s">
        <v>2696</v>
      </c>
      <c r="I1870" t="s">
        <v>70</v>
      </c>
      <c r="J1870" t="s">
        <v>71</v>
      </c>
      <c r="K1870">
        <v>186.95</v>
      </c>
      <c r="L1870">
        <v>6.93</v>
      </c>
      <c r="M1870" t="s">
        <v>770</v>
      </c>
      <c r="N1870">
        <v>5101</v>
      </c>
      <c r="R1870">
        <v>0.73</v>
      </c>
      <c r="S1870">
        <v>0.7</v>
      </c>
      <c r="AA1870">
        <v>-2.35</v>
      </c>
      <c r="AC1870" t="s">
        <v>2398</v>
      </c>
      <c r="AE1870" t="s">
        <v>8416</v>
      </c>
      <c r="AF1870" t="s">
        <v>14743</v>
      </c>
      <c r="AG1870" t="s">
        <v>268</v>
      </c>
      <c r="AH1870" t="s">
        <v>5507</v>
      </c>
      <c r="AI1870" t="s">
        <v>4765</v>
      </c>
      <c r="AJ1870" t="s">
        <v>164</v>
      </c>
      <c r="AK1870" t="s">
        <v>18519</v>
      </c>
      <c r="AL1870">
        <v>1.63</v>
      </c>
      <c r="AM1870">
        <v>1.6</v>
      </c>
      <c r="AN1870">
        <v>1.28</v>
      </c>
      <c r="AO1870" t="s">
        <v>6226</v>
      </c>
      <c r="AP1870" t="s">
        <v>11529</v>
      </c>
      <c r="AQ1870" t="s">
        <v>20092</v>
      </c>
      <c r="AR1870" t="s">
        <v>3602</v>
      </c>
      <c r="AS1870" t="s">
        <v>896</v>
      </c>
      <c r="AT1870" t="s">
        <v>1453</v>
      </c>
      <c r="AU1870" t="s">
        <v>2392</v>
      </c>
      <c r="AV1870" t="s">
        <v>218</v>
      </c>
      <c r="AW1870" t="s">
        <v>4122</v>
      </c>
      <c r="AX1870" t="s">
        <v>17701</v>
      </c>
      <c r="AY1870" t="s">
        <v>3403</v>
      </c>
      <c r="AZ1870" t="s">
        <v>3483</v>
      </c>
      <c r="BA1870">
        <v>2</v>
      </c>
      <c r="BB1870">
        <v>101.76</v>
      </c>
      <c r="BC1870">
        <v>0.18</v>
      </c>
      <c r="BD1870">
        <v>6.94</v>
      </c>
      <c r="BE1870">
        <v>6.99</v>
      </c>
      <c r="BF1870">
        <v>6.92</v>
      </c>
      <c r="BG1870" t="s">
        <v>20093</v>
      </c>
      <c r="BH1870" t="s">
        <v>20094</v>
      </c>
      <c r="BI1870" t="s">
        <v>20095</v>
      </c>
      <c r="BJ1870" t="s">
        <v>101</v>
      </c>
      <c r="BK1870" t="s">
        <v>18179</v>
      </c>
      <c r="BL1870" t="s">
        <v>20096</v>
      </c>
      <c r="BM1870" t="s">
        <v>20097</v>
      </c>
      <c r="BN1870" t="s">
        <v>14623</v>
      </c>
    </row>
    <row r="1871" spans="1:66" x14ac:dyDescent="0.25">
      <c r="A1871" t="str">
        <f>HYPERLINK("https://elite.finviz.com/quote.ashx?t=STEP&amp;ty=c&amp;p=d&amp;b=1", "STEP")</f>
        <v>STEP</v>
      </c>
      <c r="B1871">
        <v>6</v>
      </c>
      <c r="C1871">
        <v>127.03</v>
      </c>
      <c r="D1871">
        <v>58.06</v>
      </c>
      <c r="E1871" t="s">
        <v>20098</v>
      </c>
      <c r="F1871" t="s">
        <v>67</v>
      </c>
      <c r="G1871" t="s">
        <v>550</v>
      </c>
      <c r="H1871" t="s">
        <v>2597</v>
      </c>
      <c r="I1871" t="s">
        <v>70</v>
      </c>
      <c r="J1871" t="s">
        <v>321</v>
      </c>
      <c r="K1871">
        <v>7716.21</v>
      </c>
      <c r="L1871">
        <v>65.36</v>
      </c>
      <c r="M1871" t="s">
        <v>5380</v>
      </c>
      <c r="N1871">
        <v>61858</v>
      </c>
      <c r="P1871">
        <v>26.7</v>
      </c>
      <c r="R1871">
        <v>5.68</v>
      </c>
      <c r="S1871">
        <v>33.35</v>
      </c>
      <c r="T1871" t="s">
        <v>2808</v>
      </c>
      <c r="U1871">
        <v>1</v>
      </c>
      <c r="V1871" t="s">
        <v>4882</v>
      </c>
      <c r="W1871" t="s">
        <v>953</v>
      </c>
      <c r="X1871" t="s">
        <v>5782</v>
      </c>
      <c r="AA1871">
        <v>-3.09</v>
      </c>
      <c r="AD1871" t="s">
        <v>5587</v>
      </c>
      <c r="AE1871" t="s">
        <v>10138</v>
      </c>
      <c r="AF1871" t="s">
        <v>4776</v>
      </c>
      <c r="AG1871" t="s">
        <v>1367</v>
      </c>
      <c r="AH1871" t="s">
        <v>5930</v>
      </c>
      <c r="AI1871" t="s">
        <v>120</v>
      </c>
      <c r="AJ1871" t="s">
        <v>8216</v>
      </c>
      <c r="AK1871" t="s">
        <v>20099</v>
      </c>
      <c r="AL1871">
        <v>0.16</v>
      </c>
      <c r="AM1871">
        <v>0.16</v>
      </c>
      <c r="AN1871">
        <v>2.48</v>
      </c>
      <c r="AO1871" t="s">
        <v>20100</v>
      </c>
      <c r="AP1871" t="s">
        <v>10632</v>
      </c>
      <c r="AQ1871" t="s">
        <v>20101</v>
      </c>
      <c r="AR1871" t="s">
        <v>5779</v>
      </c>
      <c r="AS1871" t="s">
        <v>4873</v>
      </c>
      <c r="AT1871" t="s">
        <v>2821</v>
      </c>
      <c r="AU1871" t="s">
        <v>9186</v>
      </c>
      <c r="AV1871" t="s">
        <v>3924</v>
      </c>
      <c r="AW1871" t="s">
        <v>8607</v>
      </c>
      <c r="AX1871" t="s">
        <v>7295</v>
      </c>
      <c r="AY1871" t="s">
        <v>4947</v>
      </c>
      <c r="AZ1871" t="s">
        <v>15110</v>
      </c>
      <c r="BA1871">
        <v>1.67</v>
      </c>
      <c r="BB1871">
        <v>640.75</v>
      </c>
      <c r="BC1871">
        <v>0.34</v>
      </c>
      <c r="BD1871">
        <v>64.59</v>
      </c>
      <c r="BE1871">
        <v>66.11</v>
      </c>
      <c r="BF1871">
        <v>64.59</v>
      </c>
      <c r="BG1871" t="s">
        <v>20102</v>
      </c>
      <c r="BH1871" t="s">
        <v>4947</v>
      </c>
      <c r="BI1871" t="s">
        <v>20103</v>
      </c>
      <c r="BJ1871" t="s">
        <v>101</v>
      </c>
      <c r="BK1871" t="s">
        <v>976</v>
      </c>
      <c r="BL1871" t="s">
        <v>15060</v>
      </c>
      <c r="BM1871" t="s">
        <v>3290</v>
      </c>
      <c r="BN1871" t="s">
        <v>14623</v>
      </c>
    </row>
    <row r="1872" spans="1:66" x14ac:dyDescent="0.25">
      <c r="A1872" t="str">
        <f>HYPERLINK("https://elite.finviz.com/quote.ashx?t=NWE&amp;ty=c&amp;p=d&amp;b=1", "NWE")</f>
        <v>NWE</v>
      </c>
      <c r="B1872">
        <v>6</v>
      </c>
      <c r="C1872">
        <v>127.03</v>
      </c>
      <c r="D1872">
        <v>58.06</v>
      </c>
      <c r="E1872" t="s">
        <v>20104</v>
      </c>
      <c r="F1872" t="s">
        <v>67</v>
      </c>
      <c r="G1872" t="s">
        <v>287</v>
      </c>
      <c r="H1872" t="s">
        <v>676</v>
      </c>
      <c r="I1872" t="s">
        <v>70</v>
      </c>
      <c r="J1872" t="s">
        <v>321</v>
      </c>
      <c r="K1872">
        <v>3535.84</v>
      </c>
      <c r="L1872">
        <v>57.59</v>
      </c>
      <c r="M1872" t="s">
        <v>1764</v>
      </c>
      <c r="N1872">
        <v>36147</v>
      </c>
      <c r="O1872">
        <v>15.68</v>
      </c>
      <c r="P1872">
        <v>14.94</v>
      </c>
      <c r="Q1872">
        <v>2.67</v>
      </c>
      <c r="R1872">
        <v>2.31</v>
      </c>
      <c r="S1872">
        <v>1.23</v>
      </c>
      <c r="T1872" t="s">
        <v>4052</v>
      </c>
      <c r="U1872">
        <v>2.63</v>
      </c>
      <c r="V1872" t="s">
        <v>3833</v>
      </c>
      <c r="W1872" t="s">
        <v>192</v>
      </c>
      <c r="X1872" t="s">
        <v>2449</v>
      </c>
      <c r="Y1872" t="s">
        <v>3635</v>
      </c>
      <c r="Z1872" t="s">
        <v>11306</v>
      </c>
      <c r="AA1872">
        <v>3.67</v>
      </c>
      <c r="AB1872" t="s">
        <v>8228</v>
      </c>
      <c r="AC1872" t="s">
        <v>181</v>
      </c>
      <c r="AD1872" t="s">
        <v>4907</v>
      </c>
      <c r="AE1872" t="s">
        <v>2108</v>
      </c>
      <c r="AF1872" t="s">
        <v>4189</v>
      </c>
      <c r="AG1872" t="s">
        <v>1100</v>
      </c>
      <c r="AH1872" t="s">
        <v>661</v>
      </c>
      <c r="AI1872" t="s">
        <v>1826</v>
      </c>
      <c r="AJ1872" t="s">
        <v>3486</v>
      </c>
      <c r="AK1872" t="s">
        <v>10149</v>
      </c>
      <c r="AL1872">
        <v>0.75</v>
      </c>
      <c r="AM1872">
        <v>0.52</v>
      </c>
      <c r="AN1872">
        <v>1.1100000000000001</v>
      </c>
      <c r="AO1872" t="s">
        <v>10463</v>
      </c>
      <c r="AP1872" t="s">
        <v>7947</v>
      </c>
      <c r="AQ1872" t="s">
        <v>800</v>
      </c>
      <c r="AR1872" t="s">
        <v>7780</v>
      </c>
      <c r="AS1872" t="s">
        <v>6829</v>
      </c>
      <c r="AT1872" t="s">
        <v>3350</v>
      </c>
      <c r="AU1872" t="s">
        <v>4499</v>
      </c>
      <c r="AV1872" t="s">
        <v>3981</v>
      </c>
      <c r="AW1872" t="s">
        <v>11896</v>
      </c>
      <c r="AX1872" t="s">
        <v>6466</v>
      </c>
      <c r="AY1872" t="s">
        <v>308</v>
      </c>
      <c r="AZ1872" t="s">
        <v>10200</v>
      </c>
      <c r="BA1872">
        <v>2.4</v>
      </c>
      <c r="BB1872">
        <v>453.71</v>
      </c>
      <c r="BC1872">
        <v>0.28000000000000003</v>
      </c>
      <c r="BD1872">
        <v>57.17</v>
      </c>
      <c r="BE1872">
        <v>57.94</v>
      </c>
      <c r="BF1872">
        <v>57.08</v>
      </c>
      <c r="BG1872" t="s">
        <v>20105</v>
      </c>
      <c r="BH1872" t="s">
        <v>5728</v>
      </c>
      <c r="BI1872" t="s">
        <v>20106</v>
      </c>
      <c r="BJ1872" t="s">
        <v>101</v>
      </c>
      <c r="BK1872" t="s">
        <v>6737</v>
      </c>
      <c r="BL1872" t="s">
        <v>6150</v>
      </c>
      <c r="BM1872" t="s">
        <v>2509</v>
      </c>
      <c r="BN1872" t="s">
        <v>14623</v>
      </c>
    </row>
    <row r="1873" spans="1:66" x14ac:dyDescent="0.25">
      <c r="A1873" t="str">
        <f>HYPERLINK("https://elite.finviz.com/quote.ashx?t=MCHB&amp;ty=c&amp;p=d&amp;b=1", "MCHB")</f>
        <v>MCHB</v>
      </c>
      <c r="B1873">
        <v>6</v>
      </c>
      <c r="C1873">
        <v>127.03</v>
      </c>
      <c r="D1873">
        <v>58.06</v>
      </c>
      <c r="E1873" t="s">
        <v>20107</v>
      </c>
      <c r="F1873" t="s">
        <v>67</v>
      </c>
      <c r="G1873" t="s">
        <v>550</v>
      </c>
      <c r="H1873" t="s">
        <v>697</v>
      </c>
      <c r="I1873" t="s">
        <v>70</v>
      </c>
      <c r="J1873" t="s">
        <v>321</v>
      </c>
      <c r="K1873">
        <v>3079.71</v>
      </c>
      <c r="L1873">
        <v>14.01</v>
      </c>
      <c r="M1873" t="s">
        <v>2609</v>
      </c>
      <c r="N1873">
        <v>64434</v>
      </c>
      <c r="P1873">
        <v>18.309999999999999</v>
      </c>
      <c r="R1873">
        <v>9.32</v>
      </c>
      <c r="S1873">
        <v>0.66</v>
      </c>
      <c r="V1873" t="s">
        <v>20108</v>
      </c>
      <c r="AA1873">
        <v>-7.4</v>
      </c>
      <c r="AE1873" t="s">
        <v>9833</v>
      </c>
      <c r="AF1873" t="s">
        <v>5895</v>
      </c>
      <c r="AG1873" t="s">
        <v>1657</v>
      </c>
      <c r="AH1873" t="s">
        <v>1221</v>
      </c>
      <c r="AI1873" t="s">
        <v>20109</v>
      </c>
      <c r="AJ1873" t="s">
        <v>164</v>
      </c>
      <c r="AK1873" t="s">
        <v>506</v>
      </c>
      <c r="AL1873">
        <v>0.04</v>
      </c>
      <c r="AN1873">
        <v>3.14</v>
      </c>
      <c r="AP1873" t="s">
        <v>18369</v>
      </c>
      <c r="AQ1873" t="s">
        <v>17945</v>
      </c>
      <c r="AR1873" t="s">
        <v>2234</v>
      </c>
      <c r="AS1873" t="s">
        <v>4908</v>
      </c>
      <c r="AT1873" t="s">
        <v>5370</v>
      </c>
      <c r="AU1873" t="s">
        <v>6226</v>
      </c>
      <c r="AV1873" t="s">
        <v>7807</v>
      </c>
      <c r="AW1873" t="s">
        <v>6739</v>
      </c>
      <c r="AX1873" t="s">
        <v>4829</v>
      </c>
      <c r="AY1873" t="s">
        <v>8729</v>
      </c>
      <c r="AZ1873" t="s">
        <v>5482</v>
      </c>
      <c r="BA1873">
        <v>3</v>
      </c>
      <c r="BB1873">
        <v>156.99</v>
      </c>
      <c r="BC1873">
        <v>1.45</v>
      </c>
      <c r="BD1873">
        <v>13.75</v>
      </c>
      <c r="BE1873">
        <v>14.15</v>
      </c>
      <c r="BF1873">
        <v>13.66</v>
      </c>
      <c r="BG1873" t="s">
        <v>20110</v>
      </c>
      <c r="BH1873" t="s">
        <v>14341</v>
      </c>
      <c r="BI1873" t="s">
        <v>20111</v>
      </c>
      <c r="BJ1873" t="s">
        <v>101</v>
      </c>
      <c r="BK1873" t="s">
        <v>2513</v>
      </c>
      <c r="BL1873" t="s">
        <v>6941</v>
      </c>
      <c r="BM1873" t="s">
        <v>1779</v>
      </c>
      <c r="BN1873" t="s">
        <v>14623</v>
      </c>
    </row>
    <row r="1874" spans="1:66" x14ac:dyDescent="0.25">
      <c r="A1874" t="str">
        <f>HYPERLINK("https://elite.finviz.com/quote.ashx?t=AEON&amp;ty=c&amp;p=d&amp;b=1", "AEON")</f>
        <v>AEON</v>
      </c>
      <c r="B1874">
        <v>6</v>
      </c>
      <c r="C1874">
        <v>127.03</v>
      </c>
      <c r="D1874">
        <v>58.07</v>
      </c>
      <c r="E1874" t="s">
        <v>20112</v>
      </c>
      <c r="F1874" t="s">
        <v>107</v>
      </c>
      <c r="G1874" t="s">
        <v>428</v>
      </c>
      <c r="H1874" t="s">
        <v>429</v>
      </c>
      <c r="I1874" t="s">
        <v>70</v>
      </c>
      <c r="J1874" t="s">
        <v>383</v>
      </c>
      <c r="K1874">
        <v>9.43</v>
      </c>
      <c r="L1874">
        <v>0.81</v>
      </c>
      <c r="M1874" t="s">
        <v>2821</v>
      </c>
      <c r="N1874">
        <v>40589</v>
      </c>
      <c r="Z1874" t="s">
        <v>164</v>
      </c>
      <c r="AA1874">
        <v>-5.81</v>
      </c>
      <c r="AB1874" t="s">
        <v>19602</v>
      </c>
      <c r="AI1874" t="s">
        <v>9990</v>
      </c>
      <c r="AJ1874" t="s">
        <v>3432</v>
      </c>
      <c r="AK1874" t="s">
        <v>5551</v>
      </c>
      <c r="AL1874">
        <v>1.1200000000000001</v>
      </c>
      <c r="AM1874">
        <v>1.1200000000000001</v>
      </c>
      <c r="AR1874" t="s">
        <v>3429</v>
      </c>
      <c r="AS1874" t="s">
        <v>1767</v>
      </c>
      <c r="AT1874" t="s">
        <v>2370</v>
      </c>
      <c r="AU1874" t="s">
        <v>1310</v>
      </c>
      <c r="AV1874" t="s">
        <v>20113</v>
      </c>
      <c r="AW1874" t="s">
        <v>5567</v>
      </c>
      <c r="AX1874" t="s">
        <v>375</v>
      </c>
      <c r="AY1874" t="s">
        <v>17684</v>
      </c>
      <c r="AZ1874" t="s">
        <v>5511</v>
      </c>
      <c r="BA1874">
        <v>1</v>
      </c>
      <c r="BB1874">
        <v>113.58</v>
      </c>
      <c r="BC1874">
        <v>1.27</v>
      </c>
      <c r="BD1874">
        <v>0.78</v>
      </c>
      <c r="BE1874">
        <v>0.82</v>
      </c>
      <c r="BF1874">
        <v>0.79</v>
      </c>
      <c r="BG1874" t="s">
        <v>20114</v>
      </c>
      <c r="BH1874" t="s">
        <v>8952</v>
      </c>
      <c r="BI1874" t="s">
        <v>5511</v>
      </c>
      <c r="BJ1874" t="s">
        <v>101</v>
      </c>
      <c r="BK1874" t="s">
        <v>3372</v>
      </c>
      <c r="BL1874" t="s">
        <v>15980</v>
      </c>
      <c r="BM1874" t="s">
        <v>16909</v>
      </c>
      <c r="BN1874" t="s">
        <v>14623</v>
      </c>
    </row>
    <row r="1875" spans="1:66" x14ac:dyDescent="0.25">
      <c r="A1875" t="str">
        <f>HYPERLINK("https://elite.finviz.com/quote.ashx?t=QSEA&amp;ty=c&amp;p=d&amp;b=1", "QSEA")</f>
        <v>QSEA</v>
      </c>
      <c r="B1875">
        <v>6</v>
      </c>
      <c r="C1875">
        <v>127.03</v>
      </c>
      <c r="D1875">
        <v>58.08</v>
      </c>
      <c r="E1875" t="s">
        <v>20115</v>
      </c>
      <c r="F1875" t="s">
        <v>107</v>
      </c>
      <c r="G1875" t="s">
        <v>550</v>
      </c>
      <c r="H1875" t="s">
        <v>2120</v>
      </c>
      <c r="I1875" t="s">
        <v>70</v>
      </c>
      <c r="J1875" t="s">
        <v>321</v>
      </c>
      <c r="K1875">
        <v>115.58</v>
      </c>
      <c r="L1875">
        <v>10.130000000000001</v>
      </c>
      <c r="M1875" t="s">
        <v>164</v>
      </c>
      <c r="N1875">
        <v>4294</v>
      </c>
      <c r="S1875">
        <v>1.43</v>
      </c>
      <c r="AJ1875" t="s">
        <v>164</v>
      </c>
      <c r="AK1875" t="s">
        <v>20116</v>
      </c>
      <c r="AL1875">
        <v>2.82</v>
      </c>
      <c r="AM1875">
        <v>2.82</v>
      </c>
      <c r="AN1875">
        <v>0</v>
      </c>
      <c r="AR1875" t="s">
        <v>4507</v>
      </c>
      <c r="AS1875" t="s">
        <v>580</v>
      </c>
      <c r="AT1875" t="s">
        <v>4237</v>
      </c>
      <c r="AU1875" t="s">
        <v>2642</v>
      </c>
      <c r="AV1875" t="s">
        <v>2418</v>
      </c>
      <c r="AW1875" t="s">
        <v>2213</v>
      </c>
      <c r="AX1875" t="s">
        <v>2509</v>
      </c>
      <c r="AY1875" t="s">
        <v>2213</v>
      </c>
      <c r="AZ1875" t="s">
        <v>6493</v>
      </c>
      <c r="BB1875">
        <v>25.65</v>
      </c>
      <c r="BC1875">
        <v>0.59</v>
      </c>
      <c r="BD1875">
        <v>10.130000000000001</v>
      </c>
      <c r="BE1875">
        <v>10.130000000000001</v>
      </c>
      <c r="BF1875">
        <v>10.130000000000001</v>
      </c>
      <c r="BG1875" t="s">
        <v>20117</v>
      </c>
      <c r="BH1875" t="s">
        <v>2213</v>
      </c>
      <c r="BI1875" t="s">
        <v>6493</v>
      </c>
      <c r="BJ1875" t="s">
        <v>101</v>
      </c>
      <c r="BN1875" t="s">
        <v>14623</v>
      </c>
    </row>
    <row r="1876" spans="1:66" x14ac:dyDescent="0.25">
      <c r="A1876" t="str">
        <f>HYPERLINK("https://elite.finviz.com/quote.ashx?t=FINW&amp;ty=c&amp;p=d&amp;b=1", "FINW")</f>
        <v>FINW</v>
      </c>
      <c r="B1876">
        <v>6</v>
      </c>
      <c r="C1876">
        <v>127.03</v>
      </c>
      <c r="D1876">
        <v>58.09</v>
      </c>
      <c r="E1876" t="s">
        <v>20118</v>
      </c>
      <c r="F1876" t="s">
        <v>67</v>
      </c>
      <c r="G1876" t="s">
        <v>550</v>
      </c>
      <c r="H1876" t="s">
        <v>697</v>
      </c>
      <c r="I1876" t="s">
        <v>70</v>
      </c>
      <c r="J1876" t="s">
        <v>321</v>
      </c>
      <c r="K1876">
        <v>278.63</v>
      </c>
      <c r="L1876">
        <v>20.61</v>
      </c>
      <c r="M1876" t="s">
        <v>1998</v>
      </c>
      <c r="N1876">
        <v>2220</v>
      </c>
      <c r="O1876">
        <v>21.08</v>
      </c>
      <c r="P1876">
        <v>12.46</v>
      </c>
      <c r="R1876">
        <v>2.63</v>
      </c>
      <c r="S1876">
        <v>1.53</v>
      </c>
      <c r="Z1876" t="s">
        <v>164</v>
      </c>
      <c r="AA1876">
        <v>0.98</v>
      </c>
      <c r="AB1876" t="s">
        <v>20119</v>
      </c>
      <c r="AC1876" t="s">
        <v>903</v>
      </c>
      <c r="AE1876" t="s">
        <v>2095</v>
      </c>
      <c r="AF1876" t="s">
        <v>6607</v>
      </c>
      <c r="AG1876" t="s">
        <v>9157</v>
      </c>
      <c r="AH1876" t="s">
        <v>15917</v>
      </c>
      <c r="AI1876" t="s">
        <v>3861</v>
      </c>
      <c r="AJ1876" t="s">
        <v>164</v>
      </c>
      <c r="AK1876" t="s">
        <v>14714</v>
      </c>
      <c r="AL1876">
        <v>0.45</v>
      </c>
      <c r="AN1876">
        <v>0.03</v>
      </c>
      <c r="AP1876" t="s">
        <v>8302</v>
      </c>
      <c r="AQ1876" t="s">
        <v>13830</v>
      </c>
      <c r="AR1876" t="s">
        <v>8727</v>
      </c>
      <c r="AS1876" t="s">
        <v>3519</v>
      </c>
      <c r="AT1876" t="s">
        <v>1391</v>
      </c>
      <c r="AU1876" t="s">
        <v>419</v>
      </c>
      <c r="AV1876" t="s">
        <v>11368</v>
      </c>
      <c r="AW1876" t="s">
        <v>10375</v>
      </c>
      <c r="AX1876" t="s">
        <v>20120</v>
      </c>
      <c r="AY1876" t="s">
        <v>10375</v>
      </c>
      <c r="AZ1876" t="s">
        <v>11866</v>
      </c>
      <c r="BA1876">
        <v>1.33</v>
      </c>
      <c r="BB1876">
        <v>34.56</v>
      </c>
      <c r="BC1876">
        <v>0.23</v>
      </c>
      <c r="BD1876">
        <v>20.64</v>
      </c>
      <c r="BE1876">
        <v>20.86</v>
      </c>
      <c r="BF1876">
        <v>20.59</v>
      </c>
      <c r="BG1876" t="s">
        <v>20121</v>
      </c>
      <c r="BH1876" t="s">
        <v>10375</v>
      </c>
      <c r="BI1876" t="s">
        <v>13914</v>
      </c>
      <c r="BJ1876" t="s">
        <v>101</v>
      </c>
      <c r="BK1876" t="s">
        <v>20122</v>
      </c>
      <c r="BL1876" t="s">
        <v>5038</v>
      </c>
      <c r="BM1876" t="s">
        <v>8557</v>
      </c>
      <c r="BN1876" t="s">
        <v>14623</v>
      </c>
    </row>
    <row r="1877" spans="1:66" x14ac:dyDescent="0.25">
      <c r="A1877" t="str">
        <f>HYPERLINK("https://elite.finviz.com/quote.ashx?t=AFJK&amp;ty=c&amp;p=d&amp;b=1", "AFJK")</f>
        <v>AFJK</v>
      </c>
      <c r="B1877">
        <v>6</v>
      </c>
      <c r="C1877">
        <v>127.03</v>
      </c>
      <c r="D1877">
        <v>58.13</v>
      </c>
      <c r="E1877" t="s">
        <v>20123</v>
      </c>
      <c r="F1877" t="s">
        <v>107</v>
      </c>
      <c r="G1877" t="s">
        <v>550</v>
      </c>
      <c r="H1877" t="s">
        <v>2120</v>
      </c>
      <c r="I1877" t="s">
        <v>70</v>
      </c>
      <c r="J1877" t="s">
        <v>321</v>
      </c>
      <c r="K1877">
        <v>69.400000000000006</v>
      </c>
      <c r="L1877">
        <v>11.34</v>
      </c>
      <c r="M1877" t="s">
        <v>211</v>
      </c>
      <c r="N1877">
        <v>5</v>
      </c>
      <c r="O1877">
        <v>50.11</v>
      </c>
      <c r="S1877">
        <v>1.67</v>
      </c>
      <c r="Z1877" t="s">
        <v>164</v>
      </c>
      <c r="AA1877">
        <v>0.23</v>
      </c>
      <c r="AJ1877" t="s">
        <v>164</v>
      </c>
      <c r="AK1877" t="s">
        <v>11095</v>
      </c>
      <c r="AL1877">
        <v>0.02</v>
      </c>
      <c r="AM1877">
        <v>0.02</v>
      </c>
      <c r="AN1877">
        <v>0.03</v>
      </c>
      <c r="AR1877" t="s">
        <v>164</v>
      </c>
      <c r="AS1877" t="s">
        <v>580</v>
      </c>
      <c r="AT1877" t="s">
        <v>4271</v>
      </c>
      <c r="AU1877" t="s">
        <v>7423</v>
      </c>
      <c r="AV1877" t="s">
        <v>2196</v>
      </c>
      <c r="AW1877" t="s">
        <v>2263</v>
      </c>
      <c r="AX1877" t="s">
        <v>2941</v>
      </c>
      <c r="AY1877" t="s">
        <v>2263</v>
      </c>
      <c r="AZ1877" t="s">
        <v>6532</v>
      </c>
      <c r="BB1877">
        <v>8.4700000000000006</v>
      </c>
      <c r="BC1877">
        <v>0</v>
      </c>
      <c r="BD1877">
        <v>11.33</v>
      </c>
      <c r="BE1877">
        <v>11.25</v>
      </c>
      <c r="BF1877">
        <v>11.25</v>
      </c>
      <c r="BG1877" t="s">
        <v>20124</v>
      </c>
      <c r="BH1877" t="s">
        <v>1324</v>
      </c>
      <c r="BI1877" t="s">
        <v>13358</v>
      </c>
      <c r="BJ1877" t="s">
        <v>101</v>
      </c>
      <c r="BK1877" t="s">
        <v>2429</v>
      </c>
      <c r="BL1877" t="s">
        <v>238</v>
      </c>
      <c r="BM1877" t="s">
        <v>6923</v>
      </c>
      <c r="BN1877" t="s">
        <v>14623</v>
      </c>
    </row>
    <row r="1878" spans="1:66" x14ac:dyDescent="0.25">
      <c r="A1878" t="str">
        <f>HYPERLINK("https://elite.finviz.com/quote.ashx?t=ADUS&amp;ty=c&amp;p=d&amp;b=1", "ADUS")</f>
        <v>ADUS</v>
      </c>
      <c r="B1878">
        <v>6</v>
      </c>
      <c r="C1878">
        <v>127.03</v>
      </c>
      <c r="D1878">
        <v>58.13</v>
      </c>
      <c r="E1878" t="s">
        <v>20125</v>
      </c>
      <c r="F1878" t="s">
        <v>67</v>
      </c>
      <c r="G1878" t="s">
        <v>428</v>
      </c>
      <c r="H1878" t="s">
        <v>3160</v>
      </c>
      <c r="I1878" t="s">
        <v>70</v>
      </c>
      <c r="J1878" t="s">
        <v>321</v>
      </c>
      <c r="K1878">
        <v>2139.65</v>
      </c>
      <c r="L1878">
        <v>116.24</v>
      </c>
      <c r="M1878" t="s">
        <v>6842</v>
      </c>
      <c r="N1878">
        <v>18508</v>
      </c>
      <c r="O1878">
        <v>25.64</v>
      </c>
      <c r="P1878">
        <v>16.989999999999998</v>
      </c>
      <c r="Q1878">
        <v>2.09</v>
      </c>
      <c r="R1878">
        <v>1.68</v>
      </c>
      <c r="S1878">
        <v>2.09</v>
      </c>
      <c r="Z1878" t="s">
        <v>164</v>
      </c>
      <c r="AA1878">
        <v>4.53</v>
      </c>
      <c r="AB1878" t="s">
        <v>8848</v>
      </c>
      <c r="AC1878" t="s">
        <v>6393</v>
      </c>
      <c r="AD1878" t="s">
        <v>2392</v>
      </c>
      <c r="AE1878" t="s">
        <v>2169</v>
      </c>
      <c r="AF1878" t="s">
        <v>9300</v>
      </c>
      <c r="AG1878" t="s">
        <v>2471</v>
      </c>
      <c r="AH1878" t="s">
        <v>7308</v>
      </c>
      <c r="AI1878" t="s">
        <v>7780</v>
      </c>
      <c r="AJ1878" t="s">
        <v>4863</v>
      </c>
      <c r="AK1878" t="s">
        <v>14445</v>
      </c>
      <c r="AL1878">
        <v>1.74</v>
      </c>
      <c r="AM1878">
        <v>1.74</v>
      </c>
      <c r="AN1878">
        <v>0.22</v>
      </c>
      <c r="AO1878" t="s">
        <v>11953</v>
      </c>
      <c r="AP1878" t="s">
        <v>10793</v>
      </c>
      <c r="AQ1878" t="s">
        <v>291</v>
      </c>
      <c r="AR1878" t="s">
        <v>305</v>
      </c>
      <c r="AS1878" t="s">
        <v>2643</v>
      </c>
      <c r="AT1878" t="s">
        <v>7088</v>
      </c>
      <c r="AU1878" t="s">
        <v>3325</v>
      </c>
      <c r="AV1878" t="s">
        <v>926</v>
      </c>
      <c r="AW1878" t="s">
        <v>9500</v>
      </c>
      <c r="AX1878" t="s">
        <v>2948</v>
      </c>
      <c r="AY1878" t="s">
        <v>20126</v>
      </c>
      <c r="AZ1878" t="s">
        <v>11690</v>
      </c>
      <c r="BA1878">
        <v>1.42</v>
      </c>
      <c r="BB1878">
        <v>161.59</v>
      </c>
      <c r="BC1878">
        <v>0.4</v>
      </c>
      <c r="BD1878">
        <v>115.59</v>
      </c>
      <c r="BE1878">
        <v>117.44</v>
      </c>
      <c r="BF1878">
        <v>114.86</v>
      </c>
      <c r="BG1878" t="s">
        <v>20127</v>
      </c>
      <c r="BH1878" t="s">
        <v>20126</v>
      </c>
      <c r="BI1878" t="s">
        <v>20128</v>
      </c>
      <c r="BJ1878" t="s">
        <v>101</v>
      </c>
      <c r="BK1878" t="s">
        <v>2630</v>
      </c>
      <c r="BL1878" t="s">
        <v>8057</v>
      </c>
      <c r="BM1878" t="s">
        <v>13240</v>
      </c>
      <c r="BN1878" t="s">
        <v>14623</v>
      </c>
    </row>
    <row r="1879" spans="1:66" x14ac:dyDescent="0.25">
      <c r="A1879" t="str">
        <f>HYPERLINK("https://elite.finviz.com/quote.ashx?t=NTGR&amp;ty=c&amp;p=d&amp;b=1", "NTGR")</f>
        <v>NTGR</v>
      </c>
      <c r="B1879">
        <v>6</v>
      </c>
      <c r="C1879">
        <v>127.03</v>
      </c>
      <c r="D1879">
        <v>58.14</v>
      </c>
      <c r="E1879" t="s">
        <v>20129</v>
      </c>
      <c r="F1879" t="s">
        <v>67</v>
      </c>
      <c r="G1879" t="s">
        <v>108</v>
      </c>
      <c r="H1879" t="s">
        <v>1921</v>
      </c>
      <c r="I1879" t="s">
        <v>70</v>
      </c>
      <c r="J1879" t="s">
        <v>321</v>
      </c>
      <c r="K1879">
        <v>832.06</v>
      </c>
      <c r="L1879">
        <v>28.68</v>
      </c>
      <c r="M1879" t="s">
        <v>1202</v>
      </c>
      <c r="N1879">
        <v>50595</v>
      </c>
      <c r="O1879">
        <v>13.31</v>
      </c>
      <c r="P1879">
        <v>212.47</v>
      </c>
      <c r="R1879">
        <v>1.19</v>
      </c>
      <c r="S1879">
        <v>1.59</v>
      </c>
      <c r="Z1879" t="s">
        <v>164</v>
      </c>
      <c r="AA1879">
        <v>2.15</v>
      </c>
      <c r="AB1879" t="s">
        <v>20130</v>
      </c>
      <c r="AC1879" t="s">
        <v>126</v>
      </c>
      <c r="AE1879" t="s">
        <v>6245</v>
      </c>
      <c r="AF1879" t="s">
        <v>12344</v>
      </c>
      <c r="AG1879" t="s">
        <v>14732</v>
      </c>
      <c r="AH1879" t="s">
        <v>7283</v>
      </c>
      <c r="AI1879" t="s">
        <v>20131</v>
      </c>
      <c r="AJ1879" t="s">
        <v>5879</v>
      </c>
      <c r="AK1879" t="s">
        <v>11294</v>
      </c>
      <c r="AL1879">
        <v>2.87</v>
      </c>
      <c r="AM1879">
        <v>2.23</v>
      </c>
      <c r="AN1879">
        <v>0.05</v>
      </c>
      <c r="AO1879" t="s">
        <v>363</v>
      </c>
      <c r="AP1879" t="s">
        <v>2814</v>
      </c>
      <c r="AQ1879" t="s">
        <v>1775</v>
      </c>
      <c r="AR1879" t="s">
        <v>4600</v>
      </c>
      <c r="AS1879" t="s">
        <v>679</v>
      </c>
      <c r="AT1879" t="s">
        <v>3493</v>
      </c>
      <c r="AU1879" t="s">
        <v>5122</v>
      </c>
      <c r="AV1879" t="s">
        <v>6420</v>
      </c>
      <c r="AW1879" t="s">
        <v>7865</v>
      </c>
      <c r="AX1879" t="s">
        <v>1366</v>
      </c>
      <c r="AY1879" t="s">
        <v>2632</v>
      </c>
      <c r="AZ1879" t="s">
        <v>4854</v>
      </c>
      <c r="BA1879">
        <v>2</v>
      </c>
      <c r="BB1879">
        <v>422.81</v>
      </c>
      <c r="BC1879">
        <v>0.42</v>
      </c>
      <c r="BD1879">
        <v>28.86</v>
      </c>
      <c r="BE1879">
        <v>28.95</v>
      </c>
      <c r="BF1879">
        <v>28.46</v>
      </c>
      <c r="BG1879" t="s">
        <v>20132</v>
      </c>
      <c r="BH1879" t="s">
        <v>8833</v>
      </c>
      <c r="BI1879" t="s">
        <v>20133</v>
      </c>
      <c r="BJ1879" t="s">
        <v>101</v>
      </c>
      <c r="BK1879" t="s">
        <v>2144</v>
      </c>
      <c r="BL1879" t="s">
        <v>12975</v>
      </c>
      <c r="BM1879" t="s">
        <v>20134</v>
      </c>
      <c r="BN1879" t="s">
        <v>14623</v>
      </c>
    </row>
    <row r="1880" spans="1:66" x14ac:dyDescent="0.25">
      <c r="A1880" t="str">
        <f>HYPERLINK("https://elite.finviz.com/quote.ashx?t=MKLYU&amp;ty=c&amp;p=d&amp;b=1", "MKLYU")</f>
        <v>MKLYU</v>
      </c>
      <c r="B1880">
        <v>6</v>
      </c>
      <c r="C1880">
        <v>127.03</v>
      </c>
      <c r="D1880">
        <v>58.14</v>
      </c>
      <c r="E1880" t="s">
        <v>20135</v>
      </c>
      <c r="F1880" t="s">
        <v>107</v>
      </c>
      <c r="G1880" t="s">
        <v>550</v>
      </c>
      <c r="H1880" t="s">
        <v>2120</v>
      </c>
      <c r="I1880" t="s">
        <v>70</v>
      </c>
      <c r="J1880" t="s">
        <v>321</v>
      </c>
      <c r="K1880">
        <v>154.65</v>
      </c>
      <c r="L1880">
        <v>10</v>
      </c>
      <c r="M1880" t="s">
        <v>164</v>
      </c>
      <c r="N1880">
        <v>99802</v>
      </c>
      <c r="AK1880" t="s">
        <v>8593</v>
      </c>
      <c r="AL1880">
        <v>0.42</v>
      </c>
      <c r="AM1880">
        <v>0.42</v>
      </c>
      <c r="AR1880" t="s">
        <v>2757</v>
      </c>
      <c r="AS1880" t="s">
        <v>2757</v>
      </c>
      <c r="AT1880" t="s">
        <v>4494</v>
      </c>
      <c r="AU1880" t="s">
        <v>2275</v>
      </c>
      <c r="AV1880" t="s">
        <v>2275</v>
      </c>
      <c r="AW1880" t="s">
        <v>2638</v>
      </c>
      <c r="AX1880" t="s">
        <v>2641</v>
      </c>
      <c r="AY1880" t="s">
        <v>2638</v>
      </c>
      <c r="AZ1880" t="s">
        <v>2641</v>
      </c>
      <c r="BB1880">
        <v>374.03</v>
      </c>
      <c r="BC1880">
        <v>0.95</v>
      </c>
      <c r="BD1880">
        <v>10</v>
      </c>
      <c r="BE1880">
        <v>10</v>
      </c>
      <c r="BF1880">
        <v>10</v>
      </c>
      <c r="BG1880" t="s">
        <v>20136</v>
      </c>
      <c r="BH1880" t="s">
        <v>2638</v>
      </c>
      <c r="BI1880" t="s">
        <v>2641</v>
      </c>
      <c r="BJ1880" t="s">
        <v>101</v>
      </c>
      <c r="BN1880" t="s">
        <v>14623</v>
      </c>
    </row>
    <row r="1881" spans="1:66" x14ac:dyDescent="0.25">
      <c r="A1881" t="str">
        <f>HYPERLINK("https://elite.finviz.com/quote.ashx?t=MLAC&amp;ty=c&amp;p=d&amp;b=1", "MLAC")</f>
        <v>MLAC</v>
      </c>
      <c r="B1881">
        <v>6</v>
      </c>
      <c r="C1881">
        <v>127.03</v>
      </c>
      <c r="D1881">
        <v>58.15</v>
      </c>
      <c r="E1881" t="s">
        <v>20137</v>
      </c>
      <c r="F1881" t="s">
        <v>107</v>
      </c>
      <c r="G1881" t="s">
        <v>550</v>
      </c>
      <c r="H1881" t="s">
        <v>2120</v>
      </c>
      <c r="I1881" t="s">
        <v>70</v>
      </c>
      <c r="J1881" t="s">
        <v>321</v>
      </c>
      <c r="K1881">
        <v>319.2</v>
      </c>
      <c r="L1881">
        <v>10.3</v>
      </c>
      <c r="M1881" t="s">
        <v>164</v>
      </c>
      <c r="N1881">
        <v>0</v>
      </c>
      <c r="O1881">
        <v>68.3</v>
      </c>
      <c r="S1881">
        <v>1.39</v>
      </c>
      <c r="AA1881">
        <v>0.15</v>
      </c>
      <c r="AJ1881" t="s">
        <v>164</v>
      </c>
      <c r="AK1881" t="s">
        <v>5902</v>
      </c>
      <c r="AL1881">
        <v>5.09</v>
      </c>
      <c r="AM1881">
        <v>5.09</v>
      </c>
      <c r="AN1881">
        <v>0</v>
      </c>
      <c r="AR1881" t="s">
        <v>4507</v>
      </c>
      <c r="AS1881" t="s">
        <v>2757</v>
      </c>
      <c r="AT1881" t="s">
        <v>183</v>
      </c>
      <c r="AU1881" t="s">
        <v>3736</v>
      </c>
      <c r="AV1881" t="s">
        <v>5610</v>
      </c>
      <c r="AW1881" t="s">
        <v>1648</v>
      </c>
      <c r="AX1881" t="s">
        <v>102</v>
      </c>
      <c r="AY1881" t="s">
        <v>1648</v>
      </c>
      <c r="AZ1881" t="s">
        <v>3325</v>
      </c>
      <c r="BB1881">
        <v>16.25</v>
      </c>
      <c r="BC1881">
        <v>0</v>
      </c>
      <c r="BD1881">
        <v>10.3</v>
      </c>
      <c r="BE1881">
        <v>10.3</v>
      </c>
      <c r="BF1881">
        <v>10.3</v>
      </c>
      <c r="BG1881" t="s">
        <v>20138</v>
      </c>
      <c r="BH1881" t="s">
        <v>1648</v>
      </c>
      <c r="BI1881" t="s">
        <v>3325</v>
      </c>
      <c r="BJ1881" t="s">
        <v>101</v>
      </c>
      <c r="BK1881" t="s">
        <v>5116</v>
      </c>
      <c r="BN1881" t="s">
        <v>14623</v>
      </c>
    </row>
    <row r="1882" spans="1:66" x14ac:dyDescent="0.25">
      <c r="A1882" t="str">
        <f>HYPERLINK("https://elite.finviz.com/quote.ashx?t=BFRI&amp;ty=c&amp;p=d&amp;b=1", "BFRI")</f>
        <v>BFRI</v>
      </c>
      <c r="B1882">
        <v>6</v>
      </c>
      <c r="C1882">
        <v>127.03</v>
      </c>
      <c r="D1882">
        <v>58.16</v>
      </c>
      <c r="E1882" t="s">
        <v>20139</v>
      </c>
      <c r="F1882" t="s">
        <v>107</v>
      </c>
      <c r="G1882" t="s">
        <v>428</v>
      </c>
      <c r="H1882" t="s">
        <v>1296</v>
      </c>
      <c r="I1882" t="s">
        <v>70</v>
      </c>
      <c r="J1882" t="s">
        <v>321</v>
      </c>
      <c r="K1882">
        <v>10.24</v>
      </c>
      <c r="L1882">
        <v>0.96</v>
      </c>
      <c r="M1882" t="s">
        <v>7709</v>
      </c>
      <c r="N1882">
        <v>10335</v>
      </c>
      <c r="P1882">
        <v>16</v>
      </c>
      <c r="R1882">
        <v>0.26</v>
      </c>
      <c r="AA1882">
        <v>-2.1800000000000002</v>
      </c>
      <c r="AB1882" t="s">
        <v>20140</v>
      </c>
      <c r="AC1882" t="s">
        <v>20141</v>
      </c>
      <c r="AE1882" t="s">
        <v>6293</v>
      </c>
      <c r="AF1882" t="s">
        <v>4834</v>
      </c>
      <c r="AG1882" t="s">
        <v>3745</v>
      </c>
      <c r="AH1882" t="s">
        <v>1601</v>
      </c>
      <c r="AI1882" t="s">
        <v>12987</v>
      </c>
      <c r="AJ1882" t="s">
        <v>164</v>
      </c>
      <c r="AK1882" t="s">
        <v>9217</v>
      </c>
      <c r="AL1882">
        <v>0.96</v>
      </c>
      <c r="AM1882">
        <v>0.75</v>
      </c>
      <c r="AO1882" t="s">
        <v>18177</v>
      </c>
      <c r="AP1882" t="s">
        <v>20142</v>
      </c>
      <c r="AQ1882" t="s">
        <v>20143</v>
      </c>
      <c r="AR1882" t="s">
        <v>6923</v>
      </c>
      <c r="AS1882" t="s">
        <v>1207</v>
      </c>
      <c r="AT1882" t="s">
        <v>6272</v>
      </c>
      <c r="AU1882" t="s">
        <v>3638</v>
      </c>
      <c r="AV1882" t="s">
        <v>4437</v>
      </c>
      <c r="AW1882" t="s">
        <v>10770</v>
      </c>
      <c r="AX1882" t="s">
        <v>20144</v>
      </c>
      <c r="AY1882" t="s">
        <v>18405</v>
      </c>
      <c r="AZ1882" t="s">
        <v>10894</v>
      </c>
      <c r="BA1882">
        <v>1</v>
      </c>
      <c r="BB1882">
        <v>225.9</v>
      </c>
      <c r="BC1882">
        <v>0.16</v>
      </c>
      <c r="BD1882">
        <v>0.96</v>
      </c>
      <c r="BE1882">
        <v>0.97</v>
      </c>
      <c r="BF1882">
        <v>0.95</v>
      </c>
      <c r="BG1882" t="s">
        <v>20145</v>
      </c>
      <c r="BH1882" t="s">
        <v>12369</v>
      </c>
      <c r="BI1882" t="s">
        <v>10894</v>
      </c>
      <c r="BJ1882" t="s">
        <v>101</v>
      </c>
      <c r="BK1882" t="s">
        <v>12240</v>
      </c>
      <c r="BL1882" t="s">
        <v>5756</v>
      </c>
      <c r="BM1882" t="s">
        <v>20146</v>
      </c>
      <c r="BN1882" t="s">
        <v>14623</v>
      </c>
    </row>
    <row r="1883" spans="1:66" x14ac:dyDescent="0.25">
      <c r="A1883" t="str">
        <f>HYPERLINK("https://elite.finviz.com/quote.ashx?t=LARK&amp;ty=c&amp;p=d&amp;b=1", "LARK")</f>
        <v>LARK</v>
      </c>
      <c r="B1883">
        <v>6</v>
      </c>
      <c r="C1883">
        <v>127.03</v>
      </c>
      <c r="D1883">
        <v>58.19</v>
      </c>
      <c r="E1883" t="s">
        <v>20147</v>
      </c>
      <c r="F1883" t="s">
        <v>67</v>
      </c>
      <c r="G1883" t="s">
        <v>550</v>
      </c>
      <c r="H1883" t="s">
        <v>697</v>
      </c>
      <c r="I1883" t="s">
        <v>70</v>
      </c>
      <c r="J1883" t="s">
        <v>321</v>
      </c>
      <c r="K1883">
        <v>157.54</v>
      </c>
      <c r="L1883">
        <v>27.24</v>
      </c>
      <c r="M1883" t="s">
        <v>4507</v>
      </c>
      <c r="N1883">
        <v>1855</v>
      </c>
      <c r="O1883">
        <v>9.69</v>
      </c>
      <c r="R1883">
        <v>1.67</v>
      </c>
      <c r="S1883">
        <v>1.06</v>
      </c>
      <c r="T1883" t="s">
        <v>1769</v>
      </c>
      <c r="U1883">
        <v>0.83</v>
      </c>
      <c r="V1883" t="s">
        <v>8649</v>
      </c>
      <c r="W1883" t="s">
        <v>3981</v>
      </c>
      <c r="X1883" t="s">
        <v>6106</v>
      </c>
      <c r="Y1883" t="s">
        <v>351</v>
      </c>
      <c r="Z1883" t="s">
        <v>12023</v>
      </c>
      <c r="AA1883">
        <v>2.81</v>
      </c>
      <c r="AB1883" t="s">
        <v>14955</v>
      </c>
      <c r="AC1883" t="s">
        <v>5554</v>
      </c>
      <c r="AE1883" t="s">
        <v>2722</v>
      </c>
      <c r="AF1883" t="s">
        <v>3243</v>
      </c>
      <c r="AG1883" t="s">
        <v>6532</v>
      </c>
      <c r="AH1883" t="s">
        <v>2783</v>
      </c>
      <c r="AJ1883" t="s">
        <v>5426</v>
      </c>
      <c r="AK1883" t="s">
        <v>18118</v>
      </c>
      <c r="AL1883">
        <v>0.03</v>
      </c>
      <c r="AN1883">
        <v>1.23</v>
      </c>
      <c r="AP1883" t="s">
        <v>3861</v>
      </c>
      <c r="AQ1883" t="s">
        <v>11525</v>
      </c>
      <c r="AR1883" t="s">
        <v>2449</v>
      </c>
      <c r="AS1883" t="s">
        <v>5116</v>
      </c>
      <c r="AT1883" t="s">
        <v>5745</v>
      </c>
      <c r="AU1883" t="s">
        <v>3481</v>
      </c>
      <c r="AV1883" t="s">
        <v>2821</v>
      </c>
      <c r="AW1883" t="s">
        <v>4699</v>
      </c>
      <c r="AX1883" t="s">
        <v>1342</v>
      </c>
      <c r="AY1883" t="s">
        <v>9592</v>
      </c>
      <c r="AZ1883" t="s">
        <v>13798</v>
      </c>
      <c r="BB1883">
        <v>18.12</v>
      </c>
      <c r="BC1883">
        <v>0.36</v>
      </c>
      <c r="BD1883">
        <v>27.23</v>
      </c>
      <c r="BE1883">
        <v>27.25</v>
      </c>
      <c r="BF1883">
        <v>27.23</v>
      </c>
      <c r="BG1883" t="s">
        <v>20148</v>
      </c>
      <c r="BH1883" t="s">
        <v>9592</v>
      </c>
      <c r="BI1883" t="s">
        <v>20149</v>
      </c>
      <c r="BJ1883" t="s">
        <v>101</v>
      </c>
      <c r="BK1883" t="s">
        <v>2887</v>
      </c>
      <c r="BL1883" t="s">
        <v>5388</v>
      </c>
      <c r="BM1883" t="s">
        <v>20150</v>
      </c>
      <c r="BN1883" t="s">
        <v>14623</v>
      </c>
    </row>
    <row r="1884" spans="1:66" x14ac:dyDescent="0.25">
      <c r="A1884" t="str">
        <f>HYPERLINK("https://elite.finviz.com/quote.ashx?t=RRBI&amp;ty=c&amp;p=d&amp;b=1", "RRBI")</f>
        <v>RRBI</v>
      </c>
      <c r="B1884">
        <v>6</v>
      </c>
      <c r="C1884">
        <v>127.03</v>
      </c>
      <c r="D1884">
        <v>58.19</v>
      </c>
      <c r="E1884" t="s">
        <v>20151</v>
      </c>
      <c r="F1884" t="s">
        <v>67</v>
      </c>
      <c r="G1884" t="s">
        <v>550</v>
      </c>
      <c r="H1884" t="s">
        <v>697</v>
      </c>
      <c r="I1884" t="s">
        <v>70</v>
      </c>
      <c r="J1884" t="s">
        <v>321</v>
      </c>
      <c r="K1884">
        <v>444.86</v>
      </c>
      <c r="L1884">
        <v>66.63</v>
      </c>
      <c r="M1884" t="s">
        <v>2785</v>
      </c>
      <c r="N1884">
        <v>1053</v>
      </c>
      <c r="O1884">
        <v>11.75</v>
      </c>
      <c r="P1884">
        <v>10.27</v>
      </c>
      <c r="R1884">
        <v>2.72</v>
      </c>
      <c r="S1884">
        <v>1.33</v>
      </c>
      <c r="T1884" t="s">
        <v>747</v>
      </c>
      <c r="U1884">
        <v>0.48</v>
      </c>
      <c r="V1884" t="s">
        <v>9611</v>
      </c>
      <c r="W1884" t="s">
        <v>6206</v>
      </c>
      <c r="X1884" t="s">
        <v>776</v>
      </c>
      <c r="Z1884" t="s">
        <v>296</v>
      </c>
      <c r="AA1884">
        <v>5.67</v>
      </c>
      <c r="AB1884" t="s">
        <v>3500</v>
      </c>
      <c r="AC1884" t="s">
        <v>1653</v>
      </c>
      <c r="AE1884" t="s">
        <v>290</v>
      </c>
      <c r="AF1884" t="s">
        <v>4834</v>
      </c>
      <c r="AG1884" t="s">
        <v>3644</v>
      </c>
      <c r="AH1884" t="s">
        <v>2150</v>
      </c>
      <c r="AI1884" t="s">
        <v>6075</v>
      </c>
      <c r="AJ1884" t="s">
        <v>430</v>
      </c>
      <c r="AK1884" t="s">
        <v>1928</v>
      </c>
      <c r="AL1884">
        <v>0.12</v>
      </c>
      <c r="AN1884">
        <v>0.01</v>
      </c>
      <c r="AP1884" t="s">
        <v>8079</v>
      </c>
      <c r="AQ1884" t="s">
        <v>5938</v>
      </c>
      <c r="AR1884" t="s">
        <v>862</v>
      </c>
      <c r="AS1884" t="s">
        <v>212</v>
      </c>
      <c r="AT1884" t="s">
        <v>3757</v>
      </c>
      <c r="AU1884" t="s">
        <v>1872</v>
      </c>
      <c r="AV1884" t="s">
        <v>5239</v>
      </c>
      <c r="AW1884" t="s">
        <v>7036</v>
      </c>
      <c r="AX1884" t="s">
        <v>3405</v>
      </c>
      <c r="AY1884" t="s">
        <v>7036</v>
      </c>
      <c r="AZ1884" t="s">
        <v>6335</v>
      </c>
      <c r="BA1884">
        <v>1.33</v>
      </c>
      <c r="BB1884">
        <v>15.4</v>
      </c>
      <c r="BC1884">
        <v>0.24</v>
      </c>
      <c r="BD1884">
        <v>66.099999999999994</v>
      </c>
      <c r="BE1884">
        <v>66.099999999999994</v>
      </c>
      <c r="BF1884">
        <v>66.099999999999994</v>
      </c>
      <c r="BG1884" t="s">
        <v>20152</v>
      </c>
      <c r="BH1884" t="s">
        <v>7036</v>
      </c>
      <c r="BI1884" t="s">
        <v>20153</v>
      </c>
      <c r="BJ1884" t="s">
        <v>101</v>
      </c>
      <c r="BK1884" t="s">
        <v>4088</v>
      </c>
      <c r="BL1884" t="s">
        <v>6358</v>
      </c>
      <c r="BM1884" t="s">
        <v>8097</v>
      </c>
      <c r="BN1884" t="s">
        <v>14623</v>
      </c>
    </row>
    <row r="1885" spans="1:66" x14ac:dyDescent="0.25">
      <c r="A1885" t="str">
        <f>HYPERLINK("https://elite.finviz.com/quote.ashx?t=SDHI&amp;ty=c&amp;p=d&amp;b=1", "SDHI")</f>
        <v>SDHI</v>
      </c>
      <c r="B1885">
        <v>6</v>
      </c>
      <c r="C1885">
        <v>127.03</v>
      </c>
      <c r="D1885">
        <v>58.2</v>
      </c>
      <c r="E1885" t="s">
        <v>20154</v>
      </c>
      <c r="F1885" t="s">
        <v>107</v>
      </c>
      <c r="G1885" t="s">
        <v>550</v>
      </c>
      <c r="H1885" t="s">
        <v>2120</v>
      </c>
      <c r="I1885" t="s">
        <v>70</v>
      </c>
      <c r="J1885" t="s">
        <v>321</v>
      </c>
      <c r="K1885">
        <v>326.99</v>
      </c>
      <c r="L1885">
        <v>10.15</v>
      </c>
      <c r="M1885" t="s">
        <v>164</v>
      </c>
      <c r="N1885">
        <v>0</v>
      </c>
      <c r="S1885">
        <v>1.34</v>
      </c>
      <c r="AJ1885" t="s">
        <v>164</v>
      </c>
      <c r="AK1885" t="s">
        <v>20155</v>
      </c>
      <c r="AL1885">
        <v>8.68</v>
      </c>
      <c r="AM1885">
        <v>8.68</v>
      </c>
      <c r="AN1885">
        <v>0</v>
      </c>
      <c r="AR1885" t="s">
        <v>1324</v>
      </c>
      <c r="AS1885" t="s">
        <v>2275</v>
      </c>
      <c r="AT1885" t="s">
        <v>1083</v>
      </c>
      <c r="AU1885" t="s">
        <v>3000</v>
      </c>
      <c r="AV1885" t="s">
        <v>3226</v>
      </c>
      <c r="AW1885" t="s">
        <v>2003</v>
      </c>
      <c r="AX1885" t="s">
        <v>3463</v>
      </c>
      <c r="AY1885" t="s">
        <v>2003</v>
      </c>
      <c r="AZ1885" t="s">
        <v>4780</v>
      </c>
      <c r="BB1885">
        <v>36.409999999999997</v>
      </c>
      <c r="BC1885">
        <v>0</v>
      </c>
      <c r="BD1885">
        <v>10.15</v>
      </c>
      <c r="BE1885">
        <v>10.15</v>
      </c>
      <c r="BF1885">
        <v>10.15</v>
      </c>
      <c r="BG1885" t="s">
        <v>20156</v>
      </c>
      <c r="BH1885" t="s">
        <v>2003</v>
      </c>
      <c r="BI1885" t="s">
        <v>4780</v>
      </c>
      <c r="BJ1885" t="s">
        <v>101</v>
      </c>
      <c r="BN1885" t="s">
        <v>14623</v>
      </c>
    </row>
    <row r="1886" spans="1:66" x14ac:dyDescent="0.25">
      <c r="A1886" t="str">
        <f>HYPERLINK("https://elite.finviz.com/quote.ashx?t=SNA&amp;ty=c&amp;p=d&amp;b=1", "SNA")</f>
        <v>SNA</v>
      </c>
      <c r="B1886">
        <v>6</v>
      </c>
      <c r="C1886">
        <v>127.03</v>
      </c>
      <c r="D1886">
        <v>58.21</v>
      </c>
      <c r="E1886" t="s">
        <v>20157</v>
      </c>
      <c r="F1886" t="s">
        <v>195</v>
      </c>
      <c r="G1886" t="s">
        <v>260</v>
      </c>
      <c r="H1886" t="s">
        <v>16076</v>
      </c>
      <c r="I1886" t="s">
        <v>70</v>
      </c>
      <c r="J1886" t="s">
        <v>71</v>
      </c>
      <c r="K1886">
        <v>17669.3</v>
      </c>
      <c r="L1886">
        <v>338.73</v>
      </c>
      <c r="M1886" t="s">
        <v>4271</v>
      </c>
      <c r="N1886">
        <v>26187</v>
      </c>
      <c r="O1886">
        <v>18.05</v>
      </c>
      <c r="P1886">
        <v>16.75</v>
      </c>
      <c r="Q1886">
        <v>4.41</v>
      </c>
      <c r="R1886">
        <v>3.48</v>
      </c>
      <c r="S1886">
        <v>3.09</v>
      </c>
      <c r="T1886" t="s">
        <v>2619</v>
      </c>
      <c r="U1886">
        <v>8.56</v>
      </c>
      <c r="V1886" t="s">
        <v>10236</v>
      </c>
      <c r="W1886" t="s">
        <v>7401</v>
      </c>
      <c r="X1886" t="s">
        <v>2612</v>
      </c>
      <c r="Y1886" t="s">
        <v>4315</v>
      </c>
      <c r="Z1886" t="s">
        <v>8783</v>
      </c>
      <c r="AA1886">
        <v>18.760000000000002</v>
      </c>
      <c r="AB1886" t="s">
        <v>827</v>
      </c>
      <c r="AC1886" t="s">
        <v>12048</v>
      </c>
      <c r="AD1886" t="s">
        <v>9651</v>
      </c>
      <c r="AE1886" t="s">
        <v>10808</v>
      </c>
      <c r="AF1886" t="s">
        <v>3205</v>
      </c>
      <c r="AG1886" t="s">
        <v>3874</v>
      </c>
      <c r="AH1886" t="s">
        <v>1324</v>
      </c>
      <c r="AI1886" t="s">
        <v>3118</v>
      </c>
      <c r="AJ1886" t="s">
        <v>2336</v>
      </c>
      <c r="AK1886" t="s">
        <v>3221</v>
      </c>
      <c r="AL1886">
        <v>4.4800000000000004</v>
      </c>
      <c r="AM1886">
        <v>3.42</v>
      </c>
      <c r="AN1886">
        <v>0.23</v>
      </c>
      <c r="AO1886" t="s">
        <v>19981</v>
      </c>
      <c r="AP1886" t="s">
        <v>1715</v>
      </c>
      <c r="AQ1886" t="s">
        <v>8415</v>
      </c>
      <c r="AR1886" t="s">
        <v>6478</v>
      </c>
      <c r="AS1886" t="s">
        <v>6493</v>
      </c>
      <c r="AT1886" t="s">
        <v>1439</v>
      </c>
      <c r="AU1886" t="s">
        <v>6104</v>
      </c>
      <c r="AV1886" t="s">
        <v>4945</v>
      </c>
      <c r="AW1886" t="s">
        <v>4328</v>
      </c>
      <c r="AX1886" t="s">
        <v>6421</v>
      </c>
      <c r="AY1886" t="s">
        <v>16093</v>
      </c>
      <c r="AZ1886" t="s">
        <v>20158</v>
      </c>
      <c r="BA1886">
        <v>2.5</v>
      </c>
      <c r="BB1886">
        <v>310.93</v>
      </c>
      <c r="BC1886">
        <v>0.3</v>
      </c>
      <c r="BD1886">
        <v>336.98</v>
      </c>
      <c r="BE1886">
        <v>339.51</v>
      </c>
      <c r="BF1886">
        <v>336.79</v>
      </c>
      <c r="BG1886" t="s">
        <v>20159</v>
      </c>
      <c r="BH1886" t="s">
        <v>16093</v>
      </c>
      <c r="BI1886" t="s">
        <v>20160</v>
      </c>
      <c r="BJ1886" t="s">
        <v>101</v>
      </c>
      <c r="BK1886" t="s">
        <v>3245</v>
      </c>
      <c r="BL1886" t="s">
        <v>2144</v>
      </c>
      <c r="BM1886" t="s">
        <v>3843</v>
      </c>
      <c r="BN1886" t="s">
        <v>14623</v>
      </c>
    </row>
    <row r="1887" spans="1:66" x14ac:dyDescent="0.25">
      <c r="A1887" t="str">
        <f>HYPERLINK("https://elite.finviz.com/quote.ashx?t=GHM&amp;ty=c&amp;p=d&amp;b=1", "GHM")</f>
        <v>GHM</v>
      </c>
      <c r="B1887">
        <v>6</v>
      </c>
      <c r="C1887">
        <v>127.03</v>
      </c>
      <c r="D1887">
        <v>58.22</v>
      </c>
      <c r="E1887" t="s">
        <v>20161</v>
      </c>
      <c r="F1887" t="s">
        <v>67</v>
      </c>
      <c r="G1887" t="s">
        <v>260</v>
      </c>
      <c r="H1887" t="s">
        <v>261</v>
      </c>
      <c r="I1887" t="s">
        <v>70</v>
      </c>
      <c r="J1887" t="s">
        <v>71</v>
      </c>
      <c r="K1887">
        <v>581.61</v>
      </c>
      <c r="L1887">
        <v>52.99</v>
      </c>
      <c r="M1887" t="s">
        <v>7322</v>
      </c>
      <c r="N1887">
        <v>17653</v>
      </c>
      <c r="O1887">
        <v>42.29</v>
      </c>
      <c r="P1887">
        <v>28.84</v>
      </c>
      <c r="R1887">
        <v>2.7</v>
      </c>
      <c r="S1887">
        <v>4.71</v>
      </c>
      <c r="V1887" t="s">
        <v>20162</v>
      </c>
      <c r="Z1887" t="s">
        <v>164</v>
      </c>
      <c r="AA1887">
        <v>1.25</v>
      </c>
      <c r="AC1887" t="s">
        <v>12647</v>
      </c>
      <c r="AE1887" t="s">
        <v>1511</v>
      </c>
      <c r="AF1887" t="s">
        <v>12847</v>
      </c>
      <c r="AG1887" t="s">
        <v>10775</v>
      </c>
      <c r="AH1887" t="s">
        <v>4672</v>
      </c>
      <c r="AI1887" t="s">
        <v>12211</v>
      </c>
      <c r="AJ1887" t="s">
        <v>2560</v>
      </c>
      <c r="AK1887" t="s">
        <v>7877</v>
      </c>
      <c r="AL1887">
        <v>1.05</v>
      </c>
      <c r="AM1887">
        <v>0.74</v>
      </c>
      <c r="AN1887">
        <v>0.05</v>
      </c>
      <c r="AO1887" t="s">
        <v>3760</v>
      </c>
      <c r="AP1887" t="s">
        <v>5150</v>
      </c>
      <c r="AQ1887" t="s">
        <v>8286</v>
      </c>
      <c r="AR1887" t="s">
        <v>1050</v>
      </c>
      <c r="AS1887" t="s">
        <v>5164</v>
      </c>
      <c r="AT1887" t="s">
        <v>3602</v>
      </c>
      <c r="AU1887" t="s">
        <v>3170</v>
      </c>
      <c r="AV1887" t="s">
        <v>1956</v>
      </c>
      <c r="AW1887" t="s">
        <v>4712</v>
      </c>
      <c r="AX1887" t="s">
        <v>3270</v>
      </c>
      <c r="AY1887" t="s">
        <v>4712</v>
      </c>
      <c r="AZ1887" t="s">
        <v>20163</v>
      </c>
      <c r="BA1887">
        <v>1</v>
      </c>
      <c r="BB1887">
        <v>111.69</v>
      </c>
      <c r="BC1887">
        <v>0.56000000000000005</v>
      </c>
      <c r="BD1887">
        <v>51.8</v>
      </c>
      <c r="BE1887">
        <v>52.96</v>
      </c>
      <c r="BF1887">
        <v>51.4</v>
      </c>
      <c r="BG1887" t="s">
        <v>20164</v>
      </c>
      <c r="BH1887" t="s">
        <v>4712</v>
      </c>
      <c r="BI1887" t="s">
        <v>20165</v>
      </c>
      <c r="BJ1887" t="s">
        <v>101</v>
      </c>
      <c r="BK1887" t="s">
        <v>1749</v>
      </c>
      <c r="BL1887" t="s">
        <v>7668</v>
      </c>
      <c r="BM1887" t="s">
        <v>20166</v>
      </c>
      <c r="BN1887" t="s">
        <v>14623</v>
      </c>
    </row>
    <row r="1888" spans="1:66" x14ac:dyDescent="0.25">
      <c r="A1888" t="str">
        <f>HYPERLINK("https://elite.finviz.com/quote.ashx?t=CLMB&amp;ty=c&amp;p=d&amp;b=1", "CLMB")</f>
        <v>CLMB</v>
      </c>
      <c r="B1888">
        <v>6</v>
      </c>
      <c r="C1888">
        <v>127.03</v>
      </c>
      <c r="D1888">
        <v>58.22</v>
      </c>
      <c r="E1888" t="s">
        <v>20167</v>
      </c>
      <c r="F1888" t="s">
        <v>67</v>
      </c>
      <c r="G1888" t="s">
        <v>108</v>
      </c>
      <c r="H1888" t="s">
        <v>3661</v>
      </c>
      <c r="I1888" t="s">
        <v>70</v>
      </c>
      <c r="J1888" t="s">
        <v>321</v>
      </c>
      <c r="K1888">
        <v>622.79</v>
      </c>
      <c r="L1888">
        <v>134.88</v>
      </c>
      <c r="M1888" t="s">
        <v>908</v>
      </c>
      <c r="N1888">
        <v>12859</v>
      </c>
      <c r="O1888">
        <v>28.02</v>
      </c>
      <c r="P1888">
        <v>23.32</v>
      </c>
      <c r="Q1888">
        <v>11.35</v>
      </c>
      <c r="R1888">
        <v>1.08</v>
      </c>
      <c r="S1888">
        <v>5.92</v>
      </c>
      <c r="T1888" t="s">
        <v>3336</v>
      </c>
      <c r="U1888">
        <v>0.68</v>
      </c>
      <c r="V1888" t="s">
        <v>893</v>
      </c>
      <c r="W1888" t="s">
        <v>164</v>
      </c>
      <c r="X1888" t="s">
        <v>164</v>
      </c>
      <c r="Y1888" t="s">
        <v>164</v>
      </c>
      <c r="Z1888" t="s">
        <v>1205</v>
      </c>
      <c r="AA1888">
        <v>4.8099999999999996</v>
      </c>
      <c r="AB1888" t="s">
        <v>3760</v>
      </c>
      <c r="AC1888" t="s">
        <v>7869</v>
      </c>
      <c r="AD1888" t="s">
        <v>2789</v>
      </c>
      <c r="AE1888" t="s">
        <v>20168</v>
      </c>
      <c r="AF1888" t="s">
        <v>3710</v>
      </c>
      <c r="AG1888" t="s">
        <v>2409</v>
      </c>
      <c r="AH1888" t="s">
        <v>20169</v>
      </c>
      <c r="AI1888" t="s">
        <v>20170</v>
      </c>
      <c r="AJ1888" t="s">
        <v>4222</v>
      </c>
      <c r="AK1888" t="s">
        <v>20171</v>
      </c>
      <c r="AL1888">
        <v>1.07</v>
      </c>
      <c r="AM1888">
        <v>1.06</v>
      </c>
      <c r="AN1888">
        <v>0.02</v>
      </c>
      <c r="AO1888" t="s">
        <v>6965</v>
      </c>
      <c r="AP1888" t="s">
        <v>1826</v>
      </c>
      <c r="AQ1888" t="s">
        <v>5592</v>
      </c>
      <c r="AR1888" t="s">
        <v>3636</v>
      </c>
      <c r="AS1888" t="s">
        <v>2743</v>
      </c>
      <c r="AT1888" t="s">
        <v>6937</v>
      </c>
      <c r="AU1888" t="s">
        <v>10393</v>
      </c>
      <c r="AV1888" t="s">
        <v>1552</v>
      </c>
      <c r="AW1888" t="s">
        <v>4021</v>
      </c>
      <c r="AX1888" t="s">
        <v>20172</v>
      </c>
      <c r="AY1888" t="s">
        <v>4236</v>
      </c>
      <c r="AZ1888" t="s">
        <v>6831</v>
      </c>
      <c r="BA1888">
        <v>1</v>
      </c>
      <c r="BB1888">
        <v>63.14</v>
      </c>
      <c r="BC1888">
        <v>0.72</v>
      </c>
      <c r="BD1888">
        <v>132.63</v>
      </c>
      <c r="BE1888">
        <v>134.96</v>
      </c>
      <c r="BF1888">
        <v>133.1</v>
      </c>
      <c r="BG1888" t="s">
        <v>20173</v>
      </c>
      <c r="BH1888" t="s">
        <v>4236</v>
      </c>
      <c r="BI1888" t="s">
        <v>20174</v>
      </c>
      <c r="BJ1888" t="s">
        <v>101</v>
      </c>
      <c r="BK1888" t="s">
        <v>20175</v>
      </c>
      <c r="BL1888" t="s">
        <v>7122</v>
      </c>
      <c r="BM1888" t="s">
        <v>16209</v>
      </c>
      <c r="BN1888" t="s">
        <v>14623</v>
      </c>
    </row>
    <row r="1889" spans="1:66" x14ac:dyDescent="0.25">
      <c r="A1889" t="str">
        <f>HYPERLINK("https://elite.finviz.com/quote.ashx?t=NUS&amp;ty=c&amp;p=d&amp;b=1", "NUS")</f>
        <v>NUS</v>
      </c>
      <c r="B1889">
        <v>6</v>
      </c>
      <c r="C1889">
        <v>127.03</v>
      </c>
      <c r="D1889">
        <v>58.24</v>
      </c>
      <c r="E1889" t="s">
        <v>20176</v>
      </c>
      <c r="F1889" t="s">
        <v>67</v>
      </c>
      <c r="G1889" t="s">
        <v>2244</v>
      </c>
      <c r="H1889" t="s">
        <v>5311</v>
      </c>
      <c r="I1889" t="s">
        <v>70</v>
      </c>
      <c r="J1889" t="s">
        <v>71</v>
      </c>
      <c r="K1889">
        <v>612.28</v>
      </c>
      <c r="L1889">
        <v>12.37</v>
      </c>
      <c r="M1889" t="s">
        <v>5188</v>
      </c>
      <c r="N1889">
        <v>205318</v>
      </c>
      <c r="O1889">
        <v>6.17</v>
      </c>
      <c r="P1889">
        <v>7.93</v>
      </c>
      <c r="R1889">
        <v>0.38</v>
      </c>
      <c r="S1889">
        <v>0.78</v>
      </c>
      <c r="T1889" t="s">
        <v>2202</v>
      </c>
      <c r="U1889">
        <v>0.24</v>
      </c>
      <c r="V1889" t="s">
        <v>4882</v>
      </c>
      <c r="W1889" t="s">
        <v>4360</v>
      </c>
      <c r="X1889" t="s">
        <v>18292</v>
      </c>
      <c r="Y1889" t="s">
        <v>20177</v>
      </c>
      <c r="AA1889">
        <v>2</v>
      </c>
      <c r="AE1889" t="s">
        <v>15540</v>
      </c>
      <c r="AF1889" t="s">
        <v>4791</v>
      </c>
      <c r="AG1889" t="s">
        <v>4947</v>
      </c>
      <c r="AH1889" t="s">
        <v>968</v>
      </c>
      <c r="AJ1889" t="s">
        <v>7907</v>
      </c>
      <c r="AK1889" t="s">
        <v>9660</v>
      </c>
      <c r="AL1889">
        <v>2.0099999999999998</v>
      </c>
      <c r="AM1889">
        <v>1.38</v>
      </c>
      <c r="AN1889">
        <v>0.39</v>
      </c>
      <c r="AO1889" t="s">
        <v>5317</v>
      </c>
      <c r="AP1889" t="s">
        <v>1926</v>
      </c>
      <c r="AQ1889" t="s">
        <v>2777</v>
      </c>
      <c r="AR1889" t="s">
        <v>7616</v>
      </c>
      <c r="AS1889" t="s">
        <v>585</v>
      </c>
      <c r="AT1889" t="s">
        <v>170</v>
      </c>
      <c r="AU1889" t="s">
        <v>3789</v>
      </c>
      <c r="AV1889" t="s">
        <v>20178</v>
      </c>
      <c r="AW1889" t="s">
        <v>20179</v>
      </c>
      <c r="AX1889" t="s">
        <v>20180</v>
      </c>
      <c r="AY1889" t="s">
        <v>20179</v>
      </c>
      <c r="AZ1889" t="s">
        <v>20181</v>
      </c>
      <c r="BA1889">
        <v>3</v>
      </c>
      <c r="BB1889">
        <v>591.37</v>
      </c>
      <c r="BC1889">
        <v>1.22</v>
      </c>
      <c r="BD1889">
        <v>12</v>
      </c>
      <c r="BE1889">
        <v>12.57</v>
      </c>
      <c r="BF1889">
        <v>11.9</v>
      </c>
      <c r="BG1889" t="s">
        <v>20182</v>
      </c>
      <c r="BH1889" t="s">
        <v>20183</v>
      </c>
      <c r="BI1889" t="s">
        <v>20184</v>
      </c>
      <c r="BJ1889" t="s">
        <v>101</v>
      </c>
      <c r="BK1889" t="s">
        <v>20185</v>
      </c>
      <c r="BL1889" t="s">
        <v>10500</v>
      </c>
      <c r="BM1889" t="s">
        <v>17005</v>
      </c>
      <c r="BN1889" t="s">
        <v>14623</v>
      </c>
    </row>
    <row r="1890" spans="1:66" x14ac:dyDescent="0.25">
      <c r="A1890" t="str">
        <f>HYPERLINK("https://elite.finviz.com/quote.ashx?t=ARMP&amp;ty=c&amp;p=d&amp;b=1", "ARMP")</f>
        <v>ARMP</v>
      </c>
      <c r="B1890">
        <v>6</v>
      </c>
      <c r="C1890">
        <v>127.03</v>
      </c>
      <c r="D1890">
        <v>58.28</v>
      </c>
      <c r="E1890" t="s">
        <v>20186</v>
      </c>
      <c r="F1890" t="s">
        <v>107</v>
      </c>
      <c r="G1890" t="s">
        <v>428</v>
      </c>
      <c r="H1890" t="s">
        <v>429</v>
      </c>
      <c r="I1890" t="s">
        <v>70</v>
      </c>
      <c r="J1890" t="s">
        <v>383</v>
      </c>
      <c r="K1890">
        <v>108.54</v>
      </c>
      <c r="L1890">
        <v>3</v>
      </c>
      <c r="M1890" t="s">
        <v>2362</v>
      </c>
      <c r="N1890">
        <v>3173</v>
      </c>
      <c r="R1890">
        <v>15.8</v>
      </c>
      <c r="AA1890">
        <v>-0.74</v>
      </c>
      <c r="AB1890" t="s">
        <v>139</v>
      </c>
      <c r="AC1890" t="s">
        <v>19441</v>
      </c>
      <c r="AE1890" t="s">
        <v>991</v>
      </c>
      <c r="AF1890" t="s">
        <v>4678</v>
      </c>
      <c r="AI1890" t="s">
        <v>5104</v>
      </c>
      <c r="AJ1890" t="s">
        <v>164</v>
      </c>
      <c r="AK1890" t="s">
        <v>617</v>
      </c>
      <c r="AL1890">
        <v>0.06</v>
      </c>
      <c r="AM1890">
        <v>0.06</v>
      </c>
      <c r="AO1890" t="s">
        <v>17928</v>
      </c>
      <c r="AP1890" t="s">
        <v>20187</v>
      </c>
      <c r="AQ1890" t="s">
        <v>20188</v>
      </c>
      <c r="AR1890" t="s">
        <v>4892</v>
      </c>
      <c r="AS1890" t="s">
        <v>7978</v>
      </c>
      <c r="AT1890" t="s">
        <v>4710</v>
      </c>
      <c r="AU1890" t="s">
        <v>3918</v>
      </c>
      <c r="AV1890" t="s">
        <v>18143</v>
      </c>
      <c r="AW1890" t="s">
        <v>9070</v>
      </c>
      <c r="AX1890" t="s">
        <v>3686</v>
      </c>
      <c r="AY1890" t="s">
        <v>9070</v>
      </c>
      <c r="AZ1890" t="s">
        <v>20189</v>
      </c>
      <c r="BA1890">
        <v>1</v>
      </c>
      <c r="BB1890">
        <v>12.06</v>
      </c>
      <c r="BC1890">
        <v>0.94</v>
      </c>
      <c r="BD1890">
        <v>2.98</v>
      </c>
      <c r="BE1890">
        <v>3.02</v>
      </c>
      <c r="BF1890">
        <v>3.02</v>
      </c>
      <c r="BG1890" t="s">
        <v>20190</v>
      </c>
      <c r="BH1890" t="s">
        <v>579</v>
      </c>
      <c r="BI1890" t="s">
        <v>20191</v>
      </c>
      <c r="BJ1890" t="s">
        <v>101</v>
      </c>
      <c r="BK1890" t="s">
        <v>8279</v>
      </c>
      <c r="BL1890" t="s">
        <v>20192</v>
      </c>
      <c r="BM1890" t="s">
        <v>13040</v>
      </c>
      <c r="BN1890" t="s">
        <v>14623</v>
      </c>
    </row>
    <row r="1891" spans="1:66" x14ac:dyDescent="0.25">
      <c r="A1891" t="str">
        <f>HYPERLINK("https://elite.finviz.com/quote.ashx?t=GECC&amp;ty=c&amp;p=d&amp;b=1", "GECC")</f>
        <v>GECC</v>
      </c>
      <c r="B1891">
        <v>6</v>
      </c>
      <c r="C1891">
        <v>127.03</v>
      </c>
      <c r="D1891">
        <v>58.29</v>
      </c>
      <c r="E1891" t="s">
        <v>20193</v>
      </c>
      <c r="F1891" t="s">
        <v>107</v>
      </c>
      <c r="G1891" t="s">
        <v>550</v>
      </c>
      <c r="H1891" t="s">
        <v>2597</v>
      </c>
      <c r="I1891" t="s">
        <v>70</v>
      </c>
      <c r="J1891" t="s">
        <v>321</v>
      </c>
      <c r="K1891">
        <v>146.84</v>
      </c>
      <c r="L1891">
        <v>11.42</v>
      </c>
      <c r="M1891" t="s">
        <v>2402</v>
      </c>
      <c r="N1891">
        <v>15575</v>
      </c>
      <c r="O1891">
        <v>7.05</v>
      </c>
      <c r="P1891">
        <v>7.75</v>
      </c>
      <c r="R1891">
        <v>3.08</v>
      </c>
      <c r="S1891">
        <v>0.94</v>
      </c>
      <c r="V1891" t="s">
        <v>3833</v>
      </c>
      <c r="Z1891" t="s">
        <v>20194</v>
      </c>
      <c r="AA1891">
        <v>1.62</v>
      </c>
      <c r="AH1891" t="s">
        <v>9389</v>
      </c>
      <c r="AI1891" t="s">
        <v>3451</v>
      </c>
      <c r="AJ1891" t="s">
        <v>11253</v>
      </c>
      <c r="AK1891" t="s">
        <v>2946</v>
      </c>
      <c r="AR1891" t="s">
        <v>6493</v>
      </c>
      <c r="AS1891" t="s">
        <v>9136</v>
      </c>
      <c r="AT1891" t="s">
        <v>5158</v>
      </c>
      <c r="AU1891" t="s">
        <v>3635</v>
      </c>
      <c r="AV1891" t="s">
        <v>3952</v>
      </c>
      <c r="AW1891" t="s">
        <v>6871</v>
      </c>
      <c r="AX1891" t="s">
        <v>216</v>
      </c>
      <c r="AY1891" t="s">
        <v>6871</v>
      </c>
      <c r="AZ1891" t="s">
        <v>7633</v>
      </c>
      <c r="BB1891">
        <v>78.819999999999993</v>
      </c>
      <c r="BC1891">
        <v>0.7</v>
      </c>
      <c r="BD1891">
        <v>11.45</v>
      </c>
      <c r="BE1891">
        <v>11.45</v>
      </c>
      <c r="BF1891">
        <v>11.42</v>
      </c>
      <c r="BG1891" t="s">
        <v>20195</v>
      </c>
      <c r="BH1891" t="s">
        <v>15359</v>
      </c>
      <c r="BI1891" t="s">
        <v>7331</v>
      </c>
      <c r="BJ1891" t="s">
        <v>101</v>
      </c>
      <c r="BK1891" t="s">
        <v>4077</v>
      </c>
      <c r="BL1891" t="s">
        <v>1161</v>
      </c>
      <c r="BM1891" t="s">
        <v>5539</v>
      </c>
      <c r="BN1891" t="s">
        <v>14623</v>
      </c>
    </row>
    <row r="1892" spans="1:66" x14ac:dyDescent="0.25">
      <c r="A1892" t="str">
        <f>HYPERLINK("https://elite.finviz.com/quote.ashx?t=GNK&amp;ty=c&amp;p=d&amp;b=1", "GNK")</f>
        <v>GNK</v>
      </c>
      <c r="B1892">
        <v>6</v>
      </c>
      <c r="C1892">
        <v>127.03</v>
      </c>
      <c r="D1892">
        <v>58.3</v>
      </c>
      <c r="E1892" t="s">
        <v>20196</v>
      </c>
      <c r="F1892" t="s">
        <v>67</v>
      </c>
      <c r="G1892" t="s">
        <v>260</v>
      </c>
      <c r="H1892" t="s">
        <v>2696</v>
      </c>
      <c r="I1892" t="s">
        <v>70</v>
      </c>
      <c r="J1892" t="s">
        <v>71</v>
      </c>
      <c r="K1892">
        <v>789.16</v>
      </c>
      <c r="L1892">
        <v>18.37</v>
      </c>
      <c r="M1892" t="s">
        <v>2059</v>
      </c>
      <c r="N1892">
        <v>129896</v>
      </c>
      <c r="O1892">
        <v>52.65</v>
      </c>
      <c r="P1892">
        <v>15.53</v>
      </c>
      <c r="Q1892">
        <v>6.88</v>
      </c>
      <c r="R1892">
        <v>2.25</v>
      </c>
      <c r="S1892">
        <v>0.89</v>
      </c>
      <c r="T1892" t="s">
        <v>896</v>
      </c>
      <c r="U1892">
        <v>1</v>
      </c>
      <c r="V1892" t="s">
        <v>1440</v>
      </c>
      <c r="W1892" t="s">
        <v>19142</v>
      </c>
      <c r="X1892" t="s">
        <v>20197</v>
      </c>
      <c r="Y1892" t="s">
        <v>16167</v>
      </c>
      <c r="Z1892" t="s">
        <v>20198</v>
      </c>
      <c r="AA1892">
        <v>0.35</v>
      </c>
      <c r="AB1892" t="s">
        <v>19811</v>
      </c>
      <c r="AD1892" t="s">
        <v>1771</v>
      </c>
      <c r="AE1892" t="s">
        <v>17073</v>
      </c>
      <c r="AF1892" t="s">
        <v>4410</v>
      </c>
      <c r="AG1892" t="s">
        <v>3494</v>
      </c>
      <c r="AH1892" t="s">
        <v>9111</v>
      </c>
      <c r="AI1892" t="s">
        <v>5879</v>
      </c>
      <c r="AJ1892" t="s">
        <v>1180</v>
      </c>
      <c r="AK1892" t="s">
        <v>20199</v>
      </c>
      <c r="AL1892">
        <v>1.63</v>
      </c>
      <c r="AM1892">
        <v>1.2</v>
      </c>
      <c r="AN1892">
        <v>0.11</v>
      </c>
      <c r="AO1892" t="s">
        <v>3840</v>
      </c>
      <c r="AP1892" t="s">
        <v>351</v>
      </c>
      <c r="AQ1892" t="s">
        <v>5026</v>
      </c>
      <c r="AR1892" t="s">
        <v>2361</v>
      </c>
      <c r="AS1892" t="s">
        <v>3635</v>
      </c>
      <c r="AT1892" t="s">
        <v>3976</v>
      </c>
      <c r="AU1892" t="s">
        <v>223</v>
      </c>
      <c r="AV1892" t="s">
        <v>5580</v>
      </c>
      <c r="AW1892" t="s">
        <v>4120</v>
      </c>
      <c r="AX1892" t="s">
        <v>796</v>
      </c>
      <c r="AY1892" t="s">
        <v>4120</v>
      </c>
      <c r="AZ1892" t="s">
        <v>19880</v>
      </c>
      <c r="BA1892">
        <v>1.44</v>
      </c>
      <c r="BB1892">
        <v>688.63</v>
      </c>
      <c r="BC1892">
        <v>0.66</v>
      </c>
      <c r="BD1892">
        <v>18.489999999999998</v>
      </c>
      <c r="BE1892">
        <v>18.75</v>
      </c>
      <c r="BF1892">
        <v>18.36</v>
      </c>
      <c r="BG1892" t="s">
        <v>20200</v>
      </c>
      <c r="BH1892" t="s">
        <v>8172</v>
      </c>
      <c r="BI1892" t="s">
        <v>20201</v>
      </c>
      <c r="BJ1892" t="s">
        <v>101</v>
      </c>
      <c r="BK1892" t="s">
        <v>5890</v>
      </c>
      <c r="BL1892" t="s">
        <v>14739</v>
      </c>
      <c r="BM1892" t="s">
        <v>7391</v>
      </c>
      <c r="BN1892" t="s">
        <v>14623</v>
      </c>
    </row>
    <row r="1893" spans="1:66" x14ac:dyDescent="0.25">
      <c r="A1893" t="str">
        <f>HYPERLINK("https://elite.finviz.com/quote.ashx?t=AEYE&amp;ty=c&amp;p=d&amp;b=1", "AEYE")</f>
        <v>AEYE</v>
      </c>
      <c r="B1893">
        <v>6</v>
      </c>
      <c r="C1893">
        <v>127.03</v>
      </c>
      <c r="D1893">
        <v>58.31</v>
      </c>
      <c r="E1893" t="s">
        <v>20202</v>
      </c>
      <c r="F1893" t="s">
        <v>67</v>
      </c>
      <c r="G1893" t="s">
        <v>108</v>
      </c>
      <c r="H1893" t="s">
        <v>136</v>
      </c>
      <c r="I1893" t="s">
        <v>70</v>
      </c>
      <c r="J1893" t="s">
        <v>321</v>
      </c>
      <c r="K1893">
        <v>171.47</v>
      </c>
      <c r="L1893">
        <v>13.82</v>
      </c>
      <c r="M1893" t="s">
        <v>1837</v>
      </c>
      <c r="N1893">
        <v>13031</v>
      </c>
      <c r="P1893">
        <v>16.02</v>
      </c>
      <c r="R1893">
        <v>4.4800000000000004</v>
      </c>
      <c r="S1893">
        <v>23.4</v>
      </c>
      <c r="AA1893">
        <v>-0.34</v>
      </c>
      <c r="AB1893" t="s">
        <v>12636</v>
      </c>
      <c r="AC1893" t="s">
        <v>9794</v>
      </c>
      <c r="AE1893" t="s">
        <v>1227</v>
      </c>
      <c r="AF1893" t="s">
        <v>3798</v>
      </c>
      <c r="AG1893" t="s">
        <v>6477</v>
      </c>
      <c r="AH1893" t="s">
        <v>976</v>
      </c>
      <c r="AI1893" t="s">
        <v>2213</v>
      </c>
      <c r="AJ1893" t="s">
        <v>4865</v>
      </c>
      <c r="AK1893" t="s">
        <v>20203</v>
      </c>
      <c r="AL1893">
        <v>1.1000000000000001</v>
      </c>
      <c r="AM1893">
        <v>1.1000000000000001</v>
      </c>
      <c r="AN1893">
        <v>1.8</v>
      </c>
      <c r="AO1893" t="s">
        <v>10894</v>
      </c>
      <c r="AP1893" t="s">
        <v>10855</v>
      </c>
      <c r="AQ1893" t="s">
        <v>17277</v>
      </c>
      <c r="AR1893" t="s">
        <v>954</v>
      </c>
      <c r="AS1893" t="s">
        <v>2580</v>
      </c>
      <c r="AT1893" t="s">
        <v>4530</v>
      </c>
      <c r="AU1893" t="s">
        <v>9841</v>
      </c>
      <c r="AV1893" t="s">
        <v>4945</v>
      </c>
      <c r="AW1893" t="s">
        <v>8230</v>
      </c>
      <c r="AX1893" t="s">
        <v>8936</v>
      </c>
      <c r="AY1893" t="s">
        <v>20204</v>
      </c>
      <c r="AZ1893" t="s">
        <v>6179</v>
      </c>
      <c r="BA1893">
        <v>1</v>
      </c>
      <c r="BB1893">
        <v>107.97</v>
      </c>
      <c r="BC1893">
        <v>0.43</v>
      </c>
      <c r="BD1893">
        <v>13.67</v>
      </c>
      <c r="BE1893">
        <v>13.96</v>
      </c>
      <c r="BF1893">
        <v>13.67</v>
      </c>
      <c r="BG1893" t="s">
        <v>20205</v>
      </c>
      <c r="BH1893" t="s">
        <v>12409</v>
      </c>
      <c r="BI1893" t="s">
        <v>20206</v>
      </c>
      <c r="BJ1893" t="s">
        <v>101</v>
      </c>
      <c r="BK1893" t="s">
        <v>11212</v>
      </c>
      <c r="BL1893" t="s">
        <v>12334</v>
      </c>
      <c r="BM1893" t="s">
        <v>3242</v>
      </c>
      <c r="BN1893" t="s">
        <v>14623</v>
      </c>
    </row>
    <row r="1894" spans="1:66" x14ac:dyDescent="0.25">
      <c r="A1894" t="str">
        <f>HYPERLINK("https://elite.finviz.com/quote.ashx?t=OWLT&amp;ty=c&amp;p=d&amp;b=1", "OWLT")</f>
        <v>OWLT</v>
      </c>
      <c r="B1894">
        <v>6</v>
      </c>
      <c r="C1894">
        <v>127.03</v>
      </c>
      <c r="D1894">
        <v>58.33</v>
      </c>
      <c r="E1894" t="s">
        <v>20207</v>
      </c>
      <c r="F1894" t="s">
        <v>107</v>
      </c>
      <c r="G1894" t="s">
        <v>428</v>
      </c>
      <c r="H1894" t="s">
        <v>2051</v>
      </c>
      <c r="I1894" t="s">
        <v>70</v>
      </c>
      <c r="J1894" t="s">
        <v>71</v>
      </c>
      <c r="K1894">
        <v>141.72999999999999</v>
      </c>
      <c r="L1894">
        <v>8.3000000000000007</v>
      </c>
      <c r="M1894" t="s">
        <v>7039</v>
      </c>
      <c r="N1894">
        <v>4992</v>
      </c>
      <c r="R1894">
        <v>1.58</v>
      </c>
      <c r="AA1894">
        <v>-3.42</v>
      </c>
      <c r="AB1894" t="s">
        <v>20208</v>
      </c>
      <c r="AC1894" t="s">
        <v>9539</v>
      </c>
      <c r="AE1894" t="s">
        <v>9294</v>
      </c>
      <c r="AF1894" t="s">
        <v>4759</v>
      </c>
      <c r="AG1894" t="s">
        <v>6117</v>
      </c>
      <c r="AH1894" t="s">
        <v>20209</v>
      </c>
      <c r="AI1894" t="s">
        <v>20210</v>
      </c>
      <c r="AJ1894" t="s">
        <v>124</v>
      </c>
      <c r="AK1894" t="s">
        <v>2631</v>
      </c>
      <c r="AL1894">
        <v>1.1499999999999999</v>
      </c>
      <c r="AM1894">
        <v>0.93</v>
      </c>
      <c r="AO1894" t="s">
        <v>20211</v>
      </c>
      <c r="AP1894" t="s">
        <v>20212</v>
      </c>
      <c r="AQ1894" t="s">
        <v>20213</v>
      </c>
      <c r="AR1894" t="s">
        <v>3229</v>
      </c>
      <c r="AS1894" t="s">
        <v>2450</v>
      </c>
      <c r="AT1894" t="s">
        <v>4378</v>
      </c>
      <c r="AU1894" t="s">
        <v>5739</v>
      </c>
      <c r="AV1894" t="s">
        <v>1329</v>
      </c>
      <c r="AW1894" t="s">
        <v>4740</v>
      </c>
      <c r="AX1894" t="s">
        <v>9337</v>
      </c>
      <c r="AY1894" t="s">
        <v>4740</v>
      </c>
      <c r="AZ1894" t="s">
        <v>20214</v>
      </c>
      <c r="BA1894">
        <v>1</v>
      </c>
      <c r="BB1894">
        <v>92.34</v>
      </c>
      <c r="BC1894">
        <v>0.19</v>
      </c>
      <c r="BD1894">
        <v>8.44</v>
      </c>
      <c r="BE1894">
        <v>8.3800000000000008</v>
      </c>
      <c r="BF1894">
        <v>8.25</v>
      </c>
      <c r="BG1894" t="s">
        <v>20215</v>
      </c>
      <c r="BH1894" t="s">
        <v>11046</v>
      </c>
      <c r="BI1894" t="s">
        <v>20216</v>
      </c>
      <c r="BJ1894" t="s">
        <v>101</v>
      </c>
      <c r="BK1894" t="s">
        <v>2744</v>
      </c>
      <c r="BL1894" t="s">
        <v>18362</v>
      </c>
      <c r="BM1894" t="s">
        <v>20217</v>
      </c>
      <c r="BN1894" t="s">
        <v>14623</v>
      </c>
    </row>
    <row r="1895" spans="1:66" x14ac:dyDescent="0.25">
      <c r="A1895" t="str">
        <f>HYPERLINK("https://elite.finviz.com/quote.ashx?t=SVCO&amp;ty=c&amp;p=d&amp;b=1", "SVCO")</f>
        <v>SVCO</v>
      </c>
      <c r="B1895">
        <v>6</v>
      </c>
      <c r="C1895">
        <v>127.03</v>
      </c>
      <c r="D1895">
        <v>58.33</v>
      </c>
      <c r="E1895" t="s">
        <v>20218</v>
      </c>
      <c r="F1895" t="s">
        <v>67</v>
      </c>
      <c r="G1895" t="s">
        <v>108</v>
      </c>
      <c r="H1895" t="s">
        <v>136</v>
      </c>
      <c r="I1895" t="s">
        <v>70</v>
      </c>
      <c r="J1895" t="s">
        <v>321</v>
      </c>
      <c r="K1895">
        <v>168.62</v>
      </c>
      <c r="L1895">
        <v>5.55</v>
      </c>
      <c r="M1895" t="s">
        <v>4901</v>
      </c>
      <c r="N1895">
        <v>11705</v>
      </c>
      <c r="P1895">
        <v>43.81</v>
      </c>
      <c r="R1895">
        <v>3.07</v>
      </c>
      <c r="S1895">
        <v>2.06</v>
      </c>
      <c r="AA1895">
        <v>-1.07</v>
      </c>
      <c r="AB1895" t="s">
        <v>20219</v>
      </c>
      <c r="AD1895" t="s">
        <v>5554</v>
      </c>
      <c r="AF1895" t="s">
        <v>3186</v>
      </c>
      <c r="AH1895" t="s">
        <v>104</v>
      </c>
      <c r="AI1895" t="s">
        <v>20220</v>
      </c>
      <c r="AJ1895" t="s">
        <v>580</v>
      </c>
      <c r="AK1895" t="s">
        <v>3835</v>
      </c>
      <c r="AL1895">
        <v>2.13</v>
      </c>
      <c r="AM1895">
        <v>2.13</v>
      </c>
      <c r="AN1895">
        <v>7.0000000000000007E-2</v>
      </c>
      <c r="AO1895" t="s">
        <v>20221</v>
      </c>
      <c r="AP1895" t="s">
        <v>20222</v>
      </c>
      <c r="AQ1895" t="s">
        <v>6668</v>
      </c>
      <c r="AR1895" t="s">
        <v>3688</v>
      </c>
      <c r="AS1895" t="s">
        <v>7010</v>
      </c>
      <c r="AT1895" t="s">
        <v>6726</v>
      </c>
      <c r="AU1895" t="s">
        <v>5840</v>
      </c>
      <c r="AV1895" t="s">
        <v>7176</v>
      </c>
      <c r="AW1895" t="s">
        <v>11333</v>
      </c>
      <c r="AX1895" t="s">
        <v>15874</v>
      </c>
      <c r="AY1895" t="s">
        <v>20223</v>
      </c>
      <c r="AZ1895" t="s">
        <v>20224</v>
      </c>
      <c r="BA1895">
        <v>1</v>
      </c>
      <c r="BB1895">
        <v>139.25</v>
      </c>
      <c r="BC1895">
        <v>0.3</v>
      </c>
      <c r="BD1895">
        <v>5.52</v>
      </c>
      <c r="BE1895">
        <v>5.68</v>
      </c>
      <c r="BF1895">
        <v>5.52</v>
      </c>
      <c r="BG1895" t="s">
        <v>20225</v>
      </c>
      <c r="BH1895" t="s">
        <v>173</v>
      </c>
      <c r="BI1895" t="s">
        <v>20224</v>
      </c>
      <c r="BJ1895" t="s">
        <v>101</v>
      </c>
      <c r="BK1895" t="s">
        <v>5010</v>
      </c>
      <c r="BL1895" t="s">
        <v>6721</v>
      </c>
      <c r="BM1895" t="s">
        <v>20226</v>
      </c>
      <c r="BN1895" t="s">
        <v>14623</v>
      </c>
    </row>
    <row r="1896" spans="1:66" x14ac:dyDescent="0.25">
      <c r="A1896" t="str">
        <f>HYPERLINK("https://elite.finviz.com/quote.ashx?t=NMTC&amp;ty=c&amp;p=d&amp;b=1", "NMTC")</f>
        <v>NMTC</v>
      </c>
      <c r="B1896">
        <v>6</v>
      </c>
      <c r="C1896">
        <v>127.03</v>
      </c>
      <c r="D1896">
        <v>58.34</v>
      </c>
      <c r="E1896" t="s">
        <v>20227</v>
      </c>
      <c r="F1896" t="s">
        <v>107</v>
      </c>
      <c r="G1896" t="s">
        <v>428</v>
      </c>
      <c r="H1896" t="s">
        <v>2051</v>
      </c>
      <c r="I1896" t="s">
        <v>70</v>
      </c>
      <c r="J1896" t="s">
        <v>321</v>
      </c>
      <c r="K1896">
        <v>45.45</v>
      </c>
      <c r="L1896">
        <v>0.91</v>
      </c>
      <c r="M1896" t="s">
        <v>3018</v>
      </c>
      <c r="N1896">
        <v>93277</v>
      </c>
      <c r="R1896">
        <v>4.72</v>
      </c>
      <c r="S1896">
        <v>5.54</v>
      </c>
      <c r="AA1896">
        <v>-0.16</v>
      </c>
      <c r="AB1896" t="s">
        <v>7295</v>
      </c>
      <c r="AC1896" t="s">
        <v>7045</v>
      </c>
      <c r="AD1896" t="s">
        <v>18003</v>
      </c>
      <c r="AE1896" t="s">
        <v>20228</v>
      </c>
      <c r="AF1896" t="s">
        <v>20229</v>
      </c>
      <c r="AH1896" t="s">
        <v>7020</v>
      </c>
      <c r="AI1896" t="s">
        <v>6398</v>
      </c>
      <c r="AJ1896" t="s">
        <v>3521</v>
      </c>
      <c r="AK1896" t="s">
        <v>16055</v>
      </c>
      <c r="AL1896">
        <v>7.13</v>
      </c>
      <c r="AM1896">
        <v>5.8</v>
      </c>
      <c r="AN1896">
        <v>0.04</v>
      </c>
      <c r="AO1896" t="s">
        <v>13346</v>
      </c>
      <c r="AP1896" t="s">
        <v>20230</v>
      </c>
      <c r="AQ1896" t="s">
        <v>14595</v>
      </c>
      <c r="AR1896" t="s">
        <v>8274</v>
      </c>
      <c r="AS1896" t="s">
        <v>1653</v>
      </c>
      <c r="AT1896" t="s">
        <v>5027</v>
      </c>
      <c r="AU1896" t="s">
        <v>5697</v>
      </c>
      <c r="AV1896" t="s">
        <v>11544</v>
      </c>
      <c r="AW1896" t="s">
        <v>18510</v>
      </c>
      <c r="AX1896" t="s">
        <v>12397</v>
      </c>
      <c r="AY1896" t="s">
        <v>11741</v>
      </c>
      <c r="AZ1896" t="s">
        <v>20231</v>
      </c>
      <c r="BA1896">
        <v>1</v>
      </c>
      <c r="BB1896">
        <v>308.81</v>
      </c>
      <c r="BC1896">
        <v>1.07</v>
      </c>
      <c r="BD1896">
        <v>0.9</v>
      </c>
      <c r="BE1896">
        <v>0.9</v>
      </c>
      <c r="BF1896">
        <v>0.88</v>
      </c>
      <c r="BG1896" t="s">
        <v>20232</v>
      </c>
      <c r="BH1896" t="s">
        <v>15897</v>
      </c>
      <c r="BI1896" t="s">
        <v>20231</v>
      </c>
      <c r="BJ1896" t="s">
        <v>101</v>
      </c>
      <c r="BK1896" t="s">
        <v>14067</v>
      </c>
      <c r="BL1896" t="s">
        <v>3169</v>
      </c>
      <c r="BM1896" t="s">
        <v>6534</v>
      </c>
      <c r="BN1896" t="s">
        <v>14623</v>
      </c>
    </row>
    <row r="1897" spans="1:66" x14ac:dyDescent="0.25">
      <c r="A1897" t="str">
        <f>HYPERLINK("https://elite.finviz.com/quote.ashx?t=INFU&amp;ty=c&amp;p=d&amp;b=1", "INFU")</f>
        <v>INFU</v>
      </c>
      <c r="B1897">
        <v>6</v>
      </c>
      <c r="C1897">
        <v>127.03</v>
      </c>
      <c r="D1897">
        <v>58.35</v>
      </c>
      <c r="E1897" t="s">
        <v>20233</v>
      </c>
      <c r="F1897" t="s">
        <v>107</v>
      </c>
      <c r="G1897" t="s">
        <v>428</v>
      </c>
      <c r="H1897" t="s">
        <v>2161</v>
      </c>
      <c r="I1897" t="s">
        <v>70</v>
      </c>
      <c r="J1897" t="s">
        <v>383</v>
      </c>
      <c r="K1897">
        <v>208.75</v>
      </c>
      <c r="L1897">
        <v>10.220000000000001</v>
      </c>
      <c r="M1897" t="s">
        <v>5058</v>
      </c>
      <c r="N1897">
        <v>23860</v>
      </c>
      <c r="O1897">
        <v>43.09</v>
      </c>
      <c r="P1897">
        <v>26.61</v>
      </c>
      <c r="Q1897">
        <v>0.69</v>
      </c>
      <c r="R1897">
        <v>1.49</v>
      </c>
      <c r="S1897">
        <v>3.83</v>
      </c>
      <c r="Z1897" t="s">
        <v>164</v>
      </c>
      <c r="AA1897">
        <v>0.24</v>
      </c>
      <c r="AB1897" t="s">
        <v>4492</v>
      </c>
      <c r="AC1897" t="s">
        <v>237</v>
      </c>
      <c r="AD1897" t="s">
        <v>20234</v>
      </c>
      <c r="AE1897" t="s">
        <v>6791</v>
      </c>
      <c r="AF1897" t="s">
        <v>7209</v>
      </c>
      <c r="AG1897" t="s">
        <v>3326</v>
      </c>
      <c r="AH1897" t="s">
        <v>5025</v>
      </c>
      <c r="AI1897" t="s">
        <v>20235</v>
      </c>
      <c r="AJ1897" t="s">
        <v>3226</v>
      </c>
      <c r="AK1897" t="s">
        <v>17743</v>
      </c>
      <c r="AL1897">
        <v>2.19</v>
      </c>
      <c r="AM1897">
        <v>1.84</v>
      </c>
      <c r="AN1897">
        <v>0.56000000000000005</v>
      </c>
      <c r="AO1897" t="s">
        <v>20236</v>
      </c>
      <c r="AP1897" t="s">
        <v>3745</v>
      </c>
      <c r="AQ1897" t="s">
        <v>3613</v>
      </c>
      <c r="AR1897" t="s">
        <v>3670</v>
      </c>
      <c r="AS1897" t="s">
        <v>122</v>
      </c>
      <c r="AT1897" t="s">
        <v>4191</v>
      </c>
      <c r="AU1897" t="s">
        <v>2589</v>
      </c>
      <c r="AV1897" t="s">
        <v>20237</v>
      </c>
      <c r="AW1897" t="s">
        <v>5703</v>
      </c>
      <c r="AX1897" t="s">
        <v>9432</v>
      </c>
      <c r="AY1897" t="s">
        <v>5703</v>
      </c>
      <c r="AZ1897" t="s">
        <v>20238</v>
      </c>
      <c r="BA1897">
        <v>1</v>
      </c>
      <c r="BB1897">
        <v>276.47000000000003</v>
      </c>
      <c r="BC1897">
        <v>0.3</v>
      </c>
      <c r="BD1897">
        <v>10.08</v>
      </c>
      <c r="BE1897">
        <v>10.3</v>
      </c>
      <c r="BF1897">
        <v>10.16</v>
      </c>
      <c r="BG1897" t="s">
        <v>20239</v>
      </c>
      <c r="BH1897" t="s">
        <v>20240</v>
      </c>
      <c r="BI1897" t="s">
        <v>20241</v>
      </c>
      <c r="BJ1897" t="s">
        <v>101</v>
      </c>
      <c r="BK1897" t="s">
        <v>20242</v>
      </c>
      <c r="BL1897" t="s">
        <v>11708</v>
      </c>
      <c r="BM1897" t="s">
        <v>15535</v>
      </c>
      <c r="BN1897" t="s">
        <v>14623</v>
      </c>
    </row>
    <row r="1898" spans="1:66" x14ac:dyDescent="0.25">
      <c r="A1898" t="str">
        <f>HYPERLINK("https://elite.finviz.com/quote.ashx?t=WYY&amp;ty=c&amp;p=d&amp;b=1", "WYY")</f>
        <v>WYY</v>
      </c>
      <c r="B1898">
        <v>6</v>
      </c>
      <c r="C1898">
        <v>127.03</v>
      </c>
      <c r="D1898">
        <v>58.35</v>
      </c>
      <c r="E1898" t="s">
        <v>20243</v>
      </c>
      <c r="F1898" t="s">
        <v>107</v>
      </c>
      <c r="G1898" t="s">
        <v>108</v>
      </c>
      <c r="H1898" t="s">
        <v>1322</v>
      </c>
      <c r="I1898" t="s">
        <v>70</v>
      </c>
      <c r="J1898" t="s">
        <v>383</v>
      </c>
      <c r="K1898">
        <v>51.09</v>
      </c>
      <c r="L1898">
        <v>5.22</v>
      </c>
      <c r="M1898" t="s">
        <v>2646</v>
      </c>
      <c r="N1898">
        <v>16492</v>
      </c>
      <c r="P1898">
        <v>40.19</v>
      </c>
      <c r="R1898">
        <v>0.35</v>
      </c>
      <c r="S1898">
        <v>4.0199999999999996</v>
      </c>
      <c r="AA1898">
        <v>-0.22</v>
      </c>
      <c r="AE1898" t="s">
        <v>1999</v>
      </c>
      <c r="AF1898" t="s">
        <v>6357</v>
      </c>
      <c r="AG1898" t="s">
        <v>1310</v>
      </c>
      <c r="AH1898" t="s">
        <v>1104</v>
      </c>
      <c r="AJ1898" t="s">
        <v>7346</v>
      </c>
      <c r="AK1898" t="s">
        <v>8564</v>
      </c>
      <c r="AL1898">
        <v>0.94</v>
      </c>
      <c r="AM1898">
        <v>0.93</v>
      </c>
      <c r="AN1898">
        <v>0.41</v>
      </c>
      <c r="AO1898" t="s">
        <v>2724</v>
      </c>
      <c r="AP1898" t="s">
        <v>6127</v>
      </c>
      <c r="AQ1898" t="s">
        <v>525</v>
      </c>
      <c r="AR1898" t="s">
        <v>5114</v>
      </c>
      <c r="AS1898" t="s">
        <v>3229</v>
      </c>
      <c r="AT1898" t="s">
        <v>240</v>
      </c>
      <c r="AU1898" t="s">
        <v>1701</v>
      </c>
      <c r="AV1898" t="s">
        <v>9337</v>
      </c>
      <c r="AW1898" t="s">
        <v>2433</v>
      </c>
      <c r="AX1898" t="s">
        <v>19259</v>
      </c>
      <c r="AY1898" t="s">
        <v>9771</v>
      </c>
      <c r="AZ1898" t="s">
        <v>20244</v>
      </c>
      <c r="BA1898">
        <v>1</v>
      </c>
      <c r="BB1898">
        <v>79.97</v>
      </c>
      <c r="BC1898">
        <v>0.73</v>
      </c>
      <c r="BD1898">
        <v>5.21</v>
      </c>
      <c r="BE1898">
        <v>5.29</v>
      </c>
      <c r="BF1898">
        <v>5.0999999999999996</v>
      </c>
      <c r="BG1898" t="s">
        <v>20245</v>
      </c>
      <c r="BH1898" t="s">
        <v>2550</v>
      </c>
      <c r="BI1898" t="s">
        <v>20246</v>
      </c>
      <c r="BJ1898" t="s">
        <v>101</v>
      </c>
      <c r="BK1898" t="s">
        <v>20247</v>
      </c>
      <c r="BL1898" t="s">
        <v>11144</v>
      </c>
      <c r="BM1898" t="s">
        <v>20248</v>
      </c>
      <c r="BN1898" t="s">
        <v>14623</v>
      </c>
    </row>
    <row r="1899" spans="1:66" x14ac:dyDescent="0.25">
      <c r="A1899" t="str">
        <f>HYPERLINK("https://elite.finviz.com/quote.ashx?t=BRK-A&amp;ty=c&amp;p=d&amp;b=1", "BRK-A")</f>
        <v>BRK-A</v>
      </c>
      <c r="B1899">
        <v>6</v>
      </c>
      <c r="C1899">
        <v>127.03</v>
      </c>
      <c r="D1899">
        <v>58.38</v>
      </c>
      <c r="E1899" t="s">
        <v>10608</v>
      </c>
      <c r="F1899" t="s">
        <v>107</v>
      </c>
      <c r="G1899" t="s">
        <v>550</v>
      </c>
      <c r="H1899" t="s">
        <v>10609</v>
      </c>
      <c r="I1899" t="s">
        <v>70</v>
      </c>
      <c r="J1899" t="s">
        <v>71</v>
      </c>
      <c r="K1899">
        <v>1071428.3</v>
      </c>
      <c r="L1899">
        <v>746766.56</v>
      </c>
      <c r="M1899" t="s">
        <v>2880</v>
      </c>
      <c r="N1899">
        <v>147</v>
      </c>
      <c r="O1899">
        <v>17.059999999999999</v>
      </c>
      <c r="P1899">
        <v>23.14</v>
      </c>
      <c r="Q1899">
        <v>24.73</v>
      </c>
      <c r="R1899">
        <v>2.89</v>
      </c>
      <c r="S1899">
        <v>1.61</v>
      </c>
      <c r="Z1899" t="s">
        <v>164</v>
      </c>
      <c r="AA1899">
        <v>43768.23</v>
      </c>
      <c r="AB1899" t="s">
        <v>3976</v>
      </c>
      <c r="AC1899" t="s">
        <v>5885</v>
      </c>
      <c r="AD1899" t="s">
        <v>8179</v>
      </c>
      <c r="AE1899" t="s">
        <v>406</v>
      </c>
      <c r="AF1899" t="s">
        <v>6981</v>
      </c>
      <c r="AG1899" t="s">
        <v>10610</v>
      </c>
      <c r="AH1899" t="s">
        <v>1864</v>
      </c>
      <c r="AI1899" t="s">
        <v>4294</v>
      </c>
      <c r="AJ1899" t="s">
        <v>4191</v>
      </c>
      <c r="AK1899" t="s">
        <v>5739</v>
      </c>
      <c r="AL1899">
        <v>7.72</v>
      </c>
      <c r="AM1899">
        <v>7.31</v>
      </c>
      <c r="AN1899">
        <v>0.19</v>
      </c>
      <c r="AO1899" t="s">
        <v>4292</v>
      </c>
      <c r="AP1899" t="s">
        <v>10611</v>
      </c>
      <c r="AQ1899" t="s">
        <v>2395</v>
      </c>
      <c r="AR1899" t="s">
        <v>2610</v>
      </c>
      <c r="AS1899" t="s">
        <v>5380</v>
      </c>
      <c r="AT1899" t="s">
        <v>6719</v>
      </c>
      <c r="AU1899" t="s">
        <v>715</v>
      </c>
      <c r="AV1899" t="s">
        <v>7423</v>
      </c>
      <c r="AW1899" t="s">
        <v>6359</v>
      </c>
      <c r="AX1899" t="s">
        <v>1133</v>
      </c>
      <c r="AY1899" t="s">
        <v>6403</v>
      </c>
      <c r="AZ1899" t="s">
        <v>1253</v>
      </c>
      <c r="BA1899">
        <v>2.4300000000000002</v>
      </c>
      <c r="BB1899">
        <v>0.39</v>
      </c>
      <c r="BC1899">
        <v>1.32</v>
      </c>
      <c r="BD1899">
        <v>745326.31</v>
      </c>
      <c r="BE1899">
        <v>751129.81</v>
      </c>
      <c r="BF1899">
        <v>742551</v>
      </c>
      <c r="BG1899" t="s">
        <v>20249</v>
      </c>
      <c r="BH1899" t="s">
        <v>6403</v>
      </c>
      <c r="BI1899" t="s">
        <v>20250</v>
      </c>
      <c r="BJ1899" t="s">
        <v>101</v>
      </c>
      <c r="BK1899" t="s">
        <v>3916</v>
      </c>
      <c r="BL1899" t="s">
        <v>7782</v>
      </c>
      <c r="BM1899" t="s">
        <v>1006</v>
      </c>
      <c r="BN1899" t="s">
        <v>14623</v>
      </c>
    </row>
    <row r="1900" spans="1:66" x14ac:dyDescent="0.25">
      <c r="A1900" t="str">
        <f>HYPERLINK("https://elite.finviz.com/quote.ashx?t=SSBI&amp;ty=c&amp;p=d&amp;b=1", "SSBI")</f>
        <v>SSBI</v>
      </c>
      <c r="B1900">
        <v>6</v>
      </c>
      <c r="C1900">
        <v>127.03</v>
      </c>
      <c r="D1900">
        <v>58.39</v>
      </c>
      <c r="E1900" t="s">
        <v>20251</v>
      </c>
      <c r="F1900" t="s">
        <v>107</v>
      </c>
      <c r="G1900" t="s">
        <v>550</v>
      </c>
      <c r="H1900" t="s">
        <v>697</v>
      </c>
      <c r="I1900" t="s">
        <v>70</v>
      </c>
      <c r="J1900" t="s">
        <v>321</v>
      </c>
      <c r="K1900">
        <v>80.58</v>
      </c>
      <c r="L1900">
        <v>12.07</v>
      </c>
      <c r="M1900" t="s">
        <v>1409</v>
      </c>
      <c r="N1900">
        <v>619</v>
      </c>
      <c r="R1900">
        <v>1.29</v>
      </c>
      <c r="S1900">
        <v>0.83</v>
      </c>
      <c r="T1900" t="s">
        <v>2290</v>
      </c>
      <c r="U1900">
        <v>0.04</v>
      </c>
      <c r="V1900" t="s">
        <v>20252</v>
      </c>
      <c r="W1900" t="s">
        <v>20253</v>
      </c>
      <c r="X1900" t="s">
        <v>4194</v>
      </c>
      <c r="Y1900" t="s">
        <v>4712</v>
      </c>
      <c r="AA1900">
        <v>-0.24</v>
      </c>
      <c r="AE1900" t="s">
        <v>3598</v>
      </c>
      <c r="AF1900" t="s">
        <v>7698</v>
      </c>
      <c r="AG1900" t="s">
        <v>5479</v>
      </c>
      <c r="AH1900" t="s">
        <v>342</v>
      </c>
      <c r="AK1900" t="s">
        <v>4536</v>
      </c>
      <c r="AL1900">
        <v>0.12</v>
      </c>
      <c r="AN1900">
        <v>7.0000000000000007E-2</v>
      </c>
      <c r="AP1900" t="s">
        <v>7699</v>
      </c>
      <c r="AQ1900" t="s">
        <v>4367</v>
      </c>
      <c r="AR1900" t="s">
        <v>2216</v>
      </c>
      <c r="AS1900" t="s">
        <v>2145</v>
      </c>
      <c r="AT1900" t="s">
        <v>3976</v>
      </c>
      <c r="AU1900" t="s">
        <v>4275</v>
      </c>
      <c r="AV1900" t="s">
        <v>5931</v>
      </c>
      <c r="AW1900" t="s">
        <v>4408</v>
      </c>
      <c r="AX1900" t="s">
        <v>1090</v>
      </c>
      <c r="AY1900" t="s">
        <v>6123</v>
      </c>
      <c r="AZ1900" t="s">
        <v>3207</v>
      </c>
      <c r="BB1900">
        <v>13.38</v>
      </c>
      <c r="BC1900">
        <v>0.16</v>
      </c>
      <c r="BD1900">
        <v>12.02</v>
      </c>
      <c r="BE1900">
        <v>12.05</v>
      </c>
      <c r="BF1900">
        <v>12.05</v>
      </c>
      <c r="BG1900" t="s">
        <v>20254</v>
      </c>
      <c r="BH1900" t="s">
        <v>20255</v>
      </c>
      <c r="BI1900" t="s">
        <v>20256</v>
      </c>
      <c r="BJ1900" t="s">
        <v>101</v>
      </c>
      <c r="BK1900" t="s">
        <v>1778</v>
      </c>
      <c r="BL1900" t="s">
        <v>2525</v>
      </c>
      <c r="BM1900" t="s">
        <v>3223</v>
      </c>
      <c r="BN1900" t="s">
        <v>14623</v>
      </c>
    </row>
    <row r="1901" spans="1:66" x14ac:dyDescent="0.25">
      <c r="A1901" t="str">
        <f>HYPERLINK("https://elite.finviz.com/quote.ashx?t=WWD&amp;ty=c&amp;p=d&amp;b=1", "WWD")</f>
        <v>WWD</v>
      </c>
      <c r="B1901">
        <v>6</v>
      </c>
      <c r="C1901">
        <v>127.03</v>
      </c>
      <c r="D1901">
        <v>58.41</v>
      </c>
      <c r="E1901" t="s">
        <v>20257</v>
      </c>
      <c r="F1901" t="s">
        <v>107</v>
      </c>
      <c r="G1901" t="s">
        <v>260</v>
      </c>
      <c r="H1901" t="s">
        <v>4779</v>
      </c>
      <c r="I1901" t="s">
        <v>70</v>
      </c>
      <c r="J1901" t="s">
        <v>321</v>
      </c>
      <c r="K1901">
        <v>14887.02</v>
      </c>
      <c r="L1901">
        <v>248.26</v>
      </c>
      <c r="M1901" t="s">
        <v>5084</v>
      </c>
      <c r="N1901">
        <v>117372</v>
      </c>
      <c r="O1901">
        <v>39.270000000000003</v>
      </c>
      <c r="P1901">
        <v>31.78</v>
      </c>
      <c r="Q1901">
        <v>2.83</v>
      </c>
      <c r="R1901">
        <v>4.34</v>
      </c>
      <c r="S1901">
        <v>6.03</v>
      </c>
      <c r="T1901" t="s">
        <v>3112</v>
      </c>
      <c r="U1901">
        <v>1.0900000000000001</v>
      </c>
      <c r="V1901" t="s">
        <v>13819</v>
      </c>
      <c r="W1901" t="s">
        <v>5539</v>
      </c>
      <c r="X1901" t="s">
        <v>9110</v>
      </c>
      <c r="Y1901" t="s">
        <v>2887</v>
      </c>
      <c r="Z1901" t="s">
        <v>14743</v>
      </c>
      <c r="AA1901">
        <v>6.32</v>
      </c>
      <c r="AB1901" t="s">
        <v>3926</v>
      </c>
      <c r="AC1901" t="s">
        <v>3050</v>
      </c>
      <c r="AD1901" t="s">
        <v>9253</v>
      </c>
      <c r="AE1901" t="s">
        <v>5336</v>
      </c>
      <c r="AF1901" t="s">
        <v>1161</v>
      </c>
      <c r="AG1901" t="s">
        <v>5256</v>
      </c>
      <c r="AH1901" t="s">
        <v>4293</v>
      </c>
      <c r="AI1901" t="s">
        <v>5122</v>
      </c>
      <c r="AJ1901" t="s">
        <v>345</v>
      </c>
      <c r="AK1901" t="s">
        <v>5117</v>
      </c>
      <c r="AL1901">
        <v>2.04</v>
      </c>
      <c r="AM1901">
        <v>1.39</v>
      </c>
      <c r="AN1901">
        <v>0.39</v>
      </c>
      <c r="AO1901" t="s">
        <v>3750</v>
      </c>
      <c r="AP1901" t="s">
        <v>7079</v>
      </c>
      <c r="AQ1901" t="s">
        <v>4565</v>
      </c>
      <c r="AR1901" t="s">
        <v>2643</v>
      </c>
      <c r="AS1901" t="s">
        <v>633</v>
      </c>
      <c r="AT1901" t="s">
        <v>4687</v>
      </c>
      <c r="AU1901" t="s">
        <v>3358</v>
      </c>
      <c r="AV1901" t="s">
        <v>11164</v>
      </c>
      <c r="AW1901" t="s">
        <v>4317</v>
      </c>
      <c r="AX1901" t="s">
        <v>3115</v>
      </c>
      <c r="AY1901" t="s">
        <v>4317</v>
      </c>
      <c r="AZ1901" t="s">
        <v>20258</v>
      </c>
      <c r="BA1901">
        <v>1.91</v>
      </c>
      <c r="BB1901">
        <v>560.45000000000005</v>
      </c>
      <c r="BC1901">
        <v>0.74</v>
      </c>
      <c r="BD1901">
        <v>243.96</v>
      </c>
      <c r="BE1901">
        <v>249.57</v>
      </c>
      <c r="BF1901">
        <v>245</v>
      </c>
      <c r="BG1901" t="s">
        <v>20259</v>
      </c>
      <c r="BH1901" t="s">
        <v>4317</v>
      </c>
      <c r="BI1901" t="s">
        <v>20260</v>
      </c>
      <c r="BJ1901" t="s">
        <v>101</v>
      </c>
      <c r="BK1901" t="s">
        <v>3761</v>
      </c>
      <c r="BL1901" t="s">
        <v>4224</v>
      </c>
      <c r="BM1901" t="s">
        <v>16951</v>
      </c>
      <c r="BN1901" t="s">
        <v>14623</v>
      </c>
    </row>
    <row r="1902" spans="1:66" x14ac:dyDescent="0.25">
      <c r="A1902" t="str">
        <f>HYPERLINK("https://elite.finviz.com/quote.ashx?t=SMP&amp;ty=c&amp;p=d&amp;b=1", "SMP")</f>
        <v>SMP</v>
      </c>
      <c r="B1902">
        <v>6</v>
      </c>
      <c r="C1902">
        <v>127.03</v>
      </c>
      <c r="D1902">
        <v>58.42</v>
      </c>
      <c r="E1902" t="s">
        <v>20261</v>
      </c>
      <c r="F1902" t="s">
        <v>67</v>
      </c>
      <c r="G1902" t="s">
        <v>813</v>
      </c>
      <c r="H1902" t="s">
        <v>814</v>
      </c>
      <c r="I1902" t="s">
        <v>70</v>
      </c>
      <c r="J1902" t="s">
        <v>71</v>
      </c>
      <c r="K1902">
        <v>882.88</v>
      </c>
      <c r="L1902">
        <v>40.15</v>
      </c>
      <c r="M1902" t="s">
        <v>581</v>
      </c>
      <c r="N1902">
        <v>27343</v>
      </c>
      <c r="O1902">
        <v>13.61</v>
      </c>
      <c r="P1902">
        <v>9.2799999999999994</v>
      </c>
      <c r="R1902">
        <v>0.54</v>
      </c>
      <c r="S1902">
        <v>1.28</v>
      </c>
      <c r="T1902" t="s">
        <v>2624</v>
      </c>
      <c r="U1902">
        <v>1.22</v>
      </c>
      <c r="V1902" t="s">
        <v>3046</v>
      </c>
      <c r="W1902" t="s">
        <v>164</v>
      </c>
      <c r="X1902" t="s">
        <v>3887</v>
      </c>
      <c r="Y1902" t="s">
        <v>2774</v>
      </c>
      <c r="Z1902" t="s">
        <v>12226</v>
      </c>
      <c r="AA1902">
        <v>2.95</v>
      </c>
      <c r="AB1902" t="s">
        <v>4580</v>
      </c>
      <c r="AC1902" t="s">
        <v>1820</v>
      </c>
      <c r="AE1902" t="s">
        <v>10809</v>
      </c>
      <c r="AF1902" t="s">
        <v>5164</v>
      </c>
      <c r="AG1902" t="s">
        <v>4393</v>
      </c>
      <c r="AH1902" t="s">
        <v>9687</v>
      </c>
      <c r="AI1902" t="s">
        <v>20262</v>
      </c>
      <c r="AJ1902" t="s">
        <v>164</v>
      </c>
      <c r="AK1902" t="s">
        <v>15879</v>
      </c>
      <c r="AL1902">
        <v>2.16</v>
      </c>
      <c r="AM1902">
        <v>0.83</v>
      </c>
      <c r="AN1902">
        <v>1.1000000000000001</v>
      </c>
      <c r="AO1902" t="s">
        <v>1679</v>
      </c>
      <c r="AP1902" t="s">
        <v>3793</v>
      </c>
      <c r="AQ1902" t="s">
        <v>4142</v>
      </c>
      <c r="AR1902" t="s">
        <v>714</v>
      </c>
      <c r="AS1902" t="s">
        <v>4600</v>
      </c>
      <c r="AT1902" t="s">
        <v>4901</v>
      </c>
      <c r="AU1902" t="s">
        <v>4498</v>
      </c>
      <c r="AV1902" t="s">
        <v>8973</v>
      </c>
      <c r="AW1902" t="s">
        <v>5426</v>
      </c>
      <c r="AX1902" t="s">
        <v>8124</v>
      </c>
      <c r="AY1902" t="s">
        <v>5426</v>
      </c>
      <c r="AZ1902" t="s">
        <v>8708</v>
      </c>
      <c r="BA1902">
        <v>1</v>
      </c>
      <c r="BB1902">
        <v>176.49</v>
      </c>
      <c r="BC1902">
        <v>0.55000000000000004</v>
      </c>
      <c r="BD1902">
        <v>39.72</v>
      </c>
      <c r="BE1902">
        <v>40.270000000000003</v>
      </c>
      <c r="BF1902">
        <v>39.549999999999997</v>
      </c>
      <c r="BG1902" t="s">
        <v>20263</v>
      </c>
      <c r="BH1902" t="s">
        <v>10937</v>
      </c>
      <c r="BI1902" t="s">
        <v>20264</v>
      </c>
      <c r="BJ1902" t="s">
        <v>101</v>
      </c>
      <c r="BK1902" t="s">
        <v>18458</v>
      </c>
      <c r="BL1902" t="s">
        <v>20265</v>
      </c>
      <c r="BM1902" t="s">
        <v>5769</v>
      </c>
      <c r="BN1902" t="s">
        <v>14623</v>
      </c>
    </row>
    <row r="1903" spans="1:66" x14ac:dyDescent="0.25">
      <c r="A1903" t="str">
        <f>HYPERLINK("https://elite.finviz.com/quote.ashx?t=EE&amp;ty=c&amp;p=d&amp;b=1", "EE")</f>
        <v>EE</v>
      </c>
      <c r="B1903">
        <v>6</v>
      </c>
      <c r="C1903">
        <v>127.03</v>
      </c>
      <c r="D1903">
        <v>58.42</v>
      </c>
      <c r="E1903" t="s">
        <v>20266</v>
      </c>
      <c r="F1903" t="s">
        <v>67</v>
      </c>
      <c r="G1903" t="s">
        <v>1048</v>
      </c>
      <c r="H1903" t="s">
        <v>3915</v>
      </c>
      <c r="I1903" t="s">
        <v>70</v>
      </c>
      <c r="J1903" t="s">
        <v>71</v>
      </c>
      <c r="K1903">
        <v>2865.95</v>
      </c>
      <c r="L1903">
        <v>25.14</v>
      </c>
      <c r="M1903" t="s">
        <v>3047</v>
      </c>
      <c r="N1903">
        <v>45947</v>
      </c>
      <c r="O1903">
        <v>23.73</v>
      </c>
      <c r="P1903">
        <v>14.25</v>
      </c>
      <c r="Q1903">
        <v>1.1599999999999999</v>
      </c>
      <c r="R1903">
        <v>2.9</v>
      </c>
      <c r="S1903">
        <v>1.21</v>
      </c>
      <c r="T1903" t="s">
        <v>344</v>
      </c>
      <c r="U1903">
        <v>0.26</v>
      </c>
      <c r="V1903" t="s">
        <v>5737</v>
      </c>
      <c r="W1903" t="s">
        <v>6398</v>
      </c>
      <c r="Z1903" t="s">
        <v>5227</v>
      </c>
      <c r="AA1903">
        <v>1.06</v>
      </c>
      <c r="AB1903" t="s">
        <v>7234</v>
      </c>
      <c r="AC1903" t="s">
        <v>16801</v>
      </c>
      <c r="AD1903" t="s">
        <v>5118</v>
      </c>
      <c r="AE1903" t="s">
        <v>1066</v>
      </c>
      <c r="AF1903" t="s">
        <v>13117</v>
      </c>
      <c r="AG1903" t="s">
        <v>827</v>
      </c>
      <c r="AH1903" t="s">
        <v>2371</v>
      </c>
      <c r="AI1903" t="s">
        <v>18849</v>
      </c>
      <c r="AJ1903" t="s">
        <v>164</v>
      </c>
      <c r="AK1903" t="s">
        <v>20267</v>
      </c>
      <c r="AL1903">
        <v>2.6</v>
      </c>
      <c r="AM1903">
        <v>2.52</v>
      </c>
      <c r="AN1903">
        <v>2.21</v>
      </c>
      <c r="AO1903" t="s">
        <v>20120</v>
      </c>
      <c r="AP1903" t="s">
        <v>19293</v>
      </c>
      <c r="AQ1903" t="s">
        <v>5111</v>
      </c>
      <c r="AR1903" t="s">
        <v>1391</v>
      </c>
      <c r="AS1903" t="s">
        <v>4945</v>
      </c>
      <c r="AT1903" t="s">
        <v>3480</v>
      </c>
      <c r="AU1903" t="s">
        <v>8013</v>
      </c>
      <c r="AV1903" t="s">
        <v>19666</v>
      </c>
      <c r="AW1903" t="s">
        <v>6253</v>
      </c>
      <c r="AX1903" t="s">
        <v>111</v>
      </c>
      <c r="AY1903" t="s">
        <v>11951</v>
      </c>
      <c r="AZ1903" t="s">
        <v>3413</v>
      </c>
      <c r="BA1903">
        <v>2.08</v>
      </c>
      <c r="BB1903">
        <v>470.55</v>
      </c>
      <c r="BC1903">
        <v>0.34</v>
      </c>
      <c r="BD1903">
        <v>24.96</v>
      </c>
      <c r="BE1903">
        <v>25.42</v>
      </c>
      <c r="BF1903">
        <v>24.8</v>
      </c>
      <c r="BG1903" t="s">
        <v>20268</v>
      </c>
      <c r="BH1903" t="s">
        <v>11951</v>
      </c>
      <c r="BI1903" t="s">
        <v>20269</v>
      </c>
      <c r="BJ1903" t="s">
        <v>101</v>
      </c>
      <c r="BK1903" t="s">
        <v>7973</v>
      </c>
      <c r="BL1903" t="s">
        <v>11437</v>
      </c>
      <c r="BM1903" t="s">
        <v>10361</v>
      </c>
      <c r="BN1903" t="s">
        <v>14623</v>
      </c>
    </row>
    <row r="1904" spans="1:66" x14ac:dyDescent="0.25">
      <c r="A1904" t="str">
        <f>HYPERLINK("https://elite.finviz.com/quote.ashx?t=TRT&amp;ty=c&amp;p=d&amp;b=1", "TRT")</f>
        <v>TRT</v>
      </c>
      <c r="B1904">
        <v>6</v>
      </c>
      <c r="C1904">
        <v>127.03</v>
      </c>
      <c r="D1904">
        <v>58.44</v>
      </c>
      <c r="E1904" t="s">
        <v>20270</v>
      </c>
      <c r="F1904" t="s">
        <v>107</v>
      </c>
      <c r="G1904" t="s">
        <v>108</v>
      </c>
      <c r="H1904" t="s">
        <v>2097</v>
      </c>
      <c r="I1904" t="s">
        <v>70</v>
      </c>
      <c r="J1904" t="s">
        <v>383</v>
      </c>
      <c r="K1904">
        <v>24.59</v>
      </c>
      <c r="L1904">
        <v>5.7</v>
      </c>
      <c r="M1904" t="s">
        <v>458</v>
      </c>
      <c r="N1904">
        <v>1355</v>
      </c>
      <c r="R1904">
        <v>0.67</v>
      </c>
      <c r="S1904">
        <v>0.72</v>
      </c>
      <c r="V1904" t="s">
        <v>20271</v>
      </c>
      <c r="Z1904" t="s">
        <v>164</v>
      </c>
      <c r="AA1904">
        <v>-0.01</v>
      </c>
      <c r="AE1904" t="s">
        <v>10520</v>
      </c>
      <c r="AF1904" t="s">
        <v>5748</v>
      </c>
      <c r="AG1904" t="s">
        <v>1279</v>
      </c>
      <c r="AH1904" t="s">
        <v>7945</v>
      </c>
      <c r="AJ1904" t="s">
        <v>164</v>
      </c>
      <c r="AK1904" t="s">
        <v>12616</v>
      </c>
      <c r="AL1904">
        <v>5.03</v>
      </c>
      <c r="AM1904">
        <v>4.67</v>
      </c>
      <c r="AN1904">
        <v>0.05</v>
      </c>
      <c r="AO1904" t="s">
        <v>12371</v>
      </c>
      <c r="AP1904" t="s">
        <v>1409</v>
      </c>
      <c r="AQ1904" t="s">
        <v>4699</v>
      </c>
      <c r="AR1904" t="s">
        <v>3454</v>
      </c>
      <c r="AS1904" t="s">
        <v>6003</v>
      </c>
      <c r="AT1904" t="s">
        <v>322</v>
      </c>
      <c r="AU1904" t="s">
        <v>5331</v>
      </c>
      <c r="AV1904" t="s">
        <v>306</v>
      </c>
      <c r="AW1904" t="s">
        <v>4210</v>
      </c>
      <c r="AX1904" t="s">
        <v>5656</v>
      </c>
      <c r="AY1904" t="s">
        <v>9409</v>
      </c>
      <c r="AZ1904" t="s">
        <v>16116</v>
      </c>
      <c r="BB1904">
        <v>4.58</v>
      </c>
      <c r="BC1904">
        <v>1.05</v>
      </c>
      <c r="BD1904">
        <v>5.65</v>
      </c>
      <c r="BE1904">
        <v>5.75</v>
      </c>
      <c r="BF1904">
        <v>5.7</v>
      </c>
      <c r="BG1904" t="s">
        <v>20272</v>
      </c>
      <c r="BH1904" t="s">
        <v>20273</v>
      </c>
      <c r="BI1904" t="s">
        <v>20274</v>
      </c>
      <c r="BJ1904" t="s">
        <v>101</v>
      </c>
      <c r="BK1904" t="s">
        <v>458</v>
      </c>
      <c r="BL1904" t="s">
        <v>7794</v>
      </c>
      <c r="BM1904" t="s">
        <v>5111</v>
      </c>
      <c r="BN1904" t="s">
        <v>14623</v>
      </c>
    </row>
    <row r="1905" spans="1:66" x14ac:dyDescent="0.25">
      <c r="A1905" t="str">
        <f>HYPERLINK("https://elite.finviz.com/quote.ashx?t=XPER&amp;ty=c&amp;p=d&amp;b=1", "XPER")</f>
        <v>XPER</v>
      </c>
      <c r="B1905">
        <v>6</v>
      </c>
      <c r="C1905">
        <v>127.03</v>
      </c>
      <c r="D1905">
        <v>58.47</v>
      </c>
      <c r="E1905" t="s">
        <v>20275</v>
      </c>
      <c r="F1905" t="s">
        <v>67</v>
      </c>
      <c r="G1905" t="s">
        <v>108</v>
      </c>
      <c r="H1905" t="s">
        <v>136</v>
      </c>
      <c r="I1905" t="s">
        <v>70</v>
      </c>
      <c r="J1905" t="s">
        <v>71</v>
      </c>
      <c r="K1905">
        <v>298.85000000000002</v>
      </c>
      <c r="L1905">
        <v>6.46</v>
      </c>
      <c r="M1905" t="s">
        <v>164</v>
      </c>
      <c r="N1905">
        <v>135401</v>
      </c>
      <c r="P1905">
        <v>7.51</v>
      </c>
      <c r="R1905">
        <v>0.63</v>
      </c>
      <c r="S1905">
        <v>0.71</v>
      </c>
      <c r="AA1905">
        <v>-0.09</v>
      </c>
      <c r="AB1905" t="s">
        <v>20276</v>
      </c>
      <c r="AE1905" t="s">
        <v>8626</v>
      </c>
      <c r="AF1905" t="s">
        <v>1657</v>
      </c>
      <c r="AH1905" t="s">
        <v>2536</v>
      </c>
      <c r="AI1905" t="s">
        <v>17165</v>
      </c>
      <c r="AJ1905" t="s">
        <v>164</v>
      </c>
      <c r="AK1905" t="s">
        <v>20277</v>
      </c>
      <c r="AL1905">
        <v>2.4</v>
      </c>
      <c r="AM1905">
        <v>2.4</v>
      </c>
      <c r="AN1905">
        <v>0.18</v>
      </c>
      <c r="AO1905" t="s">
        <v>13613</v>
      </c>
      <c r="AP1905" t="s">
        <v>20278</v>
      </c>
      <c r="AQ1905" t="s">
        <v>1067</v>
      </c>
      <c r="AR1905" t="s">
        <v>289</v>
      </c>
      <c r="AS1905" t="s">
        <v>465</v>
      </c>
      <c r="AT1905" t="s">
        <v>4995</v>
      </c>
      <c r="AU1905" t="s">
        <v>901</v>
      </c>
      <c r="AV1905" t="s">
        <v>20279</v>
      </c>
      <c r="AW1905" t="s">
        <v>9120</v>
      </c>
      <c r="AX1905" t="s">
        <v>5539</v>
      </c>
      <c r="AY1905" t="s">
        <v>20253</v>
      </c>
      <c r="AZ1905" t="s">
        <v>5539</v>
      </c>
      <c r="BA1905">
        <v>1.25</v>
      </c>
      <c r="BB1905">
        <v>446.29</v>
      </c>
      <c r="BC1905">
        <v>1.07</v>
      </c>
      <c r="BD1905">
        <v>6.46</v>
      </c>
      <c r="BE1905">
        <v>6.56</v>
      </c>
      <c r="BF1905">
        <v>6.45</v>
      </c>
      <c r="BG1905" t="s">
        <v>20280</v>
      </c>
      <c r="BH1905" t="s">
        <v>20281</v>
      </c>
      <c r="BI1905" t="s">
        <v>5539</v>
      </c>
      <c r="BJ1905" t="s">
        <v>101</v>
      </c>
      <c r="BK1905" t="s">
        <v>3080</v>
      </c>
      <c r="BL1905" t="s">
        <v>20282</v>
      </c>
      <c r="BM1905" t="s">
        <v>20097</v>
      </c>
      <c r="BN1905" t="s">
        <v>14623</v>
      </c>
    </row>
    <row r="1906" spans="1:66" x14ac:dyDescent="0.25">
      <c r="A1906" t="str">
        <f>HYPERLINK("https://elite.finviz.com/quote.ashx?t=TYRA&amp;ty=c&amp;p=d&amp;b=1", "TYRA")</f>
        <v>TYRA</v>
      </c>
      <c r="B1906">
        <v>6</v>
      </c>
      <c r="C1906">
        <v>127.03</v>
      </c>
      <c r="D1906">
        <v>58.49</v>
      </c>
      <c r="E1906" t="s">
        <v>20283</v>
      </c>
      <c r="F1906" t="s">
        <v>67</v>
      </c>
      <c r="G1906" t="s">
        <v>428</v>
      </c>
      <c r="H1906" t="s">
        <v>429</v>
      </c>
      <c r="I1906" t="s">
        <v>70</v>
      </c>
      <c r="J1906" t="s">
        <v>321</v>
      </c>
      <c r="K1906">
        <v>684.07</v>
      </c>
      <c r="L1906">
        <v>12.84</v>
      </c>
      <c r="M1906" t="s">
        <v>342</v>
      </c>
      <c r="N1906">
        <v>16645</v>
      </c>
      <c r="S1906">
        <v>2.2599999999999998</v>
      </c>
      <c r="AA1906">
        <v>-1.79</v>
      </c>
      <c r="AB1906" t="s">
        <v>20284</v>
      </c>
      <c r="AC1906" t="s">
        <v>20285</v>
      </c>
      <c r="AD1906" t="s">
        <v>20286</v>
      </c>
      <c r="AI1906" t="s">
        <v>2740</v>
      </c>
      <c r="AJ1906" t="s">
        <v>1927</v>
      </c>
      <c r="AK1906" t="s">
        <v>20287</v>
      </c>
      <c r="AL1906">
        <v>21.94</v>
      </c>
      <c r="AM1906">
        <v>21.94</v>
      </c>
      <c r="AN1906">
        <v>0.02</v>
      </c>
      <c r="AR1906" t="s">
        <v>6525</v>
      </c>
      <c r="AS1906" t="s">
        <v>4428</v>
      </c>
      <c r="AT1906" t="s">
        <v>5188</v>
      </c>
      <c r="AU1906" t="s">
        <v>6532</v>
      </c>
      <c r="AV1906" t="s">
        <v>3647</v>
      </c>
      <c r="AW1906" t="s">
        <v>10518</v>
      </c>
      <c r="AX1906" t="s">
        <v>4461</v>
      </c>
      <c r="AY1906" t="s">
        <v>20288</v>
      </c>
      <c r="AZ1906" t="s">
        <v>18907</v>
      </c>
      <c r="BA1906">
        <v>1</v>
      </c>
      <c r="BB1906">
        <v>254.69</v>
      </c>
      <c r="BC1906">
        <v>0.23</v>
      </c>
      <c r="BD1906">
        <v>12.54</v>
      </c>
      <c r="BE1906">
        <v>12.86</v>
      </c>
      <c r="BF1906">
        <v>12.58</v>
      </c>
      <c r="BG1906" t="s">
        <v>20289</v>
      </c>
      <c r="BH1906" t="s">
        <v>6264</v>
      </c>
      <c r="BI1906" t="s">
        <v>20290</v>
      </c>
      <c r="BJ1906" t="s">
        <v>101</v>
      </c>
      <c r="BK1906" t="s">
        <v>20291</v>
      </c>
      <c r="BL1906" t="s">
        <v>20292</v>
      </c>
      <c r="BM1906" t="s">
        <v>9769</v>
      </c>
      <c r="BN1906" t="s">
        <v>14623</v>
      </c>
    </row>
    <row r="1907" spans="1:66" x14ac:dyDescent="0.25">
      <c r="A1907" t="str">
        <f>HYPERLINK("https://elite.finviz.com/quote.ashx?t=RANG&amp;ty=c&amp;p=d&amp;b=1", "RANG")</f>
        <v>RANG</v>
      </c>
      <c r="B1907">
        <v>6</v>
      </c>
      <c r="C1907">
        <v>127.03</v>
      </c>
      <c r="D1907">
        <v>58.51</v>
      </c>
      <c r="E1907" t="s">
        <v>20293</v>
      </c>
      <c r="F1907" t="s">
        <v>107</v>
      </c>
      <c r="G1907" t="s">
        <v>550</v>
      </c>
      <c r="H1907" t="s">
        <v>2120</v>
      </c>
      <c r="I1907" t="s">
        <v>70</v>
      </c>
      <c r="J1907" t="s">
        <v>321</v>
      </c>
      <c r="K1907">
        <v>165.05</v>
      </c>
      <c r="L1907">
        <v>10.29</v>
      </c>
      <c r="M1907" t="s">
        <v>164</v>
      </c>
      <c r="N1907">
        <v>0</v>
      </c>
      <c r="O1907">
        <v>86.54</v>
      </c>
      <c r="S1907">
        <v>1.39</v>
      </c>
      <c r="AA1907">
        <v>0.12</v>
      </c>
      <c r="AJ1907" t="s">
        <v>164</v>
      </c>
      <c r="AK1907" t="s">
        <v>20294</v>
      </c>
      <c r="AL1907">
        <v>3.45</v>
      </c>
      <c r="AM1907">
        <v>3.45</v>
      </c>
      <c r="AN1907">
        <v>0</v>
      </c>
      <c r="AR1907" t="s">
        <v>629</v>
      </c>
      <c r="AS1907" t="s">
        <v>629</v>
      </c>
      <c r="AT1907" t="s">
        <v>3446</v>
      </c>
      <c r="AU1907" t="s">
        <v>2571</v>
      </c>
      <c r="AV1907" t="s">
        <v>7338</v>
      </c>
      <c r="AW1907" t="s">
        <v>1444</v>
      </c>
      <c r="AX1907" t="s">
        <v>910</v>
      </c>
      <c r="AY1907" t="s">
        <v>5928</v>
      </c>
      <c r="AZ1907" t="s">
        <v>323</v>
      </c>
      <c r="BB1907">
        <v>13.66</v>
      </c>
      <c r="BC1907">
        <v>0</v>
      </c>
      <c r="BD1907">
        <v>10.29</v>
      </c>
      <c r="BE1907">
        <v>10.29</v>
      </c>
      <c r="BF1907">
        <v>10.29</v>
      </c>
      <c r="BG1907" t="s">
        <v>20295</v>
      </c>
      <c r="BH1907" t="s">
        <v>5928</v>
      </c>
      <c r="BI1907" t="s">
        <v>323</v>
      </c>
      <c r="BJ1907" t="s">
        <v>101</v>
      </c>
      <c r="BK1907" t="s">
        <v>3635</v>
      </c>
      <c r="BN1907" t="s">
        <v>14623</v>
      </c>
    </row>
    <row r="1908" spans="1:66" x14ac:dyDescent="0.25">
      <c r="A1908" t="str">
        <f>HYPERLINK("https://elite.finviz.com/quote.ashx?t=SGU&amp;ty=c&amp;p=d&amp;b=1", "SGU")</f>
        <v>SGU</v>
      </c>
      <c r="B1908">
        <v>6</v>
      </c>
      <c r="C1908">
        <v>127.03</v>
      </c>
      <c r="D1908">
        <v>58.53</v>
      </c>
      <c r="E1908" t="s">
        <v>20296</v>
      </c>
      <c r="F1908" t="s">
        <v>107</v>
      </c>
      <c r="G1908" t="s">
        <v>1048</v>
      </c>
      <c r="H1908" t="s">
        <v>3886</v>
      </c>
      <c r="I1908" t="s">
        <v>70</v>
      </c>
      <c r="J1908" t="s">
        <v>71</v>
      </c>
      <c r="K1908">
        <v>396.22</v>
      </c>
      <c r="L1908">
        <v>11.79</v>
      </c>
      <c r="M1908" t="s">
        <v>84</v>
      </c>
      <c r="N1908">
        <v>4823</v>
      </c>
      <c r="O1908">
        <v>7.67</v>
      </c>
      <c r="R1908">
        <v>0.22</v>
      </c>
      <c r="S1908">
        <v>1.1599999999999999</v>
      </c>
      <c r="T1908" t="s">
        <v>3951</v>
      </c>
      <c r="U1908">
        <v>0.71</v>
      </c>
      <c r="V1908" t="s">
        <v>15179</v>
      </c>
      <c r="W1908" t="s">
        <v>713</v>
      </c>
      <c r="X1908" t="s">
        <v>9703</v>
      </c>
      <c r="Y1908" t="s">
        <v>6674</v>
      </c>
      <c r="Z1908" t="s">
        <v>20297</v>
      </c>
      <c r="AA1908">
        <v>1.54</v>
      </c>
      <c r="AB1908" t="s">
        <v>3276</v>
      </c>
      <c r="AC1908" t="s">
        <v>2441</v>
      </c>
      <c r="AE1908" t="s">
        <v>2899</v>
      </c>
      <c r="AF1908" t="s">
        <v>5210</v>
      </c>
      <c r="AG1908" t="s">
        <v>3358</v>
      </c>
      <c r="AH1908" t="s">
        <v>2086</v>
      </c>
      <c r="AJ1908" t="s">
        <v>7269</v>
      </c>
      <c r="AK1908" t="s">
        <v>15159</v>
      </c>
      <c r="AL1908">
        <v>0.7</v>
      </c>
      <c r="AM1908">
        <v>0.56999999999999995</v>
      </c>
      <c r="AN1908">
        <v>0.84</v>
      </c>
      <c r="AO1908" t="s">
        <v>20298</v>
      </c>
      <c r="AP1908" t="s">
        <v>3036</v>
      </c>
      <c r="AQ1908" t="s">
        <v>6118</v>
      </c>
      <c r="AR1908" t="s">
        <v>2449</v>
      </c>
      <c r="AS1908" t="s">
        <v>2217</v>
      </c>
      <c r="AT1908" t="s">
        <v>5610</v>
      </c>
      <c r="AU1908" t="s">
        <v>2644</v>
      </c>
      <c r="AV1908" t="s">
        <v>3328</v>
      </c>
      <c r="AW1908" t="s">
        <v>799</v>
      </c>
      <c r="AX1908" t="s">
        <v>1453</v>
      </c>
      <c r="AY1908" t="s">
        <v>8252</v>
      </c>
      <c r="AZ1908" t="s">
        <v>2192</v>
      </c>
      <c r="BA1908">
        <v>1</v>
      </c>
      <c r="BB1908">
        <v>44.91</v>
      </c>
      <c r="BC1908">
        <v>0.38</v>
      </c>
      <c r="BD1908">
        <v>11.7</v>
      </c>
      <c r="BE1908">
        <v>11.8</v>
      </c>
      <c r="BF1908">
        <v>11.78</v>
      </c>
      <c r="BG1908" t="s">
        <v>20299</v>
      </c>
      <c r="BH1908" t="s">
        <v>20300</v>
      </c>
      <c r="BI1908" t="s">
        <v>20301</v>
      </c>
      <c r="BJ1908" t="s">
        <v>101</v>
      </c>
      <c r="BK1908" t="s">
        <v>1453</v>
      </c>
      <c r="BL1908" t="s">
        <v>14960</v>
      </c>
      <c r="BM1908" t="s">
        <v>1417</v>
      </c>
      <c r="BN1908" t="s">
        <v>14623</v>
      </c>
    </row>
    <row r="1909" spans="1:66" x14ac:dyDescent="0.25">
      <c r="A1909" t="str">
        <f>HYPERLINK("https://elite.finviz.com/quote.ashx?t=CAPL&amp;ty=c&amp;p=d&amp;b=1", "CAPL")</f>
        <v>CAPL</v>
      </c>
      <c r="B1909">
        <v>6</v>
      </c>
      <c r="C1909">
        <v>127.03</v>
      </c>
      <c r="D1909">
        <v>58.53</v>
      </c>
      <c r="E1909" t="s">
        <v>20302</v>
      </c>
      <c r="F1909" t="s">
        <v>107</v>
      </c>
      <c r="G1909" t="s">
        <v>1048</v>
      </c>
      <c r="H1909" t="s">
        <v>3886</v>
      </c>
      <c r="I1909" t="s">
        <v>70</v>
      </c>
      <c r="J1909" t="s">
        <v>71</v>
      </c>
      <c r="K1909">
        <v>815.35</v>
      </c>
      <c r="L1909">
        <v>21.39</v>
      </c>
      <c r="M1909" t="s">
        <v>4809</v>
      </c>
      <c r="N1909">
        <v>5092</v>
      </c>
      <c r="O1909">
        <v>19.37</v>
      </c>
      <c r="P1909">
        <v>356.5</v>
      </c>
      <c r="R1909">
        <v>0.21</v>
      </c>
      <c r="T1909" t="s">
        <v>801</v>
      </c>
      <c r="U1909">
        <v>2.1</v>
      </c>
      <c r="V1909" t="s">
        <v>4827</v>
      </c>
      <c r="W1909" t="s">
        <v>164</v>
      </c>
      <c r="X1909" t="s">
        <v>164</v>
      </c>
      <c r="Y1909" t="s">
        <v>164</v>
      </c>
      <c r="Z1909" t="s">
        <v>20303</v>
      </c>
      <c r="AA1909">
        <v>1.1000000000000001</v>
      </c>
      <c r="AB1909" t="s">
        <v>1175</v>
      </c>
      <c r="AC1909" t="s">
        <v>4801</v>
      </c>
      <c r="AD1909" t="s">
        <v>17418</v>
      </c>
      <c r="AE1909" t="s">
        <v>17719</v>
      </c>
      <c r="AF1909" t="s">
        <v>4659</v>
      </c>
      <c r="AG1909" t="s">
        <v>5798</v>
      </c>
      <c r="AH1909" t="s">
        <v>9632</v>
      </c>
      <c r="AI1909" t="s">
        <v>20304</v>
      </c>
      <c r="AJ1909" t="s">
        <v>5549</v>
      </c>
      <c r="AK1909" t="s">
        <v>1687</v>
      </c>
      <c r="AL1909">
        <v>0.77</v>
      </c>
      <c r="AM1909">
        <v>0.41</v>
      </c>
      <c r="AO1909" t="s">
        <v>1341</v>
      </c>
      <c r="AP1909" t="s">
        <v>2742</v>
      </c>
      <c r="AQ1909" t="s">
        <v>4902</v>
      </c>
      <c r="AR1909" t="s">
        <v>1439</v>
      </c>
      <c r="AS1909" t="s">
        <v>1599</v>
      </c>
      <c r="AT1909" t="s">
        <v>4600</v>
      </c>
      <c r="AU1909" t="s">
        <v>2876</v>
      </c>
      <c r="AV1909" t="s">
        <v>13365</v>
      </c>
      <c r="AW1909" t="s">
        <v>4893</v>
      </c>
      <c r="AX1909" t="s">
        <v>8662</v>
      </c>
      <c r="AY1909" t="s">
        <v>8900</v>
      </c>
      <c r="AZ1909" t="s">
        <v>2403</v>
      </c>
      <c r="BA1909">
        <v>2.5</v>
      </c>
      <c r="BB1909">
        <v>31.46</v>
      </c>
      <c r="BC1909">
        <v>0.57999999999999996</v>
      </c>
      <c r="BD1909">
        <v>21.5</v>
      </c>
      <c r="BE1909">
        <v>21.46</v>
      </c>
      <c r="BF1909">
        <v>21.38</v>
      </c>
      <c r="BG1909" t="s">
        <v>20305</v>
      </c>
      <c r="BH1909" t="s">
        <v>15729</v>
      </c>
      <c r="BI1909" t="s">
        <v>20306</v>
      </c>
      <c r="BJ1909" t="s">
        <v>101</v>
      </c>
      <c r="BK1909" t="s">
        <v>1761</v>
      </c>
      <c r="BL1909" t="s">
        <v>7737</v>
      </c>
      <c r="BM1909" t="s">
        <v>7088</v>
      </c>
      <c r="BN1909" t="s">
        <v>14623</v>
      </c>
    </row>
    <row r="1910" spans="1:66" x14ac:dyDescent="0.25">
      <c r="A1910" t="str">
        <f>HYPERLINK("https://elite.finviz.com/quote.ashx?t=WST&amp;ty=c&amp;p=d&amp;b=1", "WST")</f>
        <v>WST</v>
      </c>
      <c r="B1910">
        <v>6</v>
      </c>
      <c r="C1910">
        <v>127.03</v>
      </c>
      <c r="D1910">
        <v>58.53</v>
      </c>
      <c r="E1910" t="s">
        <v>20307</v>
      </c>
      <c r="F1910" t="s">
        <v>195</v>
      </c>
      <c r="G1910" t="s">
        <v>428</v>
      </c>
      <c r="H1910" t="s">
        <v>2161</v>
      </c>
      <c r="I1910" t="s">
        <v>70</v>
      </c>
      <c r="J1910" t="s">
        <v>71</v>
      </c>
      <c r="K1910">
        <v>18702.349999999999</v>
      </c>
      <c r="L1910">
        <v>260.08999999999997</v>
      </c>
      <c r="M1910" t="s">
        <v>2876</v>
      </c>
      <c r="N1910">
        <v>79450</v>
      </c>
      <c r="O1910">
        <v>38.96</v>
      </c>
      <c r="P1910">
        <v>34.29</v>
      </c>
      <c r="Q1910">
        <v>4.76</v>
      </c>
      <c r="R1910">
        <v>6.32</v>
      </c>
      <c r="S1910">
        <v>6.38</v>
      </c>
      <c r="T1910" t="s">
        <v>439</v>
      </c>
      <c r="U1910">
        <v>0.84</v>
      </c>
      <c r="V1910" t="s">
        <v>324</v>
      </c>
      <c r="W1910" t="s">
        <v>6404</v>
      </c>
      <c r="X1910" t="s">
        <v>6956</v>
      </c>
      <c r="Y1910" t="s">
        <v>1026</v>
      </c>
      <c r="Z1910" t="s">
        <v>2392</v>
      </c>
      <c r="AA1910">
        <v>6.68</v>
      </c>
      <c r="AB1910" t="s">
        <v>11528</v>
      </c>
      <c r="AC1910" t="s">
        <v>2133</v>
      </c>
      <c r="AD1910" t="s">
        <v>3672</v>
      </c>
      <c r="AE1910" t="s">
        <v>5425</v>
      </c>
      <c r="AF1910" t="s">
        <v>3871</v>
      </c>
      <c r="AG1910" t="s">
        <v>10114</v>
      </c>
      <c r="AH1910" t="s">
        <v>5557</v>
      </c>
      <c r="AI1910" t="s">
        <v>11275</v>
      </c>
      <c r="AJ1910" t="s">
        <v>164</v>
      </c>
      <c r="AK1910" t="s">
        <v>20308</v>
      </c>
      <c r="AL1910">
        <v>2.78</v>
      </c>
      <c r="AM1910">
        <v>2.08</v>
      </c>
      <c r="AN1910">
        <v>0.11</v>
      </c>
      <c r="AO1910" t="s">
        <v>13010</v>
      </c>
      <c r="AP1910" t="s">
        <v>5793</v>
      </c>
      <c r="AQ1910" t="s">
        <v>5976</v>
      </c>
      <c r="AR1910" t="s">
        <v>3208</v>
      </c>
      <c r="AS1910" t="s">
        <v>352</v>
      </c>
      <c r="AT1910" t="s">
        <v>2333</v>
      </c>
      <c r="AU1910" t="s">
        <v>5611</v>
      </c>
      <c r="AV1910" t="s">
        <v>2384</v>
      </c>
      <c r="AW1910" t="s">
        <v>4802</v>
      </c>
      <c r="AX1910" t="s">
        <v>12158</v>
      </c>
      <c r="AY1910" t="s">
        <v>11825</v>
      </c>
      <c r="AZ1910" t="s">
        <v>266</v>
      </c>
      <c r="BA1910">
        <v>1.56</v>
      </c>
      <c r="BB1910">
        <v>697.94</v>
      </c>
      <c r="BC1910">
        <v>0.4</v>
      </c>
      <c r="BD1910">
        <v>254.48</v>
      </c>
      <c r="BE1910">
        <v>260.27999999999997</v>
      </c>
      <c r="BF1910">
        <v>255.23</v>
      </c>
      <c r="BG1910" t="s">
        <v>20309</v>
      </c>
      <c r="BH1910" t="s">
        <v>19024</v>
      </c>
      <c r="BI1910" t="s">
        <v>20310</v>
      </c>
      <c r="BJ1910" t="s">
        <v>101</v>
      </c>
      <c r="BK1910" t="s">
        <v>1477</v>
      </c>
      <c r="BL1910" t="s">
        <v>10498</v>
      </c>
      <c r="BM1910" t="s">
        <v>20311</v>
      </c>
      <c r="BN1910" t="s">
        <v>14623</v>
      </c>
    </row>
    <row r="1911" spans="1:66" x14ac:dyDescent="0.25">
      <c r="A1911" t="str">
        <f>HYPERLINK("https://elite.finviz.com/quote.ashx?t=ACLX&amp;ty=c&amp;p=d&amp;b=1", "ACLX")</f>
        <v>ACLX</v>
      </c>
      <c r="B1911">
        <v>6</v>
      </c>
      <c r="C1911">
        <v>127.03</v>
      </c>
      <c r="D1911">
        <v>58.54</v>
      </c>
      <c r="E1911" t="s">
        <v>20312</v>
      </c>
      <c r="F1911" t="s">
        <v>67</v>
      </c>
      <c r="G1911" t="s">
        <v>428</v>
      </c>
      <c r="H1911" t="s">
        <v>429</v>
      </c>
      <c r="I1911" t="s">
        <v>70</v>
      </c>
      <c r="J1911" t="s">
        <v>321</v>
      </c>
      <c r="K1911">
        <v>4310.63</v>
      </c>
      <c r="L1911">
        <v>77.73</v>
      </c>
      <c r="M1911" t="s">
        <v>2899</v>
      </c>
      <c r="N1911">
        <v>37063</v>
      </c>
      <c r="R1911">
        <v>75.650000000000006</v>
      </c>
      <c r="S1911">
        <v>10.97</v>
      </c>
      <c r="AA1911">
        <v>-3.41</v>
      </c>
      <c r="AB1911" t="s">
        <v>5574</v>
      </c>
      <c r="AC1911" t="s">
        <v>20313</v>
      </c>
      <c r="AD1911" t="s">
        <v>72</v>
      </c>
      <c r="AE1911" t="s">
        <v>10569</v>
      </c>
      <c r="AH1911" t="s">
        <v>20314</v>
      </c>
      <c r="AI1911" t="s">
        <v>2772</v>
      </c>
      <c r="AJ1911" t="s">
        <v>4955</v>
      </c>
      <c r="AK1911" t="s">
        <v>20315</v>
      </c>
      <c r="AL1911">
        <v>3.81</v>
      </c>
      <c r="AM1911">
        <v>3.81</v>
      </c>
      <c r="AN1911">
        <v>0.13</v>
      </c>
      <c r="AO1911" t="s">
        <v>20316</v>
      </c>
      <c r="AP1911" t="s">
        <v>20317</v>
      </c>
      <c r="AQ1911" t="s">
        <v>20318</v>
      </c>
      <c r="AR1911" t="s">
        <v>2473</v>
      </c>
      <c r="AS1911" t="s">
        <v>3482</v>
      </c>
      <c r="AT1911" t="s">
        <v>3542</v>
      </c>
      <c r="AU1911" t="s">
        <v>5114</v>
      </c>
      <c r="AV1911" t="s">
        <v>7301</v>
      </c>
      <c r="AW1911" t="s">
        <v>6105</v>
      </c>
      <c r="AX1911" t="s">
        <v>2122</v>
      </c>
      <c r="AY1911" t="s">
        <v>14765</v>
      </c>
      <c r="AZ1911" t="s">
        <v>13411</v>
      </c>
      <c r="BA1911">
        <v>1.1200000000000001</v>
      </c>
      <c r="BB1911">
        <v>511.59</v>
      </c>
      <c r="BC1911">
        <v>0.26</v>
      </c>
      <c r="BD1911">
        <v>78.400000000000006</v>
      </c>
      <c r="BE1911">
        <v>79.430000000000007</v>
      </c>
      <c r="BF1911">
        <v>77.760000000000005</v>
      </c>
      <c r="BG1911" t="s">
        <v>20319</v>
      </c>
      <c r="BH1911" t="s">
        <v>14765</v>
      </c>
      <c r="BI1911" t="s">
        <v>20320</v>
      </c>
      <c r="BJ1911" t="s">
        <v>101</v>
      </c>
      <c r="BK1911" t="s">
        <v>9006</v>
      </c>
      <c r="BL1911" t="s">
        <v>4648</v>
      </c>
      <c r="BM1911" t="s">
        <v>6783</v>
      </c>
      <c r="BN1911" t="s">
        <v>14623</v>
      </c>
    </row>
    <row r="1912" spans="1:66" x14ac:dyDescent="0.25">
      <c r="A1912" t="str">
        <f>HYPERLINK("https://elite.finviz.com/quote.ashx?t=THG&amp;ty=c&amp;p=d&amp;b=1", "THG")</f>
        <v>THG</v>
      </c>
      <c r="B1912">
        <v>6</v>
      </c>
      <c r="C1912">
        <v>127.03</v>
      </c>
      <c r="D1912">
        <v>58.55</v>
      </c>
      <c r="E1912" t="s">
        <v>20321</v>
      </c>
      <c r="F1912" t="s">
        <v>107</v>
      </c>
      <c r="G1912" t="s">
        <v>550</v>
      </c>
      <c r="H1912" t="s">
        <v>4407</v>
      </c>
      <c r="I1912" t="s">
        <v>70</v>
      </c>
      <c r="J1912" t="s">
        <v>71</v>
      </c>
      <c r="K1912">
        <v>6400.05</v>
      </c>
      <c r="L1912">
        <v>178.92</v>
      </c>
      <c r="M1912" t="s">
        <v>2201</v>
      </c>
      <c r="N1912">
        <v>32148</v>
      </c>
      <c r="O1912">
        <v>11.78</v>
      </c>
      <c r="P1912">
        <v>10.73</v>
      </c>
      <c r="Q1912">
        <v>1.35</v>
      </c>
      <c r="R1912">
        <v>1</v>
      </c>
      <c r="S1912">
        <v>2</v>
      </c>
      <c r="T1912" t="s">
        <v>5968</v>
      </c>
      <c r="U1912">
        <v>3.6</v>
      </c>
      <c r="V1912" t="s">
        <v>2620</v>
      </c>
      <c r="W1912" t="s">
        <v>3303</v>
      </c>
      <c r="X1912" t="s">
        <v>3429</v>
      </c>
      <c r="Y1912" t="s">
        <v>906</v>
      </c>
      <c r="Z1912" t="s">
        <v>17206</v>
      </c>
      <c r="AA1912">
        <v>15.19</v>
      </c>
      <c r="AB1912" t="s">
        <v>2571</v>
      </c>
      <c r="AC1912" t="s">
        <v>8016</v>
      </c>
      <c r="AD1912" t="s">
        <v>9159</v>
      </c>
      <c r="AE1912" t="s">
        <v>5045</v>
      </c>
      <c r="AF1912" t="s">
        <v>3951</v>
      </c>
      <c r="AG1912" t="s">
        <v>4824</v>
      </c>
      <c r="AH1912" t="s">
        <v>1207</v>
      </c>
      <c r="AI1912" t="s">
        <v>803</v>
      </c>
      <c r="AJ1912" t="s">
        <v>6013</v>
      </c>
      <c r="AK1912" t="s">
        <v>11049</v>
      </c>
      <c r="AL1912">
        <v>0.37</v>
      </c>
      <c r="AN1912">
        <v>0.24</v>
      </c>
      <c r="AP1912" t="s">
        <v>292</v>
      </c>
      <c r="AQ1912" t="s">
        <v>2428</v>
      </c>
      <c r="AR1912" t="s">
        <v>3494</v>
      </c>
      <c r="AS1912" t="s">
        <v>2175</v>
      </c>
      <c r="AT1912" t="s">
        <v>3447</v>
      </c>
      <c r="AU1912" t="s">
        <v>3205</v>
      </c>
      <c r="AV1912" t="s">
        <v>2447</v>
      </c>
      <c r="AW1912" t="s">
        <v>4150</v>
      </c>
      <c r="AX1912" t="s">
        <v>6344</v>
      </c>
      <c r="AY1912" t="s">
        <v>4150</v>
      </c>
      <c r="AZ1912" t="s">
        <v>7199</v>
      </c>
      <c r="BA1912">
        <v>1.89</v>
      </c>
      <c r="BB1912">
        <v>246.75</v>
      </c>
      <c r="BC1912">
        <v>0.46</v>
      </c>
      <c r="BD1912">
        <v>175.77</v>
      </c>
      <c r="BE1912">
        <v>179.22</v>
      </c>
      <c r="BF1912">
        <v>175.82</v>
      </c>
      <c r="BG1912" t="s">
        <v>20322</v>
      </c>
      <c r="BH1912" t="s">
        <v>4150</v>
      </c>
      <c r="BI1912" t="s">
        <v>20323</v>
      </c>
      <c r="BJ1912" t="s">
        <v>101</v>
      </c>
      <c r="BK1912" t="s">
        <v>3126</v>
      </c>
      <c r="BL1912" t="s">
        <v>2789</v>
      </c>
      <c r="BM1912" t="s">
        <v>4832</v>
      </c>
      <c r="BN1912" t="s">
        <v>14623</v>
      </c>
    </row>
    <row r="1913" spans="1:66" x14ac:dyDescent="0.25">
      <c r="A1913" t="str">
        <f>HYPERLINK("https://elite.finviz.com/quote.ashx?t=HOFT&amp;ty=c&amp;p=d&amp;b=1", "HOFT")</f>
        <v>HOFT</v>
      </c>
      <c r="B1913">
        <v>6</v>
      </c>
      <c r="C1913">
        <v>127.03</v>
      </c>
      <c r="D1913">
        <v>58.57</v>
      </c>
      <c r="E1913" t="s">
        <v>20324</v>
      </c>
      <c r="F1913" t="s">
        <v>107</v>
      </c>
      <c r="G1913" t="s">
        <v>813</v>
      </c>
      <c r="H1913" t="s">
        <v>3866</v>
      </c>
      <c r="I1913" t="s">
        <v>70</v>
      </c>
      <c r="J1913" t="s">
        <v>321</v>
      </c>
      <c r="K1913">
        <v>118.36</v>
      </c>
      <c r="L1913">
        <v>11.01</v>
      </c>
      <c r="M1913" t="s">
        <v>8425</v>
      </c>
      <c r="N1913">
        <v>12616</v>
      </c>
      <c r="P1913">
        <v>9.33</v>
      </c>
      <c r="R1913">
        <v>0.31</v>
      </c>
      <c r="S1913">
        <v>0.61</v>
      </c>
      <c r="T1913" t="s">
        <v>4518</v>
      </c>
      <c r="U1913">
        <v>0.92</v>
      </c>
      <c r="V1913" t="s">
        <v>7552</v>
      </c>
      <c r="W1913" t="s">
        <v>3454</v>
      </c>
      <c r="X1913" t="s">
        <v>6392</v>
      </c>
      <c r="Y1913" t="s">
        <v>4815</v>
      </c>
      <c r="AA1913">
        <v>-1.22</v>
      </c>
      <c r="AE1913" t="s">
        <v>10208</v>
      </c>
      <c r="AF1913" t="s">
        <v>20325</v>
      </c>
      <c r="AG1913" t="s">
        <v>4053</v>
      </c>
      <c r="AH1913" t="s">
        <v>20326</v>
      </c>
      <c r="AI1913" t="s">
        <v>20327</v>
      </c>
      <c r="AJ1913" t="s">
        <v>3336</v>
      </c>
      <c r="AK1913" t="s">
        <v>18862</v>
      </c>
      <c r="AL1913">
        <v>2.99</v>
      </c>
      <c r="AM1913">
        <v>1.37</v>
      </c>
      <c r="AN1913">
        <v>0.26</v>
      </c>
      <c r="AO1913" t="s">
        <v>10516</v>
      </c>
      <c r="AP1913" t="s">
        <v>2998</v>
      </c>
      <c r="AQ1913" t="s">
        <v>9087</v>
      </c>
      <c r="AR1913" t="s">
        <v>4204</v>
      </c>
      <c r="AS1913" t="s">
        <v>2523</v>
      </c>
      <c r="AT1913" t="s">
        <v>2821</v>
      </c>
      <c r="AU1913" t="s">
        <v>7942</v>
      </c>
      <c r="AV1913" t="s">
        <v>4595</v>
      </c>
      <c r="AW1913" t="s">
        <v>103</v>
      </c>
      <c r="AX1913" t="s">
        <v>6437</v>
      </c>
      <c r="AY1913" t="s">
        <v>20328</v>
      </c>
      <c r="AZ1913" t="s">
        <v>1882</v>
      </c>
      <c r="BA1913">
        <v>1</v>
      </c>
      <c r="BB1913">
        <v>81.3</v>
      </c>
      <c r="BC1913">
        <v>0.55000000000000004</v>
      </c>
      <c r="BD1913">
        <v>11.04</v>
      </c>
      <c r="BE1913">
        <v>11.14</v>
      </c>
      <c r="BF1913">
        <v>10.6</v>
      </c>
      <c r="BG1913" t="s">
        <v>20329</v>
      </c>
      <c r="BH1913" t="s">
        <v>20330</v>
      </c>
      <c r="BI1913" t="s">
        <v>20331</v>
      </c>
      <c r="BJ1913" t="s">
        <v>101</v>
      </c>
      <c r="BK1913" t="s">
        <v>10208</v>
      </c>
      <c r="BL1913" t="s">
        <v>4267</v>
      </c>
      <c r="BM1913" t="s">
        <v>20332</v>
      </c>
      <c r="BN1913" t="s">
        <v>14623</v>
      </c>
    </row>
    <row r="1914" spans="1:66" x14ac:dyDescent="0.25">
      <c r="A1914" t="str">
        <f>HYPERLINK("https://elite.finviz.com/quote.ashx?t=KVAC&amp;ty=c&amp;p=d&amp;b=1", "KVAC")</f>
        <v>KVAC</v>
      </c>
      <c r="B1914">
        <v>6</v>
      </c>
      <c r="C1914">
        <v>127.03</v>
      </c>
      <c r="D1914">
        <v>58.58</v>
      </c>
      <c r="E1914" t="s">
        <v>20333</v>
      </c>
      <c r="F1914" t="s">
        <v>107</v>
      </c>
      <c r="G1914" t="s">
        <v>550</v>
      </c>
      <c r="H1914" t="s">
        <v>2120</v>
      </c>
      <c r="I1914" t="s">
        <v>70</v>
      </c>
      <c r="J1914" t="s">
        <v>321</v>
      </c>
      <c r="K1914">
        <v>107.18</v>
      </c>
      <c r="L1914">
        <v>11.6</v>
      </c>
      <c r="M1914" t="s">
        <v>164</v>
      </c>
      <c r="N1914">
        <v>723</v>
      </c>
      <c r="O1914">
        <v>45.08</v>
      </c>
      <c r="S1914">
        <v>1.87</v>
      </c>
      <c r="Z1914" t="s">
        <v>164</v>
      </c>
      <c r="AA1914">
        <v>0.26</v>
      </c>
      <c r="AJ1914" t="s">
        <v>164</v>
      </c>
      <c r="AK1914" t="s">
        <v>20334</v>
      </c>
      <c r="AL1914">
        <v>0.02</v>
      </c>
      <c r="AM1914">
        <v>0.02</v>
      </c>
      <c r="AN1914">
        <v>0.03</v>
      </c>
      <c r="AR1914" t="s">
        <v>2215</v>
      </c>
      <c r="AS1914" t="s">
        <v>211</v>
      </c>
      <c r="AT1914" t="s">
        <v>6842</v>
      </c>
      <c r="AU1914" t="s">
        <v>6056</v>
      </c>
      <c r="AV1914" t="s">
        <v>4173</v>
      </c>
      <c r="AW1914" t="s">
        <v>10808</v>
      </c>
      <c r="AX1914" t="s">
        <v>3500</v>
      </c>
      <c r="AY1914" t="s">
        <v>10808</v>
      </c>
      <c r="AZ1914" t="s">
        <v>2446</v>
      </c>
      <c r="BB1914">
        <v>12.6</v>
      </c>
      <c r="BC1914">
        <v>0.2</v>
      </c>
      <c r="BD1914">
        <v>11.6</v>
      </c>
      <c r="BE1914">
        <v>11.85</v>
      </c>
      <c r="BF1914">
        <v>11.85</v>
      </c>
      <c r="BG1914" t="s">
        <v>20335</v>
      </c>
      <c r="BH1914" t="s">
        <v>10808</v>
      </c>
      <c r="BI1914" t="s">
        <v>2867</v>
      </c>
      <c r="BJ1914" t="s">
        <v>101</v>
      </c>
      <c r="BK1914" t="s">
        <v>2494</v>
      </c>
      <c r="BL1914" t="s">
        <v>9186</v>
      </c>
      <c r="BM1914" t="s">
        <v>6234</v>
      </c>
      <c r="BN1914" t="s">
        <v>14623</v>
      </c>
    </row>
    <row r="1915" spans="1:66" x14ac:dyDescent="0.25">
      <c r="A1915" t="str">
        <f>HYPERLINK("https://elite.finviz.com/quote.ashx?t=PGAC&amp;ty=c&amp;p=d&amp;b=1", "PGAC")</f>
        <v>PGAC</v>
      </c>
      <c r="B1915">
        <v>6</v>
      </c>
      <c r="C1915">
        <v>127.03</v>
      </c>
      <c r="D1915">
        <v>58.59</v>
      </c>
      <c r="E1915" t="s">
        <v>20336</v>
      </c>
      <c r="F1915" t="s">
        <v>107</v>
      </c>
      <c r="G1915" t="s">
        <v>550</v>
      </c>
      <c r="H1915" t="s">
        <v>2120</v>
      </c>
      <c r="I1915" t="s">
        <v>70</v>
      </c>
      <c r="J1915" t="s">
        <v>321</v>
      </c>
      <c r="K1915">
        <v>113.17</v>
      </c>
      <c r="L1915">
        <v>10.26</v>
      </c>
      <c r="M1915" t="s">
        <v>164</v>
      </c>
      <c r="N1915">
        <v>0</v>
      </c>
      <c r="O1915">
        <v>85.93</v>
      </c>
      <c r="S1915">
        <v>1.29</v>
      </c>
      <c r="AA1915">
        <v>0.12</v>
      </c>
      <c r="AJ1915" t="s">
        <v>164</v>
      </c>
      <c r="AK1915" t="s">
        <v>4379</v>
      </c>
      <c r="AL1915">
        <v>1.35</v>
      </c>
      <c r="AM1915">
        <v>1.35</v>
      </c>
      <c r="AN1915">
        <v>0</v>
      </c>
      <c r="AR1915" t="s">
        <v>2757</v>
      </c>
      <c r="AS1915" t="s">
        <v>1324</v>
      </c>
      <c r="AT1915" t="s">
        <v>430</v>
      </c>
      <c r="AU1915" t="s">
        <v>4901</v>
      </c>
      <c r="AV1915" t="s">
        <v>2175</v>
      </c>
      <c r="AW1915" t="s">
        <v>2003</v>
      </c>
      <c r="AX1915" t="s">
        <v>1025</v>
      </c>
      <c r="AY1915" t="s">
        <v>2003</v>
      </c>
      <c r="AZ1915" t="s">
        <v>5592</v>
      </c>
      <c r="BB1915">
        <v>30.37</v>
      </c>
      <c r="BC1915">
        <v>0</v>
      </c>
      <c r="BD1915">
        <v>10.26</v>
      </c>
      <c r="BE1915">
        <v>10.26</v>
      </c>
      <c r="BF1915">
        <v>10.26</v>
      </c>
      <c r="BG1915" t="s">
        <v>20337</v>
      </c>
      <c r="BH1915" t="s">
        <v>2003</v>
      </c>
      <c r="BI1915" t="s">
        <v>5592</v>
      </c>
      <c r="BJ1915" t="s">
        <v>101</v>
      </c>
      <c r="BK1915" t="s">
        <v>679</v>
      </c>
      <c r="BN1915" t="s">
        <v>14623</v>
      </c>
    </row>
    <row r="1916" spans="1:66" x14ac:dyDescent="0.25">
      <c r="A1916" t="str">
        <f>HYPERLINK("https://elite.finviz.com/quote.ashx?t=PLUT&amp;ty=c&amp;p=d&amp;b=1", "PLUT")</f>
        <v>PLUT</v>
      </c>
      <c r="B1916">
        <v>6</v>
      </c>
      <c r="C1916">
        <v>127.03</v>
      </c>
      <c r="D1916">
        <v>58.63</v>
      </c>
      <c r="E1916" t="s">
        <v>20338</v>
      </c>
      <c r="F1916" t="s">
        <v>107</v>
      </c>
      <c r="G1916" t="s">
        <v>550</v>
      </c>
      <c r="H1916" t="s">
        <v>551</v>
      </c>
      <c r="I1916" t="s">
        <v>70</v>
      </c>
      <c r="J1916" t="s">
        <v>321</v>
      </c>
      <c r="L1916">
        <v>3.39</v>
      </c>
      <c r="M1916" t="s">
        <v>6593</v>
      </c>
      <c r="N1916">
        <v>2824</v>
      </c>
      <c r="AR1916" t="s">
        <v>5618</v>
      </c>
      <c r="AS1916" t="s">
        <v>537</v>
      </c>
      <c r="AT1916" t="s">
        <v>238</v>
      </c>
      <c r="AU1916" t="s">
        <v>14933</v>
      </c>
      <c r="AV1916" t="s">
        <v>2133</v>
      </c>
      <c r="AW1916" t="s">
        <v>7746</v>
      </c>
      <c r="AX1916" t="s">
        <v>8546</v>
      </c>
      <c r="AY1916" t="s">
        <v>19360</v>
      </c>
      <c r="AZ1916" t="s">
        <v>20339</v>
      </c>
      <c r="BB1916">
        <v>43.06</v>
      </c>
      <c r="BC1916">
        <v>0.23</v>
      </c>
      <c r="BD1916">
        <v>3.19</v>
      </c>
      <c r="BE1916">
        <v>3.26</v>
      </c>
      <c r="BF1916">
        <v>3.19</v>
      </c>
      <c r="BG1916" t="s">
        <v>20340</v>
      </c>
      <c r="BH1916" t="s">
        <v>19360</v>
      </c>
      <c r="BI1916" t="s">
        <v>20339</v>
      </c>
      <c r="BJ1916" t="s">
        <v>101</v>
      </c>
      <c r="BK1916" t="s">
        <v>17664</v>
      </c>
      <c r="BL1916" t="s">
        <v>672</v>
      </c>
      <c r="BN1916" t="s">
        <v>14623</v>
      </c>
    </row>
    <row r="1917" spans="1:66" x14ac:dyDescent="0.25">
      <c r="A1917" t="str">
        <f>HYPERLINK("https://elite.finviz.com/quote.ashx?t=IMDX&amp;ty=c&amp;p=d&amp;b=1", "IMDX")</f>
        <v>IMDX</v>
      </c>
      <c r="B1917">
        <v>6</v>
      </c>
      <c r="C1917">
        <v>127.03</v>
      </c>
      <c r="D1917">
        <v>58.65</v>
      </c>
      <c r="E1917" t="s">
        <v>20341</v>
      </c>
      <c r="F1917" t="s">
        <v>107</v>
      </c>
      <c r="G1917" t="s">
        <v>428</v>
      </c>
      <c r="H1917" t="s">
        <v>4202</v>
      </c>
      <c r="I1917" t="s">
        <v>70</v>
      </c>
      <c r="J1917" t="s">
        <v>321</v>
      </c>
      <c r="K1917">
        <v>92.73</v>
      </c>
      <c r="L1917">
        <v>3.24</v>
      </c>
      <c r="M1917" t="s">
        <v>1202</v>
      </c>
      <c r="N1917">
        <v>5614</v>
      </c>
      <c r="R1917">
        <v>21.77</v>
      </c>
      <c r="S1917">
        <v>84.44</v>
      </c>
      <c r="AA1917">
        <v>-3.48</v>
      </c>
      <c r="AB1917" t="s">
        <v>3643</v>
      </c>
      <c r="AC1917" t="s">
        <v>662</v>
      </c>
      <c r="AD1917" t="s">
        <v>17539</v>
      </c>
      <c r="AE1917" t="s">
        <v>20342</v>
      </c>
      <c r="AF1917" t="s">
        <v>8830</v>
      </c>
      <c r="AH1917" t="s">
        <v>20343</v>
      </c>
      <c r="AI1917" t="s">
        <v>17278</v>
      </c>
      <c r="AJ1917" t="s">
        <v>164</v>
      </c>
      <c r="AK1917" t="s">
        <v>20344</v>
      </c>
      <c r="AL1917">
        <v>4.04</v>
      </c>
      <c r="AM1917">
        <v>3.93</v>
      </c>
      <c r="AN1917">
        <v>3.06</v>
      </c>
      <c r="AO1917" t="s">
        <v>7106</v>
      </c>
      <c r="AP1917" t="s">
        <v>20345</v>
      </c>
      <c r="AQ1917" t="s">
        <v>20346</v>
      </c>
      <c r="AR1917" t="s">
        <v>7616</v>
      </c>
      <c r="AS1917" t="s">
        <v>5912</v>
      </c>
      <c r="AT1917" t="s">
        <v>1927</v>
      </c>
      <c r="AU1917" t="s">
        <v>980</v>
      </c>
      <c r="AV1917" t="s">
        <v>4153</v>
      </c>
      <c r="AW1917" t="s">
        <v>8829</v>
      </c>
      <c r="AX1917" t="s">
        <v>3137</v>
      </c>
      <c r="AY1917" t="s">
        <v>8074</v>
      </c>
      <c r="AZ1917" t="s">
        <v>6318</v>
      </c>
      <c r="BA1917">
        <v>2</v>
      </c>
      <c r="BB1917">
        <v>41.75</v>
      </c>
      <c r="BC1917">
        <v>0.48</v>
      </c>
      <c r="BD1917">
        <v>3.26</v>
      </c>
      <c r="BE1917">
        <v>3.22</v>
      </c>
      <c r="BF1917">
        <v>3.22</v>
      </c>
      <c r="BG1917" t="s">
        <v>20347</v>
      </c>
      <c r="BH1917" t="s">
        <v>2156</v>
      </c>
      <c r="BI1917" t="s">
        <v>6318</v>
      </c>
      <c r="BJ1917" t="s">
        <v>101</v>
      </c>
      <c r="BK1917" t="s">
        <v>3350</v>
      </c>
      <c r="BL1917" t="s">
        <v>4308</v>
      </c>
      <c r="BM1917" t="s">
        <v>238</v>
      </c>
      <c r="BN1917" t="s">
        <v>14623</v>
      </c>
    </row>
    <row r="1918" spans="1:66" x14ac:dyDescent="0.25">
      <c r="A1918" t="str">
        <f>HYPERLINK("https://elite.finviz.com/quote.ashx?t=FDSB&amp;ty=c&amp;p=d&amp;b=1", "FDSB")</f>
        <v>FDSB</v>
      </c>
      <c r="B1918">
        <v>6</v>
      </c>
      <c r="C1918">
        <v>127.03</v>
      </c>
      <c r="D1918">
        <v>58.66</v>
      </c>
      <c r="E1918" t="s">
        <v>20348</v>
      </c>
      <c r="F1918" t="s">
        <v>107</v>
      </c>
      <c r="G1918" t="s">
        <v>550</v>
      </c>
      <c r="H1918" t="s">
        <v>697</v>
      </c>
      <c r="I1918" t="s">
        <v>70</v>
      </c>
      <c r="J1918" t="s">
        <v>321</v>
      </c>
      <c r="K1918">
        <v>77.28</v>
      </c>
      <c r="L1918">
        <v>13.9</v>
      </c>
      <c r="M1918" t="s">
        <v>141</v>
      </c>
      <c r="N1918">
        <v>14</v>
      </c>
      <c r="O1918">
        <v>27.93</v>
      </c>
      <c r="R1918">
        <v>3.03</v>
      </c>
      <c r="S1918">
        <v>0.59</v>
      </c>
      <c r="AA1918">
        <v>0.5</v>
      </c>
      <c r="AF1918" t="s">
        <v>8530</v>
      </c>
      <c r="AH1918" t="s">
        <v>13913</v>
      </c>
      <c r="AJ1918" t="s">
        <v>7709</v>
      </c>
      <c r="AK1918" t="s">
        <v>7834</v>
      </c>
      <c r="AL1918">
        <v>19.22</v>
      </c>
      <c r="AN1918">
        <v>0</v>
      </c>
      <c r="AP1918" t="s">
        <v>2584</v>
      </c>
      <c r="AQ1918" t="s">
        <v>9123</v>
      </c>
      <c r="AR1918" t="s">
        <v>6463</v>
      </c>
      <c r="AS1918" t="s">
        <v>1763</v>
      </c>
      <c r="AT1918" t="s">
        <v>629</v>
      </c>
      <c r="AU1918" t="s">
        <v>648</v>
      </c>
      <c r="AV1918" t="s">
        <v>6945</v>
      </c>
      <c r="AW1918" t="s">
        <v>8543</v>
      </c>
      <c r="AX1918" t="s">
        <v>4293</v>
      </c>
      <c r="AY1918" t="s">
        <v>8543</v>
      </c>
      <c r="AZ1918" t="s">
        <v>5654</v>
      </c>
      <c r="BB1918">
        <v>13.18</v>
      </c>
      <c r="BC1918">
        <v>0</v>
      </c>
      <c r="BD1918">
        <v>13.85</v>
      </c>
      <c r="BE1918">
        <v>13.85</v>
      </c>
      <c r="BF1918">
        <v>13.85</v>
      </c>
      <c r="BG1918" t="s">
        <v>20349</v>
      </c>
      <c r="BH1918" t="s">
        <v>8543</v>
      </c>
      <c r="BI1918" t="s">
        <v>17604</v>
      </c>
      <c r="BJ1918" t="s">
        <v>101</v>
      </c>
      <c r="BK1918" t="s">
        <v>4390</v>
      </c>
      <c r="BL1918" t="s">
        <v>1297</v>
      </c>
      <c r="BM1918" t="s">
        <v>17679</v>
      </c>
      <c r="BN1918" t="s">
        <v>14623</v>
      </c>
    </row>
    <row r="1919" spans="1:66" x14ac:dyDescent="0.25">
      <c r="A1919" t="str">
        <f>HYPERLINK("https://elite.finviz.com/quote.ashx?t=RAPP&amp;ty=c&amp;p=d&amp;b=1", "RAPP")</f>
        <v>RAPP</v>
      </c>
      <c r="B1919">
        <v>6</v>
      </c>
      <c r="C1919">
        <v>127.03</v>
      </c>
      <c r="D1919">
        <v>58.66</v>
      </c>
      <c r="E1919" t="s">
        <v>20350</v>
      </c>
      <c r="F1919" t="s">
        <v>67</v>
      </c>
      <c r="G1919" t="s">
        <v>428</v>
      </c>
      <c r="H1919" t="s">
        <v>429</v>
      </c>
      <c r="I1919" t="s">
        <v>70</v>
      </c>
      <c r="J1919" t="s">
        <v>321</v>
      </c>
      <c r="K1919">
        <v>1178.08</v>
      </c>
      <c r="L1919">
        <v>25.55</v>
      </c>
      <c r="M1919" t="s">
        <v>4255</v>
      </c>
      <c r="N1919">
        <v>108351</v>
      </c>
      <c r="S1919">
        <v>3.54</v>
      </c>
      <c r="AA1919">
        <v>-2.46</v>
      </c>
      <c r="AB1919" t="s">
        <v>20351</v>
      </c>
      <c r="AD1919" t="s">
        <v>16867</v>
      </c>
      <c r="AI1919" t="s">
        <v>3982</v>
      </c>
      <c r="AJ1919" t="s">
        <v>4703</v>
      </c>
      <c r="AK1919" t="s">
        <v>20352</v>
      </c>
      <c r="AL1919">
        <v>22.75</v>
      </c>
      <c r="AM1919">
        <v>22.75</v>
      </c>
      <c r="AN1919">
        <v>0.05</v>
      </c>
      <c r="AR1919" t="s">
        <v>8808</v>
      </c>
      <c r="AS1919" t="s">
        <v>8379</v>
      </c>
      <c r="AT1919" t="s">
        <v>2887</v>
      </c>
      <c r="AU1919" t="s">
        <v>5689</v>
      </c>
      <c r="AV1919" t="s">
        <v>3200</v>
      </c>
      <c r="AW1919" t="s">
        <v>20353</v>
      </c>
      <c r="AX1919" t="s">
        <v>20354</v>
      </c>
      <c r="AY1919" t="s">
        <v>20353</v>
      </c>
      <c r="AZ1919" t="s">
        <v>20355</v>
      </c>
      <c r="BA1919">
        <v>1</v>
      </c>
      <c r="BB1919">
        <v>659.65</v>
      </c>
      <c r="BC1919">
        <v>0.57999999999999996</v>
      </c>
      <c r="BD1919">
        <v>24.97</v>
      </c>
      <c r="BE1919">
        <v>25.85</v>
      </c>
      <c r="BF1919">
        <v>24.6</v>
      </c>
      <c r="BG1919" t="s">
        <v>20356</v>
      </c>
      <c r="BH1919" t="s">
        <v>20353</v>
      </c>
      <c r="BI1919" t="s">
        <v>20355</v>
      </c>
      <c r="BJ1919" t="s">
        <v>101</v>
      </c>
      <c r="BK1919" t="s">
        <v>11220</v>
      </c>
      <c r="BL1919" t="s">
        <v>20357</v>
      </c>
      <c r="BM1919" t="s">
        <v>14157</v>
      </c>
      <c r="BN1919" t="s">
        <v>14623</v>
      </c>
    </row>
    <row r="1920" spans="1:66" x14ac:dyDescent="0.25">
      <c r="A1920" t="str">
        <f>HYPERLINK("https://elite.finviz.com/quote.ashx?t=GPOR&amp;ty=c&amp;p=d&amp;b=1", "GPOR")</f>
        <v>GPOR</v>
      </c>
      <c r="B1920">
        <v>6</v>
      </c>
      <c r="C1920">
        <v>127.03</v>
      </c>
      <c r="D1920">
        <v>58.69</v>
      </c>
      <c r="E1920" t="s">
        <v>20358</v>
      </c>
      <c r="F1920" t="s">
        <v>67</v>
      </c>
      <c r="G1920" t="s">
        <v>1048</v>
      </c>
      <c r="H1920" t="s">
        <v>1049</v>
      </c>
      <c r="I1920" t="s">
        <v>70</v>
      </c>
      <c r="J1920" t="s">
        <v>71</v>
      </c>
      <c r="K1920">
        <v>3133.01</v>
      </c>
      <c r="L1920">
        <v>178.4</v>
      </c>
      <c r="M1920" t="s">
        <v>3447</v>
      </c>
      <c r="N1920">
        <v>29319</v>
      </c>
      <c r="P1920">
        <v>6.27</v>
      </c>
      <c r="R1920">
        <v>2.71</v>
      </c>
      <c r="S1920">
        <v>1.78</v>
      </c>
      <c r="AA1920">
        <v>-7.19</v>
      </c>
      <c r="AC1920" t="s">
        <v>5426</v>
      </c>
      <c r="AD1920" t="s">
        <v>1424</v>
      </c>
      <c r="AE1920" t="s">
        <v>116</v>
      </c>
      <c r="AF1920" t="s">
        <v>8770</v>
      </c>
      <c r="AG1920" t="s">
        <v>7230</v>
      </c>
      <c r="AH1920" t="s">
        <v>8685</v>
      </c>
      <c r="AI1920" t="s">
        <v>4659</v>
      </c>
      <c r="AJ1920" t="s">
        <v>19501</v>
      </c>
      <c r="AK1920" t="s">
        <v>20359</v>
      </c>
      <c r="AL1920">
        <v>0.51</v>
      </c>
      <c r="AM1920">
        <v>0.51</v>
      </c>
      <c r="AN1920">
        <v>0.39</v>
      </c>
      <c r="AO1920" t="s">
        <v>312</v>
      </c>
      <c r="AP1920" t="s">
        <v>20175</v>
      </c>
      <c r="AQ1920" t="s">
        <v>6088</v>
      </c>
      <c r="AR1920" t="s">
        <v>4687</v>
      </c>
      <c r="AS1920" t="s">
        <v>5780</v>
      </c>
      <c r="AT1920" t="s">
        <v>305</v>
      </c>
      <c r="AU1920" t="s">
        <v>3521</v>
      </c>
      <c r="AV1920" t="s">
        <v>3027</v>
      </c>
      <c r="AW1920" t="s">
        <v>4101</v>
      </c>
      <c r="AX1920" t="s">
        <v>6928</v>
      </c>
      <c r="AY1920" t="s">
        <v>19694</v>
      </c>
      <c r="AZ1920" t="s">
        <v>10704</v>
      </c>
      <c r="BA1920">
        <v>1.36</v>
      </c>
      <c r="BB1920">
        <v>286.85000000000002</v>
      </c>
      <c r="BC1920">
        <v>0.36</v>
      </c>
      <c r="BD1920">
        <v>176.54</v>
      </c>
      <c r="BE1920">
        <v>176.54</v>
      </c>
      <c r="BF1920">
        <v>175.04</v>
      </c>
      <c r="BG1920" t="s">
        <v>20360</v>
      </c>
      <c r="BH1920" t="s">
        <v>19694</v>
      </c>
      <c r="BI1920" t="s">
        <v>20361</v>
      </c>
      <c r="BJ1920" t="s">
        <v>101</v>
      </c>
      <c r="BK1920" t="s">
        <v>817</v>
      </c>
      <c r="BL1920" t="s">
        <v>3640</v>
      </c>
      <c r="BM1920" t="s">
        <v>7762</v>
      </c>
      <c r="BN1920" t="s">
        <v>14623</v>
      </c>
    </row>
    <row r="1921" spans="1:66" x14ac:dyDescent="0.25">
      <c r="A1921" t="str">
        <f>HYPERLINK("https://elite.finviz.com/quote.ashx?t=RNGR&amp;ty=c&amp;p=d&amp;b=1", "RNGR")</f>
        <v>RNGR</v>
      </c>
      <c r="B1921">
        <v>6</v>
      </c>
      <c r="C1921">
        <v>127.03</v>
      </c>
      <c r="D1921">
        <v>58.7</v>
      </c>
      <c r="E1921" t="s">
        <v>20362</v>
      </c>
      <c r="F1921" t="s">
        <v>67</v>
      </c>
      <c r="G1921" t="s">
        <v>1048</v>
      </c>
      <c r="H1921" t="s">
        <v>8341</v>
      </c>
      <c r="I1921" t="s">
        <v>70</v>
      </c>
      <c r="J1921" t="s">
        <v>71</v>
      </c>
      <c r="K1921">
        <v>316.73</v>
      </c>
      <c r="L1921">
        <v>14.5</v>
      </c>
      <c r="M1921" t="s">
        <v>2217</v>
      </c>
      <c r="N1921">
        <v>28019</v>
      </c>
      <c r="O1921">
        <v>14.68</v>
      </c>
      <c r="P1921">
        <v>14.45</v>
      </c>
      <c r="Q1921">
        <v>1.29</v>
      </c>
      <c r="R1921">
        <v>0.55000000000000004</v>
      </c>
      <c r="S1921">
        <v>1.1599999999999999</v>
      </c>
      <c r="T1921" t="s">
        <v>3494</v>
      </c>
      <c r="U1921">
        <v>0.23</v>
      </c>
      <c r="V1921" t="s">
        <v>1762</v>
      </c>
      <c r="W1921" t="s">
        <v>1647</v>
      </c>
      <c r="Z1921" t="s">
        <v>6681</v>
      </c>
      <c r="AA1921">
        <v>0.99</v>
      </c>
      <c r="AB1921" t="s">
        <v>1889</v>
      </c>
      <c r="AC1921" t="s">
        <v>20363</v>
      </c>
      <c r="AD1921" t="s">
        <v>3647</v>
      </c>
      <c r="AE1921" t="s">
        <v>345</v>
      </c>
      <c r="AF1921" t="s">
        <v>2970</v>
      </c>
      <c r="AG1921" t="s">
        <v>8691</v>
      </c>
      <c r="AH1921" t="s">
        <v>3925</v>
      </c>
      <c r="AI1921" t="s">
        <v>14713</v>
      </c>
      <c r="AJ1921" t="s">
        <v>8710</v>
      </c>
      <c r="AK1921" t="s">
        <v>15348</v>
      </c>
      <c r="AL1921">
        <v>2.4700000000000002</v>
      </c>
      <c r="AM1921">
        <v>2.38</v>
      </c>
      <c r="AN1921">
        <v>0.12</v>
      </c>
      <c r="AO1921" t="s">
        <v>1585</v>
      </c>
      <c r="AP1921" t="s">
        <v>12712</v>
      </c>
      <c r="AQ1921" t="s">
        <v>4395</v>
      </c>
      <c r="AR1921" t="s">
        <v>5331</v>
      </c>
      <c r="AS1921" t="s">
        <v>749</v>
      </c>
      <c r="AT1921" t="s">
        <v>6104</v>
      </c>
      <c r="AU1921" t="s">
        <v>4518</v>
      </c>
      <c r="AV1921" t="s">
        <v>3343</v>
      </c>
      <c r="AW1921" t="s">
        <v>3665</v>
      </c>
      <c r="AX1921" t="s">
        <v>9386</v>
      </c>
      <c r="AY1921" t="s">
        <v>1032</v>
      </c>
      <c r="AZ1921" t="s">
        <v>17256</v>
      </c>
      <c r="BA1921">
        <v>2.33</v>
      </c>
      <c r="BB1921">
        <v>183.45</v>
      </c>
      <c r="BC1921">
        <v>0.54</v>
      </c>
      <c r="BD1921">
        <v>14.26</v>
      </c>
      <c r="BE1921">
        <v>14.67</v>
      </c>
      <c r="BF1921">
        <v>14.24</v>
      </c>
      <c r="BG1921" t="s">
        <v>20364</v>
      </c>
      <c r="BH1921" t="s">
        <v>1032</v>
      </c>
      <c r="BI1921" t="s">
        <v>20365</v>
      </c>
      <c r="BJ1921" t="s">
        <v>101</v>
      </c>
      <c r="BK1921" t="s">
        <v>8433</v>
      </c>
      <c r="BL1921" t="s">
        <v>5120</v>
      </c>
      <c r="BM1921" t="s">
        <v>9905</v>
      </c>
      <c r="BN1921" t="s">
        <v>14623</v>
      </c>
    </row>
    <row r="1922" spans="1:66" x14ac:dyDescent="0.25">
      <c r="A1922" t="str">
        <f>HYPERLINK("https://elite.finviz.com/quote.ashx?t=HLI&amp;ty=c&amp;p=d&amp;b=1", "HLI")</f>
        <v>HLI</v>
      </c>
      <c r="B1922">
        <v>6</v>
      </c>
      <c r="C1922">
        <v>127.03</v>
      </c>
      <c r="D1922">
        <v>58.7</v>
      </c>
      <c r="E1922" t="s">
        <v>20366</v>
      </c>
      <c r="F1922" t="s">
        <v>107</v>
      </c>
      <c r="G1922" t="s">
        <v>550</v>
      </c>
      <c r="H1922" t="s">
        <v>551</v>
      </c>
      <c r="I1922" t="s">
        <v>70</v>
      </c>
      <c r="J1922" t="s">
        <v>71</v>
      </c>
      <c r="K1922">
        <v>14519.99</v>
      </c>
      <c r="L1922">
        <v>206.44</v>
      </c>
      <c r="M1922" t="s">
        <v>2216</v>
      </c>
      <c r="N1922">
        <v>37345</v>
      </c>
      <c r="O1922">
        <v>34.81</v>
      </c>
      <c r="P1922">
        <v>23.56</v>
      </c>
      <c r="Q1922">
        <v>2.13</v>
      </c>
      <c r="R1922">
        <v>5.85</v>
      </c>
      <c r="S1922">
        <v>6.67</v>
      </c>
      <c r="T1922" t="s">
        <v>5166</v>
      </c>
      <c r="U1922">
        <v>2.34</v>
      </c>
      <c r="V1922" t="s">
        <v>2187</v>
      </c>
      <c r="W1922" t="s">
        <v>5111</v>
      </c>
      <c r="X1922" t="s">
        <v>2877</v>
      </c>
      <c r="Y1922" t="s">
        <v>13468</v>
      </c>
      <c r="Z1922" t="s">
        <v>232</v>
      </c>
      <c r="AA1922">
        <v>5.93</v>
      </c>
      <c r="AB1922" t="s">
        <v>3322</v>
      </c>
      <c r="AC1922" t="s">
        <v>9497</v>
      </c>
      <c r="AD1922" t="s">
        <v>9208</v>
      </c>
      <c r="AE1922" t="s">
        <v>5464</v>
      </c>
      <c r="AF1922" t="s">
        <v>5084</v>
      </c>
      <c r="AG1922" t="s">
        <v>6875</v>
      </c>
      <c r="AH1922" t="s">
        <v>20367</v>
      </c>
      <c r="AI1922" t="s">
        <v>7389</v>
      </c>
      <c r="AJ1922" t="s">
        <v>1564</v>
      </c>
      <c r="AK1922" t="s">
        <v>20368</v>
      </c>
      <c r="AL1922">
        <v>1.53</v>
      </c>
      <c r="AM1922">
        <v>1.53</v>
      </c>
      <c r="AN1922">
        <v>0.2</v>
      </c>
      <c r="AP1922" t="s">
        <v>7749</v>
      </c>
      <c r="AQ1922" t="s">
        <v>20369</v>
      </c>
      <c r="AR1922" t="s">
        <v>3856</v>
      </c>
      <c r="AS1922" t="s">
        <v>714</v>
      </c>
      <c r="AT1922" t="s">
        <v>2219</v>
      </c>
      <c r="AU1922" t="s">
        <v>4052</v>
      </c>
      <c r="AV1922" t="s">
        <v>5749</v>
      </c>
      <c r="AW1922" t="s">
        <v>17603</v>
      </c>
      <c r="AX1922" t="s">
        <v>7976</v>
      </c>
      <c r="AY1922" t="s">
        <v>17603</v>
      </c>
      <c r="AZ1922" t="s">
        <v>13696</v>
      </c>
      <c r="BA1922">
        <v>2.4300000000000002</v>
      </c>
      <c r="BB1922">
        <v>417.84</v>
      </c>
      <c r="BC1922">
        <v>0.31</v>
      </c>
      <c r="BD1922">
        <v>205.27</v>
      </c>
      <c r="BE1922">
        <v>208.73</v>
      </c>
      <c r="BF1922">
        <v>206.2</v>
      </c>
      <c r="BG1922" t="s">
        <v>20370</v>
      </c>
      <c r="BH1922" t="s">
        <v>17603</v>
      </c>
      <c r="BI1922" t="s">
        <v>20371</v>
      </c>
      <c r="BJ1922" t="s">
        <v>101</v>
      </c>
      <c r="BK1922" t="s">
        <v>4258</v>
      </c>
      <c r="BL1922" t="s">
        <v>4928</v>
      </c>
      <c r="BM1922" t="s">
        <v>1398</v>
      </c>
      <c r="BN1922" t="s">
        <v>14623</v>
      </c>
    </row>
    <row r="1923" spans="1:66" x14ac:dyDescent="0.25">
      <c r="A1923" t="str">
        <f>HYPERLINK("https://elite.finviz.com/quote.ashx?t=TACH&amp;ty=c&amp;p=d&amp;b=1", "TACH")</f>
        <v>TACH</v>
      </c>
      <c r="B1923">
        <v>6</v>
      </c>
      <c r="C1923">
        <v>127.03</v>
      </c>
      <c r="D1923">
        <v>58.7</v>
      </c>
      <c r="E1923" t="s">
        <v>20372</v>
      </c>
      <c r="F1923" t="s">
        <v>107</v>
      </c>
      <c r="G1923" t="s">
        <v>550</v>
      </c>
      <c r="H1923" t="s">
        <v>2120</v>
      </c>
      <c r="I1923" t="s">
        <v>70</v>
      </c>
      <c r="J1923" t="s">
        <v>321</v>
      </c>
      <c r="K1923">
        <v>350.17</v>
      </c>
      <c r="L1923">
        <v>10.15</v>
      </c>
      <c r="M1923" t="s">
        <v>2641</v>
      </c>
      <c r="N1923">
        <v>2</v>
      </c>
      <c r="O1923">
        <v>145.62</v>
      </c>
      <c r="S1923">
        <v>1.31</v>
      </c>
      <c r="AA1923">
        <v>7.0000000000000007E-2</v>
      </c>
      <c r="AJ1923" t="s">
        <v>164</v>
      </c>
      <c r="AK1923" t="s">
        <v>20373</v>
      </c>
      <c r="AL1923">
        <v>0.03</v>
      </c>
      <c r="AM1923">
        <v>0.03</v>
      </c>
      <c r="AN1923">
        <v>0</v>
      </c>
      <c r="AR1923" t="s">
        <v>2215</v>
      </c>
      <c r="AS1923" t="s">
        <v>3358</v>
      </c>
      <c r="AT1923" t="s">
        <v>822</v>
      </c>
      <c r="AU1923" t="s">
        <v>2423</v>
      </c>
      <c r="AV1923" t="s">
        <v>3336</v>
      </c>
      <c r="AW1923" t="s">
        <v>5444</v>
      </c>
      <c r="AX1923" t="s">
        <v>1488</v>
      </c>
      <c r="AY1923" t="s">
        <v>5444</v>
      </c>
      <c r="AZ1923" t="s">
        <v>4780</v>
      </c>
      <c r="BB1923">
        <v>59.79</v>
      </c>
      <c r="BC1923">
        <v>0</v>
      </c>
      <c r="BD1923">
        <v>10.119999999999999</v>
      </c>
      <c r="BE1923">
        <v>10.15</v>
      </c>
      <c r="BF1923">
        <v>10.15</v>
      </c>
      <c r="BG1923" t="s">
        <v>20374</v>
      </c>
      <c r="BH1923" t="s">
        <v>5444</v>
      </c>
      <c r="BI1923" t="s">
        <v>4780</v>
      </c>
      <c r="BJ1923" t="s">
        <v>101</v>
      </c>
      <c r="BN1923" t="s">
        <v>14623</v>
      </c>
    </row>
    <row r="1924" spans="1:66" x14ac:dyDescent="0.25">
      <c r="A1924" t="str">
        <f>HYPERLINK("https://elite.finviz.com/quote.ashx?t=BBGI&amp;ty=c&amp;p=d&amp;b=1", "BBGI")</f>
        <v>BBGI</v>
      </c>
      <c r="B1924">
        <v>6</v>
      </c>
      <c r="C1924">
        <v>127.03</v>
      </c>
      <c r="D1924">
        <v>58.76</v>
      </c>
      <c r="E1924" t="s">
        <v>20375</v>
      </c>
      <c r="F1924" t="s">
        <v>107</v>
      </c>
      <c r="G1924" t="s">
        <v>598</v>
      </c>
      <c r="H1924" t="s">
        <v>4546</v>
      </c>
      <c r="I1924" t="s">
        <v>70</v>
      </c>
      <c r="J1924" t="s">
        <v>321</v>
      </c>
      <c r="K1924">
        <v>10.55</v>
      </c>
      <c r="L1924">
        <v>5.85</v>
      </c>
      <c r="M1924" t="s">
        <v>5055</v>
      </c>
      <c r="N1924">
        <v>8566</v>
      </c>
      <c r="R1924">
        <v>0.05</v>
      </c>
      <c r="S1924">
        <v>7.0000000000000007E-2</v>
      </c>
      <c r="V1924" t="s">
        <v>20376</v>
      </c>
      <c r="AA1924">
        <v>-5.09</v>
      </c>
      <c r="AB1924" t="s">
        <v>20377</v>
      </c>
      <c r="AE1924" t="s">
        <v>8346</v>
      </c>
      <c r="AF1924" t="s">
        <v>4955</v>
      </c>
      <c r="AG1924" t="s">
        <v>2741</v>
      </c>
      <c r="AH1924" t="s">
        <v>6939</v>
      </c>
      <c r="AJ1924" t="s">
        <v>164</v>
      </c>
      <c r="AK1924" t="s">
        <v>1001</v>
      </c>
      <c r="AL1924">
        <v>1.1100000000000001</v>
      </c>
      <c r="AM1924">
        <v>1.1100000000000001</v>
      </c>
      <c r="AN1924">
        <v>1.94</v>
      </c>
      <c r="AO1924" t="s">
        <v>953</v>
      </c>
      <c r="AP1924" t="s">
        <v>2235</v>
      </c>
      <c r="AQ1924" t="s">
        <v>1904</v>
      </c>
      <c r="AR1924" t="s">
        <v>4067</v>
      </c>
      <c r="AS1924" t="s">
        <v>5969</v>
      </c>
      <c r="AT1924" t="s">
        <v>1396</v>
      </c>
      <c r="AU1924" t="s">
        <v>5464</v>
      </c>
      <c r="AV1924" t="s">
        <v>5606</v>
      </c>
      <c r="AW1924" t="s">
        <v>2475</v>
      </c>
      <c r="AX1924" t="s">
        <v>8612</v>
      </c>
      <c r="AY1924" t="s">
        <v>20378</v>
      </c>
      <c r="AZ1924" t="s">
        <v>19938</v>
      </c>
      <c r="BA1924">
        <v>1</v>
      </c>
      <c r="BB1924">
        <v>38.090000000000003</v>
      </c>
      <c r="BC1924">
        <v>0.8</v>
      </c>
      <c r="BD1924">
        <v>5.79</v>
      </c>
      <c r="BE1924">
        <v>5.9</v>
      </c>
      <c r="BF1924">
        <v>5.66</v>
      </c>
      <c r="BG1924" t="s">
        <v>20379</v>
      </c>
      <c r="BH1924" t="s">
        <v>19912</v>
      </c>
      <c r="BI1924" t="s">
        <v>19938</v>
      </c>
      <c r="BJ1924" t="s">
        <v>101</v>
      </c>
      <c r="BK1924" t="s">
        <v>11806</v>
      </c>
      <c r="BL1924" t="s">
        <v>3463</v>
      </c>
      <c r="BM1924" t="s">
        <v>20380</v>
      </c>
      <c r="BN1924" t="s">
        <v>14623</v>
      </c>
    </row>
    <row r="1925" spans="1:66" x14ac:dyDescent="0.25">
      <c r="A1925" t="str">
        <f>HYPERLINK("https://elite.finviz.com/quote.ashx?t=STRA&amp;ty=c&amp;p=d&amp;b=1", "STRA")</f>
        <v>STRA</v>
      </c>
      <c r="B1925">
        <v>6</v>
      </c>
      <c r="C1925">
        <v>127.03</v>
      </c>
      <c r="D1925">
        <v>58.76</v>
      </c>
      <c r="E1925" t="s">
        <v>20381</v>
      </c>
      <c r="F1925" t="s">
        <v>67</v>
      </c>
      <c r="G1925" t="s">
        <v>2244</v>
      </c>
      <c r="H1925" t="s">
        <v>2483</v>
      </c>
      <c r="I1925" t="s">
        <v>70</v>
      </c>
      <c r="J1925" t="s">
        <v>321</v>
      </c>
      <c r="K1925">
        <v>2009.04</v>
      </c>
      <c r="L1925">
        <v>84.06</v>
      </c>
      <c r="M1925" t="s">
        <v>183</v>
      </c>
      <c r="N1925">
        <v>18095</v>
      </c>
      <c r="O1925">
        <v>17.48</v>
      </c>
      <c r="P1925">
        <v>13.2</v>
      </c>
      <c r="Q1925">
        <v>1.1000000000000001</v>
      </c>
      <c r="R1925">
        <v>1.62</v>
      </c>
      <c r="S1925">
        <v>1.21</v>
      </c>
      <c r="T1925" t="s">
        <v>2146</v>
      </c>
      <c r="U1925">
        <v>2.4</v>
      </c>
      <c r="V1925" t="s">
        <v>4548</v>
      </c>
      <c r="W1925" t="s">
        <v>164</v>
      </c>
      <c r="X1925" t="s">
        <v>164</v>
      </c>
      <c r="Y1925" t="s">
        <v>2496</v>
      </c>
      <c r="Z1925" t="s">
        <v>16876</v>
      </c>
      <c r="AA1925">
        <v>4.8099999999999996</v>
      </c>
      <c r="AB1925" t="s">
        <v>19212</v>
      </c>
      <c r="AC1925" t="s">
        <v>5102</v>
      </c>
      <c r="AD1925" t="s">
        <v>6633</v>
      </c>
      <c r="AE1925" t="s">
        <v>1449</v>
      </c>
      <c r="AF1925" t="s">
        <v>1776</v>
      </c>
      <c r="AG1925" t="s">
        <v>2170</v>
      </c>
      <c r="AH1925" t="s">
        <v>5132</v>
      </c>
      <c r="AI1925" t="s">
        <v>3951</v>
      </c>
      <c r="AJ1925" t="s">
        <v>3227</v>
      </c>
      <c r="AK1925" t="s">
        <v>8104</v>
      </c>
      <c r="AL1925">
        <v>1.22</v>
      </c>
      <c r="AM1925">
        <v>1.22</v>
      </c>
      <c r="AN1925">
        <v>7.0000000000000007E-2</v>
      </c>
      <c r="AO1925" t="s">
        <v>5297</v>
      </c>
      <c r="AP1925" t="s">
        <v>7775</v>
      </c>
      <c r="AQ1925" t="s">
        <v>5212</v>
      </c>
      <c r="AR1925" t="s">
        <v>3856</v>
      </c>
      <c r="AS1925" t="s">
        <v>7322</v>
      </c>
      <c r="AT1925" t="s">
        <v>2186</v>
      </c>
      <c r="AU1925" t="s">
        <v>5620</v>
      </c>
      <c r="AV1925" t="s">
        <v>7356</v>
      </c>
      <c r="AW1925" t="s">
        <v>3486</v>
      </c>
      <c r="AX1925" t="s">
        <v>3190</v>
      </c>
      <c r="AY1925" t="s">
        <v>5637</v>
      </c>
      <c r="AZ1925" t="s">
        <v>3190</v>
      </c>
      <c r="BA1925">
        <v>1</v>
      </c>
      <c r="BB1925">
        <v>178.97</v>
      </c>
      <c r="BC1925">
        <v>0.36</v>
      </c>
      <c r="BD1925">
        <v>83.93</v>
      </c>
      <c r="BE1925">
        <v>84.33</v>
      </c>
      <c r="BF1925">
        <v>83.8</v>
      </c>
      <c r="BG1925" t="s">
        <v>20382</v>
      </c>
      <c r="BH1925" t="s">
        <v>20383</v>
      </c>
      <c r="BI1925" t="s">
        <v>20384</v>
      </c>
      <c r="BJ1925" t="s">
        <v>101</v>
      </c>
      <c r="BK1925" t="s">
        <v>4155</v>
      </c>
      <c r="BL1925" t="s">
        <v>4531</v>
      </c>
      <c r="BM1925" t="s">
        <v>6227</v>
      </c>
      <c r="BN1925" t="s">
        <v>14623</v>
      </c>
    </row>
    <row r="1926" spans="1:66" x14ac:dyDescent="0.25">
      <c r="A1926" t="str">
        <f>HYPERLINK("https://elite.finviz.com/quote.ashx?t=LOCL&amp;ty=c&amp;p=d&amp;b=1", "LOCL")</f>
        <v>LOCL</v>
      </c>
      <c r="B1926">
        <v>6</v>
      </c>
      <c r="C1926">
        <v>127.03</v>
      </c>
      <c r="D1926">
        <v>58.8</v>
      </c>
      <c r="E1926" t="s">
        <v>20385</v>
      </c>
      <c r="F1926" t="s">
        <v>107</v>
      </c>
      <c r="G1926" t="s">
        <v>2244</v>
      </c>
      <c r="H1926" t="s">
        <v>5735</v>
      </c>
      <c r="I1926" t="s">
        <v>70</v>
      </c>
      <c r="J1926" t="s">
        <v>71</v>
      </c>
      <c r="K1926">
        <v>66.930000000000007</v>
      </c>
      <c r="L1926">
        <v>3.03</v>
      </c>
      <c r="M1926" t="s">
        <v>5789</v>
      </c>
      <c r="N1926">
        <v>5722</v>
      </c>
      <c r="R1926">
        <v>1.52</v>
      </c>
      <c r="AA1926">
        <v>-14.17</v>
      </c>
      <c r="AB1926" t="s">
        <v>9364</v>
      </c>
      <c r="AD1926" t="s">
        <v>20386</v>
      </c>
      <c r="AE1926" t="s">
        <v>20387</v>
      </c>
      <c r="AF1926" t="s">
        <v>20388</v>
      </c>
      <c r="AH1926" t="s">
        <v>20389</v>
      </c>
      <c r="AI1926" t="s">
        <v>6027</v>
      </c>
      <c r="AJ1926" t="s">
        <v>5841</v>
      </c>
      <c r="AK1926" t="s">
        <v>4324</v>
      </c>
      <c r="AL1926">
        <v>1.29</v>
      </c>
      <c r="AM1926">
        <v>0.92</v>
      </c>
      <c r="AO1926" t="s">
        <v>12461</v>
      </c>
      <c r="AP1926" t="s">
        <v>20390</v>
      </c>
      <c r="AQ1926" t="s">
        <v>20391</v>
      </c>
      <c r="AR1926" t="s">
        <v>5128</v>
      </c>
      <c r="AS1926" t="s">
        <v>17831</v>
      </c>
      <c r="AT1926" t="s">
        <v>7401</v>
      </c>
      <c r="AU1926" t="s">
        <v>2724</v>
      </c>
      <c r="AV1926" t="s">
        <v>97</v>
      </c>
      <c r="AW1926" t="s">
        <v>14209</v>
      </c>
      <c r="AX1926" t="s">
        <v>14074</v>
      </c>
      <c r="AY1926" t="s">
        <v>15689</v>
      </c>
      <c r="AZ1926" t="s">
        <v>20392</v>
      </c>
      <c r="BA1926">
        <v>1</v>
      </c>
      <c r="BB1926">
        <v>31.37</v>
      </c>
      <c r="BC1926">
        <v>0.65</v>
      </c>
      <c r="BD1926">
        <v>3.06</v>
      </c>
      <c r="BE1926">
        <v>3.09</v>
      </c>
      <c r="BF1926">
        <v>2.85</v>
      </c>
      <c r="BG1926" t="s">
        <v>20393</v>
      </c>
      <c r="BH1926" t="s">
        <v>20394</v>
      </c>
      <c r="BI1926" t="s">
        <v>20395</v>
      </c>
      <c r="BJ1926" t="s">
        <v>101</v>
      </c>
      <c r="BK1926" t="s">
        <v>2546</v>
      </c>
      <c r="BL1926" t="s">
        <v>15894</v>
      </c>
      <c r="BM1926" t="s">
        <v>15297</v>
      </c>
      <c r="BN1926" t="s">
        <v>14623</v>
      </c>
    </row>
    <row r="1927" spans="1:66" x14ac:dyDescent="0.25">
      <c r="A1927" t="str">
        <f>HYPERLINK("https://elite.finviz.com/quote.ashx?t=ULS&amp;ty=c&amp;p=d&amp;b=1", "ULS")</f>
        <v>ULS</v>
      </c>
      <c r="B1927">
        <v>6</v>
      </c>
      <c r="C1927">
        <v>127.03</v>
      </c>
      <c r="D1927">
        <v>58.81</v>
      </c>
      <c r="E1927" t="s">
        <v>20396</v>
      </c>
      <c r="F1927" t="s">
        <v>107</v>
      </c>
      <c r="G1927" t="s">
        <v>260</v>
      </c>
      <c r="H1927" t="s">
        <v>1077</v>
      </c>
      <c r="I1927" t="s">
        <v>70</v>
      </c>
      <c r="J1927" t="s">
        <v>71</v>
      </c>
      <c r="K1927">
        <v>13869.95</v>
      </c>
      <c r="L1927">
        <v>69.040000000000006</v>
      </c>
      <c r="M1927" t="s">
        <v>84</v>
      </c>
      <c r="N1927">
        <v>41489</v>
      </c>
      <c r="O1927">
        <v>42.54</v>
      </c>
      <c r="P1927">
        <v>34.83</v>
      </c>
      <c r="Q1927">
        <v>4.63</v>
      </c>
      <c r="R1927">
        <v>4.7</v>
      </c>
      <c r="S1927">
        <v>12.69</v>
      </c>
      <c r="T1927" t="s">
        <v>84</v>
      </c>
      <c r="U1927">
        <v>0.52</v>
      </c>
      <c r="V1927" t="s">
        <v>4882</v>
      </c>
      <c r="Z1927" t="s">
        <v>6973</v>
      </c>
      <c r="AA1927">
        <v>1.62</v>
      </c>
      <c r="AB1927" t="s">
        <v>973</v>
      </c>
      <c r="AC1927" t="s">
        <v>5911</v>
      </c>
      <c r="AD1927" t="s">
        <v>1006</v>
      </c>
      <c r="AE1927" t="s">
        <v>4999</v>
      </c>
      <c r="AF1927" t="s">
        <v>5045</v>
      </c>
      <c r="AG1927" t="s">
        <v>5659</v>
      </c>
      <c r="AH1927" t="s">
        <v>2386</v>
      </c>
      <c r="AI1927" t="s">
        <v>4089</v>
      </c>
      <c r="AJ1927" t="s">
        <v>1249</v>
      </c>
      <c r="AK1927" t="s">
        <v>1239</v>
      </c>
      <c r="AL1927">
        <v>1.32</v>
      </c>
      <c r="AM1927">
        <v>1.32</v>
      </c>
      <c r="AN1927">
        <v>0.74</v>
      </c>
      <c r="AO1927" t="s">
        <v>20397</v>
      </c>
      <c r="AP1927" t="s">
        <v>928</v>
      </c>
      <c r="AQ1927" t="s">
        <v>4672</v>
      </c>
      <c r="AR1927" t="s">
        <v>6975</v>
      </c>
      <c r="AS1927" t="s">
        <v>2619</v>
      </c>
      <c r="AT1927" t="s">
        <v>4795</v>
      </c>
      <c r="AU1927" t="s">
        <v>387</v>
      </c>
      <c r="AV1927" t="s">
        <v>3122</v>
      </c>
      <c r="AW1927" t="s">
        <v>7782</v>
      </c>
      <c r="AX1927" t="s">
        <v>5127</v>
      </c>
      <c r="AY1927" t="s">
        <v>7782</v>
      </c>
      <c r="AZ1927" t="s">
        <v>10067</v>
      </c>
      <c r="BA1927">
        <v>2.23</v>
      </c>
      <c r="BB1927">
        <v>859.74</v>
      </c>
      <c r="BC1927">
        <v>0.17</v>
      </c>
      <c r="BD1927">
        <v>68.52</v>
      </c>
      <c r="BE1927">
        <v>69.180000000000007</v>
      </c>
      <c r="BF1927">
        <v>68.64</v>
      </c>
      <c r="BG1927" t="s">
        <v>20398</v>
      </c>
      <c r="BH1927" t="s">
        <v>7782</v>
      </c>
      <c r="BI1927" t="s">
        <v>20399</v>
      </c>
      <c r="BJ1927" t="s">
        <v>101</v>
      </c>
      <c r="BK1927" t="s">
        <v>9672</v>
      </c>
      <c r="BL1927" t="s">
        <v>5998</v>
      </c>
      <c r="BM1927" t="s">
        <v>20400</v>
      </c>
      <c r="BN1927" t="s">
        <v>14623</v>
      </c>
    </row>
    <row r="1928" spans="1:66" x14ac:dyDescent="0.25">
      <c r="A1928" t="str">
        <f>HYPERLINK("https://elite.finviz.com/quote.ashx?t=SEER&amp;ty=c&amp;p=d&amp;b=1", "SEER")</f>
        <v>SEER</v>
      </c>
      <c r="B1928">
        <v>6</v>
      </c>
      <c r="C1928">
        <v>127.03</v>
      </c>
      <c r="D1928">
        <v>58.83</v>
      </c>
      <c r="E1928" t="s">
        <v>20401</v>
      </c>
      <c r="F1928" t="s">
        <v>107</v>
      </c>
      <c r="G1928" t="s">
        <v>428</v>
      </c>
      <c r="H1928" t="s">
        <v>429</v>
      </c>
      <c r="I1928" t="s">
        <v>70</v>
      </c>
      <c r="J1928" t="s">
        <v>321</v>
      </c>
      <c r="K1928">
        <v>124.51</v>
      </c>
      <c r="L1928">
        <v>2.21</v>
      </c>
      <c r="M1928" t="s">
        <v>914</v>
      </c>
      <c r="N1928">
        <v>30957</v>
      </c>
      <c r="R1928">
        <v>7.67</v>
      </c>
      <c r="S1928">
        <v>0.43</v>
      </c>
      <c r="AA1928">
        <v>-1.39</v>
      </c>
      <c r="AB1928" t="s">
        <v>625</v>
      </c>
      <c r="AC1928" t="s">
        <v>20402</v>
      </c>
      <c r="AD1928" t="s">
        <v>8818</v>
      </c>
      <c r="AE1928" t="s">
        <v>8356</v>
      </c>
      <c r="AF1928" t="s">
        <v>9296</v>
      </c>
      <c r="AG1928" t="s">
        <v>18013</v>
      </c>
      <c r="AH1928" t="s">
        <v>2358</v>
      </c>
      <c r="AI1928" t="s">
        <v>9718</v>
      </c>
      <c r="AJ1928" t="s">
        <v>4886</v>
      </c>
      <c r="AK1928" t="s">
        <v>15091</v>
      </c>
      <c r="AL1928">
        <v>19.149999999999999</v>
      </c>
      <c r="AM1928">
        <v>18.510000000000002</v>
      </c>
      <c r="AN1928">
        <v>0.09</v>
      </c>
      <c r="AO1928" t="s">
        <v>13714</v>
      </c>
      <c r="AP1928" t="s">
        <v>20403</v>
      </c>
      <c r="AQ1928" t="s">
        <v>20404</v>
      </c>
      <c r="AR1928" t="s">
        <v>1950</v>
      </c>
      <c r="AS1928" t="s">
        <v>3035</v>
      </c>
      <c r="AT1928" t="s">
        <v>995</v>
      </c>
      <c r="AU1928" t="s">
        <v>2810</v>
      </c>
      <c r="AV1928" t="s">
        <v>2841</v>
      </c>
      <c r="AW1928" t="s">
        <v>5567</v>
      </c>
      <c r="AX1928" t="s">
        <v>6068</v>
      </c>
      <c r="AY1928" t="s">
        <v>16527</v>
      </c>
      <c r="AZ1928" t="s">
        <v>20405</v>
      </c>
      <c r="BA1928">
        <v>2.33</v>
      </c>
      <c r="BB1928">
        <v>133.94</v>
      </c>
      <c r="BC1928">
        <v>0.81</v>
      </c>
      <c r="BD1928">
        <v>2.2000000000000002</v>
      </c>
      <c r="BE1928">
        <v>2.3199999999999998</v>
      </c>
      <c r="BF1928">
        <v>2.1800000000000002</v>
      </c>
      <c r="BG1928" t="s">
        <v>20406</v>
      </c>
      <c r="BH1928" t="s">
        <v>16231</v>
      </c>
      <c r="BI1928" t="s">
        <v>20247</v>
      </c>
      <c r="BJ1928" t="s">
        <v>101</v>
      </c>
      <c r="BK1928" t="s">
        <v>353</v>
      </c>
      <c r="BL1928" t="s">
        <v>13228</v>
      </c>
      <c r="BM1928" t="s">
        <v>10392</v>
      </c>
      <c r="BN1928" t="s">
        <v>14623</v>
      </c>
    </row>
    <row r="1929" spans="1:66" x14ac:dyDescent="0.25">
      <c r="A1929" t="str">
        <f>HYPERLINK("https://elite.finviz.com/quote.ashx?t=AAM&amp;ty=c&amp;p=d&amp;b=1", "AAM")</f>
        <v>AAM</v>
      </c>
      <c r="B1929">
        <v>6</v>
      </c>
      <c r="C1929">
        <v>127.03</v>
      </c>
      <c r="D1929">
        <v>58.83</v>
      </c>
      <c r="E1929" t="s">
        <v>20407</v>
      </c>
      <c r="F1929" t="s">
        <v>107</v>
      </c>
      <c r="G1929" t="s">
        <v>550</v>
      </c>
      <c r="H1929" t="s">
        <v>2120</v>
      </c>
      <c r="I1929" t="s">
        <v>70</v>
      </c>
      <c r="J1929" t="s">
        <v>71</v>
      </c>
      <c r="K1929">
        <v>462.61</v>
      </c>
      <c r="L1929">
        <v>10.52</v>
      </c>
      <c r="M1929" t="s">
        <v>164</v>
      </c>
      <c r="N1929">
        <v>204</v>
      </c>
      <c r="O1929">
        <v>35.78</v>
      </c>
      <c r="S1929">
        <v>1.32</v>
      </c>
      <c r="Z1929" t="s">
        <v>164</v>
      </c>
      <c r="AA1929">
        <v>0.28999999999999998</v>
      </c>
      <c r="AJ1929" t="s">
        <v>164</v>
      </c>
      <c r="AK1929" t="s">
        <v>2917</v>
      </c>
      <c r="AL1929">
        <v>0.7</v>
      </c>
      <c r="AM1929">
        <v>0.7</v>
      </c>
      <c r="AN1929">
        <v>0</v>
      </c>
      <c r="AR1929" t="s">
        <v>211</v>
      </c>
      <c r="AS1929" t="s">
        <v>4539</v>
      </c>
      <c r="AT1929" t="s">
        <v>2880</v>
      </c>
      <c r="AU1929" t="s">
        <v>6719</v>
      </c>
      <c r="AV1929" t="s">
        <v>3916</v>
      </c>
      <c r="AW1929" t="s">
        <v>6192</v>
      </c>
      <c r="AX1929" t="s">
        <v>7388</v>
      </c>
      <c r="AY1929" t="s">
        <v>6464</v>
      </c>
      <c r="AZ1929" t="s">
        <v>6226</v>
      </c>
      <c r="BB1929">
        <v>47.99</v>
      </c>
      <c r="BC1929">
        <v>0.02</v>
      </c>
      <c r="BD1929">
        <v>10.52</v>
      </c>
      <c r="BE1929">
        <v>10.52</v>
      </c>
      <c r="BF1929">
        <v>10.52</v>
      </c>
      <c r="BG1929" t="s">
        <v>20408</v>
      </c>
      <c r="BH1929" t="s">
        <v>6464</v>
      </c>
      <c r="BI1929" t="s">
        <v>3949</v>
      </c>
      <c r="BJ1929" t="s">
        <v>101</v>
      </c>
      <c r="BK1929" t="s">
        <v>3552</v>
      </c>
      <c r="BL1929" t="s">
        <v>4873</v>
      </c>
      <c r="BN1929" t="s">
        <v>14623</v>
      </c>
    </row>
    <row r="1930" spans="1:66" x14ac:dyDescent="0.25">
      <c r="A1930" t="str">
        <f>HYPERLINK("https://elite.finviz.com/quote.ashx?t=RMNI&amp;ty=c&amp;p=d&amp;b=1", "RMNI")</f>
        <v>RMNI</v>
      </c>
      <c r="B1930">
        <v>6</v>
      </c>
      <c r="C1930">
        <v>127.03</v>
      </c>
      <c r="D1930">
        <v>58.87</v>
      </c>
      <c r="E1930" t="s">
        <v>20409</v>
      </c>
      <c r="F1930" t="s">
        <v>67</v>
      </c>
      <c r="G1930" t="s">
        <v>108</v>
      </c>
      <c r="H1930" t="s">
        <v>136</v>
      </c>
      <c r="I1930" t="s">
        <v>70</v>
      </c>
      <c r="J1930" t="s">
        <v>321</v>
      </c>
      <c r="K1930">
        <v>435.86</v>
      </c>
      <c r="L1930">
        <v>4.71</v>
      </c>
      <c r="M1930" t="s">
        <v>9075</v>
      </c>
      <c r="N1930">
        <v>43321</v>
      </c>
      <c r="P1930">
        <v>10.96</v>
      </c>
      <c r="R1930">
        <v>1.02</v>
      </c>
      <c r="AA1930">
        <v>-0.04</v>
      </c>
      <c r="AC1930" t="s">
        <v>20410</v>
      </c>
      <c r="AE1930" t="s">
        <v>148</v>
      </c>
      <c r="AF1930" t="s">
        <v>4659</v>
      </c>
      <c r="AG1930" t="s">
        <v>7781</v>
      </c>
      <c r="AH1930" t="s">
        <v>4759</v>
      </c>
      <c r="AI1930" t="s">
        <v>20411</v>
      </c>
      <c r="AJ1930" t="s">
        <v>8979</v>
      </c>
      <c r="AK1930" t="s">
        <v>20412</v>
      </c>
      <c r="AL1930">
        <v>0.87</v>
      </c>
      <c r="AM1930">
        <v>0.87</v>
      </c>
      <c r="AO1930" t="s">
        <v>20413</v>
      </c>
      <c r="AP1930" t="s">
        <v>5865</v>
      </c>
      <c r="AQ1930" t="s">
        <v>2331</v>
      </c>
      <c r="AR1930" t="s">
        <v>926</v>
      </c>
      <c r="AS1930" t="s">
        <v>2811</v>
      </c>
      <c r="AT1930" t="s">
        <v>2384</v>
      </c>
      <c r="AU1930" t="s">
        <v>3127</v>
      </c>
      <c r="AV1930" t="s">
        <v>13933</v>
      </c>
      <c r="AW1930" t="s">
        <v>11163</v>
      </c>
      <c r="AX1930" t="s">
        <v>10795</v>
      </c>
      <c r="AY1930" t="s">
        <v>11692</v>
      </c>
      <c r="AZ1930" t="s">
        <v>18061</v>
      </c>
      <c r="BA1930">
        <v>1.5</v>
      </c>
      <c r="BB1930">
        <v>393.22</v>
      </c>
      <c r="BC1930">
        <v>0.39</v>
      </c>
      <c r="BD1930">
        <v>4.78</v>
      </c>
      <c r="BE1930">
        <v>4.82</v>
      </c>
      <c r="BF1930">
        <v>4.7</v>
      </c>
      <c r="BG1930" t="s">
        <v>20414</v>
      </c>
      <c r="BH1930" t="s">
        <v>20415</v>
      </c>
      <c r="BI1930" t="s">
        <v>18061</v>
      </c>
      <c r="BJ1930" t="s">
        <v>101</v>
      </c>
      <c r="BK1930" t="s">
        <v>5261</v>
      </c>
      <c r="BL1930" t="s">
        <v>252</v>
      </c>
      <c r="BM1930" t="s">
        <v>20416</v>
      </c>
      <c r="BN1930" t="s">
        <v>14623</v>
      </c>
    </row>
    <row r="1931" spans="1:66" x14ac:dyDescent="0.25">
      <c r="A1931" t="str">
        <f>HYPERLINK("https://elite.finviz.com/quote.ashx?t=UBFO&amp;ty=c&amp;p=d&amp;b=1", "UBFO")</f>
        <v>UBFO</v>
      </c>
      <c r="B1931">
        <v>6</v>
      </c>
      <c r="C1931">
        <v>127.03</v>
      </c>
      <c r="D1931">
        <v>58.87</v>
      </c>
      <c r="E1931" t="s">
        <v>20417</v>
      </c>
      <c r="F1931" t="s">
        <v>67</v>
      </c>
      <c r="G1931" t="s">
        <v>550</v>
      </c>
      <c r="H1931" t="s">
        <v>697</v>
      </c>
      <c r="I1931" t="s">
        <v>70</v>
      </c>
      <c r="J1931" t="s">
        <v>321</v>
      </c>
      <c r="K1931">
        <v>168.47</v>
      </c>
      <c r="L1931">
        <v>9.64</v>
      </c>
      <c r="M1931" t="s">
        <v>4840</v>
      </c>
      <c r="N1931">
        <v>6657</v>
      </c>
      <c r="O1931">
        <v>14.87</v>
      </c>
      <c r="R1931">
        <v>2.57</v>
      </c>
      <c r="S1931">
        <v>1.25</v>
      </c>
      <c r="T1931" t="s">
        <v>4824</v>
      </c>
      <c r="U1931">
        <v>0.48</v>
      </c>
      <c r="V1931" t="s">
        <v>4105</v>
      </c>
      <c r="W1931" t="s">
        <v>212</v>
      </c>
      <c r="X1931" t="s">
        <v>4873</v>
      </c>
      <c r="Y1931" t="s">
        <v>5084</v>
      </c>
      <c r="Z1931" t="s">
        <v>9997</v>
      </c>
      <c r="AA1931">
        <v>0.65</v>
      </c>
      <c r="AB1931" t="s">
        <v>604</v>
      </c>
      <c r="AC1931" t="s">
        <v>1226</v>
      </c>
      <c r="AE1931" t="s">
        <v>7089</v>
      </c>
      <c r="AF1931" t="s">
        <v>14743</v>
      </c>
      <c r="AG1931" t="s">
        <v>267</v>
      </c>
      <c r="AH1931" t="s">
        <v>17548</v>
      </c>
      <c r="AJ1931" t="s">
        <v>3976</v>
      </c>
      <c r="AK1931" t="s">
        <v>20418</v>
      </c>
      <c r="AL1931">
        <v>0.08</v>
      </c>
      <c r="AN1931">
        <v>0.11</v>
      </c>
      <c r="AP1931" t="s">
        <v>4230</v>
      </c>
      <c r="AQ1931" t="s">
        <v>4096</v>
      </c>
      <c r="AR1931" t="s">
        <v>2361</v>
      </c>
      <c r="AS1931" t="s">
        <v>617</v>
      </c>
      <c r="AT1931" t="s">
        <v>2881</v>
      </c>
      <c r="AU1931" t="s">
        <v>3057</v>
      </c>
      <c r="AV1931" t="s">
        <v>2580</v>
      </c>
      <c r="AW1931" t="s">
        <v>2968</v>
      </c>
      <c r="AX1931" t="s">
        <v>4594</v>
      </c>
      <c r="AY1931" t="s">
        <v>5852</v>
      </c>
      <c r="AZ1931" t="s">
        <v>5967</v>
      </c>
      <c r="BB1931">
        <v>51.54</v>
      </c>
      <c r="BC1931">
        <v>0.46</v>
      </c>
      <c r="BD1931">
        <v>9.58</v>
      </c>
      <c r="BE1931">
        <v>9.81</v>
      </c>
      <c r="BF1931">
        <v>9.64</v>
      </c>
      <c r="BG1931" t="s">
        <v>20419</v>
      </c>
      <c r="BH1931" t="s">
        <v>443</v>
      </c>
      <c r="BI1931" t="s">
        <v>20420</v>
      </c>
      <c r="BJ1931" t="s">
        <v>101</v>
      </c>
      <c r="BK1931" t="s">
        <v>2471</v>
      </c>
      <c r="BL1931" t="s">
        <v>272</v>
      </c>
      <c r="BM1931" t="s">
        <v>3002</v>
      </c>
      <c r="BN1931" t="s">
        <v>14623</v>
      </c>
    </row>
    <row r="1932" spans="1:66" x14ac:dyDescent="0.25">
      <c r="A1932" t="str">
        <f>HYPERLINK("https://elite.finviz.com/quote.ashx?t=CETY&amp;ty=c&amp;p=d&amp;b=1", "CETY")</f>
        <v>CETY</v>
      </c>
      <c r="B1932">
        <v>6</v>
      </c>
      <c r="C1932">
        <v>127.03</v>
      </c>
      <c r="D1932">
        <v>58.91</v>
      </c>
      <c r="E1932" t="s">
        <v>20421</v>
      </c>
      <c r="F1932" t="s">
        <v>107</v>
      </c>
      <c r="G1932" t="s">
        <v>260</v>
      </c>
      <c r="H1932" t="s">
        <v>261</v>
      </c>
      <c r="I1932" t="s">
        <v>70</v>
      </c>
      <c r="J1932" t="s">
        <v>321</v>
      </c>
      <c r="K1932">
        <v>19.7</v>
      </c>
      <c r="L1932">
        <v>0.28999999999999998</v>
      </c>
      <c r="M1932" t="s">
        <v>2263</v>
      </c>
      <c r="N1932">
        <v>176206</v>
      </c>
      <c r="R1932">
        <v>11.32</v>
      </c>
      <c r="S1932">
        <v>2.34</v>
      </c>
      <c r="AA1932">
        <v>-7.0000000000000007E-2</v>
      </c>
      <c r="AC1932" t="s">
        <v>1700</v>
      </c>
      <c r="AE1932" t="s">
        <v>20422</v>
      </c>
      <c r="AF1932" t="s">
        <v>4833</v>
      </c>
      <c r="AG1932" t="s">
        <v>1700</v>
      </c>
      <c r="AH1932" t="s">
        <v>17487</v>
      </c>
      <c r="AJ1932" t="s">
        <v>164</v>
      </c>
      <c r="AK1932" t="s">
        <v>4840</v>
      </c>
      <c r="AL1932">
        <v>1.32</v>
      </c>
      <c r="AM1932">
        <v>1.1599999999999999</v>
      </c>
      <c r="AN1932">
        <v>0.53</v>
      </c>
      <c r="AO1932" t="s">
        <v>20221</v>
      </c>
      <c r="AP1932" t="s">
        <v>20423</v>
      </c>
      <c r="AQ1932" t="s">
        <v>20424</v>
      </c>
      <c r="AR1932" t="s">
        <v>5010</v>
      </c>
      <c r="AS1932" t="s">
        <v>6028</v>
      </c>
      <c r="AT1932" t="s">
        <v>1114</v>
      </c>
      <c r="AU1932" t="s">
        <v>1557</v>
      </c>
      <c r="AV1932" t="s">
        <v>12341</v>
      </c>
      <c r="AW1932" t="s">
        <v>3307</v>
      </c>
      <c r="AX1932" t="s">
        <v>20425</v>
      </c>
      <c r="AY1932" t="s">
        <v>3783</v>
      </c>
      <c r="AZ1932" t="s">
        <v>4821</v>
      </c>
      <c r="BB1932">
        <v>602.79</v>
      </c>
      <c r="BC1932">
        <v>1.03</v>
      </c>
      <c r="BD1932">
        <v>0.28999999999999998</v>
      </c>
      <c r="BE1932">
        <v>0.28999999999999998</v>
      </c>
      <c r="BF1932">
        <v>0.28000000000000003</v>
      </c>
      <c r="BG1932" t="s">
        <v>20426</v>
      </c>
      <c r="BH1932" t="s">
        <v>14327</v>
      </c>
      <c r="BI1932" t="s">
        <v>20427</v>
      </c>
      <c r="BJ1932" t="s">
        <v>101</v>
      </c>
      <c r="BK1932" t="s">
        <v>73</v>
      </c>
      <c r="BL1932" t="s">
        <v>8801</v>
      </c>
      <c r="BM1932" t="s">
        <v>20428</v>
      </c>
      <c r="BN1932" t="s">
        <v>14623</v>
      </c>
    </row>
    <row r="1933" spans="1:66" x14ac:dyDescent="0.25">
      <c r="A1933" t="str">
        <f>HYPERLINK("https://elite.finviz.com/quote.ashx?t=FNWD&amp;ty=c&amp;p=d&amp;b=1", "FNWD")</f>
        <v>FNWD</v>
      </c>
      <c r="B1933">
        <v>6</v>
      </c>
      <c r="C1933">
        <v>127.03</v>
      </c>
      <c r="D1933">
        <v>58.96</v>
      </c>
      <c r="E1933" t="s">
        <v>20429</v>
      </c>
      <c r="F1933" t="s">
        <v>67</v>
      </c>
      <c r="G1933" t="s">
        <v>550</v>
      </c>
      <c r="H1933" t="s">
        <v>697</v>
      </c>
      <c r="I1933" t="s">
        <v>70</v>
      </c>
      <c r="J1933" t="s">
        <v>321</v>
      </c>
      <c r="K1933">
        <v>139.53</v>
      </c>
      <c r="L1933">
        <v>32.26</v>
      </c>
      <c r="M1933" t="s">
        <v>4494</v>
      </c>
      <c r="N1933">
        <v>1573</v>
      </c>
      <c r="O1933">
        <v>26.11</v>
      </c>
      <c r="P1933">
        <v>15.25</v>
      </c>
      <c r="R1933">
        <v>1.38</v>
      </c>
      <c r="S1933">
        <v>0.9</v>
      </c>
      <c r="T1933" t="s">
        <v>2509</v>
      </c>
      <c r="U1933">
        <v>0.48</v>
      </c>
      <c r="V1933" t="s">
        <v>4882</v>
      </c>
      <c r="W1933" t="s">
        <v>20430</v>
      </c>
      <c r="X1933" t="s">
        <v>20431</v>
      </c>
      <c r="Y1933" t="s">
        <v>17073</v>
      </c>
      <c r="Z1933" t="s">
        <v>5473</v>
      </c>
      <c r="AA1933">
        <v>1.24</v>
      </c>
      <c r="AB1933" t="s">
        <v>5507</v>
      </c>
      <c r="AC1933" t="s">
        <v>2012</v>
      </c>
      <c r="AE1933" t="s">
        <v>7347</v>
      </c>
      <c r="AF1933" t="s">
        <v>1477</v>
      </c>
      <c r="AG1933" t="s">
        <v>2913</v>
      </c>
      <c r="AH1933" t="s">
        <v>387</v>
      </c>
      <c r="AI1933" t="s">
        <v>6853</v>
      </c>
      <c r="AJ1933" t="s">
        <v>2757</v>
      </c>
      <c r="AK1933" t="s">
        <v>3304</v>
      </c>
      <c r="AL1933">
        <v>0.11</v>
      </c>
      <c r="AN1933">
        <v>0.73</v>
      </c>
      <c r="AP1933" t="s">
        <v>4641</v>
      </c>
      <c r="AQ1933" t="s">
        <v>3958</v>
      </c>
      <c r="AR1933" t="s">
        <v>8013</v>
      </c>
      <c r="AS1933" t="s">
        <v>2333</v>
      </c>
      <c r="AT1933" t="s">
        <v>306</v>
      </c>
      <c r="AU1933" t="s">
        <v>4850</v>
      </c>
      <c r="AV1933" t="s">
        <v>9187</v>
      </c>
      <c r="AW1933" t="s">
        <v>3485</v>
      </c>
      <c r="AX1933" t="s">
        <v>20432</v>
      </c>
      <c r="AY1933" t="s">
        <v>13981</v>
      </c>
      <c r="AZ1933" t="s">
        <v>13642</v>
      </c>
      <c r="BA1933">
        <v>2</v>
      </c>
      <c r="BB1933">
        <v>45.3</v>
      </c>
      <c r="BC1933">
        <v>0.12</v>
      </c>
      <c r="BD1933">
        <v>32.22</v>
      </c>
      <c r="BE1933">
        <v>32.22</v>
      </c>
      <c r="BF1933">
        <v>32.15</v>
      </c>
      <c r="BG1933" t="s">
        <v>20433</v>
      </c>
      <c r="BH1933" t="s">
        <v>7012</v>
      </c>
      <c r="BI1933" t="s">
        <v>20434</v>
      </c>
      <c r="BJ1933" t="s">
        <v>101</v>
      </c>
      <c r="BK1933" t="s">
        <v>9194</v>
      </c>
      <c r="BL1933" t="s">
        <v>7106</v>
      </c>
      <c r="BM1933" t="s">
        <v>3013</v>
      </c>
      <c r="BN1933" t="s">
        <v>14623</v>
      </c>
    </row>
    <row r="1934" spans="1:66" x14ac:dyDescent="0.25">
      <c r="A1934" t="str">
        <f>HYPERLINK("https://elite.finviz.com/quote.ashx?t=OLED&amp;ty=c&amp;p=d&amp;b=1", "OLED")</f>
        <v>OLED</v>
      </c>
      <c r="B1934">
        <v>6</v>
      </c>
      <c r="C1934">
        <v>127.03</v>
      </c>
      <c r="D1934">
        <v>58.96</v>
      </c>
      <c r="E1934" t="s">
        <v>20435</v>
      </c>
      <c r="F1934" t="s">
        <v>107</v>
      </c>
      <c r="G1934" t="s">
        <v>108</v>
      </c>
      <c r="H1934" t="s">
        <v>3346</v>
      </c>
      <c r="I1934" t="s">
        <v>70</v>
      </c>
      <c r="J1934" t="s">
        <v>321</v>
      </c>
      <c r="K1934">
        <v>6958.88</v>
      </c>
      <c r="L1934">
        <v>146.4</v>
      </c>
      <c r="M1934" t="s">
        <v>4507</v>
      </c>
      <c r="N1934">
        <v>57303</v>
      </c>
      <c r="O1934">
        <v>28.57</v>
      </c>
      <c r="P1934">
        <v>25.42</v>
      </c>
      <c r="Q1934">
        <v>1.78</v>
      </c>
      <c r="R1934">
        <v>10.51</v>
      </c>
      <c r="S1934">
        <v>4.0599999999999996</v>
      </c>
      <c r="T1934" t="s">
        <v>1417</v>
      </c>
      <c r="U1934">
        <v>1.75</v>
      </c>
      <c r="V1934" t="s">
        <v>5925</v>
      </c>
      <c r="W1934" t="s">
        <v>2169</v>
      </c>
      <c r="X1934" t="s">
        <v>3397</v>
      </c>
      <c r="Y1934" t="s">
        <v>7463</v>
      </c>
      <c r="Z1934" t="s">
        <v>3851</v>
      </c>
      <c r="AA1934">
        <v>5.12</v>
      </c>
      <c r="AB1934" t="s">
        <v>713</v>
      </c>
      <c r="AC1934" t="s">
        <v>4965</v>
      </c>
      <c r="AD1934" t="s">
        <v>10359</v>
      </c>
      <c r="AE1934" t="s">
        <v>216</v>
      </c>
      <c r="AF1934" t="s">
        <v>2580</v>
      </c>
      <c r="AG1934" t="s">
        <v>3793</v>
      </c>
      <c r="AH1934" t="s">
        <v>8050</v>
      </c>
      <c r="AI1934" t="s">
        <v>6675</v>
      </c>
      <c r="AJ1934" t="s">
        <v>171</v>
      </c>
      <c r="AK1934" t="s">
        <v>20436</v>
      </c>
      <c r="AL1934">
        <v>8.0500000000000007</v>
      </c>
      <c r="AM1934">
        <v>6.39</v>
      </c>
      <c r="AN1934">
        <v>0.01</v>
      </c>
      <c r="AO1934" t="s">
        <v>20437</v>
      </c>
      <c r="AP1934" t="s">
        <v>3799</v>
      </c>
      <c r="AQ1934" t="s">
        <v>20438</v>
      </c>
      <c r="AR1934" t="s">
        <v>901</v>
      </c>
      <c r="AS1934" t="s">
        <v>465</v>
      </c>
      <c r="AT1934" t="s">
        <v>1050</v>
      </c>
      <c r="AU1934" t="s">
        <v>3635</v>
      </c>
      <c r="AV1934" t="s">
        <v>4901</v>
      </c>
      <c r="AW1934" t="s">
        <v>8121</v>
      </c>
      <c r="AX1934" t="s">
        <v>2499</v>
      </c>
      <c r="AY1934" t="s">
        <v>20439</v>
      </c>
      <c r="AZ1934" t="s">
        <v>18751</v>
      </c>
      <c r="BA1934">
        <v>1.45</v>
      </c>
      <c r="BB1934">
        <v>607.82000000000005</v>
      </c>
      <c r="BC1934">
        <v>0.33</v>
      </c>
      <c r="BD1934">
        <v>146.31</v>
      </c>
      <c r="BE1934">
        <v>147.35</v>
      </c>
      <c r="BF1934">
        <v>145.57</v>
      </c>
      <c r="BG1934" t="s">
        <v>20440</v>
      </c>
      <c r="BH1934" t="s">
        <v>18122</v>
      </c>
      <c r="BI1934" t="s">
        <v>20441</v>
      </c>
      <c r="BJ1934" t="s">
        <v>101</v>
      </c>
      <c r="BK1934" t="s">
        <v>7300</v>
      </c>
      <c r="BL1934" t="s">
        <v>3811</v>
      </c>
      <c r="BM1934" t="s">
        <v>20442</v>
      </c>
      <c r="BN1934" t="s">
        <v>14623</v>
      </c>
    </row>
    <row r="1935" spans="1:66" x14ac:dyDescent="0.25">
      <c r="A1935" t="str">
        <f>HYPERLINK("https://elite.finviz.com/quote.ashx?t=NEUP&amp;ty=c&amp;p=d&amp;b=1", "NEUP")</f>
        <v>NEUP</v>
      </c>
      <c r="B1935">
        <v>6</v>
      </c>
      <c r="C1935">
        <v>127.03</v>
      </c>
      <c r="D1935">
        <v>59.08</v>
      </c>
      <c r="E1935" t="s">
        <v>20443</v>
      </c>
      <c r="F1935" t="s">
        <v>107</v>
      </c>
      <c r="G1935" t="s">
        <v>428</v>
      </c>
      <c r="H1935" t="s">
        <v>429</v>
      </c>
      <c r="I1935" t="s">
        <v>70</v>
      </c>
      <c r="J1935" t="s">
        <v>321</v>
      </c>
      <c r="K1935">
        <v>24.1</v>
      </c>
      <c r="L1935">
        <v>12.82</v>
      </c>
      <c r="M1935" t="s">
        <v>2383</v>
      </c>
      <c r="N1935">
        <v>14422</v>
      </c>
      <c r="S1935">
        <v>0.91</v>
      </c>
      <c r="AA1935">
        <v>-0.06</v>
      </c>
      <c r="AB1935" t="s">
        <v>9196</v>
      </c>
      <c r="AC1935" t="s">
        <v>11292</v>
      </c>
      <c r="AE1935" t="s">
        <v>579</v>
      </c>
      <c r="AI1935" t="s">
        <v>20444</v>
      </c>
      <c r="AJ1935" t="s">
        <v>164</v>
      </c>
      <c r="AK1935" t="s">
        <v>4193</v>
      </c>
      <c r="AL1935">
        <v>11.01</v>
      </c>
      <c r="AM1935">
        <v>11.01</v>
      </c>
      <c r="AN1935">
        <v>0.01</v>
      </c>
      <c r="AR1935" t="s">
        <v>2819</v>
      </c>
      <c r="AS1935" t="s">
        <v>5468</v>
      </c>
      <c r="AT1935" t="s">
        <v>2777</v>
      </c>
      <c r="AU1935" t="s">
        <v>11606</v>
      </c>
      <c r="AV1935" t="s">
        <v>20445</v>
      </c>
      <c r="AW1935" t="s">
        <v>8624</v>
      </c>
      <c r="AX1935" t="s">
        <v>6119</v>
      </c>
      <c r="AY1935" t="s">
        <v>8624</v>
      </c>
      <c r="AZ1935" t="s">
        <v>20446</v>
      </c>
      <c r="BA1935">
        <v>1</v>
      </c>
      <c r="BB1935">
        <v>57.39</v>
      </c>
      <c r="BC1935">
        <v>0.89</v>
      </c>
      <c r="BD1935">
        <v>12.45</v>
      </c>
      <c r="BE1935">
        <v>12.99</v>
      </c>
      <c r="BF1935">
        <v>12.75</v>
      </c>
      <c r="BG1935" t="s">
        <v>20447</v>
      </c>
      <c r="BH1935" t="s">
        <v>20448</v>
      </c>
      <c r="BI1935" t="s">
        <v>20446</v>
      </c>
      <c r="BJ1935" t="s">
        <v>101</v>
      </c>
      <c r="BK1935" t="s">
        <v>12148</v>
      </c>
      <c r="BL1935" t="s">
        <v>12357</v>
      </c>
      <c r="BM1935" t="s">
        <v>4166</v>
      </c>
      <c r="BN1935" t="s">
        <v>14623</v>
      </c>
    </row>
    <row r="1936" spans="1:66" x14ac:dyDescent="0.25">
      <c r="A1936" t="str">
        <f>HYPERLINK("https://elite.finviz.com/quote.ashx?t=TARS&amp;ty=c&amp;p=d&amp;b=1", "TARS")</f>
        <v>TARS</v>
      </c>
      <c r="B1936">
        <v>6</v>
      </c>
      <c r="C1936">
        <v>127.03</v>
      </c>
      <c r="D1936">
        <v>59.12</v>
      </c>
      <c r="E1936" t="s">
        <v>20449</v>
      </c>
      <c r="F1936" t="s">
        <v>67</v>
      </c>
      <c r="G1936" t="s">
        <v>428</v>
      </c>
      <c r="H1936" t="s">
        <v>429</v>
      </c>
      <c r="I1936" t="s">
        <v>70</v>
      </c>
      <c r="J1936" t="s">
        <v>321</v>
      </c>
      <c r="K1936">
        <v>2359.77</v>
      </c>
      <c r="L1936">
        <v>55.9</v>
      </c>
      <c r="M1936" t="s">
        <v>2864</v>
      </c>
      <c r="N1936">
        <v>61002</v>
      </c>
      <c r="P1936">
        <v>57.47</v>
      </c>
      <c r="R1936">
        <v>7.99</v>
      </c>
      <c r="S1936">
        <v>7.09</v>
      </c>
      <c r="AA1936">
        <v>-2.33</v>
      </c>
      <c r="AB1936" t="s">
        <v>20450</v>
      </c>
      <c r="AC1936" t="s">
        <v>20451</v>
      </c>
      <c r="AE1936" t="s">
        <v>20452</v>
      </c>
      <c r="AF1936" t="s">
        <v>20453</v>
      </c>
      <c r="AH1936" t="s">
        <v>20454</v>
      </c>
      <c r="AI1936" t="s">
        <v>498</v>
      </c>
      <c r="AJ1936" t="s">
        <v>214</v>
      </c>
      <c r="AK1936" t="s">
        <v>1867</v>
      </c>
      <c r="AL1936">
        <v>5.26</v>
      </c>
      <c r="AM1936">
        <v>5.21</v>
      </c>
      <c r="AN1936">
        <v>0.22</v>
      </c>
      <c r="AO1936" t="s">
        <v>20455</v>
      </c>
      <c r="AP1936" t="s">
        <v>20456</v>
      </c>
      <c r="AQ1936" t="s">
        <v>13307</v>
      </c>
      <c r="AR1936" t="s">
        <v>5592</v>
      </c>
      <c r="AS1936" t="s">
        <v>3481</v>
      </c>
      <c r="AT1936" t="s">
        <v>2219</v>
      </c>
      <c r="AU1936" t="s">
        <v>801</v>
      </c>
      <c r="AV1936" t="s">
        <v>1305</v>
      </c>
      <c r="AW1936" t="s">
        <v>10208</v>
      </c>
      <c r="AX1936" t="s">
        <v>1031</v>
      </c>
      <c r="AY1936" t="s">
        <v>10208</v>
      </c>
      <c r="AZ1936" t="s">
        <v>20457</v>
      </c>
      <c r="BA1936">
        <v>1.25</v>
      </c>
      <c r="BB1936">
        <v>667.23</v>
      </c>
      <c r="BC1936">
        <v>0.32</v>
      </c>
      <c r="BD1936">
        <v>55.39</v>
      </c>
      <c r="BE1936">
        <v>56.48</v>
      </c>
      <c r="BF1936">
        <v>55.38</v>
      </c>
      <c r="BG1936" t="s">
        <v>20458</v>
      </c>
      <c r="BH1936" t="s">
        <v>8487</v>
      </c>
      <c r="BI1936" t="s">
        <v>20459</v>
      </c>
      <c r="BJ1936" t="s">
        <v>101</v>
      </c>
      <c r="BK1936" t="s">
        <v>4643</v>
      </c>
      <c r="BL1936" t="s">
        <v>1585</v>
      </c>
      <c r="BM1936" t="s">
        <v>14533</v>
      </c>
      <c r="BN1936" t="s">
        <v>14623</v>
      </c>
    </row>
    <row r="1937" spans="1:66" x14ac:dyDescent="0.25">
      <c r="A1937" t="str">
        <f>HYPERLINK("https://elite.finviz.com/quote.ashx?t=ACR&amp;ty=c&amp;p=d&amp;b=1", "ACR")</f>
        <v>ACR</v>
      </c>
      <c r="B1937">
        <v>6</v>
      </c>
      <c r="C1937">
        <v>127.03</v>
      </c>
      <c r="D1937">
        <v>59.13</v>
      </c>
      <c r="E1937" t="s">
        <v>20460</v>
      </c>
      <c r="F1937" t="s">
        <v>67</v>
      </c>
      <c r="G1937" t="s">
        <v>68</v>
      </c>
      <c r="H1937" t="s">
        <v>5566</v>
      </c>
      <c r="I1937" t="s">
        <v>70</v>
      </c>
      <c r="J1937" t="s">
        <v>71</v>
      </c>
      <c r="K1937">
        <v>157.22</v>
      </c>
      <c r="L1937">
        <v>21.17</v>
      </c>
      <c r="M1937" t="s">
        <v>7464</v>
      </c>
      <c r="N1937">
        <v>2085</v>
      </c>
      <c r="P1937">
        <v>19.510000000000002</v>
      </c>
      <c r="R1937">
        <v>0.88</v>
      </c>
      <c r="S1937">
        <v>0.36</v>
      </c>
      <c r="V1937" t="s">
        <v>20461</v>
      </c>
      <c r="Z1937" t="s">
        <v>164</v>
      </c>
      <c r="AA1937">
        <v>-0.02</v>
      </c>
      <c r="AB1937" t="s">
        <v>3917</v>
      </c>
      <c r="AC1937" t="s">
        <v>16941</v>
      </c>
      <c r="AE1937" t="s">
        <v>6435</v>
      </c>
      <c r="AF1937" t="s">
        <v>2692</v>
      </c>
      <c r="AG1937" t="s">
        <v>2232</v>
      </c>
      <c r="AH1937" t="s">
        <v>20462</v>
      </c>
      <c r="AI1937" t="s">
        <v>18653</v>
      </c>
      <c r="AJ1937" t="s">
        <v>5138</v>
      </c>
      <c r="AK1937" t="s">
        <v>16252</v>
      </c>
      <c r="AL1937">
        <v>1.77</v>
      </c>
      <c r="AM1937">
        <v>0.45</v>
      </c>
      <c r="AN1937">
        <v>3.19</v>
      </c>
      <c r="AO1937" t="s">
        <v>20463</v>
      </c>
      <c r="AP1937" t="s">
        <v>17773</v>
      </c>
      <c r="AQ1937" t="s">
        <v>4794</v>
      </c>
      <c r="AR1937" t="s">
        <v>180</v>
      </c>
      <c r="AS1937" t="s">
        <v>2609</v>
      </c>
      <c r="AT1937" t="s">
        <v>2216</v>
      </c>
      <c r="AU1937" t="s">
        <v>121</v>
      </c>
      <c r="AV1937" t="s">
        <v>777</v>
      </c>
      <c r="AW1937" t="s">
        <v>2518</v>
      </c>
      <c r="AX1937" t="s">
        <v>6843</v>
      </c>
      <c r="AY1937" t="s">
        <v>15281</v>
      </c>
      <c r="AZ1937" t="s">
        <v>8422</v>
      </c>
      <c r="BA1937">
        <v>2</v>
      </c>
      <c r="BB1937">
        <v>36.869999999999997</v>
      </c>
      <c r="BC1937">
        <v>0.2</v>
      </c>
      <c r="BD1937">
        <v>21.08</v>
      </c>
      <c r="BE1937">
        <v>21.14</v>
      </c>
      <c r="BF1937">
        <v>20.93</v>
      </c>
      <c r="BG1937" t="s">
        <v>20464</v>
      </c>
      <c r="BH1937" t="s">
        <v>20465</v>
      </c>
      <c r="BI1937" t="s">
        <v>20466</v>
      </c>
      <c r="BJ1937" t="s">
        <v>101</v>
      </c>
      <c r="BK1937" t="s">
        <v>876</v>
      </c>
      <c r="BL1937" t="s">
        <v>4634</v>
      </c>
      <c r="BM1937" t="s">
        <v>14187</v>
      </c>
      <c r="BN1937" t="s">
        <v>14623</v>
      </c>
    </row>
    <row r="1938" spans="1:66" x14ac:dyDescent="0.25">
      <c r="A1938" t="str">
        <f>HYPERLINK("https://elite.finviz.com/quote.ashx?t=AUBN&amp;ty=c&amp;p=d&amp;b=1", "AUBN")</f>
        <v>AUBN</v>
      </c>
      <c r="B1938">
        <v>6</v>
      </c>
      <c r="C1938">
        <v>127.03</v>
      </c>
      <c r="D1938">
        <v>59.15</v>
      </c>
      <c r="E1938" t="s">
        <v>20467</v>
      </c>
      <c r="F1938" t="s">
        <v>107</v>
      </c>
      <c r="G1938" t="s">
        <v>550</v>
      </c>
      <c r="H1938" t="s">
        <v>697</v>
      </c>
      <c r="I1938" t="s">
        <v>70</v>
      </c>
      <c r="J1938" t="s">
        <v>321</v>
      </c>
      <c r="K1938">
        <v>96.6</v>
      </c>
      <c r="L1938">
        <v>27.65</v>
      </c>
      <c r="M1938" t="s">
        <v>84</v>
      </c>
      <c r="N1938">
        <v>50</v>
      </c>
      <c r="O1938">
        <v>14.52</v>
      </c>
      <c r="R1938">
        <v>2.2400000000000002</v>
      </c>
      <c r="S1938">
        <v>1.1200000000000001</v>
      </c>
      <c r="T1938" t="s">
        <v>316</v>
      </c>
      <c r="U1938">
        <v>1.08</v>
      </c>
      <c r="V1938" t="s">
        <v>5717</v>
      </c>
      <c r="W1938" t="s">
        <v>164</v>
      </c>
      <c r="X1938" t="s">
        <v>5745</v>
      </c>
      <c r="Y1938" t="s">
        <v>9136</v>
      </c>
      <c r="Z1938" t="s">
        <v>20468</v>
      </c>
      <c r="AA1938">
        <v>1.9</v>
      </c>
      <c r="AB1938" t="s">
        <v>7782</v>
      </c>
      <c r="AC1938" t="s">
        <v>16867</v>
      </c>
      <c r="AE1938" t="s">
        <v>12397</v>
      </c>
      <c r="AF1938" t="s">
        <v>4672</v>
      </c>
      <c r="AG1938" t="s">
        <v>2662</v>
      </c>
      <c r="AH1938" t="s">
        <v>2821</v>
      </c>
      <c r="AI1938" t="s">
        <v>2313</v>
      </c>
      <c r="AJ1938" t="s">
        <v>2275</v>
      </c>
      <c r="AK1938" t="s">
        <v>10073</v>
      </c>
      <c r="AL1938">
        <v>0.23</v>
      </c>
      <c r="AN1938">
        <v>0</v>
      </c>
      <c r="AP1938" t="s">
        <v>4607</v>
      </c>
      <c r="AQ1938" t="s">
        <v>310</v>
      </c>
      <c r="AR1938" t="s">
        <v>2619</v>
      </c>
      <c r="AS1938" t="s">
        <v>756</v>
      </c>
      <c r="AT1938" t="s">
        <v>4957</v>
      </c>
      <c r="AU1938" t="s">
        <v>754</v>
      </c>
      <c r="AV1938" t="s">
        <v>3073</v>
      </c>
      <c r="AW1938" t="s">
        <v>2431</v>
      </c>
      <c r="AX1938" t="s">
        <v>11212</v>
      </c>
      <c r="AY1938" t="s">
        <v>2431</v>
      </c>
      <c r="AZ1938" t="s">
        <v>20469</v>
      </c>
      <c r="BB1938">
        <v>2.0299999999999998</v>
      </c>
      <c r="BC1938">
        <v>0.09</v>
      </c>
      <c r="BD1938">
        <v>27.44</v>
      </c>
      <c r="BE1938">
        <v>27.64</v>
      </c>
      <c r="BF1938">
        <v>27.64</v>
      </c>
      <c r="BG1938" t="s">
        <v>20470</v>
      </c>
      <c r="BH1938" t="s">
        <v>20471</v>
      </c>
      <c r="BI1938" t="s">
        <v>20472</v>
      </c>
      <c r="BJ1938" t="s">
        <v>101</v>
      </c>
      <c r="BK1938" t="s">
        <v>20473</v>
      </c>
      <c r="BL1938" t="s">
        <v>3508</v>
      </c>
      <c r="BM1938" t="s">
        <v>5665</v>
      </c>
      <c r="BN1938" t="s">
        <v>14623</v>
      </c>
    </row>
    <row r="1939" spans="1:66" x14ac:dyDescent="0.25">
      <c r="A1939" t="str">
        <f>HYPERLINK("https://elite.finviz.com/quote.ashx?t=OPXS&amp;ty=c&amp;p=d&amp;b=1", "OPXS")</f>
        <v>OPXS</v>
      </c>
      <c r="B1939">
        <v>6</v>
      </c>
      <c r="C1939">
        <v>127.03</v>
      </c>
      <c r="D1939">
        <v>59.16</v>
      </c>
      <c r="E1939" t="s">
        <v>20474</v>
      </c>
      <c r="F1939" t="s">
        <v>107</v>
      </c>
      <c r="G1939" t="s">
        <v>260</v>
      </c>
      <c r="H1939" t="s">
        <v>4779</v>
      </c>
      <c r="I1939" t="s">
        <v>70</v>
      </c>
      <c r="J1939" t="s">
        <v>321</v>
      </c>
      <c r="K1939">
        <v>88.77</v>
      </c>
      <c r="L1939">
        <v>12.84</v>
      </c>
      <c r="M1939" t="s">
        <v>2430</v>
      </c>
      <c r="N1939">
        <v>7153</v>
      </c>
      <c r="O1939">
        <v>17.260000000000002</v>
      </c>
      <c r="R1939">
        <v>2.25</v>
      </c>
      <c r="S1939">
        <v>3.84</v>
      </c>
      <c r="V1939" t="s">
        <v>20475</v>
      </c>
      <c r="Z1939" t="s">
        <v>164</v>
      </c>
      <c r="AA1939">
        <v>0.74</v>
      </c>
      <c r="AB1939" t="s">
        <v>20476</v>
      </c>
      <c r="AC1939" t="s">
        <v>4744</v>
      </c>
      <c r="AE1939" t="s">
        <v>20144</v>
      </c>
      <c r="AF1939" t="s">
        <v>9229</v>
      </c>
      <c r="AG1939" t="s">
        <v>2823</v>
      </c>
      <c r="AH1939" t="s">
        <v>9157</v>
      </c>
      <c r="AJ1939" t="s">
        <v>20477</v>
      </c>
      <c r="AK1939" t="s">
        <v>20478</v>
      </c>
      <c r="AL1939">
        <v>5.14</v>
      </c>
      <c r="AM1939">
        <v>2.0499999999999998</v>
      </c>
      <c r="AN1939">
        <v>0.09</v>
      </c>
      <c r="AO1939" t="s">
        <v>20479</v>
      </c>
      <c r="AP1939" t="s">
        <v>5458</v>
      </c>
      <c r="AQ1939" t="s">
        <v>3560</v>
      </c>
      <c r="AR1939" t="s">
        <v>5885</v>
      </c>
      <c r="AS1939" t="s">
        <v>3450</v>
      </c>
      <c r="AT1939" t="s">
        <v>8125</v>
      </c>
      <c r="AU1939" t="s">
        <v>4850</v>
      </c>
      <c r="AV1939" t="s">
        <v>832</v>
      </c>
      <c r="AW1939" t="s">
        <v>6227</v>
      </c>
      <c r="AX1939" t="s">
        <v>5457</v>
      </c>
      <c r="AY1939" t="s">
        <v>2813</v>
      </c>
      <c r="AZ1939" t="s">
        <v>20480</v>
      </c>
      <c r="BB1939">
        <v>59.36</v>
      </c>
      <c r="BC1939">
        <v>0.43</v>
      </c>
      <c r="BD1939">
        <v>12.57</v>
      </c>
      <c r="BE1939">
        <v>12.88</v>
      </c>
      <c r="BF1939">
        <v>12.56</v>
      </c>
      <c r="BG1939" t="s">
        <v>20481</v>
      </c>
      <c r="BH1939" t="s">
        <v>20482</v>
      </c>
      <c r="BI1939" t="s">
        <v>20483</v>
      </c>
      <c r="BJ1939" t="s">
        <v>101</v>
      </c>
      <c r="BK1939" t="s">
        <v>8041</v>
      </c>
      <c r="BL1939" t="s">
        <v>11517</v>
      </c>
      <c r="BM1939" t="s">
        <v>20484</v>
      </c>
      <c r="BN1939" t="s">
        <v>14623</v>
      </c>
    </row>
    <row r="1940" spans="1:66" x14ac:dyDescent="0.25">
      <c r="A1940" t="str">
        <f>HYPERLINK("https://elite.finviz.com/quote.ashx?t=BNED&amp;ty=c&amp;p=d&amp;b=1", "BNED")</f>
        <v>BNED</v>
      </c>
      <c r="B1940">
        <v>6</v>
      </c>
      <c r="C1940">
        <v>127.03</v>
      </c>
      <c r="D1940">
        <v>59.16</v>
      </c>
      <c r="E1940" t="s">
        <v>20485</v>
      </c>
      <c r="F1940" t="s">
        <v>67</v>
      </c>
      <c r="G1940" t="s">
        <v>813</v>
      </c>
      <c r="H1940" t="s">
        <v>2262</v>
      </c>
      <c r="I1940" t="s">
        <v>70</v>
      </c>
      <c r="J1940" t="s">
        <v>71</v>
      </c>
      <c r="K1940">
        <v>318.83999999999997</v>
      </c>
      <c r="L1940">
        <v>9.36</v>
      </c>
      <c r="M1940" t="s">
        <v>3358</v>
      </c>
      <c r="N1940">
        <v>25102</v>
      </c>
      <c r="R1940">
        <v>0.2</v>
      </c>
      <c r="S1940">
        <v>1.1299999999999999</v>
      </c>
      <c r="AA1940">
        <v>-56.7</v>
      </c>
      <c r="AB1940" t="s">
        <v>10516</v>
      </c>
      <c r="AC1940" t="s">
        <v>8591</v>
      </c>
      <c r="AE1940" t="s">
        <v>1025</v>
      </c>
      <c r="AF1940" t="s">
        <v>295</v>
      </c>
      <c r="AG1940" t="s">
        <v>15172</v>
      </c>
      <c r="AH1940" t="s">
        <v>206</v>
      </c>
      <c r="AI1940" t="s">
        <v>3987</v>
      </c>
      <c r="AJ1940" t="s">
        <v>164</v>
      </c>
      <c r="AK1940" t="s">
        <v>20486</v>
      </c>
      <c r="AL1940">
        <v>1.42</v>
      </c>
      <c r="AM1940">
        <v>0.73</v>
      </c>
      <c r="AN1940">
        <v>1.29</v>
      </c>
      <c r="AO1940" t="s">
        <v>2907</v>
      </c>
      <c r="AP1940" t="s">
        <v>617</v>
      </c>
      <c r="AQ1940" t="s">
        <v>8534</v>
      </c>
      <c r="AR1940" t="s">
        <v>8818</v>
      </c>
      <c r="AS1940" t="s">
        <v>5331</v>
      </c>
      <c r="AT1940" t="s">
        <v>2985</v>
      </c>
      <c r="AU1940" t="s">
        <v>291</v>
      </c>
      <c r="AV1940" t="s">
        <v>5963</v>
      </c>
      <c r="AW1940" t="s">
        <v>20487</v>
      </c>
      <c r="AX1940" t="s">
        <v>6799</v>
      </c>
      <c r="AY1940" t="s">
        <v>128</v>
      </c>
      <c r="AZ1940" t="s">
        <v>11559</v>
      </c>
      <c r="BA1940">
        <v>3</v>
      </c>
      <c r="BB1940">
        <v>438.8</v>
      </c>
      <c r="BC1940">
        <v>0.2</v>
      </c>
      <c r="BD1940">
        <v>9.35</v>
      </c>
      <c r="BE1940">
        <v>9.39</v>
      </c>
      <c r="BF1940">
        <v>9.2200000000000006</v>
      </c>
      <c r="BG1940" t="s">
        <v>20488</v>
      </c>
      <c r="BH1940" t="s">
        <v>11018</v>
      </c>
      <c r="BI1940" t="s">
        <v>8522</v>
      </c>
      <c r="BJ1940" t="s">
        <v>101</v>
      </c>
      <c r="BK1940" t="s">
        <v>19031</v>
      </c>
      <c r="BL1940" t="s">
        <v>15690</v>
      </c>
      <c r="BM1940" t="s">
        <v>3388</v>
      </c>
      <c r="BN1940" t="s">
        <v>14623</v>
      </c>
    </row>
    <row r="1941" spans="1:66" x14ac:dyDescent="0.25">
      <c r="A1941" t="str">
        <f>HYPERLINK("https://elite.finviz.com/quote.ashx?t=PLSE&amp;ty=c&amp;p=d&amp;b=1", "PLSE")</f>
        <v>PLSE</v>
      </c>
      <c r="B1941">
        <v>6</v>
      </c>
      <c r="C1941">
        <v>127.03</v>
      </c>
      <c r="D1941">
        <v>59.18</v>
      </c>
      <c r="E1941" t="s">
        <v>20489</v>
      </c>
      <c r="F1941" t="s">
        <v>67</v>
      </c>
      <c r="G1941" t="s">
        <v>428</v>
      </c>
      <c r="H1941" t="s">
        <v>2161</v>
      </c>
      <c r="I1941" t="s">
        <v>70</v>
      </c>
      <c r="J1941" t="s">
        <v>321</v>
      </c>
      <c r="K1941">
        <v>1182.25</v>
      </c>
      <c r="L1941">
        <v>17.57</v>
      </c>
      <c r="M1941" t="s">
        <v>3173</v>
      </c>
      <c r="N1941">
        <v>14225</v>
      </c>
      <c r="S1941">
        <v>11.31</v>
      </c>
      <c r="AA1941">
        <v>-1.06</v>
      </c>
      <c r="AB1941" t="s">
        <v>16602</v>
      </c>
      <c r="AC1941" t="s">
        <v>6860</v>
      </c>
      <c r="AI1941" t="s">
        <v>7125</v>
      </c>
      <c r="AJ1941" t="s">
        <v>629</v>
      </c>
      <c r="AK1941" t="s">
        <v>875</v>
      </c>
      <c r="AL1941">
        <v>12.05</v>
      </c>
      <c r="AM1941">
        <v>12.04</v>
      </c>
      <c r="AN1941">
        <v>0.08</v>
      </c>
      <c r="AR1941" t="s">
        <v>615</v>
      </c>
      <c r="AS1941" t="s">
        <v>10926</v>
      </c>
      <c r="AT1941" t="s">
        <v>660</v>
      </c>
      <c r="AU1941" t="s">
        <v>9387</v>
      </c>
      <c r="AV1941" t="s">
        <v>295</v>
      </c>
      <c r="AW1941" t="s">
        <v>3292</v>
      </c>
      <c r="AX1941" t="s">
        <v>14149</v>
      </c>
      <c r="AY1941" t="s">
        <v>20490</v>
      </c>
      <c r="AZ1941" t="s">
        <v>14730</v>
      </c>
      <c r="BA1941">
        <v>1</v>
      </c>
      <c r="BB1941">
        <v>186.87</v>
      </c>
      <c r="BC1941">
        <v>0.27</v>
      </c>
      <c r="BD1941">
        <v>17.09</v>
      </c>
      <c r="BE1941">
        <v>17.440000000000001</v>
      </c>
      <c r="BF1941">
        <v>17.100000000000001</v>
      </c>
      <c r="BG1941" t="s">
        <v>20491</v>
      </c>
      <c r="BH1941" t="s">
        <v>20492</v>
      </c>
      <c r="BI1941" t="s">
        <v>20493</v>
      </c>
      <c r="BJ1941" t="s">
        <v>101</v>
      </c>
      <c r="BK1941" t="s">
        <v>2963</v>
      </c>
      <c r="BL1941" t="s">
        <v>6068</v>
      </c>
      <c r="BM1941" t="s">
        <v>6430</v>
      </c>
      <c r="BN1941" t="s">
        <v>14623</v>
      </c>
    </row>
    <row r="1942" spans="1:66" x14ac:dyDescent="0.25">
      <c r="A1942" t="str">
        <f>HYPERLINK("https://elite.finviz.com/quote.ashx?t=BIOA&amp;ty=c&amp;p=d&amp;b=1", "BIOA")</f>
        <v>BIOA</v>
      </c>
      <c r="B1942">
        <v>6</v>
      </c>
      <c r="C1942">
        <v>127.03</v>
      </c>
      <c r="D1942">
        <v>59.19</v>
      </c>
      <c r="E1942" t="s">
        <v>20494</v>
      </c>
      <c r="F1942" t="s">
        <v>67</v>
      </c>
      <c r="G1942" t="s">
        <v>428</v>
      </c>
      <c r="H1942" t="s">
        <v>1296</v>
      </c>
      <c r="I1942" t="s">
        <v>70</v>
      </c>
      <c r="J1942" t="s">
        <v>321</v>
      </c>
      <c r="K1942">
        <v>187.5</v>
      </c>
      <c r="L1942">
        <v>5.23</v>
      </c>
      <c r="M1942" t="s">
        <v>2880</v>
      </c>
      <c r="N1942">
        <v>40411</v>
      </c>
      <c r="R1942">
        <v>48.57</v>
      </c>
      <c r="S1942">
        <v>0.64</v>
      </c>
      <c r="AA1942">
        <v>-2.2400000000000002</v>
      </c>
      <c r="AB1942" t="s">
        <v>6281</v>
      </c>
      <c r="AD1942" t="s">
        <v>8474</v>
      </c>
      <c r="AI1942" t="s">
        <v>20495</v>
      </c>
      <c r="AJ1942" t="s">
        <v>164</v>
      </c>
      <c r="AK1942" t="s">
        <v>18015</v>
      </c>
      <c r="AL1942">
        <v>13.21</v>
      </c>
      <c r="AM1942">
        <v>13.21</v>
      </c>
      <c r="AN1942">
        <v>0.03</v>
      </c>
      <c r="AO1942" t="s">
        <v>20496</v>
      </c>
      <c r="AP1942" t="s">
        <v>20497</v>
      </c>
      <c r="AQ1942" t="s">
        <v>20498</v>
      </c>
      <c r="AR1942" t="s">
        <v>713</v>
      </c>
      <c r="AS1942" t="s">
        <v>4172</v>
      </c>
      <c r="AT1942" t="s">
        <v>7231</v>
      </c>
      <c r="AU1942" t="s">
        <v>8051</v>
      </c>
      <c r="AV1942" t="s">
        <v>20499</v>
      </c>
      <c r="AW1942" t="s">
        <v>14331</v>
      </c>
      <c r="AX1942" t="s">
        <v>2815</v>
      </c>
      <c r="AY1942" t="s">
        <v>20500</v>
      </c>
      <c r="AZ1942" t="s">
        <v>14828</v>
      </c>
      <c r="BA1942">
        <v>3.5</v>
      </c>
      <c r="BB1942">
        <v>174.74</v>
      </c>
      <c r="BC1942">
        <v>0.81</v>
      </c>
      <c r="BD1942">
        <v>5.22</v>
      </c>
      <c r="BE1942">
        <v>5.34</v>
      </c>
      <c r="BF1942">
        <v>5.18</v>
      </c>
      <c r="BG1942" t="s">
        <v>20501</v>
      </c>
      <c r="BH1942" t="s">
        <v>20500</v>
      </c>
      <c r="BI1942" t="s">
        <v>14828</v>
      </c>
      <c r="BJ1942" t="s">
        <v>101</v>
      </c>
      <c r="BK1942" t="s">
        <v>20502</v>
      </c>
      <c r="BL1942" t="s">
        <v>7005</v>
      </c>
      <c r="BN1942" t="s">
        <v>14623</v>
      </c>
    </row>
    <row r="1943" spans="1:66" x14ac:dyDescent="0.25">
      <c r="A1943" t="str">
        <f>HYPERLINK("https://elite.finviz.com/quote.ashx?t=AVA&amp;ty=c&amp;p=d&amp;b=1", "AVA")</f>
        <v>AVA</v>
      </c>
      <c r="B1943">
        <v>6</v>
      </c>
      <c r="C1943">
        <v>127.03</v>
      </c>
      <c r="D1943">
        <v>59.19</v>
      </c>
      <c r="E1943" t="s">
        <v>20503</v>
      </c>
      <c r="F1943" t="s">
        <v>67</v>
      </c>
      <c r="G1943" t="s">
        <v>287</v>
      </c>
      <c r="H1943" t="s">
        <v>3479</v>
      </c>
      <c r="I1943" t="s">
        <v>70</v>
      </c>
      <c r="J1943" t="s">
        <v>71</v>
      </c>
      <c r="K1943">
        <v>3026.65</v>
      </c>
      <c r="L1943">
        <v>37.31</v>
      </c>
      <c r="M1943" t="s">
        <v>1022</v>
      </c>
      <c r="N1943">
        <v>58927</v>
      </c>
      <c r="O1943">
        <v>16.73</v>
      </c>
      <c r="P1943">
        <v>13.67</v>
      </c>
      <c r="Q1943">
        <v>2.12</v>
      </c>
      <c r="R1943">
        <v>1.55</v>
      </c>
      <c r="S1943">
        <v>1.1399999999999999</v>
      </c>
      <c r="T1943" t="s">
        <v>8966</v>
      </c>
      <c r="U1943">
        <v>1.94</v>
      </c>
      <c r="V1943" t="s">
        <v>10236</v>
      </c>
      <c r="W1943" t="s">
        <v>4499</v>
      </c>
      <c r="X1943" t="s">
        <v>4323</v>
      </c>
      <c r="Y1943" t="s">
        <v>4690</v>
      </c>
      <c r="Z1943" t="s">
        <v>16051</v>
      </c>
      <c r="AA1943">
        <v>2.23</v>
      </c>
      <c r="AB1943" t="s">
        <v>3173</v>
      </c>
      <c r="AC1943" t="s">
        <v>4540</v>
      </c>
      <c r="AD1943" t="s">
        <v>3687</v>
      </c>
      <c r="AE1943" t="s">
        <v>92</v>
      </c>
      <c r="AF1943" t="s">
        <v>6168</v>
      </c>
      <c r="AG1943" t="s">
        <v>2521</v>
      </c>
      <c r="AH1943" t="s">
        <v>5660</v>
      </c>
      <c r="AI1943" t="s">
        <v>20504</v>
      </c>
      <c r="AJ1943" t="s">
        <v>6156</v>
      </c>
      <c r="AK1943" t="s">
        <v>20505</v>
      </c>
      <c r="AL1943">
        <v>1</v>
      </c>
      <c r="AM1943">
        <v>0.68</v>
      </c>
      <c r="AN1943">
        <v>1.2</v>
      </c>
      <c r="AO1943" t="s">
        <v>5326</v>
      </c>
      <c r="AP1943" t="s">
        <v>5046</v>
      </c>
      <c r="AQ1943" t="s">
        <v>1078</v>
      </c>
      <c r="AR1943" t="s">
        <v>3761</v>
      </c>
      <c r="AS1943" t="s">
        <v>5158</v>
      </c>
      <c r="AT1943" t="s">
        <v>4600</v>
      </c>
      <c r="AU1943" t="s">
        <v>4689</v>
      </c>
      <c r="AV1943" t="s">
        <v>214</v>
      </c>
      <c r="AW1943" t="s">
        <v>79</v>
      </c>
      <c r="AX1943" t="s">
        <v>7453</v>
      </c>
      <c r="AY1943" t="s">
        <v>9414</v>
      </c>
      <c r="AZ1943" t="s">
        <v>297</v>
      </c>
      <c r="BA1943">
        <v>2.8</v>
      </c>
      <c r="BB1943">
        <v>693.14</v>
      </c>
      <c r="BC1943">
        <v>0.3</v>
      </c>
      <c r="BD1943">
        <v>37.07</v>
      </c>
      <c r="BE1943">
        <v>37.68</v>
      </c>
      <c r="BF1943">
        <v>37.119999999999997</v>
      </c>
      <c r="BG1943" t="s">
        <v>20506</v>
      </c>
      <c r="BH1943" t="s">
        <v>12868</v>
      </c>
      <c r="BI1943" t="s">
        <v>20507</v>
      </c>
      <c r="BJ1943" t="s">
        <v>101</v>
      </c>
      <c r="BK1943" t="s">
        <v>5693</v>
      </c>
      <c r="BL1943" t="s">
        <v>4147</v>
      </c>
      <c r="BM1943" t="s">
        <v>13522</v>
      </c>
      <c r="BN1943" t="s">
        <v>14623</v>
      </c>
    </row>
    <row r="1944" spans="1:66" x14ac:dyDescent="0.25">
      <c r="A1944" t="str">
        <f>HYPERLINK("https://elite.finviz.com/quote.ashx?t=CHAR&amp;ty=c&amp;p=d&amp;b=1", "CHAR")</f>
        <v>CHAR</v>
      </c>
      <c r="B1944">
        <v>6</v>
      </c>
      <c r="C1944">
        <v>127.03</v>
      </c>
      <c r="D1944">
        <v>59.2</v>
      </c>
      <c r="E1944" t="s">
        <v>20508</v>
      </c>
      <c r="F1944" t="s">
        <v>107</v>
      </c>
      <c r="G1944" t="s">
        <v>550</v>
      </c>
      <c r="H1944" t="s">
        <v>2120</v>
      </c>
      <c r="I1944" t="s">
        <v>70</v>
      </c>
      <c r="J1944" t="s">
        <v>321</v>
      </c>
      <c r="K1944">
        <v>113.44</v>
      </c>
      <c r="L1944">
        <v>10.35</v>
      </c>
      <c r="M1944" t="s">
        <v>164</v>
      </c>
      <c r="N1944">
        <v>0</v>
      </c>
      <c r="O1944">
        <v>63.3</v>
      </c>
      <c r="S1944">
        <v>1.32</v>
      </c>
      <c r="Z1944" t="s">
        <v>164</v>
      </c>
      <c r="AA1944">
        <v>0.16</v>
      </c>
      <c r="AJ1944" t="s">
        <v>20509</v>
      </c>
      <c r="AK1944" t="s">
        <v>20510</v>
      </c>
      <c r="AL1944">
        <v>19.95</v>
      </c>
      <c r="AM1944">
        <v>19.95</v>
      </c>
      <c r="AN1944">
        <v>0</v>
      </c>
      <c r="AR1944" t="s">
        <v>164</v>
      </c>
      <c r="AS1944" t="s">
        <v>4849</v>
      </c>
      <c r="AT1944" t="s">
        <v>6182</v>
      </c>
      <c r="AU1944" t="s">
        <v>7124</v>
      </c>
      <c r="AV1944" t="s">
        <v>1761</v>
      </c>
      <c r="AW1944" t="s">
        <v>3929</v>
      </c>
      <c r="AX1944" t="s">
        <v>4600</v>
      </c>
      <c r="AY1944" t="s">
        <v>3929</v>
      </c>
      <c r="AZ1944" t="s">
        <v>995</v>
      </c>
      <c r="BB1944">
        <v>19.579999999999998</v>
      </c>
      <c r="BC1944">
        <v>0</v>
      </c>
      <c r="BD1944">
        <v>10.35</v>
      </c>
      <c r="BE1944">
        <v>10.35</v>
      </c>
      <c r="BF1944">
        <v>10.35</v>
      </c>
      <c r="BG1944" t="s">
        <v>20511</v>
      </c>
      <c r="BH1944" t="s">
        <v>3929</v>
      </c>
      <c r="BI1944" t="s">
        <v>995</v>
      </c>
      <c r="BJ1944" t="s">
        <v>101</v>
      </c>
      <c r="BK1944" t="s">
        <v>5425</v>
      </c>
      <c r="BN1944" t="s">
        <v>14623</v>
      </c>
    </row>
    <row r="1945" spans="1:66" x14ac:dyDescent="0.25">
      <c r="A1945" t="str">
        <f>HYPERLINK("https://elite.finviz.com/quote.ashx?t=ENSG&amp;ty=c&amp;p=d&amp;b=1", "ENSG")</f>
        <v>ENSG</v>
      </c>
      <c r="B1945">
        <v>6</v>
      </c>
      <c r="C1945">
        <v>127.03</v>
      </c>
      <c r="D1945">
        <v>59.2</v>
      </c>
      <c r="E1945" t="s">
        <v>20512</v>
      </c>
      <c r="F1945" t="s">
        <v>67</v>
      </c>
      <c r="G1945" t="s">
        <v>428</v>
      </c>
      <c r="H1945" t="s">
        <v>3160</v>
      </c>
      <c r="I1945" t="s">
        <v>70</v>
      </c>
      <c r="J1945" t="s">
        <v>321</v>
      </c>
      <c r="K1945">
        <v>9879.94</v>
      </c>
      <c r="L1945">
        <v>171.23</v>
      </c>
      <c r="M1945" t="s">
        <v>1764</v>
      </c>
      <c r="N1945">
        <v>43432</v>
      </c>
      <c r="O1945">
        <v>30.91</v>
      </c>
      <c r="P1945">
        <v>23.84</v>
      </c>
      <c r="Q1945">
        <v>2.42</v>
      </c>
      <c r="R1945">
        <v>2.14</v>
      </c>
      <c r="S1945">
        <v>5.2</v>
      </c>
      <c r="T1945" t="s">
        <v>183</v>
      </c>
      <c r="U1945">
        <v>0.25</v>
      </c>
      <c r="V1945" t="s">
        <v>198</v>
      </c>
      <c r="W1945" t="s">
        <v>3520</v>
      </c>
      <c r="X1945" t="s">
        <v>4104</v>
      </c>
      <c r="Y1945" t="s">
        <v>9228</v>
      </c>
      <c r="Z1945" t="s">
        <v>215</v>
      </c>
      <c r="AA1945">
        <v>5.54</v>
      </c>
      <c r="AB1945" t="s">
        <v>8684</v>
      </c>
      <c r="AC1945" t="s">
        <v>16077</v>
      </c>
      <c r="AD1945" t="s">
        <v>1489</v>
      </c>
      <c r="AE1945" t="s">
        <v>672</v>
      </c>
      <c r="AF1945" t="s">
        <v>9887</v>
      </c>
      <c r="AG1945" t="s">
        <v>5702</v>
      </c>
      <c r="AH1945" t="s">
        <v>10331</v>
      </c>
      <c r="AI1945" t="s">
        <v>2333</v>
      </c>
      <c r="AJ1945" t="s">
        <v>1783</v>
      </c>
      <c r="AK1945" t="s">
        <v>20513</v>
      </c>
      <c r="AL1945">
        <v>1.41</v>
      </c>
      <c r="AM1945">
        <v>1.41</v>
      </c>
      <c r="AN1945">
        <v>1.01</v>
      </c>
      <c r="AO1945" t="s">
        <v>4549</v>
      </c>
      <c r="AP1945" t="s">
        <v>2487</v>
      </c>
      <c r="AQ1945" t="s">
        <v>1310</v>
      </c>
      <c r="AR1945" t="s">
        <v>1599</v>
      </c>
      <c r="AS1945" t="s">
        <v>5968</v>
      </c>
      <c r="AT1945" t="s">
        <v>2650</v>
      </c>
      <c r="AU1945" t="s">
        <v>5336</v>
      </c>
      <c r="AV1945" t="s">
        <v>758</v>
      </c>
      <c r="AW1945" t="s">
        <v>9500</v>
      </c>
      <c r="AX1945" t="s">
        <v>14149</v>
      </c>
      <c r="AY1945" t="s">
        <v>9500</v>
      </c>
      <c r="AZ1945" t="s">
        <v>10635</v>
      </c>
      <c r="BA1945">
        <v>1.67</v>
      </c>
      <c r="BB1945">
        <v>401.72</v>
      </c>
      <c r="BC1945">
        <v>0.38</v>
      </c>
      <c r="BD1945">
        <v>169.97</v>
      </c>
      <c r="BE1945">
        <v>171.98</v>
      </c>
      <c r="BF1945">
        <v>168.97</v>
      </c>
      <c r="BG1945" t="s">
        <v>20514</v>
      </c>
      <c r="BH1945" t="s">
        <v>9500</v>
      </c>
      <c r="BI1945" t="s">
        <v>20515</v>
      </c>
      <c r="BJ1945" t="s">
        <v>101</v>
      </c>
      <c r="BK1945" t="s">
        <v>11151</v>
      </c>
      <c r="BL1945" t="s">
        <v>2166</v>
      </c>
      <c r="BM1945" t="s">
        <v>9861</v>
      </c>
      <c r="BN1945" t="s">
        <v>14623</v>
      </c>
    </row>
    <row r="1946" spans="1:66" x14ac:dyDescent="0.25">
      <c r="A1946" t="str">
        <f>HYPERLINK("https://elite.finviz.com/quote.ashx?t=SRBK&amp;ty=c&amp;p=d&amp;b=1", "SRBK")</f>
        <v>SRBK</v>
      </c>
      <c r="B1946">
        <v>6</v>
      </c>
      <c r="C1946">
        <v>127.03</v>
      </c>
      <c r="D1946">
        <v>59.21</v>
      </c>
      <c r="E1946" t="s">
        <v>20516</v>
      </c>
      <c r="F1946" t="s">
        <v>67</v>
      </c>
      <c r="G1946" t="s">
        <v>550</v>
      </c>
      <c r="H1946" t="s">
        <v>697</v>
      </c>
      <c r="I1946" t="s">
        <v>70</v>
      </c>
      <c r="J1946" t="s">
        <v>321</v>
      </c>
      <c r="K1946">
        <v>125.19</v>
      </c>
      <c r="L1946">
        <v>15.2</v>
      </c>
      <c r="M1946" t="s">
        <v>8228</v>
      </c>
      <c r="N1946">
        <v>2425</v>
      </c>
      <c r="O1946">
        <v>34.65</v>
      </c>
      <c r="R1946">
        <v>2.57</v>
      </c>
      <c r="S1946">
        <v>0.7</v>
      </c>
      <c r="T1946" t="s">
        <v>1022</v>
      </c>
      <c r="U1946">
        <v>0.1</v>
      </c>
      <c r="V1946" t="s">
        <v>198</v>
      </c>
      <c r="Z1946" t="s">
        <v>15403</v>
      </c>
      <c r="AA1946">
        <v>0.44</v>
      </c>
      <c r="AB1946" t="s">
        <v>10039</v>
      </c>
      <c r="AE1946" t="s">
        <v>18326</v>
      </c>
      <c r="AF1946" t="s">
        <v>20517</v>
      </c>
      <c r="AH1946" t="s">
        <v>20518</v>
      </c>
      <c r="AJ1946" t="s">
        <v>2881</v>
      </c>
      <c r="AK1946" t="s">
        <v>823</v>
      </c>
      <c r="AL1946">
        <v>0.53</v>
      </c>
      <c r="AN1946">
        <v>0.17</v>
      </c>
      <c r="AP1946" t="s">
        <v>801</v>
      </c>
      <c r="AQ1946" t="s">
        <v>2450</v>
      </c>
      <c r="AR1946" t="s">
        <v>5968</v>
      </c>
      <c r="AS1946" t="s">
        <v>6056</v>
      </c>
      <c r="AT1946" t="s">
        <v>1279</v>
      </c>
      <c r="AU1946" t="s">
        <v>2493</v>
      </c>
      <c r="AV1946" t="s">
        <v>8781</v>
      </c>
      <c r="AW1946" t="s">
        <v>14607</v>
      </c>
      <c r="AX1946" t="s">
        <v>6068</v>
      </c>
      <c r="AY1946" t="s">
        <v>14607</v>
      </c>
      <c r="AZ1946" t="s">
        <v>970</v>
      </c>
      <c r="BB1946">
        <v>59.53</v>
      </c>
      <c r="BC1946">
        <v>0.14000000000000001</v>
      </c>
      <c r="BD1946">
        <v>15.13</v>
      </c>
      <c r="BE1946">
        <v>15.24</v>
      </c>
      <c r="BF1946">
        <v>15.01</v>
      </c>
      <c r="BG1946" t="s">
        <v>20519</v>
      </c>
      <c r="BH1946" t="s">
        <v>14607</v>
      </c>
      <c r="BI1946" t="s">
        <v>270</v>
      </c>
      <c r="BJ1946" t="s">
        <v>101</v>
      </c>
      <c r="BK1946" t="s">
        <v>920</v>
      </c>
      <c r="BL1946" t="s">
        <v>7515</v>
      </c>
      <c r="BM1946" t="s">
        <v>20520</v>
      </c>
      <c r="BN1946" t="s">
        <v>14623</v>
      </c>
    </row>
    <row r="1947" spans="1:66" x14ac:dyDescent="0.25">
      <c r="A1947" t="str">
        <f>HYPERLINK("https://elite.finviz.com/quote.ashx?t=BATL&amp;ty=c&amp;p=d&amp;b=1", "BATL")</f>
        <v>BATL</v>
      </c>
      <c r="B1947">
        <v>6</v>
      </c>
      <c r="C1947">
        <v>127.03</v>
      </c>
      <c r="D1947">
        <v>59.24</v>
      </c>
      <c r="E1947" t="s">
        <v>20521</v>
      </c>
      <c r="F1947" t="s">
        <v>107</v>
      </c>
      <c r="G1947" t="s">
        <v>1048</v>
      </c>
      <c r="H1947" t="s">
        <v>1049</v>
      </c>
      <c r="I1947" t="s">
        <v>70</v>
      </c>
      <c r="J1947" t="s">
        <v>383</v>
      </c>
      <c r="K1947">
        <v>20.239999999999998</v>
      </c>
      <c r="L1947">
        <v>1.23</v>
      </c>
      <c r="M1947" t="s">
        <v>6430</v>
      </c>
      <c r="N1947">
        <v>16526</v>
      </c>
      <c r="R1947">
        <v>0.11</v>
      </c>
      <c r="AA1947">
        <v>-2.1</v>
      </c>
      <c r="AB1947" t="s">
        <v>20522</v>
      </c>
      <c r="AC1947" t="s">
        <v>20523</v>
      </c>
      <c r="AE1947" t="s">
        <v>3415</v>
      </c>
      <c r="AF1947" t="s">
        <v>968</v>
      </c>
      <c r="AG1947" t="s">
        <v>5245</v>
      </c>
      <c r="AH1947" t="s">
        <v>20524</v>
      </c>
      <c r="AJ1947" t="s">
        <v>164</v>
      </c>
      <c r="AK1947" t="s">
        <v>11784</v>
      </c>
      <c r="AL1947">
        <v>0.93</v>
      </c>
      <c r="AM1947">
        <v>0.93</v>
      </c>
      <c r="AO1947" t="s">
        <v>2601</v>
      </c>
      <c r="AP1947" t="s">
        <v>1438</v>
      </c>
      <c r="AQ1947" t="s">
        <v>9364</v>
      </c>
      <c r="AR1947" t="s">
        <v>2945</v>
      </c>
      <c r="AS1947" t="s">
        <v>1474</v>
      </c>
      <c r="AT1947" t="s">
        <v>7419</v>
      </c>
      <c r="AU1947" t="s">
        <v>3456</v>
      </c>
      <c r="AV1947" t="s">
        <v>1029</v>
      </c>
      <c r="AW1947" t="s">
        <v>2901</v>
      </c>
      <c r="AX1947" t="s">
        <v>7308</v>
      </c>
      <c r="AY1947" t="s">
        <v>19818</v>
      </c>
      <c r="AZ1947" t="s">
        <v>7308</v>
      </c>
      <c r="BA1947">
        <v>3</v>
      </c>
      <c r="BB1947">
        <v>193.84</v>
      </c>
      <c r="BC1947">
        <v>0.3</v>
      </c>
      <c r="BD1947">
        <v>1.2</v>
      </c>
      <c r="BE1947">
        <v>1.24</v>
      </c>
      <c r="BF1947">
        <v>1.21</v>
      </c>
      <c r="BG1947" t="s">
        <v>20525</v>
      </c>
      <c r="BH1947" t="s">
        <v>20526</v>
      </c>
      <c r="BI1947" t="s">
        <v>7308</v>
      </c>
      <c r="BJ1947" t="s">
        <v>101</v>
      </c>
      <c r="BK1947" t="s">
        <v>20527</v>
      </c>
      <c r="BL1947" t="s">
        <v>9936</v>
      </c>
      <c r="BM1947" t="s">
        <v>20528</v>
      </c>
      <c r="BN1947" t="s">
        <v>14623</v>
      </c>
    </row>
    <row r="1948" spans="1:66" x14ac:dyDescent="0.25">
      <c r="A1948" t="str">
        <f>HYPERLINK("https://elite.finviz.com/quote.ashx?t=CEPF&amp;ty=c&amp;p=d&amp;b=1", "CEPF")</f>
        <v>CEPF</v>
      </c>
      <c r="B1948">
        <v>6</v>
      </c>
      <c r="C1948">
        <v>127.03</v>
      </c>
      <c r="D1948">
        <v>59.24</v>
      </c>
      <c r="E1948" t="s">
        <v>20529</v>
      </c>
      <c r="F1948" t="s">
        <v>107</v>
      </c>
      <c r="G1948" t="s">
        <v>550</v>
      </c>
      <c r="H1948" t="s">
        <v>2120</v>
      </c>
      <c r="I1948" t="s">
        <v>70</v>
      </c>
      <c r="J1948" t="s">
        <v>321</v>
      </c>
      <c r="K1948">
        <v>582.36</v>
      </c>
      <c r="L1948">
        <v>10.19</v>
      </c>
      <c r="M1948" t="s">
        <v>1083</v>
      </c>
      <c r="N1948">
        <v>2228</v>
      </c>
      <c r="AJ1948" t="s">
        <v>4293</v>
      </c>
      <c r="AK1948" t="s">
        <v>2215</v>
      </c>
      <c r="AL1948">
        <v>0</v>
      </c>
      <c r="AM1948">
        <v>0</v>
      </c>
      <c r="AR1948" t="s">
        <v>5380</v>
      </c>
      <c r="AS1948" t="s">
        <v>6842</v>
      </c>
      <c r="AT1948" t="s">
        <v>6719</v>
      </c>
      <c r="AU1948" t="s">
        <v>7464</v>
      </c>
      <c r="AV1948" t="s">
        <v>7464</v>
      </c>
      <c r="AW1948" t="s">
        <v>4187</v>
      </c>
      <c r="AX1948" t="s">
        <v>1338</v>
      </c>
      <c r="AY1948" t="s">
        <v>4187</v>
      </c>
      <c r="AZ1948" t="s">
        <v>1338</v>
      </c>
      <c r="BB1948">
        <v>944.16</v>
      </c>
      <c r="BC1948">
        <v>0.01</v>
      </c>
      <c r="BD1948">
        <v>10.17</v>
      </c>
      <c r="BE1948">
        <v>10.19</v>
      </c>
      <c r="BF1948">
        <v>10.16</v>
      </c>
      <c r="BG1948" t="s">
        <v>20530</v>
      </c>
      <c r="BH1948" t="s">
        <v>4187</v>
      </c>
      <c r="BI1948" t="s">
        <v>1338</v>
      </c>
      <c r="BJ1948" t="s">
        <v>101</v>
      </c>
      <c r="BN1948" t="s">
        <v>14623</v>
      </c>
    </row>
    <row r="1949" spans="1:66" x14ac:dyDescent="0.25">
      <c r="A1949" t="str">
        <f>HYPERLINK("https://elite.finviz.com/quote.ashx?t=PTHS&amp;ty=c&amp;p=d&amp;b=1", "PTHS")</f>
        <v>PTHS</v>
      </c>
      <c r="B1949">
        <v>6</v>
      </c>
      <c r="C1949">
        <v>127.03</v>
      </c>
      <c r="D1949">
        <v>59.28</v>
      </c>
      <c r="E1949" t="s">
        <v>20531</v>
      </c>
      <c r="F1949" t="s">
        <v>107</v>
      </c>
      <c r="G1949" t="s">
        <v>428</v>
      </c>
      <c r="H1949" t="s">
        <v>429</v>
      </c>
      <c r="I1949" t="s">
        <v>70</v>
      </c>
      <c r="J1949" t="s">
        <v>383</v>
      </c>
      <c r="K1949">
        <v>97.55</v>
      </c>
      <c r="L1949">
        <v>32.090000000000003</v>
      </c>
      <c r="M1949" t="s">
        <v>5309</v>
      </c>
      <c r="N1949">
        <v>2535</v>
      </c>
      <c r="AA1949">
        <v>-17.309999999999999</v>
      </c>
      <c r="AB1949" t="s">
        <v>20532</v>
      </c>
      <c r="AJ1949" t="s">
        <v>164</v>
      </c>
      <c r="AK1949" t="s">
        <v>3505</v>
      </c>
      <c r="AL1949">
        <v>0.04</v>
      </c>
      <c r="AM1949">
        <v>0.04</v>
      </c>
      <c r="AR1949" t="s">
        <v>3542</v>
      </c>
      <c r="AS1949" t="s">
        <v>1676</v>
      </c>
      <c r="AT1949" t="s">
        <v>1768</v>
      </c>
      <c r="AU1949" t="s">
        <v>7880</v>
      </c>
      <c r="AV1949" t="s">
        <v>20533</v>
      </c>
      <c r="AW1949" t="s">
        <v>701</v>
      </c>
      <c r="AX1949" t="s">
        <v>20534</v>
      </c>
      <c r="AY1949" t="s">
        <v>20535</v>
      </c>
      <c r="AZ1949" t="s">
        <v>20536</v>
      </c>
      <c r="BA1949">
        <v>1</v>
      </c>
      <c r="BB1949">
        <v>63.6</v>
      </c>
      <c r="BC1949">
        <v>0.14000000000000001</v>
      </c>
      <c r="BD1949">
        <v>33.24</v>
      </c>
      <c r="BE1949">
        <v>32.67</v>
      </c>
      <c r="BF1949">
        <v>32.03</v>
      </c>
      <c r="BG1949" t="s">
        <v>20537</v>
      </c>
      <c r="BH1949" t="s">
        <v>16310</v>
      </c>
      <c r="BI1949" t="s">
        <v>20536</v>
      </c>
      <c r="BJ1949" t="s">
        <v>101</v>
      </c>
      <c r="BK1949" t="s">
        <v>20538</v>
      </c>
      <c r="BL1949" t="s">
        <v>20539</v>
      </c>
      <c r="BM1949" t="s">
        <v>20540</v>
      </c>
      <c r="BN1949" t="s">
        <v>14623</v>
      </c>
    </row>
    <row r="1950" spans="1:66" x14ac:dyDescent="0.25">
      <c r="A1950" t="str">
        <f>HYPERLINK("https://elite.finviz.com/quote.ashx?t=CENN&amp;ty=c&amp;p=d&amp;b=1", "CENN")</f>
        <v>CENN</v>
      </c>
      <c r="B1950">
        <v>6</v>
      </c>
      <c r="C1950">
        <v>127.03</v>
      </c>
      <c r="D1950">
        <v>59.29</v>
      </c>
      <c r="E1950" t="s">
        <v>20541</v>
      </c>
      <c r="F1950" t="s">
        <v>107</v>
      </c>
      <c r="G1950" t="s">
        <v>813</v>
      </c>
      <c r="H1950" t="s">
        <v>890</v>
      </c>
      <c r="I1950" t="s">
        <v>70</v>
      </c>
      <c r="J1950" t="s">
        <v>321</v>
      </c>
      <c r="K1950">
        <v>30.4</v>
      </c>
      <c r="L1950">
        <v>0.59</v>
      </c>
      <c r="M1950" t="s">
        <v>4308</v>
      </c>
      <c r="N1950">
        <v>42008</v>
      </c>
      <c r="R1950">
        <v>1.08</v>
      </c>
      <c r="S1950">
        <v>0.35</v>
      </c>
      <c r="AA1950">
        <v>-1.31</v>
      </c>
      <c r="AB1950" t="s">
        <v>20542</v>
      </c>
      <c r="AC1950" t="s">
        <v>20543</v>
      </c>
      <c r="AE1950" t="s">
        <v>1090</v>
      </c>
      <c r="AF1950" t="s">
        <v>20544</v>
      </c>
      <c r="AG1950" t="s">
        <v>7200</v>
      </c>
      <c r="AH1950" t="s">
        <v>16057</v>
      </c>
      <c r="AJ1950" t="s">
        <v>164</v>
      </c>
      <c r="AK1950" t="s">
        <v>3856</v>
      </c>
      <c r="AL1950">
        <v>1.8</v>
      </c>
      <c r="AM1950">
        <v>0.62</v>
      </c>
      <c r="AN1950">
        <v>0.31</v>
      </c>
      <c r="AO1950" t="s">
        <v>10268</v>
      </c>
      <c r="AP1950" t="s">
        <v>20545</v>
      </c>
      <c r="AQ1950" t="s">
        <v>20546</v>
      </c>
      <c r="AR1950" t="s">
        <v>3119</v>
      </c>
      <c r="AS1950" t="s">
        <v>246</v>
      </c>
      <c r="AT1950" t="s">
        <v>2232</v>
      </c>
      <c r="AU1950" t="s">
        <v>9186</v>
      </c>
      <c r="AV1950" t="s">
        <v>20547</v>
      </c>
      <c r="AW1950" t="s">
        <v>6266</v>
      </c>
      <c r="AX1950" t="s">
        <v>16179</v>
      </c>
      <c r="AY1950" t="s">
        <v>15152</v>
      </c>
      <c r="AZ1950" t="s">
        <v>16179</v>
      </c>
      <c r="BB1950">
        <v>403.25</v>
      </c>
      <c r="BC1950">
        <v>0.37</v>
      </c>
      <c r="BD1950">
        <v>0.57999999999999996</v>
      </c>
      <c r="BE1950">
        <v>0.59</v>
      </c>
      <c r="BF1950">
        <v>0.57999999999999996</v>
      </c>
      <c r="BG1950" t="s">
        <v>20548</v>
      </c>
      <c r="BH1950" t="s">
        <v>579</v>
      </c>
      <c r="BI1950" t="s">
        <v>16179</v>
      </c>
      <c r="BJ1950" t="s">
        <v>101</v>
      </c>
      <c r="BK1950" t="s">
        <v>18918</v>
      </c>
      <c r="BL1950" t="s">
        <v>2151</v>
      </c>
      <c r="BM1950" t="s">
        <v>20549</v>
      </c>
      <c r="BN1950" t="s">
        <v>14623</v>
      </c>
    </row>
    <row r="1951" spans="1:66" x14ac:dyDescent="0.25">
      <c r="A1951" t="str">
        <f>HYPERLINK("https://elite.finviz.com/quote.ashx?t=FTDR&amp;ty=c&amp;p=d&amp;b=1", "FTDR")</f>
        <v>FTDR</v>
      </c>
      <c r="B1951">
        <v>6</v>
      </c>
      <c r="C1951">
        <v>127.03</v>
      </c>
      <c r="D1951">
        <v>59.37</v>
      </c>
      <c r="E1951" t="s">
        <v>20550</v>
      </c>
      <c r="F1951" t="s">
        <v>67</v>
      </c>
      <c r="G1951" t="s">
        <v>813</v>
      </c>
      <c r="H1951" t="s">
        <v>10177</v>
      </c>
      <c r="I1951" t="s">
        <v>70</v>
      </c>
      <c r="J1951" t="s">
        <v>321</v>
      </c>
      <c r="K1951">
        <v>4838.6000000000004</v>
      </c>
      <c r="L1951">
        <v>66.42</v>
      </c>
      <c r="M1951" t="s">
        <v>4809</v>
      </c>
      <c r="N1951">
        <v>62751</v>
      </c>
      <c r="O1951">
        <v>19.61</v>
      </c>
      <c r="P1951">
        <v>16.600000000000001</v>
      </c>
      <c r="Q1951">
        <v>2.35</v>
      </c>
      <c r="R1951">
        <v>2.46</v>
      </c>
      <c r="S1951">
        <v>19.12</v>
      </c>
      <c r="Z1951" t="s">
        <v>164</v>
      </c>
      <c r="AA1951">
        <v>3.39</v>
      </c>
      <c r="AB1951" t="s">
        <v>12395</v>
      </c>
      <c r="AC1951" t="s">
        <v>5877</v>
      </c>
      <c r="AD1951" t="s">
        <v>4518</v>
      </c>
      <c r="AE1951" t="s">
        <v>2053</v>
      </c>
      <c r="AF1951" t="s">
        <v>9228</v>
      </c>
      <c r="AG1951" t="s">
        <v>464</v>
      </c>
      <c r="AH1951" t="s">
        <v>4549</v>
      </c>
      <c r="AI1951" t="s">
        <v>4558</v>
      </c>
      <c r="AJ1951" t="s">
        <v>20551</v>
      </c>
      <c r="AK1951" t="s">
        <v>13697</v>
      </c>
      <c r="AL1951">
        <v>1.49</v>
      </c>
      <c r="AM1951">
        <v>1.49</v>
      </c>
      <c r="AN1951">
        <v>4.75</v>
      </c>
      <c r="AO1951" t="s">
        <v>16027</v>
      </c>
      <c r="AP1951" t="s">
        <v>6953</v>
      </c>
      <c r="AQ1951" t="s">
        <v>4258</v>
      </c>
      <c r="AR1951" t="s">
        <v>2876</v>
      </c>
      <c r="AS1951" t="s">
        <v>4687</v>
      </c>
      <c r="AT1951" t="s">
        <v>2195</v>
      </c>
      <c r="AU1951" t="s">
        <v>4378</v>
      </c>
      <c r="AV1951" t="s">
        <v>13491</v>
      </c>
      <c r="AW1951" t="s">
        <v>8542</v>
      </c>
      <c r="AX1951" t="s">
        <v>13695</v>
      </c>
      <c r="AY1951" t="s">
        <v>8542</v>
      </c>
      <c r="AZ1951" t="s">
        <v>15734</v>
      </c>
      <c r="BA1951">
        <v>2.4300000000000002</v>
      </c>
      <c r="BB1951">
        <v>651.19000000000005</v>
      </c>
      <c r="BC1951">
        <v>0.34</v>
      </c>
      <c r="BD1951">
        <v>66.760000000000005</v>
      </c>
      <c r="BE1951">
        <v>67.61</v>
      </c>
      <c r="BF1951">
        <v>66.7</v>
      </c>
      <c r="BG1951" t="s">
        <v>20552</v>
      </c>
      <c r="BH1951" t="s">
        <v>8542</v>
      </c>
      <c r="BI1951" t="s">
        <v>20553</v>
      </c>
      <c r="BJ1951" t="s">
        <v>101</v>
      </c>
      <c r="BK1951" t="s">
        <v>1055</v>
      </c>
      <c r="BL1951" t="s">
        <v>16026</v>
      </c>
      <c r="BM1951" t="s">
        <v>5451</v>
      </c>
      <c r="BN1951" t="s">
        <v>14623</v>
      </c>
    </row>
    <row r="1952" spans="1:66" x14ac:dyDescent="0.25">
      <c r="A1952" t="str">
        <f>HYPERLINK("https://elite.finviz.com/quote.ashx?t=UVE&amp;ty=c&amp;p=d&amp;b=1", "UVE")</f>
        <v>UVE</v>
      </c>
      <c r="B1952">
        <v>6</v>
      </c>
      <c r="C1952">
        <v>127.03</v>
      </c>
      <c r="D1952">
        <v>59.38</v>
      </c>
      <c r="E1952" t="s">
        <v>20554</v>
      </c>
      <c r="F1952" t="s">
        <v>67</v>
      </c>
      <c r="G1952" t="s">
        <v>550</v>
      </c>
      <c r="H1952" t="s">
        <v>4407</v>
      </c>
      <c r="I1952" t="s">
        <v>70</v>
      </c>
      <c r="J1952" t="s">
        <v>71</v>
      </c>
      <c r="K1952">
        <v>734.47</v>
      </c>
      <c r="L1952">
        <v>25.94</v>
      </c>
      <c r="M1952" t="s">
        <v>7423</v>
      </c>
      <c r="N1952">
        <v>39709</v>
      </c>
      <c r="O1952">
        <v>11.36</v>
      </c>
      <c r="P1952">
        <v>8.8699999999999992</v>
      </c>
      <c r="Q1952">
        <v>0.45</v>
      </c>
      <c r="R1952">
        <v>0.47</v>
      </c>
      <c r="S1952">
        <v>1.58</v>
      </c>
      <c r="T1952" t="s">
        <v>2789</v>
      </c>
      <c r="U1952">
        <v>0.64</v>
      </c>
      <c r="V1952" t="s">
        <v>4066</v>
      </c>
      <c r="W1952" t="s">
        <v>164</v>
      </c>
      <c r="X1952" t="s">
        <v>164</v>
      </c>
      <c r="Y1952" t="s">
        <v>164</v>
      </c>
      <c r="Z1952" t="s">
        <v>12155</v>
      </c>
      <c r="AA1952">
        <v>2.2799999999999998</v>
      </c>
      <c r="AB1952" t="s">
        <v>14587</v>
      </c>
      <c r="AC1952" t="s">
        <v>2492</v>
      </c>
      <c r="AD1952" t="s">
        <v>6602</v>
      </c>
      <c r="AE1952" t="s">
        <v>7231</v>
      </c>
      <c r="AF1952" t="s">
        <v>531</v>
      </c>
      <c r="AG1952" t="s">
        <v>5404</v>
      </c>
      <c r="AH1952" t="s">
        <v>2293</v>
      </c>
      <c r="AI1952" t="s">
        <v>2019</v>
      </c>
      <c r="AJ1952" t="s">
        <v>11444</v>
      </c>
      <c r="AK1952" t="s">
        <v>13425</v>
      </c>
      <c r="AL1952">
        <v>0.62</v>
      </c>
      <c r="AN1952">
        <v>0.22</v>
      </c>
      <c r="AP1952" t="s">
        <v>7767</v>
      </c>
      <c r="AQ1952" t="s">
        <v>1302</v>
      </c>
      <c r="AR1952" t="s">
        <v>1439</v>
      </c>
      <c r="AS1952" t="s">
        <v>179</v>
      </c>
      <c r="AT1952" t="s">
        <v>2735</v>
      </c>
      <c r="AU1952" t="s">
        <v>636</v>
      </c>
      <c r="AV1952" t="s">
        <v>5265</v>
      </c>
      <c r="AW1952" t="s">
        <v>4886</v>
      </c>
      <c r="AX1952" t="s">
        <v>3710</v>
      </c>
      <c r="AY1952" t="s">
        <v>16810</v>
      </c>
      <c r="AZ1952" t="s">
        <v>15319</v>
      </c>
      <c r="BA1952">
        <v>2</v>
      </c>
      <c r="BB1952">
        <v>228.39</v>
      </c>
      <c r="BC1952">
        <v>0.61</v>
      </c>
      <c r="BD1952">
        <v>25.52</v>
      </c>
      <c r="BE1952">
        <v>26.16</v>
      </c>
      <c r="BF1952">
        <v>25.57</v>
      </c>
      <c r="BG1952" t="s">
        <v>20555</v>
      </c>
      <c r="BH1952" t="s">
        <v>20556</v>
      </c>
      <c r="BJ1952" t="s">
        <v>101</v>
      </c>
      <c r="BK1952" t="s">
        <v>2206</v>
      </c>
      <c r="BL1952" t="s">
        <v>9614</v>
      </c>
      <c r="BM1952" t="s">
        <v>5063</v>
      </c>
      <c r="BN1952" t="s">
        <v>14623</v>
      </c>
    </row>
    <row r="1953" spans="1:66" x14ac:dyDescent="0.25">
      <c r="A1953" t="str">
        <f>HYPERLINK("https://elite.finviz.com/quote.ashx?t=SNSE&amp;ty=c&amp;p=d&amp;b=1", "SNSE")</f>
        <v>SNSE</v>
      </c>
      <c r="B1953">
        <v>6</v>
      </c>
      <c r="C1953">
        <v>127.03</v>
      </c>
      <c r="D1953">
        <v>59.41</v>
      </c>
      <c r="E1953" t="s">
        <v>20557</v>
      </c>
      <c r="F1953" t="s">
        <v>107</v>
      </c>
      <c r="G1953" t="s">
        <v>428</v>
      </c>
      <c r="H1953" t="s">
        <v>429</v>
      </c>
      <c r="I1953" t="s">
        <v>70</v>
      </c>
      <c r="J1953" t="s">
        <v>321</v>
      </c>
      <c r="K1953">
        <v>11.92</v>
      </c>
      <c r="L1953">
        <v>9.4499999999999993</v>
      </c>
      <c r="M1953" t="s">
        <v>7622</v>
      </c>
      <c r="N1953">
        <v>193</v>
      </c>
      <c r="S1953">
        <v>0.44</v>
      </c>
      <c r="AA1953">
        <v>-21.31</v>
      </c>
      <c r="AB1953" t="s">
        <v>3636</v>
      </c>
      <c r="AC1953" t="s">
        <v>8974</v>
      </c>
      <c r="AD1953" t="s">
        <v>6779</v>
      </c>
      <c r="AI1953" t="s">
        <v>7673</v>
      </c>
      <c r="AJ1953" t="s">
        <v>164</v>
      </c>
      <c r="AK1953" t="s">
        <v>3057</v>
      </c>
      <c r="AL1953">
        <v>7.64</v>
      </c>
      <c r="AM1953">
        <v>7.64</v>
      </c>
      <c r="AN1953">
        <v>0.09</v>
      </c>
      <c r="AR1953" t="s">
        <v>896</v>
      </c>
      <c r="AS1953" t="s">
        <v>2697</v>
      </c>
      <c r="AT1953" t="s">
        <v>1771</v>
      </c>
      <c r="AU1953" t="s">
        <v>5408</v>
      </c>
      <c r="AV1953" t="s">
        <v>17831</v>
      </c>
      <c r="AW1953" t="s">
        <v>3977</v>
      </c>
      <c r="AX1953" t="s">
        <v>11601</v>
      </c>
      <c r="AY1953" t="s">
        <v>20558</v>
      </c>
      <c r="AZ1953" t="s">
        <v>20559</v>
      </c>
      <c r="BA1953">
        <v>1</v>
      </c>
      <c r="BB1953">
        <v>15.46</v>
      </c>
      <c r="BC1953">
        <v>0.04</v>
      </c>
      <c r="BD1953">
        <v>8.77</v>
      </c>
      <c r="BE1953">
        <v>8.7899999999999991</v>
      </c>
      <c r="BF1953">
        <v>8.7899999999999991</v>
      </c>
      <c r="BG1953" t="s">
        <v>20560</v>
      </c>
      <c r="BH1953" t="s">
        <v>20561</v>
      </c>
      <c r="BI1953" t="s">
        <v>20559</v>
      </c>
      <c r="BJ1953" t="s">
        <v>101</v>
      </c>
      <c r="BK1953" t="s">
        <v>1959</v>
      </c>
      <c r="BL1953" t="s">
        <v>5700</v>
      </c>
      <c r="BM1953" t="s">
        <v>8346</v>
      </c>
      <c r="BN1953" t="s">
        <v>14623</v>
      </c>
    </row>
    <row r="1954" spans="1:66" x14ac:dyDescent="0.25">
      <c r="A1954" t="str">
        <f>HYPERLINK("https://elite.finviz.com/quote.ashx?t=FGEN&amp;ty=c&amp;p=d&amp;b=1", "FGEN")</f>
        <v>FGEN</v>
      </c>
      <c r="B1954">
        <v>6</v>
      </c>
      <c r="C1954">
        <v>127.03</v>
      </c>
      <c r="D1954">
        <v>59.44</v>
      </c>
      <c r="E1954" t="s">
        <v>20562</v>
      </c>
      <c r="F1954" t="s">
        <v>107</v>
      </c>
      <c r="G1954" t="s">
        <v>428</v>
      </c>
      <c r="H1954" t="s">
        <v>429</v>
      </c>
      <c r="I1954" t="s">
        <v>70</v>
      </c>
      <c r="J1954" t="s">
        <v>321</v>
      </c>
      <c r="K1954">
        <v>49.34</v>
      </c>
      <c r="L1954">
        <v>12.2</v>
      </c>
      <c r="M1954" t="s">
        <v>1364</v>
      </c>
      <c r="N1954">
        <v>6233</v>
      </c>
      <c r="R1954">
        <v>0.92</v>
      </c>
      <c r="AA1954">
        <v>-0.52</v>
      </c>
      <c r="AB1954" t="s">
        <v>6209</v>
      </c>
      <c r="AC1954" t="s">
        <v>8041</v>
      </c>
      <c r="AD1954" t="s">
        <v>2893</v>
      </c>
      <c r="AE1954" t="s">
        <v>8635</v>
      </c>
      <c r="AF1954" t="s">
        <v>15664</v>
      </c>
      <c r="AG1954" t="s">
        <v>20563</v>
      </c>
      <c r="AH1954" t="s">
        <v>20564</v>
      </c>
      <c r="AI1954" t="s">
        <v>11164</v>
      </c>
      <c r="AJ1954" t="s">
        <v>864</v>
      </c>
      <c r="AK1954" t="s">
        <v>12395</v>
      </c>
      <c r="AL1954">
        <v>1.04</v>
      </c>
      <c r="AM1954">
        <v>1.02</v>
      </c>
      <c r="AO1954" t="s">
        <v>17650</v>
      </c>
      <c r="AP1954" t="s">
        <v>3740</v>
      </c>
      <c r="AQ1954" t="s">
        <v>7689</v>
      </c>
      <c r="AR1954" t="s">
        <v>1871</v>
      </c>
      <c r="AS1954" t="s">
        <v>7010</v>
      </c>
      <c r="AT1954" t="s">
        <v>3636</v>
      </c>
      <c r="AU1954" t="s">
        <v>5238</v>
      </c>
      <c r="AV1954" t="s">
        <v>17883</v>
      </c>
      <c r="AW1954" t="s">
        <v>3322</v>
      </c>
      <c r="AX1954" t="s">
        <v>20565</v>
      </c>
      <c r="AY1954" t="s">
        <v>20566</v>
      </c>
      <c r="AZ1954" t="s">
        <v>20567</v>
      </c>
      <c r="BA1954">
        <v>2</v>
      </c>
      <c r="BB1954">
        <v>50.97</v>
      </c>
      <c r="BC1954">
        <v>0.43</v>
      </c>
      <c r="BD1954">
        <v>12.24</v>
      </c>
      <c r="BE1954">
        <v>12.33</v>
      </c>
      <c r="BF1954">
        <v>12.01</v>
      </c>
      <c r="BG1954" t="s">
        <v>20568</v>
      </c>
      <c r="BH1954" t="s">
        <v>13235</v>
      </c>
      <c r="BI1954" t="s">
        <v>20567</v>
      </c>
      <c r="BJ1954" t="s">
        <v>101</v>
      </c>
      <c r="BK1954" t="s">
        <v>20569</v>
      </c>
      <c r="BL1954" t="s">
        <v>18075</v>
      </c>
      <c r="BM1954" t="s">
        <v>12046</v>
      </c>
      <c r="BN1954" t="s">
        <v>14623</v>
      </c>
    </row>
    <row r="1955" spans="1:66" x14ac:dyDescent="0.25">
      <c r="A1955" t="str">
        <f>HYPERLINK("https://elite.finviz.com/quote.ashx?t=MLP&amp;ty=c&amp;p=d&amp;b=1", "MLP")</f>
        <v>MLP</v>
      </c>
      <c r="B1955">
        <v>6</v>
      </c>
      <c r="C1955">
        <v>127.03</v>
      </c>
      <c r="D1955">
        <v>59.46</v>
      </c>
      <c r="E1955" t="s">
        <v>20570</v>
      </c>
      <c r="F1955" t="s">
        <v>67</v>
      </c>
      <c r="G1955" t="s">
        <v>68</v>
      </c>
      <c r="H1955" t="s">
        <v>7494</v>
      </c>
      <c r="I1955" t="s">
        <v>70</v>
      </c>
      <c r="J1955" t="s">
        <v>71</v>
      </c>
      <c r="K1955">
        <v>380.64</v>
      </c>
      <c r="L1955">
        <v>19.28</v>
      </c>
      <c r="M1955" t="s">
        <v>7423</v>
      </c>
      <c r="N1955">
        <v>1455</v>
      </c>
      <c r="R1955">
        <v>22.59</v>
      </c>
      <c r="S1955">
        <v>14.47</v>
      </c>
      <c r="AA1955">
        <v>-0.7</v>
      </c>
      <c r="AB1955" t="s">
        <v>20571</v>
      </c>
      <c r="AC1955" t="s">
        <v>1215</v>
      </c>
      <c r="AE1955" t="s">
        <v>3785</v>
      </c>
      <c r="AF1955" t="s">
        <v>6137</v>
      </c>
      <c r="AG1955" t="s">
        <v>2146</v>
      </c>
      <c r="AH1955" t="s">
        <v>16452</v>
      </c>
      <c r="AI1955" t="s">
        <v>20572</v>
      </c>
      <c r="AJ1955" t="s">
        <v>430</v>
      </c>
      <c r="AK1955" t="s">
        <v>7390</v>
      </c>
      <c r="AL1955">
        <v>0.77</v>
      </c>
      <c r="AM1955">
        <v>0.77</v>
      </c>
      <c r="AN1955">
        <v>0.12</v>
      </c>
      <c r="AO1955" t="s">
        <v>1719</v>
      </c>
      <c r="AP1955" t="s">
        <v>20573</v>
      </c>
      <c r="AQ1955" t="s">
        <v>556</v>
      </c>
      <c r="AR1955" t="s">
        <v>334</v>
      </c>
      <c r="AS1955" t="s">
        <v>4269</v>
      </c>
      <c r="AT1955" t="s">
        <v>2035</v>
      </c>
      <c r="AU1955" t="s">
        <v>3468</v>
      </c>
      <c r="AV1955" t="s">
        <v>1160</v>
      </c>
      <c r="AW1955" t="s">
        <v>9711</v>
      </c>
      <c r="AX1955" t="s">
        <v>15814</v>
      </c>
      <c r="AY1955" t="s">
        <v>15646</v>
      </c>
      <c r="AZ1955" t="s">
        <v>18382</v>
      </c>
      <c r="BA1955">
        <v>4</v>
      </c>
      <c r="BB1955">
        <v>18.190000000000001</v>
      </c>
      <c r="BC1955">
        <v>0.28000000000000003</v>
      </c>
      <c r="BD1955">
        <v>18.97</v>
      </c>
      <c r="BE1955">
        <v>18.97</v>
      </c>
      <c r="BF1955">
        <v>18.97</v>
      </c>
      <c r="BG1955" t="s">
        <v>20574</v>
      </c>
      <c r="BH1955" t="s">
        <v>20575</v>
      </c>
      <c r="BI1955" t="s">
        <v>20576</v>
      </c>
      <c r="BJ1955" t="s">
        <v>101</v>
      </c>
      <c r="BK1955" t="s">
        <v>2732</v>
      </c>
      <c r="BL1955" t="s">
        <v>4172</v>
      </c>
      <c r="BM1955" t="s">
        <v>19779</v>
      </c>
      <c r="BN1955" t="s">
        <v>14623</v>
      </c>
    </row>
    <row r="1956" spans="1:66" x14ac:dyDescent="0.25">
      <c r="A1956" t="str">
        <f>HYPERLINK("https://elite.finviz.com/quote.ashx?t=SITM&amp;ty=c&amp;p=d&amp;b=1", "SITM")</f>
        <v>SITM</v>
      </c>
      <c r="B1956">
        <v>6</v>
      </c>
      <c r="C1956">
        <v>127.03</v>
      </c>
      <c r="D1956">
        <v>59.49</v>
      </c>
      <c r="E1956" t="s">
        <v>20577</v>
      </c>
      <c r="F1956" t="s">
        <v>67</v>
      </c>
      <c r="G1956" t="s">
        <v>108</v>
      </c>
      <c r="H1956" t="s">
        <v>1808</v>
      </c>
      <c r="I1956" t="s">
        <v>70</v>
      </c>
      <c r="J1956" t="s">
        <v>321</v>
      </c>
      <c r="K1956">
        <v>7527.37</v>
      </c>
      <c r="L1956">
        <v>289.47000000000003</v>
      </c>
      <c r="M1956" t="s">
        <v>7039</v>
      </c>
      <c r="N1956">
        <v>52733</v>
      </c>
      <c r="P1956">
        <v>87.71</v>
      </c>
      <c r="R1956">
        <v>29.45</v>
      </c>
      <c r="S1956">
        <v>6.84</v>
      </c>
      <c r="AA1956">
        <v>-3.49</v>
      </c>
      <c r="AC1956" t="s">
        <v>19942</v>
      </c>
      <c r="AD1956" t="s">
        <v>12827</v>
      </c>
      <c r="AE1956" t="s">
        <v>20578</v>
      </c>
      <c r="AF1956" t="s">
        <v>17603</v>
      </c>
      <c r="AG1956" t="s">
        <v>8464</v>
      </c>
      <c r="AH1956" t="s">
        <v>20579</v>
      </c>
      <c r="AI1956" t="s">
        <v>20580</v>
      </c>
      <c r="AJ1956" t="s">
        <v>9500</v>
      </c>
      <c r="AK1956" t="s">
        <v>4597</v>
      </c>
      <c r="AL1956">
        <v>8.5399999999999991</v>
      </c>
      <c r="AM1956">
        <v>7.76</v>
      </c>
      <c r="AN1956">
        <v>0</v>
      </c>
      <c r="AO1956" t="s">
        <v>20581</v>
      </c>
      <c r="AP1956" t="s">
        <v>20582</v>
      </c>
      <c r="AQ1956" t="s">
        <v>20583</v>
      </c>
      <c r="AR1956" t="s">
        <v>8925</v>
      </c>
      <c r="AS1956" t="s">
        <v>454</v>
      </c>
      <c r="AT1956" t="s">
        <v>6392</v>
      </c>
      <c r="AU1956" t="s">
        <v>1267</v>
      </c>
      <c r="AV1956" t="s">
        <v>10067</v>
      </c>
      <c r="AW1956" t="s">
        <v>7439</v>
      </c>
      <c r="AX1956" t="s">
        <v>2952</v>
      </c>
      <c r="AY1956" t="s">
        <v>7439</v>
      </c>
      <c r="AZ1956" t="s">
        <v>20584</v>
      </c>
      <c r="BA1956">
        <v>2.11</v>
      </c>
      <c r="BB1956">
        <v>402.58</v>
      </c>
      <c r="BC1956">
        <v>0.46</v>
      </c>
      <c r="BD1956">
        <v>294.36</v>
      </c>
      <c r="BE1956">
        <v>295.83</v>
      </c>
      <c r="BF1956">
        <v>288.35000000000002</v>
      </c>
      <c r="BG1956" t="s">
        <v>20585</v>
      </c>
      <c r="BH1956" t="s">
        <v>20586</v>
      </c>
      <c r="BI1956" t="s">
        <v>20587</v>
      </c>
      <c r="BJ1956" t="s">
        <v>101</v>
      </c>
      <c r="BK1956" t="s">
        <v>5315</v>
      </c>
      <c r="BL1956" t="s">
        <v>20588</v>
      </c>
      <c r="BM1956" t="s">
        <v>12027</v>
      </c>
      <c r="BN1956" t="s">
        <v>14623</v>
      </c>
    </row>
    <row r="1957" spans="1:66" x14ac:dyDescent="0.25">
      <c r="A1957" t="str">
        <f>HYPERLINK("https://elite.finviz.com/quote.ashx?t=CIA&amp;ty=c&amp;p=d&amp;b=1", "CIA")</f>
        <v>CIA</v>
      </c>
      <c r="B1957">
        <v>6</v>
      </c>
      <c r="C1957">
        <v>127.03</v>
      </c>
      <c r="D1957">
        <v>59.51</v>
      </c>
      <c r="E1957" t="s">
        <v>20589</v>
      </c>
      <c r="F1957" t="s">
        <v>67</v>
      </c>
      <c r="G1957" t="s">
        <v>550</v>
      </c>
      <c r="H1957" t="s">
        <v>5652</v>
      </c>
      <c r="I1957" t="s">
        <v>70</v>
      </c>
      <c r="J1957" t="s">
        <v>71</v>
      </c>
      <c r="K1957">
        <v>285.14999999999998</v>
      </c>
      <c r="L1957">
        <v>5.68</v>
      </c>
      <c r="M1957" t="s">
        <v>405</v>
      </c>
      <c r="N1957">
        <v>32834</v>
      </c>
      <c r="O1957">
        <v>25.59</v>
      </c>
      <c r="P1957">
        <v>15.34</v>
      </c>
      <c r="R1957">
        <v>1.1599999999999999</v>
      </c>
      <c r="S1957">
        <v>1.24</v>
      </c>
      <c r="Z1957" t="s">
        <v>164</v>
      </c>
      <c r="AA1957">
        <v>0.22</v>
      </c>
      <c r="AB1957" t="s">
        <v>19678</v>
      </c>
      <c r="AE1957" t="s">
        <v>3227</v>
      </c>
      <c r="AF1957" t="s">
        <v>1202</v>
      </c>
      <c r="AG1957" t="s">
        <v>1249</v>
      </c>
      <c r="AH1957" t="s">
        <v>5969</v>
      </c>
      <c r="AI1957" t="s">
        <v>1647</v>
      </c>
      <c r="AJ1957" t="s">
        <v>911</v>
      </c>
      <c r="AK1957" t="s">
        <v>3078</v>
      </c>
      <c r="AL1957">
        <v>24.13</v>
      </c>
      <c r="AN1957">
        <v>0</v>
      </c>
      <c r="AP1957" t="s">
        <v>3545</v>
      </c>
      <c r="AQ1957" t="s">
        <v>247</v>
      </c>
      <c r="AR1957" t="s">
        <v>4742</v>
      </c>
      <c r="AS1957" t="s">
        <v>6475</v>
      </c>
      <c r="AT1957" t="s">
        <v>1050</v>
      </c>
      <c r="AU1957" t="s">
        <v>11493</v>
      </c>
      <c r="AV1957" t="s">
        <v>9422</v>
      </c>
      <c r="AW1957" t="s">
        <v>786</v>
      </c>
      <c r="AX1957" t="s">
        <v>20590</v>
      </c>
      <c r="AY1957" t="s">
        <v>786</v>
      </c>
      <c r="AZ1957" t="s">
        <v>20591</v>
      </c>
      <c r="BA1957">
        <v>1</v>
      </c>
      <c r="BB1957">
        <v>269.55</v>
      </c>
      <c r="BC1957">
        <v>0.43</v>
      </c>
      <c r="BD1957">
        <v>5.89</v>
      </c>
      <c r="BE1957">
        <v>5.87</v>
      </c>
      <c r="BF1957">
        <v>5.62</v>
      </c>
      <c r="BG1957" t="s">
        <v>20592</v>
      </c>
      <c r="BH1957" t="s">
        <v>20593</v>
      </c>
      <c r="BI1957" t="s">
        <v>20594</v>
      </c>
      <c r="BJ1957" t="s">
        <v>101</v>
      </c>
      <c r="BK1957" t="s">
        <v>5327</v>
      </c>
      <c r="BL1957" t="s">
        <v>10611</v>
      </c>
      <c r="BM1957" t="s">
        <v>20595</v>
      </c>
      <c r="BN1957" t="s">
        <v>14623</v>
      </c>
    </row>
    <row r="1958" spans="1:66" x14ac:dyDescent="0.25">
      <c r="A1958" t="str">
        <f>HYPERLINK("https://elite.finviz.com/quote.ashx?t=KFFB&amp;ty=c&amp;p=d&amp;b=1", "KFFB")</f>
        <v>KFFB</v>
      </c>
      <c r="B1958">
        <v>6</v>
      </c>
      <c r="C1958">
        <v>127.03</v>
      </c>
      <c r="D1958">
        <v>59.53</v>
      </c>
      <c r="E1958" t="s">
        <v>20596</v>
      </c>
      <c r="F1958" t="s">
        <v>107</v>
      </c>
      <c r="G1958" t="s">
        <v>550</v>
      </c>
      <c r="H1958" t="s">
        <v>697</v>
      </c>
      <c r="I1958" t="s">
        <v>70</v>
      </c>
      <c r="J1958" t="s">
        <v>321</v>
      </c>
      <c r="K1958">
        <v>29.92</v>
      </c>
      <c r="L1958">
        <v>3.7</v>
      </c>
      <c r="M1958" t="s">
        <v>2647</v>
      </c>
      <c r="N1958">
        <v>121</v>
      </c>
      <c r="O1958">
        <v>165.92</v>
      </c>
      <c r="R1958">
        <v>1.52</v>
      </c>
      <c r="S1958">
        <v>0.62</v>
      </c>
      <c r="V1958" t="s">
        <v>20597</v>
      </c>
      <c r="Z1958" t="s">
        <v>164</v>
      </c>
      <c r="AA1958">
        <v>0.02</v>
      </c>
      <c r="AB1958" t="s">
        <v>3378</v>
      </c>
      <c r="AE1958" t="s">
        <v>2636</v>
      </c>
      <c r="AF1958" t="s">
        <v>948</v>
      </c>
      <c r="AG1958" t="s">
        <v>3050</v>
      </c>
      <c r="AH1958" t="s">
        <v>775</v>
      </c>
      <c r="AJ1958" t="s">
        <v>171</v>
      </c>
      <c r="AK1958" t="s">
        <v>2493</v>
      </c>
      <c r="AL1958">
        <v>0.96</v>
      </c>
      <c r="AN1958">
        <v>0.88</v>
      </c>
      <c r="AP1958" t="s">
        <v>6155</v>
      </c>
      <c r="AQ1958" t="s">
        <v>2864</v>
      </c>
      <c r="AR1958" t="s">
        <v>2748</v>
      </c>
      <c r="AS1958" t="s">
        <v>4125</v>
      </c>
      <c r="AT1958" t="s">
        <v>4867</v>
      </c>
      <c r="AU1958" t="s">
        <v>328</v>
      </c>
      <c r="AV1958" t="s">
        <v>7897</v>
      </c>
      <c r="AW1958" t="s">
        <v>14672</v>
      </c>
      <c r="AX1958" t="s">
        <v>20400</v>
      </c>
      <c r="AY1958" t="s">
        <v>14672</v>
      </c>
      <c r="AZ1958" t="s">
        <v>18398</v>
      </c>
      <c r="BB1958">
        <v>3.94</v>
      </c>
      <c r="BC1958">
        <v>0.11</v>
      </c>
      <c r="BD1958">
        <v>3.55</v>
      </c>
      <c r="BE1958">
        <v>3.66</v>
      </c>
      <c r="BF1958">
        <v>3.6</v>
      </c>
      <c r="BG1958" t="s">
        <v>20598</v>
      </c>
      <c r="BH1958" t="s">
        <v>19669</v>
      </c>
      <c r="BI1958" t="s">
        <v>18398</v>
      </c>
      <c r="BJ1958" t="s">
        <v>101</v>
      </c>
      <c r="BK1958" t="s">
        <v>20122</v>
      </c>
      <c r="BL1958" t="s">
        <v>709</v>
      </c>
      <c r="BM1958" t="s">
        <v>1822</v>
      </c>
      <c r="BN1958" t="s">
        <v>14623</v>
      </c>
    </row>
    <row r="1959" spans="1:66" x14ac:dyDescent="0.25">
      <c r="A1959" t="str">
        <f>HYPERLINK("https://elite.finviz.com/quote.ashx?t=NTCT&amp;ty=c&amp;p=d&amp;b=1", "NTCT")</f>
        <v>NTCT</v>
      </c>
      <c r="B1959">
        <v>6</v>
      </c>
      <c r="C1959">
        <v>127.03</v>
      </c>
      <c r="D1959">
        <v>59.59</v>
      </c>
      <c r="E1959" t="s">
        <v>20599</v>
      </c>
      <c r="F1959" t="s">
        <v>67</v>
      </c>
      <c r="G1959" t="s">
        <v>108</v>
      </c>
      <c r="H1959" t="s">
        <v>109</v>
      </c>
      <c r="I1959" t="s">
        <v>70</v>
      </c>
      <c r="J1959" t="s">
        <v>321</v>
      </c>
      <c r="K1959">
        <v>1840.72</v>
      </c>
      <c r="L1959">
        <v>25.61</v>
      </c>
      <c r="M1959" t="s">
        <v>2331</v>
      </c>
      <c r="N1959">
        <v>43630</v>
      </c>
      <c r="O1959">
        <v>25.59</v>
      </c>
      <c r="P1959">
        <v>10.52</v>
      </c>
      <c r="Q1959">
        <v>5.12</v>
      </c>
      <c r="R1959">
        <v>2.2000000000000002</v>
      </c>
      <c r="S1959">
        <v>1.2</v>
      </c>
      <c r="AA1959">
        <v>1</v>
      </c>
      <c r="AC1959" t="s">
        <v>144</v>
      </c>
      <c r="AD1959" t="s">
        <v>3450</v>
      </c>
      <c r="AE1959" t="s">
        <v>1452</v>
      </c>
      <c r="AF1959" t="s">
        <v>4953</v>
      </c>
      <c r="AG1959" t="s">
        <v>2950</v>
      </c>
      <c r="AH1959" t="s">
        <v>9751</v>
      </c>
      <c r="AI1959" t="s">
        <v>4640</v>
      </c>
      <c r="AJ1959" t="s">
        <v>2007</v>
      </c>
      <c r="AK1959" t="s">
        <v>20600</v>
      </c>
      <c r="AL1959">
        <v>1.75</v>
      </c>
      <c r="AM1959">
        <v>1.72</v>
      </c>
      <c r="AN1959">
        <v>0.03</v>
      </c>
      <c r="AO1959" t="s">
        <v>4015</v>
      </c>
      <c r="AP1959" t="s">
        <v>2740</v>
      </c>
      <c r="AQ1959" t="s">
        <v>11639</v>
      </c>
      <c r="AR1959" t="s">
        <v>6336</v>
      </c>
      <c r="AS1959" t="s">
        <v>617</v>
      </c>
      <c r="AT1959" t="s">
        <v>4689</v>
      </c>
      <c r="AU1959" t="s">
        <v>8050</v>
      </c>
      <c r="AV1959" t="s">
        <v>2905</v>
      </c>
      <c r="AW1959" t="s">
        <v>7272</v>
      </c>
      <c r="AX1959" t="s">
        <v>606</v>
      </c>
      <c r="AY1959" t="s">
        <v>4868</v>
      </c>
      <c r="AZ1959" t="s">
        <v>1724</v>
      </c>
      <c r="BA1959">
        <v>2.33</v>
      </c>
      <c r="BB1959">
        <v>666.55</v>
      </c>
      <c r="BC1959">
        <v>0.23</v>
      </c>
      <c r="BD1959">
        <v>25.78</v>
      </c>
      <c r="BE1959">
        <v>25.75</v>
      </c>
      <c r="BF1959">
        <v>25.59</v>
      </c>
      <c r="BG1959" t="s">
        <v>20601</v>
      </c>
      <c r="BH1959" t="s">
        <v>20602</v>
      </c>
      <c r="BI1959" t="s">
        <v>20603</v>
      </c>
      <c r="BJ1959" t="s">
        <v>101</v>
      </c>
      <c r="BK1959" t="s">
        <v>169</v>
      </c>
      <c r="BL1959" t="s">
        <v>15044</v>
      </c>
      <c r="BM1959" t="s">
        <v>347</v>
      </c>
      <c r="BN1959" t="s">
        <v>14623</v>
      </c>
    </row>
    <row r="1960" spans="1:66" x14ac:dyDescent="0.25">
      <c r="A1960" t="str">
        <f>HYPERLINK("https://elite.finviz.com/quote.ashx?t=ARL&amp;ty=c&amp;p=d&amp;b=1", "ARL")</f>
        <v>ARL</v>
      </c>
      <c r="B1960">
        <v>6</v>
      </c>
      <c r="C1960">
        <v>127.03</v>
      </c>
      <c r="D1960">
        <v>59.6</v>
      </c>
      <c r="E1960" t="s">
        <v>20604</v>
      </c>
      <c r="F1960" t="s">
        <v>67</v>
      </c>
      <c r="G1960" t="s">
        <v>68</v>
      </c>
      <c r="H1960" t="s">
        <v>7494</v>
      </c>
      <c r="I1960" t="s">
        <v>70</v>
      </c>
      <c r="J1960" t="s">
        <v>71</v>
      </c>
      <c r="K1960">
        <v>269.42</v>
      </c>
      <c r="L1960">
        <v>16.68</v>
      </c>
      <c r="M1960" t="s">
        <v>3349</v>
      </c>
      <c r="N1960">
        <v>350</v>
      </c>
      <c r="R1960">
        <v>5.64</v>
      </c>
      <c r="S1960">
        <v>0.44</v>
      </c>
      <c r="AA1960">
        <v>-0.73</v>
      </c>
      <c r="AC1960" t="s">
        <v>3925</v>
      </c>
      <c r="AE1960" t="s">
        <v>18188</v>
      </c>
      <c r="AF1960" t="s">
        <v>289</v>
      </c>
      <c r="AG1960" t="s">
        <v>8225</v>
      </c>
      <c r="AH1960" t="s">
        <v>5593</v>
      </c>
      <c r="AJ1960" t="s">
        <v>164</v>
      </c>
      <c r="AK1960" t="s">
        <v>6118</v>
      </c>
      <c r="AL1960">
        <v>105.35</v>
      </c>
      <c r="AM1960">
        <v>105.35</v>
      </c>
      <c r="AN1960">
        <v>0.36</v>
      </c>
      <c r="AO1960" t="s">
        <v>2175</v>
      </c>
      <c r="AP1960" t="s">
        <v>2266</v>
      </c>
      <c r="AQ1960" t="s">
        <v>12839</v>
      </c>
      <c r="AR1960" t="s">
        <v>2125</v>
      </c>
      <c r="AS1960" t="s">
        <v>5158</v>
      </c>
      <c r="AT1960" t="s">
        <v>4873</v>
      </c>
      <c r="AU1960" t="s">
        <v>7298</v>
      </c>
      <c r="AV1960" t="s">
        <v>9006</v>
      </c>
      <c r="AW1960" t="s">
        <v>9498</v>
      </c>
      <c r="AX1960" t="s">
        <v>8381</v>
      </c>
      <c r="AY1960" t="s">
        <v>12863</v>
      </c>
      <c r="AZ1960" t="s">
        <v>11926</v>
      </c>
      <c r="BB1960">
        <v>3.07</v>
      </c>
      <c r="BC1960">
        <v>0.4</v>
      </c>
      <c r="BD1960">
        <v>16.43</v>
      </c>
      <c r="BE1960">
        <v>16.43</v>
      </c>
      <c r="BF1960">
        <v>16.43</v>
      </c>
      <c r="BG1960" t="s">
        <v>20605</v>
      </c>
      <c r="BH1960" t="s">
        <v>20606</v>
      </c>
      <c r="BI1960" t="s">
        <v>20607</v>
      </c>
      <c r="BJ1960" t="s">
        <v>101</v>
      </c>
      <c r="BK1960" t="s">
        <v>13222</v>
      </c>
      <c r="BL1960" t="s">
        <v>9603</v>
      </c>
      <c r="BM1960" t="s">
        <v>1052</v>
      </c>
      <c r="BN1960" t="s">
        <v>14623</v>
      </c>
    </row>
    <row r="1961" spans="1:66" x14ac:dyDescent="0.25">
      <c r="A1961" t="str">
        <f>HYPERLINK("https://elite.finviz.com/quote.ashx?t=MBBC&amp;ty=c&amp;p=d&amp;b=1", "MBBC")</f>
        <v>MBBC</v>
      </c>
      <c r="B1961">
        <v>6</v>
      </c>
      <c r="C1961">
        <v>127.03</v>
      </c>
      <c r="D1961">
        <v>59.66</v>
      </c>
      <c r="E1961" t="s">
        <v>20608</v>
      </c>
      <c r="F1961" t="s">
        <v>107</v>
      </c>
      <c r="G1961" t="s">
        <v>550</v>
      </c>
      <c r="H1961" t="s">
        <v>697</v>
      </c>
      <c r="I1961" t="s">
        <v>70</v>
      </c>
      <c r="J1961" t="s">
        <v>321</v>
      </c>
      <c r="K1961">
        <v>30.75</v>
      </c>
      <c r="L1961">
        <v>10.45</v>
      </c>
      <c r="M1961" t="s">
        <v>6182</v>
      </c>
      <c r="N1961">
        <v>115</v>
      </c>
      <c r="O1961">
        <v>64.3</v>
      </c>
      <c r="R1961">
        <v>3.1</v>
      </c>
      <c r="S1961">
        <v>0.96</v>
      </c>
      <c r="AA1961">
        <v>0.16</v>
      </c>
      <c r="AE1961" t="s">
        <v>4569</v>
      </c>
      <c r="AF1961" t="s">
        <v>862</v>
      </c>
      <c r="AG1961" t="s">
        <v>2398</v>
      </c>
      <c r="AH1961" t="s">
        <v>17330</v>
      </c>
      <c r="AJ1961" t="s">
        <v>2215</v>
      </c>
      <c r="AK1961" t="s">
        <v>7086</v>
      </c>
      <c r="AL1961">
        <v>0.32</v>
      </c>
      <c r="AN1961">
        <v>0.48</v>
      </c>
      <c r="AP1961" t="s">
        <v>2293</v>
      </c>
      <c r="AQ1961" t="s">
        <v>2809</v>
      </c>
      <c r="AR1961" t="s">
        <v>8228</v>
      </c>
      <c r="AS1961" t="s">
        <v>8179</v>
      </c>
      <c r="AT1961" t="s">
        <v>3344</v>
      </c>
      <c r="AU1961" t="s">
        <v>4976</v>
      </c>
      <c r="AV1961" t="s">
        <v>73</v>
      </c>
      <c r="AW1961" t="s">
        <v>7346</v>
      </c>
      <c r="AX1961" t="s">
        <v>197</v>
      </c>
      <c r="AY1961" t="s">
        <v>9953</v>
      </c>
      <c r="AZ1961" t="s">
        <v>20609</v>
      </c>
      <c r="BB1961">
        <v>5.46</v>
      </c>
      <c r="BC1961">
        <v>7.0000000000000007E-2</v>
      </c>
      <c r="BD1961">
        <v>10.43</v>
      </c>
      <c r="BE1961">
        <v>10.45</v>
      </c>
      <c r="BF1961">
        <v>10.45</v>
      </c>
      <c r="BG1961" t="s">
        <v>20610</v>
      </c>
      <c r="BH1961" t="s">
        <v>9953</v>
      </c>
      <c r="BI1961" t="s">
        <v>11718</v>
      </c>
      <c r="BJ1961" t="s">
        <v>101</v>
      </c>
      <c r="BK1961" t="s">
        <v>3519</v>
      </c>
      <c r="BL1961" t="s">
        <v>3723</v>
      </c>
      <c r="BM1961" t="s">
        <v>20611</v>
      </c>
      <c r="BN1961" t="s">
        <v>14623</v>
      </c>
    </row>
    <row r="1962" spans="1:66" x14ac:dyDescent="0.25">
      <c r="A1962" t="str">
        <f>HYPERLINK("https://elite.finviz.com/quote.ashx?t=HIT&amp;ty=c&amp;p=d&amp;b=1", "HIT")</f>
        <v>HIT</v>
      </c>
      <c r="B1962">
        <v>6</v>
      </c>
      <c r="C1962">
        <v>127.03</v>
      </c>
      <c r="D1962">
        <v>59.69</v>
      </c>
      <c r="E1962" t="s">
        <v>20612</v>
      </c>
      <c r="F1962" t="s">
        <v>107</v>
      </c>
      <c r="G1962" t="s">
        <v>108</v>
      </c>
      <c r="H1962" t="s">
        <v>136</v>
      </c>
      <c r="I1962" t="s">
        <v>70</v>
      </c>
      <c r="J1962" t="s">
        <v>321</v>
      </c>
      <c r="K1962">
        <v>189.19</v>
      </c>
      <c r="L1962">
        <v>3.36</v>
      </c>
      <c r="M1962" t="s">
        <v>5258</v>
      </c>
      <c r="N1962">
        <v>63461</v>
      </c>
      <c r="O1962">
        <v>137.5</v>
      </c>
      <c r="P1962">
        <v>19.739999999999998</v>
      </c>
      <c r="R1962">
        <v>7.09</v>
      </c>
      <c r="S1962">
        <v>11.52</v>
      </c>
      <c r="Z1962" t="s">
        <v>164</v>
      </c>
      <c r="AA1962">
        <v>0.02</v>
      </c>
      <c r="AB1962" t="s">
        <v>20613</v>
      </c>
      <c r="AE1962" t="s">
        <v>16376</v>
      </c>
      <c r="AF1962" t="s">
        <v>5172</v>
      </c>
      <c r="AH1962" t="s">
        <v>5414</v>
      </c>
      <c r="AI1962" t="s">
        <v>164</v>
      </c>
      <c r="AJ1962" t="s">
        <v>164</v>
      </c>
      <c r="AK1962" t="s">
        <v>227</v>
      </c>
      <c r="AL1962">
        <v>2.74</v>
      </c>
      <c r="AM1962">
        <v>2.74</v>
      </c>
      <c r="AN1962">
        <v>0.01</v>
      </c>
      <c r="AO1962" t="s">
        <v>18943</v>
      </c>
      <c r="AP1962" t="s">
        <v>4824</v>
      </c>
      <c r="AQ1962" t="s">
        <v>1104</v>
      </c>
      <c r="AR1962" t="s">
        <v>605</v>
      </c>
      <c r="AS1962" t="s">
        <v>5404</v>
      </c>
      <c r="AT1962" t="s">
        <v>8530</v>
      </c>
      <c r="AU1962" t="s">
        <v>1628</v>
      </c>
      <c r="AV1962" t="s">
        <v>11052</v>
      </c>
      <c r="AW1962" t="s">
        <v>4336</v>
      </c>
      <c r="AX1962" t="s">
        <v>20614</v>
      </c>
      <c r="AY1962" t="s">
        <v>9880</v>
      </c>
      <c r="AZ1962" t="s">
        <v>20615</v>
      </c>
      <c r="BA1962">
        <v>1</v>
      </c>
      <c r="BB1962">
        <v>994.1</v>
      </c>
      <c r="BC1962">
        <v>0.22</v>
      </c>
      <c r="BD1962">
        <v>3.29</v>
      </c>
      <c r="BE1962">
        <v>3.39</v>
      </c>
      <c r="BF1962">
        <v>3.22</v>
      </c>
      <c r="BG1962" t="s">
        <v>20616</v>
      </c>
      <c r="BH1962" t="s">
        <v>9880</v>
      </c>
      <c r="BI1962" t="s">
        <v>20615</v>
      </c>
      <c r="BJ1962" t="s">
        <v>101</v>
      </c>
      <c r="BK1962" t="s">
        <v>20617</v>
      </c>
      <c r="BL1962" t="s">
        <v>20618</v>
      </c>
      <c r="BN1962" t="s">
        <v>14623</v>
      </c>
    </row>
    <row r="1963" spans="1:66" x14ac:dyDescent="0.25">
      <c r="A1963" t="str">
        <f>HYPERLINK("https://elite.finviz.com/quote.ashx?t=ACFN&amp;ty=c&amp;p=d&amp;b=1", "ACFN")</f>
        <v>ACFN</v>
      </c>
      <c r="B1963">
        <v>6</v>
      </c>
      <c r="C1963">
        <v>127.03</v>
      </c>
      <c r="D1963">
        <v>59.7</v>
      </c>
      <c r="E1963" t="s">
        <v>20619</v>
      </c>
      <c r="F1963" t="s">
        <v>107</v>
      </c>
      <c r="G1963" t="s">
        <v>108</v>
      </c>
      <c r="H1963" t="s">
        <v>9222</v>
      </c>
      <c r="I1963" t="s">
        <v>70</v>
      </c>
      <c r="J1963" t="s">
        <v>321</v>
      </c>
      <c r="K1963">
        <v>77.319999999999993</v>
      </c>
      <c r="L1963">
        <v>30.91</v>
      </c>
      <c r="M1963" t="s">
        <v>9204</v>
      </c>
      <c r="N1963">
        <v>1607</v>
      </c>
      <c r="O1963">
        <v>10.88</v>
      </c>
      <c r="R1963">
        <v>5.86</v>
      </c>
      <c r="S1963">
        <v>11.25</v>
      </c>
      <c r="V1963" t="s">
        <v>20620</v>
      </c>
      <c r="Z1963" t="s">
        <v>164</v>
      </c>
      <c r="AA1963">
        <v>2.84</v>
      </c>
      <c r="AE1963" t="s">
        <v>18681</v>
      </c>
      <c r="AF1963" t="s">
        <v>5003</v>
      </c>
      <c r="AG1963" t="s">
        <v>7401</v>
      </c>
      <c r="AH1963" t="s">
        <v>20621</v>
      </c>
      <c r="AJ1963" t="s">
        <v>164</v>
      </c>
      <c r="AK1963" t="s">
        <v>164</v>
      </c>
      <c r="AL1963">
        <v>1.61</v>
      </c>
      <c r="AM1963">
        <v>1.38</v>
      </c>
      <c r="AN1963">
        <v>0.15</v>
      </c>
      <c r="AO1963" t="s">
        <v>20622</v>
      </c>
      <c r="AP1963" t="s">
        <v>6696</v>
      </c>
      <c r="AQ1963" t="s">
        <v>3371</v>
      </c>
      <c r="AR1963" t="s">
        <v>11505</v>
      </c>
      <c r="AS1963" t="s">
        <v>1927</v>
      </c>
      <c r="AT1963" t="s">
        <v>283</v>
      </c>
      <c r="AU1963" t="s">
        <v>11482</v>
      </c>
      <c r="AV1963" t="s">
        <v>12870</v>
      </c>
      <c r="AW1963" t="s">
        <v>2354</v>
      </c>
      <c r="AX1963" t="s">
        <v>20623</v>
      </c>
      <c r="AY1963" t="s">
        <v>2354</v>
      </c>
      <c r="AZ1963" t="s">
        <v>20624</v>
      </c>
      <c r="BA1963">
        <v>2</v>
      </c>
      <c r="BB1963">
        <v>28.27</v>
      </c>
      <c r="BC1963">
        <v>0.2</v>
      </c>
      <c r="BD1963">
        <v>28.56</v>
      </c>
      <c r="BE1963">
        <v>29.5</v>
      </c>
      <c r="BF1963">
        <v>28.34</v>
      </c>
      <c r="BG1963" t="s">
        <v>20625</v>
      </c>
      <c r="BH1963" t="s">
        <v>5277</v>
      </c>
      <c r="BI1963" t="s">
        <v>20626</v>
      </c>
      <c r="BJ1963" t="s">
        <v>101</v>
      </c>
      <c r="BK1963" t="s">
        <v>5209</v>
      </c>
      <c r="BL1963" t="s">
        <v>11130</v>
      </c>
      <c r="BM1963" t="s">
        <v>20627</v>
      </c>
      <c r="BN1963" t="s">
        <v>14623</v>
      </c>
    </row>
    <row r="1964" spans="1:66" x14ac:dyDescent="0.25">
      <c r="A1964" t="str">
        <f>HYPERLINK("https://elite.finviz.com/quote.ashx?t=DSS&amp;ty=c&amp;p=d&amp;b=1", "DSS")</f>
        <v>DSS</v>
      </c>
      <c r="B1964">
        <v>6</v>
      </c>
      <c r="C1964">
        <v>127.03</v>
      </c>
      <c r="D1964">
        <v>59.71</v>
      </c>
      <c r="E1964" t="s">
        <v>20628</v>
      </c>
      <c r="F1964" t="s">
        <v>107</v>
      </c>
      <c r="G1964" t="s">
        <v>813</v>
      </c>
      <c r="H1964" t="s">
        <v>7355</v>
      </c>
      <c r="I1964" t="s">
        <v>70</v>
      </c>
      <c r="J1964" t="s">
        <v>383</v>
      </c>
      <c r="K1964">
        <v>12.78</v>
      </c>
      <c r="L1964">
        <v>1.4</v>
      </c>
      <c r="M1964" t="s">
        <v>2293</v>
      </c>
      <c r="N1964">
        <v>24648</v>
      </c>
      <c r="R1964">
        <v>0.6</v>
      </c>
      <c r="S1964">
        <v>0.82</v>
      </c>
      <c r="AA1964">
        <v>-6.18</v>
      </c>
      <c r="AB1964" t="s">
        <v>2885</v>
      </c>
      <c r="AC1964" t="s">
        <v>9402</v>
      </c>
      <c r="AE1964" t="s">
        <v>4835</v>
      </c>
      <c r="AF1964" t="s">
        <v>5824</v>
      </c>
      <c r="AG1964" t="s">
        <v>5331</v>
      </c>
      <c r="AH1964" t="s">
        <v>20629</v>
      </c>
      <c r="AI1964" t="s">
        <v>7242</v>
      </c>
      <c r="AJ1964" t="s">
        <v>164</v>
      </c>
      <c r="AK1964" t="s">
        <v>7338</v>
      </c>
      <c r="AL1964">
        <v>0.35</v>
      </c>
      <c r="AM1964">
        <v>0.3</v>
      </c>
      <c r="AN1964">
        <v>3.6</v>
      </c>
      <c r="AO1964" t="s">
        <v>19240</v>
      </c>
      <c r="AP1964" t="s">
        <v>20630</v>
      </c>
      <c r="AQ1964" t="s">
        <v>20631</v>
      </c>
      <c r="AR1964" t="s">
        <v>1283</v>
      </c>
      <c r="AS1964" t="s">
        <v>3965</v>
      </c>
      <c r="AT1964" t="s">
        <v>7945</v>
      </c>
      <c r="AU1964" t="s">
        <v>17283</v>
      </c>
      <c r="AV1964" t="s">
        <v>8587</v>
      </c>
      <c r="AW1964" t="s">
        <v>6305</v>
      </c>
      <c r="AX1964" t="s">
        <v>20632</v>
      </c>
      <c r="AY1964" t="s">
        <v>6305</v>
      </c>
      <c r="AZ1964" t="s">
        <v>4136</v>
      </c>
      <c r="BA1964">
        <v>1</v>
      </c>
      <c r="BB1964">
        <v>276.3</v>
      </c>
      <c r="BC1964">
        <v>0.31</v>
      </c>
      <c r="BD1964">
        <v>1.34</v>
      </c>
      <c r="BE1964">
        <v>1.44</v>
      </c>
      <c r="BF1964">
        <v>1.34</v>
      </c>
      <c r="BG1964" t="s">
        <v>20633</v>
      </c>
      <c r="BH1964" t="s">
        <v>579</v>
      </c>
      <c r="BI1964" t="s">
        <v>4136</v>
      </c>
      <c r="BJ1964" t="s">
        <v>101</v>
      </c>
      <c r="BK1964" t="s">
        <v>20634</v>
      </c>
      <c r="BL1964" t="s">
        <v>13550</v>
      </c>
      <c r="BM1964" t="s">
        <v>8051</v>
      </c>
      <c r="BN1964" t="s">
        <v>14623</v>
      </c>
    </row>
    <row r="1965" spans="1:66" x14ac:dyDescent="0.25">
      <c r="A1965" t="str">
        <f>HYPERLINK("https://elite.finviz.com/quote.ashx?t=PRAX&amp;ty=c&amp;p=d&amp;b=1", "PRAX")</f>
        <v>PRAX</v>
      </c>
      <c r="B1965">
        <v>6</v>
      </c>
      <c r="C1965">
        <v>127.03</v>
      </c>
      <c r="D1965">
        <v>59.76</v>
      </c>
      <c r="E1965" t="s">
        <v>20635</v>
      </c>
      <c r="F1965" t="s">
        <v>67</v>
      </c>
      <c r="G1965" t="s">
        <v>428</v>
      </c>
      <c r="H1965" t="s">
        <v>429</v>
      </c>
      <c r="I1965" t="s">
        <v>70</v>
      </c>
      <c r="J1965" t="s">
        <v>321</v>
      </c>
      <c r="K1965">
        <v>1044.9000000000001</v>
      </c>
      <c r="L1965">
        <v>49.64</v>
      </c>
      <c r="M1965" t="s">
        <v>6463</v>
      </c>
      <c r="N1965">
        <v>32336</v>
      </c>
      <c r="R1965">
        <v>134.65</v>
      </c>
      <c r="S1965">
        <v>2.58</v>
      </c>
      <c r="AA1965">
        <v>-12.29</v>
      </c>
      <c r="AB1965" t="s">
        <v>20636</v>
      </c>
      <c r="AC1965" t="s">
        <v>5607</v>
      </c>
      <c r="AD1965" t="s">
        <v>4316</v>
      </c>
      <c r="AE1965" t="s">
        <v>20637</v>
      </c>
      <c r="AH1965" t="s">
        <v>579</v>
      </c>
      <c r="AI1965" t="s">
        <v>214</v>
      </c>
      <c r="AJ1965" t="s">
        <v>164</v>
      </c>
      <c r="AK1965" t="s">
        <v>20638</v>
      </c>
      <c r="AL1965">
        <v>6.31</v>
      </c>
      <c r="AM1965">
        <v>6.31</v>
      </c>
      <c r="AN1965">
        <v>0</v>
      </c>
      <c r="AO1965" t="s">
        <v>20639</v>
      </c>
      <c r="AP1965" t="s">
        <v>20640</v>
      </c>
      <c r="AQ1965" t="s">
        <v>20641</v>
      </c>
      <c r="AR1965" t="s">
        <v>3147</v>
      </c>
      <c r="AS1965" t="s">
        <v>7010</v>
      </c>
      <c r="AT1965" t="s">
        <v>14918</v>
      </c>
      <c r="AU1965" t="s">
        <v>2736</v>
      </c>
      <c r="AV1965" t="s">
        <v>5309</v>
      </c>
      <c r="AW1965" t="s">
        <v>4702</v>
      </c>
      <c r="AX1965" t="s">
        <v>14076</v>
      </c>
      <c r="AY1965" t="s">
        <v>11079</v>
      </c>
      <c r="AZ1965" t="s">
        <v>20642</v>
      </c>
      <c r="BA1965">
        <v>1.36</v>
      </c>
      <c r="BB1965">
        <v>468.94</v>
      </c>
      <c r="BC1965">
        <v>0.25</v>
      </c>
      <c r="BD1965">
        <v>49.25</v>
      </c>
      <c r="BE1965">
        <v>49.98</v>
      </c>
      <c r="BF1965">
        <v>48.64</v>
      </c>
      <c r="BG1965" t="s">
        <v>20643</v>
      </c>
      <c r="BH1965" t="s">
        <v>20644</v>
      </c>
      <c r="BI1965" t="s">
        <v>20645</v>
      </c>
      <c r="BJ1965" t="s">
        <v>101</v>
      </c>
      <c r="BK1965" t="s">
        <v>9110</v>
      </c>
      <c r="BL1965" t="s">
        <v>1534</v>
      </c>
      <c r="BM1965" t="s">
        <v>11427</v>
      </c>
      <c r="BN1965" t="s">
        <v>14623</v>
      </c>
    </row>
    <row r="1966" spans="1:66" x14ac:dyDescent="0.25">
      <c r="A1966" t="str">
        <f>HYPERLINK("https://elite.finviz.com/quote.ashx?t=KCHV&amp;ty=c&amp;p=d&amp;b=1", "KCHV")</f>
        <v>KCHV</v>
      </c>
      <c r="B1966">
        <v>6</v>
      </c>
      <c r="C1966">
        <v>127.03</v>
      </c>
      <c r="D1966">
        <v>59.77</v>
      </c>
      <c r="E1966" t="s">
        <v>20646</v>
      </c>
      <c r="F1966" t="s">
        <v>107</v>
      </c>
      <c r="G1966" t="s">
        <v>550</v>
      </c>
      <c r="H1966" t="s">
        <v>2120</v>
      </c>
      <c r="I1966" t="s">
        <v>70</v>
      </c>
      <c r="J1966" t="s">
        <v>321</v>
      </c>
      <c r="K1966">
        <v>343.97</v>
      </c>
      <c r="L1966">
        <v>10.039999999999999</v>
      </c>
      <c r="M1966" t="s">
        <v>1083</v>
      </c>
      <c r="N1966">
        <v>252</v>
      </c>
      <c r="S1966">
        <v>1.39</v>
      </c>
      <c r="AK1966" t="s">
        <v>3496</v>
      </c>
      <c r="AL1966">
        <v>12.63</v>
      </c>
      <c r="AM1966">
        <v>12.63</v>
      </c>
      <c r="AN1966">
        <v>0</v>
      </c>
      <c r="AR1966" t="s">
        <v>211</v>
      </c>
      <c r="AS1966" t="s">
        <v>4507</v>
      </c>
      <c r="AT1966" t="s">
        <v>6156</v>
      </c>
      <c r="AU1966" t="s">
        <v>6156</v>
      </c>
      <c r="AV1966" t="s">
        <v>6156</v>
      </c>
      <c r="AW1966" t="s">
        <v>8979</v>
      </c>
      <c r="AX1966" t="s">
        <v>3018</v>
      </c>
      <c r="AY1966" t="s">
        <v>8979</v>
      </c>
      <c r="AZ1966" t="s">
        <v>3018</v>
      </c>
      <c r="BB1966">
        <v>103.25</v>
      </c>
      <c r="BC1966">
        <v>0.01</v>
      </c>
      <c r="BD1966">
        <v>10.02</v>
      </c>
      <c r="BE1966">
        <v>10.039999999999999</v>
      </c>
      <c r="BF1966">
        <v>10.039999999999999</v>
      </c>
      <c r="BG1966" t="s">
        <v>20647</v>
      </c>
      <c r="BH1966" t="s">
        <v>8979</v>
      </c>
      <c r="BI1966" t="s">
        <v>3018</v>
      </c>
      <c r="BJ1966" t="s">
        <v>101</v>
      </c>
      <c r="BN1966" t="s">
        <v>14623</v>
      </c>
    </row>
    <row r="1967" spans="1:66" x14ac:dyDescent="0.25">
      <c r="A1967" t="str">
        <f>HYPERLINK("https://elite.finviz.com/quote.ashx?t=ACT&amp;ty=c&amp;p=d&amp;b=1", "ACT")</f>
        <v>ACT</v>
      </c>
      <c r="B1967">
        <v>6</v>
      </c>
      <c r="C1967">
        <v>127.03</v>
      </c>
      <c r="D1967">
        <v>59.83</v>
      </c>
      <c r="E1967" t="s">
        <v>20648</v>
      </c>
      <c r="F1967" t="s">
        <v>67</v>
      </c>
      <c r="G1967" t="s">
        <v>550</v>
      </c>
      <c r="H1967" t="s">
        <v>4675</v>
      </c>
      <c r="I1967" t="s">
        <v>70</v>
      </c>
      <c r="J1967" t="s">
        <v>321</v>
      </c>
      <c r="K1967">
        <v>5730.89</v>
      </c>
      <c r="L1967">
        <v>38.85</v>
      </c>
      <c r="M1967" t="s">
        <v>1409</v>
      </c>
      <c r="N1967">
        <v>75618</v>
      </c>
      <c r="O1967">
        <v>8.83</v>
      </c>
      <c r="P1967">
        <v>8.5500000000000007</v>
      </c>
      <c r="Q1967">
        <v>3.76</v>
      </c>
      <c r="R1967">
        <v>4.6900000000000004</v>
      </c>
      <c r="S1967">
        <v>1.1000000000000001</v>
      </c>
      <c r="T1967" t="s">
        <v>6975</v>
      </c>
      <c r="U1967">
        <v>0.79</v>
      </c>
      <c r="V1967" t="s">
        <v>1440</v>
      </c>
      <c r="W1967" t="s">
        <v>11292</v>
      </c>
      <c r="Z1967" t="s">
        <v>8781</v>
      </c>
      <c r="AA1967">
        <v>4.4000000000000004</v>
      </c>
      <c r="AB1967" t="s">
        <v>2559</v>
      </c>
      <c r="AC1967" t="s">
        <v>121</v>
      </c>
      <c r="AD1967" t="s">
        <v>342</v>
      </c>
      <c r="AE1967" t="s">
        <v>5779</v>
      </c>
      <c r="AF1967" t="s">
        <v>4800</v>
      </c>
      <c r="AG1967" t="s">
        <v>2721</v>
      </c>
      <c r="AH1967" t="s">
        <v>617</v>
      </c>
      <c r="AI1967" t="s">
        <v>4690</v>
      </c>
      <c r="AJ1967" t="s">
        <v>2149</v>
      </c>
      <c r="AK1967" t="s">
        <v>6675</v>
      </c>
      <c r="AL1967">
        <v>1.72</v>
      </c>
      <c r="AN1967">
        <v>0.14000000000000001</v>
      </c>
      <c r="AP1967" t="s">
        <v>16026</v>
      </c>
      <c r="AQ1967" t="s">
        <v>20649</v>
      </c>
      <c r="AR1967" t="s">
        <v>3551</v>
      </c>
      <c r="AS1967" t="s">
        <v>2424</v>
      </c>
      <c r="AT1967" t="s">
        <v>343</v>
      </c>
      <c r="AU1967" t="s">
        <v>1302</v>
      </c>
      <c r="AV1967" t="s">
        <v>9227</v>
      </c>
      <c r="AW1967" t="s">
        <v>6614</v>
      </c>
      <c r="AX1967" t="s">
        <v>5699</v>
      </c>
      <c r="AY1967" t="s">
        <v>6614</v>
      </c>
      <c r="AZ1967" t="s">
        <v>18279</v>
      </c>
      <c r="BA1967">
        <v>2.57</v>
      </c>
      <c r="BB1967">
        <v>369.11</v>
      </c>
      <c r="BC1967">
        <v>0.72</v>
      </c>
      <c r="BD1967">
        <v>38.69</v>
      </c>
      <c r="BE1967">
        <v>39.24</v>
      </c>
      <c r="BF1967">
        <v>38.82</v>
      </c>
      <c r="BG1967" t="s">
        <v>20650</v>
      </c>
      <c r="BH1967" t="s">
        <v>6614</v>
      </c>
      <c r="BI1967" t="s">
        <v>20651</v>
      </c>
      <c r="BJ1967" t="s">
        <v>101</v>
      </c>
      <c r="BK1967" t="s">
        <v>3983</v>
      </c>
      <c r="BL1967" t="s">
        <v>6085</v>
      </c>
      <c r="BM1967" t="s">
        <v>2655</v>
      </c>
      <c r="BN1967" t="s">
        <v>14623</v>
      </c>
    </row>
    <row r="1968" spans="1:66" x14ac:dyDescent="0.25">
      <c r="A1968" t="str">
        <f>HYPERLINK("https://elite.finviz.com/quote.ashx?t=FORL&amp;ty=c&amp;p=d&amp;b=1", "FORL")</f>
        <v>FORL</v>
      </c>
      <c r="B1968">
        <v>6</v>
      </c>
      <c r="C1968">
        <v>127.03</v>
      </c>
      <c r="D1968">
        <v>59.86</v>
      </c>
      <c r="E1968" t="s">
        <v>20652</v>
      </c>
      <c r="F1968" t="s">
        <v>107</v>
      </c>
      <c r="G1968" t="s">
        <v>550</v>
      </c>
      <c r="H1968" t="s">
        <v>2120</v>
      </c>
      <c r="I1968" t="s">
        <v>70</v>
      </c>
      <c r="J1968" t="s">
        <v>321</v>
      </c>
      <c r="K1968">
        <v>28.27</v>
      </c>
      <c r="L1968">
        <v>11.99</v>
      </c>
      <c r="M1968" t="s">
        <v>4275</v>
      </c>
      <c r="N1968">
        <v>70</v>
      </c>
      <c r="S1968">
        <v>6.37</v>
      </c>
      <c r="Z1968" t="s">
        <v>164</v>
      </c>
      <c r="AA1968">
        <v>-0.01</v>
      </c>
      <c r="AJ1968" t="s">
        <v>17707</v>
      </c>
      <c r="AK1968" t="s">
        <v>20653</v>
      </c>
      <c r="AL1968">
        <v>0.8</v>
      </c>
      <c r="AM1968">
        <v>0.8</v>
      </c>
      <c r="AN1968">
        <v>0.7</v>
      </c>
      <c r="AR1968" t="s">
        <v>3358</v>
      </c>
      <c r="AS1968" t="s">
        <v>2125</v>
      </c>
      <c r="AT1968" t="s">
        <v>5132</v>
      </c>
      <c r="AU1968" t="s">
        <v>615</v>
      </c>
      <c r="AV1968" t="s">
        <v>1676</v>
      </c>
      <c r="AW1968" t="s">
        <v>6755</v>
      </c>
      <c r="AX1968" t="s">
        <v>7938</v>
      </c>
      <c r="AY1968" t="s">
        <v>6755</v>
      </c>
      <c r="AZ1968" t="s">
        <v>605</v>
      </c>
      <c r="BB1968">
        <v>1.35</v>
      </c>
      <c r="BC1968">
        <v>0.18</v>
      </c>
      <c r="BD1968">
        <v>11.8</v>
      </c>
      <c r="BE1968">
        <v>11.99</v>
      </c>
      <c r="BF1968">
        <v>11.99</v>
      </c>
      <c r="BG1968" t="s">
        <v>20654</v>
      </c>
      <c r="BH1968" t="s">
        <v>6755</v>
      </c>
      <c r="BI1968" t="s">
        <v>7072</v>
      </c>
      <c r="BJ1968" t="s">
        <v>101</v>
      </c>
      <c r="BK1968" t="s">
        <v>9936</v>
      </c>
      <c r="BL1968" t="s">
        <v>684</v>
      </c>
      <c r="BM1968" t="s">
        <v>1161</v>
      </c>
      <c r="BN1968" t="s">
        <v>14623</v>
      </c>
    </row>
    <row r="1969" spans="1:66" x14ac:dyDescent="0.25">
      <c r="A1969" t="str">
        <f>HYPERLINK("https://elite.finviz.com/quote.ashx?t=RFIL&amp;ty=c&amp;p=d&amp;b=1", "RFIL")</f>
        <v>RFIL</v>
      </c>
      <c r="B1969">
        <v>6</v>
      </c>
      <c r="C1969">
        <v>127.03</v>
      </c>
      <c r="D1969">
        <v>59.89</v>
      </c>
      <c r="E1969" t="s">
        <v>20655</v>
      </c>
      <c r="F1969" t="s">
        <v>107</v>
      </c>
      <c r="G1969" t="s">
        <v>260</v>
      </c>
      <c r="H1969" t="s">
        <v>1128</v>
      </c>
      <c r="I1969" t="s">
        <v>70</v>
      </c>
      <c r="J1969" t="s">
        <v>321</v>
      </c>
      <c r="K1969">
        <v>93.2</v>
      </c>
      <c r="L1969">
        <v>8.74</v>
      </c>
      <c r="M1969" t="s">
        <v>1100</v>
      </c>
      <c r="N1969">
        <v>67838</v>
      </c>
      <c r="P1969">
        <v>24.96</v>
      </c>
      <c r="R1969">
        <v>1.22</v>
      </c>
      <c r="S1969">
        <v>2.68</v>
      </c>
      <c r="V1969" t="s">
        <v>20376</v>
      </c>
      <c r="AA1969">
        <v>-0.03</v>
      </c>
      <c r="AE1969" t="s">
        <v>10780</v>
      </c>
      <c r="AF1969" t="s">
        <v>2484</v>
      </c>
      <c r="AG1969" t="s">
        <v>5187</v>
      </c>
      <c r="AH1969" t="s">
        <v>3668</v>
      </c>
      <c r="AI1969" t="s">
        <v>1057</v>
      </c>
      <c r="AJ1969" t="s">
        <v>4840</v>
      </c>
      <c r="AK1969" t="s">
        <v>1670</v>
      </c>
      <c r="AL1969">
        <v>1.62</v>
      </c>
      <c r="AM1969">
        <v>0.95</v>
      </c>
      <c r="AN1969">
        <v>0.78</v>
      </c>
      <c r="AO1969" t="s">
        <v>5320</v>
      </c>
      <c r="AP1969" t="s">
        <v>5158</v>
      </c>
      <c r="AQ1969" t="s">
        <v>3486</v>
      </c>
      <c r="AR1969" t="s">
        <v>7387</v>
      </c>
      <c r="AS1969" t="s">
        <v>2403</v>
      </c>
      <c r="AT1969" t="s">
        <v>1216</v>
      </c>
      <c r="AU1969" t="s">
        <v>2788</v>
      </c>
      <c r="AV1969" t="s">
        <v>6148</v>
      </c>
      <c r="AW1969" t="s">
        <v>4325</v>
      </c>
      <c r="AX1969" t="s">
        <v>6631</v>
      </c>
      <c r="AY1969" t="s">
        <v>4325</v>
      </c>
      <c r="AZ1969" t="s">
        <v>20656</v>
      </c>
      <c r="BA1969">
        <v>1</v>
      </c>
      <c r="BB1969">
        <v>199.78</v>
      </c>
      <c r="BC1969">
        <v>1.2</v>
      </c>
      <c r="BD1969">
        <v>8.42</v>
      </c>
      <c r="BE1969">
        <v>8.85</v>
      </c>
      <c r="BF1969">
        <v>8.44</v>
      </c>
      <c r="BG1969" t="s">
        <v>20657</v>
      </c>
      <c r="BH1969" t="s">
        <v>20658</v>
      </c>
      <c r="BI1969" t="s">
        <v>20659</v>
      </c>
      <c r="BJ1969" t="s">
        <v>101</v>
      </c>
      <c r="BK1969" t="s">
        <v>6890</v>
      </c>
      <c r="BL1969" t="s">
        <v>19228</v>
      </c>
      <c r="BM1969" t="s">
        <v>20660</v>
      </c>
      <c r="BN1969" t="s">
        <v>14623</v>
      </c>
    </row>
    <row r="1970" spans="1:66" x14ac:dyDescent="0.25">
      <c r="A1970" t="str">
        <f>HYPERLINK("https://elite.finviz.com/quote.ashx?t=STXS&amp;ty=c&amp;p=d&amp;b=1", "STXS")</f>
        <v>STXS</v>
      </c>
      <c r="B1970">
        <v>6</v>
      </c>
      <c r="C1970">
        <v>127.03</v>
      </c>
      <c r="D1970">
        <v>59.9</v>
      </c>
      <c r="E1970" t="s">
        <v>20661</v>
      </c>
      <c r="F1970" t="s">
        <v>67</v>
      </c>
      <c r="G1970" t="s">
        <v>428</v>
      </c>
      <c r="H1970" t="s">
        <v>2161</v>
      </c>
      <c r="I1970" t="s">
        <v>70</v>
      </c>
      <c r="J1970" t="s">
        <v>383</v>
      </c>
      <c r="K1970">
        <v>265.93</v>
      </c>
      <c r="L1970">
        <v>2.92</v>
      </c>
      <c r="M1970" t="s">
        <v>164</v>
      </c>
      <c r="N1970">
        <v>44221</v>
      </c>
      <c r="R1970">
        <v>8.36</v>
      </c>
      <c r="S1970">
        <v>172.47</v>
      </c>
      <c r="AA1970">
        <v>-0.28000000000000003</v>
      </c>
      <c r="AB1970" t="s">
        <v>19508</v>
      </c>
      <c r="AC1970" t="s">
        <v>16096</v>
      </c>
      <c r="AD1970" t="s">
        <v>18677</v>
      </c>
      <c r="AE1970" t="s">
        <v>1512</v>
      </c>
      <c r="AF1970" t="s">
        <v>5594</v>
      </c>
      <c r="AG1970" t="s">
        <v>13117</v>
      </c>
      <c r="AH1970" t="s">
        <v>20662</v>
      </c>
      <c r="AI1970" t="s">
        <v>4833</v>
      </c>
      <c r="AJ1970" t="s">
        <v>164</v>
      </c>
      <c r="AK1970" t="s">
        <v>1030</v>
      </c>
      <c r="AL1970">
        <v>1.05</v>
      </c>
      <c r="AM1970">
        <v>0.59</v>
      </c>
      <c r="AN1970">
        <v>0.85</v>
      </c>
      <c r="AO1970" t="s">
        <v>20663</v>
      </c>
      <c r="AP1970" t="s">
        <v>20664</v>
      </c>
      <c r="AQ1970" t="s">
        <v>20665</v>
      </c>
      <c r="AR1970" t="s">
        <v>2842</v>
      </c>
      <c r="AS1970" t="s">
        <v>3613</v>
      </c>
      <c r="AT1970" t="s">
        <v>4945</v>
      </c>
      <c r="AU1970" t="s">
        <v>1064</v>
      </c>
      <c r="AV1970" t="s">
        <v>19396</v>
      </c>
      <c r="AW1970" t="s">
        <v>4893</v>
      </c>
      <c r="AX1970" t="s">
        <v>8834</v>
      </c>
      <c r="AY1970" t="s">
        <v>4893</v>
      </c>
      <c r="AZ1970" t="s">
        <v>13985</v>
      </c>
      <c r="BA1970">
        <v>1</v>
      </c>
      <c r="BB1970">
        <v>524.22</v>
      </c>
      <c r="BC1970">
        <v>0.3</v>
      </c>
      <c r="BD1970">
        <v>2.92</v>
      </c>
      <c r="BE1970">
        <v>2.95</v>
      </c>
      <c r="BF1970">
        <v>2.9</v>
      </c>
      <c r="BG1970" t="s">
        <v>20666</v>
      </c>
      <c r="BH1970" t="s">
        <v>14582</v>
      </c>
      <c r="BI1970" t="s">
        <v>20667</v>
      </c>
      <c r="BJ1970" t="s">
        <v>101</v>
      </c>
      <c r="BK1970" t="s">
        <v>9973</v>
      </c>
      <c r="BL1970" t="s">
        <v>4199</v>
      </c>
      <c r="BM1970" t="s">
        <v>17476</v>
      </c>
      <c r="BN1970" t="s">
        <v>14623</v>
      </c>
    </row>
    <row r="1971" spans="1:66" x14ac:dyDescent="0.25">
      <c r="A1971" t="str">
        <f>HYPERLINK("https://elite.finviz.com/quote.ashx?t=STRC&amp;ty=c&amp;p=d&amp;b=1", "STRC")</f>
        <v>STRC</v>
      </c>
      <c r="B1971">
        <v>6</v>
      </c>
      <c r="C1971">
        <v>127.03</v>
      </c>
      <c r="D1971">
        <v>59.95</v>
      </c>
      <c r="E1971" t="s">
        <v>20668</v>
      </c>
      <c r="F1971" t="s">
        <v>107</v>
      </c>
      <c r="G1971" t="s">
        <v>108</v>
      </c>
      <c r="H1971" t="s">
        <v>109</v>
      </c>
      <c r="I1971" t="s">
        <v>70</v>
      </c>
      <c r="J1971" t="s">
        <v>321</v>
      </c>
      <c r="K1971">
        <v>85457.84</v>
      </c>
      <c r="L1971">
        <v>97.14</v>
      </c>
      <c r="M1971" t="s">
        <v>822</v>
      </c>
      <c r="N1971">
        <v>130912</v>
      </c>
      <c r="T1971" t="s">
        <v>2217</v>
      </c>
      <c r="U1971">
        <v>1.63</v>
      </c>
      <c r="V1971" t="s">
        <v>3833</v>
      </c>
      <c r="AR1971" t="s">
        <v>3000</v>
      </c>
      <c r="AS1971" t="s">
        <v>4308</v>
      </c>
      <c r="AT1971" t="s">
        <v>4538</v>
      </c>
      <c r="AU1971" t="s">
        <v>3013</v>
      </c>
      <c r="AV1971" t="s">
        <v>3013</v>
      </c>
      <c r="AW1971" t="s">
        <v>8789</v>
      </c>
      <c r="AX1971" t="s">
        <v>2312</v>
      </c>
      <c r="AY1971" t="s">
        <v>8789</v>
      </c>
      <c r="AZ1971" t="s">
        <v>2312</v>
      </c>
      <c r="BB1971">
        <v>902.26</v>
      </c>
      <c r="BC1971">
        <v>0.52</v>
      </c>
      <c r="BD1971">
        <v>96.92</v>
      </c>
      <c r="BE1971">
        <v>97.29</v>
      </c>
      <c r="BF1971">
        <v>97</v>
      </c>
      <c r="BG1971" t="s">
        <v>20669</v>
      </c>
      <c r="BH1971" t="s">
        <v>8789</v>
      </c>
      <c r="BI1971" t="s">
        <v>2312</v>
      </c>
      <c r="BJ1971" t="s">
        <v>101</v>
      </c>
      <c r="BN1971" t="s">
        <v>14623</v>
      </c>
    </row>
    <row r="1972" spans="1:66" x14ac:dyDescent="0.25">
      <c r="A1972" t="str">
        <f>HYPERLINK("https://elite.finviz.com/quote.ashx?t=CXT&amp;ty=c&amp;p=d&amp;b=1", "CXT")</f>
        <v>CXT</v>
      </c>
      <c r="B1972">
        <v>6</v>
      </c>
      <c r="C1972">
        <v>127.03</v>
      </c>
      <c r="D1972">
        <v>60.01</v>
      </c>
      <c r="E1972" t="s">
        <v>20670</v>
      </c>
      <c r="F1972" t="s">
        <v>107</v>
      </c>
      <c r="G1972" t="s">
        <v>260</v>
      </c>
      <c r="H1972" t="s">
        <v>261</v>
      </c>
      <c r="I1972" t="s">
        <v>70</v>
      </c>
      <c r="J1972" t="s">
        <v>71</v>
      </c>
      <c r="K1972">
        <v>3675.92</v>
      </c>
      <c r="L1972">
        <v>64.02</v>
      </c>
      <c r="M1972" t="s">
        <v>581</v>
      </c>
      <c r="N1972">
        <v>79112</v>
      </c>
      <c r="O1972">
        <v>24.49</v>
      </c>
      <c r="P1972">
        <v>13.26</v>
      </c>
      <c r="Q1972">
        <v>2.84</v>
      </c>
      <c r="R1972">
        <v>2.39</v>
      </c>
      <c r="S1972">
        <v>3.13</v>
      </c>
      <c r="T1972" t="s">
        <v>3552</v>
      </c>
      <c r="U1972">
        <v>0.67</v>
      </c>
      <c r="V1972" t="s">
        <v>4882</v>
      </c>
      <c r="W1972" t="s">
        <v>3523</v>
      </c>
      <c r="X1972" t="s">
        <v>20671</v>
      </c>
      <c r="Y1972" t="s">
        <v>7835</v>
      </c>
      <c r="Z1972" t="s">
        <v>12771</v>
      </c>
      <c r="AA1972">
        <v>2.61</v>
      </c>
      <c r="AB1972" t="s">
        <v>14463</v>
      </c>
      <c r="AC1972" t="s">
        <v>7403</v>
      </c>
      <c r="AD1972" t="s">
        <v>2487</v>
      </c>
      <c r="AE1972" t="s">
        <v>797</v>
      </c>
      <c r="AF1972" t="s">
        <v>20672</v>
      </c>
      <c r="AG1972" t="s">
        <v>20673</v>
      </c>
      <c r="AH1972" t="s">
        <v>416</v>
      </c>
      <c r="AI1972" t="s">
        <v>4547</v>
      </c>
      <c r="AJ1972" t="s">
        <v>1648</v>
      </c>
      <c r="AK1972" t="s">
        <v>9922</v>
      </c>
      <c r="AL1972">
        <v>1.2</v>
      </c>
      <c r="AM1972">
        <v>0.89</v>
      </c>
      <c r="AN1972">
        <v>0.97</v>
      </c>
      <c r="AO1972" t="s">
        <v>7932</v>
      </c>
      <c r="AP1972" t="s">
        <v>2409</v>
      </c>
      <c r="AQ1972" t="s">
        <v>3793</v>
      </c>
      <c r="AR1972" t="s">
        <v>4678</v>
      </c>
      <c r="AS1972" t="s">
        <v>911</v>
      </c>
      <c r="AT1972" t="s">
        <v>2231</v>
      </c>
      <c r="AU1972" t="s">
        <v>6584</v>
      </c>
      <c r="AV1972" t="s">
        <v>1777</v>
      </c>
      <c r="AW1972" t="s">
        <v>5356</v>
      </c>
      <c r="AX1972" t="s">
        <v>620</v>
      </c>
      <c r="AY1972" t="s">
        <v>8607</v>
      </c>
      <c r="AZ1972" t="s">
        <v>6299</v>
      </c>
      <c r="BA1972">
        <v>1.71</v>
      </c>
      <c r="BB1972">
        <v>419.73</v>
      </c>
      <c r="BC1972">
        <v>0.66</v>
      </c>
      <c r="BD1972">
        <v>63.33</v>
      </c>
      <c r="BE1972">
        <v>64.36</v>
      </c>
      <c r="BF1972">
        <v>63.51</v>
      </c>
      <c r="BG1972" t="s">
        <v>20674</v>
      </c>
      <c r="BH1972" t="s">
        <v>8607</v>
      </c>
      <c r="BI1972" t="s">
        <v>20675</v>
      </c>
      <c r="BJ1972" t="s">
        <v>101</v>
      </c>
      <c r="BK1972" t="s">
        <v>3470</v>
      </c>
      <c r="BL1972" t="s">
        <v>4598</v>
      </c>
      <c r="BM1972" t="s">
        <v>2884</v>
      </c>
      <c r="BN1972" t="s">
        <v>14623</v>
      </c>
    </row>
    <row r="1973" spans="1:66" x14ac:dyDescent="0.25">
      <c r="A1973" t="str">
        <f>HYPERLINK("https://elite.finviz.com/quote.ashx?t=ATRA&amp;ty=c&amp;p=d&amp;b=1", "ATRA")</f>
        <v>ATRA</v>
      </c>
      <c r="B1973">
        <v>6</v>
      </c>
      <c r="C1973">
        <v>127.03</v>
      </c>
      <c r="D1973">
        <v>60.02</v>
      </c>
      <c r="E1973" t="s">
        <v>20676</v>
      </c>
      <c r="F1973" t="s">
        <v>107</v>
      </c>
      <c r="G1973" t="s">
        <v>428</v>
      </c>
      <c r="H1973" t="s">
        <v>429</v>
      </c>
      <c r="I1973" t="s">
        <v>70</v>
      </c>
      <c r="J1973" t="s">
        <v>321</v>
      </c>
      <c r="K1973">
        <v>93.9</v>
      </c>
      <c r="L1973">
        <v>13.37</v>
      </c>
      <c r="M1973" t="s">
        <v>2136</v>
      </c>
      <c r="N1973">
        <v>6960</v>
      </c>
      <c r="P1973">
        <v>157.29</v>
      </c>
      <c r="R1973">
        <v>0.5</v>
      </c>
      <c r="AA1973">
        <v>-0.43</v>
      </c>
      <c r="AB1973" t="s">
        <v>577</v>
      </c>
      <c r="AC1973" t="s">
        <v>360</v>
      </c>
      <c r="AD1973" t="s">
        <v>3689</v>
      </c>
      <c r="AE1973" t="s">
        <v>20677</v>
      </c>
      <c r="AF1973" t="s">
        <v>20678</v>
      </c>
      <c r="AH1973" t="s">
        <v>7700</v>
      </c>
      <c r="AI1973" t="s">
        <v>20679</v>
      </c>
      <c r="AJ1973" t="s">
        <v>714</v>
      </c>
      <c r="AK1973" t="s">
        <v>13128</v>
      </c>
      <c r="AL1973">
        <v>1.7</v>
      </c>
      <c r="AM1973">
        <v>1.7</v>
      </c>
      <c r="AO1973" t="s">
        <v>6371</v>
      </c>
      <c r="AP1973" t="s">
        <v>4409</v>
      </c>
      <c r="AQ1973" t="s">
        <v>1902</v>
      </c>
      <c r="AR1973" t="s">
        <v>7511</v>
      </c>
      <c r="AS1973" t="s">
        <v>3733</v>
      </c>
      <c r="AT1973" t="s">
        <v>8808</v>
      </c>
      <c r="AU1973" t="s">
        <v>7605</v>
      </c>
      <c r="AV1973" t="s">
        <v>5302</v>
      </c>
      <c r="AW1973" t="s">
        <v>14813</v>
      </c>
      <c r="AX1973" t="s">
        <v>20680</v>
      </c>
      <c r="AY1973" t="s">
        <v>13319</v>
      </c>
      <c r="AZ1973" t="s">
        <v>14046</v>
      </c>
      <c r="BA1973">
        <v>1.5</v>
      </c>
      <c r="BB1973">
        <v>54.28</v>
      </c>
      <c r="BC1973">
        <v>0.45</v>
      </c>
      <c r="BD1973">
        <v>13.83</v>
      </c>
      <c r="BE1973">
        <v>14.02</v>
      </c>
      <c r="BF1973">
        <v>13.37</v>
      </c>
      <c r="BG1973" t="s">
        <v>20681</v>
      </c>
      <c r="BH1973" t="s">
        <v>20682</v>
      </c>
      <c r="BI1973" t="s">
        <v>20683</v>
      </c>
      <c r="BJ1973" t="s">
        <v>101</v>
      </c>
      <c r="BK1973" t="s">
        <v>20684</v>
      </c>
      <c r="BL1973" t="s">
        <v>10716</v>
      </c>
      <c r="BM1973" t="s">
        <v>20685</v>
      </c>
      <c r="BN1973" t="s">
        <v>14623</v>
      </c>
    </row>
    <row r="1974" spans="1:66" x14ac:dyDescent="0.25">
      <c r="A1974" t="str">
        <f>HYPERLINK("https://elite.finviz.com/quote.ashx?t=MELI&amp;ty=c&amp;p=d&amp;b=1", "MELI")</f>
        <v>MELI</v>
      </c>
      <c r="B1974">
        <v>6</v>
      </c>
      <c r="C1974">
        <v>127.03</v>
      </c>
      <c r="D1974">
        <v>60.03</v>
      </c>
      <c r="E1974" t="s">
        <v>20686</v>
      </c>
      <c r="F1974" t="s">
        <v>2731</v>
      </c>
      <c r="G1974" t="s">
        <v>813</v>
      </c>
      <c r="H1974" t="s">
        <v>4388</v>
      </c>
      <c r="I1974" t="s">
        <v>70</v>
      </c>
      <c r="J1974" t="s">
        <v>321</v>
      </c>
      <c r="K1974">
        <v>126217.21</v>
      </c>
      <c r="L1974">
        <v>2489.62</v>
      </c>
      <c r="M1974" t="s">
        <v>4699</v>
      </c>
      <c r="N1974">
        <v>78204</v>
      </c>
      <c r="O1974">
        <v>61.48</v>
      </c>
      <c r="P1974">
        <v>37.58</v>
      </c>
      <c r="Q1974">
        <v>1.84</v>
      </c>
      <c r="R1974">
        <v>5.24</v>
      </c>
      <c r="S1974">
        <v>22.09</v>
      </c>
      <c r="V1974" t="s">
        <v>20687</v>
      </c>
      <c r="Z1974" t="s">
        <v>164</v>
      </c>
      <c r="AA1974">
        <v>40.5</v>
      </c>
      <c r="AB1974" t="s">
        <v>20688</v>
      </c>
      <c r="AD1974" t="s">
        <v>12986</v>
      </c>
      <c r="AE1974" t="s">
        <v>20689</v>
      </c>
      <c r="AF1974" t="s">
        <v>1117</v>
      </c>
      <c r="AG1974" t="s">
        <v>20649</v>
      </c>
      <c r="AH1974" t="s">
        <v>2546</v>
      </c>
      <c r="AI1974" t="s">
        <v>20326</v>
      </c>
      <c r="AJ1974" t="s">
        <v>164</v>
      </c>
      <c r="AK1974" t="s">
        <v>20690</v>
      </c>
      <c r="AL1974">
        <v>1.2</v>
      </c>
      <c r="AM1974">
        <v>1.18</v>
      </c>
      <c r="AN1974">
        <v>2.0299999999999998</v>
      </c>
      <c r="AO1974" t="s">
        <v>18842</v>
      </c>
      <c r="AP1974" t="s">
        <v>10393</v>
      </c>
      <c r="AQ1974" t="s">
        <v>466</v>
      </c>
      <c r="AR1974" t="s">
        <v>1560</v>
      </c>
      <c r="AS1974" t="s">
        <v>4945</v>
      </c>
      <c r="AT1974" t="s">
        <v>2383</v>
      </c>
      <c r="AU1974" t="s">
        <v>2170</v>
      </c>
      <c r="AV1974" t="s">
        <v>1369</v>
      </c>
      <c r="AW1974" t="s">
        <v>364</v>
      </c>
      <c r="AX1974" t="s">
        <v>875</v>
      </c>
      <c r="AY1974" t="s">
        <v>11702</v>
      </c>
      <c r="AZ1974" t="s">
        <v>20691</v>
      </c>
      <c r="BA1974">
        <v>1.33</v>
      </c>
      <c r="BB1974">
        <v>349.45</v>
      </c>
      <c r="BC1974">
        <v>0.79</v>
      </c>
      <c r="BD1974">
        <v>2492.25</v>
      </c>
      <c r="BE1974">
        <v>2512</v>
      </c>
      <c r="BF1974">
        <v>2480.14</v>
      </c>
      <c r="BG1974" t="s">
        <v>20692</v>
      </c>
      <c r="BH1974" t="s">
        <v>11702</v>
      </c>
      <c r="BI1974" t="s">
        <v>20693</v>
      </c>
      <c r="BJ1974" t="s">
        <v>101</v>
      </c>
      <c r="BK1974" t="s">
        <v>4698</v>
      </c>
      <c r="BL1974" t="s">
        <v>7287</v>
      </c>
      <c r="BM1974" t="s">
        <v>4944</v>
      </c>
      <c r="BN1974" t="s">
        <v>14623</v>
      </c>
    </row>
    <row r="1975" spans="1:66" x14ac:dyDescent="0.25">
      <c r="A1975" t="str">
        <f>HYPERLINK("https://elite.finviz.com/quote.ashx?t=BAND&amp;ty=c&amp;p=d&amp;b=1", "BAND")</f>
        <v>BAND</v>
      </c>
      <c r="B1975">
        <v>6</v>
      </c>
      <c r="C1975">
        <v>127.03</v>
      </c>
      <c r="D1975">
        <v>60.07</v>
      </c>
      <c r="E1975" t="s">
        <v>20694</v>
      </c>
      <c r="F1975" t="s">
        <v>67</v>
      </c>
      <c r="G1975" t="s">
        <v>108</v>
      </c>
      <c r="H1975" t="s">
        <v>109</v>
      </c>
      <c r="I1975" t="s">
        <v>70</v>
      </c>
      <c r="J1975" t="s">
        <v>321</v>
      </c>
      <c r="K1975">
        <v>521.74</v>
      </c>
      <c r="L1975">
        <v>17.309999999999999</v>
      </c>
      <c r="M1975" t="s">
        <v>8374</v>
      </c>
      <c r="N1975">
        <v>18729</v>
      </c>
      <c r="P1975">
        <v>7.84</v>
      </c>
      <c r="R1975">
        <v>0.69</v>
      </c>
      <c r="S1975">
        <v>1.36</v>
      </c>
      <c r="AA1975">
        <v>-0.34</v>
      </c>
      <c r="AB1975" t="s">
        <v>20695</v>
      </c>
      <c r="AD1975" t="s">
        <v>7303</v>
      </c>
      <c r="AE1975" t="s">
        <v>5901</v>
      </c>
      <c r="AF1975" t="s">
        <v>3875</v>
      </c>
      <c r="AG1975" t="s">
        <v>10315</v>
      </c>
      <c r="AH1975" t="s">
        <v>1453</v>
      </c>
      <c r="AI1975" t="s">
        <v>3531</v>
      </c>
      <c r="AJ1975" t="s">
        <v>4553</v>
      </c>
      <c r="AK1975" t="s">
        <v>10269</v>
      </c>
      <c r="AL1975">
        <v>1.28</v>
      </c>
      <c r="AM1975">
        <v>1.28</v>
      </c>
      <c r="AN1975">
        <v>1.25</v>
      </c>
      <c r="AO1975" t="s">
        <v>2894</v>
      </c>
      <c r="AP1975" t="s">
        <v>6265</v>
      </c>
      <c r="AQ1975" t="s">
        <v>3831</v>
      </c>
      <c r="AR1975" t="s">
        <v>2419</v>
      </c>
      <c r="AS1975" t="s">
        <v>2842</v>
      </c>
      <c r="AT1975" t="s">
        <v>2842</v>
      </c>
      <c r="AU1975" t="s">
        <v>9614</v>
      </c>
      <c r="AV1975" t="s">
        <v>333</v>
      </c>
      <c r="AW1975" t="s">
        <v>440</v>
      </c>
      <c r="AX1975" t="s">
        <v>7302</v>
      </c>
      <c r="AY1975" t="s">
        <v>12839</v>
      </c>
      <c r="AZ1975" t="s">
        <v>13841</v>
      </c>
      <c r="BA1975">
        <v>1.8</v>
      </c>
      <c r="BB1975">
        <v>287.77</v>
      </c>
      <c r="BC1975">
        <v>0.23</v>
      </c>
      <c r="BD1975">
        <v>17.420000000000002</v>
      </c>
      <c r="BE1975">
        <v>17.559999999999999</v>
      </c>
      <c r="BF1975">
        <v>17.22</v>
      </c>
      <c r="BG1975" t="s">
        <v>20696</v>
      </c>
      <c r="BH1975" t="s">
        <v>13205</v>
      </c>
      <c r="BI1975" t="s">
        <v>9463</v>
      </c>
      <c r="BJ1975" t="s">
        <v>101</v>
      </c>
      <c r="BK1975" t="s">
        <v>9614</v>
      </c>
      <c r="BL1975" t="s">
        <v>11563</v>
      </c>
      <c r="BM1975" t="s">
        <v>6298</v>
      </c>
      <c r="BN1975" t="s">
        <v>14623</v>
      </c>
    </row>
    <row r="1976" spans="1:66" x14ac:dyDescent="0.25">
      <c r="A1976" t="str">
        <f>HYPERLINK("https://elite.finviz.com/quote.ashx?t=WRLD&amp;ty=c&amp;p=d&amp;b=1", "WRLD")</f>
        <v>WRLD</v>
      </c>
      <c r="B1976">
        <v>6</v>
      </c>
      <c r="C1976">
        <v>127.03</v>
      </c>
      <c r="D1976">
        <v>60.1</v>
      </c>
      <c r="E1976" t="s">
        <v>20697</v>
      </c>
      <c r="F1976" t="s">
        <v>67</v>
      </c>
      <c r="G1976" t="s">
        <v>550</v>
      </c>
      <c r="H1976" t="s">
        <v>3744</v>
      </c>
      <c r="I1976" t="s">
        <v>70</v>
      </c>
      <c r="J1976" t="s">
        <v>321</v>
      </c>
      <c r="K1976">
        <v>974.63</v>
      </c>
      <c r="L1976">
        <v>178.97</v>
      </c>
      <c r="M1976" t="s">
        <v>3950</v>
      </c>
      <c r="N1976">
        <v>8816</v>
      </c>
      <c r="O1976">
        <v>12.07</v>
      </c>
      <c r="P1976">
        <v>11.71</v>
      </c>
      <c r="R1976">
        <v>1.72</v>
      </c>
      <c r="S1976">
        <v>2.2799999999999998</v>
      </c>
      <c r="Z1976" t="s">
        <v>164</v>
      </c>
      <c r="AA1976">
        <v>14.82</v>
      </c>
      <c r="AB1976" t="s">
        <v>11397</v>
      </c>
      <c r="AC1976" t="s">
        <v>5996</v>
      </c>
      <c r="AE1976" t="s">
        <v>84</v>
      </c>
      <c r="AF1976" t="s">
        <v>3113</v>
      </c>
      <c r="AG1976" t="s">
        <v>2899</v>
      </c>
      <c r="AH1976" t="s">
        <v>1599</v>
      </c>
      <c r="AI1976" t="s">
        <v>20698</v>
      </c>
      <c r="AJ1976" t="s">
        <v>12015</v>
      </c>
      <c r="AK1976" t="s">
        <v>6919</v>
      </c>
      <c r="AL1976">
        <v>0.24</v>
      </c>
      <c r="AM1976">
        <v>0.24</v>
      </c>
      <c r="AN1976">
        <v>1.28</v>
      </c>
      <c r="AO1976" t="s">
        <v>20699</v>
      </c>
      <c r="AP1976" t="s">
        <v>5068</v>
      </c>
      <c r="AQ1976" t="s">
        <v>2169</v>
      </c>
      <c r="AR1976" t="s">
        <v>901</v>
      </c>
      <c r="AS1976" t="s">
        <v>4216</v>
      </c>
      <c r="AT1976" t="s">
        <v>3481</v>
      </c>
      <c r="AU1976" t="s">
        <v>3126</v>
      </c>
      <c r="AV1976" t="s">
        <v>7581</v>
      </c>
      <c r="AW1976" t="s">
        <v>2176</v>
      </c>
      <c r="AX1976" t="s">
        <v>5230</v>
      </c>
      <c r="AY1976" t="s">
        <v>2176</v>
      </c>
      <c r="AZ1976" t="s">
        <v>17795</v>
      </c>
      <c r="BA1976">
        <v>3</v>
      </c>
      <c r="BB1976">
        <v>51.03</v>
      </c>
      <c r="BC1976">
        <v>0.61</v>
      </c>
      <c r="BD1976">
        <v>180.65</v>
      </c>
      <c r="BE1976">
        <v>182.01</v>
      </c>
      <c r="BF1976">
        <v>178.51</v>
      </c>
      <c r="BG1976" t="s">
        <v>20700</v>
      </c>
      <c r="BH1976" t="s">
        <v>17816</v>
      </c>
      <c r="BI1976" t="s">
        <v>20701</v>
      </c>
      <c r="BJ1976" t="s">
        <v>101</v>
      </c>
      <c r="BK1976" t="s">
        <v>2398</v>
      </c>
      <c r="BL1976" t="s">
        <v>13791</v>
      </c>
      <c r="BM1976" t="s">
        <v>20702</v>
      </c>
      <c r="BN1976" t="s">
        <v>14623</v>
      </c>
    </row>
    <row r="1977" spans="1:66" x14ac:dyDescent="0.25">
      <c r="A1977" t="str">
        <f>HYPERLINK("https://elite.finviz.com/quote.ashx?t=CUB&amp;ty=c&amp;p=d&amp;b=1", "CUB")</f>
        <v>CUB</v>
      </c>
      <c r="B1977">
        <v>6</v>
      </c>
      <c r="C1977">
        <v>127.03</v>
      </c>
      <c r="D1977">
        <v>60.1</v>
      </c>
      <c r="E1977" t="s">
        <v>20703</v>
      </c>
      <c r="F1977" t="s">
        <v>107</v>
      </c>
      <c r="G1977" t="s">
        <v>550</v>
      </c>
      <c r="H1977" t="s">
        <v>2120</v>
      </c>
      <c r="I1977" t="s">
        <v>70</v>
      </c>
      <c r="J1977" t="s">
        <v>321</v>
      </c>
      <c r="K1977">
        <v>322.64999999999998</v>
      </c>
      <c r="L1977">
        <v>10.52</v>
      </c>
      <c r="M1977" t="s">
        <v>164</v>
      </c>
      <c r="N1977">
        <v>0</v>
      </c>
      <c r="O1977">
        <v>31.7</v>
      </c>
      <c r="S1977">
        <v>1.39</v>
      </c>
      <c r="Z1977" t="s">
        <v>164</v>
      </c>
      <c r="AA1977">
        <v>0.33</v>
      </c>
      <c r="AJ1977" t="s">
        <v>164</v>
      </c>
      <c r="AK1977" t="s">
        <v>13124</v>
      </c>
      <c r="AL1977">
        <v>4.42</v>
      </c>
      <c r="AM1977">
        <v>4.42</v>
      </c>
      <c r="AN1977">
        <v>0</v>
      </c>
      <c r="AR1977" t="s">
        <v>2215</v>
      </c>
      <c r="AS1977" t="s">
        <v>1324</v>
      </c>
      <c r="AT1977" t="s">
        <v>497</v>
      </c>
      <c r="AU1977" t="s">
        <v>3446</v>
      </c>
      <c r="AV1977" t="s">
        <v>744</v>
      </c>
      <c r="AW1977" t="s">
        <v>6192</v>
      </c>
      <c r="AX1977" t="s">
        <v>3552</v>
      </c>
      <c r="AY1977" t="s">
        <v>530</v>
      </c>
      <c r="AZ1977" t="s">
        <v>6226</v>
      </c>
      <c r="BB1977">
        <v>37.119999999999997</v>
      </c>
      <c r="BC1977">
        <v>0</v>
      </c>
      <c r="BD1977">
        <v>10.52</v>
      </c>
      <c r="BE1977">
        <v>10.52</v>
      </c>
      <c r="BF1977">
        <v>10.52</v>
      </c>
      <c r="BG1977" t="s">
        <v>20704</v>
      </c>
      <c r="BH1977" t="s">
        <v>530</v>
      </c>
      <c r="BI1977" t="s">
        <v>3949</v>
      </c>
      <c r="BJ1977" t="s">
        <v>101</v>
      </c>
      <c r="BK1977" t="s">
        <v>2646</v>
      </c>
      <c r="BL1977" t="s">
        <v>5736</v>
      </c>
      <c r="BN1977" t="s">
        <v>14623</v>
      </c>
    </row>
    <row r="1978" spans="1:66" x14ac:dyDescent="0.25">
      <c r="A1978" t="str">
        <f>HYPERLINK("https://elite.finviz.com/quote.ashx?t=CVKD&amp;ty=c&amp;p=d&amp;b=1", "CVKD")</f>
        <v>CVKD</v>
      </c>
      <c r="B1978">
        <v>6</v>
      </c>
      <c r="C1978">
        <v>127.03</v>
      </c>
      <c r="D1978">
        <v>60.13</v>
      </c>
      <c r="E1978" t="s">
        <v>20705</v>
      </c>
      <c r="F1978" t="s">
        <v>107</v>
      </c>
      <c r="G1978" t="s">
        <v>428</v>
      </c>
      <c r="H1978" t="s">
        <v>429</v>
      </c>
      <c r="I1978" t="s">
        <v>70</v>
      </c>
      <c r="J1978" t="s">
        <v>321</v>
      </c>
      <c r="K1978">
        <v>28.91</v>
      </c>
      <c r="L1978">
        <v>14.12</v>
      </c>
      <c r="M1978" t="s">
        <v>2103</v>
      </c>
      <c r="N1978">
        <v>7943</v>
      </c>
      <c r="S1978">
        <v>6.59</v>
      </c>
      <c r="AA1978">
        <v>-8.8800000000000008</v>
      </c>
      <c r="AB1978" t="s">
        <v>2203</v>
      </c>
      <c r="AI1978" t="s">
        <v>4417</v>
      </c>
      <c r="AJ1978" t="s">
        <v>7646</v>
      </c>
      <c r="AK1978" t="s">
        <v>3035</v>
      </c>
      <c r="AL1978">
        <v>3.54</v>
      </c>
      <c r="AM1978">
        <v>3.54</v>
      </c>
      <c r="AN1978">
        <v>0</v>
      </c>
      <c r="AR1978" t="s">
        <v>926</v>
      </c>
      <c r="AS1978" t="s">
        <v>5885</v>
      </c>
      <c r="AT1978" t="s">
        <v>9186</v>
      </c>
      <c r="AU1978" t="s">
        <v>8848</v>
      </c>
      <c r="AV1978" t="s">
        <v>746</v>
      </c>
      <c r="AW1978" t="s">
        <v>3586</v>
      </c>
      <c r="AX1978" t="s">
        <v>20706</v>
      </c>
      <c r="AY1978" t="s">
        <v>6248</v>
      </c>
      <c r="AZ1978" t="s">
        <v>20706</v>
      </c>
      <c r="BA1978">
        <v>1</v>
      </c>
      <c r="BB1978">
        <v>31.96</v>
      </c>
      <c r="BC1978">
        <v>0.88</v>
      </c>
      <c r="BD1978">
        <v>14.2</v>
      </c>
      <c r="BE1978">
        <v>14.3</v>
      </c>
      <c r="BF1978">
        <v>14</v>
      </c>
      <c r="BG1978" t="s">
        <v>20707</v>
      </c>
      <c r="BH1978" t="s">
        <v>1739</v>
      </c>
      <c r="BI1978" t="s">
        <v>20708</v>
      </c>
      <c r="BJ1978" t="s">
        <v>101</v>
      </c>
      <c r="BK1978" t="s">
        <v>1818</v>
      </c>
      <c r="BL1978" t="s">
        <v>20709</v>
      </c>
      <c r="BM1978" t="s">
        <v>1085</v>
      </c>
      <c r="BN1978" t="s">
        <v>14623</v>
      </c>
    </row>
    <row r="1979" spans="1:66" x14ac:dyDescent="0.25">
      <c r="A1979" t="str">
        <f>HYPERLINK("https://elite.finviz.com/quote.ashx?t=EGBN&amp;ty=c&amp;p=d&amp;b=1", "EGBN")</f>
        <v>EGBN</v>
      </c>
      <c r="B1979">
        <v>6</v>
      </c>
      <c r="C1979">
        <v>127.03</v>
      </c>
      <c r="D1979">
        <v>60.13</v>
      </c>
      <c r="E1979" t="s">
        <v>20710</v>
      </c>
      <c r="F1979" t="s">
        <v>67</v>
      </c>
      <c r="G1979" t="s">
        <v>550</v>
      </c>
      <c r="H1979" t="s">
        <v>697</v>
      </c>
      <c r="I1979" t="s">
        <v>70</v>
      </c>
      <c r="J1979" t="s">
        <v>321</v>
      </c>
      <c r="K1979">
        <v>632.89</v>
      </c>
      <c r="L1979">
        <v>20.84</v>
      </c>
      <c r="M1979" t="s">
        <v>4436</v>
      </c>
      <c r="N1979">
        <v>46838</v>
      </c>
      <c r="P1979">
        <v>12.54</v>
      </c>
      <c r="R1979">
        <v>0.94</v>
      </c>
      <c r="S1979">
        <v>0.53</v>
      </c>
      <c r="T1979" t="s">
        <v>305</v>
      </c>
      <c r="U1979">
        <v>0.66</v>
      </c>
      <c r="V1979" t="s">
        <v>1762</v>
      </c>
      <c r="W1979" t="s">
        <v>20711</v>
      </c>
      <c r="X1979" t="s">
        <v>4692</v>
      </c>
      <c r="Y1979" t="s">
        <v>12974</v>
      </c>
      <c r="AA1979">
        <v>-1.02</v>
      </c>
      <c r="AD1979" t="s">
        <v>1089</v>
      </c>
      <c r="AE1979" t="s">
        <v>7332</v>
      </c>
      <c r="AF1979" t="s">
        <v>13016</v>
      </c>
      <c r="AG1979" t="s">
        <v>2559</v>
      </c>
      <c r="AH1979" t="s">
        <v>7886</v>
      </c>
      <c r="AI1979" t="s">
        <v>20712</v>
      </c>
      <c r="AJ1979" t="s">
        <v>164</v>
      </c>
      <c r="AK1979" t="s">
        <v>20713</v>
      </c>
      <c r="AL1979">
        <v>7.0000000000000007E-2</v>
      </c>
      <c r="AN1979">
        <v>0.16</v>
      </c>
      <c r="AP1979" t="s">
        <v>2836</v>
      </c>
      <c r="AQ1979" t="s">
        <v>6499</v>
      </c>
      <c r="AR1979" t="s">
        <v>387</v>
      </c>
      <c r="AS1979" t="s">
        <v>5256</v>
      </c>
      <c r="AT1979" t="s">
        <v>679</v>
      </c>
      <c r="AU1979" t="s">
        <v>7698</v>
      </c>
      <c r="AV1979" t="s">
        <v>4312</v>
      </c>
      <c r="AW1979" t="s">
        <v>5742</v>
      </c>
      <c r="AX1979" t="s">
        <v>10694</v>
      </c>
      <c r="AY1979" t="s">
        <v>14371</v>
      </c>
      <c r="AZ1979" t="s">
        <v>10694</v>
      </c>
      <c r="BA1979">
        <v>2.5</v>
      </c>
      <c r="BB1979">
        <v>563.34</v>
      </c>
      <c r="BC1979">
        <v>0.28999999999999998</v>
      </c>
      <c r="BD1979">
        <v>21.07</v>
      </c>
      <c r="BE1979">
        <v>21.25</v>
      </c>
      <c r="BF1979">
        <v>20.91</v>
      </c>
      <c r="BG1979" t="s">
        <v>20714</v>
      </c>
      <c r="BH1979" t="s">
        <v>20715</v>
      </c>
      <c r="BI1979" t="s">
        <v>20716</v>
      </c>
      <c r="BJ1979" t="s">
        <v>101</v>
      </c>
      <c r="BK1979" t="s">
        <v>7221</v>
      </c>
      <c r="BL1979" t="s">
        <v>4367</v>
      </c>
      <c r="BM1979" t="s">
        <v>6755</v>
      </c>
      <c r="BN1979" t="s">
        <v>14623</v>
      </c>
    </row>
    <row r="1980" spans="1:66" x14ac:dyDescent="0.25">
      <c r="A1980" t="str">
        <f>HYPERLINK("https://elite.finviz.com/quote.ashx?t=HNRG&amp;ty=c&amp;p=d&amp;b=1", "HNRG")</f>
        <v>HNRG</v>
      </c>
      <c r="B1980">
        <v>6</v>
      </c>
      <c r="C1980">
        <v>127.03</v>
      </c>
      <c r="D1980">
        <v>60.17</v>
      </c>
      <c r="E1980" t="s">
        <v>20717</v>
      </c>
      <c r="F1980" t="s">
        <v>67</v>
      </c>
      <c r="G1980" t="s">
        <v>1048</v>
      </c>
      <c r="H1980" t="s">
        <v>2807</v>
      </c>
      <c r="I1980" t="s">
        <v>70</v>
      </c>
      <c r="J1980" t="s">
        <v>321</v>
      </c>
      <c r="K1980">
        <v>816.77</v>
      </c>
      <c r="L1980">
        <v>18.989999999999998</v>
      </c>
      <c r="M1980" t="s">
        <v>2965</v>
      </c>
      <c r="N1980">
        <v>119282</v>
      </c>
      <c r="P1980">
        <v>35.83</v>
      </c>
      <c r="R1980">
        <v>1.99</v>
      </c>
      <c r="S1980">
        <v>6.68</v>
      </c>
      <c r="V1980" t="s">
        <v>20718</v>
      </c>
      <c r="AA1980">
        <v>-4.6100000000000003</v>
      </c>
      <c r="AB1980" t="s">
        <v>20719</v>
      </c>
      <c r="AC1980" t="s">
        <v>1471</v>
      </c>
      <c r="AE1980" t="s">
        <v>18222</v>
      </c>
      <c r="AF1980" t="s">
        <v>7663</v>
      </c>
      <c r="AG1980" t="s">
        <v>2235</v>
      </c>
      <c r="AH1980" t="s">
        <v>5308</v>
      </c>
      <c r="AI1980" t="s">
        <v>20720</v>
      </c>
      <c r="AJ1980" t="s">
        <v>5070</v>
      </c>
      <c r="AK1980" t="s">
        <v>20721</v>
      </c>
      <c r="AL1980">
        <v>0.67</v>
      </c>
      <c r="AM1980">
        <v>0.26</v>
      </c>
      <c r="AN1980">
        <v>0.45</v>
      </c>
      <c r="AO1980" t="s">
        <v>2595</v>
      </c>
      <c r="AP1980" t="s">
        <v>5620</v>
      </c>
      <c r="AQ1980" t="s">
        <v>11356</v>
      </c>
      <c r="AR1980" t="s">
        <v>454</v>
      </c>
      <c r="AS1980" t="s">
        <v>4299</v>
      </c>
      <c r="AT1980" t="s">
        <v>7231</v>
      </c>
      <c r="AU1980" t="s">
        <v>875</v>
      </c>
      <c r="AV1980" t="s">
        <v>20722</v>
      </c>
      <c r="AW1980" t="s">
        <v>14764</v>
      </c>
      <c r="AX1980" t="s">
        <v>14730</v>
      </c>
      <c r="AY1980" t="s">
        <v>14764</v>
      </c>
      <c r="AZ1980" t="s">
        <v>6053</v>
      </c>
      <c r="BA1980">
        <v>1.5</v>
      </c>
      <c r="BB1980">
        <v>686.52</v>
      </c>
      <c r="BC1980">
        <v>0.61</v>
      </c>
      <c r="BD1980">
        <v>19.12</v>
      </c>
      <c r="BE1980">
        <v>19.329999999999998</v>
      </c>
      <c r="BF1980">
        <v>18.760000000000002</v>
      </c>
      <c r="BG1980" t="s">
        <v>20723</v>
      </c>
      <c r="BH1980" t="s">
        <v>14764</v>
      </c>
      <c r="BI1980" t="s">
        <v>20724</v>
      </c>
      <c r="BJ1980" t="s">
        <v>101</v>
      </c>
      <c r="BK1980" t="s">
        <v>11308</v>
      </c>
      <c r="BL1980" t="s">
        <v>20725</v>
      </c>
      <c r="BM1980" t="s">
        <v>20726</v>
      </c>
      <c r="BN1980" t="s">
        <v>14623</v>
      </c>
    </row>
    <row r="1981" spans="1:66" x14ac:dyDescent="0.25">
      <c r="A1981" t="str">
        <f>HYPERLINK("https://elite.finviz.com/quote.ashx?t=HNVR&amp;ty=c&amp;p=d&amp;b=1", "HNVR")</f>
        <v>HNVR</v>
      </c>
      <c r="B1981">
        <v>6</v>
      </c>
      <c r="C1981">
        <v>127.03</v>
      </c>
      <c r="D1981">
        <v>60.19</v>
      </c>
      <c r="E1981" t="s">
        <v>20727</v>
      </c>
      <c r="F1981" t="s">
        <v>67</v>
      </c>
      <c r="G1981" t="s">
        <v>550</v>
      </c>
      <c r="H1981" t="s">
        <v>697</v>
      </c>
      <c r="I1981" t="s">
        <v>70</v>
      </c>
      <c r="J1981" t="s">
        <v>321</v>
      </c>
      <c r="K1981">
        <v>167</v>
      </c>
      <c r="L1981">
        <v>23.15</v>
      </c>
      <c r="M1981" t="s">
        <v>4782</v>
      </c>
      <c r="N1981">
        <v>5531</v>
      </c>
      <c r="O1981">
        <v>15.28</v>
      </c>
      <c r="P1981">
        <v>8.5399999999999991</v>
      </c>
      <c r="R1981">
        <v>1.1299999999999999</v>
      </c>
      <c r="S1981">
        <v>0.86</v>
      </c>
      <c r="T1981" t="s">
        <v>6336</v>
      </c>
      <c r="U1981">
        <v>0.4</v>
      </c>
      <c r="V1981" t="s">
        <v>2859</v>
      </c>
      <c r="W1981" t="s">
        <v>164</v>
      </c>
      <c r="X1981" t="s">
        <v>8149</v>
      </c>
      <c r="Z1981" t="s">
        <v>3426</v>
      </c>
      <c r="AA1981">
        <v>1.51</v>
      </c>
      <c r="AB1981" t="s">
        <v>7054</v>
      </c>
      <c r="AC1981" t="s">
        <v>3640</v>
      </c>
      <c r="AE1981" t="s">
        <v>3050</v>
      </c>
      <c r="AF1981" t="s">
        <v>12403</v>
      </c>
      <c r="AG1981" t="s">
        <v>20728</v>
      </c>
      <c r="AH1981" t="s">
        <v>11253</v>
      </c>
      <c r="AI1981" t="s">
        <v>20729</v>
      </c>
      <c r="AJ1981" t="s">
        <v>2374</v>
      </c>
      <c r="AK1981" t="s">
        <v>7640</v>
      </c>
      <c r="AL1981">
        <v>0.71</v>
      </c>
      <c r="AN1981">
        <v>0.72</v>
      </c>
      <c r="AP1981" t="s">
        <v>4852</v>
      </c>
      <c r="AQ1981" t="s">
        <v>2967</v>
      </c>
      <c r="AR1981" t="s">
        <v>180</v>
      </c>
      <c r="AS1981" t="s">
        <v>744</v>
      </c>
      <c r="AT1981" t="s">
        <v>6336</v>
      </c>
      <c r="AU1981" t="s">
        <v>4908</v>
      </c>
      <c r="AV1981" t="s">
        <v>5610</v>
      </c>
      <c r="AW1981" t="s">
        <v>6161</v>
      </c>
      <c r="AX1981" t="s">
        <v>231</v>
      </c>
      <c r="AY1981" t="s">
        <v>11358</v>
      </c>
      <c r="AZ1981" t="s">
        <v>18781</v>
      </c>
      <c r="BA1981">
        <v>2.33</v>
      </c>
      <c r="BB1981">
        <v>22.28</v>
      </c>
      <c r="BC1981">
        <v>0.88</v>
      </c>
      <c r="BD1981">
        <v>22.99</v>
      </c>
      <c r="BE1981">
        <v>23.17</v>
      </c>
      <c r="BF1981">
        <v>22.9</v>
      </c>
      <c r="BG1981" t="s">
        <v>20730</v>
      </c>
      <c r="BH1981" t="s">
        <v>11358</v>
      </c>
      <c r="BI1981" t="s">
        <v>20731</v>
      </c>
      <c r="BJ1981" t="s">
        <v>101</v>
      </c>
      <c r="BK1981" t="s">
        <v>8593</v>
      </c>
      <c r="BL1981" t="s">
        <v>6726</v>
      </c>
      <c r="BM1981" t="s">
        <v>3312</v>
      </c>
      <c r="BN1981" t="s">
        <v>14623</v>
      </c>
    </row>
    <row r="1982" spans="1:66" x14ac:dyDescent="0.25">
      <c r="A1982" t="str">
        <f>HYPERLINK("https://elite.finviz.com/quote.ashx?t=DWSN&amp;ty=c&amp;p=d&amp;b=1", "DWSN")</f>
        <v>DWSN</v>
      </c>
      <c r="B1982">
        <v>6</v>
      </c>
      <c r="C1982">
        <v>127.03</v>
      </c>
      <c r="D1982">
        <v>60.2</v>
      </c>
      <c r="E1982" t="s">
        <v>20732</v>
      </c>
      <c r="F1982" t="s">
        <v>107</v>
      </c>
      <c r="G1982" t="s">
        <v>1048</v>
      </c>
      <c r="H1982" t="s">
        <v>8341</v>
      </c>
      <c r="I1982" t="s">
        <v>70</v>
      </c>
      <c r="J1982" t="s">
        <v>321</v>
      </c>
      <c r="K1982">
        <v>56.2</v>
      </c>
      <c r="L1982">
        <v>1.81</v>
      </c>
      <c r="M1982" t="s">
        <v>3753</v>
      </c>
      <c r="N1982">
        <v>8705</v>
      </c>
      <c r="R1982">
        <v>1</v>
      </c>
      <c r="S1982">
        <v>3.42</v>
      </c>
      <c r="V1982" t="s">
        <v>20733</v>
      </c>
      <c r="AA1982">
        <v>-0.25</v>
      </c>
      <c r="AB1982" t="s">
        <v>11673</v>
      </c>
      <c r="AC1982" t="s">
        <v>877</v>
      </c>
      <c r="AE1982" t="s">
        <v>8935</v>
      </c>
      <c r="AF1982" t="s">
        <v>5508</v>
      </c>
      <c r="AG1982" t="s">
        <v>15466</v>
      </c>
      <c r="AH1982" t="s">
        <v>2099</v>
      </c>
      <c r="AJ1982" t="s">
        <v>164</v>
      </c>
      <c r="AK1982" t="s">
        <v>20734</v>
      </c>
      <c r="AL1982">
        <v>1.18</v>
      </c>
      <c r="AM1982">
        <v>1.18</v>
      </c>
      <c r="AN1982">
        <v>0.34</v>
      </c>
      <c r="AO1982" t="s">
        <v>89</v>
      </c>
      <c r="AP1982" t="s">
        <v>10010</v>
      </c>
      <c r="AQ1982" t="s">
        <v>6657</v>
      </c>
      <c r="AR1982" t="s">
        <v>7511</v>
      </c>
      <c r="AS1982" t="s">
        <v>6183</v>
      </c>
      <c r="AT1982" t="s">
        <v>2655</v>
      </c>
      <c r="AU1982" t="s">
        <v>7851</v>
      </c>
      <c r="AV1982" t="s">
        <v>4490</v>
      </c>
      <c r="AW1982" t="s">
        <v>15316</v>
      </c>
      <c r="AX1982" t="s">
        <v>13165</v>
      </c>
      <c r="AY1982" t="s">
        <v>4002</v>
      </c>
      <c r="AZ1982" t="s">
        <v>17383</v>
      </c>
      <c r="BA1982">
        <v>2</v>
      </c>
      <c r="BB1982">
        <v>120.51</v>
      </c>
      <c r="BC1982">
        <v>0.26</v>
      </c>
      <c r="BD1982">
        <v>1.85</v>
      </c>
      <c r="BE1982">
        <v>1.86</v>
      </c>
      <c r="BF1982">
        <v>1.8</v>
      </c>
      <c r="BG1982" t="s">
        <v>20735</v>
      </c>
      <c r="BH1982" t="s">
        <v>20736</v>
      </c>
      <c r="BI1982" t="s">
        <v>20737</v>
      </c>
      <c r="BJ1982" t="s">
        <v>101</v>
      </c>
      <c r="BK1982" t="s">
        <v>16733</v>
      </c>
      <c r="BL1982" t="s">
        <v>1989</v>
      </c>
      <c r="BM1982" t="s">
        <v>1669</v>
      </c>
      <c r="BN1982" t="s">
        <v>14623</v>
      </c>
    </row>
    <row r="1983" spans="1:66" x14ac:dyDescent="0.25">
      <c r="A1983" t="str">
        <f>HYPERLINK("https://elite.finviz.com/quote.ashx?t=CLRB&amp;ty=c&amp;p=d&amp;b=1", "CLRB")</f>
        <v>CLRB</v>
      </c>
      <c r="B1983">
        <v>6</v>
      </c>
      <c r="C1983">
        <v>127.03</v>
      </c>
      <c r="D1983">
        <v>60.21</v>
      </c>
      <c r="E1983" t="s">
        <v>20738</v>
      </c>
      <c r="F1983" t="s">
        <v>107</v>
      </c>
      <c r="G1983" t="s">
        <v>428</v>
      </c>
      <c r="H1983" t="s">
        <v>429</v>
      </c>
      <c r="I1983" t="s">
        <v>70</v>
      </c>
      <c r="J1983" t="s">
        <v>321</v>
      </c>
      <c r="K1983">
        <v>18.329999999999998</v>
      </c>
      <c r="L1983">
        <v>5.74</v>
      </c>
      <c r="M1983" t="s">
        <v>6192</v>
      </c>
      <c r="N1983">
        <v>40352</v>
      </c>
      <c r="S1983">
        <v>1.87</v>
      </c>
      <c r="AA1983">
        <v>-20.399999999999999</v>
      </c>
      <c r="AB1983" t="s">
        <v>20096</v>
      </c>
      <c r="AC1983" t="s">
        <v>6135</v>
      </c>
      <c r="AD1983" t="s">
        <v>13754</v>
      </c>
      <c r="AI1983" t="s">
        <v>2000</v>
      </c>
      <c r="AJ1983" t="s">
        <v>231</v>
      </c>
      <c r="AK1983" t="s">
        <v>4189</v>
      </c>
      <c r="AL1983">
        <v>2.15</v>
      </c>
      <c r="AM1983">
        <v>2.15</v>
      </c>
      <c r="AN1983">
        <v>0.06</v>
      </c>
      <c r="AR1983" t="s">
        <v>12383</v>
      </c>
      <c r="AS1983" t="s">
        <v>6225</v>
      </c>
      <c r="AT1983" t="s">
        <v>2555</v>
      </c>
      <c r="AU1983" t="s">
        <v>2133</v>
      </c>
      <c r="AV1983" t="s">
        <v>4429</v>
      </c>
      <c r="AW1983" t="s">
        <v>1779</v>
      </c>
      <c r="AX1983" t="s">
        <v>20739</v>
      </c>
      <c r="AY1983" t="s">
        <v>20740</v>
      </c>
      <c r="AZ1983" t="s">
        <v>20739</v>
      </c>
      <c r="BA1983">
        <v>2</v>
      </c>
      <c r="BB1983">
        <v>140.82</v>
      </c>
      <c r="BC1983">
        <v>1.02</v>
      </c>
      <c r="BD1983">
        <v>5.75</v>
      </c>
      <c r="BE1983">
        <v>5.79</v>
      </c>
      <c r="BF1983">
        <v>5.65</v>
      </c>
      <c r="BG1983" t="s">
        <v>20741</v>
      </c>
      <c r="BH1983" t="s">
        <v>579</v>
      </c>
      <c r="BI1983" t="s">
        <v>20739</v>
      </c>
      <c r="BJ1983" t="s">
        <v>101</v>
      </c>
      <c r="BK1983" t="s">
        <v>4785</v>
      </c>
      <c r="BL1983" t="s">
        <v>19704</v>
      </c>
      <c r="BM1983" t="s">
        <v>20742</v>
      </c>
      <c r="BN1983" t="s">
        <v>14623</v>
      </c>
    </row>
    <row r="1984" spans="1:66" x14ac:dyDescent="0.25">
      <c r="A1984" t="str">
        <f>HYPERLINK("https://elite.finviz.com/quote.ashx?t=CMI&amp;ty=c&amp;p=d&amp;b=1", "CMI")</f>
        <v>CMI</v>
      </c>
      <c r="B1984">
        <v>6</v>
      </c>
      <c r="C1984">
        <v>127.03</v>
      </c>
      <c r="D1984">
        <v>60.22</v>
      </c>
      <c r="E1984" t="s">
        <v>20743</v>
      </c>
      <c r="F1984" t="s">
        <v>195</v>
      </c>
      <c r="G1984" t="s">
        <v>260</v>
      </c>
      <c r="H1984" t="s">
        <v>261</v>
      </c>
      <c r="I1984" t="s">
        <v>70</v>
      </c>
      <c r="J1984" t="s">
        <v>71</v>
      </c>
      <c r="K1984">
        <v>57606.37</v>
      </c>
      <c r="L1984">
        <v>418.09</v>
      </c>
      <c r="M1984" t="s">
        <v>5055</v>
      </c>
      <c r="N1984">
        <v>141582</v>
      </c>
      <c r="O1984">
        <v>19.66</v>
      </c>
      <c r="P1984">
        <v>16.670000000000002</v>
      </c>
      <c r="Q1984">
        <v>1.87</v>
      </c>
      <c r="R1984">
        <v>1.71</v>
      </c>
      <c r="S1984">
        <v>4.8899999999999997</v>
      </c>
      <c r="T1984" t="s">
        <v>4493</v>
      </c>
      <c r="U1984">
        <v>7.46</v>
      </c>
      <c r="V1984" t="s">
        <v>4186</v>
      </c>
      <c r="W1984" t="s">
        <v>2698</v>
      </c>
      <c r="X1984" t="s">
        <v>4512</v>
      </c>
      <c r="Y1984" t="s">
        <v>5739</v>
      </c>
      <c r="Z1984" t="s">
        <v>7569</v>
      </c>
      <c r="AA1984">
        <v>21.26</v>
      </c>
      <c r="AB1984" t="s">
        <v>17249</v>
      </c>
      <c r="AC1984" t="s">
        <v>2867</v>
      </c>
      <c r="AD1984" t="s">
        <v>11544</v>
      </c>
      <c r="AE1984" t="s">
        <v>4953</v>
      </c>
      <c r="AF1984" t="s">
        <v>3243</v>
      </c>
      <c r="AG1984" t="s">
        <v>327</v>
      </c>
      <c r="AH1984" t="s">
        <v>196</v>
      </c>
      <c r="AI1984" t="s">
        <v>8258</v>
      </c>
      <c r="AJ1984" t="s">
        <v>4155</v>
      </c>
      <c r="AK1984" t="s">
        <v>20744</v>
      </c>
      <c r="AL1984">
        <v>1.64</v>
      </c>
      <c r="AM1984">
        <v>1.03</v>
      </c>
      <c r="AN1984">
        <v>0.74</v>
      </c>
      <c r="AO1984" t="s">
        <v>9106</v>
      </c>
      <c r="AP1984" t="s">
        <v>11151</v>
      </c>
      <c r="AQ1984" t="s">
        <v>11639</v>
      </c>
      <c r="AR1984" t="s">
        <v>2424</v>
      </c>
      <c r="AS1984" t="s">
        <v>5258</v>
      </c>
      <c r="AT1984" t="s">
        <v>6692</v>
      </c>
      <c r="AU1984" t="s">
        <v>463</v>
      </c>
      <c r="AV1984" t="s">
        <v>2387</v>
      </c>
      <c r="AW1984" t="s">
        <v>2136</v>
      </c>
      <c r="AX1984" t="s">
        <v>5769</v>
      </c>
      <c r="AY1984" t="s">
        <v>2136</v>
      </c>
      <c r="AZ1984" t="s">
        <v>20745</v>
      </c>
      <c r="BA1984">
        <v>2.36</v>
      </c>
      <c r="BB1984">
        <v>895.46</v>
      </c>
      <c r="BC1984">
        <v>0.56000000000000005</v>
      </c>
      <c r="BD1984">
        <v>414.04</v>
      </c>
      <c r="BE1984">
        <v>419.15</v>
      </c>
      <c r="BF1984">
        <v>416.08</v>
      </c>
      <c r="BG1984" t="s">
        <v>20746</v>
      </c>
      <c r="BH1984" t="s">
        <v>2136</v>
      </c>
      <c r="BI1984" t="s">
        <v>20747</v>
      </c>
      <c r="BJ1984" t="s">
        <v>101</v>
      </c>
      <c r="BK1984" t="s">
        <v>1873</v>
      </c>
      <c r="BL1984" t="s">
        <v>6129</v>
      </c>
      <c r="BM1984" t="s">
        <v>3819</v>
      </c>
      <c r="BN1984" t="s">
        <v>14623</v>
      </c>
    </row>
    <row r="1985" spans="1:66" x14ac:dyDescent="0.25">
      <c r="A1985" t="str">
        <f>HYPERLINK("https://elite.finviz.com/quote.ashx?t=BOKF&amp;ty=c&amp;p=d&amp;b=1", "BOKF")</f>
        <v>BOKF</v>
      </c>
      <c r="B1985">
        <v>6</v>
      </c>
      <c r="C1985">
        <v>127.03</v>
      </c>
      <c r="D1985">
        <v>60.22</v>
      </c>
      <c r="E1985" t="s">
        <v>20748</v>
      </c>
      <c r="F1985" t="s">
        <v>107</v>
      </c>
      <c r="G1985" t="s">
        <v>550</v>
      </c>
      <c r="H1985" t="s">
        <v>697</v>
      </c>
      <c r="I1985" t="s">
        <v>70</v>
      </c>
      <c r="J1985" t="s">
        <v>321</v>
      </c>
      <c r="K1985">
        <v>7165.47</v>
      </c>
      <c r="L1985">
        <v>112.64</v>
      </c>
      <c r="M1985" t="s">
        <v>3598</v>
      </c>
      <c r="N1985">
        <v>18963</v>
      </c>
      <c r="O1985">
        <v>13.47</v>
      </c>
      <c r="P1985">
        <v>12.57</v>
      </c>
      <c r="Q1985">
        <v>3.18</v>
      </c>
      <c r="R1985">
        <v>2.11</v>
      </c>
      <c r="S1985">
        <v>1.22</v>
      </c>
      <c r="T1985" t="s">
        <v>2307</v>
      </c>
      <c r="U1985">
        <v>2.2799999999999998</v>
      </c>
      <c r="V1985" t="s">
        <v>8649</v>
      </c>
      <c r="W1985" t="s">
        <v>7322</v>
      </c>
      <c r="X1985" t="s">
        <v>617</v>
      </c>
      <c r="Y1985" t="s">
        <v>2307</v>
      </c>
      <c r="Z1985" t="s">
        <v>877</v>
      </c>
      <c r="AA1985">
        <v>8.36</v>
      </c>
      <c r="AB1985" t="s">
        <v>7907</v>
      </c>
      <c r="AC1985" t="s">
        <v>2383</v>
      </c>
      <c r="AD1985" t="s">
        <v>3519</v>
      </c>
      <c r="AE1985" t="s">
        <v>1938</v>
      </c>
      <c r="AF1985" t="s">
        <v>2652</v>
      </c>
      <c r="AG1985" t="s">
        <v>3099</v>
      </c>
      <c r="AH1985" t="s">
        <v>20749</v>
      </c>
      <c r="AI1985" t="s">
        <v>6876</v>
      </c>
      <c r="AJ1985" t="s">
        <v>1249</v>
      </c>
      <c r="AK1985" t="s">
        <v>12636</v>
      </c>
      <c r="AL1985">
        <v>0.21</v>
      </c>
      <c r="AN1985">
        <v>0.82</v>
      </c>
      <c r="AP1985" t="s">
        <v>5792</v>
      </c>
      <c r="AQ1985" t="s">
        <v>1552</v>
      </c>
      <c r="AR1985" t="s">
        <v>6151</v>
      </c>
      <c r="AS1985" t="s">
        <v>4256</v>
      </c>
      <c r="AT1985" t="s">
        <v>2610</v>
      </c>
      <c r="AU1985" t="s">
        <v>5685</v>
      </c>
      <c r="AV1985" t="s">
        <v>4718</v>
      </c>
      <c r="AW1985" t="s">
        <v>2826</v>
      </c>
      <c r="AX1985" t="s">
        <v>14942</v>
      </c>
      <c r="AY1985" t="s">
        <v>11592</v>
      </c>
      <c r="AZ1985" t="s">
        <v>2476</v>
      </c>
      <c r="BA1985">
        <v>2.5</v>
      </c>
      <c r="BB1985">
        <v>228.1</v>
      </c>
      <c r="BC1985">
        <v>0.28999999999999998</v>
      </c>
      <c r="BD1985">
        <v>112.68</v>
      </c>
      <c r="BE1985">
        <v>113.64</v>
      </c>
      <c r="BF1985">
        <v>112.68</v>
      </c>
      <c r="BG1985" t="s">
        <v>20750</v>
      </c>
      <c r="BH1985" t="s">
        <v>11592</v>
      </c>
      <c r="BI1985" t="s">
        <v>20751</v>
      </c>
      <c r="BJ1985" t="s">
        <v>101</v>
      </c>
      <c r="BK1985" t="s">
        <v>1305</v>
      </c>
      <c r="BL1985" t="s">
        <v>7942</v>
      </c>
      <c r="BM1985" t="s">
        <v>710</v>
      </c>
      <c r="BN1985" t="s">
        <v>14623</v>
      </c>
    </row>
    <row r="1986" spans="1:66" x14ac:dyDescent="0.25">
      <c r="A1986" t="str">
        <f>HYPERLINK("https://elite.finviz.com/quote.ashx?t=EFOI&amp;ty=c&amp;p=d&amp;b=1", "EFOI")</f>
        <v>EFOI</v>
      </c>
      <c r="B1986">
        <v>6</v>
      </c>
      <c r="C1986">
        <v>127.03</v>
      </c>
      <c r="D1986">
        <v>60.3</v>
      </c>
      <c r="E1986" t="s">
        <v>20752</v>
      </c>
      <c r="F1986" t="s">
        <v>107</v>
      </c>
      <c r="G1986" t="s">
        <v>813</v>
      </c>
      <c r="H1986" t="s">
        <v>3866</v>
      </c>
      <c r="I1986" t="s">
        <v>70</v>
      </c>
      <c r="J1986" t="s">
        <v>321</v>
      </c>
      <c r="K1986">
        <v>16.32</v>
      </c>
      <c r="L1986">
        <v>2.98</v>
      </c>
      <c r="M1986" t="s">
        <v>4280</v>
      </c>
      <c r="N1986">
        <v>3411</v>
      </c>
      <c r="R1986">
        <v>3.86</v>
      </c>
      <c r="S1986">
        <v>5.8</v>
      </c>
      <c r="AA1986">
        <v>-0.21</v>
      </c>
      <c r="AB1986" t="s">
        <v>11720</v>
      </c>
      <c r="AC1986" t="s">
        <v>20753</v>
      </c>
      <c r="AE1986" t="s">
        <v>17991</v>
      </c>
      <c r="AF1986" t="s">
        <v>20754</v>
      </c>
      <c r="AG1986" t="s">
        <v>2778</v>
      </c>
      <c r="AH1986" t="s">
        <v>20755</v>
      </c>
      <c r="AI1986" t="s">
        <v>2169</v>
      </c>
      <c r="AJ1986" t="s">
        <v>164</v>
      </c>
      <c r="AK1986" t="s">
        <v>1439</v>
      </c>
      <c r="AL1986">
        <v>2.41</v>
      </c>
      <c r="AM1986">
        <v>0.88</v>
      </c>
      <c r="AN1986">
        <v>0.12</v>
      </c>
      <c r="AO1986" t="s">
        <v>12209</v>
      </c>
      <c r="AP1986" t="s">
        <v>8310</v>
      </c>
      <c r="AQ1986" t="s">
        <v>20756</v>
      </c>
      <c r="AR1986" t="s">
        <v>7938</v>
      </c>
      <c r="AS1986" t="s">
        <v>4518</v>
      </c>
      <c r="AT1986" t="s">
        <v>5658</v>
      </c>
      <c r="AU1986" t="s">
        <v>15109</v>
      </c>
      <c r="AV1986" t="s">
        <v>8657</v>
      </c>
      <c r="AW1986" t="s">
        <v>8450</v>
      </c>
      <c r="AX1986" t="s">
        <v>20757</v>
      </c>
      <c r="AY1986" t="s">
        <v>8450</v>
      </c>
      <c r="AZ1986" t="s">
        <v>20758</v>
      </c>
      <c r="BB1986">
        <v>22.62</v>
      </c>
      <c r="BC1986">
        <v>0.54</v>
      </c>
      <c r="BD1986">
        <v>2.94</v>
      </c>
      <c r="BE1986">
        <v>2.98</v>
      </c>
      <c r="BF1986">
        <v>2.92</v>
      </c>
      <c r="BG1986" t="s">
        <v>20759</v>
      </c>
      <c r="BH1986" t="s">
        <v>446</v>
      </c>
      <c r="BI1986" t="s">
        <v>20758</v>
      </c>
      <c r="BJ1986" t="s">
        <v>101</v>
      </c>
      <c r="BK1986" t="s">
        <v>13013</v>
      </c>
      <c r="BL1986" t="s">
        <v>20760</v>
      </c>
      <c r="BM1986" t="s">
        <v>20761</v>
      </c>
      <c r="BN1986" t="s">
        <v>14623</v>
      </c>
    </row>
    <row r="1987" spans="1:66" x14ac:dyDescent="0.25">
      <c r="A1987" t="str">
        <f>HYPERLINK("https://elite.finviz.com/quote.ashx?t=CHPG&amp;ty=c&amp;p=d&amp;b=1", "CHPG")</f>
        <v>CHPG</v>
      </c>
      <c r="B1987">
        <v>6</v>
      </c>
      <c r="C1987">
        <v>127.03</v>
      </c>
      <c r="D1987">
        <v>60.32</v>
      </c>
      <c r="E1987" t="s">
        <v>20762</v>
      </c>
      <c r="F1987" t="s">
        <v>107</v>
      </c>
      <c r="G1987" t="s">
        <v>550</v>
      </c>
      <c r="H1987" t="s">
        <v>2120</v>
      </c>
      <c r="I1987" t="s">
        <v>70</v>
      </c>
      <c r="J1987" t="s">
        <v>321</v>
      </c>
      <c r="K1987">
        <v>100.6</v>
      </c>
      <c r="L1987">
        <v>10.07</v>
      </c>
      <c r="M1987" t="s">
        <v>164</v>
      </c>
      <c r="N1987">
        <v>0</v>
      </c>
      <c r="S1987">
        <v>1.36</v>
      </c>
      <c r="AA1987">
        <v>-0.04</v>
      </c>
      <c r="AJ1987" t="s">
        <v>164</v>
      </c>
      <c r="AK1987" t="s">
        <v>7170</v>
      </c>
      <c r="AL1987">
        <v>1.2</v>
      </c>
      <c r="AM1987">
        <v>1.2</v>
      </c>
      <c r="AN1987">
        <v>0.01</v>
      </c>
      <c r="AR1987" t="s">
        <v>3358</v>
      </c>
      <c r="AS1987" t="s">
        <v>2275</v>
      </c>
      <c r="AT1987" t="s">
        <v>3446</v>
      </c>
      <c r="AU1987" t="s">
        <v>1765</v>
      </c>
      <c r="AV1987" t="s">
        <v>1765</v>
      </c>
      <c r="AW1987" t="s">
        <v>7039</v>
      </c>
      <c r="AX1987" t="s">
        <v>213</v>
      </c>
      <c r="AY1987" t="s">
        <v>7039</v>
      </c>
      <c r="AZ1987" t="s">
        <v>213</v>
      </c>
      <c r="BB1987">
        <v>18.989999999999998</v>
      </c>
      <c r="BC1987">
        <v>0</v>
      </c>
      <c r="BD1987">
        <v>10.07</v>
      </c>
      <c r="BE1987">
        <v>10.07</v>
      </c>
      <c r="BF1987">
        <v>10.07</v>
      </c>
      <c r="BG1987" t="s">
        <v>20763</v>
      </c>
      <c r="BH1987" t="s">
        <v>7039</v>
      </c>
      <c r="BI1987" t="s">
        <v>213</v>
      </c>
      <c r="BJ1987" t="s">
        <v>101</v>
      </c>
      <c r="BN1987" t="s">
        <v>14623</v>
      </c>
    </row>
    <row r="1988" spans="1:66" x14ac:dyDescent="0.25">
      <c r="A1988" t="str">
        <f>HYPERLINK("https://elite.finviz.com/quote.ashx?t=ASMB&amp;ty=c&amp;p=d&amp;b=1", "ASMB")</f>
        <v>ASMB</v>
      </c>
      <c r="B1988">
        <v>6</v>
      </c>
      <c r="C1988">
        <v>127.03</v>
      </c>
      <c r="D1988">
        <v>60.33</v>
      </c>
      <c r="E1988" t="s">
        <v>20764</v>
      </c>
      <c r="F1988" t="s">
        <v>107</v>
      </c>
      <c r="G1988" t="s">
        <v>428</v>
      </c>
      <c r="H1988" t="s">
        <v>429</v>
      </c>
      <c r="I1988" t="s">
        <v>70</v>
      </c>
      <c r="J1988" t="s">
        <v>321</v>
      </c>
      <c r="K1988">
        <v>393.98</v>
      </c>
      <c r="L1988">
        <v>25.32</v>
      </c>
      <c r="M1988" t="s">
        <v>8634</v>
      </c>
      <c r="N1988">
        <v>21497</v>
      </c>
      <c r="R1988">
        <v>11.85</v>
      </c>
      <c r="S1988">
        <v>10.73</v>
      </c>
      <c r="AA1988">
        <v>-5.59</v>
      </c>
      <c r="AB1988" t="s">
        <v>20765</v>
      </c>
      <c r="AC1988" t="s">
        <v>7626</v>
      </c>
      <c r="AD1988" t="s">
        <v>476</v>
      </c>
      <c r="AE1988" t="s">
        <v>5343</v>
      </c>
      <c r="AF1988" t="s">
        <v>17518</v>
      </c>
      <c r="AG1988" t="s">
        <v>7655</v>
      </c>
      <c r="AH1988" t="s">
        <v>7435</v>
      </c>
      <c r="AI1988" t="s">
        <v>1054</v>
      </c>
      <c r="AJ1988" t="s">
        <v>3598</v>
      </c>
      <c r="AK1988" t="s">
        <v>14932</v>
      </c>
      <c r="AL1988">
        <v>1.64</v>
      </c>
      <c r="AM1988">
        <v>1.64</v>
      </c>
      <c r="AN1988">
        <v>0.16</v>
      </c>
      <c r="AO1988" t="s">
        <v>20766</v>
      </c>
      <c r="AP1988" t="s">
        <v>20767</v>
      </c>
      <c r="AQ1988" t="s">
        <v>12889</v>
      </c>
      <c r="AR1988" t="s">
        <v>1207</v>
      </c>
      <c r="AS1988" t="s">
        <v>8164</v>
      </c>
      <c r="AT1988" t="s">
        <v>265</v>
      </c>
      <c r="AU1988" t="s">
        <v>7898</v>
      </c>
      <c r="AV1988" t="s">
        <v>13271</v>
      </c>
      <c r="AW1988" t="s">
        <v>14645</v>
      </c>
      <c r="AX1988" t="s">
        <v>18744</v>
      </c>
      <c r="AY1988" t="s">
        <v>14645</v>
      </c>
      <c r="AZ1988" t="s">
        <v>20768</v>
      </c>
      <c r="BA1988">
        <v>1</v>
      </c>
      <c r="BB1988">
        <v>112.45</v>
      </c>
      <c r="BC1988">
        <v>0.68</v>
      </c>
      <c r="BD1988">
        <v>25.53</v>
      </c>
      <c r="BE1988">
        <v>25.6</v>
      </c>
      <c r="BF1988">
        <v>24.49</v>
      </c>
      <c r="BG1988" t="s">
        <v>20769</v>
      </c>
      <c r="BH1988" t="s">
        <v>20770</v>
      </c>
      <c r="BI1988" t="s">
        <v>20771</v>
      </c>
      <c r="BJ1988" t="s">
        <v>101</v>
      </c>
      <c r="BK1988" t="s">
        <v>300</v>
      </c>
      <c r="BL1988" t="s">
        <v>9231</v>
      </c>
      <c r="BM1988" t="s">
        <v>20772</v>
      </c>
      <c r="BN1988" t="s">
        <v>14623</v>
      </c>
    </row>
    <row r="1989" spans="1:66" x14ac:dyDescent="0.25">
      <c r="A1989" t="str">
        <f>HYPERLINK("https://elite.finviz.com/quote.ashx?t=EHC&amp;ty=c&amp;p=d&amp;b=1", "EHC")</f>
        <v>EHC</v>
      </c>
      <c r="B1989">
        <v>6</v>
      </c>
      <c r="C1989">
        <v>127.03</v>
      </c>
      <c r="D1989">
        <v>60.36</v>
      </c>
      <c r="E1989" t="s">
        <v>20773</v>
      </c>
      <c r="F1989" t="s">
        <v>107</v>
      </c>
      <c r="G1989" t="s">
        <v>428</v>
      </c>
      <c r="H1989" t="s">
        <v>3160</v>
      </c>
      <c r="I1989" t="s">
        <v>70</v>
      </c>
      <c r="J1989" t="s">
        <v>71</v>
      </c>
      <c r="K1989">
        <v>12734.52</v>
      </c>
      <c r="L1989">
        <v>126.43</v>
      </c>
      <c r="M1989" t="s">
        <v>4782</v>
      </c>
      <c r="N1989">
        <v>35514</v>
      </c>
      <c r="O1989">
        <v>24.72</v>
      </c>
      <c r="P1989">
        <v>21.8</v>
      </c>
      <c r="Q1989">
        <v>2.0099999999999998</v>
      </c>
      <c r="R1989">
        <v>2.25</v>
      </c>
      <c r="S1989">
        <v>5.59</v>
      </c>
      <c r="T1989" t="s">
        <v>2216</v>
      </c>
      <c r="U1989">
        <v>0.68</v>
      </c>
      <c r="V1989" t="s">
        <v>700</v>
      </c>
      <c r="W1989" t="s">
        <v>4760</v>
      </c>
      <c r="X1989" t="s">
        <v>10629</v>
      </c>
      <c r="Y1989" t="s">
        <v>18739</v>
      </c>
      <c r="Z1989" t="s">
        <v>3965</v>
      </c>
      <c r="AA1989">
        <v>5.1100000000000003</v>
      </c>
      <c r="AB1989" t="s">
        <v>901</v>
      </c>
      <c r="AC1989" t="s">
        <v>3443</v>
      </c>
      <c r="AD1989" t="s">
        <v>7221</v>
      </c>
      <c r="AE1989" t="s">
        <v>7898</v>
      </c>
      <c r="AF1989" t="s">
        <v>3468</v>
      </c>
      <c r="AG1989" t="s">
        <v>7088</v>
      </c>
      <c r="AH1989" t="s">
        <v>4068</v>
      </c>
      <c r="AI1989" t="s">
        <v>7297</v>
      </c>
      <c r="AJ1989" t="s">
        <v>5853</v>
      </c>
      <c r="AK1989" t="s">
        <v>20774</v>
      </c>
      <c r="AL1989">
        <v>1.06</v>
      </c>
      <c r="AM1989">
        <v>1.06</v>
      </c>
      <c r="AN1989">
        <v>1.18</v>
      </c>
      <c r="AO1989" t="s">
        <v>9039</v>
      </c>
      <c r="AP1989" t="s">
        <v>10763</v>
      </c>
      <c r="AQ1989" t="s">
        <v>12383</v>
      </c>
      <c r="AR1989" t="s">
        <v>6990</v>
      </c>
      <c r="AS1989" t="s">
        <v>1760</v>
      </c>
      <c r="AT1989" t="s">
        <v>4902</v>
      </c>
      <c r="AU1989" t="s">
        <v>4254</v>
      </c>
      <c r="AV1989" t="s">
        <v>13222</v>
      </c>
      <c r="AW1989" t="s">
        <v>4328</v>
      </c>
      <c r="AX1989" t="s">
        <v>10331</v>
      </c>
      <c r="AY1989" t="s">
        <v>4328</v>
      </c>
      <c r="AZ1989" t="s">
        <v>6108</v>
      </c>
      <c r="BA1989">
        <v>1.23</v>
      </c>
      <c r="BB1989">
        <v>847.55</v>
      </c>
      <c r="BC1989">
        <v>0.15</v>
      </c>
      <c r="BD1989">
        <v>125.59</v>
      </c>
      <c r="BE1989">
        <v>126.75</v>
      </c>
      <c r="BF1989">
        <v>126</v>
      </c>
      <c r="BG1989" t="s">
        <v>20775</v>
      </c>
      <c r="BH1989" t="s">
        <v>4328</v>
      </c>
      <c r="BI1989" t="s">
        <v>20776</v>
      </c>
      <c r="BJ1989" t="s">
        <v>101</v>
      </c>
      <c r="BK1989" t="s">
        <v>4394</v>
      </c>
      <c r="BL1989" t="s">
        <v>2621</v>
      </c>
      <c r="BM1989" t="s">
        <v>7816</v>
      </c>
      <c r="BN1989" t="s">
        <v>14623</v>
      </c>
    </row>
    <row r="1990" spans="1:66" x14ac:dyDescent="0.25">
      <c r="A1990" t="str">
        <f>HYPERLINK("https://elite.finviz.com/quote.ashx?t=ORA&amp;ty=c&amp;p=d&amp;b=1", "ORA")</f>
        <v>ORA</v>
      </c>
      <c r="B1990">
        <v>6</v>
      </c>
      <c r="C1990">
        <v>127.03</v>
      </c>
      <c r="D1990">
        <v>60.38</v>
      </c>
      <c r="E1990" t="s">
        <v>20777</v>
      </c>
      <c r="F1990" t="s">
        <v>67</v>
      </c>
      <c r="G1990" t="s">
        <v>287</v>
      </c>
      <c r="H1990" t="s">
        <v>288</v>
      </c>
      <c r="I1990" t="s">
        <v>70</v>
      </c>
      <c r="J1990" t="s">
        <v>71</v>
      </c>
      <c r="K1990">
        <v>5723.19</v>
      </c>
      <c r="L1990">
        <v>94.25</v>
      </c>
      <c r="M1990" t="s">
        <v>2571</v>
      </c>
      <c r="N1990">
        <v>70262</v>
      </c>
      <c r="O1990">
        <v>43.67</v>
      </c>
      <c r="P1990">
        <v>38.29</v>
      </c>
      <c r="Q1990">
        <v>3.87</v>
      </c>
      <c r="R1990">
        <v>6.31</v>
      </c>
      <c r="S1990">
        <v>2.2999999999999998</v>
      </c>
      <c r="T1990" t="s">
        <v>4849</v>
      </c>
      <c r="U1990">
        <v>0.48</v>
      </c>
      <c r="V1990" t="s">
        <v>5737</v>
      </c>
      <c r="W1990" t="s">
        <v>164</v>
      </c>
      <c r="X1990" t="s">
        <v>164</v>
      </c>
      <c r="Y1990" t="s">
        <v>5084</v>
      </c>
      <c r="Z1990" t="s">
        <v>3926</v>
      </c>
      <c r="AA1990">
        <v>2.16</v>
      </c>
      <c r="AB1990" t="s">
        <v>15403</v>
      </c>
      <c r="AC1990" t="s">
        <v>2736</v>
      </c>
      <c r="AD1990" t="s">
        <v>12058</v>
      </c>
      <c r="AE1990" t="s">
        <v>2868</v>
      </c>
      <c r="AF1990" t="s">
        <v>341</v>
      </c>
      <c r="AG1990" t="s">
        <v>2522</v>
      </c>
      <c r="AH1990" t="s">
        <v>4728</v>
      </c>
      <c r="AI1990" t="s">
        <v>5795</v>
      </c>
      <c r="AJ1990" t="s">
        <v>19530</v>
      </c>
      <c r="AK1990" t="s">
        <v>17961</v>
      </c>
      <c r="AL1990">
        <v>0.7</v>
      </c>
      <c r="AM1990">
        <v>0.64</v>
      </c>
      <c r="AN1990">
        <v>1.1000000000000001</v>
      </c>
      <c r="AO1990" t="s">
        <v>20778</v>
      </c>
      <c r="AP1990" t="s">
        <v>4283</v>
      </c>
      <c r="AQ1990" t="s">
        <v>2230</v>
      </c>
      <c r="AR1990" t="s">
        <v>2274</v>
      </c>
      <c r="AS1990" t="s">
        <v>3494</v>
      </c>
      <c r="AT1990" t="s">
        <v>4839</v>
      </c>
      <c r="AU1990" t="s">
        <v>316</v>
      </c>
      <c r="AV1990" t="s">
        <v>9501</v>
      </c>
      <c r="AW1990" t="s">
        <v>655</v>
      </c>
      <c r="AX1990" t="s">
        <v>4068</v>
      </c>
      <c r="AY1990" t="s">
        <v>655</v>
      </c>
      <c r="AZ1990" t="s">
        <v>20779</v>
      </c>
      <c r="BA1990">
        <v>1.8</v>
      </c>
      <c r="BB1990">
        <v>529.66</v>
      </c>
      <c r="BC1990">
        <v>0.47</v>
      </c>
      <c r="BD1990">
        <v>93.71</v>
      </c>
      <c r="BE1990">
        <v>94.45</v>
      </c>
      <c r="BF1990">
        <v>93.28</v>
      </c>
      <c r="BG1990" t="s">
        <v>20780</v>
      </c>
      <c r="BH1990" t="s">
        <v>15122</v>
      </c>
      <c r="BI1990" t="s">
        <v>20781</v>
      </c>
      <c r="BJ1990" t="s">
        <v>101</v>
      </c>
      <c r="BK1990" t="s">
        <v>1514</v>
      </c>
      <c r="BL1990" t="s">
        <v>11919</v>
      </c>
      <c r="BM1990" t="s">
        <v>1628</v>
      </c>
      <c r="BN1990" t="s">
        <v>14623</v>
      </c>
    </row>
    <row r="1991" spans="1:66" x14ac:dyDescent="0.25">
      <c r="A1991" t="str">
        <f>HYPERLINK("https://elite.finviz.com/quote.ashx?t=AACI&amp;ty=c&amp;p=d&amp;b=1", "AACI")</f>
        <v>AACI</v>
      </c>
      <c r="B1991">
        <v>6</v>
      </c>
      <c r="C1991">
        <v>127.03</v>
      </c>
      <c r="D1991">
        <v>60.38</v>
      </c>
      <c r="E1991" t="s">
        <v>20782</v>
      </c>
      <c r="F1991" t="s">
        <v>107</v>
      </c>
      <c r="G1991" t="s">
        <v>550</v>
      </c>
      <c r="H1991" t="s">
        <v>2120</v>
      </c>
      <c r="I1991" t="s">
        <v>70</v>
      </c>
      <c r="J1991" t="s">
        <v>321</v>
      </c>
      <c r="K1991">
        <v>326.42</v>
      </c>
      <c r="L1991">
        <v>10.33</v>
      </c>
      <c r="M1991" t="s">
        <v>164</v>
      </c>
      <c r="N1991">
        <v>0</v>
      </c>
      <c r="AJ1991" t="s">
        <v>164</v>
      </c>
      <c r="AK1991" t="s">
        <v>12132</v>
      </c>
      <c r="AL1991">
        <v>4.66</v>
      </c>
      <c r="AM1991">
        <v>4.66</v>
      </c>
      <c r="AN1991">
        <v>0</v>
      </c>
      <c r="AR1991" t="s">
        <v>4623</v>
      </c>
      <c r="AS1991" t="s">
        <v>141</v>
      </c>
      <c r="AT1991" t="s">
        <v>3112</v>
      </c>
      <c r="AU1991" t="s">
        <v>1559</v>
      </c>
      <c r="AV1991" t="s">
        <v>1760</v>
      </c>
      <c r="AW1991" t="s">
        <v>6127</v>
      </c>
      <c r="AX1991" t="s">
        <v>2543</v>
      </c>
      <c r="AY1991" t="s">
        <v>6127</v>
      </c>
      <c r="AZ1991" t="s">
        <v>4189</v>
      </c>
      <c r="BB1991">
        <v>161.75</v>
      </c>
      <c r="BC1991">
        <v>0</v>
      </c>
      <c r="BD1991">
        <v>10.33</v>
      </c>
      <c r="BE1991">
        <v>10.33</v>
      </c>
      <c r="BF1991">
        <v>10.33</v>
      </c>
      <c r="BG1991" t="s">
        <v>20783</v>
      </c>
      <c r="BH1991" t="s">
        <v>6127</v>
      </c>
      <c r="BI1991" t="s">
        <v>4189</v>
      </c>
      <c r="BJ1991" t="s">
        <v>101</v>
      </c>
      <c r="BN1991" t="s">
        <v>14623</v>
      </c>
    </row>
    <row r="1992" spans="1:66" x14ac:dyDescent="0.25">
      <c r="A1992" t="str">
        <f>HYPERLINK("https://elite.finviz.com/quote.ashx?t=RMCO&amp;ty=c&amp;p=d&amp;b=1", "RMCO")</f>
        <v>RMCO</v>
      </c>
      <c r="B1992">
        <v>6</v>
      </c>
      <c r="C1992">
        <v>127.03</v>
      </c>
      <c r="D1992">
        <v>60.39</v>
      </c>
      <c r="E1992" t="s">
        <v>20784</v>
      </c>
      <c r="F1992" t="s">
        <v>107</v>
      </c>
      <c r="G1992" t="s">
        <v>550</v>
      </c>
      <c r="H1992" t="s">
        <v>2597</v>
      </c>
      <c r="I1992" t="s">
        <v>70</v>
      </c>
      <c r="J1992" t="s">
        <v>321</v>
      </c>
      <c r="K1992">
        <v>32.15</v>
      </c>
      <c r="L1992">
        <v>2.1800000000000002</v>
      </c>
      <c r="M1992" t="s">
        <v>386</v>
      </c>
      <c r="N1992">
        <v>6683</v>
      </c>
      <c r="R1992">
        <v>12.18</v>
      </c>
      <c r="S1992">
        <v>2.75</v>
      </c>
      <c r="T1992" t="s">
        <v>1324</v>
      </c>
      <c r="U1992">
        <v>0</v>
      </c>
      <c r="V1992" t="s">
        <v>198</v>
      </c>
      <c r="AA1992">
        <v>-0.02</v>
      </c>
      <c r="AE1992" t="s">
        <v>20785</v>
      </c>
      <c r="AH1992" t="s">
        <v>20786</v>
      </c>
      <c r="AJ1992" t="s">
        <v>164</v>
      </c>
      <c r="AK1992" t="s">
        <v>908</v>
      </c>
      <c r="AL1992">
        <v>0.98</v>
      </c>
      <c r="AM1992">
        <v>0.98</v>
      </c>
      <c r="AN1992">
        <v>0.04</v>
      </c>
      <c r="AO1992" t="s">
        <v>14244</v>
      </c>
      <c r="AP1992" t="s">
        <v>18298</v>
      </c>
      <c r="AQ1992" t="s">
        <v>2301</v>
      </c>
      <c r="AR1992" t="s">
        <v>237</v>
      </c>
      <c r="AS1992" t="s">
        <v>5658</v>
      </c>
      <c r="AT1992" t="s">
        <v>3601</v>
      </c>
      <c r="AU1992" t="s">
        <v>17740</v>
      </c>
      <c r="AV1992" t="s">
        <v>20787</v>
      </c>
      <c r="AW1992" t="s">
        <v>6538</v>
      </c>
      <c r="AX1992" t="s">
        <v>20788</v>
      </c>
      <c r="AY1992" t="s">
        <v>6538</v>
      </c>
      <c r="AZ1992" t="s">
        <v>20789</v>
      </c>
      <c r="BB1992">
        <v>100.26</v>
      </c>
      <c r="BC1992">
        <v>0.24</v>
      </c>
      <c r="BD1992">
        <v>2.19</v>
      </c>
      <c r="BE1992">
        <v>2.21</v>
      </c>
      <c r="BF1992">
        <v>2.16</v>
      </c>
      <c r="BG1992" t="s">
        <v>20790</v>
      </c>
      <c r="BH1992" t="s">
        <v>20791</v>
      </c>
      <c r="BI1992" t="s">
        <v>20792</v>
      </c>
      <c r="BJ1992" t="s">
        <v>101</v>
      </c>
      <c r="BK1992" t="s">
        <v>20793</v>
      </c>
      <c r="BL1992" t="s">
        <v>11881</v>
      </c>
      <c r="BM1992" t="s">
        <v>20794</v>
      </c>
      <c r="BN1992" t="s">
        <v>14623</v>
      </c>
    </row>
    <row r="1993" spans="1:66" x14ac:dyDescent="0.25">
      <c r="A1993" t="str">
        <f>HYPERLINK("https://elite.finviz.com/quote.ashx?t=FRD&amp;ty=c&amp;p=d&amp;b=1", "FRD")</f>
        <v>FRD</v>
      </c>
      <c r="B1993">
        <v>6</v>
      </c>
      <c r="C1993">
        <v>127.03</v>
      </c>
      <c r="D1993">
        <v>60.46</v>
      </c>
      <c r="E1993" t="s">
        <v>20795</v>
      </c>
      <c r="F1993" t="s">
        <v>67</v>
      </c>
      <c r="G1993" t="s">
        <v>355</v>
      </c>
      <c r="H1993" t="s">
        <v>10220</v>
      </c>
      <c r="I1993" t="s">
        <v>70</v>
      </c>
      <c r="J1993" t="s">
        <v>321</v>
      </c>
      <c r="K1993">
        <v>155.62</v>
      </c>
      <c r="L1993">
        <v>22.05</v>
      </c>
      <c r="M1993" t="s">
        <v>1022</v>
      </c>
      <c r="N1993">
        <v>6870</v>
      </c>
      <c r="O1993">
        <v>18.170000000000002</v>
      </c>
      <c r="R1993">
        <v>0.33</v>
      </c>
      <c r="S1993">
        <v>1.1299999999999999</v>
      </c>
      <c r="T1993" t="s">
        <v>5036</v>
      </c>
      <c r="U1993">
        <v>0.16</v>
      </c>
      <c r="V1993" t="s">
        <v>20796</v>
      </c>
      <c r="W1993" t="s">
        <v>8778</v>
      </c>
      <c r="X1993" t="s">
        <v>3397</v>
      </c>
      <c r="Y1993" t="s">
        <v>1066</v>
      </c>
      <c r="Z1993" t="s">
        <v>5024</v>
      </c>
      <c r="AA1993">
        <v>1.21</v>
      </c>
      <c r="AB1993" t="s">
        <v>4380</v>
      </c>
      <c r="AE1993" t="s">
        <v>7074</v>
      </c>
      <c r="AF1993" t="s">
        <v>3644</v>
      </c>
      <c r="AG1993" t="s">
        <v>8518</v>
      </c>
      <c r="AH1993" t="s">
        <v>1791</v>
      </c>
      <c r="AJ1993" t="s">
        <v>164</v>
      </c>
      <c r="AK1993" t="s">
        <v>12698</v>
      </c>
      <c r="AL1993">
        <v>3.9</v>
      </c>
      <c r="AM1993">
        <v>1.35</v>
      </c>
      <c r="AN1993">
        <v>0.26</v>
      </c>
      <c r="AO1993" t="s">
        <v>10775</v>
      </c>
      <c r="AP1993" t="s">
        <v>3208</v>
      </c>
      <c r="AQ1993" t="s">
        <v>1303</v>
      </c>
      <c r="AR1993" t="s">
        <v>5497</v>
      </c>
      <c r="AS1993" t="s">
        <v>8625</v>
      </c>
      <c r="AT1993" t="s">
        <v>7780</v>
      </c>
      <c r="AU1993" t="s">
        <v>18267</v>
      </c>
      <c r="AV1993" t="s">
        <v>1848</v>
      </c>
      <c r="AW1993" t="s">
        <v>1770</v>
      </c>
      <c r="AX1993" t="s">
        <v>12089</v>
      </c>
      <c r="AY1993" t="s">
        <v>1770</v>
      </c>
      <c r="AZ1993" t="s">
        <v>20797</v>
      </c>
      <c r="BB1993">
        <v>38.49</v>
      </c>
      <c r="BC1993">
        <v>0.63</v>
      </c>
      <c r="BD1993">
        <v>21.9</v>
      </c>
      <c r="BE1993">
        <v>22.48</v>
      </c>
      <c r="BF1993">
        <v>21.56</v>
      </c>
      <c r="BG1993" t="s">
        <v>20798</v>
      </c>
      <c r="BH1993" t="s">
        <v>1770</v>
      </c>
      <c r="BI1993" t="s">
        <v>20799</v>
      </c>
      <c r="BJ1993" t="s">
        <v>101</v>
      </c>
      <c r="BK1993" t="s">
        <v>20800</v>
      </c>
      <c r="BL1993" t="s">
        <v>20801</v>
      </c>
      <c r="BM1993" t="s">
        <v>17600</v>
      </c>
      <c r="BN1993" t="s">
        <v>14623</v>
      </c>
    </row>
    <row r="1994" spans="1:66" x14ac:dyDescent="0.25">
      <c r="A1994" t="str">
        <f>HYPERLINK("https://elite.finviz.com/quote.ashx?t=FWONA&amp;ty=c&amp;p=d&amp;b=1", "FWONA")</f>
        <v>FWONA</v>
      </c>
      <c r="B1994">
        <v>6</v>
      </c>
      <c r="C1994">
        <v>127.03</v>
      </c>
      <c r="D1994">
        <v>60.47</v>
      </c>
      <c r="E1994" t="s">
        <v>10753</v>
      </c>
      <c r="F1994" t="s">
        <v>107</v>
      </c>
      <c r="G1994" t="s">
        <v>598</v>
      </c>
      <c r="H1994" t="s">
        <v>4247</v>
      </c>
      <c r="I1994" t="s">
        <v>70</v>
      </c>
      <c r="J1994" t="s">
        <v>321</v>
      </c>
      <c r="K1994">
        <v>23657.23</v>
      </c>
      <c r="L1994">
        <v>94.61</v>
      </c>
      <c r="M1994" t="s">
        <v>2642</v>
      </c>
      <c r="N1994">
        <v>10574</v>
      </c>
      <c r="O1994">
        <v>89.35</v>
      </c>
      <c r="P1994">
        <v>45.97</v>
      </c>
      <c r="R1994">
        <v>6.12</v>
      </c>
      <c r="S1994">
        <v>3.01</v>
      </c>
      <c r="AA1994">
        <v>1.06</v>
      </c>
      <c r="AB1994" t="s">
        <v>10754</v>
      </c>
      <c r="AC1994" t="s">
        <v>10755</v>
      </c>
      <c r="AE1994" t="s">
        <v>1576</v>
      </c>
      <c r="AF1994" t="s">
        <v>2713</v>
      </c>
      <c r="AG1994" t="s">
        <v>794</v>
      </c>
      <c r="AH1994" t="s">
        <v>2702</v>
      </c>
      <c r="AI1994" t="s">
        <v>20802</v>
      </c>
      <c r="AJ1994" t="s">
        <v>4699</v>
      </c>
      <c r="AK1994" t="s">
        <v>5389</v>
      </c>
      <c r="AL1994">
        <v>2.85</v>
      </c>
      <c r="AM1994">
        <v>2.85</v>
      </c>
      <c r="AN1994">
        <v>0.39</v>
      </c>
      <c r="AO1994" t="s">
        <v>1953</v>
      </c>
      <c r="AP1994" t="s">
        <v>8051</v>
      </c>
      <c r="AQ1994" t="s">
        <v>2869</v>
      </c>
      <c r="AR1994" t="s">
        <v>5084</v>
      </c>
      <c r="AS1994" t="s">
        <v>3856</v>
      </c>
      <c r="AT1994" t="s">
        <v>4892</v>
      </c>
      <c r="AU1994" t="s">
        <v>4795</v>
      </c>
      <c r="AV1994" t="s">
        <v>3648</v>
      </c>
      <c r="AW1994" t="s">
        <v>1783</v>
      </c>
      <c r="AX1994" t="s">
        <v>8594</v>
      </c>
      <c r="AY1994" t="s">
        <v>4501</v>
      </c>
      <c r="AZ1994" t="s">
        <v>17926</v>
      </c>
      <c r="BA1994">
        <v>1.58</v>
      </c>
      <c r="BB1994">
        <v>83.67</v>
      </c>
      <c r="BC1994">
        <v>0.45</v>
      </c>
      <c r="BD1994">
        <v>94.27</v>
      </c>
      <c r="BE1994">
        <v>95.13</v>
      </c>
      <c r="BF1994">
        <v>94.45</v>
      </c>
      <c r="BG1994" t="s">
        <v>20803</v>
      </c>
      <c r="BH1994" t="s">
        <v>4501</v>
      </c>
      <c r="BI1994" t="s">
        <v>20804</v>
      </c>
      <c r="BJ1994" t="s">
        <v>101</v>
      </c>
      <c r="BK1994" t="s">
        <v>5388</v>
      </c>
      <c r="BL1994" t="s">
        <v>685</v>
      </c>
      <c r="BM1994" t="s">
        <v>12218</v>
      </c>
      <c r="BN1994" t="s">
        <v>14623</v>
      </c>
    </row>
    <row r="1995" spans="1:66" x14ac:dyDescent="0.25">
      <c r="A1995" t="str">
        <f>HYPERLINK("https://elite.finviz.com/quote.ashx?t=HSTM&amp;ty=c&amp;p=d&amp;b=1", "HSTM")</f>
        <v>HSTM</v>
      </c>
      <c r="B1995">
        <v>6</v>
      </c>
      <c r="C1995">
        <v>127.03</v>
      </c>
      <c r="D1995">
        <v>60.48</v>
      </c>
      <c r="E1995" t="s">
        <v>20805</v>
      </c>
      <c r="F1995" t="s">
        <v>67</v>
      </c>
      <c r="G1995" t="s">
        <v>428</v>
      </c>
      <c r="H1995" t="s">
        <v>2075</v>
      </c>
      <c r="I1995" t="s">
        <v>70</v>
      </c>
      <c r="J1995" t="s">
        <v>321</v>
      </c>
      <c r="K1995">
        <v>859.75</v>
      </c>
      <c r="L1995">
        <v>29</v>
      </c>
      <c r="M1995" t="s">
        <v>2402</v>
      </c>
      <c r="N1995">
        <v>15404</v>
      </c>
      <c r="O1995">
        <v>43.6</v>
      </c>
      <c r="P1995">
        <v>40.17</v>
      </c>
      <c r="R1995">
        <v>2.91</v>
      </c>
      <c r="S1995">
        <v>2.4700000000000002</v>
      </c>
      <c r="T1995" t="s">
        <v>1409</v>
      </c>
      <c r="U1995">
        <v>0.12</v>
      </c>
      <c r="V1995" t="s">
        <v>1440</v>
      </c>
      <c r="W1995" t="s">
        <v>3962</v>
      </c>
      <c r="Z1995" t="s">
        <v>728</v>
      </c>
      <c r="AA1995">
        <v>0.67</v>
      </c>
      <c r="AB1995" t="s">
        <v>20806</v>
      </c>
      <c r="AC1995" t="s">
        <v>224</v>
      </c>
      <c r="AE1995" t="s">
        <v>2700</v>
      </c>
      <c r="AF1995" t="s">
        <v>8625</v>
      </c>
      <c r="AG1995" t="s">
        <v>3456</v>
      </c>
      <c r="AH1995" t="s">
        <v>1148</v>
      </c>
      <c r="AI1995" t="s">
        <v>5468</v>
      </c>
      <c r="AJ1995" t="s">
        <v>3598</v>
      </c>
      <c r="AK1995" t="s">
        <v>17048</v>
      </c>
      <c r="AL1995">
        <v>1.25</v>
      </c>
      <c r="AM1995">
        <v>1.25</v>
      </c>
      <c r="AN1995">
        <v>0.05</v>
      </c>
      <c r="AO1995" t="s">
        <v>18019</v>
      </c>
      <c r="AP1995" t="s">
        <v>296</v>
      </c>
      <c r="AQ1995" t="s">
        <v>1691</v>
      </c>
      <c r="AR1995" t="s">
        <v>910</v>
      </c>
      <c r="AS1995" t="s">
        <v>1952</v>
      </c>
      <c r="AT1995" t="s">
        <v>2144</v>
      </c>
      <c r="AU1995" t="s">
        <v>4995</v>
      </c>
      <c r="AV1995" t="s">
        <v>9098</v>
      </c>
      <c r="AW1995" t="s">
        <v>6838</v>
      </c>
      <c r="AX1995" t="s">
        <v>6474</v>
      </c>
      <c r="AY1995" t="s">
        <v>10847</v>
      </c>
      <c r="AZ1995" t="s">
        <v>6474</v>
      </c>
      <c r="BA1995">
        <v>2.2000000000000002</v>
      </c>
      <c r="BB1995">
        <v>184.83</v>
      </c>
      <c r="BC1995">
        <v>0.28999999999999998</v>
      </c>
      <c r="BD1995">
        <v>29.08</v>
      </c>
      <c r="BE1995">
        <v>29.48</v>
      </c>
      <c r="BF1995">
        <v>28.88</v>
      </c>
      <c r="BG1995" t="s">
        <v>20807</v>
      </c>
      <c r="BH1995" t="s">
        <v>20808</v>
      </c>
      <c r="BI1995" t="s">
        <v>20809</v>
      </c>
      <c r="BJ1995" t="s">
        <v>101</v>
      </c>
      <c r="BK1995" t="s">
        <v>3948</v>
      </c>
      <c r="BL1995" t="s">
        <v>10517</v>
      </c>
      <c r="BM1995" t="s">
        <v>3976</v>
      </c>
      <c r="BN1995" t="s">
        <v>14623</v>
      </c>
    </row>
    <row r="1996" spans="1:66" x14ac:dyDescent="0.25">
      <c r="A1996" t="str">
        <f>HYPERLINK("https://elite.finviz.com/quote.ashx?t=HCSG&amp;ty=c&amp;p=d&amp;b=1", "HCSG")</f>
        <v>HCSG</v>
      </c>
      <c r="B1996">
        <v>6</v>
      </c>
      <c r="C1996">
        <v>127.03</v>
      </c>
      <c r="D1996">
        <v>60.5</v>
      </c>
      <c r="E1996" t="s">
        <v>20810</v>
      </c>
      <c r="F1996" t="s">
        <v>67</v>
      </c>
      <c r="G1996" t="s">
        <v>428</v>
      </c>
      <c r="H1996" t="s">
        <v>3160</v>
      </c>
      <c r="I1996" t="s">
        <v>70</v>
      </c>
      <c r="J1996" t="s">
        <v>321</v>
      </c>
      <c r="K1996">
        <v>1189.3800000000001</v>
      </c>
      <c r="L1996">
        <v>16.420000000000002</v>
      </c>
      <c r="M1996" t="s">
        <v>2423</v>
      </c>
      <c r="N1996">
        <v>68864</v>
      </c>
      <c r="O1996">
        <v>116.08</v>
      </c>
      <c r="P1996">
        <v>17.579999999999998</v>
      </c>
      <c r="Q1996">
        <v>4.41</v>
      </c>
      <c r="R1996">
        <v>0.67</v>
      </c>
      <c r="S1996">
        <v>2.4900000000000002</v>
      </c>
      <c r="V1996" t="s">
        <v>20811</v>
      </c>
      <c r="Z1996" t="s">
        <v>164</v>
      </c>
      <c r="AA1996">
        <v>0.14000000000000001</v>
      </c>
      <c r="AB1996" t="s">
        <v>3444</v>
      </c>
      <c r="AC1996" t="s">
        <v>2701</v>
      </c>
      <c r="AD1996" t="s">
        <v>8378</v>
      </c>
      <c r="AE1996" t="s">
        <v>4393</v>
      </c>
      <c r="AF1996" t="s">
        <v>5610</v>
      </c>
      <c r="AG1996" t="s">
        <v>7598</v>
      </c>
      <c r="AH1996" t="s">
        <v>2922</v>
      </c>
      <c r="AI1996" t="s">
        <v>1768</v>
      </c>
      <c r="AJ1996" t="s">
        <v>5195</v>
      </c>
      <c r="AK1996" t="s">
        <v>20812</v>
      </c>
      <c r="AL1996">
        <v>2.4900000000000002</v>
      </c>
      <c r="AM1996">
        <v>2.41</v>
      </c>
      <c r="AN1996">
        <v>0.03</v>
      </c>
      <c r="AO1996" t="s">
        <v>9175</v>
      </c>
      <c r="AP1996" t="s">
        <v>3336</v>
      </c>
      <c r="AQ1996" t="s">
        <v>306</v>
      </c>
      <c r="AR1996" t="s">
        <v>307</v>
      </c>
      <c r="AS1996" t="s">
        <v>4658</v>
      </c>
      <c r="AT1996" t="s">
        <v>2743</v>
      </c>
      <c r="AU1996" t="s">
        <v>2605</v>
      </c>
      <c r="AV1996" t="s">
        <v>12500</v>
      </c>
      <c r="AW1996" t="s">
        <v>1820</v>
      </c>
      <c r="AX1996" t="s">
        <v>18647</v>
      </c>
      <c r="AY1996" t="s">
        <v>1820</v>
      </c>
      <c r="AZ1996" t="s">
        <v>9989</v>
      </c>
      <c r="BA1996">
        <v>2</v>
      </c>
      <c r="BB1996">
        <v>830.09</v>
      </c>
      <c r="BC1996">
        <v>0.28999999999999998</v>
      </c>
      <c r="BD1996">
        <v>16.36</v>
      </c>
      <c r="BE1996">
        <v>16.52</v>
      </c>
      <c r="BF1996">
        <v>16.04</v>
      </c>
      <c r="BG1996" t="s">
        <v>20813</v>
      </c>
      <c r="BH1996" t="s">
        <v>15875</v>
      </c>
      <c r="BI1996" t="s">
        <v>20814</v>
      </c>
      <c r="BJ1996" t="s">
        <v>101</v>
      </c>
      <c r="BK1996" t="s">
        <v>4783</v>
      </c>
      <c r="BL1996" t="s">
        <v>20815</v>
      </c>
      <c r="BM1996" t="s">
        <v>20816</v>
      </c>
      <c r="BN1996" t="s">
        <v>14623</v>
      </c>
    </row>
    <row r="1997" spans="1:66" x14ac:dyDescent="0.25">
      <c r="A1997" t="str">
        <f>HYPERLINK("https://elite.finviz.com/quote.ashx?t=CAMP&amp;ty=c&amp;p=d&amp;b=1", "CAMP")</f>
        <v>CAMP</v>
      </c>
      <c r="B1997">
        <v>6</v>
      </c>
      <c r="C1997">
        <v>127.03</v>
      </c>
      <c r="D1997">
        <v>60.52</v>
      </c>
      <c r="E1997" t="s">
        <v>20817</v>
      </c>
      <c r="F1997" t="s">
        <v>107</v>
      </c>
      <c r="G1997" t="s">
        <v>428</v>
      </c>
      <c r="H1997" t="s">
        <v>429</v>
      </c>
      <c r="I1997" t="s">
        <v>70</v>
      </c>
      <c r="J1997" t="s">
        <v>321</v>
      </c>
      <c r="K1997">
        <v>57.46</v>
      </c>
      <c r="L1997">
        <v>2.85</v>
      </c>
      <c r="M1997" t="s">
        <v>3998</v>
      </c>
      <c r="N1997">
        <v>39970</v>
      </c>
      <c r="R1997">
        <v>19.09</v>
      </c>
      <c r="S1997">
        <v>1.44</v>
      </c>
      <c r="AA1997">
        <v>-2.57</v>
      </c>
      <c r="AB1997" t="s">
        <v>4174</v>
      </c>
      <c r="AD1997" t="s">
        <v>20818</v>
      </c>
      <c r="AI1997" t="s">
        <v>2515</v>
      </c>
      <c r="AJ1997" t="s">
        <v>20819</v>
      </c>
      <c r="AK1997" t="s">
        <v>12257</v>
      </c>
      <c r="AL1997">
        <v>5.6</v>
      </c>
      <c r="AM1997">
        <v>5.6</v>
      </c>
      <c r="AN1997">
        <v>0.18</v>
      </c>
      <c r="AO1997" t="s">
        <v>10239</v>
      </c>
      <c r="AP1997" t="s">
        <v>20820</v>
      </c>
      <c r="AQ1997" t="s">
        <v>20821</v>
      </c>
      <c r="AR1997" t="s">
        <v>5662</v>
      </c>
      <c r="AS1997" t="s">
        <v>2722</v>
      </c>
      <c r="AT1997" t="s">
        <v>20822</v>
      </c>
      <c r="AU1997" t="s">
        <v>17072</v>
      </c>
      <c r="AV1997" t="s">
        <v>8829</v>
      </c>
      <c r="AW1997" t="s">
        <v>9783</v>
      </c>
      <c r="AX1997" t="s">
        <v>20823</v>
      </c>
      <c r="AY1997" t="s">
        <v>3097</v>
      </c>
      <c r="AZ1997" t="s">
        <v>20824</v>
      </c>
      <c r="BA1997">
        <v>1.4</v>
      </c>
      <c r="BB1997">
        <v>794.15</v>
      </c>
      <c r="BC1997">
        <v>0.18</v>
      </c>
      <c r="BD1997">
        <v>3</v>
      </c>
      <c r="BE1997">
        <v>3.08</v>
      </c>
      <c r="BF1997">
        <v>2.84</v>
      </c>
      <c r="BG1997" t="s">
        <v>20825</v>
      </c>
      <c r="BH1997" t="s">
        <v>3097</v>
      </c>
      <c r="BI1997" t="s">
        <v>20824</v>
      </c>
      <c r="BJ1997" t="s">
        <v>101</v>
      </c>
      <c r="BK1997" t="s">
        <v>719</v>
      </c>
      <c r="BL1997" t="s">
        <v>9599</v>
      </c>
      <c r="BN1997" t="s">
        <v>14623</v>
      </c>
    </row>
    <row r="1998" spans="1:66" x14ac:dyDescent="0.25">
      <c r="A1998" t="str">
        <f>HYPERLINK("https://elite.finviz.com/quote.ashx?t=ARLP&amp;ty=c&amp;p=d&amp;b=1", "ARLP")</f>
        <v>ARLP</v>
      </c>
      <c r="B1998">
        <v>6</v>
      </c>
      <c r="C1998">
        <v>127.03</v>
      </c>
      <c r="D1998">
        <v>60.52</v>
      </c>
      <c r="E1998" t="s">
        <v>20826</v>
      </c>
      <c r="F1998" t="s">
        <v>107</v>
      </c>
      <c r="G1998" t="s">
        <v>1048</v>
      </c>
      <c r="H1998" t="s">
        <v>2807</v>
      </c>
      <c r="I1998" t="s">
        <v>70</v>
      </c>
      <c r="J1998" t="s">
        <v>321</v>
      </c>
      <c r="K1998">
        <v>3168.97</v>
      </c>
      <c r="L1998">
        <v>24.67</v>
      </c>
      <c r="M1998" t="s">
        <v>744</v>
      </c>
      <c r="N1998">
        <v>84169</v>
      </c>
      <c r="O1998">
        <v>13.57</v>
      </c>
      <c r="P1998">
        <v>9.4600000000000009</v>
      </c>
      <c r="Q1998">
        <v>5.18</v>
      </c>
      <c r="R1998">
        <v>1.38</v>
      </c>
      <c r="S1998">
        <v>1.77</v>
      </c>
      <c r="T1998" t="s">
        <v>2376</v>
      </c>
      <c r="U1998">
        <v>2.7</v>
      </c>
      <c r="V1998" t="s">
        <v>2420</v>
      </c>
      <c r="W1998" t="s">
        <v>164</v>
      </c>
      <c r="X1998" t="s">
        <v>18804</v>
      </c>
      <c r="Y1998" t="s">
        <v>5591</v>
      </c>
      <c r="Z1998" t="s">
        <v>20827</v>
      </c>
      <c r="AA1998">
        <v>1.82</v>
      </c>
      <c r="AB1998" t="s">
        <v>11897</v>
      </c>
      <c r="AC1998" t="s">
        <v>4431</v>
      </c>
      <c r="AD1998" t="s">
        <v>2273</v>
      </c>
      <c r="AE1998" t="s">
        <v>5964</v>
      </c>
      <c r="AF1998" t="s">
        <v>16940</v>
      </c>
      <c r="AG1998" t="s">
        <v>169</v>
      </c>
      <c r="AH1998" t="s">
        <v>14985</v>
      </c>
      <c r="AI1998" t="s">
        <v>15433</v>
      </c>
      <c r="AJ1998" t="s">
        <v>164</v>
      </c>
      <c r="AK1998" t="s">
        <v>913</v>
      </c>
      <c r="AL1998">
        <v>1.96</v>
      </c>
      <c r="AM1998">
        <v>1.37</v>
      </c>
      <c r="AN1998">
        <v>0.27</v>
      </c>
      <c r="AO1998" t="s">
        <v>4944</v>
      </c>
      <c r="AP1998" t="s">
        <v>9122</v>
      </c>
      <c r="AQ1998" t="s">
        <v>1575</v>
      </c>
      <c r="AR1998" t="s">
        <v>248</v>
      </c>
      <c r="AS1998" t="s">
        <v>5263</v>
      </c>
      <c r="AT1998" t="s">
        <v>4133</v>
      </c>
      <c r="AU1998" t="s">
        <v>2290</v>
      </c>
      <c r="AV1998" t="s">
        <v>10194</v>
      </c>
      <c r="AW1998" t="s">
        <v>11904</v>
      </c>
      <c r="AX1998" t="s">
        <v>5865</v>
      </c>
      <c r="AY1998" t="s">
        <v>933</v>
      </c>
      <c r="AZ1998" t="s">
        <v>5865</v>
      </c>
      <c r="BA1998">
        <v>1</v>
      </c>
      <c r="BB1998">
        <v>336.75</v>
      </c>
      <c r="BC1998">
        <v>0.88</v>
      </c>
      <c r="BD1998">
        <v>24.1</v>
      </c>
      <c r="BE1998">
        <v>24.7</v>
      </c>
      <c r="BF1998">
        <v>24.1</v>
      </c>
      <c r="BG1998" t="s">
        <v>20828</v>
      </c>
      <c r="BH1998" t="s">
        <v>20829</v>
      </c>
      <c r="BI1998" t="s">
        <v>20830</v>
      </c>
      <c r="BJ1998" t="s">
        <v>101</v>
      </c>
      <c r="BK1998" t="s">
        <v>12575</v>
      </c>
      <c r="BL1998" t="s">
        <v>2616</v>
      </c>
      <c r="BM1998" t="s">
        <v>149</v>
      </c>
      <c r="BN1998" t="s">
        <v>14623</v>
      </c>
    </row>
    <row r="1999" spans="1:66" x14ac:dyDescent="0.25">
      <c r="A1999" t="str">
        <f>HYPERLINK("https://elite.finviz.com/quote.ashx?t=RDVT&amp;ty=c&amp;p=d&amp;b=1", "RDVT")</f>
        <v>RDVT</v>
      </c>
      <c r="B1999">
        <v>6</v>
      </c>
      <c r="C1999">
        <v>127.03</v>
      </c>
      <c r="D1999">
        <v>60.57</v>
      </c>
      <c r="E1999" t="s">
        <v>20831</v>
      </c>
      <c r="F1999" t="s">
        <v>67</v>
      </c>
      <c r="G1999" t="s">
        <v>108</v>
      </c>
      <c r="H1999" t="s">
        <v>136</v>
      </c>
      <c r="I1999" t="s">
        <v>70</v>
      </c>
      <c r="J1999" t="s">
        <v>321</v>
      </c>
      <c r="K1999">
        <v>719.58</v>
      </c>
      <c r="L1999">
        <v>51.48</v>
      </c>
      <c r="M1999" t="s">
        <v>4539</v>
      </c>
      <c r="N1999">
        <v>11995</v>
      </c>
      <c r="O1999">
        <v>85.5</v>
      </c>
      <c r="P1999">
        <v>43.87</v>
      </c>
      <c r="Q1999">
        <v>5.0599999999999996</v>
      </c>
      <c r="R1999">
        <v>8.73</v>
      </c>
      <c r="S1999">
        <v>7.48</v>
      </c>
      <c r="V1999" t="s">
        <v>20832</v>
      </c>
      <c r="Z1999" t="s">
        <v>164</v>
      </c>
      <c r="AA1999">
        <v>0.6</v>
      </c>
      <c r="AB1999" t="s">
        <v>20833</v>
      </c>
      <c r="AD1999" t="s">
        <v>3199</v>
      </c>
      <c r="AE1999" t="s">
        <v>1986</v>
      </c>
      <c r="AF1999" t="s">
        <v>5761</v>
      </c>
      <c r="AG1999" t="s">
        <v>1551</v>
      </c>
      <c r="AH1999" t="s">
        <v>1716</v>
      </c>
      <c r="AI1999" t="s">
        <v>1303</v>
      </c>
      <c r="AJ1999" t="s">
        <v>2007</v>
      </c>
      <c r="AK1999" t="s">
        <v>11623</v>
      </c>
      <c r="AL1999">
        <v>9.1199999999999992</v>
      </c>
      <c r="AM1999">
        <v>9.1199999999999992</v>
      </c>
      <c r="AN1999">
        <v>0.03</v>
      </c>
      <c r="AO1999" t="s">
        <v>20834</v>
      </c>
      <c r="AP1999" t="s">
        <v>8372</v>
      </c>
      <c r="AQ1999" t="s">
        <v>326</v>
      </c>
      <c r="AR1999" t="s">
        <v>4189</v>
      </c>
      <c r="AS1999" t="s">
        <v>2494</v>
      </c>
      <c r="AT1999" t="s">
        <v>5968</v>
      </c>
      <c r="AU1999" t="s">
        <v>2210</v>
      </c>
      <c r="AV1999" t="s">
        <v>8153</v>
      </c>
      <c r="AW1999" t="s">
        <v>3998</v>
      </c>
      <c r="AX1999" t="s">
        <v>19643</v>
      </c>
      <c r="AY1999" t="s">
        <v>3998</v>
      </c>
      <c r="AZ1999" t="s">
        <v>20835</v>
      </c>
      <c r="BA1999">
        <v>1</v>
      </c>
      <c r="BB1999">
        <v>96.11</v>
      </c>
      <c r="BC1999">
        <v>0.44</v>
      </c>
      <c r="BD1999">
        <v>51.44</v>
      </c>
      <c r="BE1999">
        <v>51.61</v>
      </c>
      <c r="BF1999">
        <v>50.99</v>
      </c>
      <c r="BG1999" t="s">
        <v>20836</v>
      </c>
      <c r="BH1999" t="s">
        <v>3998</v>
      </c>
      <c r="BI1999" t="s">
        <v>20837</v>
      </c>
      <c r="BJ1999" t="s">
        <v>101</v>
      </c>
      <c r="BK1999" t="s">
        <v>5577</v>
      </c>
      <c r="BL1999" t="s">
        <v>7470</v>
      </c>
      <c r="BM1999" t="s">
        <v>20838</v>
      </c>
      <c r="BN1999" t="s">
        <v>14623</v>
      </c>
    </row>
    <row r="2000" spans="1:66" x14ac:dyDescent="0.25">
      <c r="A2000" t="str">
        <f>HYPERLINK("https://elite.finviz.com/quote.ashx?t=GSHR&amp;ty=c&amp;p=d&amp;b=1", "GSHR")</f>
        <v>GSHR</v>
      </c>
      <c r="B2000">
        <v>6</v>
      </c>
      <c r="C2000">
        <v>127.03</v>
      </c>
      <c r="D2000">
        <v>60.58</v>
      </c>
      <c r="E2000" t="s">
        <v>20839</v>
      </c>
      <c r="F2000" t="s">
        <v>107</v>
      </c>
      <c r="G2000" t="s">
        <v>550</v>
      </c>
      <c r="H2000" t="s">
        <v>2120</v>
      </c>
      <c r="I2000" t="s">
        <v>70</v>
      </c>
      <c r="J2000" t="s">
        <v>321</v>
      </c>
      <c r="K2000">
        <v>207.77</v>
      </c>
      <c r="L2000">
        <v>10.16</v>
      </c>
      <c r="M2000" t="s">
        <v>164</v>
      </c>
      <c r="N2000">
        <v>4</v>
      </c>
      <c r="S2000">
        <v>1.46</v>
      </c>
      <c r="AJ2000" t="s">
        <v>164</v>
      </c>
      <c r="AK2000" t="s">
        <v>11214</v>
      </c>
      <c r="AL2000">
        <v>13.78</v>
      </c>
      <c r="AM2000">
        <v>13.78</v>
      </c>
      <c r="AN2000">
        <v>0</v>
      </c>
      <c r="AR2000" t="s">
        <v>4507</v>
      </c>
      <c r="AS2000" t="s">
        <v>2757</v>
      </c>
      <c r="AT2000" t="s">
        <v>3358</v>
      </c>
      <c r="AU2000" t="s">
        <v>3463</v>
      </c>
      <c r="AV2000" t="s">
        <v>3463</v>
      </c>
      <c r="AW2000" t="s">
        <v>4273</v>
      </c>
      <c r="AX2000" t="s">
        <v>206</v>
      </c>
      <c r="AY2000" t="s">
        <v>4273</v>
      </c>
      <c r="AZ2000" t="s">
        <v>206</v>
      </c>
      <c r="BB2000">
        <v>31.78</v>
      </c>
      <c r="BC2000">
        <v>0</v>
      </c>
      <c r="BD2000">
        <v>10.16</v>
      </c>
      <c r="BE2000">
        <v>10.15</v>
      </c>
      <c r="BF2000">
        <v>10.15</v>
      </c>
      <c r="BG2000" t="s">
        <v>20840</v>
      </c>
      <c r="BH2000" t="s">
        <v>4273</v>
      </c>
      <c r="BI2000" t="s">
        <v>206</v>
      </c>
      <c r="BJ2000" t="s">
        <v>101</v>
      </c>
      <c r="BN2000" t="s">
        <v>14623</v>
      </c>
    </row>
    <row r="2001" spans="1:66" x14ac:dyDescent="0.25">
      <c r="A2001" t="str">
        <f>HYPERLINK("https://elite.finviz.com/quote.ashx?t=BKH&amp;ty=c&amp;p=d&amp;b=1", "BKH")</f>
        <v>BKH</v>
      </c>
      <c r="B2001">
        <v>6</v>
      </c>
      <c r="C2001">
        <v>127.03</v>
      </c>
      <c r="D2001">
        <v>60.61</v>
      </c>
      <c r="E2001" t="s">
        <v>20841</v>
      </c>
      <c r="F2001" t="s">
        <v>67</v>
      </c>
      <c r="G2001" t="s">
        <v>287</v>
      </c>
      <c r="H2001" t="s">
        <v>3541</v>
      </c>
      <c r="I2001" t="s">
        <v>70</v>
      </c>
      <c r="J2001" t="s">
        <v>71</v>
      </c>
      <c r="K2001">
        <v>4388.3</v>
      </c>
      <c r="L2001">
        <v>60.46</v>
      </c>
      <c r="M2001" t="s">
        <v>5036</v>
      </c>
      <c r="N2001">
        <v>51899</v>
      </c>
      <c r="O2001">
        <v>15.24</v>
      </c>
      <c r="P2001">
        <v>13.91</v>
      </c>
      <c r="Q2001">
        <v>2.75</v>
      </c>
      <c r="R2001">
        <v>1.96</v>
      </c>
      <c r="S2001">
        <v>1.21</v>
      </c>
      <c r="T2001" t="s">
        <v>5045</v>
      </c>
      <c r="U2001">
        <v>2.68</v>
      </c>
      <c r="V2001" t="s">
        <v>1440</v>
      </c>
      <c r="W2001" t="s">
        <v>3433</v>
      </c>
      <c r="X2001" t="s">
        <v>3443</v>
      </c>
      <c r="Y2001" t="s">
        <v>5100</v>
      </c>
      <c r="Z2001" t="s">
        <v>20842</v>
      </c>
      <c r="AA2001">
        <v>3.97</v>
      </c>
      <c r="AB2001" t="s">
        <v>5116</v>
      </c>
      <c r="AC2001" t="s">
        <v>975</v>
      </c>
      <c r="AD2001" t="s">
        <v>1871</v>
      </c>
      <c r="AE2001" t="s">
        <v>3602</v>
      </c>
      <c r="AF2001" t="s">
        <v>2383</v>
      </c>
      <c r="AG2001" t="s">
        <v>2841</v>
      </c>
      <c r="AH2001" t="s">
        <v>1960</v>
      </c>
      <c r="AI2001" t="s">
        <v>892</v>
      </c>
      <c r="AJ2001" t="s">
        <v>164</v>
      </c>
      <c r="AK2001" t="s">
        <v>20843</v>
      </c>
      <c r="AL2001">
        <v>0.64</v>
      </c>
      <c r="AM2001">
        <v>0.49</v>
      </c>
      <c r="AN2001">
        <v>1.2</v>
      </c>
      <c r="AO2001" t="s">
        <v>7897</v>
      </c>
      <c r="AP2001" t="s">
        <v>6843</v>
      </c>
      <c r="AQ2001" t="s">
        <v>945</v>
      </c>
      <c r="AR2001" t="s">
        <v>3350</v>
      </c>
      <c r="AS2001" t="s">
        <v>2185</v>
      </c>
      <c r="AT2001" t="s">
        <v>2307</v>
      </c>
      <c r="AU2001" t="s">
        <v>4891</v>
      </c>
      <c r="AV2001" t="s">
        <v>4216</v>
      </c>
      <c r="AW2001" t="s">
        <v>3315</v>
      </c>
      <c r="AX2001" t="s">
        <v>5700</v>
      </c>
      <c r="AY2001" t="s">
        <v>6730</v>
      </c>
      <c r="AZ2001" t="s">
        <v>2085</v>
      </c>
      <c r="BA2001">
        <v>2</v>
      </c>
      <c r="BB2001">
        <v>654.58000000000004</v>
      </c>
      <c r="BC2001">
        <v>0.28000000000000003</v>
      </c>
      <c r="BD2001">
        <v>60.02</v>
      </c>
      <c r="BE2001">
        <v>60.87</v>
      </c>
      <c r="BF2001">
        <v>60.11</v>
      </c>
      <c r="BG2001" t="s">
        <v>20844</v>
      </c>
      <c r="BH2001" t="s">
        <v>8316</v>
      </c>
      <c r="BI2001" t="s">
        <v>20845</v>
      </c>
      <c r="BJ2001" t="s">
        <v>101</v>
      </c>
      <c r="BK2001" t="s">
        <v>9636</v>
      </c>
      <c r="BL2001" t="s">
        <v>2554</v>
      </c>
      <c r="BM2001" t="s">
        <v>3940</v>
      </c>
      <c r="BN2001" t="s">
        <v>14623</v>
      </c>
    </row>
    <row r="2002" spans="1:66" x14ac:dyDescent="0.25">
      <c r="A2002" t="str">
        <f>HYPERLINK("https://elite.finviz.com/quote.ashx?t=AMG&amp;ty=c&amp;p=d&amp;b=1", "AMG")</f>
        <v>AMG</v>
      </c>
      <c r="B2002">
        <v>6</v>
      </c>
      <c r="C2002">
        <v>127.03</v>
      </c>
      <c r="D2002">
        <v>60.65</v>
      </c>
      <c r="E2002" t="s">
        <v>20846</v>
      </c>
      <c r="F2002" t="s">
        <v>107</v>
      </c>
      <c r="G2002" t="s">
        <v>550</v>
      </c>
      <c r="H2002" t="s">
        <v>2597</v>
      </c>
      <c r="I2002" t="s">
        <v>70</v>
      </c>
      <c r="J2002" t="s">
        <v>71</v>
      </c>
      <c r="K2002">
        <v>6766.19</v>
      </c>
      <c r="L2002">
        <v>238.15</v>
      </c>
      <c r="M2002" t="s">
        <v>1083</v>
      </c>
      <c r="N2002">
        <v>21630</v>
      </c>
      <c r="O2002">
        <v>17.920000000000002</v>
      </c>
      <c r="P2002">
        <v>8.4700000000000006</v>
      </c>
      <c r="Q2002">
        <v>1.0900000000000001</v>
      </c>
      <c r="R2002">
        <v>3.32</v>
      </c>
      <c r="S2002">
        <v>2.08</v>
      </c>
      <c r="T2002" t="s">
        <v>406</v>
      </c>
      <c r="U2002">
        <v>0.04</v>
      </c>
      <c r="V2002" t="s">
        <v>893</v>
      </c>
      <c r="W2002" t="s">
        <v>164</v>
      </c>
      <c r="X2002" t="s">
        <v>164</v>
      </c>
      <c r="Y2002" t="s">
        <v>7242</v>
      </c>
      <c r="Z2002" t="s">
        <v>182</v>
      </c>
      <c r="AA2002">
        <v>13.29</v>
      </c>
      <c r="AB2002" t="s">
        <v>2429</v>
      </c>
      <c r="AC2002" t="s">
        <v>20847</v>
      </c>
      <c r="AD2002" t="s">
        <v>1150</v>
      </c>
      <c r="AE2002" t="s">
        <v>8654</v>
      </c>
      <c r="AF2002" t="s">
        <v>7964</v>
      </c>
      <c r="AG2002" t="s">
        <v>6533</v>
      </c>
      <c r="AH2002" t="s">
        <v>2717</v>
      </c>
      <c r="AI2002" t="s">
        <v>3925</v>
      </c>
      <c r="AJ2002" t="s">
        <v>3967</v>
      </c>
      <c r="AK2002" t="s">
        <v>20848</v>
      </c>
      <c r="AL2002">
        <v>1.38</v>
      </c>
      <c r="AM2002">
        <v>1.38</v>
      </c>
      <c r="AN2002">
        <v>0.81</v>
      </c>
      <c r="AO2002" t="s">
        <v>20849</v>
      </c>
      <c r="AP2002" t="s">
        <v>12475</v>
      </c>
      <c r="AQ2002" t="s">
        <v>2485</v>
      </c>
      <c r="AR2002" t="s">
        <v>352</v>
      </c>
      <c r="AS2002" t="s">
        <v>206</v>
      </c>
      <c r="AT2002" t="s">
        <v>3018</v>
      </c>
      <c r="AU2002" t="s">
        <v>8286</v>
      </c>
      <c r="AV2002" t="s">
        <v>7728</v>
      </c>
      <c r="AW2002" t="s">
        <v>4665</v>
      </c>
      <c r="AX2002" t="s">
        <v>4874</v>
      </c>
      <c r="AY2002" t="s">
        <v>4665</v>
      </c>
      <c r="AZ2002" t="s">
        <v>20850</v>
      </c>
      <c r="BA2002">
        <v>1.75</v>
      </c>
      <c r="BB2002">
        <v>209.01</v>
      </c>
      <c r="BC2002">
        <v>0.36</v>
      </c>
      <c r="BD2002">
        <v>237.66</v>
      </c>
      <c r="BE2002">
        <v>241.02</v>
      </c>
      <c r="BF2002">
        <v>238.29</v>
      </c>
      <c r="BG2002" t="s">
        <v>20851</v>
      </c>
      <c r="BH2002" t="s">
        <v>4665</v>
      </c>
      <c r="BI2002" t="s">
        <v>20852</v>
      </c>
      <c r="BJ2002" t="s">
        <v>101</v>
      </c>
      <c r="BK2002" t="s">
        <v>9884</v>
      </c>
      <c r="BL2002" t="s">
        <v>13221</v>
      </c>
      <c r="BM2002" t="s">
        <v>392</v>
      </c>
      <c r="BN2002" t="s">
        <v>14623</v>
      </c>
    </row>
    <row r="2003" spans="1:66" x14ac:dyDescent="0.25">
      <c r="A2003" t="str">
        <f>HYPERLINK("https://elite.finviz.com/quote.ashx?t=ULTA&amp;ty=c&amp;p=d&amp;b=1", "ULTA")</f>
        <v>ULTA</v>
      </c>
      <c r="B2003">
        <v>6</v>
      </c>
      <c r="C2003">
        <v>127.03</v>
      </c>
      <c r="D2003">
        <v>60.7</v>
      </c>
      <c r="E2003" t="s">
        <v>20853</v>
      </c>
      <c r="F2003" t="s">
        <v>195</v>
      </c>
      <c r="G2003" t="s">
        <v>813</v>
      </c>
      <c r="H2003" t="s">
        <v>2262</v>
      </c>
      <c r="I2003" t="s">
        <v>70</v>
      </c>
      <c r="J2003" t="s">
        <v>321</v>
      </c>
      <c r="K2003">
        <v>24388.93</v>
      </c>
      <c r="L2003">
        <v>543.92999999999995</v>
      </c>
      <c r="M2003" t="s">
        <v>969</v>
      </c>
      <c r="N2003">
        <v>141855</v>
      </c>
      <c r="O2003">
        <v>20.85</v>
      </c>
      <c r="P2003">
        <v>20.09</v>
      </c>
      <c r="Q2003">
        <v>3.61</v>
      </c>
      <c r="R2003">
        <v>2.09</v>
      </c>
      <c r="S2003">
        <v>9.3699999999999992</v>
      </c>
      <c r="Z2003" t="s">
        <v>164</v>
      </c>
      <c r="AA2003">
        <v>26.09</v>
      </c>
      <c r="AB2003" t="s">
        <v>709</v>
      </c>
      <c r="AC2003" t="s">
        <v>2133</v>
      </c>
      <c r="AD2003" t="s">
        <v>1576</v>
      </c>
      <c r="AE2003" t="s">
        <v>4873</v>
      </c>
      <c r="AF2003" t="s">
        <v>3212</v>
      </c>
      <c r="AG2003" t="s">
        <v>11728</v>
      </c>
      <c r="AH2003" t="s">
        <v>10619</v>
      </c>
      <c r="AI2003" t="s">
        <v>2709</v>
      </c>
      <c r="AJ2003" t="s">
        <v>7598</v>
      </c>
      <c r="AK2003" t="s">
        <v>20854</v>
      </c>
      <c r="AL2003">
        <v>1.39</v>
      </c>
      <c r="AM2003">
        <v>0.3</v>
      </c>
      <c r="AN2003">
        <v>0.88</v>
      </c>
      <c r="AO2003" t="s">
        <v>8028</v>
      </c>
      <c r="AP2003" t="s">
        <v>7575</v>
      </c>
      <c r="AQ2003" t="s">
        <v>5914</v>
      </c>
      <c r="AR2003" t="s">
        <v>6692</v>
      </c>
      <c r="AS2003" t="s">
        <v>4687</v>
      </c>
      <c r="AT2003" t="s">
        <v>3670</v>
      </c>
      <c r="AU2003" t="s">
        <v>3545</v>
      </c>
      <c r="AV2003" t="s">
        <v>17740</v>
      </c>
      <c r="AW2003" t="s">
        <v>8179</v>
      </c>
      <c r="AX2003" t="s">
        <v>3857</v>
      </c>
      <c r="AY2003" t="s">
        <v>8179</v>
      </c>
      <c r="AZ2003" t="s">
        <v>8871</v>
      </c>
      <c r="BA2003">
        <v>2.14</v>
      </c>
      <c r="BB2003">
        <v>707.91</v>
      </c>
      <c r="BC2003">
        <v>0.71</v>
      </c>
      <c r="BD2003">
        <v>539.48</v>
      </c>
      <c r="BE2003">
        <v>544.16</v>
      </c>
      <c r="BF2003">
        <v>538.79999999999995</v>
      </c>
      <c r="BG2003" t="s">
        <v>20855</v>
      </c>
      <c r="BH2003" t="s">
        <v>3595</v>
      </c>
      <c r="BI2003" t="s">
        <v>20856</v>
      </c>
      <c r="BJ2003" t="s">
        <v>101</v>
      </c>
      <c r="BK2003" t="s">
        <v>6081</v>
      </c>
      <c r="BL2003" t="s">
        <v>19133</v>
      </c>
      <c r="BM2003" t="s">
        <v>5908</v>
      </c>
      <c r="BN2003" t="s">
        <v>14623</v>
      </c>
    </row>
    <row r="2004" spans="1:66" x14ac:dyDescent="0.25">
      <c r="A2004" t="str">
        <f>HYPERLINK("https://elite.finviz.com/quote.ashx?t=BRBS&amp;ty=c&amp;p=d&amp;b=1", "BRBS")</f>
        <v>BRBS</v>
      </c>
      <c r="B2004">
        <v>6</v>
      </c>
      <c r="C2004">
        <v>127.03</v>
      </c>
      <c r="D2004">
        <v>60.7</v>
      </c>
      <c r="E2004" t="s">
        <v>20857</v>
      </c>
      <c r="F2004" t="s">
        <v>67</v>
      </c>
      <c r="G2004" t="s">
        <v>550</v>
      </c>
      <c r="H2004" t="s">
        <v>697</v>
      </c>
      <c r="I2004" t="s">
        <v>70</v>
      </c>
      <c r="J2004" t="s">
        <v>383</v>
      </c>
      <c r="K2004">
        <v>392.87</v>
      </c>
      <c r="L2004">
        <v>4.26</v>
      </c>
      <c r="M2004" t="s">
        <v>4537</v>
      </c>
      <c r="N2004">
        <v>18434</v>
      </c>
      <c r="R2004">
        <v>2.56</v>
      </c>
      <c r="S2004">
        <v>1.1399999999999999</v>
      </c>
      <c r="V2004" t="s">
        <v>20858</v>
      </c>
      <c r="AA2004">
        <v>0</v>
      </c>
      <c r="AE2004" t="s">
        <v>8088</v>
      </c>
      <c r="AF2004" t="s">
        <v>2234</v>
      </c>
      <c r="AG2004" t="s">
        <v>5713</v>
      </c>
      <c r="AH2004" t="s">
        <v>996</v>
      </c>
      <c r="AJ2004" t="s">
        <v>1249</v>
      </c>
      <c r="AK2004" t="s">
        <v>14138</v>
      </c>
      <c r="AL2004">
        <v>0.14000000000000001</v>
      </c>
      <c r="AN2004">
        <v>0.53</v>
      </c>
      <c r="AP2004" t="s">
        <v>759</v>
      </c>
      <c r="AQ2004" t="s">
        <v>1842</v>
      </c>
      <c r="AR2004" t="s">
        <v>7322</v>
      </c>
      <c r="AS2004" t="s">
        <v>4945</v>
      </c>
      <c r="AT2004" t="s">
        <v>4891</v>
      </c>
      <c r="AU2004" t="s">
        <v>7567</v>
      </c>
      <c r="AV2004" t="s">
        <v>7295</v>
      </c>
      <c r="AW2004" t="s">
        <v>3554</v>
      </c>
      <c r="AX2004" t="s">
        <v>15421</v>
      </c>
      <c r="AY2004" t="s">
        <v>3554</v>
      </c>
      <c r="AZ2004" t="s">
        <v>20859</v>
      </c>
      <c r="BB2004">
        <v>703.27</v>
      </c>
      <c r="BC2004">
        <v>0.09</v>
      </c>
      <c r="BD2004">
        <v>4.3499999999999996</v>
      </c>
      <c r="BE2004">
        <v>4.37</v>
      </c>
      <c r="BF2004">
        <v>4.26</v>
      </c>
      <c r="BG2004" t="s">
        <v>20860</v>
      </c>
      <c r="BH2004" t="s">
        <v>20861</v>
      </c>
      <c r="BI2004" t="s">
        <v>20862</v>
      </c>
      <c r="BJ2004" t="s">
        <v>101</v>
      </c>
      <c r="BK2004" t="s">
        <v>4116</v>
      </c>
      <c r="BL2004" t="s">
        <v>20863</v>
      </c>
      <c r="BM2004" t="s">
        <v>12171</v>
      </c>
      <c r="BN2004" t="s">
        <v>14623</v>
      </c>
    </row>
    <row r="2005" spans="1:66" x14ac:dyDescent="0.25">
      <c r="A2005" t="str">
        <f>HYPERLINK("https://elite.finviz.com/quote.ashx?t=QIPT&amp;ty=c&amp;p=d&amp;b=1", "QIPT")</f>
        <v>QIPT</v>
      </c>
      <c r="B2005">
        <v>6</v>
      </c>
      <c r="C2005">
        <v>127.03</v>
      </c>
      <c r="D2005">
        <v>60.72</v>
      </c>
      <c r="E2005" t="s">
        <v>20864</v>
      </c>
      <c r="F2005" t="s">
        <v>107</v>
      </c>
      <c r="G2005" t="s">
        <v>428</v>
      </c>
      <c r="H2005" t="s">
        <v>10658</v>
      </c>
      <c r="I2005" t="s">
        <v>70</v>
      </c>
      <c r="J2005" t="s">
        <v>321</v>
      </c>
      <c r="K2005">
        <v>116.64</v>
      </c>
      <c r="L2005">
        <v>2.68</v>
      </c>
      <c r="M2005" t="s">
        <v>2880</v>
      </c>
      <c r="N2005">
        <v>7680</v>
      </c>
      <c r="R2005">
        <v>0.49</v>
      </c>
      <c r="S2005">
        <v>1.1399999999999999</v>
      </c>
      <c r="AA2005">
        <v>-0.24</v>
      </c>
      <c r="AB2005" t="s">
        <v>1021</v>
      </c>
      <c r="AC2005" t="s">
        <v>6737</v>
      </c>
      <c r="AD2005" t="s">
        <v>20865</v>
      </c>
      <c r="AE2005" t="s">
        <v>5606</v>
      </c>
      <c r="AF2005" t="s">
        <v>1512</v>
      </c>
      <c r="AG2005" t="s">
        <v>2077</v>
      </c>
      <c r="AH2005" t="s">
        <v>5621</v>
      </c>
      <c r="AI2005" t="s">
        <v>4150</v>
      </c>
      <c r="AJ2005" t="s">
        <v>164</v>
      </c>
      <c r="AK2005" t="s">
        <v>16138</v>
      </c>
      <c r="AL2005">
        <v>1.1499999999999999</v>
      </c>
      <c r="AM2005">
        <v>0.75</v>
      </c>
      <c r="AN2005">
        <v>0.9</v>
      </c>
      <c r="AO2005" t="s">
        <v>20866</v>
      </c>
      <c r="AP2005" t="s">
        <v>9084</v>
      </c>
      <c r="AQ2005" t="s">
        <v>4210</v>
      </c>
      <c r="AR2005" t="s">
        <v>5256</v>
      </c>
      <c r="AS2005" t="s">
        <v>4394</v>
      </c>
      <c r="AT2005" t="s">
        <v>2881</v>
      </c>
      <c r="AU2005" t="s">
        <v>662</v>
      </c>
      <c r="AV2005" t="s">
        <v>4621</v>
      </c>
      <c r="AW2005" t="s">
        <v>2968</v>
      </c>
      <c r="AX2005" t="s">
        <v>3984</v>
      </c>
      <c r="AY2005" t="s">
        <v>3556</v>
      </c>
      <c r="AZ2005" t="s">
        <v>20867</v>
      </c>
      <c r="BA2005">
        <v>1.4</v>
      </c>
      <c r="BB2005">
        <v>549.83000000000004</v>
      </c>
      <c r="BC2005">
        <v>0.05</v>
      </c>
      <c r="BD2005">
        <v>2.68</v>
      </c>
      <c r="BE2005">
        <v>2.69</v>
      </c>
      <c r="BF2005">
        <v>2.66</v>
      </c>
      <c r="BG2005" t="s">
        <v>20868</v>
      </c>
      <c r="BH2005" t="s">
        <v>20869</v>
      </c>
      <c r="BI2005" t="s">
        <v>20870</v>
      </c>
      <c r="BJ2005" t="s">
        <v>101</v>
      </c>
      <c r="BK2005" t="s">
        <v>6677</v>
      </c>
      <c r="BL2005" t="s">
        <v>293</v>
      </c>
      <c r="BM2005" t="s">
        <v>1648</v>
      </c>
      <c r="BN2005" t="s">
        <v>14623</v>
      </c>
    </row>
    <row r="2006" spans="1:66" x14ac:dyDescent="0.25">
      <c r="A2006" t="str">
        <f>HYPERLINK("https://elite.finviz.com/quote.ashx?t=DHC&amp;ty=c&amp;p=d&amp;b=1", "DHC")</f>
        <v>DHC</v>
      </c>
      <c r="B2006">
        <v>6</v>
      </c>
      <c r="C2006">
        <v>127.03</v>
      </c>
      <c r="D2006">
        <v>60.75</v>
      </c>
      <c r="E2006" t="s">
        <v>20871</v>
      </c>
      <c r="F2006" t="s">
        <v>67</v>
      </c>
      <c r="G2006" t="s">
        <v>68</v>
      </c>
      <c r="H2006" t="s">
        <v>6072</v>
      </c>
      <c r="I2006" t="s">
        <v>70</v>
      </c>
      <c r="J2006" t="s">
        <v>321</v>
      </c>
      <c r="K2006">
        <v>1058.5999999999999</v>
      </c>
      <c r="L2006">
        <v>4.3899999999999997</v>
      </c>
      <c r="M2006" t="s">
        <v>4699</v>
      </c>
      <c r="N2006">
        <v>84303</v>
      </c>
      <c r="R2006">
        <v>0.7</v>
      </c>
      <c r="S2006">
        <v>0.56999999999999995</v>
      </c>
      <c r="T2006" t="s">
        <v>3344</v>
      </c>
      <c r="U2006">
        <v>0.04</v>
      </c>
      <c r="V2006" t="s">
        <v>6164</v>
      </c>
      <c r="W2006" t="s">
        <v>164</v>
      </c>
      <c r="X2006" t="s">
        <v>164</v>
      </c>
      <c r="Y2006" t="s">
        <v>20872</v>
      </c>
      <c r="AA2006">
        <v>-1.2</v>
      </c>
      <c r="AC2006" t="s">
        <v>18748</v>
      </c>
      <c r="AE2006" t="s">
        <v>5672</v>
      </c>
      <c r="AF2006" t="s">
        <v>2643</v>
      </c>
      <c r="AG2006" t="s">
        <v>6392</v>
      </c>
      <c r="AH2006" t="s">
        <v>1769</v>
      </c>
      <c r="AI2006" t="s">
        <v>20873</v>
      </c>
      <c r="AJ2006" t="s">
        <v>164</v>
      </c>
      <c r="AK2006" t="s">
        <v>4376</v>
      </c>
      <c r="AL2006">
        <v>10.88</v>
      </c>
      <c r="AM2006">
        <v>10.88</v>
      </c>
      <c r="AN2006">
        <v>1.43</v>
      </c>
      <c r="AO2006" t="s">
        <v>2331</v>
      </c>
      <c r="AP2006" t="s">
        <v>7391</v>
      </c>
      <c r="AQ2006" t="s">
        <v>20874</v>
      </c>
      <c r="AR2006" t="s">
        <v>2764</v>
      </c>
      <c r="AS2006" t="s">
        <v>5885</v>
      </c>
      <c r="AT2006" t="s">
        <v>6975</v>
      </c>
      <c r="AU2006" t="s">
        <v>3270</v>
      </c>
      <c r="AV2006" t="s">
        <v>11794</v>
      </c>
      <c r="AW2006" t="s">
        <v>3859</v>
      </c>
      <c r="AX2006" t="s">
        <v>20875</v>
      </c>
      <c r="AY2006" t="s">
        <v>3859</v>
      </c>
      <c r="AZ2006" t="s">
        <v>20876</v>
      </c>
      <c r="BA2006">
        <v>3</v>
      </c>
      <c r="BB2006">
        <v>946.78</v>
      </c>
      <c r="BC2006">
        <v>0.31</v>
      </c>
      <c r="BD2006">
        <v>4.3899999999999997</v>
      </c>
      <c r="BE2006">
        <v>4.41</v>
      </c>
      <c r="BF2006">
        <v>4.3499999999999996</v>
      </c>
      <c r="BG2006" t="s">
        <v>20877</v>
      </c>
      <c r="BH2006" t="s">
        <v>20878</v>
      </c>
      <c r="BI2006" t="s">
        <v>20879</v>
      </c>
      <c r="BJ2006" t="s">
        <v>101</v>
      </c>
      <c r="BK2006" t="s">
        <v>4230</v>
      </c>
      <c r="BL2006" t="s">
        <v>7791</v>
      </c>
      <c r="BM2006" t="s">
        <v>3230</v>
      </c>
      <c r="BN2006" t="s">
        <v>14623</v>
      </c>
    </row>
    <row r="2007" spans="1:66" x14ac:dyDescent="0.25">
      <c r="A2007" t="str">
        <f>HYPERLINK("https://elite.finviz.com/quote.ashx?t=CASY&amp;ty=c&amp;p=d&amp;b=1", "CASY")</f>
        <v>CASY</v>
      </c>
      <c r="B2007">
        <v>6</v>
      </c>
      <c r="C2007">
        <v>127.03</v>
      </c>
      <c r="D2007">
        <v>60.77</v>
      </c>
      <c r="E2007" t="s">
        <v>20880</v>
      </c>
      <c r="F2007" t="s">
        <v>107</v>
      </c>
      <c r="G2007" t="s">
        <v>813</v>
      </c>
      <c r="H2007" t="s">
        <v>2262</v>
      </c>
      <c r="I2007" t="s">
        <v>70</v>
      </c>
      <c r="J2007" t="s">
        <v>321</v>
      </c>
      <c r="K2007">
        <v>20374.400000000001</v>
      </c>
      <c r="L2007">
        <v>547.97</v>
      </c>
      <c r="M2007" t="s">
        <v>2125</v>
      </c>
      <c r="N2007">
        <v>28813</v>
      </c>
      <c r="O2007">
        <v>35.18</v>
      </c>
      <c r="P2007">
        <v>29.99</v>
      </c>
      <c r="Q2007">
        <v>2.76</v>
      </c>
      <c r="R2007">
        <v>1.24</v>
      </c>
      <c r="S2007">
        <v>5.6</v>
      </c>
      <c r="T2007" t="s">
        <v>1409</v>
      </c>
      <c r="U2007">
        <v>2.0699999999999998</v>
      </c>
      <c r="V2007" t="s">
        <v>10250</v>
      </c>
      <c r="W2007" t="s">
        <v>3939</v>
      </c>
      <c r="X2007" t="s">
        <v>1369</v>
      </c>
      <c r="Y2007" t="s">
        <v>9789</v>
      </c>
      <c r="Z2007" t="s">
        <v>5096</v>
      </c>
      <c r="AA2007">
        <v>15.57</v>
      </c>
      <c r="AB2007" t="s">
        <v>2121</v>
      </c>
      <c r="AC2007" t="s">
        <v>10611</v>
      </c>
      <c r="AD2007" t="s">
        <v>8345</v>
      </c>
      <c r="AE2007" t="s">
        <v>776</v>
      </c>
      <c r="AF2007" t="s">
        <v>6420</v>
      </c>
      <c r="AG2007" t="s">
        <v>8530</v>
      </c>
      <c r="AH2007" t="s">
        <v>7654</v>
      </c>
      <c r="AI2007" t="s">
        <v>1342</v>
      </c>
      <c r="AJ2007" t="s">
        <v>366</v>
      </c>
      <c r="AK2007" t="s">
        <v>17839</v>
      </c>
      <c r="AL2007">
        <v>1.03</v>
      </c>
      <c r="AM2007">
        <v>0.61</v>
      </c>
      <c r="AN2007">
        <v>0.79</v>
      </c>
      <c r="AO2007" t="s">
        <v>11674</v>
      </c>
      <c r="AP2007" t="s">
        <v>2542</v>
      </c>
      <c r="AQ2007" t="s">
        <v>3205</v>
      </c>
      <c r="AR2007" t="s">
        <v>9136</v>
      </c>
      <c r="AS2007" t="s">
        <v>4839</v>
      </c>
      <c r="AT2007" t="s">
        <v>744</v>
      </c>
      <c r="AU2007" t="s">
        <v>121</v>
      </c>
      <c r="AV2007" t="s">
        <v>4599</v>
      </c>
      <c r="AW2007" t="s">
        <v>2304</v>
      </c>
      <c r="AX2007" t="s">
        <v>6466</v>
      </c>
      <c r="AY2007" t="s">
        <v>2304</v>
      </c>
      <c r="AZ2007" t="s">
        <v>3900</v>
      </c>
      <c r="BA2007">
        <v>1.8</v>
      </c>
      <c r="BB2007">
        <v>325.61</v>
      </c>
      <c r="BC2007">
        <v>0.31</v>
      </c>
      <c r="BD2007">
        <v>543.13</v>
      </c>
      <c r="BE2007">
        <v>548.76</v>
      </c>
      <c r="BF2007">
        <v>540.14</v>
      </c>
      <c r="BG2007" t="s">
        <v>20881</v>
      </c>
      <c r="BH2007" t="s">
        <v>2304</v>
      </c>
      <c r="BI2007" t="s">
        <v>20882</v>
      </c>
      <c r="BJ2007" t="s">
        <v>101</v>
      </c>
      <c r="BK2007" t="s">
        <v>1889</v>
      </c>
      <c r="BL2007" t="s">
        <v>7092</v>
      </c>
      <c r="BM2007" t="s">
        <v>20883</v>
      </c>
      <c r="BN2007" t="s">
        <v>14623</v>
      </c>
    </row>
    <row r="2008" spans="1:66" x14ac:dyDescent="0.25">
      <c r="A2008" t="str">
        <f>HYPERLINK("https://elite.finviz.com/quote.ashx?t=CLST&amp;ty=c&amp;p=d&amp;b=1", "CLST")</f>
        <v>CLST</v>
      </c>
      <c r="B2008">
        <v>6</v>
      </c>
      <c r="C2008">
        <v>127.03</v>
      </c>
      <c r="D2008">
        <v>60.83</v>
      </c>
      <c r="E2008" t="s">
        <v>20884</v>
      </c>
      <c r="F2008" t="s">
        <v>107</v>
      </c>
      <c r="G2008" t="s">
        <v>550</v>
      </c>
      <c r="H2008" t="s">
        <v>697</v>
      </c>
      <c r="I2008" t="s">
        <v>70</v>
      </c>
      <c r="J2008" t="s">
        <v>321</v>
      </c>
      <c r="K2008">
        <v>54.53</v>
      </c>
      <c r="L2008">
        <v>13.15</v>
      </c>
      <c r="M2008" t="s">
        <v>164</v>
      </c>
      <c r="N2008">
        <v>18</v>
      </c>
      <c r="O2008">
        <v>23.48</v>
      </c>
      <c r="R2008">
        <v>3.53</v>
      </c>
      <c r="S2008">
        <v>0.67</v>
      </c>
      <c r="AA2008">
        <v>0.56000000000000005</v>
      </c>
      <c r="AE2008" t="s">
        <v>20885</v>
      </c>
      <c r="AF2008" t="s">
        <v>5969</v>
      </c>
      <c r="AG2008" t="s">
        <v>3598</v>
      </c>
      <c r="AH2008" t="s">
        <v>9500</v>
      </c>
      <c r="AJ2008" t="s">
        <v>4266</v>
      </c>
      <c r="AK2008" t="s">
        <v>9006</v>
      </c>
      <c r="AL2008">
        <v>0.54</v>
      </c>
      <c r="AN2008">
        <v>0.12</v>
      </c>
      <c r="AP2008" t="s">
        <v>5262</v>
      </c>
      <c r="AQ2008" t="s">
        <v>10917</v>
      </c>
      <c r="AR2008" t="s">
        <v>3112</v>
      </c>
      <c r="AS2008" t="s">
        <v>2864</v>
      </c>
      <c r="AT2008" t="s">
        <v>6245</v>
      </c>
      <c r="AU2008" t="s">
        <v>6770</v>
      </c>
      <c r="AV2008" t="s">
        <v>4248</v>
      </c>
      <c r="AW2008" t="s">
        <v>2965</v>
      </c>
      <c r="AX2008" t="s">
        <v>3745</v>
      </c>
      <c r="AY2008" t="s">
        <v>5781</v>
      </c>
      <c r="AZ2008" t="s">
        <v>3749</v>
      </c>
      <c r="BB2008">
        <v>6.08</v>
      </c>
      <c r="BC2008">
        <v>0.01</v>
      </c>
      <c r="BD2008">
        <v>13.15</v>
      </c>
      <c r="BE2008">
        <v>13.2</v>
      </c>
      <c r="BF2008">
        <v>13.2</v>
      </c>
      <c r="BG2008" t="s">
        <v>20886</v>
      </c>
      <c r="BH2008" t="s">
        <v>5781</v>
      </c>
      <c r="BI2008" t="s">
        <v>15998</v>
      </c>
      <c r="BJ2008" t="s">
        <v>101</v>
      </c>
      <c r="BK2008" t="s">
        <v>2398</v>
      </c>
      <c r="BL2008" t="s">
        <v>915</v>
      </c>
      <c r="BM2008" t="s">
        <v>14993</v>
      </c>
      <c r="BN2008" t="s">
        <v>14623</v>
      </c>
    </row>
    <row r="2009" spans="1:66" x14ac:dyDescent="0.25">
      <c r="A2009" t="str">
        <f>HYPERLINK("https://elite.finviz.com/quote.ashx?t=NMPAU&amp;ty=c&amp;p=d&amp;b=1", "NMPAU")</f>
        <v>NMPAU</v>
      </c>
      <c r="B2009">
        <v>6</v>
      </c>
      <c r="C2009">
        <v>127.03</v>
      </c>
      <c r="D2009">
        <v>60.84</v>
      </c>
      <c r="E2009" t="s">
        <v>20887</v>
      </c>
      <c r="F2009" t="s">
        <v>107</v>
      </c>
      <c r="G2009" t="s">
        <v>550</v>
      </c>
      <c r="H2009" t="s">
        <v>2120</v>
      </c>
      <c r="I2009" t="s">
        <v>70</v>
      </c>
      <c r="J2009" t="s">
        <v>321</v>
      </c>
      <c r="K2009">
        <v>161.46</v>
      </c>
      <c r="L2009">
        <v>10.11</v>
      </c>
      <c r="M2009" t="s">
        <v>164</v>
      </c>
      <c r="N2009">
        <v>1200</v>
      </c>
      <c r="AJ2009" t="s">
        <v>2640</v>
      </c>
      <c r="AL2009">
        <v>0.78</v>
      </c>
      <c r="AM2009">
        <v>0.78</v>
      </c>
      <c r="AR2009" t="s">
        <v>406</v>
      </c>
      <c r="AS2009" t="s">
        <v>2757</v>
      </c>
      <c r="AT2009" t="s">
        <v>4539</v>
      </c>
      <c r="AU2009" t="s">
        <v>3736</v>
      </c>
      <c r="AV2009" t="s">
        <v>4849</v>
      </c>
      <c r="AW2009" t="s">
        <v>2638</v>
      </c>
      <c r="AX2009" t="s">
        <v>1837</v>
      </c>
      <c r="AY2009" t="s">
        <v>2638</v>
      </c>
      <c r="AZ2009" t="s">
        <v>2145</v>
      </c>
      <c r="BB2009">
        <v>156.1</v>
      </c>
      <c r="BC2009">
        <v>0.03</v>
      </c>
      <c r="BD2009">
        <v>10.11</v>
      </c>
      <c r="BE2009">
        <v>10.11</v>
      </c>
      <c r="BF2009">
        <v>10.11</v>
      </c>
      <c r="BG2009" t="s">
        <v>20888</v>
      </c>
      <c r="BH2009" t="s">
        <v>2638</v>
      </c>
      <c r="BI2009" t="s">
        <v>2145</v>
      </c>
      <c r="BJ2009" t="s">
        <v>101</v>
      </c>
      <c r="BN2009" t="s">
        <v>14623</v>
      </c>
    </row>
    <row r="2010" spans="1:66" x14ac:dyDescent="0.25">
      <c r="A2010" t="str">
        <f>HYPERLINK("https://elite.finviz.com/quote.ashx?t=RFMZ&amp;ty=c&amp;p=d&amp;b=1", "RFMZ")</f>
        <v>RFMZ</v>
      </c>
      <c r="B2010">
        <v>6</v>
      </c>
      <c r="C2010">
        <v>127.03</v>
      </c>
      <c r="D2010">
        <v>60.85</v>
      </c>
      <c r="E2010" t="s">
        <v>20889</v>
      </c>
      <c r="F2010" t="s">
        <v>107</v>
      </c>
      <c r="G2010" t="s">
        <v>550</v>
      </c>
      <c r="H2010" t="s">
        <v>2597</v>
      </c>
      <c r="I2010" t="s">
        <v>70</v>
      </c>
      <c r="J2010" t="s">
        <v>71</v>
      </c>
      <c r="K2010">
        <v>317.18</v>
      </c>
      <c r="L2010">
        <v>13.02</v>
      </c>
      <c r="M2010" t="s">
        <v>439</v>
      </c>
      <c r="N2010">
        <v>19513</v>
      </c>
      <c r="T2010" t="s">
        <v>2447</v>
      </c>
      <c r="U2010">
        <v>1.03</v>
      </c>
      <c r="V2010" t="s">
        <v>3833</v>
      </c>
      <c r="W2010" t="s">
        <v>5166</v>
      </c>
      <c r="X2010" t="s">
        <v>3887</v>
      </c>
      <c r="AA2010">
        <v>-0.59</v>
      </c>
      <c r="AJ2010" t="s">
        <v>2019</v>
      </c>
      <c r="AK2010" t="s">
        <v>11857</v>
      </c>
      <c r="AR2010" t="s">
        <v>2216</v>
      </c>
      <c r="AS2010" t="s">
        <v>84</v>
      </c>
      <c r="AT2010" t="s">
        <v>3344</v>
      </c>
      <c r="AU2010" t="s">
        <v>4600</v>
      </c>
      <c r="AV2010" t="s">
        <v>2899</v>
      </c>
      <c r="AW2010" t="s">
        <v>2694</v>
      </c>
      <c r="AX2010" t="s">
        <v>2542</v>
      </c>
      <c r="AY2010" t="s">
        <v>6088</v>
      </c>
      <c r="AZ2010" t="s">
        <v>10073</v>
      </c>
      <c r="BB2010">
        <v>66.040000000000006</v>
      </c>
      <c r="BC2010">
        <v>1.05</v>
      </c>
      <c r="BD2010">
        <v>12.99</v>
      </c>
      <c r="BE2010">
        <v>13.04</v>
      </c>
      <c r="BF2010">
        <v>13.02</v>
      </c>
      <c r="BG2010" t="s">
        <v>20890</v>
      </c>
      <c r="BH2010" t="s">
        <v>20891</v>
      </c>
      <c r="BI2010" t="s">
        <v>849</v>
      </c>
      <c r="BJ2010" t="s">
        <v>101</v>
      </c>
      <c r="BK2010" t="s">
        <v>2170</v>
      </c>
      <c r="BL2010" t="s">
        <v>5245</v>
      </c>
      <c r="BM2010" t="s">
        <v>503</v>
      </c>
      <c r="BN2010" t="s">
        <v>14623</v>
      </c>
    </row>
    <row r="2011" spans="1:66" x14ac:dyDescent="0.25">
      <c r="A2011" t="str">
        <f>HYPERLINK("https://elite.finviz.com/quote.ashx?t=MYRG&amp;ty=c&amp;p=d&amp;b=1", "MYRG")</f>
        <v>MYRG</v>
      </c>
      <c r="B2011">
        <v>6</v>
      </c>
      <c r="C2011">
        <v>127.03</v>
      </c>
      <c r="D2011">
        <v>60.86</v>
      </c>
      <c r="E2011" t="s">
        <v>20892</v>
      </c>
      <c r="F2011" t="s">
        <v>67</v>
      </c>
      <c r="G2011" t="s">
        <v>260</v>
      </c>
      <c r="H2011" t="s">
        <v>2944</v>
      </c>
      <c r="I2011" t="s">
        <v>70</v>
      </c>
      <c r="J2011" t="s">
        <v>321</v>
      </c>
      <c r="K2011">
        <v>3016.55</v>
      </c>
      <c r="L2011">
        <v>194.33</v>
      </c>
      <c r="M2011" t="s">
        <v>6572</v>
      </c>
      <c r="N2011">
        <v>40409</v>
      </c>
      <c r="O2011">
        <v>40.58</v>
      </c>
      <c r="P2011">
        <v>23.7</v>
      </c>
      <c r="Q2011">
        <v>0.55000000000000004</v>
      </c>
      <c r="R2011">
        <v>0.87</v>
      </c>
      <c r="S2011">
        <v>5.17</v>
      </c>
      <c r="Z2011" t="s">
        <v>164</v>
      </c>
      <c r="AA2011">
        <v>4.79</v>
      </c>
      <c r="AB2011" t="s">
        <v>3139</v>
      </c>
      <c r="AC2011" t="s">
        <v>3853</v>
      </c>
      <c r="AD2011" t="s">
        <v>11677</v>
      </c>
      <c r="AE2011" t="s">
        <v>3005</v>
      </c>
      <c r="AF2011" t="s">
        <v>12553</v>
      </c>
      <c r="AG2011" t="s">
        <v>1575</v>
      </c>
      <c r="AH2011" t="s">
        <v>863</v>
      </c>
      <c r="AI2011" t="s">
        <v>3923</v>
      </c>
      <c r="AJ2011" t="s">
        <v>164</v>
      </c>
      <c r="AK2011" t="s">
        <v>12770</v>
      </c>
      <c r="AL2011">
        <v>1.33</v>
      </c>
      <c r="AM2011">
        <v>1.33</v>
      </c>
      <c r="AN2011">
        <v>0.23</v>
      </c>
      <c r="AO2011" t="s">
        <v>702</v>
      </c>
      <c r="AP2011" t="s">
        <v>6150</v>
      </c>
      <c r="AQ2011" t="s">
        <v>2808</v>
      </c>
      <c r="AR2011" t="s">
        <v>3450</v>
      </c>
      <c r="AS2011" t="s">
        <v>891</v>
      </c>
      <c r="AT2011" t="s">
        <v>2945</v>
      </c>
      <c r="AU2011" t="s">
        <v>1091</v>
      </c>
      <c r="AV2011" t="s">
        <v>8595</v>
      </c>
      <c r="AW2011" t="s">
        <v>8098</v>
      </c>
      <c r="AX2011" t="s">
        <v>3231</v>
      </c>
      <c r="AY2011" t="s">
        <v>8098</v>
      </c>
      <c r="AZ2011" t="s">
        <v>20893</v>
      </c>
      <c r="BA2011">
        <v>1.83</v>
      </c>
      <c r="BB2011">
        <v>191.08</v>
      </c>
      <c r="BC2011">
        <v>0.75</v>
      </c>
      <c r="BD2011">
        <v>192.88</v>
      </c>
      <c r="BE2011">
        <v>196.88</v>
      </c>
      <c r="BF2011">
        <v>192.88</v>
      </c>
      <c r="BG2011" t="s">
        <v>20894</v>
      </c>
      <c r="BH2011" t="s">
        <v>8098</v>
      </c>
      <c r="BI2011" t="s">
        <v>20895</v>
      </c>
      <c r="BJ2011" t="s">
        <v>101</v>
      </c>
      <c r="BK2011" t="s">
        <v>4742</v>
      </c>
      <c r="BL2011" t="s">
        <v>3876</v>
      </c>
      <c r="BM2011" t="s">
        <v>19450</v>
      </c>
      <c r="BN2011" t="s">
        <v>14623</v>
      </c>
    </row>
    <row r="2012" spans="1:66" x14ac:dyDescent="0.25">
      <c r="A2012" t="str">
        <f>HYPERLINK("https://elite.finviz.com/quote.ashx?t=ORN&amp;ty=c&amp;p=d&amp;b=1", "ORN")</f>
        <v>ORN</v>
      </c>
      <c r="B2012">
        <v>6</v>
      </c>
      <c r="C2012">
        <v>127.03</v>
      </c>
      <c r="D2012">
        <v>60.89</v>
      </c>
      <c r="E2012" t="s">
        <v>20896</v>
      </c>
      <c r="F2012" t="s">
        <v>67</v>
      </c>
      <c r="G2012" t="s">
        <v>260</v>
      </c>
      <c r="H2012" t="s">
        <v>2944</v>
      </c>
      <c r="I2012" t="s">
        <v>70</v>
      </c>
      <c r="J2012" t="s">
        <v>71</v>
      </c>
      <c r="K2012">
        <v>334.57</v>
      </c>
      <c r="L2012">
        <v>8.42</v>
      </c>
      <c r="M2012" t="s">
        <v>6182</v>
      </c>
      <c r="N2012">
        <v>43356</v>
      </c>
      <c r="O2012">
        <v>29.88</v>
      </c>
      <c r="P2012">
        <v>23.52</v>
      </c>
      <c r="Q2012">
        <v>0.5</v>
      </c>
      <c r="R2012">
        <v>0.4</v>
      </c>
      <c r="S2012">
        <v>2.1800000000000002</v>
      </c>
      <c r="AA2012">
        <v>0.28000000000000003</v>
      </c>
      <c r="AB2012" t="s">
        <v>1919</v>
      </c>
      <c r="AC2012" t="s">
        <v>20897</v>
      </c>
      <c r="AD2012" t="s">
        <v>20898</v>
      </c>
      <c r="AE2012" t="s">
        <v>9860</v>
      </c>
      <c r="AF2012" t="s">
        <v>801</v>
      </c>
      <c r="AG2012" t="s">
        <v>4600</v>
      </c>
      <c r="AH2012" t="s">
        <v>7150</v>
      </c>
      <c r="AJ2012" t="s">
        <v>1722</v>
      </c>
      <c r="AK2012" t="s">
        <v>16543</v>
      </c>
      <c r="AL2012">
        <v>1.38</v>
      </c>
      <c r="AM2012">
        <v>1.37</v>
      </c>
      <c r="AN2012">
        <v>0.51</v>
      </c>
      <c r="AO2012" t="s">
        <v>945</v>
      </c>
      <c r="AP2012" t="s">
        <v>2876</v>
      </c>
      <c r="AQ2012" t="s">
        <v>3350</v>
      </c>
      <c r="AR2012" t="s">
        <v>2821</v>
      </c>
      <c r="AS2012" t="s">
        <v>5885</v>
      </c>
      <c r="AT2012" t="s">
        <v>4377</v>
      </c>
      <c r="AU2012" t="s">
        <v>3468</v>
      </c>
      <c r="AV2012" t="s">
        <v>511</v>
      </c>
      <c r="AW2012" t="s">
        <v>5104</v>
      </c>
      <c r="AX2012" t="s">
        <v>18179</v>
      </c>
      <c r="AY2012" t="s">
        <v>5104</v>
      </c>
      <c r="AZ2012" t="s">
        <v>6803</v>
      </c>
      <c r="BA2012">
        <v>1</v>
      </c>
      <c r="BB2012">
        <v>448.52</v>
      </c>
      <c r="BC2012">
        <v>0.34</v>
      </c>
      <c r="BD2012">
        <v>8.4</v>
      </c>
      <c r="BE2012">
        <v>8.5299999999999994</v>
      </c>
      <c r="BF2012">
        <v>8.4</v>
      </c>
      <c r="BG2012" t="s">
        <v>20899</v>
      </c>
      <c r="BH2012" t="s">
        <v>20900</v>
      </c>
      <c r="BI2012" t="s">
        <v>20901</v>
      </c>
      <c r="BJ2012" t="s">
        <v>101</v>
      </c>
      <c r="BK2012" t="s">
        <v>2268</v>
      </c>
      <c r="BL2012" t="s">
        <v>17021</v>
      </c>
      <c r="BM2012" t="s">
        <v>16609</v>
      </c>
      <c r="BN2012" t="s">
        <v>14623</v>
      </c>
    </row>
    <row r="2013" spans="1:66" x14ac:dyDescent="0.25">
      <c r="A2013" t="str">
        <f>HYPERLINK("https://elite.finviz.com/quote.ashx?t=LGND&amp;ty=c&amp;p=d&amp;b=1", "LGND")</f>
        <v>LGND</v>
      </c>
      <c r="B2013">
        <v>6</v>
      </c>
      <c r="C2013">
        <v>127.03</v>
      </c>
      <c r="D2013">
        <v>60.9</v>
      </c>
      <c r="E2013" t="s">
        <v>20902</v>
      </c>
      <c r="F2013" t="s">
        <v>67</v>
      </c>
      <c r="G2013" t="s">
        <v>428</v>
      </c>
      <c r="H2013" t="s">
        <v>429</v>
      </c>
      <c r="I2013" t="s">
        <v>70</v>
      </c>
      <c r="J2013" t="s">
        <v>321</v>
      </c>
      <c r="K2013">
        <v>3292.89</v>
      </c>
      <c r="L2013">
        <v>168.03</v>
      </c>
      <c r="M2013" t="s">
        <v>6245</v>
      </c>
      <c r="N2013">
        <v>41580</v>
      </c>
      <c r="P2013">
        <v>21.82</v>
      </c>
      <c r="R2013">
        <v>17.55</v>
      </c>
      <c r="S2013">
        <v>3.94</v>
      </c>
      <c r="V2013" t="s">
        <v>20903</v>
      </c>
      <c r="AA2013">
        <v>-4</v>
      </c>
      <c r="AD2013" t="s">
        <v>2912</v>
      </c>
      <c r="AE2013" t="s">
        <v>20904</v>
      </c>
      <c r="AF2013" t="s">
        <v>1450</v>
      </c>
      <c r="AG2013" t="s">
        <v>9703</v>
      </c>
      <c r="AH2013" t="s">
        <v>10918</v>
      </c>
      <c r="AI2013" t="s">
        <v>8379</v>
      </c>
      <c r="AJ2013" t="s">
        <v>2103</v>
      </c>
      <c r="AK2013" t="s">
        <v>20905</v>
      </c>
      <c r="AL2013">
        <v>5.45</v>
      </c>
      <c r="AM2013">
        <v>5.21</v>
      </c>
      <c r="AN2013">
        <v>0.01</v>
      </c>
      <c r="AO2013" t="s">
        <v>20906</v>
      </c>
      <c r="AP2013" t="s">
        <v>7164</v>
      </c>
      <c r="AQ2013" t="s">
        <v>15307</v>
      </c>
      <c r="AR2013" t="s">
        <v>4687</v>
      </c>
      <c r="AS2013" t="s">
        <v>6430</v>
      </c>
      <c r="AT2013" t="s">
        <v>6245</v>
      </c>
      <c r="AU2013" t="s">
        <v>1960</v>
      </c>
      <c r="AV2013" t="s">
        <v>977</v>
      </c>
      <c r="AW2013" t="s">
        <v>4531</v>
      </c>
      <c r="AX2013" t="s">
        <v>6623</v>
      </c>
      <c r="AY2013" t="s">
        <v>4531</v>
      </c>
      <c r="AZ2013" t="s">
        <v>20907</v>
      </c>
      <c r="BA2013">
        <v>1</v>
      </c>
      <c r="BB2013">
        <v>237.84</v>
      </c>
      <c r="BC2013">
        <v>0.62</v>
      </c>
      <c r="BD2013">
        <v>166.76</v>
      </c>
      <c r="BE2013">
        <v>171.54</v>
      </c>
      <c r="BF2013">
        <v>166.54</v>
      </c>
      <c r="BG2013" t="s">
        <v>20908</v>
      </c>
      <c r="BH2013" t="s">
        <v>7750</v>
      </c>
      <c r="BI2013" t="s">
        <v>20909</v>
      </c>
      <c r="BJ2013" t="s">
        <v>101</v>
      </c>
      <c r="BK2013" t="s">
        <v>19639</v>
      </c>
      <c r="BL2013" t="s">
        <v>20910</v>
      </c>
      <c r="BM2013" t="s">
        <v>20911</v>
      </c>
      <c r="BN2013" t="s">
        <v>14623</v>
      </c>
    </row>
    <row r="2014" spans="1:66" x14ac:dyDescent="0.25">
      <c r="A2014" t="str">
        <f>HYPERLINK("https://elite.finviz.com/quote.ashx?t=OVLY&amp;ty=c&amp;p=d&amp;b=1", "OVLY")</f>
        <v>OVLY</v>
      </c>
      <c r="B2014">
        <v>6</v>
      </c>
      <c r="C2014">
        <v>127.03</v>
      </c>
      <c r="D2014">
        <v>60.91</v>
      </c>
      <c r="E2014" t="s">
        <v>20912</v>
      </c>
      <c r="F2014" t="s">
        <v>67</v>
      </c>
      <c r="G2014" t="s">
        <v>550</v>
      </c>
      <c r="H2014" t="s">
        <v>697</v>
      </c>
      <c r="I2014" t="s">
        <v>70</v>
      </c>
      <c r="J2014" t="s">
        <v>321</v>
      </c>
      <c r="K2014">
        <v>245.09</v>
      </c>
      <c r="L2014">
        <v>29.24</v>
      </c>
      <c r="M2014" t="s">
        <v>497</v>
      </c>
      <c r="N2014">
        <v>1323</v>
      </c>
      <c r="O2014">
        <v>9.99</v>
      </c>
      <c r="R2014">
        <v>2.66</v>
      </c>
      <c r="S2014">
        <v>1.32</v>
      </c>
      <c r="T2014" t="s">
        <v>6151</v>
      </c>
      <c r="U2014">
        <v>0.6</v>
      </c>
      <c r="V2014" t="s">
        <v>15179</v>
      </c>
      <c r="W2014" t="s">
        <v>6079</v>
      </c>
      <c r="X2014" t="s">
        <v>10648</v>
      </c>
      <c r="Y2014" t="s">
        <v>10073</v>
      </c>
      <c r="Z2014" t="s">
        <v>1231</v>
      </c>
      <c r="AA2014">
        <v>2.93</v>
      </c>
      <c r="AB2014" t="s">
        <v>1216</v>
      </c>
      <c r="AC2014" t="s">
        <v>7847</v>
      </c>
      <c r="AE2014" t="s">
        <v>7453</v>
      </c>
      <c r="AF2014" t="s">
        <v>7874</v>
      </c>
      <c r="AG2014" t="s">
        <v>4620</v>
      </c>
      <c r="AH2014" t="s">
        <v>7978</v>
      </c>
      <c r="AJ2014" t="s">
        <v>2418</v>
      </c>
      <c r="AK2014" t="s">
        <v>5139</v>
      </c>
      <c r="AL2014">
        <v>0.13</v>
      </c>
      <c r="AN2014">
        <v>0</v>
      </c>
      <c r="AP2014" t="s">
        <v>16853</v>
      </c>
      <c r="AQ2014" t="s">
        <v>7433</v>
      </c>
      <c r="AR2014" t="s">
        <v>6336</v>
      </c>
      <c r="AS2014" t="s">
        <v>907</v>
      </c>
      <c r="AT2014" t="s">
        <v>5084</v>
      </c>
      <c r="AU2014" t="s">
        <v>1449</v>
      </c>
      <c r="AV2014" t="s">
        <v>605</v>
      </c>
      <c r="AW2014" t="s">
        <v>298</v>
      </c>
      <c r="AX2014" t="s">
        <v>6124</v>
      </c>
      <c r="AY2014" t="s">
        <v>6094</v>
      </c>
      <c r="AZ2014" t="s">
        <v>6260</v>
      </c>
      <c r="BB2014">
        <v>15.45</v>
      </c>
      <c r="BC2014">
        <v>0.3</v>
      </c>
      <c r="BD2014">
        <v>29.18</v>
      </c>
      <c r="BE2014">
        <v>29.18</v>
      </c>
      <c r="BF2014">
        <v>29.18</v>
      </c>
      <c r="BG2014" t="s">
        <v>20913</v>
      </c>
      <c r="BH2014" t="s">
        <v>6094</v>
      </c>
      <c r="BI2014" t="s">
        <v>20914</v>
      </c>
      <c r="BJ2014" t="s">
        <v>101</v>
      </c>
      <c r="BK2014" t="s">
        <v>699</v>
      </c>
      <c r="BL2014" t="s">
        <v>9497</v>
      </c>
      <c r="BM2014" t="s">
        <v>3776</v>
      </c>
      <c r="BN2014" t="s">
        <v>14623</v>
      </c>
    </row>
    <row r="2015" spans="1:66" x14ac:dyDescent="0.25">
      <c r="A2015" t="str">
        <f>HYPERLINK("https://elite.finviz.com/quote.ashx?t=NGL&amp;ty=c&amp;p=d&amp;b=1", "NGL")</f>
        <v>NGL</v>
      </c>
      <c r="B2015">
        <v>6</v>
      </c>
      <c r="C2015">
        <v>127.03</v>
      </c>
      <c r="D2015">
        <v>60.91</v>
      </c>
      <c r="E2015" t="s">
        <v>20915</v>
      </c>
      <c r="F2015" t="s">
        <v>107</v>
      </c>
      <c r="G2015" t="s">
        <v>1048</v>
      </c>
      <c r="H2015" t="s">
        <v>3915</v>
      </c>
      <c r="I2015" t="s">
        <v>70</v>
      </c>
      <c r="J2015" t="s">
        <v>71</v>
      </c>
      <c r="K2015">
        <v>805.33</v>
      </c>
      <c r="L2015">
        <v>6.3</v>
      </c>
      <c r="M2015" t="s">
        <v>4963</v>
      </c>
      <c r="N2015">
        <v>20871</v>
      </c>
      <c r="P2015">
        <v>12.86</v>
      </c>
      <c r="R2015">
        <v>0.18</v>
      </c>
      <c r="V2015" t="s">
        <v>20916</v>
      </c>
      <c r="AA2015">
        <v>-0.41</v>
      </c>
      <c r="AB2015" t="s">
        <v>129</v>
      </c>
      <c r="AC2015" t="s">
        <v>18832</v>
      </c>
      <c r="AE2015" t="s">
        <v>20917</v>
      </c>
      <c r="AF2015" t="s">
        <v>6789</v>
      </c>
      <c r="AG2015" t="s">
        <v>20918</v>
      </c>
      <c r="AH2015" t="s">
        <v>20919</v>
      </c>
      <c r="AI2015" t="s">
        <v>12752</v>
      </c>
      <c r="AJ2015" t="s">
        <v>1409</v>
      </c>
      <c r="AK2015" t="s">
        <v>19966</v>
      </c>
      <c r="AL2015">
        <v>1.25</v>
      </c>
      <c r="AM2015">
        <v>1.08</v>
      </c>
      <c r="AN2015">
        <v>4.53</v>
      </c>
      <c r="AO2015" t="s">
        <v>9860</v>
      </c>
      <c r="AP2015" t="s">
        <v>7854</v>
      </c>
      <c r="AQ2015" t="s">
        <v>2518</v>
      </c>
      <c r="AR2015" t="s">
        <v>5467</v>
      </c>
      <c r="AS2015" t="s">
        <v>5672</v>
      </c>
      <c r="AT2015" t="s">
        <v>2108</v>
      </c>
      <c r="AU2015" t="s">
        <v>11963</v>
      </c>
      <c r="AV2015" t="s">
        <v>16207</v>
      </c>
      <c r="AW2015" t="s">
        <v>388</v>
      </c>
      <c r="AX2015" t="s">
        <v>9209</v>
      </c>
      <c r="AY2015" t="s">
        <v>388</v>
      </c>
      <c r="AZ2015" t="s">
        <v>20920</v>
      </c>
      <c r="BA2015">
        <v>2</v>
      </c>
      <c r="BB2015">
        <v>637.66999999999996</v>
      </c>
      <c r="BC2015">
        <v>0.12</v>
      </c>
      <c r="BD2015">
        <v>6.34</v>
      </c>
      <c r="BE2015">
        <v>6.43</v>
      </c>
      <c r="BF2015">
        <v>6.3</v>
      </c>
      <c r="BG2015" t="s">
        <v>20921</v>
      </c>
      <c r="BH2015" t="s">
        <v>20922</v>
      </c>
      <c r="BI2015" t="s">
        <v>20923</v>
      </c>
      <c r="BJ2015" t="s">
        <v>101</v>
      </c>
      <c r="BK2015" t="s">
        <v>10964</v>
      </c>
      <c r="BL2015" t="s">
        <v>7498</v>
      </c>
      <c r="BM2015" t="s">
        <v>8673</v>
      </c>
      <c r="BN2015" t="s">
        <v>14623</v>
      </c>
    </row>
    <row r="2016" spans="1:66" x14ac:dyDescent="0.25">
      <c r="A2016" t="str">
        <f>HYPERLINK("https://elite.finviz.com/quote.ashx?t=ESQ&amp;ty=c&amp;p=d&amp;b=1", "ESQ")</f>
        <v>ESQ</v>
      </c>
      <c r="B2016">
        <v>6</v>
      </c>
      <c r="C2016">
        <v>127.03</v>
      </c>
      <c r="D2016">
        <v>60.94</v>
      </c>
      <c r="E2016" t="s">
        <v>20924</v>
      </c>
      <c r="F2016" t="s">
        <v>67</v>
      </c>
      <c r="G2016" t="s">
        <v>550</v>
      </c>
      <c r="H2016" t="s">
        <v>697</v>
      </c>
      <c r="I2016" t="s">
        <v>70</v>
      </c>
      <c r="J2016" t="s">
        <v>321</v>
      </c>
      <c r="K2016">
        <v>882.46</v>
      </c>
      <c r="L2016">
        <v>103.35</v>
      </c>
      <c r="M2016" t="s">
        <v>530</v>
      </c>
      <c r="N2016">
        <v>7635</v>
      </c>
      <c r="O2016">
        <v>19.12</v>
      </c>
      <c r="P2016">
        <v>16.79</v>
      </c>
      <c r="R2016">
        <v>5.89</v>
      </c>
      <c r="S2016">
        <v>3.33</v>
      </c>
      <c r="T2016" t="s">
        <v>5253</v>
      </c>
      <c r="U2016">
        <v>0.67</v>
      </c>
      <c r="V2016" t="s">
        <v>3046</v>
      </c>
      <c r="W2016" t="s">
        <v>11359</v>
      </c>
      <c r="Z2016" t="s">
        <v>11151</v>
      </c>
      <c r="AA2016">
        <v>5.41</v>
      </c>
      <c r="AB2016" t="s">
        <v>244</v>
      </c>
      <c r="AC2016" t="s">
        <v>7045</v>
      </c>
      <c r="AE2016" t="s">
        <v>4130</v>
      </c>
      <c r="AF2016" t="s">
        <v>6517</v>
      </c>
      <c r="AG2016" t="s">
        <v>1340</v>
      </c>
      <c r="AH2016" t="s">
        <v>3470</v>
      </c>
      <c r="AI2016" t="s">
        <v>406</v>
      </c>
      <c r="AJ2016" t="s">
        <v>6354</v>
      </c>
      <c r="AK2016" t="s">
        <v>10909</v>
      </c>
      <c r="AL2016">
        <v>0.31</v>
      </c>
      <c r="AN2016">
        <v>0.01</v>
      </c>
      <c r="AP2016" t="s">
        <v>15189</v>
      </c>
      <c r="AQ2016" t="s">
        <v>3971</v>
      </c>
      <c r="AR2016" t="s">
        <v>3544</v>
      </c>
      <c r="AS2016" t="s">
        <v>1560</v>
      </c>
      <c r="AT2016" t="s">
        <v>2700</v>
      </c>
      <c r="AU2016" t="s">
        <v>5100</v>
      </c>
      <c r="AV2016" t="s">
        <v>433</v>
      </c>
      <c r="AW2016" t="s">
        <v>4439</v>
      </c>
      <c r="AX2016" t="s">
        <v>5757</v>
      </c>
      <c r="AY2016" t="s">
        <v>4439</v>
      </c>
      <c r="AZ2016" t="s">
        <v>20925</v>
      </c>
      <c r="BA2016">
        <v>2.33</v>
      </c>
      <c r="BB2016">
        <v>103.53</v>
      </c>
      <c r="BC2016">
        <v>0.26</v>
      </c>
      <c r="BD2016">
        <v>104.24</v>
      </c>
      <c r="BE2016">
        <v>104.74</v>
      </c>
      <c r="BF2016">
        <v>103.39</v>
      </c>
      <c r="BG2016" t="s">
        <v>20926</v>
      </c>
      <c r="BH2016" t="s">
        <v>4439</v>
      </c>
      <c r="BI2016" t="s">
        <v>20927</v>
      </c>
      <c r="BJ2016" t="s">
        <v>101</v>
      </c>
      <c r="BK2016" t="s">
        <v>5726</v>
      </c>
      <c r="BL2016" t="s">
        <v>6385</v>
      </c>
      <c r="BM2016" t="s">
        <v>19583</v>
      </c>
      <c r="BN2016" t="s">
        <v>14623</v>
      </c>
    </row>
    <row r="2017" spans="1:66" x14ac:dyDescent="0.25">
      <c r="A2017" t="str">
        <f>HYPERLINK("https://elite.finviz.com/quote.ashx?t=SBEV&amp;ty=c&amp;p=d&amp;b=1", "SBEV")</f>
        <v>SBEV</v>
      </c>
      <c r="B2017">
        <v>6</v>
      </c>
      <c r="C2017">
        <v>127.03</v>
      </c>
      <c r="D2017">
        <v>60.94</v>
      </c>
      <c r="E2017" t="s">
        <v>20928</v>
      </c>
      <c r="F2017" t="s">
        <v>107</v>
      </c>
      <c r="G2017" t="s">
        <v>2244</v>
      </c>
      <c r="H2017" t="s">
        <v>2245</v>
      </c>
      <c r="I2017" t="s">
        <v>70</v>
      </c>
      <c r="J2017" t="s">
        <v>383</v>
      </c>
      <c r="K2017">
        <v>4.78</v>
      </c>
      <c r="L2017">
        <v>2.23</v>
      </c>
      <c r="M2017" t="s">
        <v>4280</v>
      </c>
      <c r="N2017">
        <v>11822</v>
      </c>
      <c r="R2017">
        <v>2.38</v>
      </c>
      <c r="S2017">
        <v>0.43</v>
      </c>
      <c r="AA2017">
        <v>-48.53</v>
      </c>
      <c r="AB2017" t="s">
        <v>2567</v>
      </c>
      <c r="AC2017" t="s">
        <v>17548</v>
      </c>
      <c r="AE2017" t="s">
        <v>20929</v>
      </c>
      <c r="AF2017" t="s">
        <v>20930</v>
      </c>
      <c r="AG2017" t="s">
        <v>20931</v>
      </c>
      <c r="AH2017" t="s">
        <v>579</v>
      </c>
      <c r="AI2017" t="s">
        <v>164</v>
      </c>
      <c r="AJ2017" t="s">
        <v>164</v>
      </c>
      <c r="AK2017" t="s">
        <v>203</v>
      </c>
      <c r="AL2017">
        <v>0.12</v>
      </c>
      <c r="AM2017">
        <v>0.06</v>
      </c>
      <c r="AN2017">
        <v>0.49</v>
      </c>
      <c r="AO2017" t="s">
        <v>20932</v>
      </c>
      <c r="AP2017" t="s">
        <v>20933</v>
      </c>
      <c r="AQ2017" t="s">
        <v>20934</v>
      </c>
      <c r="AR2017" t="s">
        <v>4641</v>
      </c>
      <c r="AS2017" t="s">
        <v>723</v>
      </c>
      <c r="AT2017" t="s">
        <v>6415</v>
      </c>
      <c r="AU2017" t="s">
        <v>7255</v>
      </c>
      <c r="AV2017" t="s">
        <v>20935</v>
      </c>
      <c r="AW2017" t="s">
        <v>3206</v>
      </c>
      <c r="AX2017" t="s">
        <v>10480</v>
      </c>
      <c r="AY2017" t="s">
        <v>6712</v>
      </c>
      <c r="AZ2017" t="s">
        <v>20936</v>
      </c>
      <c r="BA2017">
        <v>1</v>
      </c>
      <c r="BB2017">
        <v>467.38</v>
      </c>
      <c r="BC2017">
        <v>0.09</v>
      </c>
      <c r="BD2017">
        <v>2.2000000000000002</v>
      </c>
      <c r="BE2017">
        <v>2.27</v>
      </c>
      <c r="BF2017">
        <v>2.2400000000000002</v>
      </c>
      <c r="BG2017" t="s">
        <v>20937</v>
      </c>
      <c r="BH2017" t="s">
        <v>3198</v>
      </c>
      <c r="BI2017" t="s">
        <v>20936</v>
      </c>
      <c r="BJ2017" t="s">
        <v>101</v>
      </c>
      <c r="BK2017" t="s">
        <v>20938</v>
      </c>
      <c r="BL2017" t="s">
        <v>7992</v>
      </c>
      <c r="BM2017" t="s">
        <v>20939</v>
      </c>
      <c r="BN2017" t="s">
        <v>14623</v>
      </c>
    </row>
    <row r="2018" spans="1:66" x14ac:dyDescent="0.25">
      <c r="A2018" t="str">
        <f>HYPERLINK("https://elite.finviz.com/quote.ashx?t=AVTX&amp;ty=c&amp;p=d&amp;b=1", "AVTX")</f>
        <v>AVTX</v>
      </c>
      <c r="B2018">
        <v>6</v>
      </c>
      <c r="C2018">
        <v>127.03</v>
      </c>
      <c r="D2018">
        <v>60.96</v>
      </c>
      <c r="E2018" t="s">
        <v>20940</v>
      </c>
      <c r="F2018" t="s">
        <v>107</v>
      </c>
      <c r="G2018" t="s">
        <v>428</v>
      </c>
      <c r="H2018" t="s">
        <v>429</v>
      </c>
      <c r="I2018" t="s">
        <v>70</v>
      </c>
      <c r="J2018" t="s">
        <v>321</v>
      </c>
      <c r="K2018">
        <v>152.16999999999999</v>
      </c>
      <c r="L2018">
        <v>11.57</v>
      </c>
      <c r="M2018" t="s">
        <v>2560</v>
      </c>
      <c r="N2018">
        <v>40448</v>
      </c>
      <c r="R2018">
        <v>345.85</v>
      </c>
      <c r="S2018">
        <v>1.2</v>
      </c>
      <c r="AA2018">
        <v>-9.3800000000000008</v>
      </c>
      <c r="AB2018" t="s">
        <v>20941</v>
      </c>
      <c r="AC2018" t="s">
        <v>13530</v>
      </c>
      <c r="AD2018" t="s">
        <v>9047</v>
      </c>
      <c r="AE2018" t="s">
        <v>2799</v>
      </c>
      <c r="AF2018" t="s">
        <v>4766</v>
      </c>
      <c r="AG2018" t="s">
        <v>15663</v>
      </c>
      <c r="AI2018" t="s">
        <v>20942</v>
      </c>
      <c r="AJ2018" t="s">
        <v>164</v>
      </c>
      <c r="AK2018" t="s">
        <v>6198</v>
      </c>
      <c r="AL2018">
        <v>12.44</v>
      </c>
      <c r="AM2018">
        <v>12.44</v>
      </c>
      <c r="AN2018">
        <v>0.03</v>
      </c>
      <c r="AO2018" t="s">
        <v>20943</v>
      </c>
      <c r="AP2018" t="s">
        <v>20944</v>
      </c>
      <c r="AQ2018" t="s">
        <v>20945</v>
      </c>
      <c r="AR2018" t="s">
        <v>463</v>
      </c>
      <c r="AS2018" t="s">
        <v>5557</v>
      </c>
      <c r="AT2018" t="s">
        <v>1026</v>
      </c>
      <c r="AU2018" t="s">
        <v>3184</v>
      </c>
      <c r="AV2018" t="s">
        <v>20946</v>
      </c>
      <c r="AW2018" t="s">
        <v>9471</v>
      </c>
      <c r="AX2018" t="s">
        <v>20947</v>
      </c>
      <c r="AY2018" t="s">
        <v>2749</v>
      </c>
      <c r="AZ2018" t="s">
        <v>20948</v>
      </c>
      <c r="BA2018">
        <v>1</v>
      </c>
      <c r="BB2018">
        <v>235.75</v>
      </c>
      <c r="BC2018">
        <v>0.6</v>
      </c>
      <c r="BD2018">
        <v>11.55</v>
      </c>
      <c r="BE2018">
        <v>11.75</v>
      </c>
      <c r="BF2018">
        <v>11.25</v>
      </c>
      <c r="BG2018" t="s">
        <v>20949</v>
      </c>
      <c r="BH2018" t="s">
        <v>14593</v>
      </c>
      <c r="BI2018" t="s">
        <v>20948</v>
      </c>
      <c r="BJ2018" t="s">
        <v>101</v>
      </c>
      <c r="BK2018" t="s">
        <v>20950</v>
      </c>
      <c r="BL2018" t="s">
        <v>15115</v>
      </c>
      <c r="BM2018" t="s">
        <v>5970</v>
      </c>
      <c r="BN2018" t="s">
        <v>14623</v>
      </c>
    </row>
    <row r="2019" spans="1:66" x14ac:dyDescent="0.25">
      <c r="A2019" t="str">
        <f>HYPERLINK("https://elite.finviz.com/quote.ashx?t=TPC&amp;ty=c&amp;p=d&amp;b=1", "TPC")</f>
        <v>TPC</v>
      </c>
      <c r="B2019">
        <v>6</v>
      </c>
      <c r="C2019">
        <v>127.03</v>
      </c>
      <c r="D2019">
        <v>60.99</v>
      </c>
      <c r="E2019" t="s">
        <v>20951</v>
      </c>
      <c r="F2019" t="s">
        <v>67</v>
      </c>
      <c r="G2019" t="s">
        <v>260</v>
      </c>
      <c r="H2019" t="s">
        <v>2944</v>
      </c>
      <c r="I2019" t="s">
        <v>70</v>
      </c>
      <c r="J2019" t="s">
        <v>71</v>
      </c>
      <c r="K2019">
        <v>3393.2</v>
      </c>
      <c r="L2019">
        <v>64.33</v>
      </c>
      <c r="M2019" t="s">
        <v>406</v>
      </c>
      <c r="N2019">
        <v>64354</v>
      </c>
      <c r="P2019">
        <v>17.600000000000001</v>
      </c>
      <c r="R2019">
        <v>0.71</v>
      </c>
      <c r="S2019">
        <v>2.86</v>
      </c>
      <c r="V2019" t="s">
        <v>20952</v>
      </c>
      <c r="AA2019">
        <v>-2.54</v>
      </c>
      <c r="AC2019" t="s">
        <v>16280</v>
      </c>
      <c r="AE2019" t="s">
        <v>4068</v>
      </c>
      <c r="AF2019" t="s">
        <v>7036</v>
      </c>
      <c r="AG2019" t="s">
        <v>2103</v>
      </c>
      <c r="AH2019" t="s">
        <v>7352</v>
      </c>
      <c r="AI2019" t="s">
        <v>3243</v>
      </c>
      <c r="AJ2019" t="s">
        <v>19537</v>
      </c>
      <c r="AK2019" t="s">
        <v>15085</v>
      </c>
      <c r="AL2019">
        <v>1.32</v>
      </c>
      <c r="AM2019">
        <v>1.32</v>
      </c>
      <c r="AN2019">
        <v>0.4</v>
      </c>
      <c r="AO2019" t="s">
        <v>464</v>
      </c>
      <c r="AP2019" t="s">
        <v>575</v>
      </c>
      <c r="AQ2019" t="s">
        <v>4711</v>
      </c>
      <c r="AR2019" t="s">
        <v>2736</v>
      </c>
      <c r="AS2019" t="s">
        <v>4294</v>
      </c>
      <c r="AT2019" t="s">
        <v>909</v>
      </c>
      <c r="AU2019" t="s">
        <v>915</v>
      </c>
      <c r="AV2019" t="s">
        <v>20953</v>
      </c>
      <c r="AW2019" t="s">
        <v>8346</v>
      </c>
      <c r="AX2019" t="s">
        <v>20954</v>
      </c>
      <c r="AY2019" t="s">
        <v>8346</v>
      </c>
      <c r="AZ2019" t="s">
        <v>20955</v>
      </c>
      <c r="BA2019">
        <v>1</v>
      </c>
      <c r="BB2019">
        <v>687.96</v>
      </c>
      <c r="BC2019">
        <v>0.33</v>
      </c>
      <c r="BD2019">
        <v>64.33</v>
      </c>
      <c r="BE2019">
        <v>65.33</v>
      </c>
      <c r="BF2019">
        <v>64.19</v>
      </c>
      <c r="BG2019" t="s">
        <v>20956</v>
      </c>
      <c r="BH2019" t="s">
        <v>6107</v>
      </c>
      <c r="BI2019" t="s">
        <v>20957</v>
      </c>
      <c r="BJ2019" t="s">
        <v>101</v>
      </c>
      <c r="BK2019" t="s">
        <v>16935</v>
      </c>
      <c r="BL2019" t="s">
        <v>20958</v>
      </c>
      <c r="BM2019" t="s">
        <v>20959</v>
      </c>
      <c r="BN2019" t="s">
        <v>14623</v>
      </c>
    </row>
    <row r="2020" spans="1:66" x14ac:dyDescent="0.25">
      <c r="A2020" t="str">
        <f>HYPERLINK("https://elite.finviz.com/quote.ashx?t=HYPR&amp;ty=c&amp;p=d&amp;b=1", "HYPR")</f>
        <v>HYPR</v>
      </c>
      <c r="B2020">
        <v>6</v>
      </c>
      <c r="C2020">
        <v>127.03</v>
      </c>
      <c r="D2020">
        <v>61.12</v>
      </c>
      <c r="E2020" t="s">
        <v>20960</v>
      </c>
      <c r="F2020" t="s">
        <v>107</v>
      </c>
      <c r="G2020" t="s">
        <v>428</v>
      </c>
      <c r="H2020" t="s">
        <v>2051</v>
      </c>
      <c r="I2020" t="s">
        <v>70</v>
      </c>
      <c r="J2020" t="s">
        <v>321</v>
      </c>
      <c r="K2020">
        <v>114.34</v>
      </c>
      <c r="L2020">
        <v>1.46</v>
      </c>
      <c r="M2020" t="s">
        <v>9925</v>
      </c>
      <c r="N2020">
        <v>90571</v>
      </c>
      <c r="R2020">
        <v>10.59</v>
      </c>
      <c r="S2020">
        <v>3.26</v>
      </c>
      <c r="AA2020">
        <v>-0.53</v>
      </c>
      <c r="AB2020" t="s">
        <v>10303</v>
      </c>
      <c r="AC2020" t="s">
        <v>3188</v>
      </c>
      <c r="AD2020" t="s">
        <v>4903</v>
      </c>
      <c r="AE2020" t="s">
        <v>19766</v>
      </c>
      <c r="AF2020" t="s">
        <v>20961</v>
      </c>
      <c r="AG2020" t="s">
        <v>20962</v>
      </c>
      <c r="AH2020" t="s">
        <v>14268</v>
      </c>
      <c r="AI2020" t="s">
        <v>164</v>
      </c>
      <c r="AJ2020" t="s">
        <v>7709</v>
      </c>
      <c r="AK2020" t="s">
        <v>6981</v>
      </c>
      <c r="AL2020">
        <v>5.0199999999999996</v>
      </c>
      <c r="AM2020">
        <v>4.41</v>
      </c>
      <c r="AN2020">
        <v>0.01</v>
      </c>
      <c r="AO2020" t="s">
        <v>7073</v>
      </c>
      <c r="AP2020" t="s">
        <v>20963</v>
      </c>
      <c r="AQ2020" t="s">
        <v>20964</v>
      </c>
      <c r="AR2020" t="s">
        <v>2585</v>
      </c>
      <c r="AS2020" t="s">
        <v>1254</v>
      </c>
      <c r="AT2020" t="s">
        <v>1252</v>
      </c>
      <c r="AU2020" t="s">
        <v>2395</v>
      </c>
      <c r="AV2020" t="s">
        <v>19050</v>
      </c>
      <c r="AW2020" t="s">
        <v>4705</v>
      </c>
      <c r="AX2020" t="s">
        <v>6557</v>
      </c>
      <c r="AY2020" t="s">
        <v>10323</v>
      </c>
      <c r="AZ2020" t="s">
        <v>20965</v>
      </c>
      <c r="BA2020">
        <v>1.67</v>
      </c>
      <c r="BB2020">
        <v>387.32</v>
      </c>
      <c r="BC2020">
        <v>0.83</v>
      </c>
      <c r="BD2020">
        <v>1.46</v>
      </c>
      <c r="BE2020">
        <v>1.49</v>
      </c>
      <c r="BF2020">
        <v>1.43</v>
      </c>
      <c r="BG2020" t="s">
        <v>20966</v>
      </c>
      <c r="BH2020" t="s">
        <v>20967</v>
      </c>
      <c r="BI2020" t="s">
        <v>20965</v>
      </c>
      <c r="BJ2020" t="s">
        <v>101</v>
      </c>
      <c r="BK2020" t="s">
        <v>11869</v>
      </c>
      <c r="BL2020" t="s">
        <v>17359</v>
      </c>
      <c r="BM2020" t="s">
        <v>13241</v>
      </c>
      <c r="BN2020" t="s">
        <v>14623</v>
      </c>
    </row>
    <row r="2021" spans="1:66" x14ac:dyDescent="0.25">
      <c r="A2021" t="str">
        <f>HYPERLINK("https://elite.finviz.com/quote.ashx?t=RDNT&amp;ty=c&amp;p=d&amp;b=1", "RDNT")</f>
        <v>RDNT</v>
      </c>
      <c r="B2021">
        <v>6</v>
      </c>
      <c r="C2021">
        <v>127.03</v>
      </c>
      <c r="D2021">
        <v>61.17</v>
      </c>
      <c r="E2021" t="s">
        <v>20968</v>
      </c>
      <c r="F2021" t="s">
        <v>67</v>
      </c>
      <c r="G2021" t="s">
        <v>428</v>
      </c>
      <c r="H2021" t="s">
        <v>4202</v>
      </c>
      <c r="I2021" t="s">
        <v>70</v>
      </c>
      <c r="J2021" t="s">
        <v>321</v>
      </c>
      <c r="K2021">
        <v>5776.39</v>
      </c>
      <c r="L2021">
        <v>75.099999999999994</v>
      </c>
      <c r="M2021" t="s">
        <v>3598</v>
      </c>
      <c r="N2021">
        <v>59124</v>
      </c>
      <c r="P2021">
        <v>86.82</v>
      </c>
      <c r="R2021">
        <v>3.03</v>
      </c>
      <c r="S2021">
        <v>6.05</v>
      </c>
      <c r="Z2021" t="s">
        <v>164</v>
      </c>
      <c r="AA2021">
        <v>-0.21</v>
      </c>
      <c r="AB2021" t="s">
        <v>20969</v>
      </c>
      <c r="AC2021" t="s">
        <v>7941</v>
      </c>
      <c r="AE2021" t="s">
        <v>5656</v>
      </c>
      <c r="AF2021" t="s">
        <v>2595</v>
      </c>
      <c r="AG2021" t="s">
        <v>3305</v>
      </c>
      <c r="AH2021" t="s">
        <v>8050</v>
      </c>
      <c r="AI2021" t="s">
        <v>20970</v>
      </c>
      <c r="AJ2021" t="s">
        <v>3586</v>
      </c>
      <c r="AK2021" t="s">
        <v>20971</v>
      </c>
      <c r="AL2021">
        <v>2</v>
      </c>
      <c r="AM2021">
        <v>2</v>
      </c>
      <c r="AN2021">
        <v>1.97</v>
      </c>
      <c r="AO2021" t="s">
        <v>5497</v>
      </c>
      <c r="AP2021" t="s">
        <v>5497</v>
      </c>
      <c r="AQ2021" t="s">
        <v>241</v>
      </c>
      <c r="AR2021" t="s">
        <v>2619</v>
      </c>
      <c r="AS2021" t="s">
        <v>5780</v>
      </c>
      <c r="AT2021" t="s">
        <v>2274</v>
      </c>
      <c r="AU2021" t="s">
        <v>9097</v>
      </c>
      <c r="AV2021" t="s">
        <v>8351</v>
      </c>
      <c r="AW2021" t="s">
        <v>4636</v>
      </c>
      <c r="AX2021" t="s">
        <v>10267</v>
      </c>
      <c r="AY2021" t="s">
        <v>157</v>
      </c>
      <c r="AZ2021" t="s">
        <v>18220</v>
      </c>
      <c r="BA2021">
        <v>1.1399999999999999</v>
      </c>
      <c r="BB2021">
        <v>782.32</v>
      </c>
      <c r="BC2021">
        <v>0.27</v>
      </c>
      <c r="BD2021">
        <v>75.12</v>
      </c>
      <c r="BE2021">
        <v>76.290000000000006</v>
      </c>
      <c r="BF2021">
        <v>74.84</v>
      </c>
      <c r="BG2021" t="s">
        <v>20972</v>
      </c>
      <c r="BH2021" t="s">
        <v>157</v>
      </c>
      <c r="BI2021" t="s">
        <v>20973</v>
      </c>
      <c r="BJ2021" t="s">
        <v>101</v>
      </c>
      <c r="BK2021" t="s">
        <v>10699</v>
      </c>
      <c r="BL2021" t="s">
        <v>17209</v>
      </c>
      <c r="BM2021" t="s">
        <v>2922</v>
      </c>
      <c r="BN2021" t="s">
        <v>14623</v>
      </c>
    </row>
    <row r="2022" spans="1:66" x14ac:dyDescent="0.25">
      <c r="A2022" t="str">
        <f>HYPERLINK("https://elite.finviz.com/quote.ashx?t=NOC&amp;ty=c&amp;p=d&amp;b=1", "NOC")</f>
        <v>NOC</v>
      </c>
      <c r="B2022">
        <v>6</v>
      </c>
      <c r="C2022">
        <v>127.03</v>
      </c>
      <c r="D2022">
        <v>61.19</v>
      </c>
      <c r="E2022" t="s">
        <v>20974</v>
      </c>
      <c r="F2022" t="s">
        <v>195</v>
      </c>
      <c r="G2022" t="s">
        <v>260</v>
      </c>
      <c r="H2022" t="s">
        <v>4779</v>
      </c>
      <c r="I2022" t="s">
        <v>70</v>
      </c>
      <c r="J2022" t="s">
        <v>71</v>
      </c>
      <c r="K2022">
        <v>84500.28</v>
      </c>
      <c r="L2022">
        <v>590.16</v>
      </c>
      <c r="M2022" t="s">
        <v>6572</v>
      </c>
      <c r="N2022">
        <v>108159</v>
      </c>
      <c r="O2022">
        <v>21.7</v>
      </c>
      <c r="P2022">
        <v>20.48</v>
      </c>
      <c r="Q2022">
        <v>3.46</v>
      </c>
      <c r="R2022">
        <v>2.09</v>
      </c>
      <c r="S2022">
        <v>5.47</v>
      </c>
      <c r="T2022" t="s">
        <v>3550</v>
      </c>
      <c r="U2022">
        <v>8.74</v>
      </c>
      <c r="V2022" t="s">
        <v>2187</v>
      </c>
      <c r="W2022" t="s">
        <v>236</v>
      </c>
      <c r="X2022" t="s">
        <v>3146</v>
      </c>
      <c r="Y2022" t="s">
        <v>2363</v>
      </c>
      <c r="Z2022" t="s">
        <v>15650</v>
      </c>
      <c r="AA2022">
        <v>27.2</v>
      </c>
      <c r="AB2022" t="s">
        <v>15022</v>
      </c>
      <c r="AC2022" t="s">
        <v>1464</v>
      </c>
      <c r="AD2022" t="s">
        <v>6593</v>
      </c>
      <c r="AE2022" t="s">
        <v>2059</v>
      </c>
      <c r="AF2022" t="s">
        <v>9228</v>
      </c>
      <c r="AG2022" t="s">
        <v>3334</v>
      </c>
      <c r="AH2022" t="s">
        <v>2509</v>
      </c>
      <c r="AI2022" t="s">
        <v>7851</v>
      </c>
      <c r="AJ2022" t="s">
        <v>6693</v>
      </c>
      <c r="AK2022" t="s">
        <v>20975</v>
      </c>
      <c r="AL2022">
        <v>1.03</v>
      </c>
      <c r="AM2022">
        <v>0.91</v>
      </c>
      <c r="AN2022">
        <v>1.1299999999999999</v>
      </c>
      <c r="AO2022" t="s">
        <v>7913</v>
      </c>
      <c r="AP2022" t="s">
        <v>801</v>
      </c>
      <c r="AQ2022" t="s">
        <v>1809</v>
      </c>
      <c r="AR2022" t="s">
        <v>2201</v>
      </c>
      <c r="AS2022" t="s">
        <v>2572</v>
      </c>
      <c r="AT2022" t="s">
        <v>2274</v>
      </c>
      <c r="AU2022" t="s">
        <v>2087</v>
      </c>
      <c r="AV2022" t="s">
        <v>4188</v>
      </c>
      <c r="AW2022" t="s">
        <v>5257</v>
      </c>
      <c r="AX2022" t="s">
        <v>6184</v>
      </c>
      <c r="AY2022" t="s">
        <v>5257</v>
      </c>
      <c r="AZ2022" t="s">
        <v>8753</v>
      </c>
      <c r="BA2022">
        <v>2.17</v>
      </c>
      <c r="BB2022">
        <v>759.05</v>
      </c>
      <c r="BC2022">
        <v>0.5</v>
      </c>
      <c r="BD2022">
        <v>585.77</v>
      </c>
      <c r="BE2022">
        <v>594.96</v>
      </c>
      <c r="BF2022">
        <v>586.85</v>
      </c>
      <c r="BG2022" t="s">
        <v>20976</v>
      </c>
      <c r="BH2022" t="s">
        <v>5257</v>
      </c>
      <c r="BI2022" t="s">
        <v>20977</v>
      </c>
      <c r="BJ2022" t="s">
        <v>101</v>
      </c>
      <c r="BK2022" t="s">
        <v>5540</v>
      </c>
      <c r="BL2022" t="s">
        <v>4295</v>
      </c>
      <c r="BM2022" t="s">
        <v>8086</v>
      </c>
      <c r="BN2022" t="s">
        <v>14623</v>
      </c>
    </row>
    <row r="2023" spans="1:66" x14ac:dyDescent="0.25">
      <c r="A2023" t="str">
        <f>HYPERLINK("https://elite.finviz.com/quote.ashx?t=QVCGA&amp;ty=c&amp;p=d&amp;b=1", "QVCGA")</f>
        <v>QVCGA</v>
      </c>
      <c r="B2023">
        <v>6</v>
      </c>
      <c r="C2023">
        <v>127.03</v>
      </c>
      <c r="D2023">
        <v>61.22</v>
      </c>
      <c r="E2023" t="s">
        <v>20978</v>
      </c>
      <c r="F2023" t="s">
        <v>107</v>
      </c>
      <c r="G2023" t="s">
        <v>813</v>
      </c>
      <c r="H2023" t="s">
        <v>4388</v>
      </c>
      <c r="I2023" t="s">
        <v>70</v>
      </c>
      <c r="J2023" t="s">
        <v>321</v>
      </c>
      <c r="K2023">
        <v>106.85</v>
      </c>
      <c r="L2023">
        <v>12.93</v>
      </c>
      <c r="M2023" t="s">
        <v>581</v>
      </c>
      <c r="N2023">
        <v>39268</v>
      </c>
      <c r="R2023">
        <v>0.01</v>
      </c>
      <c r="AA2023">
        <v>-455.83</v>
      </c>
      <c r="AC2023" t="s">
        <v>5720</v>
      </c>
      <c r="AE2023" t="s">
        <v>4635</v>
      </c>
      <c r="AF2023" t="s">
        <v>16226</v>
      </c>
      <c r="AG2023" t="s">
        <v>3859</v>
      </c>
      <c r="AH2023" t="s">
        <v>19119</v>
      </c>
      <c r="AI2023" t="s">
        <v>20979</v>
      </c>
      <c r="AJ2023" t="s">
        <v>164</v>
      </c>
      <c r="AK2023" t="s">
        <v>11447</v>
      </c>
      <c r="AL2023">
        <v>1.89</v>
      </c>
      <c r="AM2023">
        <v>1.1599999999999999</v>
      </c>
      <c r="AO2023" t="s">
        <v>3353</v>
      </c>
      <c r="AP2023" t="s">
        <v>5527</v>
      </c>
      <c r="AQ2023" t="s">
        <v>18399</v>
      </c>
      <c r="AR2023" t="s">
        <v>6587</v>
      </c>
      <c r="AS2023" t="s">
        <v>20980</v>
      </c>
      <c r="AT2023" t="s">
        <v>11151</v>
      </c>
      <c r="AU2023" t="s">
        <v>13738</v>
      </c>
      <c r="AV2023" t="s">
        <v>15487</v>
      </c>
      <c r="AW2023" t="s">
        <v>20981</v>
      </c>
      <c r="AX2023" t="s">
        <v>20982</v>
      </c>
      <c r="AY2023" t="s">
        <v>20983</v>
      </c>
      <c r="AZ2023" t="s">
        <v>20984</v>
      </c>
      <c r="BA2023">
        <v>3</v>
      </c>
      <c r="BB2023">
        <v>371.01</v>
      </c>
      <c r="BC2023">
        <v>0.37</v>
      </c>
      <c r="BD2023">
        <v>12.79</v>
      </c>
      <c r="BE2023">
        <v>13.65</v>
      </c>
      <c r="BF2023">
        <v>12.72</v>
      </c>
      <c r="BG2023" t="s">
        <v>20985</v>
      </c>
      <c r="BH2023" t="s">
        <v>17677</v>
      </c>
      <c r="BI2023" t="s">
        <v>20984</v>
      </c>
      <c r="BJ2023" t="s">
        <v>101</v>
      </c>
      <c r="BK2023" t="s">
        <v>20986</v>
      </c>
      <c r="BL2023" t="s">
        <v>6973</v>
      </c>
      <c r="BM2023" t="s">
        <v>14541</v>
      </c>
      <c r="BN2023" t="s">
        <v>14623</v>
      </c>
    </row>
    <row r="2024" spans="1:66" x14ac:dyDescent="0.25">
      <c r="A2024" t="str">
        <f>HYPERLINK("https://elite.finviz.com/quote.ashx?t=SCYX&amp;ty=c&amp;p=d&amp;b=1", "SCYX")</f>
        <v>SCYX</v>
      </c>
      <c r="B2024">
        <v>6</v>
      </c>
      <c r="C2024">
        <v>127.03</v>
      </c>
      <c r="D2024">
        <v>61.28</v>
      </c>
      <c r="E2024" t="s">
        <v>20987</v>
      </c>
      <c r="F2024" t="s">
        <v>107</v>
      </c>
      <c r="G2024" t="s">
        <v>428</v>
      </c>
      <c r="H2024" t="s">
        <v>1296</v>
      </c>
      <c r="I2024" t="s">
        <v>70</v>
      </c>
      <c r="J2024" t="s">
        <v>321</v>
      </c>
      <c r="K2024">
        <v>45.7</v>
      </c>
      <c r="L2024">
        <v>1.0900000000000001</v>
      </c>
      <c r="M2024" t="s">
        <v>3761</v>
      </c>
      <c r="N2024">
        <v>15246</v>
      </c>
      <c r="P2024">
        <v>5.19</v>
      </c>
      <c r="R2024">
        <v>14.02</v>
      </c>
      <c r="S2024">
        <v>0.96</v>
      </c>
      <c r="AA2024">
        <v>-0.42</v>
      </c>
      <c r="AB2024" t="s">
        <v>1209</v>
      </c>
      <c r="AC2024" t="s">
        <v>15038</v>
      </c>
      <c r="AD2024" t="s">
        <v>20988</v>
      </c>
      <c r="AE2024" t="s">
        <v>12077</v>
      </c>
      <c r="AF2024" t="s">
        <v>20989</v>
      </c>
      <c r="AG2024" t="s">
        <v>13883</v>
      </c>
      <c r="AH2024" t="s">
        <v>20990</v>
      </c>
      <c r="AI2024" t="s">
        <v>7433</v>
      </c>
      <c r="AJ2024" t="s">
        <v>164</v>
      </c>
      <c r="AK2024" t="s">
        <v>6793</v>
      </c>
      <c r="AL2024">
        <v>5.2</v>
      </c>
      <c r="AM2024">
        <v>5.2</v>
      </c>
      <c r="AN2024">
        <v>0.05</v>
      </c>
      <c r="AP2024" t="s">
        <v>20991</v>
      </c>
      <c r="AQ2024" t="s">
        <v>20992</v>
      </c>
      <c r="AR2024" t="s">
        <v>1826</v>
      </c>
      <c r="AS2024" t="s">
        <v>2193</v>
      </c>
      <c r="AT2024" t="s">
        <v>1495</v>
      </c>
      <c r="AU2024" t="s">
        <v>12187</v>
      </c>
      <c r="AV2024" t="s">
        <v>3058</v>
      </c>
      <c r="AW2024" t="s">
        <v>20993</v>
      </c>
      <c r="AX2024" t="s">
        <v>20413</v>
      </c>
      <c r="AY2024" t="s">
        <v>3403</v>
      </c>
      <c r="AZ2024" t="s">
        <v>20994</v>
      </c>
      <c r="BA2024">
        <v>1</v>
      </c>
      <c r="BB2024">
        <v>235.44</v>
      </c>
      <c r="BC2024">
        <v>0.23</v>
      </c>
      <c r="BD2024">
        <v>1.08</v>
      </c>
      <c r="BE2024">
        <v>1.1000000000000001</v>
      </c>
      <c r="BF2024">
        <v>1.08</v>
      </c>
      <c r="BG2024" t="s">
        <v>20995</v>
      </c>
      <c r="BH2024" t="s">
        <v>17666</v>
      </c>
      <c r="BI2024" t="s">
        <v>20994</v>
      </c>
      <c r="BJ2024" t="s">
        <v>101</v>
      </c>
      <c r="BK2024" t="s">
        <v>19438</v>
      </c>
      <c r="BL2024" t="s">
        <v>635</v>
      </c>
      <c r="BM2024" t="s">
        <v>20996</v>
      </c>
      <c r="BN2024" t="s">
        <v>14623</v>
      </c>
    </row>
    <row r="2025" spans="1:66" x14ac:dyDescent="0.25">
      <c r="A2025" t="str">
        <f>HYPERLINK("https://elite.finviz.com/quote.ashx?t=FORM&amp;ty=c&amp;p=d&amp;b=1", "FORM")</f>
        <v>FORM</v>
      </c>
      <c r="B2025">
        <v>6</v>
      </c>
      <c r="C2025">
        <v>127.03</v>
      </c>
      <c r="D2025">
        <v>61.28</v>
      </c>
      <c r="E2025" t="s">
        <v>20997</v>
      </c>
      <c r="F2025" t="s">
        <v>67</v>
      </c>
      <c r="G2025" t="s">
        <v>108</v>
      </c>
      <c r="H2025" t="s">
        <v>2097</v>
      </c>
      <c r="I2025" t="s">
        <v>70</v>
      </c>
      <c r="J2025" t="s">
        <v>321</v>
      </c>
      <c r="K2025">
        <v>2701.65</v>
      </c>
      <c r="L2025">
        <v>35.03</v>
      </c>
      <c r="M2025" t="s">
        <v>6127</v>
      </c>
      <c r="N2025">
        <v>74573</v>
      </c>
      <c r="O2025">
        <v>62.26</v>
      </c>
      <c r="P2025">
        <v>26.26</v>
      </c>
      <c r="Q2025">
        <v>5.95</v>
      </c>
      <c r="R2025">
        <v>3.53</v>
      </c>
      <c r="S2025">
        <v>2.73</v>
      </c>
      <c r="Z2025" t="s">
        <v>164</v>
      </c>
      <c r="AA2025">
        <v>0.56000000000000005</v>
      </c>
      <c r="AB2025" t="s">
        <v>7402</v>
      </c>
      <c r="AC2025" t="s">
        <v>1199</v>
      </c>
      <c r="AD2025" t="s">
        <v>6122</v>
      </c>
      <c r="AE2025" t="s">
        <v>6421</v>
      </c>
      <c r="AF2025" t="s">
        <v>2402</v>
      </c>
      <c r="AG2025" t="s">
        <v>5611</v>
      </c>
      <c r="AH2025" t="s">
        <v>530</v>
      </c>
      <c r="AI2025" t="s">
        <v>13001</v>
      </c>
      <c r="AJ2025" t="s">
        <v>16782</v>
      </c>
      <c r="AK2025" t="s">
        <v>15171</v>
      </c>
      <c r="AL2025">
        <v>4.24</v>
      </c>
      <c r="AM2025">
        <v>3.34</v>
      </c>
      <c r="AN2025">
        <v>0.04</v>
      </c>
      <c r="AO2025" t="s">
        <v>11346</v>
      </c>
      <c r="AP2025" t="s">
        <v>3036</v>
      </c>
      <c r="AQ2025" t="s">
        <v>1026</v>
      </c>
      <c r="AR2025" t="s">
        <v>2821</v>
      </c>
      <c r="AS2025" t="s">
        <v>2317</v>
      </c>
      <c r="AT2025" t="s">
        <v>6945</v>
      </c>
      <c r="AU2025" t="s">
        <v>435</v>
      </c>
      <c r="AV2025" t="s">
        <v>3636</v>
      </c>
      <c r="AW2025" t="s">
        <v>11932</v>
      </c>
      <c r="AX2025" t="s">
        <v>1311</v>
      </c>
      <c r="AY2025" t="s">
        <v>20998</v>
      </c>
      <c r="AZ2025" t="s">
        <v>20999</v>
      </c>
      <c r="BA2025">
        <v>2.6</v>
      </c>
      <c r="BB2025">
        <v>802.98</v>
      </c>
      <c r="BC2025">
        <v>0.33</v>
      </c>
      <c r="BD2025">
        <v>35.6</v>
      </c>
      <c r="BE2025">
        <v>35.700000000000003</v>
      </c>
      <c r="BF2025">
        <v>35</v>
      </c>
      <c r="BG2025" t="s">
        <v>21000</v>
      </c>
      <c r="BH2025" t="s">
        <v>17942</v>
      </c>
      <c r="BI2025" t="s">
        <v>21001</v>
      </c>
      <c r="BJ2025" t="s">
        <v>101</v>
      </c>
      <c r="BK2025" t="s">
        <v>2642</v>
      </c>
      <c r="BL2025" t="s">
        <v>6722</v>
      </c>
      <c r="BM2025" t="s">
        <v>6500</v>
      </c>
      <c r="BN2025" t="s">
        <v>14623</v>
      </c>
    </row>
    <row r="2026" spans="1:66" x14ac:dyDescent="0.25">
      <c r="A2026" t="str">
        <f>HYPERLINK("https://elite.finviz.com/quote.ashx?t=MTRN&amp;ty=c&amp;p=d&amp;b=1", "MTRN")</f>
        <v>MTRN</v>
      </c>
      <c r="B2026">
        <v>6</v>
      </c>
      <c r="C2026">
        <v>127.03</v>
      </c>
      <c r="D2026">
        <v>61.32</v>
      </c>
      <c r="E2026" t="s">
        <v>21002</v>
      </c>
      <c r="F2026" t="s">
        <v>67</v>
      </c>
      <c r="G2026" t="s">
        <v>355</v>
      </c>
      <c r="H2026" t="s">
        <v>356</v>
      </c>
      <c r="I2026" t="s">
        <v>70</v>
      </c>
      <c r="J2026" t="s">
        <v>71</v>
      </c>
      <c r="K2026">
        <v>2453.44</v>
      </c>
      <c r="L2026">
        <v>118.37</v>
      </c>
      <c r="M2026" t="s">
        <v>3446</v>
      </c>
      <c r="N2026">
        <v>15743</v>
      </c>
      <c r="O2026">
        <v>154.65</v>
      </c>
      <c r="P2026">
        <v>18.71</v>
      </c>
      <c r="R2026">
        <v>1.42</v>
      </c>
      <c r="S2026">
        <v>2.69</v>
      </c>
      <c r="T2026" t="s">
        <v>8228</v>
      </c>
      <c r="U2026">
        <v>0.55000000000000004</v>
      </c>
      <c r="V2026" t="s">
        <v>4186</v>
      </c>
      <c r="W2026" t="s">
        <v>4324</v>
      </c>
      <c r="X2026" t="s">
        <v>215</v>
      </c>
      <c r="Y2026" t="s">
        <v>3874</v>
      </c>
      <c r="Z2026" t="s">
        <v>21003</v>
      </c>
      <c r="AA2026">
        <v>0.77</v>
      </c>
      <c r="AB2026" t="s">
        <v>8349</v>
      </c>
      <c r="AC2026" t="s">
        <v>21004</v>
      </c>
      <c r="AE2026" t="s">
        <v>4403</v>
      </c>
      <c r="AF2026" t="s">
        <v>3482</v>
      </c>
      <c r="AG2026" t="s">
        <v>5319</v>
      </c>
      <c r="AH2026" t="s">
        <v>5058</v>
      </c>
      <c r="AI2026" t="s">
        <v>1085</v>
      </c>
      <c r="AJ2026" t="s">
        <v>9498</v>
      </c>
      <c r="AK2026" t="s">
        <v>21005</v>
      </c>
      <c r="AL2026">
        <v>3.17</v>
      </c>
      <c r="AM2026">
        <v>1.25</v>
      </c>
      <c r="AN2026">
        <v>0.56000000000000005</v>
      </c>
      <c r="AO2026" t="s">
        <v>6574</v>
      </c>
      <c r="AP2026" t="s">
        <v>1515</v>
      </c>
      <c r="AQ2026" t="s">
        <v>2759</v>
      </c>
      <c r="AR2026" t="s">
        <v>2742</v>
      </c>
      <c r="AS2026" t="s">
        <v>648</v>
      </c>
      <c r="AT2026" t="s">
        <v>911</v>
      </c>
      <c r="AU2026" t="s">
        <v>1252</v>
      </c>
      <c r="AV2026" t="s">
        <v>1669</v>
      </c>
      <c r="AW2026" t="s">
        <v>3586</v>
      </c>
      <c r="AX2026" t="s">
        <v>10598</v>
      </c>
      <c r="AY2026" t="s">
        <v>12014</v>
      </c>
      <c r="AZ2026" t="s">
        <v>21006</v>
      </c>
      <c r="BA2026">
        <v>1</v>
      </c>
      <c r="BB2026">
        <v>199.87</v>
      </c>
      <c r="BC2026">
        <v>0.28000000000000003</v>
      </c>
      <c r="BD2026">
        <v>117.99</v>
      </c>
      <c r="BE2026">
        <v>119.04</v>
      </c>
      <c r="BF2026">
        <v>117.72</v>
      </c>
      <c r="BG2026" t="s">
        <v>21007</v>
      </c>
      <c r="BH2026" t="s">
        <v>21008</v>
      </c>
      <c r="BI2026" t="s">
        <v>21009</v>
      </c>
      <c r="BJ2026" t="s">
        <v>101</v>
      </c>
      <c r="BK2026" t="s">
        <v>12797</v>
      </c>
      <c r="BL2026" t="s">
        <v>9294</v>
      </c>
      <c r="BM2026" t="s">
        <v>1775</v>
      </c>
      <c r="BN2026" t="s">
        <v>14623</v>
      </c>
    </row>
    <row r="2027" spans="1:66" x14ac:dyDescent="0.25">
      <c r="A2027" t="str">
        <f>HYPERLINK("https://elite.finviz.com/quote.ashx?t=HSPO&amp;ty=c&amp;p=d&amp;b=1", "HSPO")</f>
        <v>HSPO</v>
      </c>
      <c r="B2027">
        <v>6</v>
      </c>
      <c r="C2027">
        <v>127.03</v>
      </c>
      <c r="D2027">
        <v>61.35</v>
      </c>
      <c r="E2027" t="s">
        <v>21010</v>
      </c>
      <c r="F2027" t="s">
        <v>107</v>
      </c>
      <c r="G2027" t="s">
        <v>550</v>
      </c>
      <c r="H2027" t="s">
        <v>2120</v>
      </c>
      <c r="I2027" t="s">
        <v>70</v>
      </c>
      <c r="J2027" t="s">
        <v>321</v>
      </c>
      <c r="K2027">
        <v>51.48</v>
      </c>
      <c r="L2027">
        <v>12.37</v>
      </c>
      <c r="M2027" t="s">
        <v>164</v>
      </c>
      <c r="N2027">
        <v>0</v>
      </c>
      <c r="O2027">
        <v>92.31</v>
      </c>
      <c r="S2027">
        <v>3.02</v>
      </c>
      <c r="Z2027" t="s">
        <v>164</v>
      </c>
      <c r="AA2027">
        <v>0.13</v>
      </c>
      <c r="AJ2027" t="s">
        <v>164</v>
      </c>
      <c r="AK2027" t="s">
        <v>12451</v>
      </c>
      <c r="AL2027">
        <v>0.02</v>
      </c>
      <c r="AM2027">
        <v>0.02</v>
      </c>
      <c r="AN2027">
        <v>0.17</v>
      </c>
      <c r="AR2027" t="s">
        <v>164</v>
      </c>
      <c r="AS2027" t="s">
        <v>2215</v>
      </c>
      <c r="AT2027" t="s">
        <v>4280</v>
      </c>
      <c r="AU2027" t="s">
        <v>2496</v>
      </c>
      <c r="AV2027" t="s">
        <v>9204</v>
      </c>
      <c r="AW2027" t="s">
        <v>21011</v>
      </c>
      <c r="AX2027" t="s">
        <v>2521</v>
      </c>
      <c r="AY2027" t="s">
        <v>21011</v>
      </c>
      <c r="AZ2027" t="s">
        <v>1110</v>
      </c>
      <c r="BB2027">
        <v>1.2</v>
      </c>
      <c r="BC2027">
        <v>0</v>
      </c>
      <c r="BD2027">
        <v>12.37</v>
      </c>
      <c r="BE2027">
        <v>12.37</v>
      </c>
      <c r="BF2027">
        <v>12.37</v>
      </c>
      <c r="BG2027" t="s">
        <v>21012</v>
      </c>
      <c r="BH2027" t="s">
        <v>21011</v>
      </c>
      <c r="BI2027" t="s">
        <v>2134</v>
      </c>
      <c r="BJ2027" t="s">
        <v>101</v>
      </c>
      <c r="BK2027" t="s">
        <v>10926</v>
      </c>
      <c r="BL2027" t="s">
        <v>10247</v>
      </c>
      <c r="BM2027" t="s">
        <v>8781</v>
      </c>
      <c r="BN2027" t="s">
        <v>14623</v>
      </c>
    </row>
    <row r="2028" spans="1:66" x14ac:dyDescent="0.25">
      <c r="A2028" t="str">
        <f>HYPERLINK("https://elite.finviz.com/quote.ashx?t=DMLP&amp;ty=c&amp;p=d&amp;b=1", "DMLP")</f>
        <v>DMLP</v>
      </c>
      <c r="B2028">
        <v>6</v>
      </c>
      <c r="C2028">
        <v>127.03</v>
      </c>
      <c r="D2028">
        <v>61.36</v>
      </c>
      <c r="E2028" t="s">
        <v>21013</v>
      </c>
      <c r="F2028" t="s">
        <v>107</v>
      </c>
      <c r="G2028" t="s">
        <v>1048</v>
      </c>
      <c r="H2028" t="s">
        <v>1049</v>
      </c>
      <c r="I2028" t="s">
        <v>70</v>
      </c>
      <c r="J2028" t="s">
        <v>321</v>
      </c>
      <c r="K2028">
        <v>1239.3599999999999</v>
      </c>
      <c r="L2028">
        <v>26.18</v>
      </c>
      <c r="M2028" t="s">
        <v>9136</v>
      </c>
      <c r="N2028">
        <v>16636</v>
      </c>
      <c r="O2028">
        <v>14.75</v>
      </c>
      <c r="R2028">
        <v>7.34</v>
      </c>
      <c r="S2028">
        <v>3.83</v>
      </c>
      <c r="T2028" t="s">
        <v>3079</v>
      </c>
      <c r="U2028">
        <v>3.08</v>
      </c>
      <c r="V2028" t="s">
        <v>4827</v>
      </c>
      <c r="W2028" t="s">
        <v>213</v>
      </c>
      <c r="X2028" t="s">
        <v>13933</v>
      </c>
      <c r="Y2028" t="s">
        <v>5010</v>
      </c>
      <c r="Z2028" t="s">
        <v>21014</v>
      </c>
      <c r="AA2028">
        <v>1.77</v>
      </c>
      <c r="AB2028" t="s">
        <v>6770</v>
      </c>
      <c r="AC2028" t="s">
        <v>5383</v>
      </c>
      <c r="AE2028" t="s">
        <v>4052</v>
      </c>
      <c r="AF2028" t="s">
        <v>13600</v>
      </c>
      <c r="AG2028" t="s">
        <v>9110</v>
      </c>
      <c r="AH2028" t="s">
        <v>4899</v>
      </c>
      <c r="AJ2028" t="s">
        <v>182</v>
      </c>
      <c r="AK2028" t="s">
        <v>8087</v>
      </c>
      <c r="AL2028">
        <v>11.61</v>
      </c>
      <c r="AM2028">
        <v>11.61</v>
      </c>
      <c r="AN2028">
        <v>0</v>
      </c>
      <c r="AO2028" t="s">
        <v>2072</v>
      </c>
      <c r="AP2028" t="s">
        <v>19082</v>
      </c>
      <c r="AQ2028" t="s">
        <v>4441</v>
      </c>
      <c r="AR2028" t="s">
        <v>2186</v>
      </c>
      <c r="AS2028" t="s">
        <v>5084</v>
      </c>
      <c r="AT2028" t="s">
        <v>4916</v>
      </c>
      <c r="AU2028" t="s">
        <v>908</v>
      </c>
      <c r="AV2028" t="s">
        <v>21015</v>
      </c>
      <c r="AW2028" t="s">
        <v>2594</v>
      </c>
      <c r="AX2028" t="s">
        <v>1960</v>
      </c>
      <c r="AY2028" t="s">
        <v>21016</v>
      </c>
      <c r="AZ2028" t="s">
        <v>1960</v>
      </c>
      <c r="BB2028">
        <v>101.91</v>
      </c>
      <c r="BC2028">
        <v>0.57999999999999996</v>
      </c>
      <c r="BD2028">
        <v>25.78</v>
      </c>
      <c r="BE2028">
        <v>26.24</v>
      </c>
      <c r="BF2028">
        <v>25.85</v>
      </c>
      <c r="BG2028" t="s">
        <v>21017</v>
      </c>
      <c r="BH2028" t="s">
        <v>5783</v>
      </c>
      <c r="BI2028" t="s">
        <v>21018</v>
      </c>
      <c r="BJ2028" t="s">
        <v>101</v>
      </c>
      <c r="BK2028" t="s">
        <v>8380</v>
      </c>
      <c r="BL2028" t="s">
        <v>18148</v>
      </c>
      <c r="BM2028" t="s">
        <v>9332</v>
      </c>
      <c r="BN2028" t="s">
        <v>14623</v>
      </c>
    </row>
    <row r="2029" spans="1:66" x14ac:dyDescent="0.25">
      <c r="A2029" t="str">
        <f>HYPERLINK("https://elite.finviz.com/quote.ashx?t=PVLA&amp;ty=c&amp;p=d&amp;b=1", "PVLA")</f>
        <v>PVLA</v>
      </c>
      <c r="B2029">
        <v>6</v>
      </c>
      <c r="C2029">
        <v>127.03</v>
      </c>
      <c r="D2029">
        <v>61.37</v>
      </c>
      <c r="E2029" t="s">
        <v>21019</v>
      </c>
      <c r="F2029" t="s">
        <v>67</v>
      </c>
      <c r="G2029" t="s">
        <v>428</v>
      </c>
      <c r="H2029" t="s">
        <v>429</v>
      </c>
      <c r="I2029" t="s">
        <v>70</v>
      </c>
      <c r="J2029" t="s">
        <v>321</v>
      </c>
      <c r="K2029">
        <v>651.85</v>
      </c>
      <c r="L2029">
        <v>58.94</v>
      </c>
      <c r="M2029" t="s">
        <v>3916</v>
      </c>
      <c r="N2029">
        <v>31023</v>
      </c>
      <c r="R2029">
        <v>482.86</v>
      </c>
      <c r="S2029">
        <v>13.64</v>
      </c>
      <c r="AA2029">
        <v>-12.61</v>
      </c>
      <c r="AB2029" t="s">
        <v>7875</v>
      </c>
      <c r="AC2029" t="s">
        <v>5184</v>
      </c>
      <c r="AD2029" t="s">
        <v>12222</v>
      </c>
      <c r="AE2029" t="s">
        <v>21020</v>
      </c>
      <c r="AH2029" t="s">
        <v>579</v>
      </c>
      <c r="AI2029" t="s">
        <v>6136</v>
      </c>
      <c r="AJ2029" t="s">
        <v>2275</v>
      </c>
      <c r="AK2029" t="s">
        <v>21021</v>
      </c>
      <c r="AL2029">
        <v>7.67</v>
      </c>
      <c r="AM2029">
        <v>7.67</v>
      </c>
      <c r="AN2029">
        <v>0.3</v>
      </c>
      <c r="AP2029" t="s">
        <v>21022</v>
      </c>
      <c r="AQ2029" t="s">
        <v>21023</v>
      </c>
      <c r="AR2029" t="s">
        <v>9751</v>
      </c>
      <c r="AS2029" t="s">
        <v>6392</v>
      </c>
      <c r="AT2029" t="s">
        <v>3519</v>
      </c>
      <c r="AU2029" t="s">
        <v>8580</v>
      </c>
      <c r="AV2029" t="s">
        <v>14073</v>
      </c>
      <c r="AW2029" t="s">
        <v>15635</v>
      </c>
      <c r="AX2029" t="s">
        <v>21024</v>
      </c>
      <c r="AY2029" t="s">
        <v>15635</v>
      </c>
      <c r="AZ2029" t="s">
        <v>21025</v>
      </c>
      <c r="BA2029">
        <v>1.08</v>
      </c>
      <c r="BB2029">
        <v>163.96</v>
      </c>
      <c r="BC2029">
        <v>0.67</v>
      </c>
      <c r="BD2029">
        <v>57.69</v>
      </c>
      <c r="BE2029">
        <v>61</v>
      </c>
      <c r="BF2029">
        <v>58.24</v>
      </c>
      <c r="BG2029" t="s">
        <v>21026</v>
      </c>
      <c r="BH2029" t="s">
        <v>19904</v>
      </c>
      <c r="BI2029" t="s">
        <v>1318</v>
      </c>
      <c r="BJ2029" t="s">
        <v>101</v>
      </c>
      <c r="BK2029" t="s">
        <v>21027</v>
      </c>
      <c r="BL2029" t="s">
        <v>21028</v>
      </c>
      <c r="BM2029" t="s">
        <v>21029</v>
      </c>
      <c r="BN2029" t="s">
        <v>14623</v>
      </c>
    </row>
    <row r="2030" spans="1:66" x14ac:dyDescent="0.25">
      <c r="A2030" t="str">
        <f>HYPERLINK("https://elite.finviz.com/quote.ashx?t=GHLD&amp;ty=c&amp;p=d&amp;b=1", "GHLD")</f>
        <v>GHLD</v>
      </c>
      <c r="B2030">
        <v>6</v>
      </c>
      <c r="C2030">
        <v>127.03</v>
      </c>
      <c r="D2030">
        <v>61.43</v>
      </c>
      <c r="E2030" t="s">
        <v>21030</v>
      </c>
      <c r="F2030" t="s">
        <v>107</v>
      </c>
      <c r="G2030" t="s">
        <v>550</v>
      </c>
      <c r="H2030" t="s">
        <v>3699</v>
      </c>
      <c r="I2030" t="s">
        <v>70</v>
      </c>
      <c r="J2030" t="s">
        <v>71</v>
      </c>
      <c r="K2030">
        <v>1242.57</v>
      </c>
      <c r="L2030">
        <v>19.96</v>
      </c>
      <c r="M2030" t="s">
        <v>2757</v>
      </c>
      <c r="N2030">
        <v>4306</v>
      </c>
      <c r="O2030">
        <v>51.18</v>
      </c>
      <c r="P2030">
        <v>10.24</v>
      </c>
      <c r="Q2030">
        <v>3.68</v>
      </c>
      <c r="R2030">
        <v>1.1100000000000001</v>
      </c>
      <c r="S2030">
        <v>1.02</v>
      </c>
      <c r="T2030" t="s">
        <v>2378</v>
      </c>
      <c r="V2030" t="s">
        <v>1440</v>
      </c>
      <c r="Z2030" t="s">
        <v>20040</v>
      </c>
      <c r="AA2030">
        <v>0.39</v>
      </c>
      <c r="AB2030" t="s">
        <v>21031</v>
      </c>
      <c r="AC2030" t="s">
        <v>21032</v>
      </c>
      <c r="AD2030" t="s">
        <v>7301</v>
      </c>
      <c r="AE2030" t="s">
        <v>6399</v>
      </c>
      <c r="AF2030" t="s">
        <v>13455</v>
      </c>
      <c r="AG2030" t="s">
        <v>2361</v>
      </c>
      <c r="AH2030" t="s">
        <v>2947</v>
      </c>
      <c r="AI2030" t="s">
        <v>9673</v>
      </c>
      <c r="AJ2030" t="s">
        <v>5242</v>
      </c>
      <c r="AK2030" t="s">
        <v>3491</v>
      </c>
      <c r="AL2030">
        <v>0.09</v>
      </c>
      <c r="AM2030">
        <v>0.09</v>
      </c>
      <c r="AN2030">
        <v>2.72</v>
      </c>
      <c r="AO2030" t="s">
        <v>20463</v>
      </c>
      <c r="AP2030" t="s">
        <v>562</v>
      </c>
      <c r="AQ2030" t="s">
        <v>4255</v>
      </c>
      <c r="AR2030" t="s">
        <v>698</v>
      </c>
      <c r="AS2030" t="s">
        <v>2216</v>
      </c>
      <c r="AT2030" t="s">
        <v>497</v>
      </c>
      <c r="AU2030" t="s">
        <v>6572</v>
      </c>
      <c r="AV2030" t="s">
        <v>5724</v>
      </c>
      <c r="AW2030" t="s">
        <v>8252</v>
      </c>
      <c r="AX2030" t="s">
        <v>3118</v>
      </c>
      <c r="AY2030" t="s">
        <v>8252</v>
      </c>
      <c r="AZ2030" t="s">
        <v>19178</v>
      </c>
      <c r="BA2030">
        <v>3</v>
      </c>
      <c r="BB2030">
        <v>73.64</v>
      </c>
      <c r="BC2030">
        <v>0.21</v>
      </c>
      <c r="BD2030">
        <v>19.940000000000001</v>
      </c>
      <c r="BE2030">
        <v>19.940000000000001</v>
      </c>
      <c r="BF2030">
        <v>19.940000000000001</v>
      </c>
      <c r="BG2030" t="s">
        <v>21033</v>
      </c>
      <c r="BH2030" t="s">
        <v>8252</v>
      </c>
      <c r="BI2030" t="s">
        <v>21034</v>
      </c>
      <c r="BJ2030" t="s">
        <v>101</v>
      </c>
      <c r="BK2030" t="s">
        <v>1438</v>
      </c>
      <c r="BL2030" t="s">
        <v>5297</v>
      </c>
      <c r="BM2030" t="s">
        <v>3863</v>
      </c>
      <c r="BN2030" t="s">
        <v>14623</v>
      </c>
    </row>
    <row r="2031" spans="1:66" x14ac:dyDescent="0.25">
      <c r="A2031" t="str">
        <f>HYPERLINK("https://elite.finviz.com/quote.ashx?t=TWIN&amp;ty=c&amp;p=d&amp;b=1", "TWIN")</f>
        <v>TWIN</v>
      </c>
      <c r="B2031">
        <v>6</v>
      </c>
      <c r="C2031">
        <v>127.03</v>
      </c>
      <c r="D2031">
        <v>61.52</v>
      </c>
      <c r="E2031" t="s">
        <v>21035</v>
      </c>
      <c r="F2031" t="s">
        <v>107</v>
      </c>
      <c r="G2031" t="s">
        <v>260</v>
      </c>
      <c r="H2031" t="s">
        <v>261</v>
      </c>
      <c r="I2031" t="s">
        <v>70</v>
      </c>
      <c r="J2031" t="s">
        <v>321</v>
      </c>
      <c r="K2031">
        <v>197.44</v>
      </c>
      <c r="L2031">
        <v>13.72</v>
      </c>
      <c r="M2031" t="s">
        <v>2307</v>
      </c>
      <c r="N2031">
        <v>5575</v>
      </c>
      <c r="P2031">
        <v>9.66</v>
      </c>
      <c r="R2031">
        <v>0.57999999999999996</v>
      </c>
      <c r="S2031">
        <v>1.18</v>
      </c>
      <c r="T2031" t="s">
        <v>6732</v>
      </c>
      <c r="U2031">
        <v>0.16</v>
      </c>
      <c r="V2031" t="s">
        <v>1440</v>
      </c>
      <c r="W2031" t="s">
        <v>10378</v>
      </c>
      <c r="Z2031" t="s">
        <v>8456</v>
      </c>
      <c r="AA2031">
        <v>-0.14000000000000001</v>
      </c>
      <c r="AC2031" t="s">
        <v>2981</v>
      </c>
      <c r="AE2031" t="s">
        <v>9523</v>
      </c>
      <c r="AF2031" t="s">
        <v>3644</v>
      </c>
      <c r="AG2031" t="s">
        <v>8593</v>
      </c>
      <c r="AH2031" t="s">
        <v>11292</v>
      </c>
      <c r="AI2031" t="s">
        <v>4159</v>
      </c>
      <c r="AJ2031" t="s">
        <v>164</v>
      </c>
      <c r="AK2031" t="s">
        <v>11470</v>
      </c>
      <c r="AL2031">
        <v>1.96</v>
      </c>
      <c r="AM2031">
        <v>0.75</v>
      </c>
      <c r="AN2031">
        <v>0.34</v>
      </c>
      <c r="AO2031" t="s">
        <v>10599</v>
      </c>
      <c r="AP2031" t="s">
        <v>305</v>
      </c>
      <c r="AQ2031" t="s">
        <v>2103</v>
      </c>
      <c r="AR2031" t="s">
        <v>6330</v>
      </c>
      <c r="AS2031" t="s">
        <v>2744</v>
      </c>
      <c r="AT2031" t="s">
        <v>1933</v>
      </c>
      <c r="AU2031" t="s">
        <v>5553</v>
      </c>
      <c r="AV2031" t="s">
        <v>21036</v>
      </c>
      <c r="AW2031" t="s">
        <v>5852</v>
      </c>
      <c r="AX2031" t="s">
        <v>21037</v>
      </c>
      <c r="AY2031" t="s">
        <v>5852</v>
      </c>
      <c r="AZ2031" t="s">
        <v>21038</v>
      </c>
      <c r="BA2031">
        <v>1</v>
      </c>
      <c r="BB2031">
        <v>72.48</v>
      </c>
      <c r="BC2031">
        <v>0.27</v>
      </c>
      <c r="BD2031">
        <v>13.45</v>
      </c>
      <c r="BE2031">
        <v>13.62</v>
      </c>
      <c r="BF2031">
        <v>13.31</v>
      </c>
      <c r="BG2031" t="s">
        <v>21039</v>
      </c>
      <c r="BH2031" t="s">
        <v>21040</v>
      </c>
      <c r="BI2031" t="s">
        <v>21041</v>
      </c>
      <c r="BJ2031" t="s">
        <v>101</v>
      </c>
      <c r="BK2031" t="s">
        <v>4663</v>
      </c>
      <c r="BL2031" t="s">
        <v>21042</v>
      </c>
      <c r="BM2031" t="s">
        <v>2877</v>
      </c>
      <c r="BN2031" t="s">
        <v>14623</v>
      </c>
    </row>
    <row r="2032" spans="1:66" x14ac:dyDescent="0.25">
      <c r="A2032" t="str">
        <f>HYPERLINK("https://elite.finviz.com/quote.ashx?t=IESC&amp;ty=c&amp;p=d&amp;b=1", "IESC")</f>
        <v>IESC</v>
      </c>
      <c r="B2032">
        <v>6</v>
      </c>
      <c r="C2032">
        <v>127.03</v>
      </c>
      <c r="D2032">
        <v>61.53</v>
      </c>
      <c r="E2032" t="s">
        <v>21043</v>
      </c>
      <c r="F2032" t="s">
        <v>67</v>
      </c>
      <c r="G2032" t="s">
        <v>260</v>
      </c>
      <c r="H2032" t="s">
        <v>2944</v>
      </c>
      <c r="I2032" t="s">
        <v>70</v>
      </c>
      <c r="J2032" t="s">
        <v>321</v>
      </c>
      <c r="K2032">
        <v>7683.28</v>
      </c>
      <c r="L2032">
        <v>386.98</v>
      </c>
      <c r="M2032" t="s">
        <v>2424</v>
      </c>
      <c r="N2032">
        <v>24447</v>
      </c>
      <c r="O2032">
        <v>31.44</v>
      </c>
      <c r="R2032">
        <v>2.36</v>
      </c>
      <c r="S2032">
        <v>9.83</v>
      </c>
      <c r="Z2032" t="s">
        <v>164</v>
      </c>
      <c r="AA2032">
        <v>12.31</v>
      </c>
      <c r="AB2032" t="s">
        <v>300</v>
      </c>
      <c r="AC2032" t="s">
        <v>21044</v>
      </c>
      <c r="AE2032" t="s">
        <v>7663</v>
      </c>
      <c r="AF2032" t="s">
        <v>12137</v>
      </c>
      <c r="AG2032" t="s">
        <v>11963</v>
      </c>
      <c r="AH2032" t="s">
        <v>2133</v>
      </c>
      <c r="AI2032" t="s">
        <v>1009</v>
      </c>
      <c r="AJ2032" t="s">
        <v>10312</v>
      </c>
      <c r="AK2032" t="s">
        <v>20639</v>
      </c>
      <c r="AL2032">
        <v>1.85</v>
      </c>
      <c r="AM2032">
        <v>1.65</v>
      </c>
      <c r="AN2032">
        <v>0.09</v>
      </c>
      <c r="AO2032" t="s">
        <v>1701</v>
      </c>
      <c r="AP2032" t="s">
        <v>2514</v>
      </c>
      <c r="AQ2032" t="s">
        <v>1771</v>
      </c>
      <c r="AR2032" t="s">
        <v>3433</v>
      </c>
      <c r="AS2032" t="s">
        <v>5885</v>
      </c>
      <c r="AT2032" t="s">
        <v>3545</v>
      </c>
      <c r="AU2032" t="s">
        <v>3468</v>
      </c>
      <c r="AV2032" t="s">
        <v>21045</v>
      </c>
      <c r="AW2032" t="s">
        <v>3484</v>
      </c>
      <c r="AX2032" t="s">
        <v>13458</v>
      </c>
      <c r="AY2032" t="s">
        <v>3484</v>
      </c>
      <c r="AZ2032" t="s">
        <v>21046</v>
      </c>
      <c r="BA2032">
        <v>1</v>
      </c>
      <c r="BB2032">
        <v>146.1</v>
      </c>
      <c r="BC2032">
        <v>0.59</v>
      </c>
      <c r="BD2032">
        <v>380.01</v>
      </c>
      <c r="BE2032">
        <v>389.28</v>
      </c>
      <c r="BF2032">
        <v>380.68</v>
      </c>
      <c r="BG2032" t="s">
        <v>21047</v>
      </c>
      <c r="BH2032" t="s">
        <v>10586</v>
      </c>
      <c r="BI2032" t="s">
        <v>21048</v>
      </c>
      <c r="BJ2032" t="s">
        <v>101</v>
      </c>
      <c r="BK2032" t="s">
        <v>13285</v>
      </c>
      <c r="BL2032" t="s">
        <v>21049</v>
      </c>
      <c r="BM2032" t="s">
        <v>21050</v>
      </c>
      <c r="BN2032" t="s">
        <v>14623</v>
      </c>
    </row>
    <row r="2033" spans="1:66" x14ac:dyDescent="0.25">
      <c r="A2033" t="str">
        <f>HYPERLINK("https://elite.finviz.com/quote.ashx?t=IRON&amp;ty=c&amp;p=d&amp;b=1", "IRON")</f>
        <v>IRON</v>
      </c>
      <c r="B2033">
        <v>6</v>
      </c>
      <c r="C2033">
        <v>127.03</v>
      </c>
      <c r="D2033">
        <v>61.53</v>
      </c>
      <c r="E2033" t="s">
        <v>21051</v>
      </c>
      <c r="F2033" t="s">
        <v>67</v>
      </c>
      <c r="G2033" t="s">
        <v>428</v>
      </c>
      <c r="H2033" t="s">
        <v>429</v>
      </c>
      <c r="I2033" t="s">
        <v>70</v>
      </c>
      <c r="J2033" t="s">
        <v>321</v>
      </c>
      <c r="K2033">
        <v>2189.1799999999998</v>
      </c>
      <c r="L2033">
        <v>62.97</v>
      </c>
      <c r="M2033" t="s">
        <v>6572</v>
      </c>
      <c r="N2033">
        <v>40855</v>
      </c>
      <c r="S2033">
        <v>3.56</v>
      </c>
      <c r="AA2033">
        <v>-4.4800000000000004</v>
      </c>
      <c r="AB2033" t="s">
        <v>21052</v>
      </c>
      <c r="AC2033" t="s">
        <v>5421</v>
      </c>
      <c r="AD2033" t="s">
        <v>2249</v>
      </c>
      <c r="AI2033" t="s">
        <v>20938</v>
      </c>
      <c r="AJ2033" t="s">
        <v>4953</v>
      </c>
      <c r="AK2033" t="s">
        <v>21053</v>
      </c>
      <c r="AL2033">
        <v>32.11</v>
      </c>
      <c r="AM2033">
        <v>32.11</v>
      </c>
      <c r="AN2033">
        <v>0.05</v>
      </c>
      <c r="AR2033" t="s">
        <v>1981</v>
      </c>
      <c r="AS2033" t="s">
        <v>2838</v>
      </c>
      <c r="AT2033" t="s">
        <v>1769</v>
      </c>
      <c r="AU2033" t="s">
        <v>5907</v>
      </c>
      <c r="AV2033" t="s">
        <v>1625</v>
      </c>
      <c r="AW2033" t="s">
        <v>608</v>
      </c>
      <c r="AX2033" t="s">
        <v>7216</v>
      </c>
      <c r="AY2033" t="s">
        <v>15366</v>
      </c>
      <c r="AZ2033" t="s">
        <v>1434</v>
      </c>
      <c r="BA2033">
        <v>1</v>
      </c>
      <c r="BB2033">
        <v>347.62</v>
      </c>
      <c r="BC2033">
        <v>0.41</v>
      </c>
      <c r="BD2033">
        <v>62.5</v>
      </c>
      <c r="BE2033">
        <v>63.29</v>
      </c>
      <c r="BF2033">
        <v>61.97</v>
      </c>
      <c r="BG2033" t="s">
        <v>21054</v>
      </c>
      <c r="BH2033" t="s">
        <v>21055</v>
      </c>
      <c r="BI2033" t="s">
        <v>21056</v>
      </c>
      <c r="BJ2033" t="s">
        <v>101</v>
      </c>
      <c r="BK2033" t="s">
        <v>5262</v>
      </c>
      <c r="BL2033" t="s">
        <v>876</v>
      </c>
      <c r="BM2033" t="s">
        <v>21057</v>
      </c>
      <c r="BN2033" t="s">
        <v>14623</v>
      </c>
    </row>
    <row r="2034" spans="1:66" x14ac:dyDescent="0.25">
      <c r="A2034" t="str">
        <f>HYPERLINK("https://elite.finviz.com/quote.ashx?t=PAVS&amp;ty=c&amp;p=d&amp;b=1", "PAVS")</f>
        <v>PAVS</v>
      </c>
      <c r="B2034">
        <v>6</v>
      </c>
      <c r="C2034">
        <v>127.03</v>
      </c>
      <c r="D2034">
        <v>61.54</v>
      </c>
      <c r="E2034" t="s">
        <v>21058</v>
      </c>
      <c r="F2034" t="s">
        <v>107</v>
      </c>
      <c r="G2034" t="s">
        <v>2244</v>
      </c>
      <c r="H2034" t="s">
        <v>3269</v>
      </c>
      <c r="I2034" t="s">
        <v>70</v>
      </c>
      <c r="J2034" t="s">
        <v>321</v>
      </c>
      <c r="K2034">
        <v>64.86</v>
      </c>
      <c r="L2034">
        <v>0.96</v>
      </c>
      <c r="M2034" t="s">
        <v>2372</v>
      </c>
      <c r="N2034">
        <v>37107</v>
      </c>
      <c r="R2034">
        <v>926.55</v>
      </c>
      <c r="S2034">
        <v>2.67</v>
      </c>
      <c r="AA2034">
        <v>-0.16</v>
      </c>
      <c r="AB2034" t="s">
        <v>21059</v>
      </c>
      <c r="AE2034" t="s">
        <v>13395</v>
      </c>
      <c r="AF2034" t="s">
        <v>17607</v>
      </c>
      <c r="AG2034" t="s">
        <v>18989</v>
      </c>
      <c r="AH2034" t="s">
        <v>19948</v>
      </c>
      <c r="AI2034" t="s">
        <v>2617</v>
      </c>
      <c r="AJ2034" t="s">
        <v>164</v>
      </c>
      <c r="AK2034" t="s">
        <v>211</v>
      </c>
      <c r="AL2034">
        <v>1.1200000000000001</v>
      </c>
      <c r="AM2034">
        <v>1.02</v>
      </c>
      <c r="AN2034">
        <v>0.1</v>
      </c>
      <c r="AO2034" t="s">
        <v>21060</v>
      </c>
      <c r="AP2034" t="s">
        <v>21061</v>
      </c>
      <c r="AQ2034" t="s">
        <v>21062</v>
      </c>
      <c r="AR2034" t="s">
        <v>10254</v>
      </c>
      <c r="AS2034" t="s">
        <v>325</v>
      </c>
      <c r="AT2034" t="s">
        <v>340</v>
      </c>
      <c r="AU2034" t="s">
        <v>4314</v>
      </c>
      <c r="AV2034" t="s">
        <v>12843</v>
      </c>
      <c r="AW2034" t="s">
        <v>15169</v>
      </c>
      <c r="AX2034" t="s">
        <v>5945</v>
      </c>
      <c r="AY2034" t="s">
        <v>7395</v>
      </c>
      <c r="AZ2034" t="s">
        <v>21063</v>
      </c>
      <c r="BA2034">
        <v>1</v>
      </c>
      <c r="BB2034">
        <v>197.73</v>
      </c>
      <c r="BC2034">
        <v>0.67</v>
      </c>
      <c r="BD2034">
        <v>0.98</v>
      </c>
      <c r="BE2034">
        <v>1</v>
      </c>
      <c r="BF2034">
        <v>0.95</v>
      </c>
      <c r="BG2034" t="s">
        <v>21064</v>
      </c>
      <c r="BH2034" t="s">
        <v>21065</v>
      </c>
      <c r="BI2034" t="s">
        <v>21063</v>
      </c>
      <c r="BJ2034" t="s">
        <v>101</v>
      </c>
      <c r="BK2034" t="s">
        <v>1514</v>
      </c>
      <c r="BL2034" t="s">
        <v>16627</v>
      </c>
      <c r="BM2034" t="s">
        <v>4437</v>
      </c>
      <c r="BN2034" t="s">
        <v>14623</v>
      </c>
    </row>
    <row r="2035" spans="1:66" x14ac:dyDescent="0.25">
      <c r="A2035" t="str">
        <f>HYPERLINK("https://elite.finviz.com/quote.ashx?t=TVRD&amp;ty=c&amp;p=d&amp;b=1", "TVRD")</f>
        <v>TVRD</v>
      </c>
      <c r="B2035">
        <v>6</v>
      </c>
      <c r="C2035">
        <v>127.03</v>
      </c>
      <c r="D2035">
        <v>61.55</v>
      </c>
      <c r="E2035" t="s">
        <v>21066</v>
      </c>
      <c r="F2035" t="s">
        <v>67</v>
      </c>
      <c r="G2035" t="s">
        <v>428</v>
      </c>
      <c r="H2035" t="s">
        <v>429</v>
      </c>
      <c r="I2035" t="s">
        <v>70</v>
      </c>
      <c r="J2035" t="s">
        <v>321</v>
      </c>
      <c r="K2035">
        <v>338.16</v>
      </c>
      <c r="L2035">
        <v>36.06</v>
      </c>
      <c r="M2035" t="s">
        <v>10581</v>
      </c>
      <c r="N2035">
        <v>13997</v>
      </c>
      <c r="R2035">
        <v>51.39</v>
      </c>
      <c r="S2035">
        <v>10.27</v>
      </c>
      <c r="AA2035">
        <v>-17.45</v>
      </c>
      <c r="AB2035" t="s">
        <v>8274</v>
      </c>
      <c r="AC2035" t="s">
        <v>10812</v>
      </c>
      <c r="AE2035" t="s">
        <v>10743</v>
      </c>
      <c r="AF2035" t="s">
        <v>7171</v>
      </c>
      <c r="AG2035" t="s">
        <v>9578</v>
      </c>
      <c r="AH2035" t="s">
        <v>579</v>
      </c>
      <c r="AI2035" t="s">
        <v>21067</v>
      </c>
      <c r="AJ2035" t="s">
        <v>164</v>
      </c>
      <c r="AK2035" t="s">
        <v>7123</v>
      </c>
      <c r="AL2035">
        <v>4.04</v>
      </c>
      <c r="AM2035">
        <v>4.04</v>
      </c>
      <c r="AN2035">
        <v>0.01</v>
      </c>
      <c r="AO2035" t="s">
        <v>21068</v>
      </c>
      <c r="AP2035" t="s">
        <v>21069</v>
      </c>
      <c r="AQ2035" t="s">
        <v>21070</v>
      </c>
      <c r="AR2035" t="s">
        <v>4377</v>
      </c>
      <c r="AS2035" t="s">
        <v>5151</v>
      </c>
      <c r="AT2035" t="s">
        <v>2932</v>
      </c>
      <c r="AU2035" t="s">
        <v>21071</v>
      </c>
      <c r="AV2035" t="s">
        <v>15758</v>
      </c>
      <c r="AW2035" t="s">
        <v>1450</v>
      </c>
      <c r="AX2035" t="s">
        <v>983</v>
      </c>
      <c r="AY2035" t="s">
        <v>1450</v>
      </c>
      <c r="AZ2035" t="s">
        <v>21072</v>
      </c>
      <c r="BA2035">
        <v>1.1399999999999999</v>
      </c>
      <c r="BB2035">
        <v>45.28</v>
      </c>
      <c r="BC2035">
        <v>1.0900000000000001</v>
      </c>
      <c r="BD2035">
        <v>36.81</v>
      </c>
      <c r="BE2035">
        <v>38.28</v>
      </c>
      <c r="BF2035">
        <v>35.9</v>
      </c>
      <c r="BG2035" t="s">
        <v>21073</v>
      </c>
      <c r="BH2035" t="s">
        <v>21074</v>
      </c>
      <c r="BI2035" t="s">
        <v>21072</v>
      </c>
      <c r="BJ2035" t="s">
        <v>101</v>
      </c>
      <c r="BK2035" t="s">
        <v>18631</v>
      </c>
      <c r="BL2035" t="s">
        <v>21075</v>
      </c>
      <c r="BM2035" t="s">
        <v>21076</v>
      </c>
      <c r="BN2035" t="s">
        <v>14623</v>
      </c>
    </row>
    <row r="2036" spans="1:66" x14ac:dyDescent="0.25">
      <c r="A2036" t="str">
        <f>HYPERLINK("https://elite.finviz.com/quote.ashx?t=NHI&amp;ty=c&amp;p=d&amp;b=1", "NHI")</f>
        <v>NHI</v>
      </c>
      <c r="B2036">
        <v>6</v>
      </c>
      <c r="C2036">
        <v>127.03</v>
      </c>
      <c r="D2036">
        <v>61.57</v>
      </c>
      <c r="E2036" t="s">
        <v>21077</v>
      </c>
      <c r="F2036" t="s">
        <v>67</v>
      </c>
      <c r="G2036" t="s">
        <v>68</v>
      </c>
      <c r="H2036" t="s">
        <v>6072</v>
      </c>
      <c r="I2036" t="s">
        <v>70</v>
      </c>
      <c r="J2036" t="s">
        <v>71</v>
      </c>
      <c r="K2036">
        <v>3786.46</v>
      </c>
      <c r="L2036">
        <v>79.760000000000005</v>
      </c>
      <c r="M2036" t="s">
        <v>4507</v>
      </c>
      <c r="N2036">
        <v>21930</v>
      </c>
      <c r="O2036">
        <v>25.47</v>
      </c>
      <c r="P2036">
        <v>24.22</v>
      </c>
      <c r="Q2036">
        <v>8.43</v>
      </c>
      <c r="R2036">
        <v>10.77</v>
      </c>
      <c r="S2036">
        <v>2.46</v>
      </c>
      <c r="T2036" t="s">
        <v>371</v>
      </c>
      <c r="U2036">
        <v>3.6</v>
      </c>
      <c r="V2036" t="s">
        <v>198</v>
      </c>
      <c r="W2036" t="s">
        <v>164</v>
      </c>
      <c r="X2036" t="s">
        <v>4149</v>
      </c>
      <c r="Y2036" t="s">
        <v>1175</v>
      </c>
      <c r="Z2036" t="s">
        <v>21078</v>
      </c>
      <c r="AA2036">
        <v>3.13</v>
      </c>
      <c r="AB2036" t="s">
        <v>5607</v>
      </c>
      <c r="AC2036" t="s">
        <v>3322</v>
      </c>
      <c r="AD2036" t="s">
        <v>2543</v>
      </c>
      <c r="AE2036" t="s">
        <v>3566</v>
      </c>
      <c r="AF2036" t="s">
        <v>7978</v>
      </c>
      <c r="AG2036" t="s">
        <v>343</v>
      </c>
      <c r="AH2036" t="s">
        <v>521</v>
      </c>
      <c r="AI2036" t="s">
        <v>4995</v>
      </c>
      <c r="AJ2036" t="s">
        <v>164</v>
      </c>
      <c r="AK2036" t="s">
        <v>13321</v>
      </c>
      <c r="AL2036">
        <v>1.1399999999999999</v>
      </c>
      <c r="AM2036">
        <v>1.1399999999999999</v>
      </c>
      <c r="AN2036">
        <v>0.76</v>
      </c>
      <c r="AO2036" t="s">
        <v>18218</v>
      </c>
      <c r="AP2036" t="s">
        <v>14278</v>
      </c>
      <c r="AQ2036" t="s">
        <v>7248</v>
      </c>
      <c r="AR2036" t="s">
        <v>2219</v>
      </c>
      <c r="AS2036" t="s">
        <v>2274</v>
      </c>
      <c r="AT2036" t="s">
        <v>2572</v>
      </c>
      <c r="AU2036" t="s">
        <v>5591</v>
      </c>
      <c r="AV2036" t="s">
        <v>1809</v>
      </c>
      <c r="AW2036" t="s">
        <v>2132</v>
      </c>
      <c r="AX2036" t="s">
        <v>3058</v>
      </c>
      <c r="AY2036" t="s">
        <v>11444</v>
      </c>
      <c r="AZ2036" t="s">
        <v>8005</v>
      </c>
      <c r="BA2036">
        <v>1.57</v>
      </c>
      <c r="BB2036">
        <v>234.81</v>
      </c>
      <c r="BC2036">
        <v>0.33</v>
      </c>
      <c r="BD2036">
        <v>79.709999999999994</v>
      </c>
      <c r="BE2036">
        <v>80.459999999999994</v>
      </c>
      <c r="BF2036">
        <v>79.69</v>
      </c>
      <c r="BG2036" t="s">
        <v>21079</v>
      </c>
      <c r="BH2036" t="s">
        <v>8162</v>
      </c>
      <c r="BI2036" t="s">
        <v>21080</v>
      </c>
      <c r="BJ2036" t="s">
        <v>101</v>
      </c>
      <c r="BK2036" t="s">
        <v>920</v>
      </c>
      <c r="BL2036" t="s">
        <v>3818</v>
      </c>
      <c r="BM2036" t="s">
        <v>18188</v>
      </c>
      <c r="BN2036" t="s">
        <v>14623</v>
      </c>
    </row>
    <row r="2037" spans="1:66" x14ac:dyDescent="0.25">
      <c r="A2037" t="str">
        <f>HYPERLINK("https://elite.finviz.com/quote.ashx?t=ZBAI&amp;ty=c&amp;p=d&amp;b=1", "ZBAI")</f>
        <v>ZBAI</v>
      </c>
      <c r="B2037">
        <v>6</v>
      </c>
      <c r="C2037">
        <v>127.03</v>
      </c>
      <c r="D2037">
        <v>61.6</v>
      </c>
      <c r="E2037" t="s">
        <v>21081</v>
      </c>
      <c r="F2037" t="s">
        <v>107</v>
      </c>
      <c r="G2037" t="s">
        <v>550</v>
      </c>
      <c r="H2037" t="s">
        <v>551</v>
      </c>
      <c r="I2037" t="s">
        <v>70</v>
      </c>
      <c r="J2037" t="s">
        <v>321</v>
      </c>
      <c r="K2037">
        <v>9.7899999999999991</v>
      </c>
      <c r="L2037">
        <v>9.68</v>
      </c>
      <c r="M2037" t="s">
        <v>1488</v>
      </c>
      <c r="N2037">
        <v>3612</v>
      </c>
      <c r="R2037">
        <v>13.6</v>
      </c>
      <c r="S2037">
        <v>1.1100000000000001</v>
      </c>
      <c r="AA2037">
        <v>-7.07</v>
      </c>
      <c r="AB2037" t="s">
        <v>5058</v>
      </c>
      <c r="AE2037" t="s">
        <v>19336</v>
      </c>
      <c r="AF2037" t="s">
        <v>15316</v>
      </c>
      <c r="AG2037" t="s">
        <v>2971</v>
      </c>
      <c r="AH2037" t="s">
        <v>2621</v>
      </c>
      <c r="AJ2037" t="s">
        <v>164</v>
      </c>
      <c r="AK2037" t="s">
        <v>3447</v>
      </c>
      <c r="AL2037">
        <v>31.24</v>
      </c>
      <c r="AM2037">
        <v>31.24</v>
      </c>
      <c r="AN2037">
        <v>0</v>
      </c>
      <c r="AO2037" t="s">
        <v>21082</v>
      </c>
      <c r="AP2037" t="s">
        <v>21083</v>
      </c>
      <c r="AQ2037" t="s">
        <v>21084</v>
      </c>
      <c r="AR2037" t="s">
        <v>6876</v>
      </c>
      <c r="AS2037" t="s">
        <v>1557</v>
      </c>
      <c r="AT2037" t="s">
        <v>21085</v>
      </c>
      <c r="AU2037" t="s">
        <v>15396</v>
      </c>
      <c r="AV2037" t="s">
        <v>21086</v>
      </c>
      <c r="AW2037" t="s">
        <v>18568</v>
      </c>
      <c r="AX2037" t="s">
        <v>6039</v>
      </c>
      <c r="AY2037" t="s">
        <v>21087</v>
      </c>
      <c r="AZ2037" t="s">
        <v>6039</v>
      </c>
      <c r="BB2037">
        <v>173.33</v>
      </c>
      <c r="BC2037">
        <v>7.0000000000000007E-2</v>
      </c>
      <c r="BD2037">
        <v>9.57</v>
      </c>
      <c r="BE2037">
        <v>9.56</v>
      </c>
      <c r="BF2037">
        <v>9.56</v>
      </c>
      <c r="BG2037" t="s">
        <v>21088</v>
      </c>
      <c r="BH2037" t="s">
        <v>14758</v>
      </c>
      <c r="BI2037" t="s">
        <v>6039</v>
      </c>
      <c r="BJ2037" t="s">
        <v>101</v>
      </c>
      <c r="BK2037" t="s">
        <v>14709</v>
      </c>
      <c r="BL2037" t="s">
        <v>21089</v>
      </c>
      <c r="BM2037" t="s">
        <v>18798</v>
      </c>
      <c r="BN2037" t="s">
        <v>14623</v>
      </c>
    </row>
    <row r="2038" spans="1:66" x14ac:dyDescent="0.25">
      <c r="A2038" t="str">
        <f>HYPERLINK("https://elite.finviz.com/quote.ashx?t=BLK&amp;ty=c&amp;p=d&amp;b=1", "BLK")</f>
        <v>BLK</v>
      </c>
      <c r="B2038">
        <v>6</v>
      </c>
      <c r="C2038">
        <v>127.03</v>
      </c>
      <c r="D2038">
        <v>61.6</v>
      </c>
      <c r="E2038" t="s">
        <v>21090</v>
      </c>
      <c r="F2038" t="s">
        <v>195</v>
      </c>
      <c r="G2038" t="s">
        <v>550</v>
      </c>
      <c r="H2038" t="s">
        <v>2597</v>
      </c>
      <c r="I2038" t="s">
        <v>70</v>
      </c>
      <c r="J2038" t="s">
        <v>71</v>
      </c>
      <c r="K2038">
        <v>188257.5</v>
      </c>
      <c r="L2038">
        <v>1153.6400000000001</v>
      </c>
      <c r="M2038" t="s">
        <v>2418</v>
      </c>
      <c r="N2038">
        <v>95837</v>
      </c>
      <c r="O2038">
        <v>27.88</v>
      </c>
      <c r="P2038">
        <v>22.04</v>
      </c>
      <c r="Q2038">
        <v>2.5</v>
      </c>
      <c r="R2038">
        <v>8.39</v>
      </c>
      <c r="S2038">
        <v>3.83</v>
      </c>
      <c r="T2038" t="s">
        <v>2424</v>
      </c>
      <c r="U2038">
        <v>20.73</v>
      </c>
      <c r="V2038" t="s">
        <v>4548</v>
      </c>
      <c r="W2038" t="s">
        <v>1439</v>
      </c>
      <c r="X2038" t="s">
        <v>5319</v>
      </c>
      <c r="Y2038" t="s">
        <v>9623</v>
      </c>
      <c r="Z2038" t="s">
        <v>15585</v>
      </c>
      <c r="AA2038">
        <v>41.37</v>
      </c>
      <c r="AB2038" t="s">
        <v>170</v>
      </c>
      <c r="AC2038" t="s">
        <v>1676</v>
      </c>
      <c r="AD2038" t="s">
        <v>5459</v>
      </c>
      <c r="AE2038" t="s">
        <v>4846</v>
      </c>
      <c r="AF2038" t="s">
        <v>6732</v>
      </c>
      <c r="AG2038" t="s">
        <v>4913</v>
      </c>
      <c r="AH2038" t="s">
        <v>510</v>
      </c>
      <c r="AI2038" t="s">
        <v>3327</v>
      </c>
      <c r="AJ2038" t="s">
        <v>4273</v>
      </c>
      <c r="AK2038" t="s">
        <v>13321</v>
      </c>
      <c r="AL2038">
        <v>4.75</v>
      </c>
      <c r="AM2038">
        <v>4.75</v>
      </c>
      <c r="AN2038">
        <v>0.3</v>
      </c>
      <c r="AO2038" t="s">
        <v>13106</v>
      </c>
      <c r="AP2038" t="s">
        <v>19315</v>
      </c>
      <c r="AQ2038" t="s">
        <v>15180</v>
      </c>
      <c r="AR2038" t="s">
        <v>3494</v>
      </c>
      <c r="AS2038" t="s">
        <v>6990</v>
      </c>
      <c r="AT2038" t="s">
        <v>2496</v>
      </c>
      <c r="AU2038" t="s">
        <v>2643</v>
      </c>
      <c r="AV2038" t="s">
        <v>6740</v>
      </c>
      <c r="AW2038" t="s">
        <v>5070</v>
      </c>
      <c r="AX2038" t="s">
        <v>274</v>
      </c>
      <c r="AY2038" t="s">
        <v>5070</v>
      </c>
      <c r="AZ2038" t="s">
        <v>8428</v>
      </c>
      <c r="BA2038">
        <v>1.47</v>
      </c>
      <c r="BB2038">
        <v>562.09</v>
      </c>
      <c r="BC2038">
        <v>0.6</v>
      </c>
      <c r="BD2038">
        <v>1147.29</v>
      </c>
      <c r="BE2038">
        <v>1157.02</v>
      </c>
      <c r="BF2038">
        <v>1152.3499999999999</v>
      </c>
      <c r="BG2038" t="s">
        <v>21091</v>
      </c>
      <c r="BH2038" t="s">
        <v>5070</v>
      </c>
      <c r="BI2038" t="s">
        <v>21092</v>
      </c>
      <c r="BJ2038" t="s">
        <v>101</v>
      </c>
      <c r="BK2038" t="s">
        <v>9123</v>
      </c>
      <c r="BL2038" t="s">
        <v>955</v>
      </c>
      <c r="BM2038" t="s">
        <v>2397</v>
      </c>
      <c r="BN2038" t="s">
        <v>14623</v>
      </c>
    </row>
    <row r="2039" spans="1:66" x14ac:dyDescent="0.25">
      <c r="A2039" t="str">
        <f>HYPERLINK("https://elite.finviz.com/quote.ashx?t=PSIX&amp;ty=c&amp;p=d&amp;b=1", "PSIX")</f>
        <v>PSIX</v>
      </c>
      <c r="B2039">
        <v>6</v>
      </c>
      <c r="C2039">
        <v>127.03</v>
      </c>
      <c r="D2039">
        <v>61.61</v>
      </c>
      <c r="E2039" t="s">
        <v>21093</v>
      </c>
      <c r="F2039" t="s">
        <v>67</v>
      </c>
      <c r="G2039" t="s">
        <v>260</v>
      </c>
      <c r="H2039" t="s">
        <v>261</v>
      </c>
      <c r="I2039" t="s">
        <v>70</v>
      </c>
      <c r="J2039" t="s">
        <v>321</v>
      </c>
      <c r="K2039">
        <v>2474.9</v>
      </c>
      <c r="L2039">
        <v>107.46</v>
      </c>
      <c r="M2039" t="s">
        <v>214</v>
      </c>
      <c r="N2039">
        <v>100310</v>
      </c>
      <c r="O2039">
        <v>22.33</v>
      </c>
      <c r="P2039">
        <v>27.14</v>
      </c>
      <c r="Q2039">
        <v>1.27</v>
      </c>
      <c r="R2039">
        <v>4.1399999999999997</v>
      </c>
      <c r="S2039">
        <v>18.23</v>
      </c>
      <c r="Z2039" t="s">
        <v>164</v>
      </c>
      <c r="AA2039">
        <v>4.8099999999999996</v>
      </c>
      <c r="AC2039" t="s">
        <v>21094</v>
      </c>
      <c r="AD2039" t="s">
        <v>3888</v>
      </c>
      <c r="AE2039" t="s">
        <v>2282</v>
      </c>
      <c r="AF2039" t="s">
        <v>3019</v>
      </c>
      <c r="AG2039" t="s">
        <v>72</v>
      </c>
      <c r="AH2039" t="s">
        <v>17267</v>
      </c>
      <c r="AI2039" t="s">
        <v>21095</v>
      </c>
      <c r="AJ2039" t="s">
        <v>8182</v>
      </c>
      <c r="AK2039" t="s">
        <v>11141</v>
      </c>
      <c r="AL2039">
        <v>1.26</v>
      </c>
      <c r="AM2039">
        <v>0.65</v>
      </c>
      <c r="AN2039">
        <v>1.08</v>
      </c>
      <c r="AO2039" t="s">
        <v>10395</v>
      </c>
      <c r="AP2039" t="s">
        <v>10508</v>
      </c>
      <c r="AQ2039" t="s">
        <v>731</v>
      </c>
      <c r="AR2039" t="s">
        <v>4913</v>
      </c>
      <c r="AS2039" t="s">
        <v>3126</v>
      </c>
      <c r="AT2039" t="s">
        <v>10793</v>
      </c>
      <c r="AU2039" t="s">
        <v>2122</v>
      </c>
      <c r="AV2039" t="s">
        <v>21096</v>
      </c>
      <c r="AW2039" t="s">
        <v>15362</v>
      </c>
      <c r="AX2039" t="s">
        <v>10038</v>
      </c>
      <c r="AY2039" t="s">
        <v>15362</v>
      </c>
      <c r="AZ2039" t="s">
        <v>21097</v>
      </c>
      <c r="BA2039">
        <v>1</v>
      </c>
      <c r="BB2039">
        <v>742.91</v>
      </c>
      <c r="BC2039">
        <v>0.48</v>
      </c>
      <c r="BD2039">
        <v>109.59</v>
      </c>
      <c r="BE2039">
        <v>112.19</v>
      </c>
      <c r="BF2039">
        <v>106.75</v>
      </c>
      <c r="BG2039" t="s">
        <v>21098</v>
      </c>
      <c r="BH2039" t="s">
        <v>15362</v>
      </c>
      <c r="BI2039" t="s">
        <v>21099</v>
      </c>
      <c r="BJ2039" t="s">
        <v>101</v>
      </c>
      <c r="BK2039" t="s">
        <v>12904</v>
      </c>
      <c r="BL2039" t="s">
        <v>21100</v>
      </c>
      <c r="BM2039" t="s">
        <v>21101</v>
      </c>
      <c r="BN2039" t="s">
        <v>14623</v>
      </c>
    </row>
    <row r="2040" spans="1:66" x14ac:dyDescent="0.25">
      <c r="A2040" t="str">
        <f>HYPERLINK("https://elite.finviz.com/quote.ashx?t=VREX&amp;ty=c&amp;p=d&amp;b=1", "VREX")</f>
        <v>VREX</v>
      </c>
      <c r="B2040">
        <v>6</v>
      </c>
      <c r="C2040">
        <v>127.03</v>
      </c>
      <c r="D2040">
        <v>61.62</v>
      </c>
      <c r="E2040" t="s">
        <v>21102</v>
      </c>
      <c r="F2040" t="s">
        <v>67</v>
      </c>
      <c r="G2040" t="s">
        <v>428</v>
      </c>
      <c r="H2040" t="s">
        <v>2051</v>
      </c>
      <c r="I2040" t="s">
        <v>70</v>
      </c>
      <c r="J2040" t="s">
        <v>321</v>
      </c>
      <c r="K2040">
        <v>500.95</v>
      </c>
      <c r="L2040">
        <v>12.07</v>
      </c>
      <c r="M2040" t="s">
        <v>3761</v>
      </c>
      <c r="N2040">
        <v>48929</v>
      </c>
      <c r="P2040">
        <v>15.23</v>
      </c>
      <c r="R2040">
        <v>0.61</v>
      </c>
      <c r="S2040">
        <v>1.1000000000000001</v>
      </c>
      <c r="AA2040">
        <v>-3.24</v>
      </c>
      <c r="AD2040" t="s">
        <v>8005</v>
      </c>
      <c r="AE2040" t="s">
        <v>5153</v>
      </c>
      <c r="AF2040" t="s">
        <v>2003</v>
      </c>
      <c r="AG2040" t="s">
        <v>84</v>
      </c>
      <c r="AH2040" t="s">
        <v>7742</v>
      </c>
      <c r="AI2040" t="s">
        <v>21103</v>
      </c>
      <c r="AJ2040" t="s">
        <v>7413</v>
      </c>
      <c r="AK2040" t="s">
        <v>14045</v>
      </c>
      <c r="AL2040">
        <v>3.51</v>
      </c>
      <c r="AM2040">
        <v>1.82</v>
      </c>
      <c r="AN2040">
        <v>0.87</v>
      </c>
      <c r="AO2040" t="s">
        <v>1517</v>
      </c>
      <c r="AP2040" t="s">
        <v>1310</v>
      </c>
      <c r="AQ2040" t="s">
        <v>4894</v>
      </c>
      <c r="AR2040" t="s">
        <v>1932</v>
      </c>
      <c r="AS2040" t="s">
        <v>926</v>
      </c>
      <c r="AT2040" t="s">
        <v>7154</v>
      </c>
      <c r="AU2040" t="s">
        <v>8364</v>
      </c>
      <c r="AV2040" t="s">
        <v>2946</v>
      </c>
      <c r="AW2040" t="s">
        <v>331</v>
      </c>
      <c r="AX2040" t="s">
        <v>21104</v>
      </c>
      <c r="AY2040" t="s">
        <v>19614</v>
      </c>
      <c r="AZ2040" t="s">
        <v>21104</v>
      </c>
      <c r="BA2040">
        <v>1.4</v>
      </c>
      <c r="BB2040">
        <v>405.84</v>
      </c>
      <c r="BC2040">
        <v>0.42</v>
      </c>
      <c r="BD2040">
        <v>11.96</v>
      </c>
      <c r="BE2040">
        <v>12.07</v>
      </c>
      <c r="BF2040">
        <v>11.9</v>
      </c>
      <c r="BG2040" t="s">
        <v>21105</v>
      </c>
      <c r="BH2040" t="s">
        <v>21106</v>
      </c>
      <c r="BI2040" t="s">
        <v>21104</v>
      </c>
      <c r="BJ2040" t="s">
        <v>101</v>
      </c>
      <c r="BK2040" t="s">
        <v>16468</v>
      </c>
      <c r="BL2040" t="s">
        <v>7464</v>
      </c>
      <c r="BM2040" t="s">
        <v>2000</v>
      </c>
      <c r="BN2040" t="s">
        <v>14623</v>
      </c>
    </row>
    <row r="2041" spans="1:66" x14ac:dyDescent="0.25">
      <c r="A2041" t="str">
        <f>HYPERLINK("https://elite.finviz.com/quote.ashx?t=GNLX&amp;ty=c&amp;p=d&amp;b=1", "GNLX")</f>
        <v>GNLX</v>
      </c>
      <c r="B2041">
        <v>6</v>
      </c>
      <c r="C2041">
        <v>127.03</v>
      </c>
      <c r="D2041">
        <v>61.63</v>
      </c>
      <c r="E2041" t="s">
        <v>21107</v>
      </c>
      <c r="F2041" t="s">
        <v>107</v>
      </c>
      <c r="G2041" t="s">
        <v>428</v>
      </c>
      <c r="H2041" t="s">
        <v>429</v>
      </c>
      <c r="I2041" t="s">
        <v>70</v>
      </c>
      <c r="J2041" t="s">
        <v>321</v>
      </c>
      <c r="K2041">
        <v>158.46</v>
      </c>
      <c r="L2041">
        <v>4.2</v>
      </c>
      <c r="M2041" t="s">
        <v>1445</v>
      </c>
      <c r="N2041">
        <v>9905</v>
      </c>
      <c r="S2041">
        <v>6.55</v>
      </c>
      <c r="AA2041">
        <v>-0.86</v>
      </c>
      <c r="AB2041" t="s">
        <v>1828</v>
      </c>
      <c r="AC2041" t="s">
        <v>18084</v>
      </c>
      <c r="AD2041" t="s">
        <v>4697</v>
      </c>
      <c r="AE2041" t="s">
        <v>579</v>
      </c>
      <c r="AI2041" t="s">
        <v>2816</v>
      </c>
      <c r="AJ2041" t="s">
        <v>4273</v>
      </c>
      <c r="AK2041" t="s">
        <v>12410</v>
      </c>
      <c r="AL2041">
        <v>4.18</v>
      </c>
      <c r="AM2041">
        <v>4.18</v>
      </c>
      <c r="AN2041">
        <v>7.0000000000000007E-2</v>
      </c>
      <c r="AR2041" t="s">
        <v>578</v>
      </c>
      <c r="AS2041" t="s">
        <v>5999</v>
      </c>
      <c r="AT2041" t="s">
        <v>5308</v>
      </c>
      <c r="AU2041" t="s">
        <v>2912</v>
      </c>
      <c r="AV2041" t="s">
        <v>210</v>
      </c>
      <c r="AW2041" t="s">
        <v>4325</v>
      </c>
      <c r="AX2041" t="s">
        <v>21108</v>
      </c>
      <c r="AY2041" t="s">
        <v>21109</v>
      </c>
      <c r="AZ2041" t="s">
        <v>21110</v>
      </c>
      <c r="BA2041">
        <v>1</v>
      </c>
      <c r="BB2041">
        <v>133.85</v>
      </c>
      <c r="BC2041">
        <v>0.26</v>
      </c>
      <c r="BD2041">
        <v>4.21</v>
      </c>
      <c r="BE2041">
        <v>4.45</v>
      </c>
      <c r="BF2041">
        <v>4.16</v>
      </c>
      <c r="BG2041" t="s">
        <v>21111</v>
      </c>
      <c r="BH2041" t="s">
        <v>21112</v>
      </c>
      <c r="BI2041" t="s">
        <v>21113</v>
      </c>
      <c r="BJ2041" t="s">
        <v>101</v>
      </c>
      <c r="BK2041" t="s">
        <v>8557</v>
      </c>
      <c r="BL2041" t="s">
        <v>21108</v>
      </c>
      <c r="BM2041" t="s">
        <v>2140</v>
      </c>
      <c r="BN2041" t="s">
        <v>14623</v>
      </c>
    </row>
    <row r="2042" spans="1:66" x14ac:dyDescent="0.25">
      <c r="A2042" t="str">
        <f>HYPERLINK("https://elite.finviz.com/quote.ashx?t=FLYX&amp;ty=c&amp;p=d&amp;b=1", "FLYX")</f>
        <v>FLYX</v>
      </c>
      <c r="B2042">
        <v>6</v>
      </c>
      <c r="C2042">
        <v>127.03</v>
      </c>
      <c r="D2042">
        <v>61.67</v>
      </c>
      <c r="E2042" t="s">
        <v>21114</v>
      </c>
      <c r="F2042" t="s">
        <v>67</v>
      </c>
      <c r="G2042" t="s">
        <v>260</v>
      </c>
      <c r="H2042" t="s">
        <v>5362</v>
      </c>
      <c r="I2042" t="s">
        <v>70</v>
      </c>
      <c r="J2042" t="s">
        <v>383</v>
      </c>
      <c r="K2042">
        <v>398.25</v>
      </c>
      <c r="L2042">
        <v>4.97</v>
      </c>
      <c r="M2042" t="s">
        <v>4537</v>
      </c>
      <c r="N2042">
        <v>8763</v>
      </c>
      <c r="R2042">
        <v>1.1499999999999999</v>
      </c>
      <c r="AA2042">
        <v>-1.18</v>
      </c>
      <c r="AH2042" t="s">
        <v>6875</v>
      </c>
      <c r="AI2042" t="s">
        <v>15767</v>
      </c>
      <c r="AJ2042" t="s">
        <v>164</v>
      </c>
      <c r="AK2042" t="s">
        <v>484</v>
      </c>
      <c r="AL2042">
        <v>0.25</v>
      </c>
      <c r="AM2042">
        <v>0.22</v>
      </c>
      <c r="AO2042" t="s">
        <v>2884</v>
      </c>
      <c r="AP2042" t="s">
        <v>6924</v>
      </c>
      <c r="AQ2042" t="s">
        <v>4374</v>
      </c>
      <c r="AR2042" t="s">
        <v>2463</v>
      </c>
      <c r="AS2042" t="s">
        <v>2685</v>
      </c>
      <c r="AT2042" t="s">
        <v>1160</v>
      </c>
      <c r="AU2042" t="s">
        <v>21115</v>
      </c>
      <c r="AV2042" t="s">
        <v>5525</v>
      </c>
      <c r="AW2042" t="s">
        <v>5300</v>
      </c>
      <c r="AX2042" t="s">
        <v>21116</v>
      </c>
      <c r="AY2042" t="s">
        <v>5300</v>
      </c>
      <c r="AZ2042" t="s">
        <v>21117</v>
      </c>
      <c r="BA2042">
        <v>1</v>
      </c>
      <c r="BB2042">
        <v>34.83</v>
      </c>
      <c r="BC2042">
        <v>0.89</v>
      </c>
      <c r="BD2042">
        <v>5.07</v>
      </c>
      <c r="BE2042">
        <v>5.22</v>
      </c>
      <c r="BF2042">
        <v>4.8499999999999996</v>
      </c>
      <c r="BG2042" t="s">
        <v>21118</v>
      </c>
      <c r="BH2042" t="s">
        <v>21119</v>
      </c>
      <c r="BI2042" t="s">
        <v>21117</v>
      </c>
      <c r="BJ2042" t="s">
        <v>101</v>
      </c>
      <c r="BK2042" t="s">
        <v>21120</v>
      </c>
      <c r="BL2042" t="s">
        <v>21121</v>
      </c>
      <c r="BM2042" t="s">
        <v>21122</v>
      </c>
      <c r="BN2042" t="s">
        <v>14623</v>
      </c>
    </row>
    <row r="2043" spans="1:66" x14ac:dyDescent="0.25">
      <c r="A2043" t="str">
        <f>HYPERLINK("https://elite.finviz.com/quote.ashx?t=CPSH&amp;ty=c&amp;p=d&amp;b=1", "CPSH")</f>
        <v>CPSH</v>
      </c>
      <c r="B2043">
        <v>6</v>
      </c>
      <c r="C2043">
        <v>127.03</v>
      </c>
      <c r="D2043">
        <v>61.68</v>
      </c>
      <c r="E2043" t="s">
        <v>21123</v>
      </c>
      <c r="F2043" t="s">
        <v>107</v>
      </c>
      <c r="G2043" t="s">
        <v>108</v>
      </c>
      <c r="H2043" t="s">
        <v>3346</v>
      </c>
      <c r="I2043" t="s">
        <v>70</v>
      </c>
      <c r="J2043" t="s">
        <v>321</v>
      </c>
      <c r="K2043">
        <v>55.56</v>
      </c>
      <c r="L2043">
        <v>3.83</v>
      </c>
      <c r="M2043" t="s">
        <v>1866</v>
      </c>
      <c r="N2043">
        <v>41170</v>
      </c>
      <c r="R2043">
        <v>2.16</v>
      </c>
      <c r="S2043">
        <v>3.73</v>
      </c>
      <c r="AA2043">
        <v>-0.13</v>
      </c>
      <c r="AC2043" t="s">
        <v>9065</v>
      </c>
      <c r="AE2043" t="s">
        <v>8808</v>
      </c>
      <c r="AF2043" t="s">
        <v>3559</v>
      </c>
      <c r="AG2043" t="s">
        <v>386</v>
      </c>
      <c r="AH2043" t="s">
        <v>21124</v>
      </c>
      <c r="AJ2043" t="s">
        <v>2362</v>
      </c>
      <c r="AK2043" t="s">
        <v>1065</v>
      </c>
      <c r="AL2043">
        <v>3.34</v>
      </c>
      <c r="AM2043">
        <v>2.17</v>
      </c>
      <c r="AN2043">
        <v>0.01</v>
      </c>
      <c r="AO2043" t="s">
        <v>2150</v>
      </c>
      <c r="AP2043" t="s">
        <v>5640</v>
      </c>
      <c r="AQ2043" t="s">
        <v>1153</v>
      </c>
      <c r="AR2043" t="s">
        <v>2471</v>
      </c>
      <c r="AS2043" t="s">
        <v>2407</v>
      </c>
      <c r="AT2043" t="s">
        <v>3648</v>
      </c>
      <c r="AU2043" t="s">
        <v>2008</v>
      </c>
      <c r="AV2043" t="s">
        <v>13223</v>
      </c>
      <c r="AW2043" t="s">
        <v>2754</v>
      </c>
      <c r="AX2043" t="s">
        <v>21125</v>
      </c>
      <c r="AY2043" t="s">
        <v>2754</v>
      </c>
      <c r="AZ2043" t="s">
        <v>21126</v>
      </c>
      <c r="BB2043">
        <v>156.69999999999999</v>
      </c>
      <c r="BC2043">
        <v>0.93</v>
      </c>
      <c r="BD2043">
        <v>3.9</v>
      </c>
      <c r="BE2043">
        <v>3.98</v>
      </c>
      <c r="BF2043">
        <v>3.72</v>
      </c>
      <c r="BG2043" t="s">
        <v>21127</v>
      </c>
      <c r="BH2043" t="s">
        <v>21128</v>
      </c>
      <c r="BI2043" t="s">
        <v>2503</v>
      </c>
      <c r="BJ2043" t="s">
        <v>101</v>
      </c>
      <c r="BK2043" t="s">
        <v>11160</v>
      </c>
      <c r="BL2043" t="s">
        <v>21129</v>
      </c>
      <c r="BM2043" t="s">
        <v>21130</v>
      </c>
      <c r="BN2043" t="s">
        <v>14623</v>
      </c>
    </row>
    <row r="2044" spans="1:66" x14ac:dyDescent="0.25">
      <c r="A2044" t="str">
        <f>HYPERLINK("https://elite.finviz.com/quote.ashx?t=AIZ&amp;ty=c&amp;p=d&amp;b=1", "AIZ")</f>
        <v>AIZ</v>
      </c>
      <c r="B2044">
        <v>6</v>
      </c>
      <c r="C2044">
        <v>127.03</v>
      </c>
      <c r="D2044">
        <v>61.69</v>
      </c>
      <c r="E2044" t="s">
        <v>21131</v>
      </c>
      <c r="F2044" t="s">
        <v>195</v>
      </c>
      <c r="G2044" t="s">
        <v>550</v>
      </c>
      <c r="H2044" t="s">
        <v>4407</v>
      </c>
      <c r="I2044" t="s">
        <v>70</v>
      </c>
      <c r="J2044" t="s">
        <v>71</v>
      </c>
      <c r="K2044">
        <v>10947.53</v>
      </c>
      <c r="L2044">
        <v>216.96</v>
      </c>
      <c r="M2044" t="s">
        <v>3112</v>
      </c>
      <c r="N2044">
        <v>40477</v>
      </c>
      <c r="O2044">
        <v>15.71</v>
      </c>
      <c r="P2044">
        <v>10.74</v>
      </c>
      <c r="Q2044">
        <v>1.62</v>
      </c>
      <c r="R2044">
        <v>0.89</v>
      </c>
      <c r="S2044">
        <v>1.99</v>
      </c>
      <c r="T2044" t="s">
        <v>5610</v>
      </c>
      <c r="U2044">
        <v>3.2</v>
      </c>
      <c r="V2044" t="s">
        <v>2187</v>
      </c>
      <c r="W2044" t="s">
        <v>4678</v>
      </c>
      <c r="X2044" t="s">
        <v>3613</v>
      </c>
      <c r="Y2044" t="s">
        <v>289</v>
      </c>
      <c r="Z2044" t="s">
        <v>17487</v>
      </c>
      <c r="AA2044">
        <v>13.81</v>
      </c>
      <c r="AB2044" t="s">
        <v>6238</v>
      </c>
      <c r="AC2044" t="s">
        <v>2907</v>
      </c>
      <c r="AD2044" t="s">
        <v>236</v>
      </c>
      <c r="AE2044" t="s">
        <v>4742</v>
      </c>
      <c r="AF2044" t="s">
        <v>3958</v>
      </c>
      <c r="AG2044" t="s">
        <v>2522</v>
      </c>
      <c r="AH2044" t="s">
        <v>10425</v>
      </c>
      <c r="AI2044" t="s">
        <v>8181</v>
      </c>
      <c r="AJ2044" t="s">
        <v>2673</v>
      </c>
      <c r="AK2044" t="s">
        <v>6724</v>
      </c>
      <c r="AL2044">
        <v>2.2999999999999998</v>
      </c>
      <c r="AN2044">
        <v>0.38</v>
      </c>
      <c r="AP2044" t="s">
        <v>7854</v>
      </c>
      <c r="AQ2044" t="s">
        <v>2581</v>
      </c>
      <c r="AR2044" t="s">
        <v>2175</v>
      </c>
      <c r="AS2044" t="s">
        <v>3757</v>
      </c>
      <c r="AT2044" t="s">
        <v>2808</v>
      </c>
      <c r="AU2044" t="s">
        <v>3496</v>
      </c>
      <c r="AV2044" t="s">
        <v>521</v>
      </c>
      <c r="AW2044" t="s">
        <v>3172</v>
      </c>
      <c r="AX2044" t="s">
        <v>10775</v>
      </c>
      <c r="AY2044" t="s">
        <v>1200</v>
      </c>
      <c r="AZ2044" t="s">
        <v>1368</v>
      </c>
      <c r="BA2044">
        <v>1.7</v>
      </c>
      <c r="BB2044">
        <v>406.58</v>
      </c>
      <c r="BC2044">
        <v>0.35</v>
      </c>
      <c r="BD2044">
        <v>216</v>
      </c>
      <c r="BE2044">
        <v>218.7</v>
      </c>
      <c r="BF2044">
        <v>215.79</v>
      </c>
      <c r="BG2044" t="s">
        <v>21132</v>
      </c>
      <c r="BH2044" t="s">
        <v>1200</v>
      </c>
      <c r="BI2044" t="s">
        <v>21133</v>
      </c>
      <c r="BJ2044" t="s">
        <v>101</v>
      </c>
      <c r="BK2044" t="s">
        <v>14933</v>
      </c>
      <c r="BL2044" t="s">
        <v>248</v>
      </c>
      <c r="BM2044" t="s">
        <v>1064</v>
      </c>
      <c r="BN2044" t="s">
        <v>14623</v>
      </c>
    </row>
    <row r="2045" spans="1:66" x14ac:dyDescent="0.25">
      <c r="A2045" t="str">
        <f>HYPERLINK("https://elite.finviz.com/quote.ashx?t=BH&amp;ty=c&amp;p=d&amp;b=1", "BH")</f>
        <v>BH</v>
      </c>
      <c r="B2045">
        <v>6</v>
      </c>
      <c r="C2045">
        <v>127.03</v>
      </c>
      <c r="D2045">
        <v>61.73</v>
      </c>
      <c r="E2045" t="s">
        <v>21134</v>
      </c>
      <c r="F2045" t="s">
        <v>67</v>
      </c>
      <c r="G2045" t="s">
        <v>813</v>
      </c>
      <c r="H2045" t="s">
        <v>2285</v>
      </c>
      <c r="I2045" t="s">
        <v>70</v>
      </c>
      <c r="J2045" t="s">
        <v>71</v>
      </c>
      <c r="K2045">
        <v>992.1</v>
      </c>
      <c r="L2045">
        <v>323.18</v>
      </c>
      <c r="M2045" t="s">
        <v>4865</v>
      </c>
      <c r="N2045">
        <v>2425</v>
      </c>
      <c r="O2045">
        <v>25.38</v>
      </c>
      <c r="R2045">
        <v>2.63</v>
      </c>
      <c r="S2045">
        <v>1.7</v>
      </c>
      <c r="AA2045">
        <v>12.73</v>
      </c>
      <c r="AE2045" t="s">
        <v>2484</v>
      </c>
      <c r="AF2045" t="s">
        <v>1445</v>
      </c>
      <c r="AG2045" t="s">
        <v>1450</v>
      </c>
      <c r="AH2045" t="s">
        <v>702</v>
      </c>
      <c r="AJ2045" t="s">
        <v>164</v>
      </c>
      <c r="AK2045" t="s">
        <v>21135</v>
      </c>
      <c r="AL2045">
        <v>1.38</v>
      </c>
      <c r="AM2045">
        <v>1.35</v>
      </c>
      <c r="AN2045">
        <v>0.21</v>
      </c>
      <c r="AO2045" t="s">
        <v>10599</v>
      </c>
      <c r="AP2045" t="s">
        <v>3887</v>
      </c>
      <c r="AQ2045" t="s">
        <v>3368</v>
      </c>
      <c r="AR2045" t="s">
        <v>2735</v>
      </c>
      <c r="AS2045" t="s">
        <v>4204</v>
      </c>
      <c r="AT2045" t="s">
        <v>2736</v>
      </c>
      <c r="AU2045" t="s">
        <v>4172</v>
      </c>
      <c r="AV2045" t="s">
        <v>3969</v>
      </c>
      <c r="AW2045" t="s">
        <v>7039</v>
      </c>
      <c r="AX2045" t="s">
        <v>8364</v>
      </c>
      <c r="AY2045" t="s">
        <v>7039</v>
      </c>
      <c r="AZ2045" t="s">
        <v>21136</v>
      </c>
      <c r="BA2045">
        <v>3</v>
      </c>
      <c r="BB2045">
        <v>20.87</v>
      </c>
      <c r="BC2045">
        <v>0.41</v>
      </c>
      <c r="BD2045">
        <v>320.89999999999998</v>
      </c>
      <c r="BE2045">
        <v>326.02</v>
      </c>
      <c r="BF2045">
        <v>318.35000000000002</v>
      </c>
      <c r="BG2045" t="s">
        <v>21137</v>
      </c>
      <c r="BH2045" t="s">
        <v>7039</v>
      </c>
      <c r="BI2045" t="s">
        <v>21138</v>
      </c>
      <c r="BJ2045" t="s">
        <v>101</v>
      </c>
      <c r="BK2045" t="s">
        <v>537</v>
      </c>
      <c r="BL2045" t="s">
        <v>21139</v>
      </c>
      <c r="BM2045" t="s">
        <v>4883</v>
      </c>
      <c r="BN2045" t="s">
        <v>14623</v>
      </c>
    </row>
    <row r="2046" spans="1:66" x14ac:dyDescent="0.25">
      <c r="A2046" t="str">
        <f>HYPERLINK("https://elite.finviz.com/quote.ashx?t=JACS&amp;ty=c&amp;p=d&amp;b=1", "JACS")</f>
        <v>JACS</v>
      </c>
      <c r="B2046">
        <v>6</v>
      </c>
      <c r="C2046">
        <v>127.03</v>
      </c>
      <c r="D2046">
        <v>61.74</v>
      </c>
      <c r="E2046" t="s">
        <v>21140</v>
      </c>
      <c r="F2046" t="s">
        <v>107</v>
      </c>
      <c r="G2046" t="s">
        <v>550</v>
      </c>
      <c r="H2046" t="s">
        <v>2120</v>
      </c>
      <c r="I2046" t="s">
        <v>70</v>
      </c>
      <c r="J2046" t="s">
        <v>71</v>
      </c>
      <c r="K2046">
        <v>269.02999999999997</v>
      </c>
      <c r="L2046">
        <v>10.39</v>
      </c>
      <c r="M2046" t="s">
        <v>164</v>
      </c>
      <c r="N2046">
        <v>0</v>
      </c>
      <c r="O2046">
        <v>62.43</v>
      </c>
      <c r="S2046">
        <v>676.75</v>
      </c>
      <c r="AA2046">
        <v>0.17</v>
      </c>
      <c r="AJ2046" t="s">
        <v>164</v>
      </c>
      <c r="AK2046" t="s">
        <v>15997</v>
      </c>
      <c r="AL2046">
        <v>1.94</v>
      </c>
      <c r="AM2046">
        <v>1.94</v>
      </c>
      <c r="AN2046">
        <v>0.44</v>
      </c>
      <c r="AR2046" t="s">
        <v>4507</v>
      </c>
      <c r="AS2046" t="s">
        <v>2560</v>
      </c>
      <c r="AT2046" t="s">
        <v>4271</v>
      </c>
      <c r="AU2046" t="s">
        <v>3871</v>
      </c>
      <c r="AV2046" t="s">
        <v>2421</v>
      </c>
      <c r="AW2046" t="s">
        <v>3752</v>
      </c>
      <c r="AX2046" t="s">
        <v>6104</v>
      </c>
      <c r="AY2046" t="s">
        <v>1998</v>
      </c>
      <c r="AZ2046" t="s">
        <v>4052</v>
      </c>
      <c r="BB2046">
        <v>72.2</v>
      </c>
      <c r="BC2046">
        <v>0</v>
      </c>
      <c r="BD2046">
        <v>10.39</v>
      </c>
      <c r="BE2046">
        <v>10.39</v>
      </c>
      <c r="BF2046">
        <v>10.39</v>
      </c>
      <c r="BG2046" t="s">
        <v>21141</v>
      </c>
      <c r="BH2046" t="s">
        <v>1998</v>
      </c>
      <c r="BI2046" t="s">
        <v>4052</v>
      </c>
      <c r="BJ2046" t="s">
        <v>101</v>
      </c>
      <c r="BK2046" t="s">
        <v>3925</v>
      </c>
      <c r="BL2046" t="s">
        <v>5111</v>
      </c>
      <c r="BN2046" t="s">
        <v>14623</v>
      </c>
    </row>
    <row r="2047" spans="1:66" x14ac:dyDescent="0.25">
      <c r="A2047" t="str">
        <f>HYPERLINK("https://elite.finviz.com/quote.ashx?t=WK&amp;ty=c&amp;p=d&amp;b=1", "WK")</f>
        <v>WK</v>
      </c>
      <c r="B2047">
        <v>6</v>
      </c>
      <c r="C2047">
        <v>127.03</v>
      </c>
      <c r="D2047">
        <v>61.76</v>
      </c>
      <c r="E2047" t="s">
        <v>21142</v>
      </c>
      <c r="F2047" t="s">
        <v>67</v>
      </c>
      <c r="G2047" t="s">
        <v>108</v>
      </c>
      <c r="H2047" t="s">
        <v>136</v>
      </c>
      <c r="I2047" t="s">
        <v>70</v>
      </c>
      <c r="J2047" t="s">
        <v>71</v>
      </c>
      <c r="K2047">
        <v>4704.18</v>
      </c>
      <c r="L2047">
        <v>83.98</v>
      </c>
      <c r="M2047" t="s">
        <v>2641</v>
      </c>
      <c r="N2047">
        <v>133352</v>
      </c>
      <c r="P2047">
        <v>42.93</v>
      </c>
      <c r="R2047">
        <v>5.83</v>
      </c>
      <c r="AA2047">
        <v>-1.19</v>
      </c>
      <c r="AB2047" t="s">
        <v>4887</v>
      </c>
      <c r="AC2047" t="s">
        <v>306</v>
      </c>
      <c r="AD2047" t="s">
        <v>8085</v>
      </c>
      <c r="AE2047" t="s">
        <v>14050</v>
      </c>
      <c r="AF2047" t="s">
        <v>731</v>
      </c>
      <c r="AG2047" t="s">
        <v>2040</v>
      </c>
      <c r="AH2047" t="s">
        <v>11501</v>
      </c>
      <c r="AI2047" t="s">
        <v>21143</v>
      </c>
      <c r="AJ2047" t="s">
        <v>2717</v>
      </c>
      <c r="AK2047" t="s">
        <v>21144</v>
      </c>
      <c r="AL2047">
        <v>1.46</v>
      </c>
      <c r="AM2047">
        <v>1.46</v>
      </c>
      <c r="AO2047" t="s">
        <v>19523</v>
      </c>
      <c r="AP2047" t="s">
        <v>3048</v>
      </c>
      <c r="AQ2047" t="s">
        <v>9741</v>
      </c>
      <c r="AR2047" t="s">
        <v>5779</v>
      </c>
      <c r="AS2047" t="s">
        <v>4499</v>
      </c>
      <c r="AT2047" t="s">
        <v>197</v>
      </c>
      <c r="AU2047" t="s">
        <v>8441</v>
      </c>
      <c r="AV2047" t="s">
        <v>2543</v>
      </c>
      <c r="AW2047" t="s">
        <v>3559</v>
      </c>
      <c r="AX2047" t="s">
        <v>244</v>
      </c>
      <c r="AY2047" t="s">
        <v>21145</v>
      </c>
      <c r="AZ2047" t="s">
        <v>7328</v>
      </c>
      <c r="BA2047">
        <v>1.18</v>
      </c>
      <c r="BB2047">
        <v>761.65</v>
      </c>
      <c r="BC2047">
        <v>0.62</v>
      </c>
      <c r="BD2047">
        <v>83.73</v>
      </c>
      <c r="BE2047">
        <v>84.74</v>
      </c>
      <c r="BF2047">
        <v>83.75</v>
      </c>
      <c r="BG2047" t="s">
        <v>21146</v>
      </c>
      <c r="BH2047" t="s">
        <v>21147</v>
      </c>
      <c r="BI2047" t="s">
        <v>21148</v>
      </c>
      <c r="BJ2047" t="s">
        <v>101</v>
      </c>
      <c r="BK2047" t="s">
        <v>6970</v>
      </c>
      <c r="BL2047" t="s">
        <v>3244</v>
      </c>
      <c r="BM2047" t="s">
        <v>3507</v>
      </c>
      <c r="BN2047" t="s">
        <v>14623</v>
      </c>
    </row>
    <row r="2048" spans="1:66" x14ac:dyDescent="0.25">
      <c r="A2048" t="str">
        <f>HYPERLINK("https://elite.finviz.com/quote.ashx?t=CBOE&amp;ty=c&amp;p=d&amp;b=1", "CBOE")</f>
        <v>CBOE</v>
      </c>
      <c r="B2048">
        <v>6</v>
      </c>
      <c r="C2048">
        <v>127.03</v>
      </c>
      <c r="D2048">
        <v>61.78</v>
      </c>
      <c r="E2048" t="s">
        <v>21149</v>
      </c>
      <c r="F2048" t="s">
        <v>195</v>
      </c>
      <c r="G2048" t="s">
        <v>550</v>
      </c>
      <c r="H2048" t="s">
        <v>16129</v>
      </c>
      <c r="I2048" t="s">
        <v>70</v>
      </c>
      <c r="J2048" t="s">
        <v>21150</v>
      </c>
      <c r="K2048">
        <v>25727.39</v>
      </c>
      <c r="L2048">
        <v>245.98</v>
      </c>
      <c r="M2048" t="s">
        <v>969</v>
      </c>
      <c r="N2048">
        <v>106118</v>
      </c>
      <c r="O2048">
        <v>28.84</v>
      </c>
      <c r="P2048">
        <v>23.97</v>
      </c>
      <c r="Q2048">
        <v>3.36</v>
      </c>
      <c r="R2048">
        <v>5.68</v>
      </c>
      <c r="S2048">
        <v>5.51</v>
      </c>
      <c r="T2048" t="s">
        <v>344</v>
      </c>
      <c r="U2048">
        <v>2.61</v>
      </c>
      <c r="V2048" t="s">
        <v>4882</v>
      </c>
      <c r="W2048" t="s">
        <v>511</v>
      </c>
      <c r="X2048" t="s">
        <v>5308</v>
      </c>
      <c r="Y2048" t="s">
        <v>2911</v>
      </c>
      <c r="Z2048" t="s">
        <v>7816</v>
      </c>
      <c r="AA2048">
        <v>8.5299999999999994</v>
      </c>
      <c r="AB2048" t="s">
        <v>95</v>
      </c>
      <c r="AC2048" t="s">
        <v>8697</v>
      </c>
      <c r="AD2048" t="s">
        <v>6607</v>
      </c>
      <c r="AE2048" t="s">
        <v>4599</v>
      </c>
      <c r="AF2048" t="s">
        <v>6956</v>
      </c>
      <c r="AG2048" t="s">
        <v>702</v>
      </c>
      <c r="AH2048" t="s">
        <v>9884</v>
      </c>
      <c r="AI2048" t="s">
        <v>4759</v>
      </c>
      <c r="AJ2048" t="s">
        <v>11567</v>
      </c>
      <c r="AK2048" t="s">
        <v>1618</v>
      </c>
      <c r="AL2048">
        <v>1.57</v>
      </c>
      <c r="AM2048">
        <v>1.57</v>
      </c>
      <c r="AN2048">
        <v>0.34</v>
      </c>
      <c r="AO2048" t="s">
        <v>21151</v>
      </c>
      <c r="AP2048" t="s">
        <v>9877</v>
      </c>
      <c r="AQ2048" t="s">
        <v>11602</v>
      </c>
      <c r="AR2048" t="s">
        <v>3544</v>
      </c>
      <c r="AS2048" t="s">
        <v>3118</v>
      </c>
      <c r="AT2048" t="s">
        <v>2484</v>
      </c>
      <c r="AU2048" t="s">
        <v>2424</v>
      </c>
      <c r="AV2048" t="s">
        <v>3759</v>
      </c>
      <c r="AW2048" t="s">
        <v>4439</v>
      </c>
      <c r="AX2048" t="s">
        <v>2150</v>
      </c>
      <c r="AY2048" t="s">
        <v>4439</v>
      </c>
      <c r="AZ2048" t="s">
        <v>4279</v>
      </c>
      <c r="BA2048">
        <v>2.95</v>
      </c>
      <c r="BB2048">
        <v>886.97</v>
      </c>
      <c r="BC2048">
        <v>0.42</v>
      </c>
      <c r="BD2048">
        <v>243.99</v>
      </c>
      <c r="BE2048">
        <v>246.39</v>
      </c>
      <c r="BF2048">
        <v>244.49</v>
      </c>
      <c r="BG2048" t="s">
        <v>21152</v>
      </c>
      <c r="BH2048" t="s">
        <v>4439</v>
      </c>
      <c r="BI2048" t="s">
        <v>21153</v>
      </c>
      <c r="BJ2048" t="s">
        <v>101</v>
      </c>
      <c r="BK2048" t="s">
        <v>699</v>
      </c>
      <c r="BL2048" t="s">
        <v>5010</v>
      </c>
      <c r="BM2048" t="s">
        <v>1284</v>
      </c>
      <c r="BN2048" t="s">
        <v>14623</v>
      </c>
    </row>
    <row r="2049" spans="1:66" x14ac:dyDescent="0.25">
      <c r="A2049" t="str">
        <f>HYPERLINK("https://elite.finviz.com/quote.ashx?t=ACIW&amp;ty=c&amp;p=d&amp;b=1", "ACIW")</f>
        <v>ACIW</v>
      </c>
      <c r="B2049">
        <v>6</v>
      </c>
      <c r="C2049">
        <v>127.03</v>
      </c>
      <c r="D2049">
        <v>61.79</v>
      </c>
      <c r="E2049" t="s">
        <v>21154</v>
      </c>
      <c r="F2049" t="s">
        <v>67</v>
      </c>
      <c r="G2049" t="s">
        <v>108</v>
      </c>
      <c r="H2049" t="s">
        <v>109</v>
      </c>
      <c r="I2049" t="s">
        <v>70</v>
      </c>
      <c r="J2049" t="s">
        <v>321</v>
      </c>
      <c r="K2049">
        <v>5341.22</v>
      </c>
      <c r="L2049">
        <v>51.76</v>
      </c>
      <c r="M2049" t="s">
        <v>2757</v>
      </c>
      <c r="N2049">
        <v>68133</v>
      </c>
      <c r="O2049">
        <v>21.91</v>
      </c>
      <c r="P2049">
        <v>20.260000000000002</v>
      </c>
      <c r="Q2049">
        <v>1.88</v>
      </c>
      <c r="R2049">
        <v>3.14</v>
      </c>
      <c r="S2049">
        <v>3.84</v>
      </c>
      <c r="Z2049" t="s">
        <v>164</v>
      </c>
      <c r="AA2049">
        <v>2.36</v>
      </c>
      <c r="AB2049" t="s">
        <v>16077</v>
      </c>
      <c r="AC2049" t="s">
        <v>17189</v>
      </c>
      <c r="AD2049" t="s">
        <v>5010</v>
      </c>
      <c r="AE2049" t="s">
        <v>2740</v>
      </c>
      <c r="AF2049" t="s">
        <v>4393</v>
      </c>
      <c r="AG2049" t="s">
        <v>4872</v>
      </c>
      <c r="AH2049" t="s">
        <v>3746</v>
      </c>
      <c r="AI2049" t="s">
        <v>1887</v>
      </c>
      <c r="AJ2049" t="s">
        <v>7346</v>
      </c>
      <c r="AK2049" t="s">
        <v>21155</v>
      </c>
      <c r="AL2049">
        <v>1.48</v>
      </c>
      <c r="AM2049">
        <v>1.48</v>
      </c>
      <c r="AN2049">
        <v>0.68</v>
      </c>
      <c r="AO2049" t="s">
        <v>17089</v>
      </c>
      <c r="AP2049" t="s">
        <v>11840</v>
      </c>
      <c r="AQ2049" t="s">
        <v>800</v>
      </c>
      <c r="AR2049" t="s">
        <v>3173</v>
      </c>
      <c r="AS2049" t="s">
        <v>4839</v>
      </c>
      <c r="AT2049" t="s">
        <v>8016</v>
      </c>
      <c r="AU2049" t="s">
        <v>716</v>
      </c>
      <c r="AV2049" t="s">
        <v>4093</v>
      </c>
      <c r="AW2049" t="s">
        <v>6058</v>
      </c>
      <c r="AX2049" t="s">
        <v>11424</v>
      </c>
      <c r="AY2049" t="s">
        <v>3261</v>
      </c>
      <c r="AZ2049" t="s">
        <v>11424</v>
      </c>
      <c r="BA2049">
        <v>1.43</v>
      </c>
      <c r="BB2049">
        <v>872.55</v>
      </c>
      <c r="BC2049">
        <v>0.28000000000000003</v>
      </c>
      <c r="BD2049">
        <v>51.71</v>
      </c>
      <c r="BE2049">
        <v>51.87</v>
      </c>
      <c r="BF2049">
        <v>51.3</v>
      </c>
      <c r="BG2049" t="s">
        <v>21156</v>
      </c>
      <c r="BH2049" t="s">
        <v>3261</v>
      </c>
      <c r="BI2049" t="s">
        <v>21157</v>
      </c>
      <c r="BJ2049" t="s">
        <v>101</v>
      </c>
      <c r="BK2049" t="s">
        <v>5798</v>
      </c>
      <c r="BL2049" t="s">
        <v>6775</v>
      </c>
      <c r="BM2049" t="s">
        <v>3500</v>
      </c>
      <c r="BN2049" t="s">
        <v>14623</v>
      </c>
    </row>
    <row r="2050" spans="1:66" x14ac:dyDescent="0.25">
      <c r="A2050" t="str">
        <f>HYPERLINK("https://elite.finviz.com/quote.ashx?t=HURN&amp;ty=c&amp;p=d&amp;b=1", "HURN")</f>
        <v>HURN</v>
      </c>
      <c r="B2050">
        <v>6</v>
      </c>
      <c r="C2050">
        <v>127.03</v>
      </c>
      <c r="D2050">
        <v>61.81</v>
      </c>
      <c r="E2050" t="s">
        <v>21158</v>
      </c>
      <c r="F2050" t="s">
        <v>67</v>
      </c>
      <c r="G2050" t="s">
        <v>260</v>
      </c>
      <c r="H2050" t="s">
        <v>2879</v>
      </c>
      <c r="I2050" t="s">
        <v>70</v>
      </c>
      <c r="J2050" t="s">
        <v>321</v>
      </c>
      <c r="K2050">
        <v>2513.7399999999998</v>
      </c>
      <c r="L2050">
        <v>145.24</v>
      </c>
      <c r="M2050" t="s">
        <v>2217</v>
      </c>
      <c r="N2050">
        <v>20765</v>
      </c>
      <c r="O2050">
        <v>25.36</v>
      </c>
      <c r="P2050">
        <v>16.91</v>
      </c>
      <c r="R2050">
        <v>1.58</v>
      </c>
      <c r="S2050">
        <v>5.29</v>
      </c>
      <c r="Z2050" t="s">
        <v>164</v>
      </c>
      <c r="AA2050">
        <v>5.73</v>
      </c>
      <c r="AB2050" t="s">
        <v>4609</v>
      </c>
      <c r="AC2050" t="s">
        <v>3685</v>
      </c>
      <c r="AE2050" t="s">
        <v>1133</v>
      </c>
      <c r="AF2050" t="s">
        <v>4855</v>
      </c>
      <c r="AG2050" t="s">
        <v>9515</v>
      </c>
      <c r="AH2050" t="s">
        <v>2407</v>
      </c>
      <c r="AI2050" t="s">
        <v>896</v>
      </c>
      <c r="AJ2050" t="s">
        <v>5301</v>
      </c>
      <c r="AK2050" t="s">
        <v>5015</v>
      </c>
      <c r="AL2050">
        <v>1.99</v>
      </c>
      <c r="AM2050">
        <v>1.99</v>
      </c>
      <c r="AN2050">
        <v>1.46</v>
      </c>
      <c r="AO2050" t="s">
        <v>6996</v>
      </c>
      <c r="AP2050" t="s">
        <v>6923</v>
      </c>
      <c r="AQ2050" t="s">
        <v>1254</v>
      </c>
      <c r="AR2050" t="s">
        <v>5420</v>
      </c>
      <c r="AS2050" t="s">
        <v>248</v>
      </c>
      <c r="AT2050" t="s">
        <v>5425</v>
      </c>
      <c r="AU2050" t="s">
        <v>8593</v>
      </c>
      <c r="AV2050" t="s">
        <v>6008</v>
      </c>
      <c r="AW2050" t="s">
        <v>3831</v>
      </c>
      <c r="AX2050" t="s">
        <v>12584</v>
      </c>
      <c r="AY2050" t="s">
        <v>5488</v>
      </c>
      <c r="AZ2050" t="s">
        <v>21159</v>
      </c>
      <c r="BA2050">
        <v>1</v>
      </c>
      <c r="BB2050">
        <v>180.11</v>
      </c>
      <c r="BC2050">
        <v>0.41</v>
      </c>
      <c r="BD2050">
        <v>142.85</v>
      </c>
      <c r="BE2050">
        <v>145</v>
      </c>
      <c r="BF2050">
        <v>142.72999999999999</v>
      </c>
      <c r="BG2050" t="s">
        <v>21160</v>
      </c>
      <c r="BH2050" t="s">
        <v>5488</v>
      </c>
      <c r="BI2050" t="s">
        <v>21161</v>
      </c>
      <c r="BJ2050" t="s">
        <v>101</v>
      </c>
      <c r="BK2050" t="s">
        <v>578</v>
      </c>
      <c r="BL2050" t="s">
        <v>1952</v>
      </c>
      <c r="BM2050" t="s">
        <v>13782</v>
      </c>
      <c r="BN2050" t="s">
        <v>14623</v>
      </c>
    </row>
    <row r="2051" spans="1:66" x14ac:dyDescent="0.25">
      <c r="A2051" t="str">
        <f>HYPERLINK("https://elite.finviz.com/quote.ashx?t=LEE&amp;ty=c&amp;p=d&amp;b=1", "LEE")</f>
        <v>LEE</v>
      </c>
      <c r="B2051">
        <v>6</v>
      </c>
      <c r="C2051">
        <v>127.03</v>
      </c>
      <c r="D2051">
        <v>61.83</v>
      </c>
      <c r="E2051" t="s">
        <v>21162</v>
      </c>
      <c r="F2051" t="s">
        <v>107</v>
      </c>
      <c r="G2051" t="s">
        <v>598</v>
      </c>
      <c r="H2051" t="s">
        <v>5379</v>
      </c>
      <c r="I2051" t="s">
        <v>70</v>
      </c>
      <c r="J2051" t="s">
        <v>321</v>
      </c>
      <c r="K2051">
        <v>35.32</v>
      </c>
      <c r="L2051">
        <v>5.64</v>
      </c>
      <c r="M2051" t="s">
        <v>2361</v>
      </c>
      <c r="N2051">
        <v>11403</v>
      </c>
      <c r="R2051">
        <v>0.06</v>
      </c>
      <c r="V2051" t="s">
        <v>21163</v>
      </c>
      <c r="AA2051">
        <v>-6.82</v>
      </c>
      <c r="AE2051" t="s">
        <v>4234</v>
      </c>
      <c r="AF2051" t="s">
        <v>1219</v>
      </c>
      <c r="AG2051" t="s">
        <v>4765</v>
      </c>
      <c r="AH2051" t="s">
        <v>6741</v>
      </c>
      <c r="AJ2051" t="s">
        <v>164</v>
      </c>
      <c r="AK2051" t="s">
        <v>16380</v>
      </c>
      <c r="AL2051">
        <v>0.82</v>
      </c>
      <c r="AM2051">
        <v>0.78</v>
      </c>
      <c r="AO2051" t="s">
        <v>21164</v>
      </c>
      <c r="AP2051" t="s">
        <v>3035</v>
      </c>
      <c r="AQ2051" t="s">
        <v>440</v>
      </c>
      <c r="AR2051" t="s">
        <v>8155</v>
      </c>
      <c r="AS2051" t="s">
        <v>10273</v>
      </c>
      <c r="AT2051" t="s">
        <v>3374</v>
      </c>
      <c r="AU2051" t="s">
        <v>6694</v>
      </c>
      <c r="AV2051" t="s">
        <v>96</v>
      </c>
      <c r="AW2051" t="s">
        <v>20410</v>
      </c>
      <c r="AX2051" t="s">
        <v>21165</v>
      </c>
      <c r="AY2051" t="s">
        <v>21166</v>
      </c>
      <c r="AZ2051" t="s">
        <v>21165</v>
      </c>
      <c r="BA2051">
        <v>1</v>
      </c>
      <c r="BB2051">
        <v>34.450000000000003</v>
      </c>
      <c r="BC2051">
        <v>1.18</v>
      </c>
      <c r="BD2051">
        <v>5.49</v>
      </c>
      <c r="BE2051">
        <v>5.51</v>
      </c>
      <c r="BF2051">
        <v>5.4</v>
      </c>
      <c r="BG2051" t="s">
        <v>21167</v>
      </c>
      <c r="BH2051" t="s">
        <v>8552</v>
      </c>
      <c r="BI2051" t="s">
        <v>21168</v>
      </c>
      <c r="BJ2051" t="s">
        <v>101</v>
      </c>
      <c r="BK2051" t="s">
        <v>12128</v>
      </c>
      <c r="BL2051" t="s">
        <v>21169</v>
      </c>
      <c r="BM2051" t="s">
        <v>21170</v>
      </c>
      <c r="BN2051" t="s">
        <v>14623</v>
      </c>
    </row>
    <row r="2052" spans="1:66" x14ac:dyDescent="0.25">
      <c r="A2052" t="str">
        <f>HYPERLINK("https://elite.finviz.com/quote.ashx?t=VOC&amp;ty=c&amp;p=d&amp;b=1", "VOC")</f>
        <v>VOC</v>
      </c>
      <c r="B2052">
        <v>6</v>
      </c>
      <c r="C2052">
        <v>127.03</v>
      </c>
      <c r="D2052">
        <v>61.85</v>
      </c>
      <c r="E2052" t="s">
        <v>21171</v>
      </c>
      <c r="F2052" t="s">
        <v>107</v>
      </c>
      <c r="G2052" t="s">
        <v>1048</v>
      </c>
      <c r="H2052" t="s">
        <v>1049</v>
      </c>
      <c r="I2052" t="s">
        <v>70</v>
      </c>
      <c r="J2052" t="s">
        <v>71</v>
      </c>
      <c r="K2052">
        <v>49.55</v>
      </c>
      <c r="L2052">
        <v>2.91</v>
      </c>
      <c r="M2052" t="s">
        <v>1554</v>
      </c>
      <c r="N2052">
        <v>18013</v>
      </c>
      <c r="O2052">
        <v>5.07</v>
      </c>
      <c r="R2052">
        <v>4.5</v>
      </c>
      <c r="S2052">
        <v>4.47</v>
      </c>
      <c r="T2052" t="s">
        <v>420</v>
      </c>
      <c r="U2052">
        <v>0.51</v>
      </c>
      <c r="V2052" t="s">
        <v>10483</v>
      </c>
      <c r="W2052" t="s">
        <v>19132</v>
      </c>
      <c r="X2052" t="s">
        <v>2622</v>
      </c>
      <c r="Y2052" t="s">
        <v>273</v>
      </c>
      <c r="Z2052" t="s">
        <v>1647</v>
      </c>
      <c r="AA2052">
        <v>0.56999999999999995</v>
      </c>
      <c r="AB2052" t="s">
        <v>2622</v>
      </c>
      <c r="AC2052" t="s">
        <v>1338</v>
      </c>
      <c r="AE2052" t="s">
        <v>8119</v>
      </c>
      <c r="AF2052" t="s">
        <v>9164</v>
      </c>
      <c r="AG2052" t="s">
        <v>5610</v>
      </c>
      <c r="AH2052" t="s">
        <v>18474</v>
      </c>
      <c r="AI2052" t="s">
        <v>5577</v>
      </c>
      <c r="AJ2052" t="s">
        <v>164</v>
      </c>
      <c r="AK2052" t="s">
        <v>2821</v>
      </c>
      <c r="AN2052">
        <v>0</v>
      </c>
      <c r="AP2052" t="s">
        <v>21172</v>
      </c>
      <c r="AQ2052" t="s">
        <v>21172</v>
      </c>
      <c r="AR2052" t="s">
        <v>633</v>
      </c>
      <c r="AS2052" t="s">
        <v>2273</v>
      </c>
      <c r="AT2052" t="s">
        <v>3545</v>
      </c>
      <c r="AU2052" t="s">
        <v>4839</v>
      </c>
      <c r="AV2052" t="s">
        <v>14529</v>
      </c>
      <c r="AW2052" t="s">
        <v>7844</v>
      </c>
      <c r="AX2052" t="s">
        <v>709</v>
      </c>
      <c r="AY2052" t="s">
        <v>21173</v>
      </c>
      <c r="AZ2052" t="s">
        <v>5886</v>
      </c>
      <c r="BA2052">
        <v>4</v>
      </c>
      <c r="BB2052">
        <v>82.43</v>
      </c>
      <c r="BC2052">
        <v>0.78</v>
      </c>
      <c r="BD2052">
        <v>2.92</v>
      </c>
      <c r="BE2052">
        <v>2.92</v>
      </c>
      <c r="BF2052">
        <v>2.9</v>
      </c>
      <c r="BG2052" t="s">
        <v>21174</v>
      </c>
      <c r="BH2052" t="s">
        <v>21175</v>
      </c>
      <c r="BI2052" t="s">
        <v>21176</v>
      </c>
      <c r="BJ2052" t="s">
        <v>101</v>
      </c>
      <c r="BK2052" t="s">
        <v>3949</v>
      </c>
      <c r="BL2052" t="s">
        <v>2265</v>
      </c>
      <c r="BM2052" t="s">
        <v>20711</v>
      </c>
      <c r="BN2052" t="s">
        <v>14623</v>
      </c>
    </row>
    <row r="2053" spans="1:66" x14ac:dyDescent="0.25">
      <c r="A2053" t="str">
        <f>HYPERLINK("https://elite.finviz.com/quote.ashx?t=FUNC&amp;ty=c&amp;p=d&amp;b=1", "FUNC")</f>
        <v>FUNC</v>
      </c>
      <c r="B2053">
        <v>6</v>
      </c>
      <c r="C2053">
        <v>127.03</v>
      </c>
      <c r="D2053">
        <v>61.85</v>
      </c>
      <c r="E2053" t="s">
        <v>21177</v>
      </c>
      <c r="F2053" t="s">
        <v>67</v>
      </c>
      <c r="G2053" t="s">
        <v>550</v>
      </c>
      <c r="H2053" t="s">
        <v>697</v>
      </c>
      <c r="I2053" t="s">
        <v>70</v>
      </c>
      <c r="J2053" t="s">
        <v>321</v>
      </c>
      <c r="K2053">
        <v>245.82</v>
      </c>
      <c r="L2053">
        <v>37.85</v>
      </c>
      <c r="M2053" t="s">
        <v>4699</v>
      </c>
      <c r="N2053">
        <v>5572</v>
      </c>
      <c r="O2053">
        <v>10.35</v>
      </c>
      <c r="P2053">
        <v>9.24</v>
      </c>
      <c r="R2053">
        <v>2.13</v>
      </c>
      <c r="S2053">
        <v>1.29</v>
      </c>
      <c r="T2053" t="s">
        <v>2640</v>
      </c>
      <c r="U2053">
        <v>0.88</v>
      </c>
      <c r="V2053" t="s">
        <v>3662</v>
      </c>
      <c r="W2053" t="s">
        <v>3450</v>
      </c>
      <c r="X2053" t="s">
        <v>4079</v>
      </c>
      <c r="Y2053" t="s">
        <v>6689</v>
      </c>
      <c r="Z2053" t="s">
        <v>21178</v>
      </c>
      <c r="AA2053">
        <v>3.66</v>
      </c>
      <c r="AB2053" t="s">
        <v>3842</v>
      </c>
      <c r="AC2053" t="s">
        <v>11159</v>
      </c>
      <c r="AE2053" t="s">
        <v>1532</v>
      </c>
      <c r="AF2053" t="s">
        <v>6196</v>
      </c>
      <c r="AG2053" t="s">
        <v>10132</v>
      </c>
      <c r="AH2053" t="s">
        <v>2066</v>
      </c>
      <c r="AI2053" t="s">
        <v>9570</v>
      </c>
      <c r="AJ2053" t="s">
        <v>1564</v>
      </c>
      <c r="AK2053" t="s">
        <v>21179</v>
      </c>
      <c r="AL2053">
        <v>7.0000000000000007E-2</v>
      </c>
      <c r="AN2053">
        <v>0.91</v>
      </c>
      <c r="AP2053" t="s">
        <v>915</v>
      </c>
      <c r="AQ2053" t="s">
        <v>10006</v>
      </c>
      <c r="AR2053" t="s">
        <v>1952</v>
      </c>
      <c r="AS2053" t="s">
        <v>714</v>
      </c>
      <c r="AT2053" t="s">
        <v>910</v>
      </c>
      <c r="AU2053" t="s">
        <v>9186</v>
      </c>
      <c r="AV2053" t="s">
        <v>15574</v>
      </c>
      <c r="AW2053" t="s">
        <v>4150</v>
      </c>
      <c r="AX2053" t="s">
        <v>13712</v>
      </c>
      <c r="AY2053" t="s">
        <v>5491</v>
      </c>
      <c r="AZ2053" t="s">
        <v>3993</v>
      </c>
      <c r="BA2053">
        <v>2</v>
      </c>
      <c r="BB2053">
        <v>35.92</v>
      </c>
      <c r="BC2053">
        <v>0.55000000000000004</v>
      </c>
      <c r="BD2053">
        <v>37.89</v>
      </c>
      <c r="BE2053">
        <v>38.25</v>
      </c>
      <c r="BF2053">
        <v>37.85</v>
      </c>
      <c r="BG2053" t="s">
        <v>21180</v>
      </c>
      <c r="BH2053" t="s">
        <v>5491</v>
      </c>
      <c r="BI2053" t="s">
        <v>21181</v>
      </c>
      <c r="BJ2053" t="s">
        <v>101</v>
      </c>
      <c r="BK2053" t="s">
        <v>13085</v>
      </c>
      <c r="BL2053" t="s">
        <v>6154</v>
      </c>
      <c r="BM2053" t="s">
        <v>15905</v>
      </c>
      <c r="BN2053" t="s">
        <v>14623</v>
      </c>
    </row>
    <row r="2054" spans="1:66" x14ac:dyDescent="0.25">
      <c r="A2054" t="str">
        <f>HYPERLINK("https://elite.finviz.com/quote.ashx?t=RMMZ&amp;ty=c&amp;p=d&amp;b=1", "RMMZ")</f>
        <v>RMMZ</v>
      </c>
      <c r="B2054">
        <v>6</v>
      </c>
      <c r="C2054">
        <v>127.03</v>
      </c>
      <c r="D2054">
        <v>61.86</v>
      </c>
      <c r="E2054" t="s">
        <v>21182</v>
      </c>
      <c r="F2054" t="s">
        <v>107</v>
      </c>
      <c r="G2054" t="s">
        <v>550</v>
      </c>
      <c r="H2054" t="s">
        <v>2597</v>
      </c>
      <c r="I2054" t="s">
        <v>70</v>
      </c>
      <c r="J2054" t="s">
        <v>71</v>
      </c>
      <c r="K2054">
        <v>126.83</v>
      </c>
      <c r="L2054">
        <v>15</v>
      </c>
      <c r="M2054" t="s">
        <v>2423</v>
      </c>
      <c r="N2054">
        <v>1171</v>
      </c>
      <c r="T2054" t="s">
        <v>2406</v>
      </c>
      <c r="U2054">
        <v>1.1499999999999999</v>
      </c>
      <c r="V2054" t="s">
        <v>3833</v>
      </c>
      <c r="W2054" t="s">
        <v>164</v>
      </c>
      <c r="AA2054">
        <v>-0.71</v>
      </c>
      <c r="AJ2054" t="s">
        <v>2629</v>
      </c>
      <c r="AK2054" t="s">
        <v>5096</v>
      </c>
      <c r="AR2054" t="s">
        <v>2650</v>
      </c>
      <c r="AS2054" t="s">
        <v>5745</v>
      </c>
      <c r="AT2054" t="s">
        <v>4759</v>
      </c>
      <c r="AU2054" t="s">
        <v>2822</v>
      </c>
      <c r="AV2054" t="s">
        <v>2509</v>
      </c>
      <c r="AW2054" t="s">
        <v>2132</v>
      </c>
      <c r="AX2054" t="s">
        <v>4378</v>
      </c>
      <c r="AY2054" t="s">
        <v>19565</v>
      </c>
      <c r="AZ2054" t="s">
        <v>147</v>
      </c>
      <c r="BB2054">
        <v>39.479999999999997</v>
      </c>
      <c r="BC2054">
        <v>0.11</v>
      </c>
      <c r="BD2054">
        <v>14.94</v>
      </c>
      <c r="BE2054">
        <v>15.06</v>
      </c>
      <c r="BF2054">
        <v>15</v>
      </c>
      <c r="BG2054" t="s">
        <v>21183</v>
      </c>
      <c r="BH2054" t="s">
        <v>13783</v>
      </c>
      <c r="BI2054" t="s">
        <v>11384</v>
      </c>
      <c r="BJ2054" t="s">
        <v>101</v>
      </c>
      <c r="BK2054" t="s">
        <v>5999</v>
      </c>
      <c r="BL2054" t="s">
        <v>298</v>
      </c>
      <c r="BM2054" t="s">
        <v>3091</v>
      </c>
      <c r="BN2054" t="s">
        <v>14623</v>
      </c>
    </row>
    <row r="2055" spans="1:66" x14ac:dyDescent="0.25">
      <c r="A2055" t="str">
        <f>HYPERLINK("https://elite.finviz.com/quote.ashx?t=UYSC&amp;ty=c&amp;p=d&amp;b=1", "UYSC")</f>
        <v>UYSC</v>
      </c>
      <c r="B2055">
        <v>6</v>
      </c>
      <c r="C2055">
        <v>127.03</v>
      </c>
      <c r="D2055">
        <v>61.86</v>
      </c>
      <c r="E2055" t="s">
        <v>21184</v>
      </c>
      <c r="F2055" t="s">
        <v>107</v>
      </c>
      <c r="G2055" t="s">
        <v>550</v>
      </c>
      <c r="H2055" t="s">
        <v>2120</v>
      </c>
      <c r="I2055" t="s">
        <v>70</v>
      </c>
      <c r="J2055" t="s">
        <v>321</v>
      </c>
      <c r="K2055">
        <v>77.75</v>
      </c>
      <c r="L2055">
        <v>10.15</v>
      </c>
      <c r="M2055" t="s">
        <v>164</v>
      </c>
      <c r="N2055">
        <v>0</v>
      </c>
      <c r="S2055">
        <v>1.24</v>
      </c>
      <c r="AJ2055" t="s">
        <v>164</v>
      </c>
      <c r="AK2055" t="s">
        <v>3891</v>
      </c>
      <c r="AL2055">
        <v>15.44</v>
      </c>
      <c r="AM2055">
        <v>15.44</v>
      </c>
      <c r="AN2055">
        <v>0</v>
      </c>
      <c r="AR2055" t="s">
        <v>7464</v>
      </c>
      <c r="AS2055" t="s">
        <v>8179</v>
      </c>
      <c r="AT2055" t="s">
        <v>3446</v>
      </c>
      <c r="AU2055" t="s">
        <v>4782</v>
      </c>
      <c r="AV2055" t="s">
        <v>6245</v>
      </c>
      <c r="AW2055" t="s">
        <v>5245</v>
      </c>
      <c r="AX2055" t="s">
        <v>3550</v>
      </c>
      <c r="AY2055" t="s">
        <v>5245</v>
      </c>
      <c r="AZ2055" t="s">
        <v>2643</v>
      </c>
      <c r="BB2055">
        <v>20.420000000000002</v>
      </c>
      <c r="BC2055">
        <v>0</v>
      </c>
      <c r="BD2055">
        <v>10.15</v>
      </c>
      <c r="BE2055">
        <v>10.15</v>
      </c>
      <c r="BF2055">
        <v>10.15</v>
      </c>
      <c r="BG2055" t="s">
        <v>21185</v>
      </c>
      <c r="BH2055" t="s">
        <v>5245</v>
      </c>
      <c r="BI2055" t="s">
        <v>2643</v>
      </c>
      <c r="BJ2055" t="s">
        <v>101</v>
      </c>
      <c r="BN2055" t="s">
        <v>14623</v>
      </c>
    </row>
    <row r="2056" spans="1:66" x14ac:dyDescent="0.25">
      <c r="A2056" t="str">
        <f>HYPERLINK("https://elite.finviz.com/quote.ashx?t=PROV&amp;ty=c&amp;p=d&amp;b=1", "PROV")</f>
        <v>PROV</v>
      </c>
      <c r="B2056">
        <v>6</v>
      </c>
      <c r="C2056">
        <v>127.03</v>
      </c>
      <c r="D2056">
        <v>61.9</v>
      </c>
      <c r="E2056" t="s">
        <v>21186</v>
      </c>
      <c r="F2056" t="s">
        <v>107</v>
      </c>
      <c r="G2056" t="s">
        <v>550</v>
      </c>
      <c r="H2056" t="s">
        <v>697</v>
      </c>
      <c r="I2056" t="s">
        <v>70</v>
      </c>
      <c r="J2056" t="s">
        <v>321</v>
      </c>
      <c r="K2056">
        <v>104.21</v>
      </c>
      <c r="L2056">
        <v>15.85</v>
      </c>
      <c r="M2056" t="s">
        <v>4901</v>
      </c>
      <c r="N2056">
        <v>24</v>
      </c>
      <c r="O2056">
        <v>17.100000000000001</v>
      </c>
      <c r="P2056">
        <v>11.91</v>
      </c>
      <c r="R2056">
        <v>1.73</v>
      </c>
      <c r="S2056">
        <v>0.81</v>
      </c>
      <c r="T2056" t="s">
        <v>2822</v>
      </c>
      <c r="U2056">
        <v>0.56000000000000005</v>
      </c>
      <c r="V2056" t="s">
        <v>2708</v>
      </c>
      <c r="W2056" t="s">
        <v>164</v>
      </c>
      <c r="X2056" t="s">
        <v>164</v>
      </c>
      <c r="Y2056" t="s">
        <v>164</v>
      </c>
      <c r="Z2056" t="s">
        <v>21187</v>
      </c>
      <c r="AA2056">
        <v>0.93</v>
      </c>
      <c r="AB2056" t="s">
        <v>9271</v>
      </c>
      <c r="AC2056" t="s">
        <v>6533</v>
      </c>
      <c r="AE2056" t="s">
        <v>1776</v>
      </c>
      <c r="AF2056" t="s">
        <v>3875</v>
      </c>
      <c r="AG2056" t="s">
        <v>3887</v>
      </c>
      <c r="AH2056" t="s">
        <v>2617</v>
      </c>
      <c r="AI2056" t="s">
        <v>11951</v>
      </c>
      <c r="AJ2056" t="s">
        <v>770</v>
      </c>
      <c r="AK2056" t="s">
        <v>21188</v>
      </c>
      <c r="AL2056">
        <v>7.0000000000000007E-2</v>
      </c>
      <c r="AN2056">
        <v>1.67</v>
      </c>
      <c r="AP2056" t="s">
        <v>5706</v>
      </c>
      <c r="AQ2056" t="s">
        <v>702</v>
      </c>
      <c r="AR2056" t="s">
        <v>3350</v>
      </c>
      <c r="AS2056" t="s">
        <v>5745</v>
      </c>
      <c r="AT2056" t="s">
        <v>9136</v>
      </c>
      <c r="AU2056" t="s">
        <v>6430</v>
      </c>
      <c r="AV2056" t="s">
        <v>2662</v>
      </c>
      <c r="AW2056" t="s">
        <v>4086</v>
      </c>
      <c r="AX2056" t="s">
        <v>1772</v>
      </c>
      <c r="AY2056" t="s">
        <v>4540</v>
      </c>
      <c r="AZ2056" t="s">
        <v>10829</v>
      </c>
      <c r="BA2056">
        <v>3</v>
      </c>
      <c r="BB2056">
        <v>6.79</v>
      </c>
      <c r="BC2056">
        <v>0.01</v>
      </c>
      <c r="BD2056">
        <v>15.76</v>
      </c>
      <c r="BE2056">
        <v>15.82</v>
      </c>
      <c r="BF2056">
        <v>15.82</v>
      </c>
      <c r="BG2056" t="s">
        <v>21189</v>
      </c>
      <c r="BH2056" t="s">
        <v>19096</v>
      </c>
      <c r="BI2056" t="s">
        <v>21190</v>
      </c>
      <c r="BJ2056" t="s">
        <v>101</v>
      </c>
      <c r="BK2056" t="s">
        <v>2785</v>
      </c>
      <c r="BL2056" t="s">
        <v>8051</v>
      </c>
      <c r="BM2056" t="s">
        <v>712</v>
      </c>
      <c r="BN2056" t="s">
        <v>14623</v>
      </c>
    </row>
    <row r="2057" spans="1:66" x14ac:dyDescent="0.25">
      <c r="A2057" t="str">
        <f>HYPERLINK("https://elite.finviz.com/quote.ashx?t=GRNT&amp;ty=c&amp;p=d&amp;b=1", "GRNT")</f>
        <v>GRNT</v>
      </c>
      <c r="B2057">
        <v>6</v>
      </c>
      <c r="C2057">
        <v>127.03</v>
      </c>
      <c r="D2057">
        <v>61.9</v>
      </c>
      <c r="E2057" t="s">
        <v>21191</v>
      </c>
      <c r="F2057" t="s">
        <v>67</v>
      </c>
      <c r="G2057" t="s">
        <v>1048</v>
      </c>
      <c r="H2057" t="s">
        <v>1049</v>
      </c>
      <c r="I2057" t="s">
        <v>70</v>
      </c>
      <c r="J2057" t="s">
        <v>71</v>
      </c>
      <c r="K2057">
        <v>761.77</v>
      </c>
      <c r="L2057">
        <v>5.8</v>
      </c>
      <c r="M2057" t="s">
        <v>2175</v>
      </c>
      <c r="N2057">
        <v>146229</v>
      </c>
      <c r="O2057">
        <v>23.66</v>
      </c>
      <c r="P2057">
        <v>8.5399999999999991</v>
      </c>
      <c r="Q2057">
        <v>2.71</v>
      </c>
      <c r="R2057">
        <v>1.76</v>
      </c>
      <c r="S2057">
        <v>1.19</v>
      </c>
      <c r="T2057" t="s">
        <v>4498</v>
      </c>
      <c r="U2057">
        <v>0.44</v>
      </c>
      <c r="V2057" t="s">
        <v>4882</v>
      </c>
      <c r="W2057" t="s">
        <v>164</v>
      </c>
      <c r="Z2057" t="s">
        <v>21192</v>
      </c>
      <c r="AA2057">
        <v>0.25</v>
      </c>
      <c r="AB2057" t="s">
        <v>21193</v>
      </c>
      <c r="AC2057" t="s">
        <v>4991</v>
      </c>
      <c r="AD2057" t="s">
        <v>11639</v>
      </c>
      <c r="AE2057" t="s">
        <v>5618</v>
      </c>
      <c r="AF2057" t="s">
        <v>3147</v>
      </c>
      <c r="AH2057" t="s">
        <v>9884</v>
      </c>
      <c r="AI2057" t="s">
        <v>5085</v>
      </c>
      <c r="AJ2057" t="s">
        <v>4494</v>
      </c>
      <c r="AK2057" t="s">
        <v>1366</v>
      </c>
      <c r="AL2057">
        <v>1.32</v>
      </c>
      <c r="AM2057">
        <v>1.32</v>
      </c>
      <c r="AN2057">
        <v>0.43</v>
      </c>
      <c r="AO2057" t="s">
        <v>9008</v>
      </c>
      <c r="AP2057" t="s">
        <v>11533</v>
      </c>
      <c r="AQ2057" t="s">
        <v>12465</v>
      </c>
      <c r="AR2057" t="s">
        <v>7284</v>
      </c>
      <c r="AS2057" t="s">
        <v>6770</v>
      </c>
      <c r="AT2057" t="s">
        <v>3530</v>
      </c>
      <c r="AU2057" t="s">
        <v>5579</v>
      </c>
      <c r="AV2057" t="s">
        <v>5166</v>
      </c>
      <c r="AW2057" t="s">
        <v>6182</v>
      </c>
      <c r="AX2057" t="s">
        <v>20432</v>
      </c>
      <c r="AY2057" t="s">
        <v>21194</v>
      </c>
      <c r="AZ2057" t="s">
        <v>15650</v>
      </c>
      <c r="BA2057">
        <v>1.86</v>
      </c>
      <c r="BB2057">
        <v>646.83000000000004</v>
      </c>
      <c r="BC2057">
        <v>0.8</v>
      </c>
      <c r="BD2057">
        <v>5.71</v>
      </c>
      <c r="BE2057">
        <v>5.91</v>
      </c>
      <c r="BF2057">
        <v>5.7</v>
      </c>
      <c r="BG2057" t="s">
        <v>21195</v>
      </c>
      <c r="BH2057" t="s">
        <v>21196</v>
      </c>
      <c r="BI2057" t="s">
        <v>15650</v>
      </c>
      <c r="BJ2057" t="s">
        <v>101</v>
      </c>
      <c r="BK2057" t="s">
        <v>8023</v>
      </c>
      <c r="BL2057" t="s">
        <v>4282</v>
      </c>
      <c r="BM2057" t="s">
        <v>1659</v>
      </c>
      <c r="BN2057" t="s">
        <v>14623</v>
      </c>
    </row>
    <row r="2058" spans="1:66" x14ac:dyDescent="0.25">
      <c r="A2058" t="str">
        <f>HYPERLINK("https://elite.finviz.com/quote.ashx?t=HVMCU&amp;ty=c&amp;p=d&amp;b=1", "HVMCU")</f>
        <v>HVMCU</v>
      </c>
      <c r="B2058">
        <v>6</v>
      </c>
      <c r="C2058">
        <v>127.03</v>
      </c>
      <c r="D2058">
        <v>61.9</v>
      </c>
      <c r="E2058" t="s">
        <v>21197</v>
      </c>
      <c r="F2058" t="s">
        <v>107</v>
      </c>
      <c r="G2058" t="s">
        <v>550</v>
      </c>
      <c r="H2058" t="s">
        <v>2120</v>
      </c>
      <c r="I2058" t="s">
        <v>70</v>
      </c>
      <c r="J2058" t="s">
        <v>321</v>
      </c>
      <c r="K2058">
        <v>238.49</v>
      </c>
      <c r="L2058">
        <v>10.08</v>
      </c>
      <c r="M2058" t="s">
        <v>164</v>
      </c>
      <c r="N2058">
        <v>1100</v>
      </c>
      <c r="AJ2058" t="s">
        <v>164</v>
      </c>
      <c r="AL2058">
        <v>0</v>
      </c>
      <c r="AM2058">
        <v>0</v>
      </c>
      <c r="AR2058" t="s">
        <v>6463</v>
      </c>
      <c r="AS2058" t="s">
        <v>3112</v>
      </c>
      <c r="AT2058" t="s">
        <v>211</v>
      </c>
      <c r="AU2058" t="s">
        <v>2560</v>
      </c>
      <c r="AV2058" t="s">
        <v>2560</v>
      </c>
      <c r="AW2058" t="s">
        <v>8380</v>
      </c>
      <c r="AX2058" t="s">
        <v>3047</v>
      </c>
      <c r="AY2058" t="s">
        <v>8380</v>
      </c>
      <c r="AZ2058" t="s">
        <v>3047</v>
      </c>
      <c r="BB2058">
        <v>541.25</v>
      </c>
      <c r="BC2058">
        <v>0.01</v>
      </c>
      <c r="BD2058">
        <v>10.08</v>
      </c>
      <c r="BE2058">
        <v>10.08</v>
      </c>
      <c r="BF2058">
        <v>10.08</v>
      </c>
      <c r="BG2058" t="s">
        <v>21198</v>
      </c>
      <c r="BH2058" t="s">
        <v>8380</v>
      </c>
      <c r="BI2058" t="s">
        <v>3047</v>
      </c>
      <c r="BJ2058" t="s">
        <v>101</v>
      </c>
      <c r="BN2058" t="s">
        <v>14623</v>
      </c>
    </row>
    <row r="2059" spans="1:66" x14ac:dyDescent="0.25">
      <c r="A2059" t="str">
        <f>HYPERLINK("https://elite.finviz.com/quote.ashx?t=INTT&amp;ty=c&amp;p=d&amp;b=1", "INTT")</f>
        <v>INTT</v>
      </c>
      <c r="B2059">
        <v>6</v>
      </c>
      <c r="C2059">
        <v>127.03</v>
      </c>
      <c r="D2059">
        <v>61.93</v>
      </c>
      <c r="E2059" t="s">
        <v>21199</v>
      </c>
      <c r="F2059" t="s">
        <v>107</v>
      </c>
      <c r="G2059" t="s">
        <v>108</v>
      </c>
      <c r="H2059" t="s">
        <v>2097</v>
      </c>
      <c r="I2059" t="s">
        <v>70</v>
      </c>
      <c r="J2059" t="s">
        <v>383</v>
      </c>
      <c r="K2059">
        <v>101.1</v>
      </c>
      <c r="L2059">
        <v>8.1</v>
      </c>
      <c r="M2059" t="s">
        <v>5895</v>
      </c>
      <c r="N2059">
        <v>5398</v>
      </c>
      <c r="P2059">
        <v>33.76</v>
      </c>
      <c r="R2059">
        <v>0.83</v>
      </c>
      <c r="S2059">
        <v>0.99</v>
      </c>
      <c r="V2059" t="s">
        <v>21200</v>
      </c>
      <c r="Z2059" t="s">
        <v>164</v>
      </c>
      <c r="AA2059">
        <v>-7.0000000000000007E-2</v>
      </c>
      <c r="AB2059" t="s">
        <v>21201</v>
      </c>
      <c r="AC2059" t="s">
        <v>4902</v>
      </c>
      <c r="AE2059" t="s">
        <v>5312</v>
      </c>
      <c r="AF2059" t="s">
        <v>849</v>
      </c>
      <c r="AG2059" t="s">
        <v>10485</v>
      </c>
      <c r="AH2059" t="s">
        <v>6727</v>
      </c>
      <c r="AI2059" t="s">
        <v>21202</v>
      </c>
      <c r="AJ2059" t="s">
        <v>8179</v>
      </c>
      <c r="AK2059" t="s">
        <v>21203</v>
      </c>
      <c r="AL2059">
        <v>2.42</v>
      </c>
      <c r="AM2059">
        <v>1.53</v>
      </c>
      <c r="AN2059">
        <v>0.2</v>
      </c>
      <c r="AO2059" t="s">
        <v>20291</v>
      </c>
      <c r="AP2059" t="s">
        <v>8979</v>
      </c>
      <c r="AQ2059" t="s">
        <v>2965</v>
      </c>
      <c r="AR2059" t="s">
        <v>2581</v>
      </c>
      <c r="AS2059" t="s">
        <v>3025</v>
      </c>
      <c r="AT2059" t="s">
        <v>5739</v>
      </c>
      <c r="AU2059" t="s">
        <v>5265</v>
      </c>
      <c r="AV2059" t="s">
        <v>9037</v>
      </c>
      <c r="AW2059" t="s">
        <v>8055</v>
      </c>
      <c r="AX2059" t="s">
        <v>9501</v>
      </c>
      <c r="AY2059" t="s">
        <v>1345</v>
      </c>
      <c r="AZ2059" t="s">
        <v>15140</v>
      </c>
      <c r="BA2059">
        <v>1.67</v>
      </c>
      <c r="BB2059">
        <v>35.15</v>
      </c>
      <c r="BC2059">
        <v>0.55000000000000004</v>
      </c>
      <c r="BD2059">
        <v>8.23</v>
      </c>
      <c r="BE2059">
        <v>8.15</v>
      </c>
      <c r="BF2059">
        <v>7.99</v>
      </c>
      <c r="BG2059" t="s">
        <v>21204</v>
      </c>
      <c r="BH2059" t="s">
        <v>21205</v>
      </c>
      <c r="BI2059" t="s">
        <v>21206</v>
      </c>
      <c r="BJ2059" t="s">
        <v>101</v>
      </c>
      <c r="BK2059" t="s">
        <v>7945</v>
      </c>
      <c r="BL2059" t="s">
        <v>7622</v>
      </c>
      <c r="BM2059" t="s">
        <v>1645</v>
      </c>
      <c r="BN2059" t="s">
        <v>14623</v>
      </c>
    </row>
    <row r="2060" spans="1:66" x14ac:dyDescent="0.25">
      <c r="A2060" t="str">
        <f>HYPERLINK("https://elite.finviz.com/quote.ashx?t=EAF&amp;ty=c&amp;p=d&amp;b=1", "EAF")</f>
        <v>EAF</v>
      </c>
      <c r="B2060">
        <v>6</v>
      </c>
      <c r="C2060">
        <v>127.03</v>
      </c>
      <c r="D2060">
        <v>61.94</v>
      </c>
      <c r="E2060" t="s">
        <v>21207</v>
      </c>
      <c r="F2060" t="s">
        <v>107</v>
      </c>
      <c r="G2060" t="s">
        <v>260</v>
      </c>
      <c r="H2060" t="s">
        <v>1128</v>
      </c>
      <c r="I2060" t="s">
        <v>70</v>
      </c>
      <c r="J2060" t="s">
        <v>71</v>
      </c>
      <c r="K2060">
        <v>343.47</v>
      </c>
      <c r="L2060">
        <v>13.31</v>
      </c>
      <c r="M2060" t="s">
        <v>9075</v>
      </c>
      <c r="N2060">
        <v>22201</v>
      </c>
      <c r="R2060">
        <v>0.68</v>
      </c>
      <c r="V2060" t="s">
        <v>21208</v>
      </c>
      <c r="AA2060">
        <v>-8.19</v>
      </c>
      <c r="AE2060" t="s">
        <v>7746</v>
      </c>
      <c r="AF2060" t="s">
        <v>21209</v>
      </c>
      <c r="AG2060" t="s">
        <v>9933</v>
      </c>
      <c r="AH2060" t="s">
        <v>2998</v>
      </c>
      <c r="AI2060" t="s">
        <v>21210</v>
      </c>
      <c r="AJ2060" t="s">
        <v>7231</v>
      </c>
      <c r="AK2060" t="s">
        <v>13357</v>
      </c>
      <c r="AL2060">
        <v>4.95</v>
      </c>
      <c r="AM2060">
        <v>2.71</v>
      </c>
      <c r="AO2060" t="s">
        <v>2329</v>
      </c>
      <c r="AP2060" t="s">
        <v>11312</v>
      </c>
      <c r="AQ2060" t="s">
        <v>2011</v>
      </c>
      <c r="AR2060" t="s">
        <v>5841</v>
      </c>
      <c r="AS2060" t="s">
        <v>2400</v>
      </c>
      <c r="AT2060" t="s">
        <v>11368</v>
      </c>
      <c r="AU2060" t="s">
        <v>4087</v>
      </c>
      <c r="AV2060" t="s">
        <v>1436</v>
      </c>
      <c r="AW2060" t="s">
        <v>20808</v>
      </c>
      <c r="AX2060" t="s">
        <v>21211</v>
      </c>
      <c r="AY2060" t="s">
        <v>1201</v>
      </c>
      <c r="AZ2060" t="s">
        <v>21212</v>
      </c>
      <c r="BA2060">
        <v>3</v>
      </c>
      <c r="BB2060">
        <v>332.06</v>
      </c>
      <c r="BC2060">
        <v>0.24</v>
      </c>
      <c r="BD2060">
        <v>13.5</v>
      </c>
      <c r="BE2060">
        <v>13.8</v>
      </c>
      <c r="BF2060">
        <v>13.17</v>
      </c>
      <c r="BG2060" t="s">
        <v>21213</v>
      </c>
      <c r="BH2060" t="s">
        <v>21214</v>
      </c>
      <c r="BI2060" t="s">
        <v>21215</v>
      </c>
      <c r="BJ2060" t="s">
        <v>101</v>
      </c>
      <c r="BK2060" t="s">
        <v>8720</v>
      </c>
      <c r="BL2060" t="s">
        <v>6835</v>
      </c>
      <c r="BM2060" t="s">
        <v>6835</v>
      </c>
      <c r="BN2060" t="s">
        <v>14623</v>
      </c>
    </row>
    <row r="2061" spans="1:66" x14ac:dyDescent="0.25">
      <c r="A2061" t="str">
        <f>HYPERLINK("https://elite.finviz.com/quote.ashx?t=PSMT&amp;ty=c&amp;p=d&amp;b=1", "PSMT")</f>
        <v>PSMT</v>
      </c>
      <c r="B2061">
        <v>6</v>
      </c>
      <c r="C2061">
        <v>127.03</v>
      </c>
      <c r="D2061">
        <v>61.94</v>
      </c>
      <c r="E2061" t="s">
        <v>21216</v>
      </c>
      <c r="F2061" t="s">
        <v>67</v>
      </c>
      <c r="G2061" t="s">
        <v>2244</v>
      </c>
      <c r="H2061" t="s">
        <v>7615</v>
      </c>
      <c r="I2061" t="s">
        <v>70</v>
      </c>
      <c r="J2061" t="s">
        <v>321</v>
      </c>
      <c r="K2061">
        <v>3622.51</v>
      </c>
      <c r="L2061">
        <v>117.79</v>
      </c>
      <c r="M2061" t="s">
        <v>5253</v>
      </c>
      <c r="N2061">
        <v>21251</v>
      </c>
      <c r="O2061">
        <v>24.82</v>
      </c>
      <c r="P2061">
        <v>21.78</v>
      </c>
      <c r="Q2061">
        <v>2.02</v>
      </c>
      <c r="R2061">
        <v>0.7</v>
      </c>
      <c r="S2061">
        <v>2.98</v>
      </c>
      <c r="T2061" t="s">
        <v>3018</v>
      </c>
      <c r="U2061">
        <v>1.26</v>
      </c>
      <c r="V2061" t="s">
        <v>3046</v>
      </c>
      <c r="W2061" t="s">
        <v>11659</v>
      </c>
      <c r="X2061" t="s">
        <v>139</v>
      </c>
      <c r="Y2061" t="s">
        <v>3549</v>
      </c>
      <c r="Z2061" t="s">
        <v>11880</v>
      </c>
      <c r="AA2061">
        <v>4.75</v>
      </c>
      <c r="AB2061" t="s">
        <v>7435</v>
      </c>
      <c r="AC2061" t="s">
        <v>5587</v>
      </c>
      <c r="AD2061" t="s">
        <v>2392</v>
      </c>
      <c r="AE2061" t="s">
        <v>8808</v>
      </c>
      <c r="AF2061" t="s">
        <v>5841</v>
      </c>
      <c r="AG2061" t="s">
        <v>5726</v>
      </c>
      <c r="AH2061" t="s">
        <v>1767</v>
      </c>
      <c r="AI2061" t="s">
        <v>4276</v>
      </c>
      <c r="AJ2061" t="s">
        <v>1364</v>
      </c>
      <c r="AK2061" t="s">
        <v>21217</v>
      </c>
      <c r="AL2061">
        <v>1.28</v>
      </c>
      <c r="AM2061">
        <v>0.5</v>
      </c>
      <c r="AN2061">
        <v>0.2</v>
      </c>
      <c r="AO2061" t="s">
        <v>757</v>
      </c>
      <c r="AP2061" t="s">
        <v>8229</v>
      </c>
      <c r="AQ2061" t="s">
        <v>4945</v>
      </c>
      <c r="AR2061" t="s">
        <v>8016</v>
      </c>
      <c r="AS2061" t="s">
        <v>3635</v>
      </c>
      <c r="AT2061" t="s">
        <v>6121</v>
      </c>
      <c r="AU2061" t="s">
        <v>4077</v>
      </c>
      <c r="AV2061" t="s">
        <v>2738</v>
      </c>
      <c r="AW2061" t="s">
        <v>3328</v>
      </c>
      <c r="AX2061" t="s">
        <v>9864</v>
      </c>
      <c r="AY2061" t="s">
        <v>3328</v>
      </c>
      <c r="AZ2061" t="s">
        <v>17658</v>
      </c>
      <c r="BA2061">
        <v>2.4</v>
      </c>
      <c r="BB2061">
        <v>223.76</v>
      </c>
      <c r="BC2061">
        <v>0.33</v>
      </c>
      <c r="BD2061">
        <v>117</v>
      </c>
      <c r="BE2061">
        <v>118</v>
      </c>
      <c r="BF2061">
        <v>116.2</v>
      </c>
      <c r="BG2061" t="s">
        <v>21218</v>
      </c>
      <c r="BH2061" t="s">
        <v>16493</v>
      </c>
      <c r="BI2061" t="s">
        <v>21219</v>
      </c>
      <c r="BJ2061" t="s">
        <v>101</v>
      </c>
      <c r="BK2061" t="s">
        <v>10073</v>
      </c>
      <c r="BL2061" t="s">
        <v>5605</v>
      </c>
      <c r="BM2061" t="s">
        <v>7463</v>
      </c>
      <c r="BN2061" t="s">
        <v>14623</v>
      </c>
    </row>
    <row r="2062" spans="1:66" x14ac:dyDescent="0.25">
      <c r="A2062" t="str">
        <f>HYPERLINK("https://elite.finviz.com/quote.ashx?t=TBMC&amp;ty=c&amp;p=d&amp;b=1", "TBMC")</f>
        <v>TBMC</v>
      </c>
      <c r="B2062">
        <v>6</v>
      </c>
      <c r="C2062">
        <v>127.03</v>
      </c>
      <c r="D2062">
        <v>61.94</v>
      </c>
      <c r="E2062" t="s">
        <v>21220</v>
      </c>
      <c r="F2062" t="s">
        <v>107</v>
      </c>
      <c r="G2062" t="s">
        <v>550</v>
      </c>
      <c r="H2062" t="s">
        <v>2120</v>
      </c>
      <c r="I2062" t="s">
        <v>70</v>
      </c>
      <c r="J2062" t="s">
        <v>321</v>
      </c>
      <c r="K2062">
        <v>52.86</v>
      </c>
      <c r="L2062">
        <v>11.75</v>
      </c>
      <c r="M2062" t="s">
        <v>3736</v>
      </c>
      <c r="N2062">
        <v>3387</v>
      </c>
      <c r="S2062">
        <v>2.66</v>
      </c>
      <c r="Z2062" t="s">
        <v>164</v>
      </c>
      <c r="AA2062">
        <v>-0.24</v>
      </c>
      <c r="AJ2062" t="s">
        <v>164</v>
      </c>
      <c r="AK2062" t="s">
        <v>14806</v>
      </c>
      <c r="AL2062">
        <v>0.2</v>
      </c>
      <c r="AM2062">
        <v>0.2</v>
      </c>
      <c r="AN2062">
        <v>0.19</v>
      </c>
      <c r="AR2062" t="s">
        <v>8179</v>
      </c>
      <c r="AS2062" t="s">
        <v>4840</v>
      </c>
      <c r="AT2062" t="s">
        <v>3761</v>
      </c>
      <c r="AU2062" t="s">
        <v>3018</v>
      </c>
      <c r="AV2062" t="s">
        <v>4189</v>
      </c>
      <c r="AW2062" t="s">
        <v>2560</v>
      </c>
      <c r="AX2062" t="s">
        <v>909</v>
      </c>
      <c r="AY2062" t="s">
        <v>10064</v>
      </c>
      <c r="AZ2062" t="s">
        <v>3126</v>
      </c>
      <c r="BB2062">
        <v>10.59</v>
      </c>
      <c r="BC2062">
        <v>1.1399999999999999</v>
      </c>
      <c r="BD2062">
        <v>11.71</v>
      </c>
      <c r="BE2062">
        <v>11.77</v>
      </c>
      <c r="BF2062">
        <v>11.61</v>
      </c>
      <c r="BG2062" t="s">
        <v>21221</v>
      </c>
      <c r="BH2062" t="s">
        <v>10064</v>
      </c>
      <c r="BI2062" t="s">
        <v>1038</v>
      </c>
      <c r="BJ2062" t="s">
        <v>101</v>
      </c>
      <c r="BK2062" t="s">
        <v>182</v>
      </c>
      <c r="BL2062" t="s">
        <v>5527</v>
      </c>
      <c r="BM2062" t="s">
        <v>2363</v>
      </c>
      <c r="BN2062" t="s">
        <v>14623</v>
      </c>
    </row>
    <row r="2063" spans="1:66" x14ac:dyDescent="0.25">
      <c r="A2063" t="str">
        <f>HYPERLINK("https://elite.finviz.com/quote.ashx?t=DMAC&amp;ty=c&amp;p=d&amp;b=1", "DMAC")</f>
        <v>DMAC</v>
      </c>
      <c r="B2063">
        <v>6</v>
      </c>
      <c r="C2063">
        <v>127.03</v>
      </c>
      <c r="D2063">
        <v>61.99</v>
      </c>
      <c r="E2063" t="s">
        <v>21222</v>
      </c>
      <c r="F2063" t="s">
        <v>67</v>
      </c>
      <c r="G2063" t="s">
        <v>428</v>
      </c>
      <c r="H2063" t="s">
        <v>429</v>
      </c>
      <c r="I2063" t="s">
        <v>70</v>
      </c>
      <c r="J2063" t="s">
        <v>321</v>
      </c>
      <c r="K2063">
        <v>356.65</v>
      </c>
      <c r="L2063">
        <v>6.9</v>
      </c>
      <c r="M2063" t="s">
        <v>458</v>
      </c>
      <c r="N2063">
        <v>19122</v>
      </c>
      <c r="S2063">
        <v>10.94</v>
      </c>
      <c r="AA2063">
        <v>-0.69</v>
      </c>
      <c r="AB2063" t="s">
        <v>2619</v>
      </c>
      <c r="AC2063" t="s">
        <v>5739</v>
      </c>
      <c r="AD2063" t="s">
        <v>3401</v>
      </c>
      <c r="AI2063" t="s">
        <v>3981</v>
      </c>
      <c r="AJ2063" t="s">
        <v>12046</v>
      </c>
      <c r="AK2063" t="s">
        <v>12515</v>
      </c>
      <c r="AL2063">
        <v>7.55</v>
      </c>
      <c r="AM2063">
        <v>7.55</v>
      </c>
      <c r="AN2063">
        <v>0.01</v>
      </c>
      <c r="AR2063" t="s">
        <v>6226</v>
      </c>
      <c r="AS2063" t="s">
        <v>3229</v>
      </c>
      <c r="AT2063" t="s">
        <v>2647</v>
      </c>
      <c r="AU2063" t="s">
        <v>767</v>
      </c>
      <c r="AV2063" t="s">
        <v>3742</v>
      </c>
      <c r="AW2063" t="s">
        <v>4841</v>
      </c>
      <c r="AX2063" t="s">
        <v>21223</v>
      </c>
      <c r="AY2063" t="s">
        <v>4841</v>
      </c>
      <c r="AZ2063" t="s">
        <v>21224</v>
      </c>
      <c r="BA2063">
        <v>1</v>
      </c>
      <c r="BB2063">
        <v>451.36</v>
      </c>
      <c r="BC2063">
        <v>0.15</v>
      </c>
      <c r="BD2063">
        <v>6.84</v>
      </c>
      <c r="BE2063">
        <v>6.95</v>
      </c>
      <c r="BF2063">
        <v>6.85</v>
      </c>
      <c r="BG2063" t="s">
        <v>21225</v>
      </c>
      <c r="BH2063" t="s">
        <v>19007</v>
      </c>
      <c r="BI2063" t="s">
        <v>21226</v>
      </c>
      <c r="BJ2063" t="s">
        <v>101</v>
      </c>
      <c r="BK2063" t="s">
        <v>21227</v>
      </c>
      <c r="BL2063" t="s">
        <v>1057</v>
      </c>
      <c r="BM2063" t="s">
        <v>21228</v>
      </c>
      <c r="BN2063" t="s">
        <v>14623</v>
      </c>
    </row>
    <row r="2064" spans="1:66" x14ac:dyDescent="0.25">
      <c r="A2064" t="str">
        <f>HYPERLINK("https://elite.finviz.com/quote.ashx?t=IPOD&amp;ty=c&amp;p=d&amp;b=1", "IPOD")</f>
        <v>IPOD</v>
      </c>
      <c r="B2064">
        <v>6</v>
      </c>
      <c r="C2064">
        <v>127.03</v>
      </c>
      <c r="D2064">
        <v>62</v>
      </c>
      <c r="E2064" t="s">
        <v>21229</v>
      </c>
      <c r="F2064" t="s">
        <v>107</v>
      </c>
      <c r="G2064" t="s">
        <v>550</v>
      </c>
      <c r="H2064" t="s">
        <v>2120</v>
      </c>
      <c r="I2064" t="s">
        <v>70</v>
      </c>
      <c r="J2064" t="s">
        <v>321</v>
      </c>
      <c r="K2064">
        <v>204.73</v>
      </c>
      <c r="L2064">
        <v>10.119999999999999</v>
      </c>
      <c r="M2064" t="s">
        <v>3890</v>
      </c>
      <c r="N2064">
        <v>3215</v>
      </c>
      <c r="O2064">
        <v>308.54000000000002</v>
      </c>
      <c r="S2064">
        <v>1.46</v>
      </c>
      <c r="AA2064">
        <v>0.03</v>
      </c>
      <c r="AK2064" t="s">
        <v>21188</v>
      </c>
      <c r="AL2064">
        <v>7.52</v>
      </c>
      <c r="AM2064">
        <v>7.52</v>
      </c>
      <c r="AN2064">
        <v>0</v>
      </c>
      <c r="AR2064" t="s">
        <v>4507</v>
      </c>
      <c r="AS2064" t="s">
        <v>580</v>
      </c>
      <c r="AT2064" t="s">
        <v>3000</v>
      </c>
      <c r="AU2064" t="s">
        <v>2362</v>
      </c>
      <c r="AV2064" t="s">
        <v>2571</v>
      </c>
      <c r="AW2064" t="s">
        <v>3388</v>
      </c>
      <c r="AX2064" t="s">
        <v>3493</v>
      </c>
      <c r="AY2064" t="s">
        <v>3388</v>
      </c>
      <c r="AZ2064" t="s">
        <v>1417</v>
      </c>
      <c r="BB2064">
        <v>56.61</v>
      </c>
      <c r="BC2064">
        <v>0.2</v>
      </c>
      <c r="BD2064">
        <v>10.15</v>
      </c>
      <c r="BE2064">
        <v>10.119999999999999</v>
      </c>
      <c r="BF2064">
        <v>10.119999999999999</v>
      </c>
      <c r="BG2064" t="s">
        <v>21230</v>
      </c>
      <c r="BH2064" t="s">
        <v>3388</v>
      </c>
      <c r="BI2064" t="s">
        <v>1417</v>
      </c>
      <c r="BJ2064" t="s">
        <v>101</v>
      </c>
      <c r="BN2064" t="s">
        <v>14623</v>
      </c>
    </row>
    <row r="2065" spans="1:66" x14ac:dyDescent="0.25">
      <c r="A2065" t="str">
        <f>HYPERLINK("https://elite.finviz.com/quote.ashx?t=FIX&amp;ty=c&amp;p=d&amp;b=1", "FIX")</f>
        <v>FIX</v>
      </c>
      <c r="B2065">
        <v>6</v>
      </c>
      <c r="C2065">
        <v>127.03</v>
      </c>
      <c r="D2065">
        <v>62.02</v>
      </c>
      <c r="E2065" t="s">
        <v>21231</v>
      </c>
      <c r="F2065" t="s">
        <v>107</v>
      </c>
      <c r="G2065" t="s">
        <v>260</v>
      </c>
      <c r="H2065" t="s">
        <v>2944</v>
      </c>
      <c r="I2065" t="s">
        <v>70</v>
      </c>
      <c r="J2065" t="s">
        <v>71</v>
      </c>
      <c r="K2065">
        <v>28013.65</v>
      </c>
      <c r="L2065">
        <v>794.01</v>
      </c>
      <c r="M2065" t="s">
        <v>9136</v>
      </c>
      <c r="N2065">
        <v>58709</v>
      </c>
      <c r="O2065">
        <v>40.81</v>
      </c>
      <c r="P2065">
        <v>30.4</v>
      </c>
      <c r="Q2065">
        <v>1.66</v>
      </c>
      <c r="R2065">
        <v>3.65</v>
      </c>
      <c r="S2065">
        <v>14.21</v>
      </c>
      <c r="T2065" t="s">
        <v>430</v>
      </c>
      <c r="U2065">
        <v>1.7</v>
      </c>
      <c r="V2065" t="s">
        <v>2708</v>
      </c>
      <c r="W2065" t="s">
        <v>3235</v>
      </c>
      <c r="X2065" t="s">
        <v>7495</v>
      </c>
      <c r="Y2065" t="s">
        <v>1628</v>
      </c>
      <c r="Z2065" t="s">
        <v>2848</v>
      </c>
      <c r="AA2065">
        <v>19.46</v>
      </c>
      <c r="AB2065" t="s">
        <v>7885</v>
      </c>
      <c r="AC2065" t="s">
        <v>20425</v>
      </c>
      <c r="AD2065" t="s">
        <v>3297</v>
      </c>
      <c r="AE2065" t="s">
        <v>10315</v>
      </c>
      <c r="AF2065" t="s">
        <v>16538</v>
      </c>
      <c r="AG2065" t="s">
        <v>442</v>
      </c>
      <c r="AH2065" t="s">
        <v>5719</v>
      </c>
      <c r="AI2065" t="s">
        <v>13334</v>
      </c>
      <c r="AJ2065" t="s">
        <v>12060</v>
      </c>
      <c r="AK2065" t="s">
        <v>21232</v>
      </c>
      <c r="AL2065">
        <v>1.1299999999999999</v>
      </c>
      <c r="AM2065">
        <v>1.1000000000000001</v>
      </c>
      <c r="AN2065">
        <v>0.16</v>
      </c>
      <c r="AO2065" t="s">
        <v>3375</v>
      </c>
      <c r="AP2065" t="s">
        <v>239</v>
      </c>
      <c r="AQ2065" t="s">
        <v>2849</v>
      </c>
      <c r="AR2065" t="s">
        <v>3482</v>
      </c>
      <c r="AS2065" t="s">
        <v>2700</v>
      </c>
      <c r="AT2065" t="s">
        <v>2107</v>
      </c>
      <c r="AU2065" t="s">
        <v>6206</v>
      </c>
      <c r="AV2065" t="s">
        <v>21233</v>
      </c>
      <c r="AW2065" t="s">
        <v>2109</v>
      </c>
      <c r="AX2065" t="s">
        <v>21234</v>
      </c>
      <c r="AY2065" t="s">
        <v>2109</v>
      </c>
      <c r="AZ2065" t="s">
        <v>21235</v>
      </c>
      <c r="BA2065">
        <v>1.7</v>
      </c>
      <c r="BB2065">
        <v>402.56</v>
      </c>
      <c r="BC2065">
        <v>0.51</v>
      </c>
      <c r="BD2065">
        <v>781.88</v>
      </c>
      <c r="BE2065">
        <v>797</v>
      </c>
      <c r="BF2065">
        <v>780</v>
      </c>
      <c r="BG2065" t="s">
        <v>21236</v>
      </c>
      <c r="BH2065" t="s">
        <v>2109</v>
      </c>
      <c r="BI2065" t="s">
        <v>21237</v>
      </c>
      <c r="BJ2065" t="s">
        <v>101</v>
      </c>
      <c r="BK2065" t="s">
        <v>12998</v>
      </c>
      <c r="BL2065" t="s">
        <v>21238</v>
      </c>
      <c r="BM2065" t="s">
        <v>12418</v>
      </c>
      <c r="BN2065" t="s">
        <v>14623</v>
      </c>
    </row>
    <row r="2066" spans="1:66" x14ac:dyDescent="0.25">
      <c r="A2066" t="str">
        <f>HYPERLINK("https://elite.finviz.com/quote.ashx?t=ATO&amp;ty=c&amp;p=d&amp;b=1", "ATO")</f>
        <v>ATO</v>
      </c>
      <c r="B2066">
        <v>6</v>
      </c>
      <c r="C2066">
        <v>127.03</v>
      </c>
      <c r="D2066">
        <v>62.03</v>
      </c>
      <c r="E2066" t="s">
        <v>21239</v>
      </c>
      <c r="F2066" t="s">
        <v>195</v>
      </c>
      <c r="G2066" t="s">
        <v>287</v>
      </c>
      <c r="H2066" t="s">
        <v>3541</v>
      </c>
      <c r="I2066" t="s">
        <v>70</v>
      </c>
      <c r="J2066" t="s">
        <v>71</v>
      </c>
      <c r="K2066">
        <v>26963.95</v>
      </c>
      <c r="L2066">
        <v>167.98</v>
      </c>
      <c r="M2066" t="s">
        <v>3344</v>
      </c>
      <c r="N2066">
        <v>94439</v>
      </c>
      <c r="O2066">
        <v>23.2</v>
      </c>
      <c r="P2066">
        <v>21.26</v>
      </c>
      <c r="Q2066">
        <v>3.11</v>
      </c>
      <c r="R2066">
        <v>5.83</v>
      </c>
      <c r="S2066">
        <v>2.0099999999999998</v>
      </c>
      <c r="T2066" t="s">
        <v>4276</v>
      </c>
      <c r="U2066">
        <v>3.48</v>
      </c>
      <c r="V2066" t="s">
        <v>10943</v>
      </c>
      <c r="W2066" t="s">
        <v>2250</v>
      </c>
      <c r="X2066" t="s">
        <v>1370</v>
      </c>
      <c r="Y2066" t="s">
        <v>5460</v>
      </c>
      <c r="Z2066" t="s">
        <v>1172</v>
      </c>
      <c r="AA2066">
        <v>7.24</v>
      </c>
      <c r="AB2066" t="s">
        <v>7232</v>
      </c>
      <c r="AC2066" t="s">
        <v>10114</v>
      </c>
      <c r="AD2066" t="s">
        <v>7236</v>
      </c>
      <c r="AE2066" t="s">
        <v>6124</v>
      </c>
      <c r="AF2066" t="s">
        <v>4999</v>
      </c>
      <c r="AG2066" t="s">
        <v>2967</v>
      </c>
      <c r="AH2066" t="s">
        <v>12847</v>
      </c>
      <c r="AI2066" t="s">
        <v>3257</v>
      </c>
      <c r="AJ2066" t="s">
        <v>4155</v>
      </c>
      <c r="AK2066" t="s">
        <v>20005</v>
      </c>
      <c r="AL2066">
        <v>1.37</v>
      </c>
      <c r="AM2066">
        <v>1.25</v>
      </c>
      <c r="AN2066">
        <v>0.67</v>
      </c>
      <c r="AO2066" t="s">
        <v>21240</v>
      </c>
      <c r="AP2066" t="s">
        <v>12603</v>
      </c>
      <c r="AQ2066" t="s">
        <v>6602</v>
      </c>
      <c r="AR2066" t="s">
        <v>6829</v>
      </c>
      <c r="AS2066" t="s">
        <v>1559</v>
      </c>
      <c r="AT2066" t="s">
        <v>3757</v>
      </c>
      <c r="AU2066" t="s">
        <v>1902</v>
      </c>
      <c r="AV2066" t="s">
        <v>4965</v>
      </c>
      <c r="AW2066" t="s">
        <v>148</v>
      </c>
      <c r="AX2066" t="s">
        <v>416</v>
      </c>
      <c r="AY2066" t="s">
        <v>148</v>
      </c>
      <c r="AZ2066" t="s">
        <v>2117</v>
      </c>
      <c r="BA2066">
        <v>2.62</v>
      </c>
      <c r="BB2066">
        <v>837.41</v>
      </c>
      <c r="BC2066">
        <v>0.4</v>
      </c>
      <c r="BD2066">
        <v>166.46</v>
      </c>
      <c r="BE2066">
        <v>169.95</v>
      </c>
      <c r="BF2066">
        <v>166.12</v>
      </c>
      <c r="BG2066" t="s">
        <v>21241</v>
      </c>
      <c r="BH2066" t="s">
        <v>148</v>
      </c>
      <c r="BI2066" t="s">
        <v>21242</v>
      </c>
      <c r="BJ2066" t="s">
        <v>101</v>
      </c>
      <c r="BK2066" t="s">
        <v>10793</v>
      </c>
      <c r="BL2066" t="s">
        <v>2517</v>
      </c>
      <c r="BM2066" t="s">
        <v>4833</v>
      </c>
      <c r="BN2066" t="s">
        <v>14623</v>
      </c>
    </row>
    <row r="2067" spans="1:66" x14ac:dyDescent="0.25">
      <c r="A2067" t="str">
        <f>HYPERLINK("https://elite.finviz.com/quote.ashx?t=SPIR&amp;ty=c&amp;p=d&amp;b=1", "SPIR")</f>
        <v>SPIR</v>
      </c>
      <c r="B2067">
        <v>6</v>
      </c>
      <c r="C2067">
        <v>127.03</v>
      </c>
      <c r="D2067">
        <v>62.05</v>
      </c>
      <c r="E2067" t="s">
        <v>21243</v>
      </c>
      <c r="F2067" t="s">
        <v>67</v>
      </c>
      <c r="G2067" t="s">
        <v>260</v>
      </c>
      <c r="H2067" t="s">
        <v>1077</v>
      </c>
      <c r="I2067" t="s">
        <v>70</v>
      </c>
      <c r="J2067" t="s">
        <v>71</v>
      </c>
      <c r="K2067">
        <v>363.31</v>
      </c>
      <c r="L2067">
        <v>11.15</v>
      </c>
      <c r="M2067" t="s">
        <v>13117</v>
      </c>
      <c r="N2067">
        <v>59512</v>
      </c>
      <c r="R2067">
        <v>3.65</v>
      </c>
      <c r="S2067">
        <v>62.16</v>
      </c>
      <c r="AA2067">
        <v>-3.82</v>
      </c>
      <c r="AB2067" t="s">
        <v>4659</v>
      </c>
      <c r="AC2067" t="s">
        <v>17259</v>
      </c>
      <c r="AE2067" t="s">
        <v>20278</v>
      </c>
      <c r="AF2067" t="s">
        <v>431</v>
      </c>
      <c r="AG2067" t="s">
        <v>10495</v>
      </c>
      <c r="AH2067" t="s">
        <v>21244</v>
      </c>
      <c r="AI2067" t="s">
        <v>1809</v>
      </c>
      <c r="AJ2067" t="s">
        <v>4920</v>
      </c>
      <c r="AK2067" t="s">
        <v>8750</v>
      </c>
      <c r="AL2067">
        <v>0.67</v>
      </c>
      <c r="AM2067">
        <v>0.67</v>
      </c>
      <c r="AN2067">
        <v>20.350000000000001</v>
      </c>
      <c r="AO2067" t="s">
        <v>20695</v>
      </c>
      <c r="AP2067" t="s">
        <v>21245</v>
      </c>
      <c r="AQ2067" t="s">
        <v>2156</v>
      </c>
      <c r="AR2067" t="s">
        <v>9186</v>
      </c>
      <c r="AS2067" t="s">
        <v>7453</v>
      </c>
      <c r="AT2067" t="s">
        <v>709</v>
      </c>
      <c r="AU2067" t="s">
        <v>3492</v>
      </c>
      <c r="AV2067" t="s">
        <v>1080</v>
      </c>
      <c r="AW2067" t="s">
        <v>12901</v>
      </c>
      <c r="AX2067" t="s">
        <v>785</v>
      </c>
      <c r="AY2067" t="s">
        <v>443</v>
      </c>
      <c r="AZ2067" t="s">
        <v>17501</v>
      </c>
      <c r="BA2067">
        <v>1</v>
      </c>
      <c r="BB2067">
        <v>566.83000000000004</v>
      </c>
      <c r="BC2067">
        <v>0.37</v>
      </c>
      <c r="BD2067">
        <v>11.31</v>
      </c>
      <c r="BE2067">
        <v>11.46</v>
      </c>
      <c r="BF2067">
        <v>11.15</v>
      </c>
      <c r="BG2067" t="s">
        <v>21246</v>
      </c>
      <c r="BH2067" t="s">
        <v>21247</v>
      </c>
      <c r="BI2067" t="s">
        <v>21248</v>
      </c>
      <c r="BJ2067" t="s">
        <v>101</v>
      </c>
      <c r="BK2067" t="s">
        <v>5574</v>
      </c>
      <c r="BL2067" t="s">
        <v>3260</v>
      </c>
      <c r="BM2067" t="s">
        <v>2523</v>
      </c>
      <c r="BN2067" t="s">
        <v>14623</v>
      </c>
    </row>
    <row r="2068" spans="1:66" x14ac:dyDescent="0.25">
      <c r="A2068" t="str">
        <f>HYPERLINK("https://elite.finviz.com/quote.ashx?t=ALF&amp;ty=c&amp;p=d&amp;b=1", "ALF")</f>
        <v>ALF</v>
      </c>
      <c r="B2068">
        <v>6</v>
      </c>
      <c r="C2068">
        <v>127.03</v>
      </c>
      <c r="D2068">
        <v>62.06</v>
      </c>
      <c r="E2068" t="s">
        <v>21249</v>
      </c>
      <c r="F2068" t="s">
        <v>107</v>
      </c>
      <c r="G2068" t="s">
        <v>550</v>
      </c>
      <c r="H2068" t="s">
        <v>2120</v>
      </c>
      <c r="I2068" t="s">
        <v>70</v>
      </c>
      <c r="J2068" t="s">
        <v>321</v>
      </c>
      <c r="K2068">
        <v>379.89</v>
      </c>
      <c r="L2068">
        <v>10.57</v>
      </c>
      <c r="M2068" t="s">
        <v>1324</v>
      </c>
      <c r="N2068">
        <v>651</v>
      </c>
      <c r="O2068">
        <v>28.73</v>
      </c>
      <c r="S2068">
        <v>1.32</v>
      </c>
      <c r="Z2068" t="s">
        <v>164</v>
      </c>
      <c r="AA2068">
        <v>0.37</v>
      </c>
      <c r="AJ2068" t="s">
        <v>164</v>
      </c>
      <c r="AK2068" t="s">
        <v>20642</v>
      </c>
      <c r="AL2068">
        <v>4.18</v>
      </c>
      <c r="AM2068">
        <v>4.18</v>
      </c>
      <c r="AN2068">
        <v>0</v>
      </c>
      <c r="AR2068" t="s">
        <v>2880</v>
      </c>
      <c r="AS2068" t="s">
        <v>4494</v>
      </c>
      <c r="AT2068" t="s">
        <v>3446</v>
      </c>
      <c r="AU2068" t="s">
        <v>7464</v>
      </c>
      <c r="AV2068" t="s">
        <v>3635</v>
      </c>
      <c r="AW2068" t="s">
        <v>1648</v>
      </c>
      <c r="AX2068" t="s">
        <v>1488</v>
      </c>
      <c r="AY2068" t="s">
        <v>2331</v>
      </c>
      <c r="AZ2068" t="s">
        <v>1772</v>
      </c>
      <c r="BB2068">
        <v>59.97</v>
      </c>
      <c r="BC2068">
        <v>0.04</v>
      </c>
      <c r="BD2068">
        <v>10.56</v>
      </c>
      <c r="BE2068">
        <v>10.75</v>
      </c>
      <c r="BF2068">
        <v>10.75</v>
      </c>
      <c r="BG2068" t="s">
        <v>21250</v>
      </c>
      <c r="BH2068" t="s">
        <v>2331</v>
      </c>
      <c r="BI2068" t="s">
        <v>2174</v>
      </c>
      <c r="BJ2068" t="s">
        <v>101</v>
      </c>
      <c r="BK2068" t="s">
        <v>4703</v>
      </c>
      <c r="BL2068" t="s">
        <v>323</v>
      </c>
      <c r="BN2068" t="s">
        <v>14623</v>
      </c>
    </row>
    <row r="2069" spans="1:66" x14ac:dyDescent="0.25">
      <c r="A2069" t="str">
        <f>HYPERLINK("https://elite.finviz.com/quote.ashx?t=AMR&amp;ty=c&amp;p=d&amp;b=1", "AMR")</f>
        <v>AMR</v>
      </c>
      <c r="B2069">
        <v>6</v>
      </c>
      <c r="C2069">
        <v>127.03</v>
      </c>
      <c r="D2069">
        <v>62.08</v>
      </c>
      <c r="E2069" t="s">
        <v>21251</v>
      </c>
      <c r="F2069" t="s">
        <v>67</v>
      </c>
      <c r="G2069" t="s">
        <v>355</v>
      </c>
      <c r="H2069" t="s">
        <v>10954</v>
      </c>
      <c r="I2069" t="s">
        <v>70</v>
      </c>
      <c r="J2069" t="s">
        <v>71</v>
      </c>
      <c r="K2069">
        <v>2122.06</v>
      </c>
      <c r="L2069">
        <v>162.56</v>
      </c>
      <c r="M2069" t="s">
        <v>5693</v>
      </c>
      <c r="N2069">
        <v>31027</v>
      </c>
      <c r="P2069">
        <v>10.88</v>
      </c>
      <c r="R2069">
        <v>0.89</v>
      </c>
      <c r="S2069">
        <v>1.32</v>
      </c>
      <c r="V2069" t="s">
        <v>13805</v>
      </c>
      <c r="Z2069" t="s">
        <v>164</v>
      </c>
      <c r="AA2069">
        <v>-2.85</v>
      </c>
      <c r="AB2069" t="s">
        <v>8985</v>
      </c>
      <c r="AD2069" t="s">
        <v>6276</v>
      </c>
      <c r="AE2069" t="s">
        <v>15946</v>
      </c>
      <c r="AF2069" t="s">
        <v>684</v>
      </c>
      <c r="AG2069" t="s">
        <v>1676</v>
      </c>
      <c r="AH2069" t="s">
        <v>8509</v>
      </c>
      <c r="AI2069" t="s">
        <v>21059</v>
      </c>
      <c r="AJ2069" t="s">
        <v>3020</v>
      </c>
      <c r="AK2069" t="s">
        <v>21252</v>
      </c>
      <c r="AL2069">
        <v>4.0599999999999996</v>
      </c>
      <c r="AM2069">
        <v>3.21</v>
      </c>
      <c r="AN2069">
        <v>0</v>
      </c>
      <c r="AO2069" t="s">
        <v>3118</v>
      </c>
      <c r="AP2069" t="s">
        <v>5721</v>
      </c>
      <c r="AQ2069" t="s">
        <v>6614</v>
      </c>
      <c r="AR2069" t="s">
        <v>4956</v>
      </c>
      <c r="AS2069" t="s">
        <v>5331</v>
      </c>
      <c r="AT2069" t="s">
        <v>2448</v>
      </c>
      <c r="AU2069" t="s">
        <v>5390</v>
      </c>
      <c r="AV2069" t="s">
        <v>10812</v>
      </c>
      <c r="AW2069" t="s">
        <v>4500</v>
      </c>
      <c r="AX2069" t="s">
        <v>21253</v>
      </c>
      <c r="AY2069" t="s">
        <v>6243</v>
      </c>
      <c r="AZ2069" t="s">
        <v>21254</v>
      </c>
      <c r="BA2069">
        <v>1.8</v>
      </c>
      <c r="BB2069">
        <v>400.97</v>
      </c>
      <c r="BC2069">
        <v>0.27</v>
      </c>
      <c r="BD2069">
        <v>163.98</v>
      </c>
      <c r="BE2069">
        <v>164.91</v>
      </c>
      <c r="BF2069">
        <v>160.37</v>
      </c>
      <c r="BG2069" t="s">
        <v>21255</v>
      </c>
      <c r="BH2069" t="s">
        <v>14311</v>
      </c>
      <c r="BI2069" t="s">
        <v>21256</v>
      </c>
      <c r="BJ2069" t="s">
        <v>101</v>
      </c>
      <c r="BK2069" t="s">
        <v>19789</v>
      </c>
      <c r="BL2069" t="s">
        <v>4833</v>
      </c>
      <c r="BM2069" t="s">
        <v>10272</v>
      </c>
      <c r="BN2069" t="s">
        <v>14623</v>
      </c>
    </row>
    <row r="2070" spans="1:66" x14ac:dyDescent="0.25">
      <c r="A2070" t="str">
        <f>HYPERLINK("https://elite.finviz.com/quote.ashx?t=LSH&amp;ty=c&amp;p=d&amp;b=1", "LSH")</f>
        <v>LSH</v>
      </c>
      <c r="B2070">
        <v>6</v>
      </c>
      <c r="C2070">
        <v>127.03</v>
      </c>
      <c r="D2070">
        <v>62.13</v>
      </c>
      <c r="E2070" t="s">
        <v>21257</v>
      </c>
      <c r="F2070" t="s">
        <v>107</v>
      </c>
      <c r="G2070" t="s">
        <v>260</v>
      </c>
      <c r="H2070" t="s">
        <v>7853</v>
      </c>
      <c r="I2070" t="s">
        <v>70</v>
      </c>
      <c r="J2070" t="s">
        <v>321</v>
      </c>
      <c r="K2070">
        <v>13.85</v>
      </c>
      <c r="L2070">
        <v>1.32</v>
      </c>
      <c r="M2070" t="s">
        <v>900</v>
      </c>
      <c r="N2070">
        <v>57386</v>
      </c>
      <c r="R2070">
        <v>0.85</v>
      </c>
      <c r="S2070">
        <v>13.2</v>
      </c>
      <c r="AA2070">
        <v>-0.57999999999999996</v>
      </c>
      <c r="AB2070" t="s">
        <v>21258</v>
      </c>
      <c r="AE2070" t="s">
        <v>10065</v>
      </c>
      <c r="AF2070" t="s">
        <v>13579</v>
      </c>
      <c r="AH2070" t="s">
        <v>487</v>
      </c>
      <c r="AJ2070" t="s">
        <v>164</v>
      </c>
      <c r="AK2070" t="s">
        <v>6463</v>
      </c>
      <c r="AL2070">
        <v>0.74</v>
      </c>
      <c r="AM2070">
        <v>0.71</v>
      </c>
      <c r="AN2070">
        <v>8.31</v>
      </c>
      <c r="AO2070" t="s">
        <v>8928</v>
      </c>
      <c r="AP2070" t="s">
        <v>10937</v>
      </c>
      <c r="AQ2070" t="s">
        <v>434</v>
      </c>
      <c r="AR2070" t="s">
        <v>4914</v>
      </c>
      <c r="AS2070" t="s">
        <v>9497</v>
      </c>
      <c r="AT2070" t="s">
        <v>6876</v>
      </c>
      <c r="AU2070" t="s">
        <v>18705</v>
      </c>
      <c r="AV2070" t="s">
        <v>6359</v>
      </c>
      <c r="AW2070" t="s">
        <v>10629</v>
      </c>
      <c r="AX2070" t="s">
        <v>12288</v>
      </c>
      <c r="AY2070" t="s">
        <v>19066</v>
      </c>
      <c r="AZ2070" t="s">
        <v>12288</v>
      </c>
      <c r="BB2070">
        <v>163.56</v>
      </c>
      <c r="BC2070">
        <v>1.25</v>
      </c>
      <c r="BD2070">
        <v>1.36</v>
      </c>
      <c r="BE2070">
        <v>1.43</v>
      </c>
      <c r="BF2070">
        <v>1.3</v>
      </c>
      <c r="BG2070" t="s">
        <v>21259</v>
      </c>
      <c r="BH2070" t="s">
        <v>21260</v>
      </c>
      <c r="BI2070" t="s">
        <v>12288</v>
      </c>
      <c r="BJ2070" t="s">
        <v>101</v>
      </c>
      <c r="BK2070" t="s">
        <v>14879</v>
      </c>
      <c r="BL2070" t="s">
        <v>7777</v>
      </c>
      <c r="BM2070" t="s">
        <v>15367</v>
      </c>
      <c r="BN2070" t="s">
        <v>14623</v>
      </c>
    </row>
    <row r="2071" spans="1:66" x14ac:dyDescent="0.25">
      <c r="A2071" t="str">
        <f>HYPERLINK("https://elite.finviz.com/quote.ashx?t=MRBK&amp;ty=c&amp;p=d&amp;b=1", "MRBK")</f>
        <v>MRBK</v>
      </c>
      <c r="B2071">
        <v>6</v>
      </c>
      <c r="C2071">
        <v>127.03</v>
      </c>
      <c r="D2071">
        <v>62.13</v>
      </c>
      <c r="E2071" t="s">
        <v>21261</v>
      </c>
      <c r="F2071" t="s">
        <v>67</v>
      </c>
      <c r="G2071" t="s">
        <v>550</v>
      </c>
      <c r="H2071" t="s">
        <v>697</v>
      </c>
      <c r="I2071" t="s">
        <v>70</v>
      </c>
      <c r="J2071" t="s">
        <v>321</v>
      </c>
      <c r="K2071">
        <v>181.27</v>
      </c>
      <c r="L2071">
        <v>16.04</v>
      </c>
      <c r="M2071" t="s">
        <v>3226</v>
      </c>
      <c r="N2071">
        <v>18558</v>
      </c>
      <c r="O2071">
        <v>9.94</v>
      </c>
      <c r="P2071">
        <v>6.97</v>
      </c>
      <c r="R2071">
        <v>0.89</v>
      </c>
      <c r="S2071">
        <v>1.02</v>
      </c>
      <c r="T2071" t="s">
        <v>6104</v>
      </c>
      <c r="U2071">
        <v>0.5</v>
      </c>
      <c r="V2071" t="s">
        <v>893</v>
      </c>
      <c r="W2071" t="s">
        <v>164</v>
      </c>
      <c r="X2071" t="s">
        <v>7789</v>
      </c>
      <c r="Z2071" t="s">
        <v>21262</v>
      </c>
      <c r="AA2071">
        <v>1.61</v>
      </c>
      <c r="AB2071" t="s">
        <v>16222</v>
      </c>
      <c r="AC2071" t="s">
        <v>10393</v>
      </c>
      <c r="AE2071" t="s">
        <v>563</v>
      </c>
      <c r="AF2071" t="s">
        <v>3983</v>
      </c>
      <c r="AG2071" t="s">
        <v>9344</v>
      </c>
      <c r="AH2071" t="s">
        <v>419</v>
      </c>
      <c r="AI2071" t="s">
        <v>1001</v>
      </c>
      <c r="AJ2071" t="s">
        <v>3358</v>
      </c>
      <c r="AK2071" t="s">
        <v>21263</v>
      </c>
      <c r="AL2071">
        <v>0.15</v>
      </c>
      <c r="AN2071">
        <v>1.06</v>
      </c>
      <c r="AP2071" t="s">
        <v>3492</v>
      </c>
      <c r="AQ2071" t="s">
        <v>2653</v>
      </c>
      <c r="AR2071" t="s">
        <v>5258</v>
      </c>
      <c r="AS2071" t="s">
        <v>4946</v>
      </c>
      <c r="AT2071" t="s">
        <v>5258</v>
      </c>
      <c r="AU2071" t="s">
        <v>6956</v>
      </c>
      <c r="AV2071" t="s">
        <v>3326</v>
      </c>
      <c r="AW2071" t="s">
        <v>9618</v>
      </c>
      <c r="AX2071" t="s">
        <v>10200</v>
      </c>
      <c r="AY2071" t="s">
        <v>7557</v>
      </c>
      <c r="AZ2071" t="s">
        <v>21264</v>
      </c>
      <c r="BA2071">
        <v>1</v>
      </c>
      <c r="BB2071">
        <v>87.93</v>
      </c>
      <c r="BC2071">
        <v>0.74</v>
      </c>
      <c r="BD2071">
        <v>15.98</v>
      </c>
      <c r="BE2071">
        <v>16.190000000000001</v>
      </c>
      <c r="BF2071">
        <v>16</v>
      </c>
      <c r="BG2071" t="s">
        <v>21265</v>
      </c>
      <c r="BH2071" t="s">
        <v>17073</v>
      </c>
      <c r="BI2071" t="s">
        <v>21266</v>
      </c>
      <c r="BJ2071" t="s">
        <v>101</v>
      </c>
      <c r="BK2071" t="s">
        <v>20863</v>
      </c>
      <c r="BL2071" t="s">
        <v>3526</v>
      </c>
      <c r="BM2071" t="s">
        <v>4490</v>
      </c>
      <c r="BN2071" t="s">
        <v>14623</v>
      </c>
    </row>
    <row r="2072" spans="1:66" x14ac:dyDescent="0.25">
      <c r="A2072" t="str">
        <f>HYPERLINK("https://elite.finviz.com/quote.ashx?t=STRL&amp;ty=c&amp;p=d&amp;b=1", "STRL")</f>
        <v>STRL</v>
      </c>
      <c r="B2072">
        <v>6</v>
      </c>
      <c r="C2072">
        <v>127.03</v>
      </c>
      <c r="D2072">
        <v>62.14</v>
      </c>
      <c r="E2072" t="s">
        <v>21267</v>
      </c>
      <c r="F2072" t="s">
        <v>67</v>
      </c>
      <c r="G2072" t="s">
        <v>260</v>
      </c>
      <c r="H2072" t="s">
        <v>2944</v>
      </c>
      <c r="I2072" t="s">
        <v>70</v>
      </c>
      <c r="J2072" t="s">
        <v>321</v>
      </c>
      <c r="K2072">
        <v>10459.1</v>
      </c>
      <c r="L2072">
        <v>343.83</v>
      </c>
      <c r="M2072" t="s">
        <v>2449</v>
      </c>
      <c r="N2072">
        <v>88159</v>
      </c>
      <c r="O2072">
        <v>37.380000000000003</v>
      </c>
      <c r="P2072">
        <v>31.08</v>
      </c>
      <c r="Q2072">
        <v>1.35</v>
      </c>
      <c r="R2072">
        <v>4.8899999999999997</v>
      </c>
      <c r="S2072">
        <v>11.86</v>
      </c>
      <c r="Z2072" t="s">
        <v>164</v>
      </c>
      <c r="AA2072">
        <v>9.1999999999999993</v>
      </c>
      <c r="AB2072" t="s">
        <v>2803</v>
      </c>
      <c r="AC2072" t="s">
        <v>11630</v>
      </c>
      <c r="AD2072" t="s">
        <v>14730</v>
      </c>
      <c r="AE2072" t="s">
        <v>6770</v>
      </c>
      <c r="AF2072" t="s">
        <v>6474</v>
      </c>
      <c r="AG2072" t="s">
        <v>10403</v>
      </c>
      <c r="AH2072" t="s">
        <v>5591</v>
      </c>
      <c r="AI2072" t="s">
        <v>4515</v>
      </c>
      <c r="AJ2072" t="s">
        <v>4953</v>
      </c>
      <c r="AK2072" t="s">
        <v>21268</v>
      </c>
      <c r="AL2072">
        <v>1.42</v>
      </c>
      <c r="AM2072">
        <v>1.42</v>
      </c>
      <c r="AN2072">
        <v>0.39</v>
      </c>
      <c r="AO2072" t="s">
        <v>16012</v>
      </c>
      <c r="AP2072" t="s">
        <v>1216</v>
      </c>
      <c r="AQ2072" t="s">
        <v>485</v>
      </c>
      <c r="AR2072" t="s">
        <v>1871</v>
      </c>
      <c r="AS2072" t="s">
        <v>4872</v>
      </c>
      <c r="AT2072" t="s">
        <v>4518</v>
      </c>
      <c r="AU2072" t="s">
        <v>1005</v>
      </c>
      <c r="AV2072" t="s">
        <v>21269</v>
      </c>
      <c r="AW2072" t="s">
        <v>2236</v>
      </c>
      <c r="AX2072" t="s">
        <v>21270</v>
      </c>
      <c r="AY2072" t="s">
        <v>2236</v>
      </c>
      <c r="AZ2072" t="s">
        <v>21271</v>
      </c>
      <c r="BA2072">
        <v>1.6</v>
      </c>
      <c r="BB2072">
        <v>521.14</v>
      </c>
      <c r="BC2072">
        <v>0.6</v>
      </c>
      <c r="BD2072">
        <v>338.44</v>
      </c>
      <c r="BE2072">
        <v>349.96</v>
      </c>
      <c r="BF2072">
        <v>338.2</v>
      </c>
      <c r="BG2072" t="s">
        <v>21272</v>
      </c>
      <c r="BH2072" t="s">
        <v>2236</v>
      </c>
      <c r="BI2072" t="s">
        <v>21273</v>
      </c>
      <c r="BJ2072" t="s">
        <v>101</v>
      </c>
      <c r="BK2072" t="s">
        <v>18835</v>
      </c>
      <c r="BL2072" t="s">
        <v>21274</v>
      </c>
      <c r="BM2072" t="s">
        <v>9201</v>
      </c>
      <c r="BN2072" t="s">
        <v>14623</v>
      </c>
    </row>
    <row r="2073" spans="1:66" x14ac:dyDescent="0.25">
      <c r="A2073" t="str">
        <f>HYPERLINK("https://elite.finviz.com/quote.ashx?t=DENN&amp;ty=c&amp;p=d&amp;b=1", "DENN")</f>
        <v>DENN</v>
      </c>
      <c r="B2073">
        <v>6</v>
      </c>
      <c r="C2073">
        <v>127.03</v>
      </c>
      <c r="D2073">
        <v>62.26</v>
      </c>
      <c r="E2073" t="s">
        <v>21275</v>
      </c>
      <c r="F2073" t="s">
        <v>67</v>
      </c>
      <c r="G2073" t="s">
        <v>813</v>
      </c>
      <c r="H2073" t="s">
        <v>2285</v>
      </c>
      <c r="I2073" t="s">
        <v>70</v>
      </c>
      <c r="J2073" t="s">
        <v>321</v>
      </c>
      <c r="K2073">
        <v>274.69</v>
      </c>
      <c r="L2073">
        <v>5.33</v>
      </c>
      <c r="M2073" t="s">
        <v>4699</v>
      </c>
      <c r="N2073">
        <v>99885</v>
      </c>
      <c r="O2073">
        <v>17.29</v>
      </c>
      <c r="P2073">
        <v>11.47</v>
      </c>
      <c r="Q2073">
        <v>1.71</v>
      </c>
      <c r="R2073">
        <v>0.6</v>
      </c>
      <c r="Z2073" t="s">
        <v>164</v>
      </c>
      <c r="AA2073">
        <v>0.31</v>
      </c>
      <c r="AB2073" t="s">
        <v>21276</v>
      </c>
      <c r="AC2073" t="s">
        <v>20755</v>
      </c>
      <c r="AD2073" t="s">
        <v>9123</v>
      </c>
      <c r="AE2073" t="s">
        <v>4507</v>
      </c>
      <c r="AF2073" t="s">
        <v>8625</v>
      </c>
      <c r="AG2073" t="s">
        <v>5606</v>
      </c>
      <c r="AH2073" t="s">
        <v>3550</v>
      </c>
      <c r="AI2073" t="s">
        <v>4746</v>
      </c>
      <c r="AJ2073" t="s">
        <v>164</v>
      </c>
      <c r="AK2073" t="s">
        <v>19341</v>
      </c>
      <c r="AL2073">
        <v>0.37</v>
      </c>
      <c r="AM2073">
        <v>0.34</v>
      </c>
      <c r="AO2073" t="s">
        <v>19832</v>
      </c>
      <c r="AP2073" t="s">
        <v>3064</v>
      </c>
      <c r="AQ2073" t="s">
        <v>2822</v>
      </c>
      <c r="AR2073" t="s">
        <v>5336</v>
      </c>
      <c r="AS2073" t="s">
        <v>11336</v>
      </c>
      <c r="AT2073" t="s">
        <v>4133</v>
      </c>
      <c r="AU2073" t="s">
        <v>1667</v>
      </c>
      <c r="AV2073" t="s">
        <v>849</v>
      </c>
      <c r="AW2073" t="s">
        <v>3415</v>
      </c>
      <c r="AX2073" t="s">
        <v>8255</v>
      </c>
      <c r="AY2073" t="s">
        <v>8397</v>
      </c>
      <c r="AZ2073" t="s">
        <v>16154</v>
      </c>
      <c r="BA2073">
        <v>1.67</v>
      </c>
      <c r="BB2073">
        <v>732.66</v>
      </c>
      <c r="BC2073">
        <v>0.48</v>
      </c>
      <c r="BD2073">
        <v>5.34</v>
      </c>
      <c r="BE2073">
        <v>5.44</v>
      </c>
      <c r="BF2073">
        <v>5.3</v>
      </c>
      <c r="BG2073" t="s">
        <v>21277</v>
      </c>
      <c r="BH2073" t="s">
        <v>21278</v>
      </c>
      <c r="BI2073" t="s">
        <v>21279</v>
      </c>
      <c r="BJ2073" t="s">
        <v>101</v>
      </c>
      <c r="BK2073" t="s">
        <v>4609</v>
      </c>
      <c r="BL2073" t="s">
        <v>8927</v>
      </c>
      <c r="BM2073" t="s">
        <v>9566</v>
      </c>
      <c r="BN2073" t="s">
        <v>14623</v>
      </c>
    </row>
    <row r="2074" spans="1:66" x14ac:dyDescent="0.25">
      <c r="A2074" t="str">
        <f>HYPERLINK("https://elite.finviz.com/quote.ashx?t=OSPN&amp;ty=c&amp;p=d&amp;b=1", "OSPN")</f>
        <v>OSPN</v>
      </c>
      <c r="B2074">
        <v>6</v>
      </c>
      <c r="C2074">
        <v>127.03</v>
      </c>
      <c r="D2074">
        <v>62.26</v>
      </c>
      <c r="E2074" t="s">
        <v>21280</v>
      </c>
      <c r="F2074" t="s">
        <v>67</v>
      </c>
      <c r="G2074" t="s">
        <v>108</v>
      </c>
      <c r="H2074" t="s">
        <v>109</v>
      </c>
      <c r="I2074" t="s">
        <v>70</v>
      </c>
      <c r="J2074" t="s">
        <v>321</v>
      </c>
      <c r="K2074">
        <v>619.13</v>
      </c>
      <c r="L2074">
        <v>16.16</v>
      </c>
      <c r="M2074" t="s">
        <v>2144</v>
      </c>
      <c r="N2074">
        <v>48754</v>
      </c>
      <c r="O2074">
        <v>10.65</v>
      </c>
      <c r="P2074">
        <v>10.9</v>
      </c>
      <c r="Q2074">
        <v>2.02</v>
      </c>
      <c r="R2074">
        <v>2.57</v>
      </c>
      <c r="S2074">
        <v>2.5499999999999998</v>
      </c>
      <c r="T2074" t="s">
        <v>2868</v>
      </c>
      <c r="U2074">
        <v>0.36</v>
      </c>
      <c r="V2074" t="s">
        <v>3046</v>
      </c>
      <c r="Z2074" t="s">
        <v>2848</v>
      </c>
      <c r="AA2074">
        <v>1.52</v>
      </c>
      <c r="AC2074" t="s">
        <v>7162</v>
      </c>
      <c r="AD2074" t="s">
        <v>8966</v>
      </c>
      <c r="AE2074" t="s">
        <v>9854</v>
      </c>
      <c r="AF2074" t="s">
        <v>4744</v>
      </c>
      <c r="AG2074" t="s">
        <v>8357</v>
      </c>
      <c r="AH2074" t="s">
        <v>789</v>
      </c>
      <c r="AI2074" t="s">
        <v>5239</v>
      </c>
      <c r="AJ2074" t="s">
        <v>2418</v>
      </c>
      <c r="AK2074" t="s">
        <v>15830</v>
      </c>
      <c r="AL2074">
        <v>1.77</v>
      </c>
      <c r="AM2074">
        <v>1.65</v>
      </c>
      <c r="AN2074">
        <v>0.04</v>
      </c>
      <c r="AO2074" t="s">
        <v>11676</v>
      </c>
      <c r="AP2074" t="s">
        <v>7254</v>
      </c>
      <c r="AQ2074" t="s">
        <v>2970</v>
      </c>
      <c r="AR2074" t="s">
        <v>1560</v>
      </c>
      <c r="AS2074" t="s">
        <v>2582</v>
      </c>
      <c r="AT2074" t="s">
        <v>2108</v>
      </c>
      <c r="AU2074" t="s">
        <v>5912</v>
      </c>
      <c r="AV2074" t="s">
        <v>609</v>
      </c>
      <c r="AW2074" t="s">
        <v>3113</v>
      </c>
      <c r="AX2074" t="s">
        <v>7514</v>
      </c>
      <c r="AY2074" t="s">
        <v>10077</v>
      </c>
      <c r="AZ2074" t="s">
        <v>7514</v>
      </c>
      <c r="BA2074">
        <v>1.8</v>
      </c>
      <c r="BB2074">
        <v>461.99</v>
      </c>
      <c r="BC2074">
        <v>0.38</v>
      </c>
      <c r="BD2074">
        <v>15.99</v>
      </c>
      <c r="BE2074">
        <v>16.22</v>
      </c>
      <c r="BF2074">
        <v>15.98</v>
      </c>
      <c r="BG2074" t="s">
        <v>21281</v>
      </c>
      <c r="BH2074" t="s">
        <v>9465</v>
      </c>
      <c r="BI2074" t="s">
        <v>21282</v>
      </c>
      <c r="BJ2074" t="s">
        <v>101</v>
      </c>
      <c r="BK2074" t="s">
        <v>3124</v>
      </c>
      <c r="BL2074" t="s">
        <v>2572</v>
      </c>
      <c r="BM2074" t="s">
        <v>5549</v>
      </c>
      <c r="BN2074" t="s">
        <v>14623</v>
      </c>
    </row>
    <row r="2075" spans="1:66" x14ac:dyDescent="0.25">
      <c r="A2075" t="str">
        <f>HYPERLINK("https://elite.finviz.com/quote.ashx?t=ENSC&amp;ty=c&amp;p=d&amp;b=1", "ENSC")</f>
        <v>ENSC</v>
      </c>
      <c r="B2075">
        <v>6</v>
      </c>
      <c r="C2075">
        <v>127.03</v>
      </c>
      <c r="D2075">
        <v>62.3</v>
      </c>
      <c r="E2075" t="s">
        <v>21283</v>
      </c>
      <c r="F2075" t="s">
        <v>107</v>
      </c>
      <c r="G2075" t="s">
        <v>428</v>
      </c>
      <c r="H2075" t="s">
        <v>429</v>
      </c>
      <c r="I2075" t="s">
        <v>70</v>
      </c>
      <c r="J2075" t="s">
        <v>321</v>
      </c>
      <c r="K2075">
        <v>6.71</v>
      </c>
      <c r="L2075">
        <v>2.2599999999999998</v>
      </c>
      <c r="M2075" t="s">
        <v>2215</v>
      </c>
      <c r="N2075">
        <v>23635</v>
      </c>
      <c r="R2075">
        <v>0.91</v>
      </c>
      <c r="S2075">
        <v>1.6</v>
      </c>
      <c r="AA2075">
        <v>-3.8</v>
      </c>
      <c r="AB2075" t="s">
        <v>7024</v>
      </c>
      <c r="AE2075" t="s">
        <v>21284</v>
      </c>
      <c r="AF2075" t="s">
        <v>4549</v>
      </c>
      <c r="AH2075" t="s">
        <v>21285</v>
      </c>
      <c r="AI2075" t="s">
        <v>21286</v>
      </c>
      <c r="AJ2075" t="s">
        <v>164</v>
      </c>
      <c r="AK2075" t="s">
        <v>4077</v>
      </c>
      <c r="AL2075">
        <v>2.1</v>
      </c>
      <c r="AM2075">
        <v>2.1</v>
      </c>
      <c r="AN2075">
        <v>0.12</v>
      </c>
      <c r="AP2075" t="s">
        <v>21287</v>
      </c>
      <c r="AQ2075" t="s">
        <v>14427</v>
      </c>
      <c r="AR2075" t="s">
        <v>2776</v>
      </c>
      <c r="AS2075" t="s">
        <v>754</v>
      </c>
      <c r="AT2075" t="s">
        <v>7971</v>
      </c>
      <c r="AU2075" t="s">
        <v>5455</v>
      </c>
      <c r="AV2075" t="s">
        <v>21288</v>
      </c>
      <c r="AW2075" t="s">
        <v>77</v>
      </c>
      <c r="AX2075" t="s">
        <v>146</v>
      </c>
      <c r="AY2075" t="s">
        <v>21289</v>
      </c>
      <c r="AZ2075" t="s">
        <v>21290</v>
      </c>
      <c r="BA2075">
        <v>1</v>
      </c>
      <c r="BB2075">
        <v>327.89</v>
      </c>
      <c r="BC2075">
        <v>0.26</v>
      </c>
      <c r="BD2075">
        <v>2.2599999999999998</v>
      </c>
      <c r="BE2075">
        <v>2.2999999999999998</v>
      </c>
      <c r="BF2075">
        <v>2.16</v>
      </c>
      <c r="BG2075" t="s">
        <v>21291</v>
      </c>
      <c r="BH2075" t="s">
        <v>579</v>
      </c>
      <c r="BI2075" t="s">
        <v>21290</v>
      </c>
      <c r="BJ2075" t="s">
        <v>101</v>
      </c>
      <c r="BK2075" t="s">
        <v>3344</v>
      </c>
      <c r="BL2075" t="s">
        <v>21292</v>
      </c>
      <c r="BM2075" t="s">
        <v>21293</v>
      </c>
      <c r="BN2075" t="s">
        <v>14623</v>
      </c>
    </row>
    <row r="2076" spans="1:66" x14ac:dyDescent="0.25">
      <c r="A2076" t="str">
        <f>HYPERLINK("https://elite.finviz.com/quote.ashx?t=BRFH&amp;ty=c&amp;p=d&amp;b=1", "BRFH")</f>
        <v>BRFH</v>
      </c>
      <c r="B2076">
        <v>6</v>
      </c>
      <c r="C2076">
        <v>127.03</v>
      </c>
      <c r="D2076">
        <v>62.32</v>
      </c>
      <c r="E2076" t="s">
        <v>21294</v>
      </c>
      <c r="F2076" t="s">
        <v>107</v>
      </c>
      <c r="G2076" t="s">
        <v>2244</v>
      </c>
      <c r="H2076" t="s">
        <v>4568</v>
      </c>
      <c r="I2076" t="s">
        <v>70</v>
      </c>
      <c r="J2076" t="s">
        <v>321</v>
      </c>
      <c r="K2076">
        <v>60.25</v>
      </c>
      <c r="L2076">
        <v>3.78</v>
      </c>
      <c r="M2076" t="s">
        <v>4324</v>
      </c>
      <c r="N2076">
        <v>3451</v>
      </c>
      <c r="R2076">
        <v>5.49</v>
      </c>
      <c r="S2076">
        <v>29.43</v>
      </c>
      <c r="AA2076">
        <v>-0.2</v>
      </c>
      <c r="AB2076" t="s">
        <v>5447</v>
      </c>
      <c r="AC2076" t="s">
        <v>13652</v>
      </c>
      <c r="AE2076" t="s">
        <v>20502</v>
      </c>
      <c r="AF2076" t="s">
        <v>6815</v>
      </c>
      <c r="AG2076" t="s">
        <v>1746</v>
      </c>
      <c r="AH2076" t="s">
        <v>5265</v>
      </c>
      <c r="AI2076" t="s">
        <v>164</v>
      </c>
      <c r="AJ2076" t="s">
        <v>4507</v>
      </c>
      <c r="AK2076" t="s">
        <v>2058</v>
      </c>
      <c r="AL2076">
        <v>1.97</v>
      </c>
      <c r="AM2076">
        <v>0.85</v>
      </c>
      <c r="AN2076">
        <v>0.09</v>
      </c>
      <c r="AO2076" t="s">
        <v>8851</v>
      </c>
      <c r="AP2076" t="s">
        <v>9074</v>
      </c>
      <c r="AQ2076" t="s">
        <v>4681</v>
      </c>
      <c r="AR2076" t="s">
        <v>11283</v>
      </c>
      <c r="AS2076" t="s">
        <v>848</v>
      </c>
      <c r="AT2076" t="s">
        <v>10806</v>
      </c>
      <c r="AU2076" t="s">
        <v>11473</v>
      </c>
      <c r="AV2076" t="s">
        <v>19198</v>
      </c>
      <c r="AW2076" t="s">
        <v>18167</v>
      </c>
      <c r="AX2076" t="s">
        <v>3583</v>
      </c>
      <c r="AY2076" t="s">
        <v>18167</v>
      </c>
      <c r="AZ2076" t="s">
        <v>21295</v>
      </c>
      <c r="BA2076">
        <v>1</v>
      </c>
      <c r="BB2076">
        <v>67.25</v>
      </c>
      <c r="BC2076">
        <v>0.18</v>
      </c>
      <c r="BD2076">
        <v>3.64</v>
      </c>
      <c r="BE2076">
        <v>3.9</v>
      </c>
      <c r="BF2076">
        <v>3.72</v>
      </c>
      <c r="BG2076" t="s">
        <v>21296</v>
      </c>
      <c r="BH2076" t="s">
        <v>21297</v>
      </c>
      <c r="BI2076" t="s">
        <v>21298</v>
      </c>
      <c r="BJ2076" t="s">
        <v>101</v>
      </c>
      <c r="BK2076" t="s">
        <v>11601</v>
      </c>
      <c r="BL2076" t="s">
        <v>2472</v>
      </c>
      <c r="BM2076" t="s">
        <v>12851</v>
      </c>
      <c r="BN2076" t="s">
        <v>14623</v>
      </c>
    </row>
    <row r="2077" spans="1:66" x14ac:dyDescent="0.25">
      <c r="A2077" t="str">
        <f>HYPERLINK("https://elite.finviz.com/quote.ashx?t=CMPO&amp;ty=c&amp;p=d&amp;b=1", "CMPO")</f>
        <v>CMPO</v>
      </c>
      <c r="B2077">
        <v>6</v>
      </c>
      <c r="C2077">
        <v>127.03</v>
      </c>
      <c r="D2077">
        <v>62.33</v>
      </c>
      <c r="E2077" t="s">
        <v>21299</v>
      </c>
      <c r="F2077" t="s">
        <v>67</v>
      </c>
      <c r="G2077" t="s">
        <v>260</v>
      </c>
      <c r="H2077" t="s">
        <v>2223</v>
      </c>
      <c r="I2077" t="s">
        <v>70</v>
      </c>
      <c r="J2077" t="s">
        <v>71</v>
      </c>
      <c r="K2077">
        <v>2066.7800000000002</v>
      </c>
      <c r="L2077">
        <v>20.190000000000001</v>
      </c>
      <c r="M2077" t="s">
        <v>7270</v>
      </c>
      <c r="N2077">
        <v>60404</v>
      </c>
      <c r="P2077">
        <v>18.55</v>
      </c>
      <c r="R2077">
        <v>7.72</v>
      </c>
      <c r="V2077" t="s">
        <v>21300</v>
      </c>
      <c r="AA2077">
        <v>-1.82</v>
      </c>
      <c r="AD2077" t="s">
        <v>5577</v>
      </c>
      <c r="AE2077" t="s">
        <v>21301</v>
      </c>
      <c r="AF2077" t="s">
        <v>3766</v>
      </c>
      <c r="AG2077" t="s">
        <v>5837</v>
      </c>
      <c r="AH2077" t="s">
        <v>579</v>
      </c>
      <c r="AI2077" t="s">
        <v>10711</v>
      </c>
      <c r="AJ2077" t="s">
        <v>4886</v>
      </c>
      <c r="AK2077" t="s">
        <v>5516</v>
      </c>
      <c r="AL2077">
        <v>0.11</v>
      </c>
      <c r="AM2077">
        <v>0.11</v>
      </c>
      <c r="AO2077" t="s">
        <v>21302</v>
      </c>
      <c r="AP2077" t="s">
        <v>2663</v>
      </c>
      <c r="AQ2077" t="s">
        <v>21303</v>
      </c>
      <c r="AR2077" t="s">
        <v>1100</v>
      </c>
      <c r="AS2077" t="s">
        <v>1088</v>
      </c>
      <c r="AT2077" t="s">
        <v>2234</v>
      </c>
      <c r="AU2077" t="s">
        <v>5680</v>
      </c>
      <c r="AV2077" t="s">
        <v>12165</v>
      </c>
      <c r="AW2077" t="s">
        <v>345</v>
      </c>
      <c r="AX2077" t="s">
        <v>21304</v>
      </c>
      <c r="AY2077" t="s">
        <v>345</v>
      </c>
      <c r="AZ2077" t="s">
        <v>20824</v>
      </c>
      <c r="BA2077">
        <v>1.67</v>
      </c>
      <c r="BB2077">
        <v>994.82</v>
      </c>
      <c r="BC2077">
        <v>0.21</v>
      </c>
      <c r="BD2077">
        <v>20.309999999999999</v>
      </c>
      <c r="BE2077">
        <v>20.38</v>
      </c>
      <c r="BF2077">
        <v>20.16</v>
      </c>
      <c r="BG2077" t="s">
        <v>21305</v>
      </c>
      <c r="BH2077" t="s">
        <v>345</v>
      </c>
      <c r="BI2077" t="s">
        <v>21306</v>
      </c>
      <c r="BJ2077" t="s">
        <v>101</v>
      </c>
      <c r="BK2077" t="s">
        <v>10987</v>
      </c>
      <c r="BL2077" t="s">
        <v>20368</v>
      </c>
      <c r="BM2077" t="s">
        <v>14808</v>
      </c>
      <c r="BN2077" t="s">
        <v>14623</v>
      </c>
    </row>
    <row r="2078" spans="1:66" x14ac:dyDescent="0.25">
      <c r="A2078" t="str">
        <f>HYPERLINK("https://elite.finviz.com/quote.ashx?t=MNRO&amp;ty=c&amp;p=d&amp;b=1", "MNRO")</f>
        <v>MNRO</v>
      </c>
      <c r="B2078">
        <v>6</v>
      </c>
      <c r="C2078">
        <v>127.03</v>
      </c>
      <c r="D2078">
        <v>62.36</v>
      </c>
      <c r="E2078" t="s">
        <v>21307</v>
      </c>
      <c r="F2078" t="s">
        <v>67</v>
      </c>
      <c r="G2078" t="s">
        <v>813</v>
      </c>
      <c r="H2078" t="s">
        <v>814</v>
      </c>
      <c r="I2078" t="s">
        <v>70</v>
      </c>
      <c r="J2078" t="s">
        <v>321</v>
      </c>
      <c r="K2078">
        <v>554.49</v>
      </c>
      <c r="L2078">
        <v>18.5</v>
      </c>
      <c r="M2078" t="s">
        <v>2217</v>
      </c>
      <c r="N2078">
        <v>119867</v>
      </c>
      <c r="P2078">
        <v>22.17</v>
      </c>
      <c r="R2078">
        <v>0.46</v>
      </c>
      <c r="S2078">
        <v>0.92</v>
      </c>
      <c r="T2078" t="s">
        <v>3115</v>
      </c>
      <c r="U2078">
        <v>1.1200000000000001</v>
      </c>
      <c r="V2078" t="s">
        <v>2882</v>
      </c>
      <c r="W2078" t="s">
        <v>164</v>
      </c>
      <c r="X2078" t="s">
        <v>2356</v>
      </c>
      <c r="Y2078" t="s">
        <v>912</v>
      </c>
      <c r="AA2078">
        <v>-0.7</v>
      </c>
      <c r="AE2078" t="s">
        <v>1081</v>
      </c>
      <c r="AF2078" t="s">
        <v>842</v>
      </c>
      <c r="AG2078" t="s">
        <v>2132</v>
      </c>
      <c r="AH2078" t="s">
        <v>4976</v>
      </c>
      <c r="AI2078" t="s">
        <v>11943</v>
      </c>
      <c r="AJ2078" t="s">
        <v>164</v>
      </c>
      <c r="AK2078" t="s">
        <v>21308</v>
      </c>
      <c r="AL2078">
        <v>0.5</v>
      </c>
      <c r="AM2078">
        <v>0.16</v>
      </c>
      <c r="AN2078">
        <v>0.87</v>
      </c>
      <c r="AO2078" t="s">
        <v>13231</v>
      </c>
      <c r="AP2078" t="s">
        <v>203</v>
      </c>
      <c r="AQ2078" t="s">
        <v>1413</v>
      </c>
      <c r="AR2078" t="s">
        <v>2146</v>
      </c>
      <c r="AS2078" t="s">
        <v>1934</v>
      </c>
      <c r="AT2078" t="s">
        <v>585</v>
      </c>
      <c r="AU2078" t="s">
        <v>239</v>
      </c>
      <c r="AV2078" t="s">
        <v>2823</v>
      </c>
      <c r="AW2078" t="s">
        <v>6640</v>
      </c>
      <c r="AX2078" t="s">
        <v>13636</v>
      </c>
      <c r="AY2078" t="s">
        <v>21309</v>
      </c>
      <c r="AZ2078" t="s">
        <v>13426</v>
      </c>
      <c r="BA2078">
        <v>2.6</v>
      </c>
      <c r="BB2078">
        <v>939.16</v>
      </c>
      <c r="BC2078">
        <v>0.45</v>
      </c>
      <c r="BD2078">
        <v>18.190000000000001</v>
      </c>
      <c r="BE2078">
        <v>18.54</v>
      </c>
      <c r="BF2078">
        <v>18.09</v>
      </c>
      <c r="BG2078" t="s">
        <v>21310</v>
      </c>
      <c r="BH2078" t="s">
        <v>10465</v>
      </c>
      <c r="BI2078" t="s">
        <v>21311</v>
      </c>
      <c r="BJ2078" t="s">
        <v>101</v>
      </c>
      <c r="BK2078" t="s">
        <v>12914</v>
      </c>
      <c r="BL2078" t="s">
        <v>7345</v>
      </c>
      <c r="BM2078" t="s">
        <v>21312</v>
      </c>
      <c r="BN2078" t="s">
        <v>14623</v>
      </c>
    </row>
    <row r="2079" spans="1:66" x14ac:dyDescent="0.25">
      <c r="A2079" t="str">
        <f>HYPERLINK("https://elite.finviz.com/quote.ashx?t=KRYS&amp;ty=c&amp;p=d&amp;b=1", "KRYS")</f>
        <v>KRYS</v>
      </c>
      <c r="B2079">
        <v>6</v>
      </c>
      <c r="C2079">
        <v>127.03</v>
      </c>
      <c r="D2079">
        <v>62.41</v>
      </c>
      <c r="E2079" t="s">
        <v>21313</v>
      </c>
      <c r="F2079" t="s">
        <v>67</v>
      </c>
      <c r="G2079" t="s">
        <v>428</v>
      </c>
      <c r="H2079" t="s">
        <v>429</v>
      </c>
      <c r="I2079" t="s">
        <v>70</v>
      </c>
      <c r="J2079" t="s">
        <v>321</v>
      </c>
      <c r="K2079">
        <v>4704.84</v>
      </c>
      <c r="L2079">
        <v>162.56</v>
      </c>
      <c r="M2079" t="s">
        <v>6117</v>
      </c>
      <c r="N2079">
        <v>16806</v>
      </c>
      <c r="O2079">
        <v>33.07</v>
      </c>
      <c r="P2079">
        <v>20.72</v>
      </c>
      <c r="Q2079">
        <v>0.56999999999999995</v>
      </c>
      <c r="R2079">
        <v>13.1</v>
      </c>
      <c r="S2079">
        <v>4.5199999999999996</v>
      </c>
      <c r="Z2079" t="s">
        <v>164</v>
      </c>
      <c r="AA2079">
        <v>4.92</v>
      </c>
      <c r="AD2079" t="s">
        <v>19438</v>
      </c>
      <c r="AE2079" t="s">
        <v>21314</v>
      </c>
      <c r="AH2079" t="s">
        <v>7251</v>
      </c>
      <c r="AI2079" t="s">
        <v>5697</v>
      </c>
      <c r="AJ2079" t="s">
        <v>13522</v>
      </c>
      <c r="AK2079" t="s">
        <v>21315</v>
      </c>
      <c r="AL2079">
        <v>9.68</v>
      </c>
      <c r="AM2079">
        <v>9.33</v>
      </c>
      <c r="AN2079">
        <v>0.01</v>
      </c>
      <c r="AO2079" t="s">
        <v>21316</v>
      </c>
      <c r="AP2079" t="s">
        <v>21317</v>
      </c>
      <c r="AQ2079" t="s">
        <v>5051</v>
      </c>
      <c r="AR2079" t="s">
        <v>3670</v>
      </c>
      <c r="AS2079" t="s">
        <v>3325</v>
      </c>
      <c r="AT2079" t="s">
        <v>283</v>
      </c>
      <c r="AU2079" t="s">
        <v>1822</v>
      </c>
      <c r="AV2079" t="s">
        <v>247</v>
      </c>
      <c r="AW2079" t="s">
        <v>7959</v>
      </c>
      <c r="AX2079" t="s">
        <v>3570</v>
      </c>
      <c r="AY2079" t="s">
        <v>10737</v>
      </c>
      <c r="AZ2079" t="s">
        <v>1795</v>
      </c>
      <c r="BA2079">
        <v>1.17</v>
      </c>
      <c r="BB2079">
        <v>352.99</v>
      </c>
      <c r="BC2079">
        <v>0.17</v>
      </c>
      <c r="BD2079">
        <v>161.15</v>
      </c>
      <c r="BE2079">
        <v>164.47</v>
      </c>
      <c r="BF2079">
        <v>161.37</v>
      </c>
      <c r="BG2079" t="s">
        <v>21318</v>
      </c>
      <c r="BH2079" t="s">
        <v>21319</v>
      </c>
      <c r="BI2079" t="s">
        <v>21320</v>
      </c>
      <c r="BJ2079" t="s">
        <v>101</v>
      </c>
      <c r="BK2079" t="s">
        <v>4914</v>
      </c>
      <c r="BL2079" t="s">
        <v>1828</v>
      </c>
      <c r="BM2079" t="s">
        <v>19565</v>
      </c>
      <c r="BN2079" t="s">
        <v>14623</v>
      </c>
    </row>
    <row r="2080" spans="1:66" x14ac:dyDescent="0.25">
      <c r="A2080" t="str">
        <f>HYPERLINK("https://elite.finviz.com/quote.ashx?t=LPAA&amp;ty=c&amp;p=d&amp;b=1", "LPAA")</f>
        <v>LPAA</v>
      </c>
      <c r="B2080">
        <v>6</v>
      </c>
      <c r="C2080">
        <v>127.03</v>
      </c>
      <c r="D2080">
        <v>62.41</v>
      </c>
      <c r="E2080" t="s">
        <v>21321</v>
      </c>
      <c r="F2080" t="s">
        <v>107</v>
      </c>
      <c r="G2080" t="s">
        <v>550</v>
      </c>
      <c r="H2080" t="s">
        <v>2120</v>
      </c>
      <c r="I2080" t="s">
        <v>70</v>
      </c>
      <c r="J2080" t="s">
        <v>321</v>
      </c>
      <c r="K2080">
        <v>301.88</v>
      </c>
      <c r="L2080">
        <v>10.5</v>
      </c>
      <c r="M2080" t="s">
        <v>164</v>
      </c>
      <c r="N2080">
        <v>3072</v>
      </c>
      <c r="O2080">
        <v>32.19</v>
      </c>
      <c r="S2080">
        <v>1.31</v>
      </c>
      <c r="Z2080" t="s">
        <v>164</v>
      </c>
      <c r="AA2080">
        <v>0.33</v>
      </c>
      <c r="AJ2080" t="s">
        <v>164</v>
      </c>
      <c r="AK2080" t="s">
        <v>20269</v>
      </c>
      <c r="AL2080">
        <v>1.44</v>
      </c>
      <c r="AM2080">
        <v>1.44</v>
      </c>
      <c r="AN2080">
        <v>0</v>
      </c>
      <c r="AR2080" t="s">
        <v>2646</v>
      </c>
      <c r="AS2080" t="s">
        <v>2880</v>
      </c>
      <c r="AT2080" t="s">
        <v>822</v>
      </c>
      <c r="AU2080" t="s">
        <v>2216</v>
      </c>
      <c r="AV2080" t="s">
        <v>451</v>
      </c>
      <c r="AW2080" t="s">
        <v>5721</v>
      </c>
      <c r="AX2080" t="s">
        <v>3552</v>
      </c>
      <c r="AY2080" t="s">
        <v>4707</v>
      </c>
      <c r="AZ2080" t="s">
        <v>6956</v>
      </c>
      <c r="BB2080">
        <v>52.98</v>
      </c>
      <c r="BC2080">
        <v>0.21</v>
      </c>
      <c r="BD2080">
        <v>10.5</v>
      </c>
      <c r="BE2080">
        <v>10.5</v>
      </c>
      <c r="BF2080">
        <v>10.5</v>
      </c>
      <c r="BG2080" t="s">
        <v>21322</v>
      </c>
      <c r="BH2080" t="s">
        <v>4707</v>
      </c>
      <c r="BI2080" t="s">
        <v>9159</v>
      </c>
      <c r="BJ2080" t="s">
        <v>101</v>
      </c>
      <c r="BK2080" t="s">
        <v>4782</v>
      </c>
      <c r="BL2080" t="s">
        <v>891</v>
      </c>
      <c r="BN2080" t="s">
        <v>14623</v>
      </c>
    </row>
    <row r="2081" spans="1:66" x14ac:dyDescent="0.25">
      <c r="A2081" t="str">
        <f>HYPERLINK("https://elite.finviz.com/quote.ashx?t=MRCY&amp;ty=c&amp;p=d&amp;b=1", "MRCY")</f>
        <v>MRCY</v>
      </c>
      <c r="B2081">
        <v>6</v>
      </c>
      <c r="C2081">
        <v>127.03</v>
      </c>
      <c r="D2081">
        <v>62.42</v>
      </c>
      <c r="E2081" t="s">
        <v>21323</v>
      </c>
      <c r="F2081" t="s">
        <v>67</v>
      </c>
      <c r="G2081" t="s">
        <v>260</v>
      </c>
      <c r="H2081" t="s">
        <v>4779</v>
      </c>
      <c r="I2081" t="s">
        <v>70</v>
      </c>
      <c r="J2081" t="s">
        <v>321</v>
      </c>
      <c r="K2081">
        <v>4449.04</v>
      </c>
      <c r="L2081">
        <v>74.25</v>
      </c>
      <c r="M2081" t="s">
        <v>2572</v>
      </c>
      <c r="N2081">
        <v>95327</v>
      </c>
      <c r="P2081">
        <v>50.78</v>
      </c>
      <c r="R2081">
        <v>4.88</v>
      </c>
      <c r="S2081">
        <v>2.97</v>
      </c>
      <c r="AA2081">
        <v>-0.65</v>
      </c>
      <c r="AD2081" t="s">
        <v>1031</v>
      </c>
      <c r="AE2081" t="s">
        <v>1006</v>
      </c>
      <c r="AF2081" t="s">
        <v>3328</v>
      </c>
      <c r="AG2081" t="s">
        <v>4658</v>
      </c>
      <c r="AH2081" t="s">
        <v>7288</v>
      </c>
      <c r="AI2081" t="s">
        <v>21324</v>
      </c>
      <c r="AJ2081" t="s">
        <v>15644</v>
      </c>
      <c r="AK2081" t="s">
        <v>21325</v>
      </c>
      <c r="AL2081">
        <v>3.52</v>
      </c>
      <c r="AM2081">
        <v>2.41</v>
      </c>
      <c r="AN2081">
        <v>0.45</v>
      </c>
      <c r="AO2081" t="s">
        <v>9440</v>
      </c>
      <c r="AP2081" t="s">
        <v>5789</v>
      </c>
      <c r="AQ2081" t="s">
        <v>4432</v>
      </c>
      <c r="AR2081" t="s">
        <v>3035</v>
      </c>
      <c r="AS2081" t="s">
        <v>1391</v>
      </c>
      <c r="AT2081" t="s">
        <v>2543</v>
      </c>
      <c r="AU2081" t="s">
        <v>11116</v>
      </c>
      <c r="AV2081" t="s">
        <v>19606</v>
      </c>
      <c r="AW2081" t="s">
        <v>3859</v>
      </c>
      <c r="AX2081" t="s">
        <v>7497</v>
      </c>
      <c r="AY2081" t="s">
        <v>3859</v>
      </c>
      <c r="AZ2081" t="s">
        <v>21326</v>
      </c>
      <c r="BA2081">
        <v>2.2200000000000002</v>
      </c>
      <c r="BB2081">
        <v>712.99</v>
      </c>
      <c r="BC2081">
        <v>0.47</v>
      </c>
      <c r="BD2081">
        <v>73.13</v>
      </c>
      <c r="BE2081">
        <v>75.09</v>
      </c>
      <c r="BF2081">
        <v>74.150000000000006</v>
      </c>
      <c r="BG2081" t="s">
        <v>21327</v>
      </c>
      <c r="BH2081" t="s">
        <v>1357</v>
      </c>
      <c r="BI2081" t="s">
        <v>21328</v>
      </c>
      <c r="BJ2081" t="s">
        <v>101</v>
      </c>
      <c r="BK2081" t="s">
        <v>7716</v>
      </c>
      <c r="BL2081" t="s">
        <v>12337</v>
      </c>
      <c r="BM2081" t="s">
        <v>9094</v>
      </c>
      <c r="BN2081" t="s">
        <v>14623</v>
      </c>
    </row>
    <row r="2082" spans="1:66" x14ac:dyDescent="0.25">
      <c r="A2082" t="str">
        <f>HYPERLINK("https://elite.finviz.com/quote.ashx?t=AMCX&amp;ty=c&amp;p=d&amp;b=1", "AMCX")</f>
        <v>AMCX</v>
      </c>
      <c r="B2082">
        <v>6</v>
      </c>
      <c r="C2082">
        <v>127.03</v>
      </c>
      <c r="D2082">
        <v>62.42</v>
      </c>
      <c r="E2082" t="s">
        <v>21329</v>
      </c>
      <c r="F2082" t="s">
        <v>67</v>
      </c>
      <c r="G2082" t="s">
        <v>598</v>
      </c>
      <c r="H2082" t="s">
        <v>4247</v>
      </c>
      <c r="I2082" t="s">
        <v>70</v>
      </c>
      <c r="J2082" t="s">
        <v>321</v>
      </c>
      <c r="K2082">
        <v>355.75</v>
      </c>
      <c r="L2082">
        <v>8.1999999999999993</v>
      </c>
      <c r="M2082" t="s">
        <v>3550</v>
      </c>
      <c r="N2082">
        <v>61738</v>
      </c>
      <c r="P2082">
        <v>3.75</v>
      </c>
      <c r="R2082">
        <v>0.15</v>
      </c>
      <c r="S2082">
        <v>0.37</v>
      </c>
      <c r="AA2082">
        <v>-4.37</v>
      </c>
      <c r="AD2082" t="s">
        <v>13824</v>
      </c>
      <c r="AE2082" t="s">
        <v>2616</v>
      </c>
      <c r="AF2082" t="s">
        <v>3892</v>
      </c>
      <c r="AG2082" t="s">
        <v>706</v>
      </c>
      <c r="AH2082" t="s">
        <v>6074</v>
      </c>
      <c r="AI2082" t="s">
        <v>10577</v>
      </c>
      <c r="AJ2082" t="s">
        <v>164</v>
      </c>
      <c r="AK2082" t="s">
        <v>21330</v>
      </c>
      <c r="AL2082">
        <v>2.0699999999999998</v>
      </c>
      <c r="AM2082">
        <v>2.0699999999999998</v>
      </c>
      <c r="AN2082">
        <v>2.36</v>
      </c>
      <c r="AO2082" t="s">
        <v>7343</v>
      </c>
      <c r="AP2082" t="s">
        <v>5795</v>
      </c>
      <c r="AQ2082" t="s">
        <v>502</v>
      </c>
      <c r="AR2082" t="s">
        <v>165</v>
      </c>
      <c r="AS2082" t="s">
        <v>1100</v>
      </c>
      <c r="AT2082" t="s">
        <v>1148</v>
      </c>
      <c r="AU2082" t="s">
        <v>11086</v>
      </c>
      <c r="AV2082" t="s">
        <v>4565</v>
      </c>
      <c r="AW2082" t="s">
        <v>5488</v>
      </c>
      <c r="AX2082" t="s">
        <v>12309</v>
      </c>
      <c r="AY2082" t="s">
        <v>178</v>
      </c>
      <c r="AZ2082" t="s">
        <v>12309</v>
      </c>
      <c r="BA2082">
        <v>3.75</v>
      </c>
      <c r="BB2082">
        <v>549.22</v>
      </c>
      <c r="BC2082">
        <v>0.4</v>
      </c>
      <c r="BD2082">
        <v>8.08</v>
      </c>
      <c r="BE2082">
        <v>8.24</v>
      </c>
      <c r="BF2082">
        <v>8.07</v>
      </c>
      <c r="BG2082" t="s">
        <v>21331</v>
      </c>
      <c r="BH2082" t="s">
        <v>10708</v>
      </c>
      <c r="BI2082" t="s">
        <v>12309</v>
      </c>
      <c r="BJ2082" t="s">
        <v>101</v>
      </c>
      <c r="BK2082" t="s">
        <v>15180</v>
      </c>
      <c r="BL2082" t="s">
        <v>9281</v>
      </c>
      <c r="BM2082" t="s">
        <v>8852</v>
      </c>
      <c r="BN2082" t="s">
        <v>14623</v>
      </c>
    </row>
    <row r="2083" spans="1:66" x14ac:dyDescent="0.25">
      <c r="A2083" t="str">
        <f>HYPERLINK("https://elite.finviz.com/quote.ashx?t=AGX&amp;ty=c&amp;p=d&amp;b=1", "AGX")</f>
        <v>AGX</v>
      </c>
      <c r="B2083">
        <v>6</v>
      </c>
      <c r="C2083">
        <v>127.03</v>
      </c>
      <c r="D2083">
        <v>62.49</v>
      </c>
      <c r="E2083" t="s">
        <v>21332</v>
      </c>
      <c r="F2083" t="s">
        <v>67</v>
      </c>
      <c r="G2083" t="s">
        <v>260</v>
      </c>
      <c r="H2083" t="s">
        <v>2944</v>
      </c>
      <c r="I2083" t="s">
        <v>70</v>
      </c>
      <c r="J2083" t="s">
        <v>71</v>
      </c>
      <c r="K2083">
        <v>3621.25</v>
      </c>
      <c r="L2083">
        <v>262.19</v>
      </c>
      <c r="M2083" t="s">
        <v>192</v>
      </c>
      <c r="N2083">
        <v>78449</v>
      </c>
      <c r="O2083">
        <v>31.55</v>
      </c>
      <c r="P2083">
        <v>30.91</v>
      </c>
      <c r="Q2083">
        <v>1.79</v>
      </c>
      <c r="R2083">
        <v>3.93</v>
      </c>
      <c r="S2083">
        <v>9.2100000000000009</v>
      </c>
      <c r="T2083" t="s">
        <v>2216</v>
      </c>
      <c r="U2083">
        <v>1.5</v>
      </c>
      <c r="V2083" t="s">
        <v>10833</v>
      </c>
      <c r="W2083" t="s">
        <v>15403</v>
      </c>
      <c r="X2083" t="s">
        <v>2795</v>
      </c>
      <c r="Y2083" t="s">
        <v>464</v>
      </c>
      <c r="Z2083" t="s">
        <v>7869</v>
      </c>
      <c r="AA2083">
        <v>8.31</v>
      </c>
      <c r="AB2083" t="s">
        <v>21333</v>
      </c>
      <c r="AD2083" t="s">
        <v>1570</v>
      </c>
      <c r="AE2083" t="s">
        <v>14928</v>
      </c>
      <c r="AF2083" t="s">
        <v>3667</v>
      </c>
      <c r="AG2083" t="s">
        <v>21334</v>
      </c>
      <c r="AH2083" t="s">
        <v>3524</v>
      </c>
      <c r="AI2083" t="s">
        <v>21335</v>
      </c>
      <c r="AJ2083" t="s">
        <v>21336</v>
      </c>
      <c r="AK2083" t="s">
        <v>21337</v>
      </c>
      <c r="AL2083">
        <v>1.71</v>
      </c>
      <c r="AM2083">
        <v>1.71</v>
      </c>
      <c r="AN2083">
        <v>0.01</v>
      </c>
      <c r="AO2083" t="s">
        <v>8433</v>
      </c>
      <c r="AP2083" t="s">
        <v>7435</v>
      </c>
      <c r="AQ2083" t="s">
        <v>2724</v>
      </c>
      <c r="AR2083" t="s">
        <v>754</v>
      </c>
      <c r="AS2083" t="s">
        <v>5090</v>
      </c>
      <c r="AT2083" t="s">
        <v>5308</v>
      </c>
      <c r="AU2083" t="s">
        <v>2516</v>
      </c>
      <c r="AV2083" t="s">
        <v>18842</v>
      </c>
      <c r="AW2083" t="s">
        <v>3640</v>
      </c>
      <c r="AX2083" t="s">
        <v>21338</v>
      </c>
      <c r="AY2083" t="s">
        <v>3640</v>
      </c>
      <c r="AZ2083" t="s">
        <v>21339</v>
      </c>
      <c r="BA2083">
        <v>2.5</v>
      </c>
      <c r="BB2083">
        <v>409.9</v>
      </c>
      <c r="BC2083">
        <v>0.67</v>
      </c>
      <c r="BD2083">
        <v>258.17</v>
      </c>
      <c r="BE2083">
        <v>266.77</v>
      </c>
      <c r="BF2083">
        <v>260.72000000000003</v>
      </c>
      <c r="BG2083" t="s">
        <v>21340</v>
      </c>
      <c r="BH2083" t="s">
        <v>3640</v>
      </c>
      <c r="BI2083" t="s">
        <v>21341</v>
      </c>
      <c r="BJ2083" t="s">
        <v>101</v>
      </c>
      <c r="BK2083" t="s">
        <v>3128</v>
      </c>
      <c r="BL2083" t="s">
        <v>21342</v>
      </c>
      <c r="BM2083" t="s">
        <v>21343</v>
      </c>
      <c r="BN2083" t="s">
        <v>14623</v>
      </c>
    </row>
    <row r="2084" spans="1:66" x14ac:dyDescent="0.25">
      <c r="A2084" t="str">
        <f>HYPERLINK("https://elite.finviz.com/quote.ashx?t=FBLA&amp;ty=c&amp;p=d&amp;b=1", "FBLA")</f>
        <v>FBLA</v>
      </c>
      <c r="B2084">
        <v>6</v>
      </c>
      <c r="C2084">
        <v>127.03</v>
      </c>
      <c r="D2084">
        <v>62.55</v>
      </c>
      <c r="E2084" t="s">
        <v>21344</v>
      </c>
      <c r="F2084" t="s">
        <v>67</v>
      </c>
      <c r="G2084" t="s">
        <v>550</v>
      </c>
      <c r="H2084" t="s">
        <v>697</v>
      </c>
      <c r="I2084" t="s">
        <v>70</v>
      </c>
      <c r="J2084" t="s">
        <v>321</v>
      </c>
      <c r="K2084">
        <v>243.61</v>
      </c>
      <c r="L2084">
        <v>12.28</v>
      </c>
      <c r="M2084" t="s">
        <v>6182</v>
      </c>
      <c r="N2084">
        <v>4401</v>
      </c>
      <c r="R2084">
        <v>2.81</v>
      </c>
      <c r="S2084">
        <v>0.68</v>
      </c>
      <c r="AA2084">
        <v>-0.34</v>
      </c>
      <c r="AF2084" t="s">
        <v>8781</v>
      </c>
      <c r="AH2084" t="s">
        <v>5778</v>
      </c>
      <c r="AJ2084" t="s">
        <v>2275</v>
      </c>
      <c r="AK2084" t="s">
        <v>6957</v>
      </c>
      <c r="AL2084">
        <v>0.18</v>
      </c>
      <c r="AN2084">
        <v>0.2</v>
      </c>
      <c r="AP2084" t="s">
        <v>212</v>
      </c>
      <c r="AQ2084" t="s">
        <v>9927</v>
      </c>
      <c r="AR2084" t="s">
        <v>102</v>
      </c>
      <c r="AS2084" t="s">
        <v>5577</v>
      </c>
      <c r="AT2084" t="s">
        <v>3349</v>
      </c>
      <c r="AU2084" t="s">
        <v>2494</v>
      </c>
      <c r="AV2084" t="s">
        <v>4966</v>
      </c>
      <c r="AW2084" t="s">
        <v>1783</v>
      </c>
      <c r="AX2084" t="s">
        <v>5308</v>
      </c>
      <c r="AY2084" t="s">
        <v>1387</v>
      </c>
      <c r="AZ2084" t="s">
        <v>2719</v>
      </c>
      <c r="BB2084">
        <v>112.28</v>
      </c>
      <c r="BC2084">
        <v>0.14000000000000001</v>
      </c>
      <c r="BD2084">
        <v>12.25</v>
      </c>
      <c r="BE2084">
        <v>12.32</v>
      </c>
      <c r="BF2084">
        <v>12.26</v>
      </c>
      <c r="BG2084" t="s">
        <v>21345</v>
      </c>
      <c r="BH2084" t="s">
        <v>1387</v>
      </c>
      <c r="BI2084" t="s">
        <v>2719</v>
      </c>
      <c r="BJ2084" t="s">
        <v>101</v>
      </c>
      <c r="BK2084" t="s">
        <v>6392</v>
      </c>
      <c r="BL2084" t="s">
        <v>2515</v>
      </c>
      <c r="BN2084" t="s">
        <v>14623</v>
      </c>
    </row>
    <row r="2085" spans="1:66" x14ac:dyDescent="0.25">
      <c r="A2085" t="str">
        <f>HYPERLINK("https://elite.finviz.com/quote.ashx?t=CURI&amp;ty=c&amp;p=d&amp;b=1", "CURI")</f>
        <v>CURI</v>
      </c>
      <c r="B2085">
        <v>6</v>
      </c>
      <c r="C2085">
        <v>127.03</v>
      </c>
      <c r="D2085">
        <v>62.58</v>
      </c>
      <c r="E2085" t="s">
        <v>21346</v>
      </c>
      <c r="F2085" t="s">
        <v>67</v>
      </c>
      <c r="G2085" t="s">
        <v>598</v>
      </c>
      <c r="H2085" t="s">
        <v>4546</v>
      </c>
      <c r="I2085" t="s">
        <v>70</v>
      </c>
      <c r="J2085" t="s">
        <v>321</v>
      </c>
      <c r="K2085">
        <v>298.92</v>
      </c>
      <c r="L2085">
        <v>5.16</v>
      </c>
      <c r="M2085" t="s">
        <v>3388</v>
      </c>
      <c r="N2085">
        <v>63141</v>
      </c>
      <c r="P2085">
        <v>187.64</v>
      </c>
      <c r="R2085">
        <v>4.91</v>
      </c>
      <c r="S2085">
        <v>5.97</v>
      </c>
      <c r="T2085" t="s">
        <v>3025</v>
      </c>
      <c r="U2085">
        <v>0.22</v>
      </c>
      <c r="V2085" t="s">
        <v>4548</v>
      </c>
      <c r="AA2085">
        <v>-0.09</v>
      </c>
      <c r="AB2085" t="s">
        <v>8668</v>
      </c>
      <c r="AC2085" t="s">
        <v>11425</v>
      </c>
      <c r="AE2085" t="s">
        <v>847</v>
      </c>
      <c r="AF2085" t="s">
        <v>13438</v>
      </c>
      <c r="AG2085" t="s">
        <v>15814</v>
      </c>
      <c r="AH2085" t="s">
        <v>5327</v>
      </c>
      <c r="AI2085" t="s">
        <v>164</v>
      </c>
      <c r="AJ2085" t="s">
        <v>21347</v>
      </c>
      <c r="AK2085" t="s">
        <v>16934</v>
      </c>
      <c r="AL2085">
        <v>1.66</v>
      </c>
      <c r="AM2085">
        <v>1.66</v>
      </c>
      <c r="AN2085">
        <v>0.08</v>
      </c>
      <c r="AO2085" t="s">
        <v>9982</v>
      </c>
      <c r="AP2085" t="s">
        <v>7794</v>
      </c>
      <c r="AQ2085" t="s">
        <v>12610</v>
      </c>
      <c r="AR2085" t="s">
        <v>5659</v>
      </c>
      <c r="AS2085" t="s">
        <v>3602</v>
      </c>
      <c r="AT2085" t="s">
        <v>8535</v>
      </c>
      <c r="AU2085" t="s">
        <v>9545</v>
      </c>
      <c r="AV2085" t="s">
        <v>12379</v>
      </c>
      <c r="AW2085" t="s">
        <v>4475</v>
      </c>
      <c r="AX2085" t="s">
        <v>13285</v>
      </c>
      <c r="AY2085" t="s">
        <v>3354</v>
      </c>
      <c r="AZ2085" t="s">
        <v>21348</v>
      </c>
      <c r="BA2085">
        <v>1</v>
      </c>
      <c r="BB2085">
        <v>719.34</v>
      </c>
      <c r="BC2085">
        <v>0.31</v>
      </c>
      <c r="BD2085">
        <v>5.18</v>
      </c>
      <c r="BE2085">
        <v>5.28</v>
      </c>
      <c r="BF2085">
        <v>5.15</v>
      </c>
      <c r="BG2085" t="s">
        <v>21349</v>
      </c>
      <c r="BH2085" t="s">
        <v>2049</v>
      </c>
      <c r="BI2085" t="s">
        <v>21350</v>
      </c>
      <c r="BJ2085" t="s">
        <v>101</v>
      </c>
      <c r="BK2085" t="s">
        <v>3328</v>
      </c>
      <c r="BL2085" t="s">
        <v>20990</v>
      </c>
      <c r="BM2085" t="s">
        <v>21351</v>
      </c>
      <c r="BN2085" t="s">
        <v>14623</v>
      </c>
    </row>
    <row r="2086" spans="1:66" x14ac:dyDescent="0.25">
      <c r="A2086" t="str">
        <f>HYPERLINK("https://elite.finviz.com/quote.ashx?t=BCAR&amp;ty=c&amp;p=d&amp;b=1", "BCAR")</f>
        <v>BCAR</v>
      </c>
      <c r="B2086">
        <v>6</v>
      </c>
      <c r="C2086">
        <v>127.03</v>
      </c>
      <c r="D2086">
        <v>62.58</v>
      </c>
      <c r="E2086" t="s">
        <v>21352</v>
      </c>
      <c r="F2086" t="s">
        <v>107</v>
      </c>
      <c r="G2086" t="s">
        <v>550</v>
      </c>
      <c r="H2086" t="s">
        <v>2120</v>
      </c>
      <c r="I2086" t="s">
        <v>70</v>
      </c>
      <c r="J2086" t="s">
        <v>321</v>
      </c>
      <c r="K2086">
        <v>419.74</v>
      </c>
      <c r="L2086">
        <v>9.93</v>
      </c>
      <c r="M2086" t="s">
        <v>2757</v>
      </c>
      <c r="N2086">
        <v>25105</v>
      </c>
      <c r="AJ2086" t="s">
        <v>164</v>
      </c>
      <c r="AL2086">
        <v>0.12</v>
      </c>
      <c r="AM2086">
        <v>0.12</v>
      </c>
      <c r="AR2086" t="s">
        <v>1324</v>
      </c>
      <c r="AS2086" t="s">
        <v>4539</v>
      </c>
      <c r="AT2086" t="s">
        <v>6182</v>
      </c>
      <c r="AU2086" t="s">
        <v>6182</v>
      </c>
      <c r="AV2086" t="s">
        <v>6182</v>
      </c>
      <c r="AW2086" t="s">
        <v>2213</v>
      </c>
      <c r="AX2086" t="s">
        <v>4849</v>
      </c>
      <c r="AY2086" t="s">
        <v>2213</v>
      </c>
      <c r="AZ2086" t="s">
        <v>4849</v>
      </c>
      <c r="BB2086">
        <v>195.48</v>
      </c>
      <c r="BC2086">
        <v>0.46</v>
      </c>
      <c r="BD2086">
        <v>9.92</v>
      </c>
      <c r="BE2086">
        <v>9.93</v>
      </c>
      <c r="BF2086">
        <v>9.93</v>
      </c>
      <c r="BG2086" t="s">
        <v>21353</v>
      </c>
      <c r="BH2086" t="s">
        <v>2213</v>
      </c>
      <c r="BI2086" t="s">
        <v>4849</v>
      </c>
      <c r="BJ2086" t="s">
        <v>101</v>
      </c>
      <c r="BN2086" t="s">
        <v>14623</v>
      </c>
    </row>
    <row r="2087" spans="1:66" x14ac:dyDescent="0.25">
      <c r="A2087" t="str">
        <f>HYPERLINK("https://elite.finviz.com/quote.ashx?t=GAIA&amp;ty=c&amp;p=d&amp;b=1", "GAIA")</f>
        <v>GAIA</v>
      </c>
      <c r="B2087">
        <v>6</v>
      </c>
      <c r="C2087">
        <v>127.03</v>
      </c>
      <c r="D2087">
        <v>62.61</v>
      </c>
      <c r="E2087" t="s">
        <v>21354</v>
      </c>
      <c r="F2087" t="s">
        <v>67</v>
      </c>
      <c r="G2087" t="s">
        <v>598</v>
      </c>
      <c r="H2087" t="s">
        <v>4247</v>
      </c>
      <c r="I2087" t="s">
        <v>70</v>
      </c>
      <c r="J2087" t="s">
        <v>321</v>
      </c>
      <c r="K2087">
        <v>154.41999999999999</v>
      </c>
      <c r="L2087">
        <v>6.15</v>
      </c>
      <c r="M2087" t="s">
        <v>1488</v>
      </c>
      <c r="N2087">
        <v>6085</v>
      </c>
      <c r="R2087">
        <v>1.62</v>
      </c>
      <c r="S2087">
        <v>1.8</v>
      </c>
      <c r="V2087" t="s">
        <v>21355</v>
      </c>
      <c r="AA2087">
        <v>-0.2</v>
      </c>
      <c r="AC2087" t="s">
        <v>4311</v>
      </c>
      <c r="AE2087" t="s">
        <v>2471</v>
      </c>
      <c r="AF2087" t="s">
        <v>5497</v>
      </c>
      <c r="AG2087" t="s">
        <v>5839</v>
      </c>
      <c r="AH2087" t="s">
        <v>12555</v>
      </c>
      <c r="AI2087" t="s">
        <v>2438</v>
      </c>
      <c r="AJ2087" t="s">
        <v>2468</v>
      </c>
      <c r="AK2087" t="s">
        <v>21356</v>
      </c>
      <c r="AL2087">
        <v>0.54</v>
      </c>
      <c r="AM2087">
        <v>0.54</v>
      </c>
      <c r="AN2087">
        <v>0.13</v>
      </c>
      <c r="AO2087" t="s">
        <v>21357</v>
      </c>
      <c r="AP2087" t="s">
        <v>2401</v>
      </c>
      <c r="AQ2087" t="s">
        <v>8830</v>
      </c>
      <c r="AR2087" t="s">
        <v>4104</v>
      </c>
      <c r="AS2087" t="s">
        <v>3520</v>
      </c>
      <c r="AT2087" t="s">
        <v>353</v>
      </c>
      <c r="AU2087" t="s">
        <v>4874</v>
      </c>
      <c r="AV2087" t="s">
        <v>10959</v>
      </c>
      <c r="AW2087" t="s">
        <v>5312</v>
      </c>
      <c r="AX2087" t="s">
        <v>17130</v>
      </c>
      <c r="AY2087" t="s">
        <v>2593</v>
      </c>
      <c r="AZ2087" t="s">
        <v>21358</v>
      </c>
      <c r="BA2087">
        <v>1</v>
      </c>
      <c r="BB2087">
        <v>73.97</v>
      </c>
      <c r="BC2087">
        <v>0.28999999999999998</v>
      </c>
      <c r="BD2087">
        <v>6.08</v>
      </c>
      <c r="BE2087">
        <v>6.14</v>
      </c>
      <c r="BF2087">
        <v>6.07</v>
      </c>
      <c r="BG2087" t="s">
        <v>21359</v>
      </c>
      <c r="BH2087" t="s">
        <v>6367</v>
      </c>
      <c r="BI2087" t="s">
        <v>13093</v>
      </c>
      <c r="BJ2087" t="s">
        <v>101</v>
      </c>
      <c r="BK2087" t="s">
        <v>271</v>
      </c>
      <c r="BL2087" t="s">
        <v>16695</v>
      </c>
      <c r="BM2087" t="s">
        <v>3161</v>
      </c>
      <c r="BN2087" t="s">
        <v>14623</v>
      </c>
    </row>
    <row r="2088" spans="1:66" x14ac:dyDescent="0.25">
      <c r="A2088" t="str">
        <f>HYPERLINK("https://elite.finviz.com/quote.ashx?t=PACS&amp;ty=c&amp;p=d&amp;b=1", "PACS")</f>
        <v>PACS</v>
      </c>
      <c r="B2088">
        <v>6</v>
      </c>
      <c r="C2088">
        <v>127.03</v>
      </c>
      <c r="D2088">
        <v>62.65</v>
      </c>
      <c r="E2088" t="s">
        <v>21360</v>
      </c>
      <c r="F2088" t="s">
        <v>67</v>
      </c>
      <c r="G2088" t="s">
        <v>428</v>
      </c>
      <c r="H2088" t="s">
        <v>3160</v>
      </c>
      <c r="I2088" t="s">
        <v>70</v>
      </c>
      <c r="J2088" t="s">
        <v>71</v>
      </c>
      <c r="K2088">
        <v>2062.31</v>
      </c>
      <c r="L2088">
        <v>13.29</v>
      </c>
      <c r="M2088" t="s">
        <v>3524</v>
      </c>
      <c r="N2088">
        <v>248528</v>
      </c>
      <c r="P2088">
        <v>6.07</v>
      </c>
      <c r="S2088">
        <v>3.54</v>
      </c>
      <c r="AB2088" t="s">
        <v>20344</v>
      </c>
      <c r="AF2088" t="s">
        <v>21361</v>
      </c>
      <c r="AI2088" t="s">
        <v>850</v>
      </c>
      <c r="AJ2088" t="s">
        <v>164</v>
      </c>
      <c r="AK2088" t="s">
        <v>21362</v>
      </c>
      <c r="AL2088">
        <v>1.71</v>
      </c>
      <c r="AM2088">
        <v>1.71</v>
      </c>
      <c r="AN2088">
        <v>4.74</v>
      </c>
      <c r="AR2088" t="s">
        <v>3057</v>
      </c>
      <c r="AS2088" t="s">
        <v>6225</v>
      </c>
      <c r="AT2088" t="s">
        <v>8364</v>
      </c>
      <c r="AU2088" t="s">
        <v>20499</v>
      </c>
      <c r="AV2088" t="s">
        <v>3327</v>
      </c>
      <c r="AW2088" t="s">
        <v>5721</v>
      </c>
      <c r="AX2088" t="s">
        <v>20294</v>
      </c>
      <c r="AY2088" t="s">
        <v>21363</v>
      </c>
      <c r="AZ2088" t="s">
        <v>20294</v>
      </c>
      <c r="BA2088">
        <v>1</v>
      </c>
      <c r="BB2088">
        <v>846.68</v>
      </c>
      <c r="BC2088">
        <v>1.03</v>
      </c>
      <c r="BD2088">
        <v>12.69</v>
      </c>
      <c r="BE2088">
        <v>13.48</v>
      </c>
      <c r="BF2088">
        <v>12.69</v>
      </c>
      <c r="BG2088" t="s">
        <v>21364</v>
      </c>
      <c r="BH2088" t="s">
        <v>21363</v>
      </c>
      <c r="BI2088" t="s">
        <v>20294</v>
      </c>
      <c r="BJ2088" t="s">
        <v>101</v>
      </c>
      <c r="BK2088" t="s">
        <v>4255</v>
      </c>
      <c r="BL2088" t="s">
        <v>7710</v>
      </c>
      <c r="BM2088" t="s">
        <v>21365</v>
      </c>
      <c r="BN2088" t="s">
        <v>14623</v>
      </c>
    </row>
    <row r="2089" spans="1:66" x14ac:dyDescent="0.25">
      <c r="A2089" t="str">
        <f>HYPERLINK("https://elite.finviz.com/quote.ashx?t=DXR&amp;ty=c&amp;p=d&amp;b=1", "DXR")</f>
        <v>DXR</v>
      </c>
      <c r="B2089">
        <v>6</v>
      </c>
      <c r="C2089">
        <v>127.03</v>
      </c>
      <c r="D2089">
        <v>62.71</v>
      </c>
      <c r="E2089" t="s">
        <v>21366</v>
      </c>
      <c r="F2089" t="s">
        <v>107</v>
      </c>
      <c r="G2089" t="s">
        <v>428</v>
      </c>
      <c r="H2089" t="s">
        <v>2161</v>
      </c>
      <c r="I2089" t="s">
        <v>70</v>
      </c>
      <c r="J2089" t="s">
        <v>321</v>
      </c>
      <c r="K2089">
        <v>60.59</v>
      </c>
      <c r="L2089">
        <v>12.22</v>
      </c>
      <c r="M2089" t="s">
        <v>2202</v>
      </c>
      <c r="N2089">
        <v>57</v>
      </c>
      <c r="O2089">
        <v>33.49</v>
      </c>
      <c r="R2089">
        <v>56.62</v>
      </c>
      <c r="S2089">
        <v>1.71</v>
      </c>
      <c r="V2089" t="s">
        <v>21367</v>
      </c>
      <c r="Z2089" t="s">
        <v>164</v>
      </c>
      <c r="AA2089">
        <v>0.36</v>
      </c>
      <c r="AB2089" t="s">
        <v>1327</v>
      </c>
      <c r="AE2089" t="s">
        <v>13788</v>
      </c>
      <c r="AF2089" t="s">
        <v>15069</v>
      </c>
      <c r="AH2089" t="s">
        <v>21368</v>
      </c>
      <c r="AJ2089" t="s">
        <v>211</v>
      </c>
      <c r="AK2089" t="s">
        <v>2307</v>
      </c>
      <c r="AL2089">
        <v>0.19</v>
      </c>
      <c r="AM2089">
        <v>0.19</v>
      </c>
      <c r="AN2089">
        <v>0.01</v>
      </c>
      <c r="AO2089" t="s">
        <v>21369</v>
      </c>
      <c r="AP2089" t="s">
        <v>21370</v>
      </c>
      <c r="AQ2089" t="s">
        <v>18271</v>
      </c>
      <c r="AR2089" t="s">
        <v>4394</v>
      </c>
      <c r="AS2089" t="s">
        <v>3025</v>
      </c>
      <c r="AT2089" t="s">
        <v>1160</v>
      </c>
      <c r="AU2089" t="s">
        <v>2111</v>
      </c>
      <c r="AV2089" t="s">
        <v>2238</v>
      </c>
      <c r="AW2089" t="s">
        <v>3227</v>
      </c>
      <c r="AX2089" t="s">
        <v>7495</v>
      </c>
      <c r="AY2089" t="s">
        <v>3227</v>
      </c>
      <c r="AZ2089" t="s">
        <v>16478</v>
      </c>
      <c r="BA2089">
        <v>1</v>
      </c>
      <c r="BB2089">
        <v>28.45</v>
      </c>
      <c r="BC2089">
        <v>0.01</v>
      </c>
      <c r="BD2089">
        <v>11.98</v>
      </c>
      <c r="BE2089">
        <v>12.09</v>
      </c>
      <c r="BF2089">
        <v>12.09</v>
      </c>
      <c r="BG2089" t="s">
        <v>21371</v>
      </c>
      <c r="BH2089" t="s">
        <v>21372</v>
      </c>
      <c r="BI2089" t="s">
        <v>21373</v>
      </c>
      <c r="BJ2089" t="s">
        <v>101</v>
      </c>
      <c r="BK2089" t="s">
        <v>19212</v>
      </c>
      <c r="BL2089" t="s">
        <v>5483</v>
      </c>
      <c r="BM2089" t="s">
        <v>19585</v>
      </c>
      <c r="BN2089" t="s">
        <v>14623</v>
      </c>
    </row>
    <row r="2090" spans="1:66" x14ac:dyDescent="0.25">
      <c r="A2090" t="str">
        <f>HYPERLINK("https://elite.finviz.com/quote.ashx?t=PFSI&amp;ty=c&amp;p=d&amp;b=1", "PFSI")</f>
        <v>PFSI</v>
      </c>
      <c r="B2090">
        <v>6</v>
      </c>
      <c r="C2090">
        <v>127.03</v>
      </c>
      <c r="D2090">
        <v>62.74</v>
      </c>
      <c r="E2090" t="s">
        <v>21374</v>
      </c>
      <c r="F2090" t="s">
        <v>67</v>
      </c>
      <c r="G2090" t="s">
        <v>550</v>
      </c>
      <c r="H2090" t="s">
        <v>3699</v>
      </c>
      <c r="I2090" t="s">
        <v>70</v>
      </c>
      <c r="J2090" t="s">
        <v>71</v>
      </c>
      <c r="K2090">
        <v>6337.84</v>
      </c>
      <c r="L2090">
        <v>122.57</v>
      </c>
      <c r="M2090" t="s">
        <v>7709</v>
      </c>
      <c r="N2090">
        <v>25576</v>
      </c>
      <c r="O2090">
        <v>16.989999999999998</v>
      </c>
      <c r="P2090">
        <v>8.84</v>
      </c>
      <c r="Q2090">
        <v>0.4</v>
      </c>
      <c r="R2090">
        <v>1.64</v>
      </c>
      <c r="S2090">
        <v>1.57</v>
      </c>
      <c r="T2090" t="s">
        <v>5055</v>
      </c>
      <c r="U2090">
        <v>1.2</v>
      </c>
      <c r="V2090" t="s">
        <v>8649</v>
      </c>
      <c r="W2090" t="s">
        <v>2621</v>
      </c>
      <c r="X2090" t="s">
        <v>4512</v>
      </c>
      <c r="Y2090" t="s">
        <v>21375</v>
      </c>
      <c r="Z2090" t="s">
        <v>7399</v>
      </c>
      <c r="AA2090">
        <v>7.21</v>
      </c>
      <c r="AB2090" t="s">
        <v>16816</v>
      </c>
      <c r="AC2090" t="s">
        <v>2233</v>
      </c>
      <c r="AD2090" t="s">
        <v>3149</v>
      </c>
      <c r="AE2090" t="s">
        <v>12784</v>
      </c>
      <c r="AF2090" t="s">
        <v>6741</v>
      </c>
      <c r="AG2090" t="s">
        <v>4110</v>
      </c>
      <c r="AH2090" t="s">
        <v>2202</v>
      </c>
      <c r="AI2090" t="s">
        <v>5271</v>
      </c>
      <c r="AJ2090" t="s">
        <v>4408</v>
      </c>
      <c r="AK2090" t="s">
        <v>21376</v>
      </c>
      <c r="AL2090">
        <v>0.09</v>
      </c>
      <c r="AM2090">
        <v>0.09</v>
      </c>
      <c r="AN2090">
        <v>3.37</v>
      </c>
      <c r="AO2090" t="s">
        <v>11403</v>
      </c>
      <c r="AP2090" t="s">
        <v>11983</v>
      </c>
      <c r="AQ2090" t="s">
        <v>9037</v>
      </c>
      <c r="AR2090" t="s">
        <v>1439</v>
      </c>
      <c r="AS2090" t="s">
        <v>2333</v>
      </c>
      <c r="AT2090" t="s">
        <v>907</v>
      </c>
      <c r="AU2090" t="s">
        <v>239</v>
      </c>
      <c r="AV2090" t="s">
        <v>2928</v>
      </c>
      <c r="AW2090" t="s">
        <v>8710</v>
      </c>
      <c r="AX2090" t="s">
        <v>6114</v>
      </c>
      <c r="AY2090" t="s">
        <v>8710</v>
      </c>
      <c r="AZ2090" t="s">
        <v>8306</v>
      </c>
      <c r="BA2090">
        <v>1.43</v>
      </c>
      <c r="BB2090">
        <v>438.34</v>
      </c>
      <c r="BC2090">
        <v>0.21</v>
      </c>
      <c r="BD2090">
        <v>122.59</v>
      </c>
      <c r="BE2090">
        <v>123.8</v>
      </c>
      <c r="BF2090">
        <v>122.34</v>
      </c>
      <c r="BG2090" t="s">
        <v>21377</v>
      </c>
      <c r="BH2090" t="s">
        <v>8710</v>
      </c>
      <c r="BI2090" t="s">
        <v>21378</v>
      </c>
      <c r="BJ2090" t="s">
        <v>101</v>
      </c>
      <c r="BK2090" t="s">
        <v>3899</v>
      </c>
      <c r="BL2090" t="s">
        <v>245</v>
      </c>
      <c r="BM2090" t="s">
        <v>2400</v>
      </c>
      <c r="BN2090" t="s">
        <v>14623</v>
      </c>
    </row>
    <row r="2091" spans="1:66" x14ac:dyDescent="0.25">
      <c r="A2091" t="str">
        <f>HYPERLINK("https://elite.finviz.com/quote.ashx?t=CMBM&amp;ty=c&amp;p=d&amp;b=1", "CMBM")</f>
        <v>CMBM</v>
      </c>
      <c r="B2091">
        <v>6</v>
      </c>
      <c r="C2091">
        <v>127.03</v>
      </c>
      <c r="D2091">
        <v>62.74</v>
      </c>
      <c r="E2091" t="s">
        <v>21379</v>
      </c>
      <c r="F2091" t="s">
        <v>107</v>
      </c>
      <c r="G2091" t="s">
        <v>108</v>
      </c>
      <c r="H2091" t="s">
        <v>1921</v>
      </c>
      <c r="I2091" t="s">
        <v>70</v>
      </c>
      <c r="J2091" t="s">
        <v>321</v>
      </c>
      <c r="K2091">
        <v>26.82</v>
      </c>
      <c r="L2091">
        <v>0.95</v>
      </c>
      <c r="M2091" t="s">
        <v>698</v>
      </c>
      <c r="N2091">
        <v>51308</v>
      </c>
      <c r="R2091">
        <v>0.16</v>
      </c>
      <c r="S2091">
        <v>0.61</v>
      </c>
      <c r="AA2091">
        <v>-3.53</v>
      </c>
      <c r="AC2091" t="s">
        <v>21380</v>
      </c>
      <c r="AE2091" t="s">
        <v>21381</v>
      </c>
      <c r="AF2091" t="s">
        <v>6757</v>
      </c>
      <c r="AG2091" t="s">
        <v>6359</v>
      </c>
      <c r="AH2091" t="s">
        <v>4275</v>
      </c>
      <c r="AI2091" t="s">
        <v>5653</v>
      </c>
      <c r="AJ2091" t="s">
        <v>164</v>
      </c>
      <c r="AK2091" t="s">
        <v>9097</v>
      </c>
      <c r="AL2091">
        <v>1.1000000000000001</v>
      </c>
      <c r="AM2091">
        <v>0.82</v>
      </c>
      <c r="AN2091">
        <v>1.76</v>
      </c>
      <c r="AO2091" t="s">
        <v>1777</v>
      </c>
      <c r="AP2091" t="s">
        <v>14721</v>
      </c>
      <c r="AQ2091" t="s">
        <v>21382</v>
      </c>
      <c r="AR2091" t="s">
        <v>8781</v>
      </c>
      <c r="AS2091" t="s">
        <v>341</v>
      </c>
      <c r="AT2091" t="s">
        <v>12627</v>
      </c>
      <c r="AU2091" t="s">
        <v>1625</v>
      </c>
      <c r="AV2091" t="s">
        <v>21383</v>
      </c>
      <c r="AW2091" t="s">
        <v>21384</v>
      </c>
      <c r="AX2091" t="s">
        <v>9442</v>
      </c>
      <c r="AY2091" t="s">
        <v>21385</v>
      </c>
      <c r="AZ2091" t="s">
        <v>21386</v>
      </c>
      <c r="BA2091">
        <v>1</v>
      </c>
      <c r="BB2091">
        <v>678.82</v>
      </c>
      <c r="BC2091">
        <v>0.27</v>
      </c>
      <c r="BD2091">
        <v>0.95</v>
      </c>
      <c r="BE2091">
        <v>0.97</v>
      </c>
      <c r="BF2091">
        <v>0.92</v>
      </c>
      <c r="BG2091" t="s">
        <v>21387</v>
      </c>
      <c r="BH2091" t="s">
        <v>21388</v>
      </c>
      <c r="BI2091" t="s">
        <v>21386</v>
      </c>
      <c r="BJ2091" t="s">
        <v>101</v>
      </c>
      <c r="BK2091" t="s">
        <v>21389</v>
      </c>
      <c r="BL2091" t="s">
        <v>3899</v>
      </c>
      <c r="BM2091" t="s">
        <v>16369</v>
      </c>
      <c r="BN2091" t="s">
        <v>14623</v>
      </c>
    </row>
    <row r="2092" spans="1:66" x14ac:dyDescent="0.25">
      <c r="A2092" t="str">
        <f>HYPERLINK("https://elite.finviz.com/quote.ashx?t=GSIT&amp;ty=c&amp;p=d&amp;b=1", "GSIT")</f>
        <v>GSIT</v>
      </c>
      <c r="B2092">
        <v>6</v>
      </c>
      <c r="C2092">
        <v>127.03</v>
      </c>
      <c r="D2092">
        <v>62.75</v>
      </c>
      <c r="E2092" t="s">
        <v>21390</v>
      </c>
      <c r="F2092" t="s">
        <v>107</v>
      </c>
      <c r="G2092" t="s">
        <v>108</v>
      </c>
      <c r="H2092" t="s">
        <v>1808</v>
      </c>
      <c r="I2092" t="s">
        <v>70</v>
      </c>
      <c r="J2092" t="s">
        <v>321</v>
      </c>
      <c r="K2092">
        <v>111.57</v>
      </c>
      <c r="L2092">
        <v>3.84</v>
      </c>
      <c r="M2092" t="s">
        <v>1022</v>
      </c>
      <c r="N2092">
        <v>24931</v>
      </c>
      <c r="R2092">
        <v>5.04</v>
      </c>
      <c r="S2092">
        <v>2.99</v>
      </c>
      <c r="AA2092">
        <v>-0.54</v>
      </c>
      <c r="AB2092" t="s">
        <v>800</v>
      </c>
      <c r="AC2092" t="s">
        <v>2145</v>
      </c>
      <c r="AE2092" t="s">
        <v>2985</v>
      </c>
      <c r="AF2092" t="s">
        <v>20126</v>
      </c>
      <c r="AG2092" t="s">
        <v>6657</v>
      </c>
      <c r="AH2092" t="s">
        <v>3069</v>
      </c>
      <c r="AJ2092" t="s">
        <v>2760</v>
      </c>
      <c r="AK2092" t="s">
        <v>15187</v>
      </c>
      <c r="AL2092">
        <v>5.79</v>
      </c>
      <c r="AM2092">
        <v>5.09</v>
      </c>
      <c r="AN2092">
        <v>0.25</v>
      </c>
      <c r="AO2092" t="s">
        <v>13516</v>
      </c>
      <c r="AP2092" t="s">
        <v>21391</v>
      </c>
      <c r="AQ2092" t="s">
        <v>21392</v>
      </c>
      <c r="AR2092" t="s">
        <v>5210</v>
      </c>
      <c r="AS2092" t="s">
        <v>896</v>
      </c>
      <c r="AT2092" t="s">
        <v>10380</v>
      </c>
      <c r="AU2092" t="s">
        <v>7685</v>
      </c>
      <c r="AV2092" t="s">
        <v>9557</v>
      </c>
      <c r="AW2092" t="s">
        <v>21381</v>
      </c>
      <c r="AX2092" t="s">
        <v>7687</v>
      </c>
      <c r="AY2092" t="s">
        <v>21381</v>
      </c>
      <c r="AZ2092" t="s">
        <v>21393</v>
      </c>
      <c r="BA2092">
        <v>2.5</v>
      </c>
      <c r="BB2092">
        <v>284.10000000000002</v>
      </c>
      <c r="BC2092">
        <v>0.31</v>
      </c>
      <c r="BD2092">
        <v>3.81</v>
      </c>
      <c r="BE2092">
        <v>3.92</v>
      </c>
      <c r="BF2092">
        <v>3.78</v>
      </c>
      <c r="BG2092" t="s">
        <v>21394</v>
      </c>
      <c r="BH2092" t="s">
        <v>21395</v>
      </c>
      <c r="BI2092" t="s">
        <v>21396</v>
      </c>
      <c r="BJ2092" t="s">
        <v>101</v>
      </c>
      <c r="BK2092" t="s">
        <v>3188</v>
      </c>
      <c r="BL2092" t="s">
        <v>7779</v>
      </c>
      <c r="BM2092" t="s">
        <v>2915</v>
      </c>
      <c r="BN2092" t="s">
        <v>14623</v>
      </c>
    </row>
    <row r="2093" spans="1:66" x14ac:dyDescent="0.25">
      <c r="A2093" t="str">
        <f>HYPERLINK("https://elite.finviz.com/quote.ashx?t=MVBF&amp;ty=c&amp;p=d&amp;b=1", "MVBF")</f>
        <v>MVBF</v>
      </c>
      <c r="B2093">
        <v>6</v>
      </c>
      <c r="C2093">
        <v>127.03</v>
      </c>
      <c r="D2093">
        <v>62.8</v>
      </c>
      <c r="E2093" t="s">
        <v>21397</v>
      </c>
      <c r="F2093" t="s">
        <v>67</v>
      </c>
      <c r="G2093" t="s">
        <v>550</v>
      </c>
      <c r="H2093" t="s">
        <v>697</v>
      </c>
      <c r="I2093" t="s">
        <v>70</v>
      </c>
      <c r="J2093" t="s">
        <v>321</v>
      </c>
      <c r="K2093">
        <v>315.04000000000002</v>
      </c>
      <c r="L2093">
        <v>24.75</v>
      </c>
      <c r="M2093" t="s">
        <v>4507</v>
      </c>
      <c r="N2093">
        <v>3305</v>
      </c>
      <c r="O2093">
        <v>19.07</v>
      </c>
      <c r="P2093">
        <v>12.49</v>
      </c>
      <c r="Q2093">
        <v>0.64</v>
      </c>
      <c r="R2093">
        <v>1.57</v>
      </c>
      <c r="S2093">
        <v>1.04</v>
      </c>
      <c r="T2093" t="s">
        <v>2743</v>
      </c>
      <c r="U2093">
        <v>0.68</v>
      </c>
      <c r="V2093" t="s">
        <v>4882</v>
      </c>
      <c r="W2093" t="s">
        <v>164</v>
      </c>
      <c r="X2093" t="s">
        <v>1115</v>
      </c>
      <c r="Y2093" t="s">
        <v>1663</v>
      </c>
      <c r="Z2093" t="s">
        <v>1555</v>
      </c>
      <c r="AA2093">
        <v>1.3</v>
      </c>
      <c r="AB2093" t="s">
        <v>21398</v>
      </c>
      <c r="AC2093" t="s">
        <v>94</v>
      </c>
      <c r="AD2093" t="s">
        <v>10294</v>
      </c>
      <c r="AE2093" t="s">
        <v>14813</v>
      </c>
      <c r="AF2093" t="s">
        <v>9224</v>
      </c>
      <c r="AG2093" t="s">
        <v>8727</v>
      </c>
      <c r="AH2093" t="s">
        <v>3869</v>
      </c>
      <c r="AI2093" t="s">
        <v>21399</v>
      </c>
      <c r="AJ2093" t="s">
        <v>4538</v>
      </c>
      <c r="AK2093" t="s">
        <v>6682</v>
      </c>
      <c r="AL2093">
        <v>0.21</v>
      </c>
      <c r="AN2093">
        <v>0.25</v>
      </c>
      <c r="AP2093" t="s">
        <v>305</v>
      </c>
      <c r="AQ2093" t="s">
        <v>1700</v>
      </c>
      <c r="AR2093" t="s">
        <v>3757</v>
      </c>
      <c r="AS2093" t="s">
        <v>3856</v>
      </c>
      <c r="AT2093" t="s">
        <v>4276</v>
      </c>
      <c r="AU2093" t="s">
        <v>2419</v>
      </c>
      <c r="AV2093" t="s">
        <v>7601</v>
      </c>
      <c r="AW2093" t="s">
        <v>6257</v>
      </c>
      <c r="AX2093" t="s">
        <v>1199</v>
      </c>
      <c r="AY2093" t="s">
        <v>6257</v>
      </c>
      <c r="AZ2093" t="s">
        <v>20611</v>
      </c>
      <c r="BA2093">
        <v>1.25</v>
      </c>
      <c r="BB2093">
        <v>56.76</v>
      </c>
      <c r="BC2093">
        <v>0.21</v>
      </c>
      <c r="BD2093">
        <v>24.73</v>
      </c>
      <c r="BE2093">
        <v>24.87</v>
      </c>
      <c r="BF2093">
        <v>24.62</v>
      </c>
      <c r="BG2093" t="s">
        <v>21400</v>
      </c>
      <c r="BH2093" t="s">
        <v>21401</v>
      </c>
      <c r="BI2093" t="s">
        <v>21402</v>
      </c>
      <c r="BJ2093" t="s">
        <v>101</v>
      </c>
      <c r="BK2093" t="s">
        <v>6085</v>
      </c>
      <c r="BL2093" t="s">
        <v>4176</v>
      </c>
      <c r="BM2093" t="s">
        <v>17883</v>
      </c>
      <c r="BN2093" t="s">
        <v>14623</v>
      </c>
    </row>
    <row r="2094" spans="1:66" x14ac:dyDescent="0.25">
      <c r="A2094" t="str">
        <f>HYPERLINK("https://elite.finviz.com/quote.ashx?t=HYAC&amp;ty=c&amp;p=d&amp;b=1", "HYAC")</f>
        <v>HYAC</v>
      </c>
      <c r="B2094">
        <v>6</v>
      </c>
      <c r="C2094">
        <v>127.03</v>
      </c>
      <c r="D2094">
        <v>62.85</v>
      </c>
      <c r="E2094" t="s">
        <v>21403</v>
      </c>
      <c r="F2094" t="s">
        <v>107</v>
      </c>
      <c r="G2094" t="s">
        <v>550</v>
      </c>
      <c r="H2094" t="s">
        <v>2120</v>
      </c>
      <c r="I2094" t="s">
        <v>70</v>
      </c>
      <c r="J2094" t="s">
        <v>71</v>
      </c>
      <c r="K2094">
        <v>330.9</v>
      </c>
      <c r="L2094">
        <v>11.34</v>
      </c>
      <c r="M2094" t="s">
        <v>2125</v>
      </c>
      <c r="N2094">
        <v>2</v>
      </c>
      <c r="O2094">
        <v>33.01</v>
      </c>
      <c r="S2094">
        <v>1.37</v>
      </c>
      <c r="Z2094" t="s">
        <v>164</v>
      </c>
      <c r="AA2094">
        <v>0.34</v>
      </c>
      <c r="AJ2094" t="s">
        <v>164</v>
      </c>
      <c r="AK2094" t="s">
        <v>21404</v>
      </c>
      <c r="AL2094">
        <v>0.03</v>
      </c>
      <c r="AM2094">
        <v>0.03</v>
      </c>
      <c r="AN2094">
        <v>0</v>
      </c>
      <c r="AR2094" t="s">
        <v>2641</v>
      </c>
      <c r="AS2094" t="s">
        <v>2275</v>
      </c>
      <c r="AT2094" t="s">
        <v>4689</v>
      </c>
      <c r="AU2094" t="s">
        <v>192</v>
      </c>
      <c r="AV2094" t="s">
        <v>2700</v>
      </c>
      <c r="AW2094" t="s">
        <v>3486</v>
      </c>
      <c r="AX2094" t="s">
        <v>2273</v>
      </c>
      <c r="AY2094" t="s">
        <v>3486</v>
      </c>
      <c r="AZ2094" t="s">
        <v>2398</v>
      </c>
      <c r="BB2094">
        <v>205.82</v>
      </c>
      <c r="BC2094">
        <v>0</v>
      </c>
      <c r="BD2094">
        <v>11.24</v>
      </c>
      <c r="BE2094">
        <v>11.34</v>
      </c>
      <c r="BF2094">
        <v>11.34</v>
      </c>
      <c r="BG2094" t="s">
        <v>21405</v>
      </c>
      <c r="BH2094" t="s">
        <v>3486</v>
      </c>
      <c r="BI2094" t="s">
        <v>5446</v>
      </c>
      <c r="BJ2094" t="s">
        <v>101</v>
      </c>
      <c r="BK2094" t="s">
        <v>2273</v>
      </c>
      <c r="BL2094" t="s">
        <v>3443</v>
      </c>
      <c r="BM2094" t="s">
        <v>11629</v>
      </c>
      <c r="BN2094" t="s">
        <v>14623</v>
      </c>
    </row>
    <row r="2095" spans="1:66" x14ac:dyDescent="0.25">
      <c r="A2095" t="str">
        <f>HYPERLINK("https://elite.finviz.com/quote.ashx?t=DKL&amp;ty=c&amp;p=d&amp;b=1", "DKL")</f>
        <v>DKL</v>
      </c>
      <c r="B2095">
        <v>6</v>
      </c>
      <c r="C2095">
        <v>127.03</v>
      </c>
      <c r="D2095">
        <v>62.87</v>
      </c>
      <c r="E2095" t="s">
        <v>21406</v>
      </c>
      <c r="F2095" t="s">
        <v>107</v>
      </c>
      <c r="G2095" t="s">
        <v>1048</v>
      </c>
      <c r="H2095" t="s">
        <v>3886</v>
      </c>
      <c r="I2095" t="s">
        <v>70</v>
      </c>
      <c r="J2095" t="s">
        <v>71</v>
      </c>
      <c r="K2095">
        <v>2463.62</v>
      </c>
      <c r="L2095">
        <v>46.08</v>
      </c>
      <c r="M2095" t="s">
        <v>2560</v>
      </c>
      <c r="N2095">
        <v>27924</v>
      </c>
      <c r="O2095">
        <v>15.61</v>
      </c>
      <c r="P2095">
        <v>10.68</v>
      </c>
      <c r="Q2095">
        <v>0.93</v>
      </c>
      <c r="R2095">
        <v>2.68</v>
      </c>
      <c r="S2095">
        <v>77.010000000000005</v>
      </c>
      <c r="T2095" t="s">
        <v>2635</v>
      </c>
      <c r="U2095">
        <v>4.43</v>
      </c>
      <c r="V2095" t="s">
        <v>1762</v>
      </c>
      <c r="W2095" t="s">
        <v>4872</v>
      </c>
      <c r="X2095" t="s">
        <v>7453</v>
      </c>
      <c r="Y2095" t="s">
        <v>6527</v>
      </c>
      <c r="Z2095" t="s">
        <v>21407</v>
      </c>
      <c r="AA2095">
        <v>2.95</v>
      </c>
      <c r="AB2095" t="s">
        <v>15221</v>
      </c>
      <c r="AC2095" t="s">
        <v>5256</v>
      </c>
      <c r="AD2095" t="s">
        <v>4601</v>
      </c>
      <c r="AE2095" t="s">
        <v>384</v>
      </c>
      <c r="AF2095" t="s">
        <v>1491</v>
      </c>
      <c r="AG2095" t="s">
        <v>2400</v>
      </c>
      <c r="AH2095" t="s">
        <v>3436</v>
      </c>
      <c r="AI2095" t="s">
        <v>1764</v>
      </c>
      <c r="AJ2095" t="s">
        <v>1249</v>
      </c>
      <c r="AK2095" t="s">
        <v>2511</v>
      </c>
      <c r="AL2095">
        <v>0.93</v>
      </c>
      <c r="AM2095">
        <v>0.89</v>
      </c>
      <c r="AN2095">
        <v>69.41</v>
      </c>
      <c r="AO2095" t="s">
        <v>235</v>
      </c>
      <c r="AP2095" t="s">
        <v>9905</v>
      </c>
      <c r="AQ2095" t="s">
        <v>2963</v>
      </c>
      <c r="AR2095" t="s">
        <v>3856</v>
      </c>
      <c r="AS2095" t="s">
        <v>1129</v>
      </c>
      <c r="AT2095" t="s">
        <v>2624</v>
      </c>
      <c r="AU2095" t="s">
        <v>2721</v>
      </c>
      <c r="AV2095" t="s">
        <v>2625</v>
      </c>
      <c r="AW2095" t="s">
        <v>2998</v>
      </c>
      <c r="AX2095" t="s">
        <v>1110</v>
      </c>
      <c r="AY2095" t="s">
        <v>2998</v>
      </c>
      <c r="AZ2095" t="s">
        <v>21408</v>
      </c>
      <c r="BA2095">
        <v>2</v>
      </c>
      <c r="BB2095">
        <v>71.150000000000006</v>
      </c>
      <c r="BC2095">
        <v>1.38</v>
      </c>
      <c r="BD2095">
        <v>46</v>
      </c>
      <c r="BE2095">
        <v>46.5</v>
      </c>
      <c r="BF2095">
        <v>46</v>
      </c>
      <c r="BG2095" t="s">
        <v>21409</v>
      </c>
      <c r="BH2095" t="s">
        <v>13319</v>
      </c>
      <c r="BI2095" t="s">
        <v>21410</v>
      </c>
      <c r="BJ2095" t="s">
        <v>101</v>
      </c>
      <c r="BK2095" t="s">
        <v>1310</v>
      </c>
      <c r="BL2095" t="s">
        <v>7453</v>
      </c>
      <c r="BM2095" t="s">
        <v>2196</v>
      </c>
      <c r="BN2095" t="s">
        <v>14623</v>
      </c>
    </row>
    <row r="2096" spans="1:66" x14ac:dyDescent="0.25">
      <c r="A2096" t="str">
        <f>HYPERLINK("https://elite.finviz.com/quote.ashx?t=AUGO&amp;ty=c&amp;p=d&amp;b=1", "AUGO")</f>
        <v>AUGO</v>
      </c>
      <c r="B2096">
        <v>6</v>
      </c>
      <c r="C2096">
        <v>127.03</v>
      </c>
      <c r="D2096">
        <v>62.89</v>
      </c>
      <c r="E2096" t="s">
        <v>21411</v>
      </c>
      <c r="F2096" t="s">
        <v>107</v>
      </c>
      <c r="G2096" t="s">
        <v>355</v>
      </c>
      <c r="H2096" t="s">
        <v>1103</v>
      </c>
      <c r="I2096" t="s">
        <v>70</v>
      </c>
      <c r="J2096" t="s">
        <v>321</v>
      </c>
      <c r="K2096">
        <v>2804.46</v>
      </c>
      <c r="L2096">
        <v>33.94</v>
      </c>
      <c r="M2096" t="s">
        <v>1391</v>
      </c>
      <c r="N2096">
        <v>86150</v>
      </c>
      <c r="P2096">
        <v>5.31</v>
      </c>
      <c r="R2096">
        <v>4.12</v>
      </c>
      <c r="S2096">
        <v>18.100000000000001</v>
      </c>
      <c r="T2096" t="s">
        <v>3343</v>
      </c>
      <c r="U2096">
        <v>1.22</v>
      </c>
      <c r="V2096" t="s">
        <v>1440</v>
      </c>
      <c r="W2096" t="s">
        <v>11736</v>
      </c>
      <c r="X2096" t="s">
        <v>9057</v>
      </c>
      <c r="AA2096">
        <v>-0.83</v>
      </c>
      <c r="AE2096" t="s">
        <v>11307</v>
      </c>
      <c r="AF2096" t="s">
        <v>3003</v>
      </c>
      <c r="AG2096" t="s">
        <v>4851</v>
      </c>
      <c r="AH2096" t="s">
        <v>14107</v>
      </c>
      <c r="AI2096" t="s">
        <v>21412</v>
      </c>
      <c r="AJ2096" t="s">
        <v>164</v>
      </c>
      <c r="AK2096" t="s">
        <v>10557</v>
      </c>
      <c r="AL2096">
        <v>1.1200000000000001</v>
      </c>
      <c r="AM2096">
        <v>0.83</v>
      </c>
      <c r="AN2096">
        <v>3.45</v>
      </c>
      <c r="AO2096" t="s">
        <v>19076</v>
      </c>
      <c r="AP2096" t="s">
        <v>18433</v>
      </c>
      <c r="AQ2096" t="s">
        <v>13088</v>
      </c>
      <c r="AR2096" t="s">
        <v>892</v>
      </c>
      <c r="AS2096" t="s">
        <v>5370</v>
      </c>
      <c r="AT2096" t="s">
        <v>204</v>
      </c>
      <c r="AU2096" t="s">
        <v>8807</v>
      </c>
      <c r="AV2096" t="s">
        <v>21413</v>
      </c>
      <c r="AW2096" t="s">
        <v>7621</v>
      </c>
      <c r="AX2096" t="s">
        <v>5052</v>
      </c>
      <c r="AY2096" t="s">
        <v>7621</v>
      </c>
      <c r="AZ2096" t="s">
        <v>21414</v>
      </c>
      <c r="BA2096">
        <v>1</v>
      </c>
      <c r="BB2096">
        <v>234.44</v>
      </c>
      <c r="BC2096">
        <v>1.29</v>
      </c>
      <c r="BD2096">
        <v>32.89</v>
      </c>
      <c r="BE2096">
        <v>34.200000000000003</v>
      </c>
      <c r="BF2096">
        <v>33.1</v>
      </c>
      <c r="BG2096" t="s">
        <v>21415</v>
      </c>
      <c r="BH2096" t="s">
        <v>2844</v>
      </c>
      <c r="BI2096" t="s">
        <v>21416</v>
      </c>
      <c r="BJ2096" t="s">
        <v>101</v>
      </c>
      <c r="BK2096" t="s">
        <v>116</v>
      </c>
      <c r="BL2096" t="s">
        <v>21417</v>
      </c>
      <c r="BM2096" t="s">
        <v>21418</v>
      </c>
      <c r="BN2096" t="s">
        <v>14623</v>
      </c>
    </row>
    <row r="2097" spans="1:66" x14ac:dyDescent="0.25">
      <c r="A2097" t="str">
        <f>HYPERLINK("https://elite.finviz.com/quote.ashx?t=SSYS&amp;ty=c&amp;p=d&amp;b=1", "SSYS")</f>
        <v>SSYS</v>
      </c>
      <c r="B2097">
        <v>6</v>
      </c>
      <c r="C2097">
        <v>127.03</v>
      </c>
      <c r="D2097">
        <v>62.91</v>
      </c>
      <c r="E2097" t="s">
        <v>21419</v>
      </c>
      <c r="F2097" t="s">
        <v>107</v>
      </c>
      <c r="G2097" t="s">
        <v>108</v>
      </c>
      <c r="H2097" t="s">
        <v>496</v>
      </c>
      <c r="I2097" t="s">
        <v>70</v>
      </c>
      <c r="J2097" t="s">
        <v>321</v>
      </c>
      <c r="K2097">
        <v>975.38</v>
      </c>
      <c r="L2097">
        <v>11.47</v>
      </c>
      <c r="M2097" t="s">
        <v>7568</v>
      </c>
      <c r="N2097">
        <v>259938</v>
      </c>
      <c r="P2097">
        <v>42.48</v>
      </c>
      <c r="R2097">
        <v>1.73</v>
      </c>
      <c r="S2097">
        <v>1.08</v>
      </c>
      <c r="AA2097">
        <v>-1.34</v>
      </c>
      <c r="AB2097" t="s">
        <v>21420</v>
      </c>
      <c r="AC2097" t="s">
        <v>21421</v>
      </c>
      <c r="AE2097" t="s">
        <v>8156</v>
      </c>
      <c r="AF2097" t="s">
        <v>8053</v>
      </c>
      <c r="AG2097" t="s">
        <v>4150</v>
      </c>
      <c r="AH2097" t="s">
        <v>5549</v>
      </c>
      <c r="AI2097" t="s">
        <v>370</v>
      </c>
      <c r="AJ2097" t="s">
        <v>164</v>
      </c>
      <c r="AK2097" t="s">
        <v>5750</v>
      </c>
      <c r="AL2097">
        <v>3.7</v>
      </c>
      <c r="AM2097">
        <v>2.71</v>
      </c>
      <c r="AN2097">
        <v>0.03</v>
      </c>
      <c r="AO2097" t="s">
        <v>21422</v>
      </c>
      <c r="AP2097" t="s">
        <v>7101</v>
      </c>
      <c r="AQ2097" t="s">
        <v>21423</v>
      </c>
      <c r="AR2097" t="s">
        <v>906</v>
      </c>
      <c r="AS2097" t="s">
        <v>169</v>
      </c>
      <c r="AT2097" t="s">
        <v>10793</v>
      </c>
      <c r="AU2097" t="s">
        <v>3818</v>
      </c>
      <c r="AV2097" t="s">
        <v>5551</v>
      </c>
      <c r="AW2097" t="s">
        <v>5703</v>
      </c>
      <c r="AX2097" t="s">
        <v>10169</v>
      </c>
      <c r="AY2097" t="s">
        <v>9631</v>
      </c>
      <c r="AZ2097" t="s">
        <v>5352</v>
      </c>
      <c r="BA2097">
        <v>1.6</v>
      </c>
      <c r="BB2097">
        <v>885.21</v>
      </c>
      <c r="BC2097">
        <v>1.03</v>
      </c>
      <c r="BD2097">
        <v>11.59</v>
      </c>
      <c r="BE2097">
        <v>11.73</v>
      </c>
      <c r="BF2097">
        <v>11.43</v>
      </c>
      <c r="BG2097" t="s">
        <v>21424</v>
      </c>
      <c r="BH2097" t="s">
        <v>21425</v>
      </c>
      <c r="BI2097" t="s">
        <v>21426</v>
      </c>
      <c r="BJ2097" t="s">
        <v>101</v>
      </c>
      <c r="BK2097" t="s">
        <v>92</v>
      </c>
      <c r="BL2097" t="s">
        <v>330</v>
      </c>
      <c r="BM2097" t="s">
        <v>2207</v>
      </c>
      <c r="BN2097" t="s">
        <v>14623</v>
      </c>
    </row>
    <row r="2098" spans="1:66" x14ac:dyDescent="0.25">
      <c r="A2098" t="str">
        <f>HYPERLINK("https://elite.finviz.com/quote.ashx?t=ISBA&amp;ty=c&amp;p=d&amp;b=1", "ISBA")</f>
        <v>ISBA</v>
      </c>
      <c r="B2098">
        <v>6</v>
      </c>
      <c r="C2098">
        <v>127.03</v>
      </c>
      <c r="D2098">
        <v>62.94</v>
      </c>
      <c r="E2098" t="s">
        <v>21427</v>
      </c>
      <c r="F2098" t="s">
        <v>107</v>
      </c>
      <c r="G2098" t="s">
        <v>550</v>
      </c>
      <c r="H2098" t="s">
        <v>697</v>
      </c>
      <c r="I2098" t="s">
        <v>70</v>
      </c>
      <c r="J2098" t="s">
        <v>321</v>
      </c>
      <c r="K2098">
        <v>258.55</v>
      </c>
      <c r="L2098">
        <v>35.130000000000003</v>
      </c>
      <c r="M2098" t="s">
        <v>2132</v>
      </c>
      <c r="N2098">
        <v>412</v>
      </c>
      <c r="O2098">
        <v>16.07</v>
      </c>
      <c r="P2098">
        <v>13.51</v>
      </c>
      <c r="R2098">
        <v>2.41</v>
      </c>
      <c r="S2098">
        <v>1.1499999999999999</v>
      </c>
      <c r="T2098" t="s">
        <v>1391</v>
      </c>
      <c r="U2098">
        <v>1.1200000000000001</v>
      </c>
      <c r="V2098" t="s">
        <v>4741</v>
      </c>
      <c r="W2098" t="s">
        <v>164</v>
      </c>
      <c r="X2098" t="s">
        <v>4552</v>
      </c>
      <c r="Y2098" t="s">
        <v>2509</v>
      </c>
      <c r="Z2098" t="s">
        <v>2718</v>
      </c>
      <c r="AA2098">
        <v>2.19</v>
      </c>
      <c r="AB2098" t="s">
        <v>6227</v>
      </c>
      <c r="AC2098" t="s">
        <v>4687</v>
      </c>
      <c r="AE2098" t="s">
        <v>1282</v>
      </c>
      <c r="AF2098" t="s">
        <v>435</v>
      </c>
      <c r="AG2098" t="s">
        <v>3204</v>
      </c>
      <c r="AH2098" t="s">
        <v>1749</v>
      </c>
      <c r="AI2098" t="s">
        <v>2864</v>
      </c>
      <c r="AJ2098" t="s">
        <v>4886</v>
      </c>
      <c r="AK2098" t="s">
        <v>316</v>
      </c>
      <c r="AL2098">
        <v>0.1</v>
      </c>
      <c r="AN2098">
        <v>0.33</v>
      </c>
      <c r="AP2098" t="s">
        <v>7718</v>
      </c>
      <c r="AQ2098" t="s">
        <v>2018</v>
      </c>
      <c r="AR2098" t="s">
        <v>304</v>
      </c>
      <c r="AS2098" t="s">
        <v>289</v>
      </c>
      <c r="AT2098" t="s">
        <v>3855</v>
      </c>
      <c r="AU2098" t="s">
        <v>267</v>
      </c>
      <c r="AV2098" t="s">
        <v>1956</v>
      </c>
      <c r="AW2098" t="s">
        <v>1373</v>
      </c>
      <c r="AX2098" t="s">
        <v>10165</v>
      </c>
      <c r="AY2098" t="s">
        <v>3565</v>
      </c>
      <c r="AZ2098" t="s">
        <v>1627</v>
      </c>
      <c r="BA2098">
        <v>3</v>
      </c>
      <c r="BB2098">
        <v>13.3</v>
      </c>
      <c r="BC2098">
        <v>0.11</v>
      </c>
      <c r="BD2098">
        <v>35.479999999999997</v>
      </c>
      <c r="BE2098">
        <v>35.130000000000003</v>
      </c>
      <c r="BF2098">
        <v>35.06</v>
      </c>
      <c r="BG2098" t="s">
        <v>21428</v>
      </c>
      <c r="BH2098" t="s">
        <v>3565</v>
      </c>
      <c r="BI2098" t="s">
        <v>21429</v>
      </c>
      <c r="BJ2098" t="s">
        <v>101</v>
      </c>
      <c r="BK2098" t="s">
        <v>3521</v>
      </c>
      <c r="BL2098" t="s">
        <v>18019</v>
      </c>
      <c r="BM2098" t="s">
        <v>19523</v>
      </c>
      <c r="BN2098" t="s">
        <v>14623</v>
      </c>
    </row>
    <row r="2099" spans="1:66" x14ac:dyDescent="0.25">
      <c r="A2099" t="str">
        <f>HYPERLINK("https://elite.finviz.com/quote.ashx?t=ATLO&amp;ty=c&amp;p=d&amp;b=1", "ATLO")</f>
        <v>ATLO</v>
      </c>
      <c r="B2099">
        <v>6</v>
      </c>
      <c r="C2099">
        <v>127.03</v>
      </c>
      <c r="D2099">
        <v>62.94</v>
      </c>
      <c r="E2099" t="s">
        <v>21430</v>
      </c>
      <c r="F2099" t="s">
        <v>67</v>
      </c>
      <c r="G2099" t="s">
        <v>550</v>
      </c>
      <c r="H2099" t="s">
        <v>697</v>
      </c>
      <c r="I2099" t="s">
        <v>70</v>
      </c>
      <c r="J2099" t="s">
        <v>321</v>
      </c>
      <c r="K2099">
        <v>183.32</v>
      </c>
      <c r="L2099">
        <v>20.6</v>
      </c>
      <c r="M2099" t="s">
        <v>2880</v>
      </c>
      <c r="N2099">
        <v>2265</v>
      </c>
      <c r="O2099">
        <v>13.45</v>
      </c>
      <c r="R2099">
        <v>1.93</v>
      </c>
      <c r="S2099">
        <v>0.95</v>
      </c>
      <c r="T2099" t="s">
        <v>2384</v>
      </c>
      <c r="U2099">
        <v>0.8</v>
      </c>
      <c r="V2099" t="s">
        <v>4882</v>
      </c>
      <c r="W2099" t="s">
        <v>5507</v>
      </c>
      <c r="X2099" t="s">
        <v>2149</v>
      </c>
      <c r="Y2099" t="s">
        <v>15000</v>
      </c>
      <c r="Z2099" t="s">
        <v>17618</v>
      </c>
      <c r="AA2099">
        <v>1.53</v>
      </c>
      <c r="AB2099" t="s">
        <v>14463</v>
      </c>
      <c r="AC2099" t="s">
        <v>16987</v>
      </c>
      <c r="AE2099" t="s">
        <v>6584</v>
      </c>
      <c r="AF2099" t="s">
        <v>1006</v>
      </c>
      <c r="AG2099" t="s">
        <v>11494</v>
      </c>
      <c r="AH2099" t="s">
        <v>5331</v>
      </c>
      <c r="AI2099" t="s">
        <v>18003</v>
      </c>
      <c r="AJ2099" t="s">
        <v>4839</v>
      </c>
      <c r="AK2099" t="s">
        <v>20175</v>
      </c>
      <c r="AL2099">
        <v>0.32</v>
      </c>
      <c r="AN2099">
        <v>0.37</v>
      </c>
      <c r="AP2099" t="s">
        <v>6357</v>
      </c>
      <c r="AQ2099" t="s">
        <v>7847</v>
      </c>
      <c r="AR2099" t="s">
        <v>2644</v>
      </c>
      <c r="AS2099" t="s">
        <v>2720</v>
      </c>
      <c r="AT2099" t="s">
        <v>1837</v>
      </c>
      <c r="AU2099" t="s">
        <v>4254</v>
      </c>
      <c r="AV2099" t="s">
        <v>10200</v>
      </c>
      <c r="AW2099" t="s">
        <v>4938</v>
      </c>
      <c r="AX2099" t="s">
        <v>4074</v>
      </c>
      <c r="AY2099" t="s">
        <v>4938</v>
      </c>
      <c r="AZ2099" t="s">
        <v>3617</v>
      </c>
      <c r="BB2099">
        <v>14.34</v>
      </c>
      <c r="BC2099">
        <v>0.56000000000000005</v>
      </c>
      <c r="BD2099">
        <v>20.56</v>
      </c>
      <c r="BE2099">
        <v>20.77</v>
      </c>
      <c r="BF2099">
        <v>20.5</v>
      </c>
      <c r="BG2099" t="s">
        <v>21431</v>
      </c>
      <c r="BH2099" t="s">
        <v>21432</v>
      </c>
      <c r="BI2099" t="s">
        <v>21433</v>
      </c>
      <c r="BJ2099" t="s">
        <v>101</v>
      </c>
      <c r="BK2099" t="s">
        <v>6249</v>
      </c>
      <c r="BL2099" t="s">
        <v>5749</v>
      </c>
      <c r="BM2099" t="s">
        <v>5838</v>
      </c>
      <c r="BN2099" t="s">
        <v>14623</v>
      </c>
    </row>
    <row r="2100" spans="1:66" x14ac:dyDescent="0.25">
      <c r="A2100" t="str">
        <f>HYPERLINK("https://elite.finviz.com/quote.ashx?t=ZYME&amp;ty=c&amp;p=d&amp;b=1", "ZYME")</f>
        <v>ZYME</v>
      </c>
      <c r="B2100">
        <v>6</v>
      </c>
      <c r="C2100">
        <v>127.03</v>
      </c>
      <c r="D2100">
        <v>63.01</v>
      </c>
      <c r="E2100" t="s">
        <v>21434</v>
      </c>
      <c r="F2100" t="s">
        <v>67</v>
      </c>
      <c r="G2100" t="s">
        <v>428</v>
      </c>
      <c r="H2100" t="s">
        <v>429</v>
      </c>
      <c r="I2100" t="s">
        <v>70</v>
      </c>
      <c r="J2100" t="s">
        <v>321</v>
      </c>
      <c r="K2100">
        <v>1236.1199999999999</v>
      </c>
      <c r="L2100">
        <v>16.32</v>
      </c>
      <c r="M2100" t="s">
        <v>1457</v>
      </c>
      <c r="N2100">
        <v>63101</v>
      </c>
      <c r="R2100">
        <v>10.06</v>
      </c>
      <c r="S2100">
        <v>3.68</v>
      </c>
      <c r="AA2100">
        <v>-0.98</v>
      </c>
      <c r="AB2100" t="s">
        <v>21178</v>
      </c>
      <c r="AC2100" t="s">
        <v>7477</v>
      </c>
      <c r="AD2100" t="s">
        <v>4531</v>
      </c>
      <c r="AE2100" t="s">
        <v>21435</v>
      </c>
      <c r="AF2100" t="s">
        <v>13241</v>
      </c>
      <c r="AG2100" t="s">
        <v>7295</v>
      </c>
      <c r="AH2100" t="s">
        <v>21436</v>
      </c>
      <c r="AI2100" t="s">
        <v>12694</v>
      </c>
      <c r="AJ2100" t="s">
        <v>13427</v>
      </c>
      <c r="AK2100" t="s">
        <v>4009</v>
      </c>
      <c r="AL2100">
        <v>7.69</v>
      </c>
      <c r="AM2100">
        <v>7.69</v>
      </c>
      <c r="AN2100">
        <v>0.06</v>
      </c>
      <c r="AO2100" t="s">
        <v>21437</v>
      </c>
      <c r="AP2100" t="s">
        <v>21438</v>
      </c>
      <c r="AQ2100" t="s">
        <v>16394</v>
      </c>
      <c r="AR2100" t="s">
        <v>6150</v>
      </c>
      <c r="AS2100" t="s">
        <v>353</v>
      </c>
      <c r="AT2100" t="s">
        <v>2523</v>
      </c>
      <c r="AU2100" t="s">
        <v>9987</v>
      </c>
      <c r="AV2100" t="s">
        <v>3308</v>
      </c>
      <c r="AW2100" t="s">
        <v>14462</v>
      </c>
      <c r="AX2100" t="s">
        <v>15521</v>
      </c>
      <c r="AY2100" t="s">
        <v>7449</v>
      </c>
      <c r="AZ2100" t="s">
        <v>12496</v>
      </c>
      <c r="BA2100">
        <v>1.4</v>
      </c>
      <c r="BB2100">
        <v>500.36</v>
      </c>
      <c r="BC2100">
        <v>0.44</v>
      </c>
      <c r="BD2100">
        <v>16.16</v>
      </c>
      <c r="BE2100">
        <v>16.329999999999998</v>
      </c>
      <c r="BF2100">
        <v>16.059999999999999</v>
      </c>
      <c r="BG2100" t="s">
        <v>21439</v>
      </c>
      <c r="BH2100" t="s">
        <v>21440</v>
      </c>
      <c r="BI2100" t="s">
        <v>21441</v>
      </c>
      <c r="BJ2100" t="s">
        <v>101</v>
      </c>
      <c r="BK2100" t="s">
        <v>13695</v>
      </c>
      <c r="BL2100" t="s">
        <v>18936</v>
      </c>
      <c r="BM2100" t="s">
        <v>1469</v>
      </c>
      <c r="BN2100" t="s">
        <v>14623</v>
      </c>
    </row>
    <row r="2101" spans="1:66" x14ac:dyDescent="0.25">
      <c r="A2101" t="str">
        <f>HYPERLINK("https://elite.finviz.com/quote.ashx?t=QUMSU&amp;ty=c&amp;p=d&amp;b=1", "QUMSU")</f>
        <v>QUMSU</v>
      </c>
      <c r="B2101">
        <v>6</v>
      </c>
      <c r="C2101">
        <v>127.03</v>
      </c>
      <c r="D2101">
        <v>63.02</v>
      </c>
      <c r="E2101" t="s">
        <v>21442</v>
      </c>
      <c r="F2101" t="s">
        <v>107</v>
      </c>
      <c r="G2101" t="s">
        <v>550</v>
      </c>
      <c r="H2101" t="s">
        <v>2120</v>
      </c>
      <c r="I2101" t="s">
        <v>70</v>
      </c>
      <c r="J2101" t="s">
        <v>321</v>
      </c>
      <c r="K2101">
        <v>85.76</v>
      </c>
      <c r="L2101">
        <v>10.08</v>
      </c>
      <c r="M2101" t="s">
        <v>171</v>
      </c>
      <c r="N2101">
        <v>55</v>
      </c>
      <c r="AJ2101" t="s">
        <v>164</v>
      </c>
      <c r="AL2101">
        <v>0.03</v>
      </c>
      <c r="AM2101">
        <v>0.03</v>
      </c>
      <c r="AR2101" t="s">
        <v>4507</v>
      </c>
      <c r="AS2101" t="s">
        <v>2757</v>
      </c>
      <c r="AT2101" t="s">
        <v>698</v>
      </c>
      <c r="AU2101" t="s">
        <v>141</v>
      </c>
      <c r="AV2101" t="s">
        <v>141</v>
      </c>
      <c r="AW2101" t="s">
        <v>2213</v>
      </c>
      <c r="AX2101" t="s">
        <v>1763</v>
      </c>
      <c r="AY2101" t="s">
        <v>2213</v>
      </c>
      <c r="AZ2101" t="s">
        <v>1763</v>
      </c>
      <c r="BB2101">
        <v>128.13999999999999</v>
      </c>
      <c r="BC2101">
        <v>0</v>
      </c>
      <c r="BD2101">
        <v>10.09</v>
      </c>
      <c r="BE2101">
        <v>10.199999999999999</v>
      </c>
      <c r="BF2101">
        <v>10.199999999999999</v>
      </c>
      <c r="BG2101" t="s">
        <v>14171</v>
      </c>
      <c r="BH2101" t="s">
        <v>2213</v>
      </c>
      <c r="BI2101" t="s">
        <v>1763</v>
      </c>
      <c r="BJ2101" t="s">
        <v>101</v>
      </c>
      <c r="BN2101" t="s">
        <v>14623</v>
      </c>
    </row>
    <row r="2102" spans="1:66" x14ac:dyDescent="0.25">
      <c r="A2102" t="str">
        <f>HYPERLINK("https://elite.finviz.com/quote.ashx?t=SJT&amp;ty=c&amp;p=d&amp;b=1", "SJT")</f>
        <v>SJT</v>
      </c>
      <c r="B2102">
        <v>6</v>
      </c>
      <c r="C2102">
        <v>127.03</v>
      </c>
      <c r="D2102">
        <v>63.03</v>
      </c>
      <c r="E2102" t="s">
        <v>21443</v>
      </c>
      <c r="F2102" t="s">
        <v>107</v>
      </c>
      <c r="G2102" t="s">
        <v>1048</v>
      </c>
      <c r="H2102" t="s">
        <v>1049</v>
      </c>
      <c r="I2102" t="s">
        <v>70</v>
      </c>
      <c r="J2102" t="s">
        <v>71</v>
      </c>
      <c r="K2102">
        <v>281.05</v>
      </c>
      <c r="L2102">
        <v>6.03</v>
      </c>
      <c r="M2102" t="s">
        <v>8634</v>
      </c>
      <c r="N2102">
        <v>61795</v>
      </c>
      <c r="R2102">
        <v>7026.24</v>
      </c>
      <c r="S2102">
        <v>111.75</v>
      </c>
      <c r="V2102" t="s">
        <v>21444</v>
      </c>
      <c r="Z2102" t="s">
        <v>11272</v>
      </c>
      <c r="AA2102">
        <v>0</v>
      </c>
      <c r="AB2102" t="s">
        <v>21445</v>
      </c>
      <c r="AC2102" t="s">
        <v>4325</v>
      </c>
      <c r="AE2102" t="s">
        <v>4362</v>
      </c>
      <c r="AF2102" t="s">
        <v>9276</v>
      </c>
      <c r="AG2102" t="s">
        <v>217</v>
      </c>
      <c r="AH2102" t="s">
        <v>21446</v>
      </c>
      <c r="AJ2102" t="s">
        <v>164</v>
      </c>
      <c r="AK2102" t="s">
        <v>21447</v>
      </c>
      <c r="AN2102">
        <v>0.06</v>
      </c>
      <c r="AP2102" t="s">
        <v>21448</v>
      </c>
      <c r="AQ2102" t="s">
        <v>21449</v>
      </c>
      <c r="AR2102" t="s">
        <v>4294</v>
      </c>
      <c r="AS2102" t="s">
        <v>6003</v>
      </c>
      <c r="AT2102" t="s">
        <v>3244</v>
      </c>
      <c r="AU2102" t="s">
        <v>975</v>
      </c>
      <c r="AV2102" t="s">
        <v>2514</v>
      </c>
      <c r="AW2102" t="s">
        <v>4776</v>
      </c>
      <c r="AX2102" t="s">
        <v>2584</v>
      </c>
      <c r="AY2102" t="s">
        <v>12587</v>
      </c>
      <c r="AZ2102" t="s">
        <v>10043</v>
      </c>
      <c r="BB2102">
        <v>196.01</v>
      </c>
      <c r="BC2102">
        <v>1.1200000000000001</v>
      </c>
      <c r="BD2102">
        <v>6.08</v>
      </c>
      <c r="BE2102">
        <v>6.11</v>
      </c>
      <c r="BF2102">
        <v>5.93</v>
      </c>
      <c r="BG2102" t="s">
        <v>21450</v>
      </c>
      <c r="BH2102" t="s">
        <v>21451</v>
      </c>
      <c r="BI2102" t="s">
        <v>21452</v>
      </c>
      <c r="BJ2102" t="s">
        <v>101</v>
      </c>
      <c r="BK2102" t="s">
        <v>1934</v>
      </c>
      <c r="BL2102" t="s">
        <v>1114</v>
      </c>
      <c r="BM2102" t="s">
        <v>20779</v>
      </c>
      <c r="BN2102" t="s">
        <v>14623</v>
      </c>
    </row>
    <row r="2103" spans="1:66" x14ac:dyDescent="0.25">
      <c r="A2103" t="str">
        <f>HYPERLINK("https://elite.finviz.com/quote.ashx?t=EGY&amp;ty=c&amp;p=d&amp;b=1", "EGY")</f>
        <v>EGY</v>
      </c>
      <c r="B2103">
        <v>6</v>
      </c>
      <c r="C2103">
        <v>127.03</v>
      </c>
      <c r="D2103">
        <v>63.11</v>
      </c>
      <c r="E2103" t="s">
        <v>21453</v>
      </c>
      <c r="F2103" t="s">
        <v>67</v>
      </c>
      <c r="G2103" t="s">
        <v>1048</v>
      </c>
      <c r="H2103" t="s">
        <v>1049</v>
      </c>
      <c r="I2103" t="s">
        <v>70</v>
      </c>
      <c r="J2103" t="s">
        <v>71</v>
      </c>
      <c r="K2103">
        <v>450.91</v>
      </c>
      <c r="L2103">
        <v>4.32</v>
      </c>
      <c r="M2103" t="s">
        <v>1439</v>
      </c>
      <c r="N2103">
        <v>197286</v>
      </c>
      <c r="O2103">
        <v>11.76</v>
      </c>
      <c r="P2103">
        <v>17.07</v>
      </c>
      <c r="R2103">
        <v>0.96</v>
      </c>
      <c r="S2103">
        <v>0.88</v>
      </c>
      <c r="T2103" t="s">
        <v>7541</v>
      </c>
      <c r="U2103">
        <v>0.25</v>
      </c>
      <c r="V2103" t="s">
        <v>4186</v>
      </c>
      <c r="W2103" t="s">
        <v>164</v>
      </c>
      <c r="Z2103" t="s">
        <v>15438</v>
      </c>
      <c r="AA2103">
        <v>0.37</v>
      </c>
      <c r="AB2103" t="s">
        <v>5733</v>
      </c>
      <c r="AC2103" t="s">
        <v>6333</v>
      </c>
      <c r="AD2103" t="s">
        <v>4045</v>
      </c>
      <c r="AE2103" t="s">
        <v>72</v>
      </c>
      <c r="AF2103" t="s">
        <v>18760</v>
      </c>
      <c r="AG2103" t="s">
        <v>9912</v>
      </c>
      <c r="AH2103" t="s">
        <v>20101</v>
      </c>
      <c r="AI2103" t="s">
        <v>10378</v>
      </c>
      <c r="AJ2103" t="s">
        <v>164</v>
      </c>
      <c r="AK2103" t="s">
        <v>19516</v>
      </c>
      <c r="AL2103">
        <v>1.39</v>
      </c>
      <c r="AM2103">
        <v>1.38</v>
      </c>
      <c r="AN2103">
        <v>0.3</v>
      </c>
      <c r="AO2103" t="s">
        <v>263</v>
      </c>
      <c r="AP2103" t="s">
        <v>12500</v>
      </c>
      <c r="AQ2103" t="s">
        <v>15964</v>
      </c>
      <c r="AR2103" t="s">
        <v>3454</v>
      </c>
      <c r="AS2103" t="s">
        <v>4495</v>
      </c>
      <c r="AT2103" t="s">
        <v>4742</v>
      </c>
      <c r="AU2103" t="s">
        <v>2629</v>
      </c>
      <c r="AV2103" t="s">
        <v>2517</v>
      </c>
      <c r="AW2103" t="s">
        <v>6127</v>
      </c>
      <c r="AX2103" t="s">
        <v>13045</v>
      </c>
      <c r="AY2103" t="s">
        <v>21454</v>
      </c>
      <c r="AZ2103" t="s">
        <v>17089</v>
      </c>
      <c r="BA2103">
        <v>1</v>
      </c>
      <c r="BB2103">
        <v>795.65</v>
      </c>
      <c r="BC2103">
        <v>0.87</v>
      </c>
      <c r="BD2103">
        <v>4.24</v>
      </c>
      <c r="BE2103">
        <v>4.3899999999999997</v>
      </c>
      <c r="BF2103">
        <v>4.25</v>
      </c>
      <c r="BG2103" t="s">
        <v>21455</v>
      </c>
      <c r="BH2103" t="s">
        <v>21456</v>
      </c>
      <c r="BI2103" t="s">
        <v>21457</v>
      </c>
      <c r="BJ2103" t="s">
        <v>101</v>
      </c>
      <c r="BK2103" t="s">
        <v>11239</v>
      </c>
      <c r="BL2103" t="s">
        <v>1396</v>
      </c>
      <c r="BM2103" t="s">
        <v>21292</v>
      </c>
      <c r="BN2103" t="s">
        <v>14623</v>
      </c>
    </row>
    <row r="2104" spans="1:66" x14ac:dyDescent="0.25">
      <c r="A2104" t="str">
        <f>HYPERLINK("https://elite.finviz.com/quote.ashx?t=RGS&amp;ty=c&amp;p=d&amp;b=1", "RGS")</f>
        <v>RGS</v>
      </c>
      <c r="B2104">
        <v>6</v>
      </c>
      <c r="C2104">
        <v>127.03</v>
      </c>
      <c r="D2104">
        <v>63.15</v>
      </c>
      <c r="E2104" t="s">
        <v>21458</v>
      </c>
      <c r="F2104" t="s">
        <v>107</v>
      </c>
      <c r="G2104" t="s">
        <v>813</v>
      </c>
      <c r="H2104" t="s">
        <v>10177</v>
      </c>
      <c r="I2104" t="s">
        <v>70</v>
      </c>
      <c r="J2104" t="s">
        <v>321</v>
      </c>
      <c r="K2104">
        <v>68.45</v>
      </c>
      <c r="L2104">
        <v>28.1</v>
      </c>
      <c r="M2104" t="s">
        <v>3036</v>
      </c>
      <c r="N2104">
        <v>7519</v>
      </c>
      <c r="O2104">
        <v>0.66</v>
      </c>
      <c r="R2104">
        <v>0.33</v>
      </c>
      <c r="S2104">
        <v>0.37</v>
      </c>
      <c r="V2104" t="s">
        <v>21459</v>
      </c>
      <c r="Z2104" t="s">
        <v>164</v>
      </c>
      <c r="AA2104">
        <v>42.65</v>
      </c>
      <c r="AE2104" t="s">
        <v>2495</v>
      </c>
      <c r="AF2104" t="s">
        <v>15541</v>
      </c>
      <c r="AG2104" t="s">
        <v>21460</v>
      </c>
      <c r="AH2104" t="s">
        <v>13932</v>
      </c>
      <c r="AJ2104" t="s">
        <v>164</v>
      </c>
      <c r="AK2104" t="s">
        <v>2628</v>
      </c>
      <c r="AL2104">
        <v>0.5</v>
      </c>
      <c r="AM2104">
        <v>0.47</v>
      </c>
      <c r="AN2104">
        <v>1.89</v>
      </c>
      <c r="AO2104" t="s">
        <v>15487</v>
      </c>
      <c r="AP2104" t="s">
        <v>7407</v>
      </c>
      <c r="AQ2104" t="s">
        <v>20265</v>
      </c>
      <c r="AR2104" t="s">
        <v>203</v>
      </c>
      <c r="AS2104" t="s">
        <v>7231</v>
      </c>
      <c r="AT2104" t="s">
        <v>3957</v>
      </c>
      <c r="AU2104" t="s">
        <v>7581</v>
      </c>
      <c r="AV2104" t="s">
        <v>6978</v>
      </c>
      <c r="AW2104" t="s">
        <v>3300</v>
      </c>
      <c r="AX2104" t="s">
        <v>21461</v>
      </c>
      <c r="AY2104" t="s">
        <v>3300</v>
      </c>
      <c r="AZ2104" t="s">
        <v>21462</v>
      </c>
      <c r="BA2104">
        <v>1</v>
      </c>
      <c r="BB2104">
        <v>16.260000000000002</v>
      </c>
      <c r="BC2104">
        <v>1.64</v>
      </c>
      <c r="BD2104">
        <v>26.56</v>
      </c>
      <c r="BE2104">
        <v>28.02</v>
      </c>
      <c r="BF2104">
        <v>26.56</v>
      </c>
      <c r="BG2104" t="s">
        <v>21463</v>
      </c>
      <c r="BH2104" t="s">
        <v>13788</v>
      </c>
      <c r="BI2104" t="s">
        <v>21464</v>
      </c>
      <c r="BJ2104" t="s">
        <v>101</v>
      </c>
      <c r="BK2104" t="s">
        <v>21465</v>
      </c>
      <c r="BL2104" t="s">
        <v>18677</v>
      </c>
      <c r="BM2104" t="s">
        <v>8188</v>
      </c>
      <c r="BN2104" t="s">
        <v>14623</v>
      </c>
    </row>
    <row r="2105" spans="1:66" x14ac:dyDescent="0.25">
      <c r="A2105" t="str">
        <f>HYPERLINK("https://elite.finviz.com/quote.ashx?t=PYXS&amp;ty=c&amp;p=d&amp;b=1", "PYXS")</f>
        <v>PYXS</v>
      </c>
      <c r="B2105">
        <v>6</v>
      </c>
      <c r="C2105">
        <v>127.03</v>
      </c>
      <c r="D2105">
        <v>63.16</v>
      </c>
      <c r="E2105" t="s">
        <v>21466</v>
      </c>
      <c r="F2105" t="s">
        <v>107</v>
      </c>
      <c r="G2105" t="s">
        <v>428</v>
      </c>
      <c r="H2105" t="s">
        <v>429</v>
      </c>
      <c r="I2105" t="s">
        <v>70</v>
      </c>
      <c r="J2105" t="s">
        <v>321</v>
      </c>
      <c r="K2105">
        <v>128.34</v>
      </c>
      <c r="L2105">
        <v>2.0699999999999998</v>
      </c>
      <c r="M2105" t="s">
        <v>914</v>
      </c>
      <c r="N2105">
        <v>73784</v>
      </c>
      <c r="R2105">
        <v>45.51</v>
      </c>
      <c r="S2105">
        <v>1.46</v>
      </c>
      <c r="AA2105">
        <v>-1.59</v>
      </c>
      <c r="AB2105" t="s">
        <v>7082</v>
      </c>
      <c r="AC2105" t="s">
        <v>11211</v>
      </c>
      <c r="AD2105" t="s">
        <v>227</v>
      </c>
      <c r="AE2105" t="s">
        <v>11666</v>
      </c>
      <c r="AI2105" t="s">
        <v>683</v>
      </c>
      <c r="AJ2105" t="s">
        <v>164</v>
      </c>
      <c r="AK2105" t="s">
        <v>15866</v>
      </c>
      <c r="AL2105">
        <v>5.65</v>
      </c>
      <c r="AM2105">
        <v>5.65</v>
      </c>
      <c r="AN2105">
        <v>0.22</v>
      </c>
      <c r="AO2105" t="s">
        <v>16733</v>
      </c>
      <c r="AP2105" t="s">
        <v>21467</v>
      </c>
      <c r="AQ2105" t="s">
        <v>21468</v>
      </c>
      <c r="AR2105" t="s">
        <v>1243</v>
      </c>
      <c r="AS2105" t="s">
        <v>419</v>
      </c>
      <c r="AT2105" t="s">
        <v>7854</v>
      </c>
      <c r="AU2105" t="s">
        <v>10348</v>
      </c>
      <c r="AV2105" t="s">
        <v>21469</v>
      </c>
      <c r="AW2105" t="s">
        <v>14579</v>
      </c>
      <c r="AX2105" t="s">
        <v>12597</v>
      </c>
      <c r="AY2105" t="s">
        <v>21470</v>
      </c>
      <c r="AZ2105" t="s">
        <v>21471</v>
      </c>
      <c r="BA2105">
        <v>1.25</v>
      </c>
      <c r="BB2105">
        <v>671.27</v>
      </c>
      <c r="BC2105">
        <v>0.39</v>
      </c>
      <c r="BD2105">
        <v>2.06</v>
      </c>
      <c r="BE2105">
        <v>2.12</v>
      </c>
      <c r="BF2105">
        <v>2.0499999999999998</v>
      </c>
      <c r="BG2105" t="s">
        <v>21472</v>
      </c>
      <c r="BH2105" t="s">
        <v>21473</v>
      </c>
      <c r="BI2105" t="s">
        <v>21471</v>
      </c>
      <c r="BJ2105" t="s">
        <v>101</v>
      </c>
      <c r="BK2105" t="s">
        <v>21337</v>
      </c>
      <c r="BL2105" t="s">
        <v>21474</v>
      </c>
      <c r="BM2105" t="s">
        <v>21475</v>
      </c>
      <c r="BN2105" t="s">
        <v>14623</v>
      </c>
    </row>
    <row r="2106" spans="1:66" x14ac:dyDescent="0.25">
      <c r="A2106" t="str">
        <f>HYPERLINK("https://elite.finviz.com/quote.ashx?t=JENA&amp;ty=c&amp;p=d&amp;b=1", "JENA")</f>
        <v>JENA</v>
      </c>
      <c r="B2106">
        <v>6</v>
      </c>
      <c r="C2106">
        <v>127.03</v>
      </c>
      <c r="D2106">
        <v>63.16</v>
      </c>
      <c r="E2106" t="s">
        <v>21476</v>
      </c>
      <c r="F2106" t="s">
        <v>107</v>
      </c>
      <c r="G2106" t="s">
        <v>550</v>
      </c>
      <c r="H2106" t="s">
        <v>2120</v>
      </c>
      <c r="I2106" t="s">
        <v>70</v>
      </c>
      <c r="J2106" t="s">
        <v>71</v>
      </c>
      <c r="K2106">
        <v>294.73</v>
      </c>
      <c r="L2106">
        <v>10.17</v>
      </c>
      <c r="M2106" t="s">
        <v>164</v>
      </c>
      <c r="N2106">
        <v>0</v>
      </c>
      <c r="S2106">
        <v>1.35</v>
      </c>
      <c r="AJ2106" t="s">
        <v>164</v>
      </c>
      <c r="AK2106" t="s">
        <v>353</v>
      </c>
      <c r="AL2106">
        <v>10.68</v>
      </c>
      <c r="AM2106">
        <v>10.68</v>
      </c>
      <c r="AN2106">
        <v>0</v>
      </c>
      <c r="AR2106" t="s">
        <v>164</v>
      </c>
      <c r="AS2106" t="s">
        <v>3358</v>
      </c>
      <c r="AT2106" t="s">
        <v>2641</v>
      </c>
      <c r="AU2106" t="s">
        <v>2290</v>
      </c>
      <c r="AV2106" t="s">
        <v>2290</v>
      </c>
      <c r="AW2106" t="s">
        <v>7413</v>
      </c>
      <c r="AX2106" t="s">
        <v>4780</v>
      </c>
      <c r="AY2106" t="s">
        <v>7413</v>
      </c>
      <c r="AZ2106" t="s">
        <v>4780</v>
      </c>
      <c r="BB2106">
        <v>157.61000000000001</v>
      </c>
      <c r="BC2106">
        <v>0</v>
      </c>
      <c r="BD2106">
        <v>10.17</v>
      </c>
      <c r="BE2106">
        <v>10.17</v>
      </c>
      <c r="BF2106">
        <v>10.17</v>
      </c>
      <c r="BG2106" t="s">
        <v>21477</v>
      </c>
      <c r="BH2106" t="s">
        <v>7413</v>
      </c>
      <c r="BI2106" t="s">
        <v>4780</v>
      </c>
      <c r="BJ2106" t="s">
        <v>101</v>
      </c>
      <c r="BN2106" t="s">
        <v>14623</v>
      </c>
    </row>
    <row r="2107" spans="1:66" x14ac:dyDescent="0.25">
      <c r="A2107" t="str">
        <f>HYPERLINK("https://elite.finviz.com/quote.ashx?t=SPHR&amp;ty=c&amp;p=d&amp;b=1", "SPHR")</f>
        <v>SPHR</v>
      </c>
      <c r="B2107">
        <v>6</v>
      </c>
      <c r="C2107">
        <v>127.03</v>
      </c>
      <c r="D2107">
        <v>63.17</v>
      </c>
      <c r="E2107" t="s">
        <v>21478</v>
      </c>
      <c r="F2107" t="s">
        <v>67</v>
      </c>
      <c r="G2107" t="s">
        <v>598</v>
      </c>
      <c r="H2107" t="s">
        <v>4247</v>
      </c>
      <c r="I2107" t="s">
        <v>70</v>
      </c>
      <c r="J2107" t="s">
        <v>71</v>
      </c>
      <c r="K2107">
        <v>2097.87</v>
      </c>
      <c r="L2107">
        <v>58.28</v>
      </c>
      <c r="M2107" t="s">
        <v>7124</v>
      </c>
      <c r="N2107">
        <v>121993</v>
      </c>
      <c r="R2107">
        <v>1.81</v>
      </c>
      <c r="S2107">
        <v>0.91</v>
      </c>
      <c r="AA2107">
        <v>-1.53</v>
      </c>
      <c r="AB2107" t="s">
        <v>7230</v>
      </c>
      <c r="AC2107" t="s">
        <v>8151</v>
      </c>
      <c r="AE2107" t="s">
        <v>1034</v>
      </c>
      <c r="AF2107" t="s">
        <v>707</v>
      </c>
      <c r="AG2107" t="s">
        <v>15000</v>
      </c>
      <c r="AH2107" t="s">
        <v>6121</v>
      </c>
      <c r="AI2107" t="s">
        <v>21479</v>
      </c>
      <c r="AJ2107" t="s">
        <v>164</v>
      </c>
      <c r="AK2107" t="s">
        <v>21480</v>
      </c>
      <c r="AL2107">
        <v>1.1299999999999999</v>
      </c>
      <c r="AM2107">
        <v>1.1100000000000001</v>
      </c>
      <c r="AN2107">
        <v>0.44</v>
      </c>
      <c r="AO2107" t="s">
        <v>6953</v>
      </c>
      <c r="AP2107" t="s">
        <v>19182</v>
      </c>
      <c r="AQ2107" t="s">
        <v>2190</v>
      </c>
      <c r="AR2107" t="s">
        <v>3521</v>
      </c>
      <c r="AS2107" t="s">
        <v>2429</v>
      </c>
      <c r="AT2107" t="s">
        <v>1475</v>
      </c>
      <c r="AU2107" t="s">
        <v>10373</v>
      </c>
      <c r="AV2107" t="s">
        <v>21481</v>
      </c>
      <c r="AW2107" t="s">
        <v>7230</v>
      </c>
      <c r="AX2107" t="s">
        <v>488</v>
      </c>
      <c r="AY2107" t="s">
        <v>7230</v>
      </c>
      <c r="AZ2107" t="s">
        <v>3779</v>
      </c>
      <c r="BA2107">
        <v>1.8</v>
      </c>
      <c r="BB2107">
        <v>983.01</v>
      </c>
      <c r="BC2107">
        <v>0.44</v>
      </c>
      <c r="BD2107">
        <v>57.79</v>
      </c>
      <c r="BE2107">
        <v>58.76</v>
      </c>
      <c r="BF2107">
        <v>57.74</v>
      </c>
      <c r="BG2107" t="s">
        <v>21482</v>
      </c>
      <c r="BH2107" t="s">
        <v>7230</v>
      </c>
      <c r="BI2107" t="s">
        <v>21483</v>
      </c>
      <c r="BJ2107" t="s">
        <v>101</v>
      </c>
      <c r="BK2107" t="s">
        <v>9402</v>
      </c>
      <c r="BL2107" t="s">
        <v>21484</v>
      </c>
      <c r="BM2107" t="s">
        <v>21485</v>
      </c>
      <c r="BN2107" t="s">
        <v>14623</v>
      </c>
    </row>
    <row r="2108" spans="1:66" x14ac:dyDescent="0.25">
      <c r="A2108" t="str">
        <f>HYPERLINK("https://elite.finviz.com/quote.ashx?t=MOG-A&amp;ty=c&amp;p=d&amp;b=1", "MOG-A")</f>
        <v>MOG-A</v>
      </c>
      <c r="B2108">
        <v>6</v>
      </c>
      <c r="C2108">
        <v>127.03</v>
      </c>
      <c r="D2108">
        <v>63.17</v>
      </c>
      <c r="E2108" t="s">
        <v>21486</v>
      </c>
      <c r="F2108" t="s">
        <v>67</v>
      </c>
      <c r="G2108" t="s">
        <v>260</v>
      </c>
      <c r="H2108" t="s">
        <v>4779</v>
      </c>
      <c r="I2108" t="s">
        <v>70</v>
      </c>
      <c r="J2108" t="s">
        <v>71</v>
      </c>
      <c r="K2108">
        <v>6525.93</v>
      </c>
      <c r="L2108">
        <v>205.95</v>
      </c>
      <c r="M2108" t="s">
        <v>182</v>
      </c>
      <c r="N2108">
        <v>20420</v>
      </c>
      <c r="O2108">
        <v>31.29</v>
      </c>
      <c r="P2108">
        <v>21.36</v>
      </c>
      <c r="Q2108">
        <v>2.82</v>
      </c>
      <c r="R2108">
        <v>1.75</v>
      </c>
      <c r="S2108">
        <v>3.43</v>
      </c>
      <c r="T2108" t="s">
        <v>6842</v>
      </c>
      <c r="U2108">
        <v>1.1499999999999999</v>
      </c>
      <c r="W2108" t="s">
        <v>5592</v>
      </c>
      <c r="X2108" t="s">
        <v>3205</v>
      </c>
      <c r="Y2108" t="s">
        <v>206</v>
      </c>
      <c r="Z2108" t="s">
        <v>1005</v>
      </c>
      <c r="AA2108">
        <v>6.58</v>
      </c>
      <c r="AB2108" t="s">
        <v>4223</v>
      </c>
      <c r="AC2108" t="s">
        <v>3758</v>
      </c>
      <c r="AD2108" t="s">
        <v>1935</v>
      </c>
      <c r="AE2108" t="s">
        <v>161</v>
      </c>
      <c r="AF2108" t="s">
        <v>7511</v>
      </c>
      <c r="AG2108" t="s">
        <v>2810</v>
      </c>
      <c r="AH2108" t="s">
        <v>11494</v>
      </c>
      <c r="AI2108" t="s">
        <v>2463</v>
      </c>
      <c r="AJ2108" t="s">
        <v>3598</v>
      </c>
      <c r="AK2108" t="s">
        <v>21487</v>
      </c>
      <c r="AL2108">
        <v>2.4300000000000002</v>
      </c>
      <c r="AM2108">
        <v>1.49</v>
      </c>
      <c r="AN2108">
        <v>0.66</v>
      </c>
      <c r="AO2108" t="s">
        <v>21488</v>
      </c>
      <c r="AP2108" t="s">
        <v>249</v>
      </c>
      <c r="AQ2108" t="s">
        <v>7118</v>
      </c>
      <c r="AR2108" t="s">
        <v>2868</v>
      </c>
      <c r="AS2108" t="s">
        <v>714</v>
      </c>
      <c r="AT2108" t="s">
        <v>3433</v>
      </c>
      <c r="AU2108" t="s">
        <v>1576</v>
      </c>
      <c r="AV2108" t="s">
        <v>2656</v>
      </c>
      <c r="AW2108" t="s">
        <v>2215</v>
      </c>
      <c r="AX2108" t="s">
        <v>4601</v>
      </c>
      <c r="AY2108" t="s">
        <v>12163</v>
      </c>
      <c r="AZ2108" t="s">
        <v>21489</v>
      </c>
      <c r="BA2108">
        <v>1.8</v>
      </c>
      <c r="BB2108">
        <v>181.4</v>
      </c>
      <c r="BC2108">
        <v>0.4</v>
      </c>
      <c r="BD2108">
        <v>205.42</v>
      </c>
      <c r="BE2108">
        <v>209.05</v>
      </c>
      <c r="BF2108">
        <v>204.17</v>
      </c>
      <c r="BG2108" t="s">
        <v>21490</v>
      </c>
      <c r="BH2108" t="s">
        <v>12163</v>
      </c>
      <c r="BI2108" t="s">
        <v>21491</v>
      </c>
      <c r="BJ2108" t="s">
        <v>101</v>
      </c>
      <c r="BK2108" t="s">
        <v>981</v>
      </c>
      <c r="BL2108" t="s">
        <v>1383</v>
      </c>
      <c r="BM2108" t="s">
        <v>4945</v>
      </c>
      <c r="BN2108" t="s">
        <v>14623</v>
      </c>
    </row>
    <row r="2109" spans="1:66" x14ac:dyDescent="0.25">
      <c r="A2109" t="str">
        <f>HYPERLINK("https://elite.finviz.com/quote.ashx?t=BWFG&amp;ty=c&amp;p=d&amp;b=1", "BWFG")</f>
        <v>BWFG</v>
      </c>
      <c r="B2109">
        <v>6</v>
      </c>
      <c r="C2109">
        <v>127.03</v>
      </c>
      <c r="D2109">
        <v>63.18</v>
      </c>
      <c r="E2109" t="s">
        <v>21492</v>
      </c>
      <c r="F2109" t="s">
        <v>67</v>
      </c>
      <c r="G2109" t="s">
        <v>550</v>
      </c>
      <c r="H2109" t="s">
        <v>697</v>
      </c>
      <c r="I2109" t="s">
        <v>70</v>
      </c>
      <c r="J2109" t="s">
        <v>321</v>
      </c>
      <c r="K2109">
        <v>356.82</v>
      </c>
      <c r="L2109">
        <v>45.32</v>
      </c>
      <c r="M2109" t="s">
        <v>629</v>
      </c>
      <c r="N2109">
        <v>3517</v>
      </c>
      <c r="O2109">
        <v>17.57</v>
      </c>
      <c r="P2109">
        <v>8.92</v>
      </c>
      <c r="R2109">
        <v>1.79</v>
      </c>
      <c r="S2109">
        <v>1.26</v>
      </c>
      <c r="T2109" t="s">
        <v>3757</v>
      </c>
      <c r="U2109">
        <v>0.8</v>
      </c>
      <c r="V2109" t="s">
        <v>893</v>
      </c>
      <c r="W2109" t="s">
        <v>164</v>
      </c>
      <c r="X2109" t="s">
        <v>4512</v>
      </c>
      <c r="Y2109" t="s">
        <v>2887</v>
      </c>
      <c r="Z2109" t="s">
        <v>21493</v>
      </c>
      <c r="AA2109">
        <v>2.58</v>
      </c>
      <c r="AB2109" t="s">
        <v>21494</v>
      </c>
      <c r="AC2109" t="s">
        <v>6349</v>
      </c>
      <c r="AE2109" t="s">
        <v>6572</v>
      </c>
      <c r="AF2109" t="s">
        <v>12721</v>
      </c>
      <c r="AG2109" t="s">
        <v>1099</v>
      </c>
      <c r="AH2109" t="s">
        <v>10226</v>
      </c>
      <c r="AI2109" t="s">
        <v>16516</v>
      </c>
      <c r="AJ2109" t="s">
        <v>909</v>
      </c>
      <c r="AK2109" t="s">
        <v>682</v>
      </c>
      <c r="AL2109">
        <v>0.16</v>
      </c>
      <c r="AN2109">
        <v>0.51</v>
      </c>
      <c r="AP2109" t="s">
        <v>3259</v>
      </c>
      <c r="AQ2109" t="s">
        <v>3491</v>
      </c>
      <c r="AR2109" t="s">
        <v>342</v>
      </c>
      <c r="AS2109" t="s">
        <v>4600</v>
      </c>
      <c r="AT2109" t="s">
        <v>4256</v>
      </c>
      <c r="AU2109" t="s">
        <v>346</v>
      </c>
      <c r="AV2109" t="s">
        <v>10039</v>
      </c>
      <c r="AW2109" t="s">
        <v>4920</v>
      </c>
      <c r="AX2109" t="s">
        <v>4460</v>
      </c>
      <c r="AY2109" t="s">
        <v>4920</v>
      </c>
      <c r="AZ2109" t="s">
        <v>13098</v>
      </c>
      <c r="BA2109">
        <v>2.33</v>
      </c>
      <c r="BB2109">
        <v>36.229999999999997</v>
      </c>
      <c r="BC2109">
        <v>0.34</v>
      </c>
      <c r="BD2109">
        <v>45.3</v>
      </c>
      <c r="BE2109">
        <v>45.91</v>
      </c>
      <c r="BF2109">
        <v>45.5</v>
      </c>
      <c r="BG2109" t="s">
        <v>21495</v>
      </c>
      <c r="BH2109" t="s">
        <v>4920</v>
      </c>
      <c r="BI2109" t="s">
        <v>21496</v>
      </c>
      <c r="BJ2109" t="s">
        <v>101</v>
      </c>
      <c r="BK2109" t="s">
        <v>2719</v>
      </c>
      <c r="BL2109" t="s">
        <v>17565</v>
      </c>
      <c r="BM2109" t="s">
        <v>20818</v>
      </c>
      <c r="BN2109" t="s">
        <v>14623</v>
      </c>
    </row>
    <row r="2110" spans="1:66" x14ac:dyDescent="0.25">
      <c r="A2110" t="str">
        <f>HYPERLINK("https://elite.finviz.com/quote.ashx?t=KINS&amp;ty=c&amp;p=d&amp;b=1", "KINS")</f>
        <v>KINS</v>
      </c>
      <c r="B2110">
        <v>6</v>
      </c>
      <c r="C2110">
        <v>127.03</v>
      </c>
      <c r="D2110">
        <v>63.24</v>
      </c>
      <c r="E2110" t="s">
        <v>21497</v>
      </c>
      <c r="F2110" t="s">
        <v>67</v>
      </c>
      <c r="G2110" t="s">
        <v>550</v>
      </c>
      <c r="H2110" t="s">
        <v>4407</v>
      </c>
      <c r="I2110" t="s">
        <v>70</v>
      </c>
      <c r="J2110" t="s">
        <v>321</v>
      </c>
      <c r="K2110">
        <v>213.38</v>
      </c>
      <c r="L2110">
        <v>15.09</v>
      </c>
      <c r="M2110" t="s">
        <v>2186</v>
      </c>
      <c r="N2110">
        <v>62821</v>
      </c>
      <c r="O2110">
        <v>7.5</v>
      </c>
      <c r="P2110">
        <v>6.56</v>
      </c>
      <c r="R2110">
        <v>1.27</v>
      </c>
      <c r="S2110">
        <v>2.25</v>
      </c>
      <c r="T2110" t="s">
        <v>2290</v>
      </c>
      <c r="U2110">
        <v>0.05</v>
      </c>
      <c r="V2110" t="s">
        <v>893</v>
      </c>
      <c r="AA2110">
        <v>2.0099999999999998</v>
      </c>
      <c r="AE2110" t="s">
        <v>649</v>
      </c>
      <c r="AF2110" t="s">
        <v>1929</v>
      </c>
      <c r="AG2110" t="s">
        <v>2331</v>
      </c>
      <c r="AH2110" t="s">
        <v>21498</v>
      </c>
      <c r="AI2110" t="s">
        <v>5962</v>
      </c>
      <c r="AJ2110" t="s">
        <v>3336</v>
      </c>
      <c r="AK2110" t="s">
        <v>3313</v>
      </c>
      <c r="AL2110">
        <v>0.74</v>
      </c>
      <c r="AN2110">
        <v>0.06</v>
      </c>
      <c r="AP2110" t="s">
        <v>13279</v>
      </c>
      <c r="AQ2110" t="s">
        <v>2589</v>
      </c>
      <c r="AR2110" t="s">
        <v>5369</v>
      </c>
      <c r="AS2110" t="s">
        <v>6726</v>
      </c>
      <c r="AT2110" t="s">
        <v>1960</v>
      </c>
      <c r="AU2110" t="s">
        <v>2233</v>
      </c>
      <c r="AV2110" t="s">
        <v>6074</v>
      </c>
      <c r="AW2110" t="s">
        <v>8162</v>
      </c>
      <c r="AX2110" t="s">
        <v>12145</v>
      </c>
      <c r="AY2110" t="s">
        <v>9029</v>
      </c>
      <c r="AZ2110" t="s">
        <v>21499</v>
      </c>
      <c r="BA2110">
        <v>1</v>
      </c>
      <c r="BB2110">
        <v>239.19</v>
      </c>
      <c r="BC2110">
        <v>0.93</v>
      </c>
      <c r="BD2110">
        <v>14.85</v>
      </c>
      <c r="BE2110">
        <v>15.2</v>
      </c>
      <c r="BF2110">
        <v>14.89</v>
      </c>
      <c r="BG2110" t="s">
        <v>21500</v>
      </c>
      <c r="BH2110" t="s">
        <v>9029</v>
      </c>
      <c r="BI2110" t="s">
        <v>21501</v>
      </c>
      <c r="BJ2110" t="s">
        <v>101</v>
      </c>
      <c r="BK2110" t="s">
        <v>9075</v>
      </c>
      <c r="BL2110" t="s">
        <v>21502</v>
      </c>
      <c r="BM2110" t="s">
        <v>21503</v>
      </c>
      <c r="BN2110" t="s">
        <v>14623</v>
      </c>
    </row>
    <row r="2111" spans="1:66" x14ac:dyDescent="0.25">
      <c r="A2111" t="str">
        <f>HYPERLINK("https://elite.finviz.com/quote.ashx?t=KTCC&amp;ty=c&amp;p=d&amp;b=1", "KTCC")</f>
        <v>KTCC</v>
      </c>
      <c r="B2111">
        <v>6</v>
      </c>
      <c r="C2111">
        <v>127.03</v>
      </c>
      <c r="D2111">
        <v>63.28</v>
      </c>
      <c r="E2111" t="s">
        <v>21504</v>
      </c>
      <c r="F2111" t="s">
        <v>107</v>
      </c>
      <c r="G2111" t="s">
        <v>108</v>
      </c>
      <c r="H2111" t="s">
        <v>496</v>
      </c>
      <c r="I2111" t="s">
        <v>70</v>
      </c>
      <c r="J2111" t="s">
        <v>321</v>
      </c>
      <c r="K2111">
        <v>38.25</v>
      </c>
      <c r="L2111">
        <v>3.55</v>
      </c>
      <c r="M2111" t="s">
        <v>193</v>
      </c>
      <c r="N2111">
        <v>4228</v>
      </c>
      <c r="R2111">
        <v>0.08</v>
      </c>
      <c r="S2111">
        <v>0.33</v>
      </c>
      <c r="AA2111">
        <v>-0.77</v>
      </c>
      <c r="AE2111" t="s">
        <v>21505</v>
      </c>
      <c r="AF2111" t="s">
        <v>6080</v>
      </c>
      <c r="AG2111" t="s">
        <v>747</v>
      </c>
      <c r="AH2111" t="s">
        <v>7526</v>
      </c>
      <c r="AJ2111" t="s">
        <v>4079</v>
      </c>
      <c r="AK2111" t="s">
        <v>21506</v>
      </c>
      <c r="AL2111">
        <v>2.5499999999999998</v>
      </c>
      <c r="AM2111">
        <v>1.49</v>
      </c>
      <c r="AN2111">
        <v>1.01</v>
      </c>
      <c r="AO2111" t="s">
        <v>1676</v>
      </c>
      <c r="AP2111" t="s">
        <v>914</v>
      </c>
      <c r="AQ2111" t="s">
        <v>6659</v>
      </c>
      <c r="AR2111" t="s">
        <v>5163</v>
      </c>
      <c r="AS2111" t="s">
        <v>3983</v>
      </c>
      <c r="AT2111" t="s">
        <v>4686</v>
      </c>
      <c r="AU2111" t="s">
        <v>5262</v>
      </c>
      <c r="AV2111" t="s">
        <v>7033</v>
      </c>
      <c r="AW2111" t="s">
        <v>1770</v>
      </c>
      <c r="AX2111" t="s">
        <v>10699</v>
      </c>
      <c r="AY2111" t="s">
        <v>6018</v>
      </c>
      <c r="AZ2111" t="s">
        <v>13979</v>
      </c>
      <c r="BA2111">
        <v>1</v>
      </c>
      <c r="BB2111">
        <v>26.04</v>
      </c>
      <c r="BC2111">
        <v>0.56999999999999995</v>
      </c>
      <c r="BD2111">
        <v>3.54</v>
      </c>
      <c r="BE2111">
        <v>3.56</v>
      </c>
      <c r="BF2111">
        <v>3.47</v>
      </c>
      <c r="BG2111" t="s">
        <v>21507</v>
      </c>
      <c r="BH2111" t="s">
        <v>21508</v>
      </c>
      <c r="BI2111" t="s">
        <v>21509</v>
      </c>
      <c r="BJ2111" t="s">
        <v>101</v>
      </c>
      <c r="BK2111" t="s">
        <v>9301</v>
      </c>
      <c r="BL2111" t="s">
        <v>9441</v>
      </c>
      <c r="BM2111" t="s">
        <v>5407</v>
      </c>
      <c r="BN2111" t="s">
        <v>14623</v>
      </c>
    </row>
    <row r="2112" spans="1:66" x14ac:dyDescent="0.25">
      <c r="A2112" t="str">
        <f>HYPERLINK("https://elite.finviz.com/quote.ashx?t=CMTL&amp;ty=c&amp;p=d&amp;b=1", "CMTL")</f>
        <v>CMTL</v>
      </c>
      <c r="B2112">
        <v>6</v>
      </c>
      <c r="C2112">
        <v>127.03</v>
      </c>
      <c r="D2112">
        <v>63.31</v>
      </c>
      <c r="E2112" t="s">
        <v>21510</v>
      </c>
      <c r="F2112" t="s">
        <v>107</v>
      </c>
      <c r="G2112" t="s">
        <v>108</v>
      </c>
      <c r="H2112" t="s">
        <v>1921</v>
      </c>
      <c r="I2112" t="s">
        <v>70</v>
      </c>
      <c r="J2112" t="s">
        <v>321</v>
      </c>
      <c r="K2112">
        <v>75.400000000000006</v>
      </c>
      <c r="L2112">
        <v>2.57</v>
      </c>
      <c r="M2112" t="s">
        <v>1648</v>
      </c>
      <c r="N2112">
        <v>64937</v>
      </c>
      <c r="R2112">
        <v>0.15</v>
      </c>
      <c r="S2112">
        <v>0.65</v>
      </c>
      <c r="V2112" t="s">
        <v>21511</v>
      </c>
      <c r="AA2112">
        <v>-10.050000000000001</v>
      </c>
      <c r="AB2112" t="s">
        <v>3080</v>
      </c>
      <c r="AE2112" t="s">
        <v>5194</v>
      </c>
      <c r="AF2112" t="s">
        <v>5778</v>
      </c>
      <c r="AG2112" t="s">
        <v>818</v>
      </c>
      <c r="AH2112" t="s">
        <v>3113</v>
      </c>
      <c r="AI2112" t="s">
        <v>4938</v>
      </c>
      <c r="AJ2112" t="s">
        <v>164</v>
      </c>
      <c r="AK2112" t="s">
        <v>21512</v>
      </c>
      <c r="AL2112">
        <v>0.74</v>
      </c>
      <c r="AM2112">
        <v>0.53</v>
      </c>
      <c r="AN2112">
        <v>0.88</v>
      </c>
      <c r="AO2112" t="s">
        <v>6834</v>
      </c>
      <c r="AP2112" t="s">
        <v>9757</v>
      </c>
      <c r="AQ2112" t="s">
        <v>21513</v>
      </c>
      <c r="AR2112" t="s">
        <v>7288</v>
      </c>
      <c r="AS2112" t="s">
        <v>267</v>
      </c>
      <c r="AT2112" t="s">
        <v>5459</v>
      </c>
      <c r="AU2112" t="s">
        <v>11564</v>
      </c>
      <c r="AV2112" t="s">
        <v>2867</v>
      </c>
      <c r="AW2112" t="s">
        <v>1787</v>
      </c>
      <c r="AX2112" t="s">
        <v>4821</v>
      </c>
      <c r="AY2112" t="s">
        <v>8755</v>
      </c>
      <c r="AZ2112" t="s">
        <v>21514</v>
      </c>
      <c r="BA2112">
        <v>1</v>
      </c>
      <c r="BB2112">
        <v>170.14</v>
      </c>
      <c r="BC2112">
        <v>1.34</v>
      </c>
      <c r="BD2112">
        <v>2.57</v>
      </c>
      <c r="BE2112">
        <v>2.58</v>
      </c>
      <c r="BF2112">
        <v>2.5</v>
      </c>
      <c r="BG2112" t="s">
        <v>21515</v>
      </c>
      <c r="BH2112" t="s">
        <v>21516</v>
      </c>
      <c r="BI2112" t="s">
        <v>21517</v>
      </c>
      <c r="BJ2112" t="s">
        <v>101</v>
      </c>
      <c r="BK2112" t="s">
        <v>4744</v>
      </c>
      <c r="BL2112" t="s">
        <v>4821</v>
      </c>
      <c r="BM2112" t="s">
        <v>21518</v>
      </c>
      <c r="BN2112" t="s">
        <v>14623</v>
      </c>
    </row>
    <row r="2113" spans="1:66" x14ac:dyDescent="0.25">
      <c r="A2113" t="str">
        <f>HYPERLINK("https://elite.finviz.com/quote.ashx?t=EVI&amp;ty=c&amp;p=d&amp;b=1", "EVI")</f>
        <v>EVI</v>
      </c>
      <c r="B2113">
        <v>6</v>
      </c>
      <c r="C2113">
        <v>127.03</v>
      </c>
      <c r="D2113">
        <v>63.32</v>
      </c>
      <c r="E2113" t="s">
        <v>21519</v>
      </c>
      <c r="F2113" t="s">
        <v>67</v>
      </c>
      <c r="G2113" t="s">
        <v>260</v>
      </c>
      <c r="H2113" t="s">
        <v>8107</v>
      </c>
      <c r="I2113" t="s">
        <v>70</v>
      </c>
      <c r="J2113" t="s">
        <v>383</v>
      </c>
      <c r="K2113">
        <v>413.49</v>
      </c>
      <c r="L2113">
        <v>32.4</v>
      </c>
      <c r="M2113" t="s">
        <v>322</v>
      </c>
      <c r="N2113">
        <v>1991</v>
      </c>
      <c r="O2113">
        <v>66.180000000000007</v>
      </c>
      <c r="P2113">
        <v>35.6</v>
      </c>
      <c r="R2113">
        <v>1.06</v>
      </c>
      <c r="S2113">
        <v>2.88</v>
      </c>
      <c r="T2113" t="s">
        <v>5577</v>
      </c>
      <c r="U2113">
        <v>0.33</v>
      </c>
      <c r="V2113" t="s">
        <v>2651</v>
      </c>
      <c r="Z2113" t="s">
        <v>164</v>
      </c>
      <c r="AA2113">
        <v>0.49</v>
      </c>
      <c r="AB2113" t="s">
        <v>11024</v>
      </c>
      <c r="AC2113" t="s">
        <v>21375</v>
      </c>
      <c r="AE2113" t="s">
        <v>4835</v>
      </c>
      <c r="AF2113" t="s">
        <v>7298</v>
      </c>
      <c r="AG2113" t="s">
        <v>2786</v>
      </c>
      <c r="AH2113" t="s">
        <v>6903</v>
      </c>
      <c r="AI2113" t="s">
        <v>5644</v>
      </c>
      <c r="AJ2113" t="s">
        <v>164</v>
      </c>
      <c r="AK2113" t="s">
        <v>14738</v>
      </c>
      <c r="AL2113">
        <v>1.53</v>
      </c>
      <c r="AM2113">
        <v>0.82</v>
      </c>
      <c r="AN2113">
        <v>0.45</v>
      </c>
      <c r="AO2113" t="s">
        <v>4991</v>
      </c>
      <c r="AP2113" t="s">
        <v>1063</v>
      </c>
      <c r="AQ2113" t="s">
        <v>2175</v>
      </c>
      <c r="AR2113" t="s">
        <v>4913</v>
      </c>
      <c r="AS2113" t="s">
        <v>2809</v>
      </c>
      <c r="AT2113" t="s">
        <v>6528</v>
      </c>
      <c r="AU2113" t="s">
        <v>19198</v>
      </c>
      <c r="AV2113" t="s">
        <v>15237</v>
      </c>
      <c r="AW2113" t="s">
        <v>2951</v>
      </c>
      <c r="AX2113" t="s">
        <v>21520</v>
      </c>
      <c r="AY2113" t="s">
        <v>2951</v>
      </c>
      <c r="AZ2113" t="s">
        <v>21521</v>
      </c>
      <c r="BA2113">
        <v>1</v>
      </c>
      <c r="BB2113">
        <v>17.13</v>
      </c>
      <c r="BC2113">
        <v>0.41</v>
      </c>
      <c r="BD2113">
        <v>30.81</v>
      </c>
      <c r="BE2113">
        <v>32.909999999999997</v>
      </c>
      <c r="BF2113">
        <v>32.909999999999997</v>
      </c>
      <c r="BG2113" t="s">
        <v>21522</v>
      </c>
      <c r="BH2113" t="s">
        <v>21523</v>
      </c>
      <c r="BI2113" t="s">
        <v>21524</v>
      </c>
      <c r="BJ2113" t="s">
        <v>101</v>
      </c>
      <c r="BK2113" t="s">
        <v>3209</v>
      </c>
      <c r="BL2113" t="s">
        <v>21525</v>
      </c>
      <c r="BM2113" t="s">
        <v>18273</v>
      </c>
      <c r="BN2113" t="s">
        <v>14623</v>
      </c>
    </row>
    <row r="2114" spans="1:66" x14ac:dyDescent="0.25">
      <c r="A2114" t="str">
        <f>HYPERLINK("https://elite.finviz.com/quote.ashx?t=GNTY&amp;ty=c&amp;p=d&amp;b=1", "GNTY")</f>
        <v>GNTY</v>
      </c>
      <c r="B2114">
        <v>6</v>
      </c>
      <c r="C2114">
        <v>127.03</v>
      </c>
      <c r="D2114">
        <v>63.4</v>
      </c>
      <c r="E2114" t="s">
        <v>21526</v>
      </c>
      <c r="F2114" t="s">
        <v>67</v>
      </c>
      <c r="G2114" t="s">
        <v>550</v>
      </c>
      <c r="H2114" t="s">
        <v>697</v>
      </c>
      <c r="I2114" t="s">
        <v>70</v>
      </c>
      <c r="J2114" t="s">
        <v>71</v>
      </c>
      <c r="K2114">
        <v>557.63</v>
      </c>
      <c r="L2114">
        <v>49.14</v>
      </c>
      <c r="M2114" t="s">
        <v>4840</v>
      </c>
      <c r="N2114">
        <v>9219</v>
      </c>
      <c r="O2114">
        <v>15.62</v>
      </c>
      <c r="P2114">
        <v>14.8</v>
      </c>
      <c r="R2114">
        <v>3.02</v>
      </c>
      <c r="S2114">
        <v>1.68</v>
      </c>
      <c r="T2114" t="s">
        <v>5968</v>
      </c>
      <c r="U2114">
        <v>0.71</v>
      </c>
      <c r="V2114" t="s">
        <v>7552</v>
      </c>
      <c r="W2114" t="s">
        <v>3520</v>
      </c>
      <c r="X2114" t="s">
        <v>6593</v>
      </c>
      <c r="Y2114" t="s">
        <v>712</v>
      </c>
      <c r="Z2114" t="s">
        <v>16789</v>
      </c>
      <c r="AA2114">
        <v>3.15</v>
      </c>
      <c r="AB2114" t="s">
        <v>7289</v>
      </c>
      <c r="AC2114" t="s">
        <v>1204</v>
      </c>
      <c r="AE2114" t="s">
        <v>6990</v>
      </c>
      <c r="AF2114" t="s">
        <v>6202</v>
      </c>
      <c r="AG2114" t="s">
        <v>2887</v>
      </c>
      <c r="AH2114" t="s">
        <v>3638</v>
      </c>
      <c r="AI2114" t="s">
        <v>2816</v>
      </c>
      <c r="AJ2114" t="s">
        <v>386</v>
      </c>
      <c r="AK2114" t="s">
        <v>10532</v>
      </c>
      <c r="AL2114">
        <v>0.23</v>
      </c>
      <c r="AN2114">
        <v>0.25</v>
      </c>
      <c r="AP2114" t="s">
        <v>2567</v>
      </c>
      <c r="AQ2114" t="s">
        <v>5761</v>
      </c>
      <c r="AR2114" t="s">
        <v>3842</v>
      </c>
      <c r="AS2114" t="s">
        <v>5263</v>
      </c>
      <c r="AT2114" t="s">
        <v>2624</v>
      </c>
      <c r="AU2114" t="s">
        <v>2428</v>
      </c>
      <c r="AV2114" t="s">
        <v>142</v>
      </c>
      <c r="AW2114" t="s">
        <v>2814</v>
      </c>
      <c r="AX2114" t="s">
        <v>16013</v>
      </c>
      <c r="AY2114" t="s">
        <v>2814</v>
      </c>
      <c r="AZ2114" t="s">
        <v>4001</v>
      </c>
      <c r="BA2114">
        <v>3</v>
      </c>
      <c r="BB2114">
        <v>57.6</v>
      </c>
      <c r="BC2114">
        <v>0.56000000000000005</v>
      </c>
      <c r="BD2114">
        <v>48.83</v>
      </c>
      <c r="BE2114">
        <v>49.5</v>
      </c>
      <c r="BF2114">
        <v>49.06</v>
      </c>
      <c r="BG2114" t="s">
        <v>21527</v>
      </c>
      <c r="BH2114" t="s">
        <v>2814</v>
      </c>
      <c r="BI2114" t="s">
        <v>21528</v>
      </c>
      <c r="BJ2114" t="s">
        <v>101</v>
      </c>
      <c r="BK2114" t="s">
        <v>8087</v>
      </c>
      <c r="BL2114" t="s">
        <v>664</v>
      </c>
      <c r="BM2114" t="s">
        <v>11132</v>
      </c>
      <c r="BN2114" t="s">
        <v>14623</v>
      </c>
    </row>
    <row r="2115" spans="1:66" x14ac:dyDescent="0.25">
      <c r="A2115" t="str">
        <f>HYPERLINK("https://elite.finviz.com/quote.ashx?t=DGX&amp;ty=c&amp;p=d&amp;b=1", "DGX")</f>
        <v>DGX</v>
      </c>
      <c r="B2115">
        <v>6</v>
      </c>
      <c r="C2115">
        <v>127.03</v>
      </c>
      <c r="D2115">
        <v>63.41</v>
      </c>
      <c r="E2115" t="s">
        <v>21529</v>
      </c>
      <c r="F2115" t="s">
        <v>195</v>
      </c>
      <c r="G2115" t="s">
        <v>428</v>
      </c>
      <c r="H2115" t="s">
        <v>4202</v>
      </c>
      <c r="I2115" t="s">
        <v>70</v>
      </c>
      <c r="J2115" t="s">
        <v>71</v>
      </c>
      <c r="K2115">
        <v>20955.71</v>
      </c>
      <c r="L2115">
        <v>187.4</v>
      </c>
      <c r="M2115" t="s">
        <v>344</v>
      </c>
      <c r="N2115">
        <v>75011</v>
      </c>
      <c r="O2115">
        <v>22.41</v>
      </c>
      <c r="P2115">
        <v>18.11</v>
      </c>
      <c r="Q2115">
        <v>2.86</v>
      </c>
      <c r="R2115">
        <v>1.99</v>
      </c>
      <c r="S2115">
        <v>2.9</v>
      </c>
      <c r="T2115" t="s">
        <v>7423</v>
      </c>
      <c r="U2115">
        <v>3.1</v>
      </c>
      <c r="V2115" t="s">
        <v>4105</v>
      </c>
      <c r="W2115" t="s">
        <v>3983</v>
      </c>
      <c r="X2115" t="s">
        <v>3723</v>
      </c>
      <c r="Y2115" t="s">
        <v>3432</v>
      </c>
      <c r="Z2115" t="s">
        <v>6547</v>
      </c>
      <c r="AA2115">
        <v>8.36</v>
      </c>
      <c r="AB2115" t="s">
        <v>5827</v>
      </c>
      <c r="AC2115" t="s">
        <v>4795</v>
      </c>
      <c r="AD2115" t="s">
        <v>7566</v>
      </c>
      <c r="AE2115" t="s">
        <v>3921</v>
      </c>
      <c r="AF2115" t="s">
        <v>1000</v>
      </c>
      <c r="AG2115" t="s">
        <v>754</v>
      </c>
      <c r="AH2115" t="s">
        <v>1601</v>
      </c>
      <c r="AI2115" t="s">
        <v>3832</v>
      </c>
      <c r="AJ2115" t="s">
        <v>17002</v>
      </c>
      <c r="AK2115" t="s">
        <v>20308</v>
      </c>
      <c r="AL2115">
        <v>1.0900000000000001</v>
      </c>
      <c r="AM2115">
        <v>0.99</v>
      </c>
      <c r="AN2115">
        <v>0.88</v>
      </c>
      <c r="AO2115" t="s">
        <v>21530</v>
      </c>
      <c r="AP2115" t="s">
        <v>8526</v>
      </c>
      <c r="AQ2115" t="s">
        <v>7567</v>
      </c>
      <c r="AR2115" t="s">
        <v>6829</v>
      </c>
      <c r="AS2115" t="s">
        <v>3024</v>
      </c>
      <c r="AT2115" t="s">
        <v>179</v>
      </c>
      <c r="AU2115" t="s">
        <v>1063</v>
      </c>
      <c r="AV2115" t="s">
        <v>9037</v>
      </c>
      <c r="AW2115" t="s">
        <v>3890</v>
      </c>
      <c r="AX2115" t="s">
        <v>4648</v>
      </c>
      <c r="AY2115" t="s">
        <v>3890</v>
      </c>
      <c r="AZ2115" t="s">
        <v>14666</v>
      </c>
      <c r="BA2115">
        <v>2.1800000000000002</v>
      </c>
      <c r="BB2115">
        <v>979.78</v>
      </c>
      <c r="BC2115">
        <v>0.27</v>
      </c>
      <c r="BD2115">
        <v>185.39</v>
      </c>
      <c r="BE2115">
        <v>187.55</v>
      </c>
      <c r="BF2115">
        <v>186.02</v>
      </c>
      <c r="BG2115" t="s">
        <v>21531</v>
      </c>
      <c r="BH2115" t="s">
        <v>3890</v>
      </c>
      <c r="BI2115" t="s">
        <v>21532</v>
      </c>
      <c r="BJ2115" t="s">
        <v>101</v>
      </c>
      <c r="BK2115" t="s">
        <v>2580</v>
      </c>
      <c r="BL2115" t="s">
        <v>1369</v>
      </c>
      <c r="BM2115" t="s">
        <v>13484</v>
      </c>
      <c r="BN2115" t="s">
        <v>14623</v>
      </c>
    </row>
    <row r="2116" spans="1:66" x14ac:dyDescent="0.25">
      <c r="A2116" t="str">
        <f>HYPERLINK("https://elite.finviz.com/quote.ashx?t=IROQ&amp;ty=c&amp;p=d&amp;b=1", "IROQ")</f>
        <v>IROQ</v>
      </c>
      <c r="B2116">
        <v>6</v>
      </c>
      <c r="C2116">
        <v>127.03</v>
      </c>
      <c r="D2116">
        <v>63.42</v>
      </c>
      <c r="E2116" t="s">
        <v>21533</v>
      </c>
      <c r="F2116" t="s">
        <v>107</v>
      </c>
      <c r="G2116" t="s">
        <v>550</v>
      </c>
      <c r="H2116" t="s">
        <v>697</v>
      </c>
      <c r="I2116" t="s">
        <v>70</v>
      </c>
      <c r="J2116" t="s">
        <v>321</v>
      </c>
      <c r="K2116">
        <v>87.07</v>
      </c>
      <c r="L2116">
        <v>25.98</v>
      </c>
      <c r="M2116" t="s">
        <v>3047</v>
      </c>
      <c r="N2116">
        <v>190</v>
      </c>
      <c r="O2116">
        <v>19.489999999999998</v>
      </c>
      <c r="R2116">
        <v>1.8</v>
      </c>
      <c r="S2116">
        <v>1.03</v>
      </c>
      <c r="T2116" t="s">
        <v>2572</v>
      </c>
      <c r="U2116">
        <v>0.4</v>
      </c>
      <c r="V2116" t="s">
        <v>4741</v>
      </c>
      <c r="W2116" t="s">
        <v>164</v>
      </c>
      <c r="X2116" t="s">
        <v>4104</v>
      </c>
      <c r="Y2116" t="s">
        <v>351</v>
      </c>
      <c r="Z2116" t="s">
        <v>16054</v>
      </c>
      <c r="AA2116">
        <v>1.33</v>
      </c>
      <c r="AB2116" t="s">
        <v>1245</v>
      </c>
      <c r="AC2116" t="s">
        <v>182</v>
      </c>
      <c r="AE2116" t="s">
        <v>11336</v>
      </c>
      <c r="AF2116" t="s">
        <v>13213</v>
      </c>
      <c r="AG2116" t="s">
        <v>147</v>
      </c>
      <c r="AH2116" t="s">
        <v>2785</v>
      </c>
      <c r="AJ2116" t="s">
        <v>164</v>
      </c>
      <c r="AK2116" t="s">
        <v>20728</v>
      </c>
      <c r="AL2116">
        <v>0.03</v>
      </c>
      <c r="AN2116">
        <v>0.89</v>
      </c>
      <c r="AP2116" t="s">
        <v>13830</v>
      </c>
      <c r="AQ2116" t="s">
        <v>4718</v>
      </c>
      <c r="AR2116" t="s">
        <v>3736</v>
      </c>
      <c r="AS2116" t="s">
        <v>3013</v>
      </c>
      <c r="AT2116" t="s">
        <v>2145</v>
      </c>
      <c r="AU2116" t="s">
        <v>7484</v>
      </c>
      <c r="AV2116" t="s">
        <v>4378</v>
      </c>
      <c r="AW2116" t="s">
        <v>1547</v>
      </c>
      <c r="AX2116" t="s">
        <v>3644</v>
      </c>
      <c r="AY2116" t="s">
        <v>1547</v>
      </c>
      <c r="AZ2116" t="s">
        <v>11577</v>
      </c>
      <c r="BB2116">
        <v>1.86</v>
      </c>
      <c r="BC2116">
        <v>0.36</v>
      </c>
      <c r="BD2116">
        <v>25.8</v>
      </c>
      <c r="BE2116">
        <v>25.98</v>
      </c>
      <c r="BF2116">
        <v>25.98</v>
      </c>
      <c r="BG2116" t="s">
        <v>21534</v>
      </c>
      <c r="BH2116" t="s">
        <v>1537</v>
      </c>
      <c r="BI2116" t="s">
        <v>21535</v>
      </c>
      <c r="BJ2116" t="s">
        <v>101</v>
      </c>
      <c r="BK2116" t="s">
        <v>2363</v>
      </c>
      <c r="BL2116" t="s">
        <v>224</v>
      </c>
      <c r="BM2116" t="s">
        <v>8776</v>
      </c>
      <c r="BN2116" t="s">
        <v>14623</v>
      </c>
    </row>
    <row r="2117" spans="1:66" x14ac:dyDescent="0.25">
      <c r="A2117" t="str">
        <f>HYPERLINK("https://elite.finviz.com/quote.ashx?t=TAVI&amp;ty=c&amp;p=d&amp;b=1", "TAVI")</f>
        <v>TAVI</v>
      </c>
      <c r="B2117">
        <v>6</v>
      </c>
      <c r="C2117">
        <v>127.03</v>
      </c>
      <c r="D2117">
        <v>63.45</v>
      </c>
      <c r="E2117" t="s">
        <v>21536</v>
      </c>
      <c r="F2117" t="s">
        <v>107</v>
      </c>
      <c r="G2117" t="s">
        <v>550</v>
      </c>
      <c r="H2117" t="s">
        <v>2120</v>
      </c>
      <c r="I2117" t="s">
        <v>70</v>
      </c>
      <c r="J2117" t="s">
        <v>321</v>
      </c>
      <c r="K2117">
        <v>164.61</v>
      </c>
      <c r="L2117">
        <v>10.34</v>
      </c>
      <c r="M2117" t="s">
        <v>164</v>
      </c>
      <c r="N2117">
        <v>0</v>
      </c>
      <c r="O2117">
        <v>92.82</v>
      </c>
      <c r="S2117">
        <v>1.4</v>
      </c>
      <c r="Z2117" t="s">
        <v>164</v>
      </c>
      <c r="AA2117">
        <v>0.11</v>
      </c>
      <c r="AJ2117" t="s">
        <v>164</v>
      </c>
      <c r="AK2117" t="s">
        <v>8323</v>
      </c>
      <c r="AL2117">
        <v>0.48</v>
      </c>
      <c r="AM2117">
        <v>0.48</v>
      </c>
      <c r="AN2117">
        <v>0</v>
      </c>
      <c r="AR2117" t="s">
        <v>629</v>
      </c>
      <c r="AS2117" t="s">
        <v>629</v>
      </c>
      <c r="AT2117" t="s">
        <v>2423</v>
      </c>
      <c r="AU2117" t="s">
        <v>3169</v>
      </c>
      <c r="AV2117" t="s">
        <v>7322</v>
      </c>
      <c r="AW2117" t="s">
        <v>8542</v>
      </c>
      <c r="AX2117" t="s">
        <v>4276</v>
      </c>
      <c r="AY2117" t="s">
        <v>8542</v>
      </c>
      <c r="AZ2117" t="s">
        <v>4104</v>
      </c>
      <c r="BB2117">
        <v>16.350000000000001</v>
      </c>
      <c r="BC2117">
        <v>0</v>
      </c>
      <c r="BD2117">
        <v>10.34</v>
      </c>
      <c r="BE2117">
        <v>10.34</v>
      </c>
      <c r="BF2117">
        <v>10.34</v>
      </c>
      <c r="BG2117" t="s">
        <v>21537</v>
      </c>
      <c r="BH2117" t="s">
        <v>8542</v>
      </c>
      <c r="BI2117" t="s">
        <v>4104</v>
      </c>
      <c r="BJ2117" t="s">
        <v>101</v>
      </c>
      <c r="BK2117" t="s">
        <v>4976</v>
      </c>
      <c r="BL2117" t="s">
        <v>8625</v>
      </c>
      <c r="BN2117" t="s">
        <v>14623</v>
      </c>
    </row>
    <row r="2118" spans="1:66" x14ac:dyDescent="0.25">
      <c r="A2118" t="str">
        <f>HYPERLINK("https://elite.finviz.com/quote.ashx?t=CCB&amp;ty=c&amp;p=d&amp;b=1", "CCB")</f>
        <v>CCB</v>
      </c>
      <c r="B2118">
        <v>6</v>
      </c>
      <c r="C2118">
        <v>127.03</v>
      </c>
      <c r="D2118">
        <v>63.45</v>
      </c>
      <c r="E2118" t="s">
        <v>21538</v>
      </c>
      <c r="F2118" t="s">
        <v>67</v>
      </c>
      <c r="G2118" t="s">
        <v>550</v>
      </c>
      <c r="H2118" t="s">
        <v>697</v>
      </c>
      <c r="I2118" t="s">
        <v>70</v>
      </c>
      <c r="J2118" t="s">
        <v>321</v>
      </c>
      <c r="K2118">
        <v>1775.42</v>
      </c>
      <c r="L2118">
        <v>117.51</v>
      </c>
      <c r="M2118" t="s">
        <v>5071</v>
      </c>
      <c r="N2118">
        <v>19368</v>
      </c>
      <c r="O2118">
        <v>36.119999999999997</v>
      </c>
      <c r="P2118">
        <v>18.010000000000002</v>
      </c>
      <c r="Q2118">
        <v>0.89</v>
      </c>
      <c r="R2118">
        <v>2.62</v>
      </c>
      <c r="S2118">
        <v>3.84</v>
      </c>
      <c r="Z2118" t="s">
        <v>164</v>
      </c>
      <c r="AA2118">
        <v>3.25</v>
      </c>
      <c r="AB2118" t="s">
        <v>5706</v>
      </c>
      <c r="AC2118" t="s">
        <v>1516</v>
      </c>
      <c r="AD2118" t="s">
        <v>12926</v>
      </c>
      <c r="AE2118" t="s">
        <v>7019</v>
      </c>
      <c r="AF2118" t="s">
        <v>21539</v>
      </c>
      <c r="AG2118" t="s">
        <v>21540</v>
      </c>
      <c r="AH2118" t="s">
        <v>9955</v>
      </c>
      <c r="AI2118" t="s">
        <v>5980</v>
      </c>
      <c r="AJ2118" t="s">
        <v>2673</v>
      </c>
      <c r="AK2118" t="s">
        <v>6242</v>
      </c>
      <c r="AL2118">
        <v>0.28000000000000003</v>
      </c>
      <c r="AN2118">
        <v>0.11</v>
      </c>
      <c r="AP2118" t="s">
        <v>7781</v>
      </c>
      <c r="AQ2118" t="s">
        <v>1243</v>
      </c>
      <c r="AR2118" t="s">
        <v>2892</v>
      </c>
      <c r="AS2118" t="s">
        <v>3173</v>
      </c>
      <c r="AT2118" t="s">
        <v>2484</v>
      </c>
      <c r="AU2118" t="s">
        <v>2127</v>
      </c>
      <c r="AV2118" t="s">
        <v>4798</v>
      </c>
      <c r="AW2118" t="s">
        <v>15000</v>
      </c>
      <c r="AX2118" t="s">
        <v>1883</v>
      </c>
      <c r="AY2118" t="s">
        <v>15000</v>
      </c>
      <c r="AZ2118" t="s">
        <v>21541</v>
      </c>
      <c r="BA2118">
        <v>1</v>
      </c>
      <c r="BB2118">
        <v>136.91</v>
      </c>
      <c r="BC2118">
        <v>0.5</v>
      </c>
      <c r="BD2118">
        <v>115.35</v>
      </c>
      <c r="BE2118">
        <v>118.7</v>
      </c>
      <c r="BF2118">
        <v>113.31</v>
      </c>
      <c r="BG2118" t="s">
        <v>21542</v>
      </c>
      <c r="BH2118" t="s">
        <v>15000</v>
      </c>
      <c r="BI2118" t="s">
        <v>21543</v>
      </c>
      <c r="BJ2118" t="s">
        <v>101</v>
      </c>
      <c r="BK2118" t="s">
        <v>5038</v>
      </c>
      <c r="BL2118" t="s">
        <v>6704</v>
      </c>
      <c r="BM2118" t="s">
        <v>21544</v>
      </c>
      <c r="BN2118" t="s">
        <v>14623</v>
      </c>
    </row>
    <row r="2119" spans="1:66" x14ac:dyDescent="0.25">
      <c r="A2119" t="str">
        <f>HYPERLINK("https://elite.finviz.com/quote.ashx?t=PLYM&amp;ty=c&amp;p=d&amp;b=1", "PLYM")</f>
        <v>PLYM</v>
      </c>
      <c r="B2119">
        <v>6</v>
      </c>
      <c r="C2119">
        <v>127.03</v>
      </c>
      <c r="D2119">
        <v>63.47</v>
      </c>
      <c r="E2119" t="s">
        <v>21545</v>
      </c>
      <c r="F2119" t="s">
        <v>67</v>
      </c>
      <c r="G2119" t="s">
        <v>68</v>
      </c>
      <c r="H2119" t="s">
        <v>6342</v>
      </c>
      <c r="I2119" t="s">
        <v>70</v>
      </c>
      <c r="J2119" t="s">
        <v>71</v>
      </c>
      <c r="K2119">
        <v>982.01</v>
      </c>
      <c r="L2119">
        <v>21.8</v>
      </c>
      <c r="M2119" t="s">
        <v>2757</v>
      </c>
      <c r="N2119">
        <v>130335</v>
      </c>
      <c r="O2119">
        <v>7.56</v>
      </c>
      <c r="R2119">
        <v>5.1100000000000003</v>
      </c>
      <c r="S2119">
        <v>1.81</v>
      </c>
      <c r="T2119" t="s">
        <v>615</v>
      </c>
      <c r="U2119">
        <v>0.48</v>
      </c>
      <c r="V2119" t="s">
        <v>198</v>
      </c>
      <c r="W2119" t="s">
        <v>4760</v>
      </c>
      <c r="X2119" t="s">
        <v>197</v>
      </c>
      <c r="Y2119" t="s">
        <v>8659</v>
      </c>
      <c r="Z2119" t="s">
        <v>3643</v>
      </c>
      <c r="AA2119">
        <v>2.88</v>
      </c>
      <c r="AE2119" t="s">
        <v>3114</v>
      </c>
      <c r="AF2119" t="s">
        <v>5282</v>
      </c>
      <c r="AG2119" t="s">
        <v>5230</v>
      </c>
      <c r="AH2119" t="s">
        <v>1175</v>
      </c>
      <c r="AI2119" t="s">
        <v>5095</v>
      </c>
      <c r="AJ2119" t="s">
        <v>164</v>
      </c>
      <c r="AK2119" t="s">
        <v>5099</v>
      </c>
      <c r="AL2119">
        <v>440.88</v>
      </c>
      <c r="AM2119">
        <v>440.88</v>
      </c>
      <c r="AN2119">
        <v>1.58</v>
      </c>
      <c r="AO2119" t="s">
        <v>1669</v>
      </c>
      <c r="AP2119" t="s">
        <v>11165</v>
      </c>
      <c r="AQ2119" t="s">
        <v>21546</v>
      </c>
      <c r="AR2119" t="s">
        <v>617</v>
      </c>
      <c r="AS2119" t="s">
        <v>2217</v>
      </c>
      <c r="AT2119" t="s">
        <v>4086</v>
      </c>
      <c r="AU2119" t="s">
        <v>802</v>
      </c>
      <c r="AV2119" t="s">
        <v>13929</v>
      </c>
      <c r="AW2119" t="s">
        <v>1269</v>
      </c>
      <c r="AX2119" t="s">
        <v>21547</v>
      </c>
      <c r="AY2119" t="s">
        <v>1269</v>
      </c>
      <c r="AZ2119" t="s">
        <v>12373</v>
      </c>
      <c r="BA2119">
        <v>2.88</v>
      </c>
      <c r="BB2119">
        <v>794.63</v>
      </c>
      <c r="BC2119">
        <v>0.57999999999999996</v>
      </c>
      <c r="BD2119">
        <v>21.78</v>
      </c>
      <c r="BE2119">
        <v>21.95</v>
      </c>
      <c r="BF2119">
        <v>21.72</v>
      </c>
      <c r="BG2119" t="s">
        <v>21548</v>
      </c>
      <c r="BH2119" t="s">
        <v>16286</v>
      </c>
      <c r="BI2119" t="s">
        <v>21549</v>
      </c>
      <c r="BJ2119" t="s">
        <v>101</v>
      </c>
      <c r="BK2119" t="s">
        <v>20120</v>
      </c>
      <c r="BL2119" t="s">
        <v>9296</v>
      </c>
      <c r="BM2119" t="s">
        <v>1444</v>
      </c>
      <c r="BN2119" t="s">
        <v>14623</v>
      </c>
    </row>
    <row r="2120" spans="1:66" x14ac:dyDescent="0.25">
      <c r="A2120" t="str">
        <f>HYPERLINK("https://elite.finviz.com/quote.ashx?t=CVCO&amp;ty=c&amp;p=d&amp;b=1", "CVCO")</f>
        <v>CVCO</v>
      </c>
      <c r="B2120">
        <v>6</v>
      </c>
      <c r="C2120">
        <v>127.03</v>
      </c>
      <c r="D2120">
        <v>63.53</v>
      </c>
      <c r="E2120" t="s">
        <v>21550</v>
      </c>
      <c r="F2120" t="s">
        <v>67</v>
      </c>
      <c r="G2120" t="s">
        <v>813</v>
      </c>
      <c r="H2120" t="s">
        <v>5054</v>
      </c>
      <c r="I2120" t="s">
        <v>70</v>
      </c>
      <c r="J2120" t="s">
        <v>321</v>
      </c>
      <c r="K2120">
        <v>4474.43</v>
      </c>
      <c r="L2120">
        <v>565.12</v>
      </c>
      <c r="M2120" t="s">
        <v>5058</v>
      </c>
      <c r="N2120">
        <v>38991</v>
      </c>
      <c r="O2120">
        <v>24.5</v>
      </c>
      <c r="P2120">
        <v>21.06</v>
      </c>
      <c r="R2120">
        <v>2.14</v>
      </c>
      <c r="S2120">
        <v>4.2</v>
      </c>
      <c r="Z2120" t="s">
        <v>164</v>
      </c>
      <c r="AA2120">
        <v>23.07</v>
      </c>
      <c r="AB2120" t="s">
        <v>3999</v>
      </c>
      <c r="AC2120" t="s">
        <v>15283</v>
      </c>
      <c r="AE2120" t="s">
        <v>685</v>
      </c>
      <c r="AF2120" t="s">
        <v>2193</v>
      </c>
      <c r="AG2120" t="s">
        <v>5609</v>
      </c>
      <c r="AH2120" t="s">
        <v>6799</v>
      </c>
      <c r="AI2120" t="s">
        <v>5408</v>
      </c>
      <c r="AJ2120" t="s">
        <v>5359</v>
      </c>
      <c r="AK2120" t="s">
        <v>14642</v>
      </c>
      <c r="AL2120">
        <v>2.88</v>
      </c>
      <c r="AM2120">
        <v>2.0699999999999998</v>
      </c>
      <c r="AN2120">
        <v>0.04</v>
      </c>
      <c r="AO2120" t="s">
        <v>2117</v>
      </c>
      <c r="AP2120" t="s">
        <v>3099</v>
      </c>
      <c r="AQ2120" t="s">
        <v>1133</v>
      </c>
      <c r="AR2120" t="s">
        <v>5929</v>
      </c>
      <c r="AS2120" t="s">
        <v>2624</v>
      </c>
      <c r="AT2120" t="s">
        <v>4154</v>
      </c>
      <c r="AU2120" t="s">
        <v>775</v>
      </c>
      <c r="AV2120" t="s">
        <v>4130</v>
      </c>
      <c r="AW2120" t="s">
        <v>9475</v>
      </c>
      <c r="AX2120" t="s">
        <v>3287</v>
      </c>
      <c r="AY2120" t="s">
        <v>9475</v>
      </c>
      <c r="AZ2120" t="s">
        <v>14919</v>
      </c>
      <c r="BA2120">
        <v>1.67</v>
      </c>
      <c r="BB2120">
        <v>160.91</v>
      </c>
      <c r="BC2120">
        <v>0.85</v>
      </c>
      <c r="BD2120">
        <v>557.37</v>
      </c>
      <c r="BE2120">
        <v>565.54</v>
      </c>
      <c r="BF2120">
        <v>557.9</v>
      </c>
      <c r="BG2120" t="s">
        <v>21551</v>
      </c>
      <c r="BH2120" t="s">
        <v>9475</v>
      </c>
      <c r="BI2120" t="s">
        <v>21552</v>
      </c>
      <c r="BJ2120" t="s">
        <v>101</v>
      </c>
      <c r="BK2120" t="s">
        <v>733</v>
      </c>
      <c r="BL2120" t="s">
        <v>4850</v>
      </c>
      <c r="BM2120" t="s">
        <v>21530</v>
      </c>
      <c r="BN2120" t="s">
        <v>14623</v>
      </c>
    </row>
    <row r="2121" spans="1:66" x14ac:dyDescent="0.25">
      <c r="A2121" t="str">
        <f>HYPERLINK("https://elite.finviz.com/quote.ashx?t=LYTS&amp;ty=c&amp;p=d&amp;b=1", "LYTS")</f>
        <v>LYTS</v>
      </c>
      <c r="B2121">
        <v>6</v>
      </c>
      <c r="C2121">
        <v>127.03</v>
      </c>
      <c r="D2121">
        <v>63.57</v>
      </c>
      <c r="E2121" t="s">
        <v>21553</v>
      </c>
      <c r="F2121" t="s">
        <v>67</v>
      </c>
      <c r="G2121" t="s">
        <v>108</v>
      </c>
      <c r="H2121" t="s">
        <v>3346</v>
      </c>
      <c r="I2121" t="s">
        <v>70</v>
      </c>
      <c r="J2121" t="s">
        <v>321</v>
      </c>
      <c r="K2121">
        <v>725.87</v>
      </c>
      <c r="L2121">
        <v>23.75</v>
      </c>
      <c r="M2121" t="s">
        <v>3446</v>
      </c>
      <c r="N2121">
        <v>43298</v>
      </c>
      <c r="O2121">
        <v>30.02</v>
      </c>
      <c r="P2121">
        <v>16.96</v>
      </c>
      <c r="Q2121">
        <v>2.75</v>
      </c>
      <c r="R2121">
        <v>1.27</v>
      </c>
      <c r="S2121">
        <v>3.09</v>
      </c>
      <c r="T2121" t="s">
        <v>7124</v>
      </c>
      <c r="U2121">
        <v>0.2</v>
      </c>
      <c r="V2121" t="s">
        <v>2187</v>
      </c>
      <c r="W2121" t="s">
        <v>164</v>
      </c>
      <c r="X2121" t="s">
        <v>164</v>
      </c>
      <c r="Y2121" t="s">
        <v>164</v>
      </c>
      <c r="Z2121" t="s">
        <v>5068</v>
      </c>
      <c r="AA2121">
        <v>0.79</v>
      </c>
      <c r="AB2121" t="s">
        <v>7033</v>
      </c>
      <c r="AC2121" t="s">
        <v>3199</v>
      </c>
      <c r="AD2121" t="s">
        <v>6085</v>
      </c>
      <c r="AE2121" t="s">
        <v>4838</v>
      </c>
      <c r="AF2121" t="s">
        <v>238</v>
      </c>
      <c r="AG2121" t="s">
        <v>3002</v>
      </c>
      <c r="AH2121" t="s">
        <v>4885</v>
      </c>
      <c r="AI2121" t="s">
        <v>2659</v>
      </c>
      <c r="AJ2121" t="s">
        <v>11932</v>
      </c>
      <c r="AK2121" t="s">
        <v>21554</v>
      </c>
      <c r="AL2121">
        <v>1.99</v>
      </c>
      <c r="AM2121">
        <v>1.17</v>
      </c>
      <c r="AN2121">
        <v>0.28999999999999998</v>
      </c>
      <c r="AO2121" t="s">
        <v>17249</v>
      </c>
      <c r="AP2121" t="s">
        <v>2772</v>
      </c>
      <c r="AQ2121" t="s">
        <v>353</v>
      </c>
      <c r="AR2121" t="s">
        <v>4873</v>
      </c>
      <c r="AS2121" t="s">
        <v>7088</v>
      </c>
      <c r="AT2121" t="s">
        <v>6430</v>
      </c>
      <c r="AU2121" t="s">
        <v>9253</v>
      </c>
      <c r="AV2121" t="s">
        <v>11467</v>
      </c>
      <c r="AW2121" t="s">
        <v>2372</v>
      </c>
      <c r="AX2121" t="s">
        <v>15342</v>
      </c>
      <c r="AY2121" t="s">
        <v>7782</v>
      </c>
      <c r="AZ2121" t="s">
        <v>21555</v>
      </c>
      <c r="BA2121">
        <v>1</v>
      </c>
      <c r="BB2121">
        <v>171.11</v>
      </c>
      <c r="BC2121">
        <v>0.89</v>
      </c>
      <c r="BD2121">
        <v>23.67</v>
      </c>
      <c r="BE2121">
        <v>23.92</v>
      </c>
      <c r="BF2121">
        <v>23.55</v>
      </c>
      <c r="BG2121" t="s">
        <v>21556</v>
      </c>
      <c r="BH2121" t="s">
        <v>7782</v>
      </c>
      <c r="BI2121" t="s">
        <v>21557</v>
      </c>
      <c r="BJ2121" t="s">
        <v>101</v>
      </c>
      <c r="BK2121" t="s">
        <v>7716</v>
      </c>
      <c r="BL2121" t="s">
        <v>11997</v>
      </c>
      <c r="BM2121" t="s">
        <v>9662</v>
      </c>
      <c r="BN2121" t="s">
        <v>14623</v>
      </c>
    </row>
    <row r="2122" spans="1:66" x14ac:dyDescent="0.25">
      <c r="A2122" t="str">
        <f>HYPERLINK("https://elite.finviz.com/quote.ashx?t=DY&amp;ty=c&amp;p=d&amp;b=1", "DY")</f>
        <v>DY</v>
      </c>
      <c r="B2122">
        <v>6</v>
      </c>
      <c r="C2122">
        <v>127.03</v>
      </c>
      <c r="D2122">
        <v>63.59</v>
      </c>
      <c r="E2122" t="s">
        <v>21558</v>
      </c>
      <c r="F2122" t="s">
        <v>67</v>
      </c>
      <c r="G2122" t="s">
        <v>260</v>
      </c>
      <c r="H2122" t="s">
        <v>2944</v>
      </c>
      <c r="I2122" t="s">
        <v>70</v>
      </c>
      <c r="J2122" t="s">
        <v>71</v>
      </c>
      <c r="K2122">
        <v>8122.93</v>
      </c>
      <c r="L2122">
        <v>280.55</v>
      </c>
      <c r="M2122" t="s">
        <v>6975</v>
      </c>
      <c r="N2122">
        <v>58737</v>
      </c>
      <c r="O2122">
        <v>31.54</v>
      </c>
      <c r="P2122">
        <v>24.34</v>
      </c>
      <c r="Q2122">
        <v>1.9</v>
      </c>
      <c r="R2122">
        <v>1.63</v>
      </c>
      <c r="S2122">
        <v>5.93</v>
      </c>
      <c r="Z2122" t="s">
        <v>164</v>
      </c>
      <c r="AA2122">
        <v>8.9</v>
      </c>
      <c r="AB2122" t="s">
        <v>11026</v>
      </c>
      <c r="AC2122" t="s">
        <v>3069</v>
      </c>
      <c r="AD2122" t="s">
        <v>12025</v>
      </c>
      <c r="AE2122" t="s">
        <v>6329</v>
      </c>
      <c r="AF2122" t="s">
        <v>11292</v>
      </c>
      <c r="AG2122" t="s">
        <v>8054</v>
      </c>
      <c r="AH2122" t="s">
        <v>3434</v>
      </c>
      <c r="AI2122" t="s">
        <v>7297</v>
      </c>
      <c r="AJ2122" t="s">
        <v>164</v>
      </c>
      <c r="AK2122" t="s">
        <v>13839</v>
      </c>
      <c r="AL2122">
        <v>3.16</v>
      </c>
      <c r="AM2122">
        <v>2.96</v>
      </c>
      <c r="AN2122">
        <v>0.84</v>
      </c>
      <c r="AO2122" t="s">
        <v>8400</v>
      </c>
      <c r="AP2122" t="s">
        <v>417</v>
      </c>
      <c r="AQ2122" t="s">
        <v>3758</v>
      </c>
      <c r="AR2122" t="s">
        <v>2941</v>
      </c>
      <c r="AS2122" t="s">
        <v>7437</v>
      </c>
      <c r="AT2122" t="s">
        <v>3688</v>
      </c>
      <c r="AU2122" t="s">
        <v>2065</v>
      </c>
      <c r="AV2122" t="s">
        <v>1298</v>
      </c>
      <c r="AW2122" t="s">
        <v>6659</v>
      </c>
      <c r="AX2122" t="s">
        <v>20980</v>
      </c>
      <c r="AY2122" t="s">
        <v>6659</v>
      </c>
      <c r="AZ2122" t="s">
        <v>21559</v>
      </c>
      <c r="BA2122">
        <v>1</v>
      </c>
      <c r="BB2122">
        <v>367.2</v>
      </c>
      <c r="BC2122">
        <v>0.56000000000000005</v>
      </c>
      <c r="BD2122">
        <v>274.77999999999997</v>
      </c>
      <c r="BE2122">
        <v>281.75</v>
      </c>
      <c r="BF2122">
        <v>276.31</v>
      </c>
      <c r="BG2122" t="s">
        <v>21560</v>
      </c>
      <c r="BH2122" t="s">
        <v>6659</v>
      </c>
      <c r="BI2122" t="s">
        <v>21561</v>
      </c>
      <c r="BJ2122" t="s">
        <v>101</v>
      </c>
      <c r="BK2122" t="s">
        <v>9700</v>
      </c>
      <c r="BL2122" t="s">
        <v>17731</v>
      </c>
      <c r="BM2122" t="s">
        <v>13111</v>
      </c>
      <c r="BN2122" t="s">
        <v>14623</v>
      </c>
    </row>
    <row r="2123" spans="1:66" x14ac:dyDescent="0.25">
      <c r="A2123" t="str">
        <f>HYPERLINK("https://elite.finviz.com/quote.ashx?t=BCO&amp;ty=c&amp;p=d&amp;b=1", "BCO")</f>
        <v>BCO</v>
      </c>
      <c r="B2123">
        <v>6</v>
      </c>
      <c r="C2123">
        <v>127.03</v>
      </c>
      <c r="D2123">
        <v>63.61</v>
      </c>
      <c r="E2123" t="s">
        <v>21562</v>
      </c>
      <c r="F2123" t="s">
        <v>67</v>
      </c>
      <c r="G2123" t="s">
        <v>260</v>
      </c>
      <c r="H2123" t="s">
        <v>4162</v>
      </c>
      <c r="I2123" t="s">
        <v>70</v>
      </c>
      <c r="J2123" t="s">
        <v>71</v>
      </c>
      <c r="K2123">
        <v>4847.2</v>
      </c>
      <c r="L2123">
        <v>116.35</v>
      </c>
      <c r="M2123" t="s">
        <v>2362</v>
      </c>
      <c r="N2123">
        <v>17535</v>
      </c>
      <c r="O2123">
        <v>31.16</v>
      </c>
      <c r="P2123">
        <v>12.54</v>
      </c>
      <c r="Q2123">
        <v>1.7</v>
      </c>
      <c r="R2123">
        <v>0.96</v>
      </c>
      <c r="S2123">
        <v>19.100000000000001</v>
      </c>
      <c r="T2123" t="s">
        <v>6117</v>
      </c>
      <c r="U2123">
        <v>0.99</v>
      </c>
      <c r="V2123" t="s">
        <v>21563</v>
      </c>
      <c r="W2123" t="s">
        <v>3368</v>
      </c>
      <c r="X2123" t="s">
        <v>2861</v>
      </c>
      <c r="Y2123" t="s">
        <v>3230</v>
      </c>
      <c r="Z2123" t="s">
        <v>8874</v>
      </c>
      <c r="AA2123">
        <v>3.73</v>
      </c>
      <c r="AB2123" t="s">
        <v>12771</v>
      </c>
      <c r="AC2123" t="s">
        <v>12580</v>
      </c>
      <c r="AD2123" t="s">
        <v>555</v>
      </c>
      <c r="AE2123" t="s">
        <v>3916</v>
      </c>
      <c r="AF2123" t="s">
        <v>7541</v>
      </c>
      <c r="AG2123" t="s">
        <v>713</v>
      </c>
      <c r="AH2123" t="s">
        <v>2108</v>
      </c>
      <c r="AI2123" t="s">
        <v>10580</v>
      </c>
      <c r="AJ2123" t="s">
        <v>4517</v>
      </c>
      <c r="AK2123" t="s">
        <v>4471</v>
      </c>
      <c r="AL2123">
        <v>1.51</v>
      </c>
      <c r="AM2123">
        <v>1.51</v>
      </c>
      <c r="AN2123">
        <v>17.420000000000002</v>
      </c>
      <c r="AO2123" t="s">
        <v>1334</v>
      </c>
      <c r="AP2123" t="s">
        <v>827</v>
      </c>
      <c r="AQ2123" t="s">
        <v>8013</v>
      </c>
      <c r="AR2123" t="s">
        <v>2274</v>
      </c>
      <c r="AS2123" t="s">
        <v>2339</v>
      </c>
      <c r="AT2123" t="s">
        <v>1417</v>
      </c>
      <c r="AU2123" t="s">
        <v>7567</v>
      </c>
      <c r="AV2123" t="s">
        <v>2567</v>
      </c>
      <c r="AW2123" t="s">
        <v>4938</v>
      </c>
      <c r="AX2123" t="s">
        <v>839</v>
      </c>
      <c r="AY2123" t="s">
        <v>4938</v>
      </c>
      <c r="AZ2123" t="s">
        <v>1994</v>
      </c>
      <c r="BA2123">
        <v>1</v>
      </c>
      <c r="BB2123">
        <v>300.68</v>
      </c>
      <c r="BC2123">
        <v>0.21</v>
      </c>
      <c r="BD2123">
        <v>115.73</v>
      </c>
      <c r="BE2123">
        <v>116.65</v>
      </c>
      <c r="BF2123">
        <v>115.89</v>
      </c>
      <c r="BG2123" t="s">
        <v>21564</v>
      </c>
      <c r="BH2123" t="s">
        <v>4938</v>
      </c>
      <c r="BI2123" t="s">
        <v>21565</v>
      </c>
      <c r="BJ2123" t="s">
        <v>101</v>
      </c>
      <c r="BK2123" t="s">
        <v>12618</v>
      </c>
      <c r="BL2123" t="s">
        <v>6763</v>
      </c>
      <c r="BM2123" t="s">
        <v>4142</v>
      </c>
      <c r="BN2123" t="s">
        <v>14623</v>
      </c>
    </row>
    <row r="2124" spans="1:66" x14ac:dyDescent="0.25">
      <c r="A2124" t="str">
        <f>HYPERLINK("https://elite.finviz.com/quote.ashx?t=NVRI&amp;ty=c&amp;p=d&amp;b=1", "NVRI")</f>
        <v>NVRI</v>
      </c>
      <c r="B2124">
        <v>6</v>
      </c>
      <c r="C2124">
        <v>127.03</v>
      </c>
      <c r="D2124">
        <v>63.65</v>
      </c>
      <c r="E2124" t="s">
        <v>21566</v>
      </c>
      <c r="F2124" t="s">
        <v>67</v>
      </c>
      <c r="G2124" t="s">
        <v>260</v>
      </c>
      <c r="H2124" t="s">
        <v>1573</v>
      </c>
      <c r="I2124" t="s">
        <v>70</v>
      </c>
      <c r="J2124" t="s">
        <v>71</v>
      </c>
      <c r="K2124">
        <v>981.49</v>
      </c>
      <c r="L2124">
        <v>12.17</v>
      </c>
      <c r="M2124" t="s">
        <v>5166</v>
      </c>
      <c r="N2124">
        <v>139853</v>
      </c>
      <c r="P2124">
        <v>1824.59</v>
      </c>
      <c r="R2124">
        <v>0.44</v>
      </c>
      <c r="S2124">
        <v>2.61</v>
      </c>
      <c r="V2124" t="s">
        <v>21567</v>
      </c>
      <c r="AA2124">
        <v>-1.96</v>
      </c>
      <c r="AB2124" t="s">
        <v>21568</v>
      </c>
      <c r="AC2124" t="s">
        <v>8795</v>
      </c>
      <c r="AE2124" t="s">
        <v>8357</v>
      </c>
      <c r="AF2124" t="s">
        <v>6348</v>
      </c>
      <c r="AG2124" t="s">
        <v>2886</v>
      </c>
      <c r="AH2124" t="s">
        <v>11348</v>
      </c>
      <c r="AI2124" t="s">
        <v>21569</v>
      </c>
      <c r="AJ2124" t="s">
        <v>164</v>
      </c>
      <c r="AK2124" t="s">
        <v>21570</v>
      </c>
      <c r="AL2124">
        <v>1.19</v>
      </c>
      <c r="AM2124">
        <v>0.88</v>
      </c>
      <c r="AN2124">
        <v>4.37</v>
      </c>
      <c r="AO2124" t="s">
        <v>7789</v>
      </c>
      <c r="AP2124" t="s">
        <v>3636</v>
      </c>
      <c r="AQ2124" t="s">
        <v>3091</v>
      </c>
      <c r="AR2124" t="s">
        <v>307</v>
      </c>
      <c r="AS2124" t="s">
        <v>4189</v>
      </c>
      <c r="AT2124" t="s">
        <v>2175</v>
      </c>
      <c r="AU2124" t="s">
        <v>2470</v>
      </c>
      <c r="AV2124" t="s">
        <v>5155</v>
      </c>
      <c r="AW2124" t="s">
        <v>3321</v>
      </c>
      <c r="AX2124" t="s">
        <v>13706</v>
      </c>
      <c r="AY2124" t="s">
        <v>3321</v>
      </c>
      <c r="AZ2124" t="s">
        <v>21571</v>
      </c>
      <c r="BA2124">
        <v>2.33</v>
      </c>
      <c r="BB2124">
        <v>943.18</v>
      </c>
      <c r="BC2124">
        <v>0.52</v>
      </c>
      <c r="BD2124">
        <v>12.03</v>
      </c>
      <c r="BE2124">
        <v>12.25</v>
      </c>
      <c r="BF2124">
        <v>12.03</v>
      </c>
      <c r="BG2124" t="s">
        <v>21572</v>
      </c>
      <c r="BH2124" t="s">
        <v>21573</v>
      </c>
      <c r="BI2124" t="s">
        <v>21574</v>
      </c>
      <c r="BJ2124" t="s">
        <v>101</v>
      </c>
      <c r="BK2124" t="s">
        <v>21575</v>
      </c>
      <c r="BL2124" t="s">
        <v>10570</v>
      </c>
      <c r="BM2124" t="s">
        <v>15086</v>
      </c>
      <c r="BN2124" t="s">
        <v>14623</v>
      </c>
    </row>
    <row r="2125" spans="1:66" x14ac:dyDescent="0.25">
      <c r="A2125" t="str">
        <f>HYPERLINK("https://elite.finviz.com/quote.ashx?t=OLMA&amp;ty=c&amp;p=d&amp;b=1", "OLMA")</f>
        <v>OLMA</v>
      </c>
      <c r="B2125">
        <v>6</v>
      </c>
      <c r="C2125">
        <v>127.03</v>
      </c>
      <c r="D2125">
        <v>63.67</v>
      </c>
      <c r="E2125" t="s">
        <v>21576</v>
      </c>
      <c r="F2125" t="s">
        <v>67</v>
      </c>
      <c r="G2125" t="s">
        <v>428</v>
      </c>
      <c r="H2125" t="s">
        <v>429</v>
      </c>
      <c r="I2125" t="s">
        <v>70</v>
      </c>
      <c r="J2125" t="s">
        <v>321</v>
      </c>
      <c r="K2125">
        <v>582.37</v>
      </c>
      <c r="L2125">
        <v>8.48</v>
      </c>
      <c r="M2125" t="s">
        <v>2233</v>
      </c>
      <c r="N2125">
        <v>260009</v>
      </c>
      <c r="S2125">
        <v>1.51</v>
      </c>
      <c r="AA2125">
        <v>-1.92</v>
      </c>
      <c r="AB2125" t="s">
        <v>3091</v>
      </c>
      <c r="AC2125" t="s">
        <v>21577</v>
      </c>
      <c r="AD2125" t="s">
        <v>6726</v>
      </c>
      <c r="AI2125" t="s">
        <v>21578</v>
      </c>
      <c r="AJ2125" t="s">
        <v>4955</v>
      </c>
      <c r="AK2125" t="s">
        <v>21579</v>
      </c>
      <c r="AL2125">
        <v>15.22</v>
      </c>
      <c r="AM2125">
        <v>15.22</v>
      </c>
      <c r="AN2125">
        <v>0</v>
      </c>
      <c r="AR2125" t="s">
        <v>3050</v>
      </c>
      <c r="AS2125" t="s">
        <v>1468</v>
      </c>
      <c r="AT2125" t="s">
        <v>8240</v>
      </c>
      <c r="AU2125" t="s">
        <v>6059</v>
      </c>
      <c r="AV2125" t="s">
        <v>2693</v>
      </c>
      <c r="AW2125" t="s">
        <v>2431</v>
      </c>
      <c r="AX2125" t="s">
        <v>19466</v>
      </c>
      <c r="AY2125" t="s">
        <v>7805</v>
      </c>
      <c r="AZ2125" t="s">
        <v>21580</v>
      </c>
      <c r="BA2125">
        <v>1</v>
      </c>
      <c r="BB2125">
        <v>787.88</v>
      </c>
      <c r="BC2125">
        <v>1.1599999999999999</v>
      </c>
      <c r="BD2125">
        <v>8.19</v>
      </c>
      <c r="BE2125">
        <v>8.59</v>
      </c>
      <c r="BF2125">
        <v>8.19</v>
      </c>
      <c r="BG2125" t="s">
        <v>21581</v>
      </c>
      <c r="BH2125" t="s">
        <v>13153</v>
      </c>
      <c r="BI2125" t="s">
        <v>21582</v>
      </c>
      <c r="BJ2125" t="s">
        <v>101</v>
      </c>
      <c r="BK2125" t="s">
        <v>2908</v>
      </c>
      <c r="BL2125" t="s">
        <v>21583</v>
      </c>
      <c r="BM2125" t="s">
        <v>16662</v>
      </c>
      <c r="BN2125" t="s">
        <v>14623</v>
      </c>
    </row>
    <row r="2126" spans="1:66" x14ac:dyDescent="0.25">
      <c r="A2126" t="str">
        <f>HYPERLINK("https://elite.finviz.com/quote.ashx?t=JXN&amp;ty=c&amp;p=d&amp;b=1", "JXN")</f>
        <v>JXN</v>
      </c>
      <c r="B2126">
        <v>6</v>
      </c>
      <c r="C2126">
        <v>127.03</v>
      </c>
      <c r="D2126">
        <v>63.72</v>
      </c>
      <c r="E2126" t="s">
        <v>21584</v>
      </c>
      <c r="F2126" t="s">
        <v>67</v>
      </c>
      <c r="G2126" t="s">
        <v>550</v>
      </c>
      <c r="H2126" t="s">
        <v>5652</v>
      </c>
      <c r="I2126" t="s">
        <v>70</v>
      </c>
      <c r="J2126" t="s">
        <v>71</v>
      </c>
      <c r="K2126">
        <v>7126.92</v>
      </c>
      <c r="L2126">
        <v>102.32</v>
      </c>
      <c r="M2126" t="s">
        <v>183</v>
      </c>
      <c r="N2126">
        <v>84139</v>
      </c>
      <c r="P2126">
        <v>4.43</v>
      </c>
      <c r="R2126">
        <v>1.27</v>
      </c>
      <c r="S2126">
        <v>0.73</v>
      </c>
      <c r="T2126" t="s">
        <v>7088</v>
      </c>
      <c r="U2126">
        <v>3.1</v>
      </c>
      <c r="V2126" t="s">
        <v>3833</v>
      </c>
      <c r="W2126" t="s">
        <v>6124</v>
      </c>
      <c r="X2126" t="s">
        <v>10762</v>
      </c>
      <c r="Z2126" t="s">
        <v>13137</v>
      </c>
      <c r="AA2126">
        <v>-0.06</v>
      </c>
      <c r="AB2126" t="s">
        <v>19192</v>
      </c>
      <c r="AD2126" t="s">
        <v>5404</v>
      </c>
      <c r="AE2126" t="s">
        <v>12046</v>
      </c>
      <c r="AF2126" t="s">
        <v>21585</v>
      </c>
      <c r="AG2126" t="s">
        <v>1864</v>
      </c>
      <c r="AH2126" t="s">
        <v>21586</v>
      </c>
      <c r="AI2126" t="s">
        <v>4824</v>
      </c>
      <c r="AJ2126" t="s">
        <v>1119</v>
      </c>
      <c r="AK2126" t="s">
        <v>21587</v>
      </c>
      <c r="AN2126">
        <v>0.2</v>
      </c>
      <c r="AP2126" t="s">
        <v>2509</v>
      </c>
      <c r="AQ2126" t="s">
        <v>2294</v>
      </c>
      <c r="AR2126" t="s">
        <v>2273</v>
      </c>
      <c r="AS2126" t="s">
        <v>6430</v>
      </c>
      <c r="AT2126" t="s">
        <v>756</v>
      </c>
      <c r="AU2126" t="s">
        <v>5658</v>
      </c>
      <c r="AV2126" t="s">
        <v>1038</v>
      </c>
      <c r="AW2126" t="s">
        <v>4431</v>
      </c>
      <c r="AX2126" t="s">
        <v>9752</v>
      </c>
      <c r="AY2126" t="s">
        <v>7454</v>
      </c>
      <c r="AZ2126" t="s">
        <v>21588</v>
      </c>
      <c r="BA2126">
        <v>3.2</v>
      </c>
      <c r="BB2126">
        <v>625.61</v>
      </c>
      <c r="BC2126">
        <v>0.47</v>
      </c>
      <c r="BD2126">
        <v>102.17</v>
      </c>
      <c r="BE2126">
        <v>104.08</v>
      </c>
      <c r="BF2126">
        <v>102.32</v>
      </c>
      <c r="BG2126" t="s">
        <v>21589</v>
      </c>
      <c r="BH2126" t="s">
        <v>7454</v>
      </c>
      <c r="BI2126" t="s">
        <v>21590</v>
      </c>
      <c r="BJ2126" t="s">
        <v>101</v>
      </c>
      <c r="BK2126" t="s">
        <v>2660</v>
      </c>
      <c r="BL2126" t="s">
        <v>9905</v>
      </c>
      <c r="BM2126" t="s">
        <v>8814</v>
      </c>
      <c r="BN2126" t="s">
        <v>14623</v>
      </c>
    </row>
    <row r="2127" spans="1:66" x14ac:dyDescent="0.25">
      <c r="A2127" t="str">
        <f>HYPERLINK("https://elite.finviz.com/quote.ashx?t=FSUN&amp;ty=c&amp;p=d&amp;b=1", "FSUN")</f>
        <v>FSUN</v>
      </c>
      <c r="B2127">
        <v>6</v>
      </c>
      <c r="C2127">
        <v>127.03</v>
      </c>
      <c r="D2127">
        <v>63.76</v>
      </c>
      <c r="E2127" t="s">
        <v>21591</v>
      </c>
      <c r="F2127" t="s">
        <v>67</v>
      </c>
      <c r="G2127" t="s">
        <v>550</v>
      </c>
      <c r="H2127" t="s">
        <v>697</v>
      </c>
      <c r="I2127" t="s">
        <v>70</v>
      </c>
      <c r="J2127" t="s">
        <v>321</v>
      </c>
      <c r="K2127">
        <v>1105.19</v>
      </c>
      <c r="L2127">
        <v>39.71</v>
      </c>
      <c r="M2127" t="s">
        <v>1249</v>
      </c>
      <c r="N2127">
        <v>18441</v>
      </c>
      <c r="O2127">
        <v>12.64</v>
      </c>
      <c r="P2127">
        <v>11.22</v>
      </c>
      <c r="R2127">
        <v>1.96</v>
      </c>
      <c r="S2127">
        <v>1.01</v>
      </c>
      <c r="Z2127" t="s">
        <v>164</v>
      </c>
      <c r="AA2127">
        <v>3.14</v>
      </c>
      <c r="AB2127" t="s">
        <v>5591</v>
      </c>
      <c r="AC2127" t="s">
        <v>2441</v>
      </c>
      <c r="AE2127" t="s">
        <v>6075</v>
      </c>
      <c r="AF2127" t="s">
        <v>13278</v>
      </c>
      <c r="AG2127" t="s">
        <v>3843</v>
      </c>
      <c r="AH2127" t="s">
        <v>2107</v>
      </c>
      <c r="AI2127" t="s">
        <v>3855</v>
      </c>
      <c r="AJ2127" t="s">
        <v>406</v>
      </c>
      <c r="AK2127" t="s">
        <v>15975</v>
      </c>
      <c r="AL2127">
        <v>0.22</v>
      </c>
      <c r="AN2127">
        <v>0.1</v>
      </c>
      <c r="AP2127" t="s">
        <v>15794</v>
      </c>
      <c r="AQ2127" t="s">
        <v>1497</v>
      </c>
      <c r="AR2127" t="s">
        <v>585</v>
      </c>
      <c r="AS2127" t="s">
        <v>6726</v>
      </c>
      <c r="AT2127" t="s">
        <v>5256</v>
      </c>
      <c r="AU2127" t="s">
        <v>204</v>
      </c>
      <c r="AV2127" t="s">
        <v>3054</v>
      </c>
      <c r="AW2127" t="s">
        <v>7808</v>
      </c>
      <c r="AX2127" t="s">
        <v>2589</v>
      </c>
      <c r="AY2127" t="s">
        <v>126</v>
      </c>
      <c r="AZ2127" t="s">
        <v>1034</v>
      </c>
      <c r="BA2127">
        <v>1.25</v>
      </c>
      <c r="BB2127">
        <v>176.62</v>
      </c>
      <c r="BC2127">
        <v>0.37</v>
      </c>
      <c r="BD2127">
        <v>39.71</v>
      </c>
      <c r="BE2127">
        <v>41.15</v>
      </c>
      <c r="BF2127">
        <v>39.17</v>
      </c>
      <c r="BG2127" t="s">
        <v>21592</v>
      </c>
      <c r="BH2127" t="s">
        <v>126</v>
      </c>
      <c r="BI2127" t="s">
        <v>21593</v>
      </c>
      <c r="BJ2127" t="s">
        <v>101</v>
      </c>
      <c r="BK2127" t="s">
        <v>1342</v>
      </c>
      <c r="BL2127" t="s">
        <v>7088</v>
      </c>
      <c r="BM2127" t="s">
        <v>3091</v>
      </c>
      <c r="BN2127" t="s">
        <v>14623</v>
      </c>
    </row>
    <row r="2128" spans="1:66" x14ac:dyDescent="0.25">
      <c r="A2128" t="str">
        <f>HYPERLINK("https://elite.finviz.com/quote.ashx?t=LIF&amp;ty=c&amp;p=d&amp;b=1", "LIF")</f>
        <v>LIF</v>
      </c>
      <c r="B2128">
        <v>6</v>
      </c>
      <c r="C2128">
        <v>127.03</v>
      </c>
      <c r="D2128">
        <v>63.8</v>
      </c>
      <c r="E2128" t="s">
        <v>21594</v>
      </c>
      <c r="F2128" t="s">
        <v>67</v>
      </c>
      <c r="G2128" t="s">
        <v>108</v>
      </c>
      <c r="H2128" t="s">
        <v>136</v>
      </c>
      <c r="I2128" t="s">
        <v>70</v>
      </c>
      <c r="J2128" t="s">
        <v>321</v>
      </c>
      <c r="K2128">
        <v>7997.88</v>
      </c>
      <c r="L2128">
        <v>103.13</v>
      </c>
      <c r="M2128" t="s">
        <v>1202</v>
      </c>
      <c r="N2128">
        <v>173467</v>
      </c>
      <c r="O2128">
        <v>311.39</v>
      </c>
      <c r="P2128">
        <v>88.44</v>
      </c>
      <c r="Q2128">
        <v>6.05</v>
      </c>
      <c r="R2128">
        <v>18.71</v>
      </c>
      <c r="S2128">
        <v>21.8</v>
      </c>
      <c r="AA2128">
        <v>0.33</v>
      </c>
      <c r="AB2128" t="s">
        <v>6070</v>
      </c>
      <c r="AC2128" t="s">
        <v>20028</v>
      </c>
      <c r="AD2128" t="s">
        <v>131</v>
      </c>
      <c r="AE2128" t="s">
        <v>9301</v>
      </c>
      <c r="AF2128" t="s">
        <v>12494</v>
      </c>
      <c r="AG2128" t="s">
        <v>13754</v>
      </c>
      <c r="AH2128" t="s">
        <v>13030</v>
      </c>
      <c r="AI2128" t="s">
        <v>11759</v>
      </c>
      <c r="AJ2128" t="s">
        <v>9022</v>
      </c>
      <c r="AK2128" t="s">
        <v>9551</v>
      </c>
      <c r="AL2128">
        <v>7.13</v>
      </c>
      <c r="AM2128">
        <v>7</v>
      </c>
      <c r="AN2128">
        <v>0.85</v>
      </c>
      <c r="AO2128" t="s">
        <v>21595</v>
      </c>
      <c r="AP2128" t="s">
        <v>5166</v>
      </c>
      <c r="AQ2128" t="s">
        <v>2232</v>
      </c>
      <c r="AR2128" t="s">
        <v>1926</v>
      </c>
      <c r="AS2128" t="s">
        <v>3542</v>
      </c>
      <c r="AT2128" t="s">
        <v>3957</v>
      </c>
      <c r="AU2128" t="s">
        <v>1383</v>
      </c>
      <c r="AV2128" t="s">
        <v>21596</v>
      </c>
      <c r="AW2128" t="s">
        <v>1149</v>
      </c>
      <c r="AX2128" t="s">
        <v>18233</v>
      </c>
      <c r="AY2128" t="s">
        <v>1149</v>
      </c>
      <c r="AZ2128" t="s">
        <v>10857</v>
      </c>
      <c r="BA2128">
        <v>1</v>
      </c>
      <c r="BB2128">
        <v>924.11</v>
      </c>
      <c r="BC2128">
        <v>0.66</v>
      </c>
      <c r="BD2128">
        <v>103.77</v>
      </c>
      <c r="BE2128">
        <v>104.49</v>
      </c>
      <c r="BF2128">
        <v>102.67</v>
      </c>
      <c r="BG2128" t="s">
        <v>21597</v>
      </c>
      <c r="BH2128" t="s">
        <v>1149</v>
      </c>
      <c r="BI2128" t="s">
        <v>21598</v>
      </c>
      <c r="BJ2128" t="s">
        <v>101</v>
      </c>
      <c r="BK2128" t="s">
        <v>21599</v>
      </c>
      <c r="BL2128" t="s">
        <v>21600</v>
      </c>
      <c r="BM2128" t="s">
        <v>21601</v>
      </c>
      <c r="BN2128" t="s">
        <v>14623</v>
      </c>
    </row>
    <row r="2129" spans="1:66" x14ac:dyDescent="0.25">
      <c r="A2129" t="str">
        <f>HYPERLINK("https://elite.finviz.com/quote.ashx?t=INAC&amp;ty=c&amp;p=d&amp;b=1", "INAC")</f>
        <v>INAC</v>
      </c>
      <c r="B2129">
        <v>6</v>
      </c>
      <c r="C2129">
        <v>127.03</v>
      </c>
      <c r="D2129">
        <v>63.89</v>
      </c>
      <c r="E2129" t="s">
        <v>21602</v>
      </c>
      <c r="F2129" t="s">
        <v>107</v>
      </c>
      <c r="G2129" t="s">
        <v>550</v>
      </c>
      <c r="H2129" t="s">
        <v>2120</v>
      </c>
      <c r="I2129" t="s">
        <v>70</v>
      </c>
      <c r="J2129" t="s">
        <v>321</v>
      </c>
      <c r="K2129">
        <v>128.11000000000001</v>
      </c>
      <c r="L2129">
        <v>9.9700000000000006</v>
      </c>
      <c r="M2129" t="s">
        <v>164</v>
      </c>
      <c r="N2129">
        <v>2508</v>
      </c>
      <c r="AL2129">
        <v>0.01</v>
      </c>
      <c r="AM2129">
        <v>0.01</v>
      </c>
      <c r="AR2129" t="s">
        <v>4507</v>
      </c>
      <c r="AS2129" t="s">
        <v>629</v>
      </c>
      <c r="AT2129" t="s">
        <v>2275</v>
      </c>
      <c r="AU2129" t="s">
        <v>4494</v>
      </c>
      <c r="AV2129" t="s">
        <v>4494</v>
      </c>
      <c r="AW2129" t="s">
        <v>2213</v>
      </c>
      <c r="AX2129" t="s">
        <v>3336</v>
      </c>
      <c r="AY2129" t="s">
        <v>2213</v>
      </c>
      <c r="AZ2129" t="s">
        <v>3336</v>
      </c>
      <c r="BB2129">
        <v>55.84</v>
      </c>
      <c r="BC2129">
        <v>0.16</v>
      </c>
      <c r="BD2129">
        <v>9.9700000000000006</v>
      </c>
      <c r="BE2129">
        <v>9.9700000000000006</v>
      </c>
      <c r="BF2129">
        <v>9.9700000000000006</v>
      </c>
      <c r="BG2129" t="s">
        <v>21603</v>
      </c>
      <c r="BH2129" t="s">
        <v>2213</v>
      </c>
      <c r="BI2129" t="s">
        <v>3336</v>
      </c>
      <c r="BJ2129" t="s">
        <v>101</v>
      </c>
      <c r="BN2129" t="s">
        <v>14623</v>
      </c>
    </row>
    <row r="2130" spans="1:66" x14ac:dyDescent="0.25">
      <c r="A2130" t="str">
        <f>HYPERLINK("https://elite.finviz.com/quote.ashx?t=EQS&amp;ty=c&amp;p=d&amp;b=1", "EQS")</f>
        <v>EQS</v>
      </c>
      <c r="B2130">
        <v>6</v>
      </c>
      <c r="C2130">
        <v>127.03</v>
      </c>
      <c r="D2130">
        <v>63.91</v>
      </c>
      <c r="E2130" t="s">
        <v>21604</v>
      </c>
      <c r="F2130" t="s">
        <v>107</v>
      </c>
      <c r="G2130" t="s">
        <v>550</v>
      </c>
      <c r="H2130" t="s">
        <v>2597</v>
      </c>
      <c r="I2130" t="s">
        <v>70</v>
      </c>
      <c r="J2130" t="s">
        <v>71</v>
      </c>
      <c r="K2130">
        <v>33.29</v>
      </c>
      <c r="L2130">
        <v>2.4500000000000002</v>
      </c>
      <c r="M2130" t="s">
        <v>1765</v>
      </c>
      <c r="N2130">
        <v>9176</v>
      </c>
      <c r="R2130">
        <v>24.57</v>
      </c>
      <c r="S2130">
        <v>0.98</v>
      </c>
      <c r="V2130" t="s">
        <v>21605</v>
      </c>
      <c r="AA2130">
        <v>-1.25</v>
      </c>
      <c r="AH2130" t="s">
        <v>3982</v>
      </c>
      <c r="AJ2130" t="s">
        <v>164</v>
      </c>
      <c r="AK2130" t="s">
        <v>3447</v>
      </c>
      <c r="AR2130" t="s">
        <v>3480</v>
      </c>
      <c r="AS2130" t="s">
        <v>3983</v>
      </c>
      <c r="AT2130" t="s">
        <v>2810</v>
      </c>
      <c r="AU2130" t="s">
        <v>10798</v>
      </c>
      <c r="AV2130" t="s">
        <v>21606</v>
      </c>
      <c r="AW2130" t="s">
        <v>5159</v>
      </c>
      <c r="AX2130" t="s">
        <v>17908</v>
      </c>
      <c r="AY2130" t="s">
        <v>5159</v>
      </c>
      <c r="AZ2130" t="s">
        <v>21607</v>
      </c>
      <c r="BB2130">
        <v>49.9</v>
      </c>
      <c r="BC2130">
        <v>0.65</v>
      </c>
      <c r="BD2130">
        <v>2.44</v>
      </c>
      <c r="BE2130">
        <v>2.4300000000000002</v>
      </c>
      <c r="BF2130">
        <v>2.41</v>
      </c>
      <c r="BG2130" t="s">
        <v>21608</v>
      </c>
      <c r="BH2130" t="s">
        <v>21609</v>
      </c>
      <c r="BI2130" t="s">
        <v>21607</v>
      </c>
      <c r="BJ2130" t="s">
        <v>101</v>
      </c>
      <c r="BK2130" t="s">
        <v>15116</v>
      </c>
      <c r="BL2130" t="s">
        <v>2325</v>
      </c>
      <c r="BM2130" t="s">
        <v>6396</v>
      </c>
      <c r="BN2130" t="s">
        <v>14623</v>
      </c>
    </row>
    <row r="2131" spans="1:66" x14ac:dyDescent="0.25">
      <c r="A2131" t="str">
        <f>HYPERLINK("https://elite.finviz.com/quote.ashx?t=RFM&amp;ty=c&amp;p=d&amp;b=1", "RFM")</f>
        <v>RFM</v>
      </c>
      <c r="B2131">
        <v>6</v>
      </c>
      <c r="C2131">
        <v>127.03</v>
      </c>
      <c r="D2131">
        <v>63.94</v>
      </c>
      <c r="E2131" t="s">
        <v>21610</v>
      </c>
      <c r="F2131" t="s">
        <v>107</v>
      </c>
      <c r="G2131" t="s">
        <v>550</v>
      </c>
      <c r="H2131" t="s">
        <v>2597</v>
      </c>
      <c r="I2131" t="s">
        <v>70</v>
      </c>
      <c r="J2131" t="s">
        <v>71</v>
      </c>
      <c r="K2131">
        <v>87.98</v>
      </c>
      <c r="L2131">
        <v>14.39</v>
      </c>
      <c r="M2131" t="s">
        <v>2423</v>
      </c>
      <c r="N2131">
        <v>6827</v>
      </c>
      <c r="T2131" t="s">
        <v>1090</v>
      </c>
      <c r="U2131">
        <v>1.1299999999999999</v>
      </c>
      <c r="V2131" t="s">
        <v>3833</v>
      </c>
      <c r="W2131" t="s">
        <v>4531</v>
      </c>
      <c r="X2131" t="s">
        <v>6298</v>
      </c>
      <c r="AA2131">
        <v>-0.64</v>
      </c>
      <c r="AJ2131" t="s">
        <v>2808</v>
      </c>
      <c r="AK2131" t="s">
        <v>2230</v>
      </c>
      <c r="AR2131" t="s">
        <v>3761</v>
      </c>
      <c r="AS2131" t="s">
        <v>2785</v>
      </c>
      <c r="AT2131" t="s">
        <v>7780</v>
      </c>
      <c r="AU2131" t="s">
        <v>7437</v>
      </c>
      <c r="AV2131" t="s">
        <v>3950</v>
      </c>
      <c r="AW2131" t="s">
        <v>1445</v>
      </c>
      <c r="AX2131" t="s">
        <v>4393</v>
      </c>
      <c r="AY2131" t="s">
        <v>14348</v>
      </c>
      <c r="AZ2131" t="s">
        <v>7945</v>
      </c>
      <c r="BB2131">
        <v>29.51</v>
      </c>
      <c r="BC2131">
        <v>0.82</v>
      </c>
      <c r="BD2131">
        <v>14.33</v>
      </c>
      <c r="BE2131">
        <v>14.42</v>
      </c>
      <c r="BF2131">
        <v>14.29</v>
      </c>
      <c r="BG2131" t="s">
        <v>21611</v>
      </c>
      <c r="BH2131" t="s">
        <v>21612</v>
      </c>
      <c r="BI2131" t="s">
        <v>11151</v>
      </c>
      <c r="BJ2131" t="s">
        <v>101</v>
      </c>
      <c r="BK2131" t="s">
        <v>6118</v>
      </c>
      <c r="BL2131" t="s">
        <v>11805</v>
      </c>
      <c r="BM2131" t="s">
        <v>7101</v>
      </c>
      <c r="BN2131" t="s">
        <v>14623</v>
      </c>
    </row>
    <row r="2132" spans="1:66" x14ac:dyDescent="0.25">
      <c r="A2132" t="str">
        <f>HYPERLINK("https://elite.finviz.com/quote.ashx?t=RIME&amp;ty=c&amp;p=d&amp;b=1", "RIME")</f>
        <v>RIME</v>
      </c>
      <c r="B2132">
        <v>6</v>
      </c>
      <c r="C2132">
        <v>127.03</v>
      </c>
      <c r="D2132">
        <v>64.010000000000005</v>
      </c>
      <c r="E2132" t="s">
        <v>21613</v>
      </c>
      <c r="F2132" t="s">
        <v>107</v>
      </c>
      <c r="G2132" t="s">
        <v>108</v>
      </c>
      <c r="H2132" t="s">
        <v>994</v>
      </c>
      <c r="I2132" t="s">
        <v>70</v>
      </c>
      <c r="J2132" t="s">
        <v>321</v>
      </c>
      <c r="K2132">
        <v>6.36</v>
      </c>
      <c r="L2132">
        <v>2.5299999999999998</v>
      </c>
      <c r="M2132" t="s">
        <v>2175</v>
      </c>
      <c r="N2132">
        <v>5753</v>
      </c>
      <c r="R2132">
        <v>0.27</v>
      </c>
      <c r="S2132">
        <v>1.53</v>
      </c>
      <c r="AA2132">
        <v>-134.49</v>
      </c>
      <c r="AF2132" t="s">
        <v>11311</v>
      </c>
      <c r="AG2132" t="s">
        <v>7525</v>
      </c>
      <c r="AH2132" t="s">
        <v>9718</v>
      </c>
      <c r="AJ2132" t="s">
        <v>164</v>
      </c>
      <c r="AK2132" t="s">
        <v>7699</v>
      </c>
      <c r="AL2132">
        <v>0.82</v>
      </c>
      <c r="AM2132">
        <v>0.53</v>
      </c>
      <c r="AN2132">
        <v>0.67</v>
      </c>
      <c r="AO2132" t="s">
        <v>2439</v>
      </c>
      <c r="AP2132" t="s">
        <v>21614</v>
      </c>
      <c r="AQ2132" t="s">
        <v>21615</v>
      </c>
      <c r="AR2132" t="s">
        <v>2438</v>
      </c>
      <c r="AS2132" t="s">
        <v>10714</v>
      </c>
      <c r="AT2132" t="s">
        <v>5795</v>
      </c>
      <c r="AU2132" t="s">
        <v>4835</v>
      </c>
      <c r="AV2132" t="s">
        <v>21616</v>
      </c>
      <c r="AW2132" t="s">
        <v>18824</v>
      </c>
      <c r="AX2132" t="s">
        <v>8751</v>
      </c>
      <c r="AY2132" t="s">
        <v>16813</v>
      </c>
      <c r="AZ2132" t="s">
        <v>21617</v>
      </c>
      <c r="BA2132">
        <v>1</v>
      </c>
      <c r="BB2132">
        <v>263.14</v>
      </c>
      <c r="BC2132">
        <v>0.08</v>
      </c>
      <c r="BD2132">
        <v>2.4900000000000002</v>
      </c>
      <c r="BE2132">
        <v>2.4900000000000002</v>
      </c>
      <c r="BF2132">
        <v>2.4900000000000002</v>
      </c>
      <c r="BG2132" t="s">
        <v>21618</v>
      </c>
      <c r="BH2132" t="s">
        <v>579</v>
      </c>
      <c r="BI2132" t="s">
        <v>21617</v>
      </c>
      <c r="BJ2132" t="s">
        <v>101</v>
      </c>
      <c r="BK2132" t="s">
        <v>2892</v>
      </c>
      <c r="BL2132" t="s">
        <v>11544</v>
      </c>
      <c r="BM2132" t="s">
        <v>21619</v>
      </c>
      <c r="BN2132" t="s">
        <v>14623</v>
      </c>
    </row>
    <row r="2133" spans="1:66" x14ac:dyDescent="0.25">
      <c r="A2133" t="str">
        <f>HYPERLINK("https://elite.finviz.com/quote.ashx?t=BRN&amp;ty=c&amp;p=d&amp;b=1", "BRN")</f>
        <v>BRN</v>
      </c>
      <c r="B2133">
        <v>6</v>
      </c>
      <c r="C2133">
        <v>127.03</v>
      </c>
      <c r="D2133">
        <v>64.05</v>
      </c>
      <c r="E2133" t="s">
        <v>21620</v>
      </c>
      <c r="F2133" t="s">
        <v>107</v>
      </c>
      <c r="G2133" t="s">
        <v>1048</v>
      </c>
      <c r="H2133" t="s">
        <v>1049</v>
      </c>
      <c r="I2133" t="s">
        <v>70</v>
      </c>
      <c r="J2133" t="s">
        <v>383</v>
      </c>
      <c r="K2133">
        <v>12.89</v>
      </c>
      <c r="L2133">
        <v>1.28</v>
      </c>
      <c r="M2133" t="s">
        <v>2449</v>
      </c>
      <c r="N2133">
        <v>10195</v>
      </c>
      <c r="R2133">
        <v>0.83</v>
      </c>
      <c r="S2133">
        <v>1.5</v>
      </c>
      <c r="V2133" t="s">
        <v>21621</v>
      </c>
      <c r="AA2133">
        <v>-0.63</v>
      </c>
      <c r="AC2133" t="s">
        <v>9794</v>
      </c>
      <c r="AE2133" t="s">
        <v>21622</v>
      </c>
      <c r="AF2133" t="s">
        <v>2984</v>
      </c>
      <c r="AG2133" t="s">
        <v>4087</v>
      </c>
      <c r="AH2133" t="s">
        <v>21623</v>
      </c>
      <c r="AJ2133" t="s">
        <v>164</v>
      </c>
      <c r="AK2133" t="s">
        <v>330</v>
      </c>
      <c r="AL2133">
        <v>0.76</v>
      </c>
      <c r="AM2133">
        <v>0.76</v>
      </c>
      <c r="AN2133">
        <v>0.03</v>
      </c>
      <c r="AO2133" t="s">
        <v>2605</v>
      </c>
      <c r="AP2133" t="s">
        <v>21624</v>
      </c>
      <c r="AQ2133" t="s">
        <v>21625</v>
      </c>
      <c r="AR2133" t="s">
        <v>4128</v>
      </c>
      <c r="AS2133" t="s">
        <v>7090</v>
      </c>
      <c r="AT2133" t="s">
        <v>660</v>
      </c>
      <c r="AU2133" t="s">
        <v>9841</v>
      </c>
      <c r="AV2133" t="s">
        <v>9666</v>
      </c>
      <c r="AW2133" t="s">
        <v>137</v>
      </c>
      <c r="AX2133" t="s">
        <v>11559</v>
      </c>
      <c r="AY2133" t="s">
        <v>4330</v>
      </c>
      <c r="AZ2133" t="s">
        <v>11559</v>
      </c>
      <c r="BB2133">
        <v>34.520000000000003</v>
      </c>
      <c r="BC2133">
        <v>1.04</v>
      </c>
      <c r="BD2133">
        <v>1.26</v>
      </c>
      <c r="BE2133">
        <v>1.34</v>
      </c>
      <c r="BF2133">
        <v>1.26</v>
      </c>
      <c r="BG2133" t="s">
        <v>21626</v>
      </c>
      <c r="BH2133" t="s">
        <v>14727</v>
      </c>
      <c r="BI2133" t="s">
        <v>282</v>
      </c>
      <c r="BJ2133" t="s">
        <v>101</v>
      </c>
      <c r="BK2133" t="s">
        <v>3455</v>
      </c>
      <c r="BL2133" t="s">
        <v>9120</v>
      </c>
      <c r="BM2133" t="s">
        <v>17866</v>
      </c>
      <c r="BN2133" t="s">
        <v>14623</v>
      </c>
    </row>
    <row r="2134" spans="1:66" x14ac:dyDescent="0.25">
      <c r="A2134" t="str">
        <f>HYPERLINK("https://elite.finviz.com/quote.ashx?t=XMTR&amp;ty=c&amp;p=d&amp;b=1", "XMTR")</f>
        <v>XMTR</v>
      </c>
      <c r="B2134">
        <v>6</v>
      </c>
      <c r="C2134">
        <v>127.03</v>
      </c>
      <c r="D2134">
        <v>64.06</v>
      </c>
      <c r="E2134" t="s">
        <v>21627</v>
      </c>
      <c r="F2134" t="s">
        <v>67</v>
      </c>
      <c r="G2134" t="s">
        <v>260</v>
      </c>
      <c r="H2134" t="s">
        <v>261</v>
      </c>
      <c r="I2134" t="s">
        <v>70</v>
      </c>
      <c r="J2134" t="s">
        <v>321</v>
      </c>
      <c r="K2134">
        <v>2775.16</v>
      </c>
      <c r="L2134">
        <v>54.61</v>
      </c>
      <c r="M2134" t="s">
        <v>1574</v>
      </c>
      <c r="N2134">
        <v>185597</v>
      </c>
      <c r="P2134">
        <v>72</v>
      </c>
      <c r="R2134">
        <v>4.5999999999999996</v>
      </c>
      <c r="S2134">
        <v>10.220000000000001</v>
      </c>
      <c r="AA2134">
        <v>-1.23</v>
      </c>
      <c r="AB2134" t="s">
        <v>3687</v>
      </c>
      <c r="AC2134" t="s">
        <v>5963</v>
      </c>
      <c r="AE2134" t="s">
        <v>5792</v>
      </c>
      <c r="AF2134" t="s">
        <v>12022</v>
      </c>
      <c r="AG2134" t="s">
        <v>17944</v>
      </c>
      <c r="AH2134" t="s">
        <v>7947</v>
      </c>
      <c r="AI2134" t="s">
        <v>21628</v>
      </c>
      <c r="AJ2134" t="s">
        <v>1938</v>
      </c>
      <c r="AK2134" t="s">
        <v>21629</v>
      </c>
      <c r="AL2134">
        <v>3.9</v>
      </c>
      <c r="AM2134">
        <v>3.85</v>
      </c>
      <c r="AN2134">
        <v>1.24</v>
      </c>
      <c r="AO2134" t="s">
        <v>5844</v>
      </c>
      <c r="AP2134" t="s">
        <v>11592</v>
      </c>
      <c r="AQ2134" t="s">
        <v>21630</v>
      </c>
      <c r="AR2134" t="s">
        <v>197</v>
      </c>
      <c r="AS2134" t="s">
        <v>5027</v>
      </c>
      <c r="AT2134" t="s">
        <v>2408</v>
      </c>
      <c r="AU2134" t="s">
        <v>8911</v>
      </c>
      <c r="AV2134" t="s">
        <v>8295</v>
      </c>
      <c r="AW2134" t="s">
        <v>402</v>
      </c>
      <c r="AX2134" t="s">
        <v>9311</v>
      </c>
      <c r="AY2134" t="s">
        <v>402</v>
      </c>
      <c r="AZ2134" t="s">
        <v>21631</v>
      </c>
      <c r="BA2134">
        <v>1.6</v>
      </c>
      <c r="BB2134">
        <v>806.51</v>
      </c>
      <c r="BC2134">
        <v>0.81</v>
      </c>
      <c r="BD2134">
        <v>55.02</v>
      </c>
      <c r="BE2134">
        <v>56.53</v>
      </c>
      <c r="BF2134">
        <v>54.57</v>
      </c>
      <c r="BG2134" t="s">
        <v>21632</v>
      </c>
      <c r="BH2134" t="s">
        <v>12326</v>
      </c>
      <c r="BI2134" t="s">
        <v>21633</v>
      </c>
      <c r="BJ2134" t="s">
        <v>101</v>
      </c>
      <c r="BK2134" t="s">
        <v>13411</v>
      </c>
      <c r="BL2134" t="s">
        <v>21634</v>
      </c>
      <c r="BM2134" t="s">
        <v>21635</v>
      </c>
      <c r="BN2134" t="s">
        <v>14623</v>
      </c>
    </row>
    <row r="2135" spans="1:66" x14ac:dyDescent="0.25">
      <c r="A2135" t="str">
        <f>HYPERLINK("https://elite.finviz.com/quote.ashx?t=GES&amp;ty=c&amp;p=d&amp;b=1", "GES")</f>
        <v>GES</v>
      </c>
      <c r="B2135">
        <v>6</v>
      </c>
      <c r="C2135">
        <v>127.03</v>
      </c>
      <c r="D2135">
        <v>64.14</v>
      </c>
      <c r="E2135" t="s">
        <v>21636</v>
      </c>
      <c r="F2135" t="s">
        <v>107</v>
      </c>
      <c r="G2135" t="s">
        <v>813</v>
      </c>
      <c r="H2135" t="s">
        <v>4488</v>
      </c>
      <c r="I2135" t="s">
        <v>70</v>
      </c>
      <c r="J2135" t="s">
        <v>71</v>
      </c>
      <c r="K2135">
        <v>869.3</v>
      </c>
      <c r="L2135">
        <v>16.690000000000001</v>
      </c>
      <c r="M2135" t="s">
        <v>4699</v>
      </c>
      <c r="N2135">
        <v>58631</v>
      </c>
      <c r="O2135">
        <v>166.41</v>
      </c>
      <c r="P2135">
        <v>9.7100000000000009</v>
      </c>
      <c r="R2135">
        <v>0.28000000000000003</v>
      </c>
      <c r="S2135">
        <v>1.78</v>
      </c>
      <c r="T2135" t="s">
        <v>7542</v>
      </c>
      <c r="U2135">
        <v>1.1200000000000001</v>
      </c>
      <c r="V2135" t="s">
        <v>5717</v>
      </c>
      <c r="W2135" t="s">
        <v>5114</v>
      </c>
      <c r="X2135" t="s">
        <v>21362</v>
      </c>
      <c r="Y2135" t="s">
        <v>1464</v>
      </c>
      <c r="Z2135" t="s">
        <v>21637</v>
      </c>
      <c r="AA2135">
        <v>0.1</v>
      </c>
      <c r="AB2135" t="s">
        <v>2342</v>
      </c>
      <c r="AC2135" t="s">
        <v>21638</v>
      </c>
      <c r="AD2135" t="s">
        <v>1067</v>
      </c>
      <c r="AE2135" t="s">
        <v>10610</v>
      </c>
      <c r="AF2135" t="s">
        <v>912</v>
      </c>
      <c r="AG2135" t="s">
        <v>1599</v>
      </c>
      <c r="AH2135" t="s">
        <v>1475</v>
      </c>
      <c r="AI2135" t="s">
        <v>18873</v>
      </c>
      <c r="AJ2135" t="s">
        <v>164</v>
      </c>
      <c r="AK2135" t="s">
        <v>21639</v>
      </c>
      <c r="AL2135">
        <v>1.52</v>
      </c>
      <c r="AM2135">
        <v>0.76</v>
      </c>
      <c r="AN2135">
        <v>3.3</v>
      </c>
      <c r="AO2135" t="s">
        <v>18049</v>
      </c>
      <c r="AP2135" t="s">
        <v>5554</v>
      </c>
      <c r="AQ2135" t="s">
        <v>1338</v>
      </c>
      <c r="AR2135" t="s">
        <v>149</v>
      </c>
      <c r="AS2135" t="s">
        <v>4801</v>
      </c>
      <c r="AT2135" t="s">
        <v>5777</v>
      </c>
      <c r="AU2135" t="s">
        <v>230</v>
      </c>
      <c r="AV2135" t="s">
        <v>4803</v>
      </c>
      <c r="AW2135" t="s">
        <v>7243</v>
      </c>
      <c r="AX2135" t="s">
        <v>21640</v>
      </c>
      <c r="AY2135" t="s">
        <v>172</v>
      </c>
      <c r="AZ2135" t="s">
        <v>21641</v>
      </c>
      <c r="BA2135">
        <v>2.5</v>
      </c>
      <c r="BB2135">
        <v>885.58</v>
      </c>
      <c r="BC2135">
        <v>0.23</v>
      </c>
      <c r="BD2135">
        <v>16.71</v>
      </c>
      <c r="BE2135">
        <v>16.75</v>
      </c>
      <c r="BF2135">
        <v>16.690000000000001</v>
      </c>
      <c r="BG2135" t="s">
        <v>21642</v>
      </c>
      <c r="BH2135" t="s">
        <v>21643</v>
      </c>
      <c r="BI2135" t="s">
        <v>21644</v>
      </c>
      <c r="BJ2135" t="s">
        <v>101</v>
      </c>
      <c r="BK2135" t="s">
        <v>19093</v>
      </c>
      <c r="BL2135" t="s">
        <v>3060</v>
      </c>
      <c r="BM2135" t="s">
        <v>7652</v>
      </c>
      <c r="BN2135" t="s">
        <v>14623</v>
      </c>
    </row>
    <row r="2136" spans="1:66" x14ac:dyDescent="0.25">
      <c r="A2136" t="str">
        <f>HYPERLINK("https://elite.finviz.com/quote.ashx?t=SVII&amp;ty=c&amp;p=d&amp;b=1", "SVII")</f>
        <v>SVII</v>
      </c>
      <c r="B2136">
        <v>6</v>
      </c>
      <c r="C2136">
        <v>127.03</v>
      </c>
      <c r="D2136">
        <v>64.27</v>
      </c>
      <c r="E2136" t="s">
        <v>21645</v>
      </c>
      <c r="F2136" t="s">
        <v>107</v>
      </c>
      <c r="G2136" t="s">
        <v>550</v>
      </c>
      <c r="H2136" t="s">
        <v>2120</v>
      </c>
      <c r="I2136" t="s">
        <v>70</v>
      </c>
      <c r="J2136" t="s">
        <v>321</v>
      </c>
      <c r="K2136">
        <v>125.47</v>
      </c>
      <c r="L2136">
        <v>12.7</v>
      </c>
      <c r="M2136" t="s">
        <v>1000</v>
      </c>
      <c r="N2136">
        <v>17282</v>
      </c>
      <c r="O2136">
        <v>123.05</v>
      </c>
      <c r="S2136">
        <v>5.22</v>
      </c>
      <c r="Z2136" t="s">
        <v>164</v>
      </c>
      <c r="AA2136">
        <v>0.1</v>
      </c>
      <c r="AJ2136" t="s">
        <v>164</v>
      </c>
      <c r="AK2136" t="s">
        <v>4602</v>
      </c>
      <c r="AL2136">
        <v>0.13</v>
      </c>
      <c r="AM2136">
        <v>0.13</v>
      </c>
      <c r="AN2136">
        <v>0.06</v>
      </c>
      <c r="AR2136" t="s">
        <v>3481</v>
      </c>
      <c r="AS2136" t="s">
        <v>1760</v>
      </c>
      <c r="AT2136" t="s">
        <v>289</v>
      </c>
      <c r="AU2136" t="s">
        <v>6419</v>
      </c>
      <c r="AV2136" t="s">
        <v>1809</v>
      </c>
      <c r="AW2136" t="s">
        <v>6494</v>
      </c>
      <c r="AX2136" t="s">
        <v>1822</v>
      </c>
      <c r="AY2136" t="s">
        <v>6494</v>
      </c>
      <c r="AZ2136" t="s">
        <v>2685</v>
      </c>
      <c r="BB2136">
        <v>49.5</v>
      </c>
      <c r="BC2136">
        <v>1.24</v>
      </c>
      <c r="BD2136">
        <v>13.08</v>
      </c>
      <c r="BE2136">
        <v>12.9</v>
      </c>
      <c r="BF2136">
        <v>12.57</v>
      </c>
      <c r="BG2136" t="s">
        <v>21646</v>
      </c>
      <c r="BH2136" t="s">
        <v>6494</v>
      </c>
      <c r="BI2136" t="s">
        <v>931</v>
      </c>
      <c r="BJ2136" t="s">
        <v>101</v>
      </c>
      <c r="BK2136" t="s">
        <v>1889</v>
      </c>
      <c r="BL2136" t="s">
        <v>9987</v>
      </c>
      <c r="BM2136" t="s">
        <v>18834</v>
      </c>
      <c r="BN2136" t="s">
        <v>14623</v>
      </c>
    </row>
    <row r="2137" spans="1:66" x14ac:dyDescent="0.25">
      <c r="A2137" t="str">
        <f>HYPERLINK("https://elite.finviz.com/quote.ashx?t=PHOE&amp;ty=c&amp;p=d&amp;b=1", "PHOE")</f>
        <v>PHOE</v>
      </c>
      <c r="B2137">
        <v>6</v>
      </c>
      <c r="C2137">
        <v>127.03</v>
      </c>
      <c r="D2137">
        <v>64.290000000000006</v>
      </c>
      <c r="E2137" t="s">
        <v>21647</v>
      </c>
      <c r="F2137" t="s">
        <v>107</v>
      </c>
      <c r="G2137" t="s">
        <v>260</v>
      </c>
      <c r="H2137" t="s">
        <v>2944</v>
      </c>
      <c r="I2137" t="s">
        <v>70</v>
      </c>
      <c r="J2137" t="s">
        <v>321</v>
      </c>
      <c r="L2137">
        <v>9.44</v>
      </c>
      <c r="M2137" t="s">
        <v>5592</v>
      </c>
      <c r="N2137">
        <v>1408</v>
      </c>
      <c r="AR2137" t="s">
        <v>4907</v>
      </c>
      <c r="AS2137" t="s">
        <v>1558</v>
      </c>
      <c r="AT2137" t="s">
        <v>13198</v>
      </c>
      <c r="AU2137" t="s">
        <v>4846</v>
      </c>
      <c r="AV2137" t="s">
        <v>21422</v>
      </c>
      <c r="AW2137" t="s">
        <v>21648</v>
      </c>
      <c r="AX2137" t="s">
        <v>12403</v>
      </c>
      <c r="AY2137" t="s">
        <v>21648</v>
      </c>
      <c r="AZ2137" t="s">
        <v>21649</v>
      </c>
      <c r="BB2137">
        <v>42.28</v>
      </c>
      <c r="BC2137">
        <v>0.12</v>
      </c>
      <c r="BD2137">
        <v>9.1</v>
      </c>
      <c r="BE2137">
        <v>9</v>
      </c>
      <c r="BF2137">
        <v>8.82</v>
      </c>
      <c r="BG2137" t="s">
        <v>21650</v>
      </c>
      <c r="BH2137" t="s">
        <v>21648</v>
      </c>
      <c r="BI2137" t="s">
        <v>21649</v>
      </c>
      <c r="BJ2137" t="s">
        <v>101</v>
      </c>
      <c r="BK2137" t="s">
        <v>3839</v>
      </c>
      <c r="BN2137" t="s">
        <v>14623</v>
      </c>
    </row>
    <row r="2138" spans="1:66" x14ac:dyDescent="0.25">
      <c r="A2138" t="str">
        <f>HYPERLINK("https://elite.finviz.com/quote.ashx?t=KLRS&amp;ty=c&amp;p=d&amp;b=1", "KLRS")</f>
        <v>KLRS</v>
      </c>
      <c r="B2138">
        <v>6</v>
      </c>
      <c r="C2138">
        <v>127.03</v>
      </c>
      <c r="D2138">
        <v>64.3</v>
      </c>
      <c r="E2138" t="s">
        <v>21651</v>
      </c>
      <c r="F2138" t="s">
        <v>107</v>
      </c>
      <c r="G2138" t="s">
        <v>428</v>
      </c>
      <c r="H2138" t="s">
        <v>429</v>
      </c>
      <c r="I2138" t="s">
        <v>70</v>
      </c>
      <c r="J2138" t="s">
        <v>321</v>
      </c>
      <c r="K2138">
        <v>84.69</v>
      </c>
      <c r="L2138">
        <v>5.0599999999999996</v>
      </c>
      <c r="M2138" t="s">
        <v>1204</v>
      </c>
      <c r="N2138">
        <v>49140</v>
      </c>
      <c r="S2138">
        <v>1.78</v>
      </c>
      <c r="AA2138">
        <v>-7.58</v>
      </c>
      <c r="AB2138" t="s">
        <v>6959</v>
      </c>
      <c r="AC2138" t="s">
        <v>9091</v>
      </c>
      <c r="AD2138" t="s">
        <v>8793</v>
      </c>
      <c r="AI2138" t="s">
        <v>3567</v>
      </c>
      <c r="AJ2138" t="s">
        <v>1249</v>
      </c>
      <c r="AK2138" t="s">
        <v>2448</v>
      </c>
      <c r="AL2138">
        <v>11.98</v>
      </c>
      <c r="AM2138">
        <v>11.98</v>
      </c>
      <c r="AN2138">
        <v>0</v>
      </c>
      <c r="AR2138" t="s">
        <v>12058</v>
      </c>
      <c r="AS2138" t="s">
        <v>10042</v>
      </c>
      <c r="AT2138" t="s">
        <v>1794</v>
      </c>
      <c r="AU2138" t="s">
        <v>492</v>
      </c>
      <c r="AV2138" t="s">
        <v>17798</v>
      </c>
      <c r="AW2138" t="s">
        <v>21652</v>
      </c>
      <c r="AX2138" t="s">
        <v>21653</v>
      </c>
      <c r="AY2138" t="s">
        <v>21654</v>
      </c>
      <c r="AZ2138" t="s">
        <v>21653</v>
      </c>
      <c r="BA2138">
        <v>1.5</v>
      </c>
      <c r="BB2138">
        <v>273.43</v>
      </c>
      <c r="BC2138">
        <v>0.63</v>
      </c>
      <c r="BD2138">
        <v>4.7699999999999996</v>
      </c>
      <c r="BE2138">
        <v>5.15</v>
      </c>
      <c r="BF2138">
        <v>4.79</v>
      </c>
      <c r="BG2138" t="s">
        <v>21655</v>
      </c>
      <c r="BH2138" t="s">
        <v>21656</v>
      </c>
      <c r="BI2138" t="s">
        <v>21653</v>
      </c>
      <c r="BJ2138" t="s">
        <v>101</v>
      </c>
      <c r="BK2138" t="s">
        <v>21657</v>
      </c>
      <c r="BL2138" t="s">
        <v>18089</v>
      </c>
      <c r="BM2138" t="s">
        <v>21658</v>
      </c>
      <c r="BN2138" t="s">
        <v>14623</v>
      </c>
    </row>
    <row r="2139" spans="1:66" x14ac:dyDescent="0.25">
      <c r="A2139" t="str">
        <f>HYPERLINK("https://elite.finviz.com/quote.ashx?t=KOYNU&amp;ty=c&amp;p=d&amp;b=1", "KOYNU")</f>
        <v>KOYNU</v>
      </c>
      <c r="B2139">
        <v>6</v>
      </c>
      <c r="C2139">
        <v>127.03</v>
      </c>
      <c r="D2139">
        <v>64.3</v>
      </c>
      <c r="E2139" t="s">
        <v>21659</v>
      </c>
      <c r="F2139" t="s">
        <v>107</v>
      </c>
      <c r="G2139" t="s">
        <v>550</v>
      </c>
      <c r="H2139" t="s">
        <v>2120</v>
      </c>
      <c r="I2139" t="s">
        <v>70</v>
      </c>
      <c r="J2139" t="s">
        <v>321</v>
      </c>
      <c r="K2139">
        <v>310.07</v>
      </c>
      <c r="L2139">
        <v>10.11</v>
      </c>
      <c r="M2139" t="s">
        <v>3890</v>
      </c>
      <c r="N2139">
        <v>27828</v>
      </c>
      <c r="AJ2139" t="s">
        <v>164</v>
      </c>
      <c r="AK2139" t="s">
        <v>1083</v>
      </c>
      <c r="AL2139">
        <v>0.16</v>
      </c>
      <c r="AM2139">
        <v>0.16</v>
      </c>
      <c r="AR2139" t="s">
        <v>914</v>
      </c>
      <c r="AT2139" t="s">
        <v>2642</v>
      </c>
      <c r="AU2139" t="s">
        <v>1765</v>
      </c>
      <c r="AV2139" t="s">
        <v>1765</v>
      </c>
      <c r="AW2139" t="s">
        <v>1067</v>
      </c>
      <c r="AX2139" t="s">
        <v>1837</v>
      </c>
      <c r="AY2139" t="s">
        <v>1067</v>
      </c>
      <c r="AZ2139" t="s">
        <v>1837</v>
      </c>
      <c r="BB2139">
        <v>922.99</v>
      </c>
      <c r="BC2139">
        <v>0.11</v>
      </c>
      <c r="BD2139">
        <v>10.14</v>
      </c>
      <c r="BE2139">
        <v>10.11</v>
      </c>
      <c r="BF2139">
        <v>10.11</v>
      </c>
      <c r="BG2139" t="s">
        <v>21660</v>
      </c>
      <c r="BH2139" t="s">
        <v>1067</v>
      </c>
      <c r="BI2139" t="s">
        <v>1837</v>
      </c>
      <c r="BJ2139" t="s">
        <v>101</v>
      </c>
      <c r="BN2139" t="s">
        <v>14623</v>
      </c>
    </row>
    <row r="2140" spans="1:66" x14ac:dyDescent="0.25">
      <c r="A2140" t="str">
        <f>HYPERLINK("https://elite.finviz.com/quote.ashx?t=SND&amp;ty=c&amp;p=d&amp;b=1", "SND")</f>
        <v>SND</v>
      </c>
      <c r="B2140">
        <v>6</v>
      </c>
      <c r="C2140">
        <v>127.03</v>
      </c>
      <c r="D2140">
        <v>64.349999999999994</v>
      </c>
      <c r="E2140" t="s">
        <v>21661</v>
      </c>
      <c r="F2140" t="s">
        <v>107</v>
      </c>
      <c r="G2140" t="s">
        <v>1048</v>
      </c>
      <c r="H2140" t="s">
        <v>8341</v>
      </c>
      <c r="I2140" t="s">
        <v>70</v>
      </c>
      <c r="J2140" t="s">
        <v>321</v>
      </c>
      <c r="K2140">
        <v>92.78</v>
      </c>
      <c r="L2140">
        <v>2.13</v>
      </c>
      <c r="M2140" t="s">
        <v>2426</v>
      </c>
      <c r="N2140">
        <v>46850</v>
      </c>
      <c r="O2140">
        <v>117.03</v>
      </c>
      <c r="R2140">
        <v>0.3</v>
      </c>
      <c r="S2140">
        <v>0.34</v>
      </c>
      <c r="V2140" t="s">
        <v>4827</v>
      </c>
      <c r="Z2140" t="s">
        <v>164</v>
      </c>
      <c r="AA2140">
        <v>0.02</v>
      </c>
      <c r="AC2140" t="s">
        <v>2009</v>
      </c>
      <c r="AE2140" t="s">
        <v>2736</v>
      </c>
      <c r="AF2140" t="s">
        <v>9304</v>
      </c>
      <c r="AG2140" t="s">
        <v>1496</v>
      </c>
      <c r="AH2140" t="s">
        <v>3766</v>
      </c>
      <c r="AJ2140" t="s">
        <v>4623</v>
      </c>
      <c r="AK2140" t="s">
        <v>4616</v>
      </c>
      <c r="AL2140">
        <v>1.86</v>
      </c>
      <c r="AM2140">
        <v>1.22</v>
      </c>
      <c r="AN2140">
        <v>0.2</v>
      </c>
      <c r="AO2140" t="s">
        <v>4248</v>
      </c>
      <c r="AP2140" t="s">
        <v>11805</v>
      </c>
      <c r="AQ2140" t="s">
        <v>182</v>
      </c>
      <c r="AR2140" t="s">
        <v>901</v>
      </c>
      <c r="AS2140" t="s">
        <v>295</v>
      </c>
      <c r="AT2140" t="s">
        <v>437</v>
      </c>
      <c r="AU2140" t="s">
        <v>10557</v>
      </c>
      <c r="AV2140" t="s">
        <v>2235</v>
      </c>
      <c r="AW2140" t="s">
        <v>17603</v>
      </c>
      <c r="AX2140" t="s">
        <v>4424</v>
      </c>
      <c r="AY2140" t="s">
        <v>12223</v>
      </c>
      <c r="AZ2140" t="s">
        <v>6672</v>
      </c>
      <c r="BA2140">
        <v>3</v>
      </c>
      <c r="BB2140">
        <v>92.22</v>
      </c>
      <c r="BC2140">
        <v>1.81</v>
      </c>
      <c r="BD2140">
        <v>2.14</v>
      </c>
      <c r="BE2140">
        <v>2.15</v>
      </c>
      <c r="BF2140">
        <v>2.13</v>
      </c>
      <c r="BG2140" t="s">
        <v>21662</v>
      </c>
      <c r="BH2140" t="s">
        <v>21663</v>
      </c>
      <c r="BI2140" t="s">
        <v>21664</v>
      </c>
      <c r="BJ2140" t="s">
        <v>101</v>
      </c>
      <c r="BK2140" t="s">
        <v>2492</v>
      </c>
      <c r="BL2140" t="s">
        <v>17856</v>
      </c>
      <c r="BM2140" t="s">
        <v>9253</v>
      </c>
      <c r="BN2140" t="s">
        <v>14623</v>
      </c>
    </row>
    <row r="2141" spans="1:66" x14ac:dyDescent="0.25">
      <c r="A2141" t="str">
        <f>HYPERLINK("https://elite.finviz.com/quote.ashx?t=BPOP&amp;ty=c&amp;p=d&amp;b=1", "BPOP")</f>
        <v>BPOP</v>
      </c>
      <c r="B2141">
        <v>6</v>
      </c>
      <c r="C2141">
        <v>127.03</v>
      </c>
      <c r="D2141">
        <v>64.38</v>
      </c>
      <c r="E2141" t="s">
        <v>21665</v>
      </c>
      <c r="F2141" t="s">
        <v>107</v>
      </c>
      <c r="G2141" t="s">
        <v>550</v>
      </c>
      <c r="H2141" t="s">
        <v>697</v>
      </c>
      <c r="I2141" t="s">
        <v>70</v>
      </c>
      <c r="J2141" t="s">
        <v>321</v>
      </c>
      <c r="K2141">
        <v>8603.7999999999993</v>
      </c>
      <c r="L2141">
        <v>127.31</v>
      </c>
      <c r="M2141" t="s">
        <v>4266</v>
      </c>
      <c r="N2141">
        <v>50270</v>
      </c>
      <c r="O2141">
        <v>12.35</v>
      </c>
      <c r="P2141">
        <v>9.7100000000000009</v>
      </c>
      <c r="Q2141">
        <v>0.66</v>
      </c>
      <c r="R2141">
        <v>1.96</v>
      </c>
      <c r="S2141">
        <v>1.46</v>
      </c>
      <c r="T2141" t="s">
        <v>8016</v>
      </c>
      <c r="U2141">
        <v>2.85</v>
      </c>
      <c r="V2141" t="s">
        <v>2620</v>
      </c>
      <c r="W2141" t="s">
        <v>915</v>
      </c>
      <c r="Y2141" t="s">
        <v>9225</v>
      </c>
      <c r="Z2141" t="s">
        <v>12335</v>
      </c>
      <c r="AA2141">
        <v>10.31</v>
      </c>
      <c r="AB2141" t="s">
        <v>5784</v>
      </c>
      <c r="AC2141" t="s">
        <v>4437</v>
      </c>
      <c r="AD2141" t="s">
        <v>1085</v>
      </c>
      <c r="AE2141" t="s">
        <v>6593</v>
      </c>
      <c r="AF2141" t="s">
        <v>1993</v>
      </c>
      <c r="AG2141" t="s">
        <v>537</v>
      </c>
      <c r="AH2141" t="s">
        <v>5263</v>
      </c>
      <c r="AI2141" t="s">
        <v>14500</v>
      </c>
      <c r="AJ2141" t="s">
        <v>364</v>
      </c>
      <c r="AK2141" t="s">
        <v>6769</v>
      </c>
      <c r="AL2141">
        <v>0.14000000000000001</v>
      </c>
      <c r="AN2141">
        <v>0.26</v>
      </c>
      <c r="AP2141" t="s">
        <v>4554</v>
      </c>
      <c r="AQ2141" t="s">
        <v>1150</v>
      </c>
      <c r="AR2141" t="s">
        <v>5968</v>
      </c>
      <c r="AS2141" t="s">
        <v>3925</v>
      </c>
      <c r="AT2141" t="s">
        <v>6155</v>
      </c>
      <c r="AU2141" t="s">
        <v>5859</v>
      </c>
      <c r="AV2141" t="s">
        <v>7869</v>
      </c>
      <c r="AW2141" t="s">
        <v>5070</v>
      </c>
      <c r="AX2141" t="s">
        <v>5386</v>
      </c>
      <c r="AY2141" t="s">
        <v>5070</v>
      </c>
      <c r="AZ2141" t="s">
        <v>18570</v>
      </c>
      <c r="BA2141">
        <v>1.62</v>
      </c>
      <c r="BB2141">
        <v>512.1</v>
      </c>
      <c r="BC2141">
        <v>0.35</v>
      </c>
      <c r="BD2141">
        <v>126.99</v>
      </c>
      <c r="BE2141">
        <v>128.66999999999999</v>
      </c>
      <c r="BF2141">
        <v>127.25</v>
      </c>
      <c r="BG2141" t="s">
        <v>21666</v>
      </c>
      <c r="BH2141" t="s">
        <v>21667</v>
      </c>
      <c r="BI2141" t="s">
        <v>21668</v>
      </c>
      <c r="BJ2141" t="s">
        <v>101</v>
      </c>
      <c r="BK2141" t="s">
        <v>10303</v>
      </c>
      <c r="BL2141" t="s">
        <v>4509</v>
      </c>
      <c r="BM2141" t="s">
        <v>86</v>
      </c>
      <c r="BN2141" t="s">
        <v>14623</v>
      </c>
    </row>
    <row r="2142" spans="1:66" x14ac:dyDescent="0.25">
      <c r="A2142" t="str">
        <f>HYPERLINK("https://elite.finviz.com/quote.ashx?t=ANSC&amp;ty=c&amp;p=d&amp;b=1", "ANSC")</f>
        <v>ANSC</v>
      </c>
      <c r="B2142">
        <v>6</v>
      </c>
      <c r="C2142">
        <v>127.03</v>
      </c>
      <c r="D2142">
        <v>64.38</v>
      </c>
      <c r="E2142" t="s">
        <v>21669</v>
      </c>
      <c r="F2142" t="s">
        <v>107</v>
      </c>
      <c r="G2142" t="s">
        <v>550</v>
      </c>
      <c r="H2142" t="s">
        <v>2120</v>
      </c>
      <c r="I2142" t="s">
        <v>70</v>
      </c>
      <c r="J2142" t="s">
        <v>321</v>
      </c>
      <c r="K2142">
        <v>472.54</v>
      </c>
      <c r="L2142">
        <v>10.96</v>
      </c>
      <c r="M2142" t="s">
        <v>7709</v>
      </c>
      <c r="N2142">
        <v>6</v>
      </c>
      <c r="O2142">
        <v>80.510000000000005</v>
      </c>
      <c r="S2142">
        <v>1.36</v>
      </c>
      <c r="Z2142" t="s">
        <v>164</v>
      </c>
      <c r="AA2142">
        <v>0.14000000000000001</v>
      </c>
      <c r="AJ2142" t="s">
        <v>164</v>
      </c>
      <c r="AK2142" t="s">
        <v>21670</v>
      </c>
      <c r="AL2142">
        <v>0.01</v>
      </c>
      <c r="AM2142">
        <v>0.01</v>
      </c>
      <c r="AN2142">
        <v>0</v>
      </c>
      <c r="AR2142" t="s">
        <v>497</v>
      </c>
      <c r="AS2142" t="s">
        <v>2275</v>
      </c>
      <c r="AT2142" t="s">
        <v>439</v>
      </c>
      <c r="AU2142" t="s">
        <v>2362</v>
      </c>
      <c r="AV2142" t="s">
        <v>387</v>
      </c>
      <c r="AW2142" t="s">
        <v>2468</v>
      </c>
      <c r="AX2142" t="s">
        <v>4902</v>
      </c>
      <c r="AY2142" t="s">
        <v>2468</v>
      </c>
      <c r="AZ2142" t="s">
        <v>2408</v>
      </c>
      <c r="BB2142">
        <v>31.28</v>
      </c>
      <c r="BC2142">
        <v>0</v>
      </c>
      <c r="BD2142">
        <v>10.96</v>
      </c>
      <c r="BE2142">
        <v>10.96</v>
      </c>
      <c r="BF2142">
        <v>10.96</v>
      </c>
      <c r="BG2142" t="s">
        <v>21671</v>
      </c>
      <c r="BH2142" t="s">
        <v>2468</v>
      </c>
      <c r="BI2142" t="s">
        <v>2984</v>
      </c>
      <c r="BJ2142" t="s">
        <v>101</v>
      </c>
      <c r="BK2142" t="s">
        <v>5745</v>
      </c>
      <c r="BL2142" t="s">
        <v>4204</v>
      </c>
      <c r="BM2142" t="s">
        <v>8164</v>
      </c>
      <c r="BN2142" t="s">
        <v>14623</v>
      </c>
    </row>
    <row r="2143" spans="1:66" x14ac:dyDescent="0.25">
      <c r="A2143" t="str">
        <f>HYPERLINK("https://elite.finviz.com/quote.ashx?t=RCUS&amp;ty=c&amp;p=d&amp;b=1", "RCUS")</f>
        <v>RCUS</v>
      </c>
      <c r="B2143">
        <v>6</v>
      </c>
      <c r="C2143">
        <v>127.03</v>
      </c>
      <c r="D2143">
        <v>64.42</v>
      </c>
      <c r="E2143" t="s">
        <v>21672</v>
      </c>
      <c r="F2143" t="s">
        <v>67</v>
      </c>
      <c r="G2143" t="s">
        <v>428</v>
      </c>
      <c r="H2143" t="s">
        <v>429</v>
      </c>
      <c r="I2143" t="s">
        <v>70</v>
      </c>
      <c r="J2143" t="s">
        <v>71</v>
      </c>
      <c r="K2143">
        <v>1311.23</v>
      </c>
      <c r="L2143">
        <v>12.32</v>
      </c>
      <c r="M2143" t="s">
        <v>2486</v>
      </c>
      <c r="N2143">
        <v>101228</v>
      </c>
      <c r="R2143">
        <v>5</v>
      </c>
      <c r="S2143">
        <v>2.39</v>
      </c>
      <c r="AA2143">
        <v>-3.17</v>
      </c>
      <c r="AC2143" t="s">
        <v>21630</v>
      </c>
      <c r="AD2143" t="s">
        <v>900</v>
      </c>
      <c r="AE2143" t="s">
        <v>7541</v>
      </c>
      <c r="AF2143" t="s">
        <v>8729</v>
      </c>
      <c r="AG2143" t="s">
        <v>21673</v>
      </c>
      <c r="AH2143" t="s">
        <v>21674</v>
      </c>
      <c r="AI2143" t="s">
        <v>1647</v>
      </c>
      <c r="AJ2143" t="s">
        <v>5242</v>
      </c>
      <c r="AK2143" t="s">
        <v>7017</v>
      </c>
      <c r="AL2143">
        <v>4.5</v>
      </c>
      <c r="AM2143">
        <v>4.5</v>
      </c>
      <c r="AN2143">
        <v>0.2</v>
      </c>
      <c r="AO2143" t="s">
        <v>21675</v>
      </c>
      <c r="AP2143" t="s">
        <v>21676</v>
      </c>
      <c r="AQ2143" t="s">
        <v>21677</v>
      </c>
      <c r="AR2143" t="s">
        <v>371</v>
      </c>
      <c r="AS2143" t="s">
        <v>246</v>
      </c>
      <c r="AT2143" t="s">
        <v>4526</v>
      </c>
      <c r="AU2143" t="s">
        <v>6415</v>
      </c>
      <c r="AV2143" t="s">
        <v>3059</v>
      </c>
      <c r="AW2143" t="s">
        <v>6494</v>
      </c>
      <c r="AX2143" t="s">
        <v>16235</v>
      </c>
      <c r="AY2143" t="s">
        <v>21678</v>
      </c>
      <c r="AZ2143" t="s">
        <v>5243</v>
      </c>
      <c r="BA2143">
        <v>1.42</v>
      </c>
      <c r="BB2143">
        <v>831.79</v>
      </c>
      <c r="BC2143">
        <v>0.43</v>
      </c>
      <c r="BD2143">
        <v>12.37</v>
      </c>
      <c r="BE2143">
        <v>12.5</v>
      </c>
      <c r="BF2143">
        <v>12.16</v>
      </c>
      <c r="BG2143" t="s">
        <v>21679</v>
      </c>
      <c r="BH2143" t="s">
        <v>5871</v>
      </c>
      <c r="BI2143" t="s">
        <v>21680</v>
      </c>
      <c r="BJ2143" t="s">
        <v>101</v>
      </c>
      <c r="BK2143" t="s">
        <v>21681</v>
      </c>
      <c r="BL2143" t="s">
        <v>564</v>
      </c>
      <c r="BM2143" t="s">
        <v>21682</v>
      </c>
      <c r="BN2143" t="s">
        <v>14623</v>
      </c>
    </row>
    <row r="2144" spans="1:66" x14ac:dyDescent="0.25">
      <c r="A2144" t="str">
        <f>HYPERLINK("https://elite.finviz.com/quote.ashx?t=PLMK&amp;ty=c&amp;p=d&amp;b=1", "PLMK")</f>
        <v>PLMK</v>
      </c>
      <c r="B2144">
        <v>6</v>
      </c>
      <c r="C2144">
        <v>127.03</v>
      </c>
      <c r="D2144">
        <v>64.430000000000007</v>
      </c>
      <c r="E2144" t="s">
        <v>21683</v>
      </c>
      <c r="F2144" t="s">
        <v>107</v>
      </c>
      <c r="G2144" t="s">
        <v>550</v>
      </c>
      <c r="H2144" t="s">
        <v>2120</v>
      </c>
      <c r="I2144" t="s">
        <v>70</v>
      </c>
      <c r="J2144" t="s">
        <v>321</v>
      </c>
      <c r="K2144">
        <v>250.4</v>
      </c>
      <c r="L2144">
        <v>10.33</v>
      </c>
      <c r="M2144" t="s">
        <v>164</v>
      </c>
      <c r="N2144">
        <v>0</v>
      </c>
      <c r="O2144">
        <v>91.17</v>
      </c>
      <c r="S2144">
        <v>1.46</v>
      </c>
      <c r="AA2144">
        <v>0.11</v>
      </c>
      <c r="AJ2144" t="s">
        <v>164</v>
      </c>
      <c r="AK2144" t="s">
        <v>21684</v>
      </c>
      <c r="AL2144">
        <v>3.1</v>
      </c>
      <c r="AM2144">
        <v>3.1</v>
      </c>
      <c r="AN2144">
        <v>0</v>
      </c>
      <c r="AR2144" t="s">
        <v>4507</v>
      </c>
      <c r="AS2144" t="s">
        <v>4237</v>
      </c>
      <c r="AT2144" t="s">
        <v>6719</v>
      </c>
      <c r="AU2144" t="s">
        <v>914</v>
      </c>
      <c r="AV2144" t="s">
        <v>7338</v>
      </c>
      <c r="AW2144" t="s">
        <v>2638</v>
      </c>
      <c r="AX2144" t="s">
        <v>3349</v>
      </c>
      <c r="AY2144" t="s">
        <v>2638</v>
      </c>
      <c r="AZ2144" t="s">
        <v>4395</v>
      </c>
      <c r="BB2144">
        <v>16.05</v>
      </c>
      <c r="BC2144">
        <v>0</v>
      </c>
      <c r="BD2144">
        <v>10.33</v>
      </c>
      <c r="BE2144">
        <v>10.33</v>
      </c>
      <c r="BF2144">
        <v>10.33</v>
      </c>
      <c r="BG2144" t="s">
        <v>21685</v>
      </c>
      <c r="BH2144" t="s">
        <v>2638</v>
      </c>
      <c r="BI2144" t="s">
        <v>4395</v>
      </c>
      <c r="BJ2144" t="s">
        <v>101</v>
      </c>
      <c r="BK2144" t="s">
        <v>2421</v>
      </c>
      <c r="BN2144" t="s">
        <v>14623</v>
      </c>
    </row>
    <row r="2145" spans="1:66" x14ac:dyDescent="0.25">
      <c r="A2145" t="str">
        <f>HYPERLINK("https://elite.finviz.com/quote.ashx?t=CW&amp;ty=c&amp;p=d&amp;b=1", "CW")</f>
        <v>CW</v>
      </c>
      <c r="B2145">
        <v>6</v>
      </c>
      <c r="C2145">
        <v>127.03</v>
      </c>
      <c r="D2145">
        <v>64.44</v>
      </c>
      <c r="E2145" t="s">
        <v>21686</v>
      </c>
      <c r="F2145" t="s">
        <v>107</v>
      </c>
      <c r="G2145" t="s">
        <v>260</v>
      </c>
      <c r="H2145" t="s">
        <v>4779</v>
      </c>
      <c r="I2145" t="s">
        <v>70</v>
      </c>
      <c r="J2145" t="s">
        <v>71</v>
      </c>
      <c r="K2145">
        <v>19879.91</v>
      </c>
      <c r="L2145">
        <v>527.62</v>
      </c>
      <c r="M2145" t="s">
        <v>206</v>
      </c>
      <c r="N2145">
        <v>52849</v>
      </c>
      <c r="O2145">
        <v>44.52</v>
      </c>
      <c r="P2145">
        <v>37.39</v>
      </c>
      <c r="Q2145">
        <v>3.57</v>
      </c>
      <c r="R2145">
        <v>6.01</v>
      </c>
      <c r="S2145">
        <v>7.33</v>
      </c>
      <c r="T2145" t="s">
        <v>2560</v>
      </c>
      <c r="U2145">
        <v>0.9</v>
      </c>
      <c r="V2145" t="s">
        <v>4741</v>
      </c>
      <c r="W2145" t="s">
        <v>2744</v>
      </c>
      <c r="X2145" t="s">
        <v>4428</v>
      </c>
      <c r="Y2145" t="s">
        <v>2523</v>
      </c>
      <c r="Z2145" t="s">
        <v>1090</v>
      </c>
      <c r="AA2145">
        <v>11.85</v>
      </c>
      <c r="AB2145" t="s">
        <v>9149</v>
      </c>
      <c r="AC2145" t="s">
        <v>2655</v>
      </c>
      <c r="AD2145" t="s">
        <v>3122</v>
      </c>
      <c r="AE2145" t="s">
        <v>4728</v>
      </c>
      <c r="AF2145" t="s">
        <v>2351</v>
      </c>
      <c r="AG2145" t="s">
        <v>5685</v>
      </c>
      <c r="AH2145" t="s">
        <v>1089</v>
      </c>
      <c r="AI2145" t="s">
        <v>903</v>
      </c>
      <c r="AJ2145" t="s">
        <v>6976</v>
      </c>
      <c r="AK2145" t="s">
        <v>17617</v>
      </c>
      <c r="AL2145">
        <v>1.95</v>
      </c>
      <c r="AM2145">
        <v>1.35</v>
      </c>
      <c r="AN2145">
        <v>0.42</v>
      </c>
      <c r="AO2145" t="s">
        <v>9831</v>
      </c>
      <c r="AP2145" t="s">
        <v>3710</v>
      </c>
      <c r="AQ2145" t="s">
        <v>2338</v>
      </c>
      <c r="AR2145" t="s">
        <v>4154</v>
      </c>
      <c r="AS2145" t="s">
        <v>4945</v>
      </c>
      <c r="AT2145" t="s">
        <v>5395</v>
      </c>
      <c r="AU2145" t="s">
        <v>4999</v>
      </c>
      <c r="AV2145" t="s">
        <v>5896</v>
      </c>
      <c r="AW2145" t="s">
        <v>1998</v>
      </c>
      <c r="AX2145" t="s">
        <v>11319</v>
      </c>
      <c r="AY2145" t="s">
        <v>1998</v>
      </c>
      <c r="AZ2145" t="s">
        <v>21687</v>
      </c>
      <c r="BA2145">
        <v>1.78</v>
      </c>
      <c r="BB2145">
        <v>284.94</v>
      </c>
      <c r="BC2145">
        <v>0.65</v>
      </c>
      <c r="BD2145">
        <v>516.73</v>
      </c>
      <c r="BE2145">
        <v>528.77</v>
      </c>
      <c r="BF2145">
        <v>522.66999999999996</v>
      </c>
      <c r="BG2145" t="s">
        <v>21688</v>
      </c>
      <c r="BH2145" t="s">
        <v>1998</v>
      </c>
      <c r="BI2145" t="s">
        <v>21689</v>
      </c>
      <c r="BJ2145" t="s">
        <v>101</v>
      </c>
      <c r="BK2145" t="s">
        <v>3672</v>
      </c>
      <c r="BL2145" t="s">
        <v>21690</v>
      </c>
      <c r="BM2145" t="s">
        <v>2451</v>
      </c>
      <c r="BN2145" t="s">
        <v>14623</v>
      </c>
    </row>
    <row r="2146" spans="1:66" x14ac:dyDescent="0.25">
      <c r="A2146" t="str">
        <f>HYPERLINK("https://elite.finviz.com/quote.ashx?t=WRAP&amp;ty=c&amp;p=d&amp;b=1", "WRAP")</f>
        <v>WRAP</v>
      </c>
      <c r="B2146">
        <v>6</v>
      </c>
      <c r="C2146">
        <v>127.03</v>
      </c>
      <c r="D2146">
        <v>64.45</v>
      </c>
      <c r="E2146" t="s">
        <v>21691</v>
      </c>
      <c r="F2146" t="s">
        <v>107</v>
      </c>
      <c r="G2146" t="s">
        <v>108</v>
      </c>
      <c r="H2146" t="s">
        <v>9222</v>
      </c>
      <c r="I2146" t="s">
        <v>70</v>
      </c>
      <c r="J2146" t="s">
        <v>321</v>
      </c>
      <c r="K2146">
        <v>118.41</v>
      </c>
      <c r="L2146">
        <v>2.33</v>
      </c>
      <c r="M2146" t="s">
        <v>633</v>
      </c>
      <c r="N2146">
        <v>93832</v>
      </c>
      <c r="R2146">
        <v>36.659999999999997</v>
      </c>
      <c r="S2146">
        <v>10.050000000000001</v>
      </c>
      <c r="AA2146">
        <v>-0.21</v>
      </c>
      <c r="AB2146" t="s">
        <v>12857</v>
      </c>
      <c r="AC2146" t="s">
        <v>1199</v>
      </c>
      <c r="AE2146" t="s">
        <v>16676</v>
      </c>
      <c r="AF2146" t="s">
        <v>11238</v>
      </c>
      <c r="AG2146" t="s">
        <v>5529</v>
      </c>
      <c r="AH2146" t="s">
        <v>21692</v>
      </c>
      <c r="AJ2146" t="s">
        <v>3831</v>
      </c>
      <c r="AK2146" t="s">
        <v>4718</v>
      </c>
      <c r="AL2146">
        <v>5.65</v>
      </c>
      <c r="AM2146">
        <v>2.71</v>
      </c>
      <c r="AN2146">
        <v>0.17</v>
      </c>
      <c r="AO2146" t="s">
        <v>5327</v>
      </c>
      <c r="AP2146" t="s">
        <v>21693</v>
      </c>
      <c r="AQ2146" t="s">
        <v>21694</v>
      </c>
      <c r="AR2146" t="s">
        <v>5877</v>
      </c>
      <c r="AS2146" t="s">
        <v>9300</v>
      </c>
      <c r="AT2146" t="s">
        <v>2912</v>
      </c>
      <c r="AU2146" t="s">
        <v>21264</v>
      </c>
      <c r="AV2146" t="s">
        <v>9533</v>
      </c>
      <c r="AW2146" t="s">
        <v>1905</v>
      </c>
      <c r="AX2146" t="s">
        <v>8104</v>
      </c>
      <c r="AY2146" t="s">
        <v>1905</v>
      </c>
      <c r="AZ2146" t="s">
        <v>8104</v>
      </c>
      <c r="BA2146">
        <v>3</v>
      </c>
      <c r="BB2146">
        <v>294.22000000000003</v>
      </c>
      <c r="BC2146">
        <v>1.1200000000000001</v>
      </c>
      <c r="BD2146">
        <v>2.2799999999999998</v>
      </c>
      <c r="BE2146">
        <v>2.4</v>
      </c>
      <c r="BF2146">
        <v>2.3199999999999998</v>
      </c>
      <c r="BG2146" t="s">
        <v>21695</v>
      </c>
      <c r="BH2146" t="s">
        <v>5974</v>
      </c>
      <c r="BI2146" t="s">
        <v>12833</v>
      </c>
      <c r="BJ2146" t="s">
        <v>101</v>
      </c>
      <c r="BK2146" t="s">
        <v>21696</v>
      </c>
      <c r="BL2146" t="s">
        <v>7711</v>
      </c>
      <c r="BM2146" t="s">
        <v>10856</v>
      </c>
      <c r="BN2146" t="s">
        <v>14623</v>
      </c>
    </row>
    <row r="2147" spans="1:66" x14ac:dyDescent="0.25">
      <c r="A2147" t="str">
        <f>HYPERLINK("https://elite.finviz.com/quote.ashx?t=IDA&amp;ty=c&amp;p=d&amp;b=1", "IDA")</f>
        <v>IDA</v>
      </c>
      <c r="B2147">
        <v>6</v>
      </c>
      <c r="C2147">
        <v>127.03</v>
      </c>
      <c r="D2147">
        <v>64.45</v>
      </c>
      <c r="E2147" t="s">
        <v>21697</v>
      </c>
      <c r="F2147" t="s">
        <v>107</v>
      </c>
      <c r="G2147" t="s">
        <v>287</v>
      </c>
      <c r="H2147" t="s">
        <v>676</v>
      </c>
      <c r="I2147" t="s">
        <v>70</v>
      </c>
      <c r="J2147" t="s">
        <v>71</v>
      </c>
      <c r="K2147">
        <v>6950.52</v>
      </c>
      <c r="L2147">
        <v>128.63</v>
      </c>
      <c r="M2147" t="s">
        <v>2785</v>
      </c>
      <c r="N2147">
        <v>30264</v>
      </c>
      <c r="O2147">
        <v>22.61</v>
      </c>
      <c r="P2147">
        <v>20.170000000000002</v>
      </c>
      <c r="Q2147">
        <v>2.84</v>
      </c>
      <c r="R2147">
        <v>3.82</v>
      </c>
      <c r="S2147">
        <v>2.04</v>
      </c>
      <c r="T2147" t="s">
        <v>2496</v>
      </c>
      <c r="U2147">
        <v>3.44</v>
      </c>
      <c r="V2147" t="s">
        <v>6057</v>
      </c>
      <c r="W2147" t="s">
        <v>2523</v>
      </c>
      <c r="X2147" t="s">
        <v>4393</v>
      </c>
      <c r="Y2147" t="s">
        <v>5336</v>
      </c>
      <c r="Z2147" t="s">
        <v>3459</v>
      </c>
      <c r="AA2147">
        <v>5.69</v>
      </c>
      <c r="AB2147" t="s">
        <v>4744</v>
      </c>
      <c r="AC2147" t="s">
        <v>4956</v>
      </c>
      <c r="AD2147" t="s">
        <v>2447</v>
      </c>
      <c r="AE2147" t="s">
        <v>4886</v>
      </c>
      <c r="AF2147" t="s">
        <v>2446</v>
      </c>
      <c r="AG2147" t="s">
        <v>3053</v>
      </c>
      <c r="AH2147" t="s">
        <v>2418</v>
      </c>
      <c r="AI2147" t="s">
        <v>11369</v>
      </c>
      <c r="AJ2147" t="s">
        <v>4646</v>
      </c>
      <c r="AK2147" t="s">
        <v>21698</v>
      </c>
      <c r="AL2147">
        <v>1.45</v>
      </c>
      <c r="AM2147">
        <v>1.1200000000000001</v>
      </c>
      <c r="AN2147">
        <v>1.08</v>
      </c>
      <c r="AO2147" t="s">
        <v>15109</v>
      </c>
      <c r="AP2147" t="s">
        <v>5081</v>
      </c>
      <c r="AQ2147" t="s">
        <v>2122</v>
      </c>
      <c r="AR2147" t="s">
        <v>2650</v>
      </c>
      <c r="AS2147" t="s">
        <v>2650</v>
      </c>
      <c r="AT2147" t="s">
        <v>4255</v>
      </c>
      <c r="AU2147" t="s">
        <v>5929</v>
      </c>
      <c r="AV2147" t="s">
        <v>185</v>
      </c>
      <c r="AW2147" t="s">
        <v>2059</v>
      </c>
      <c r="AX2147" t="s">
        <v>1078</v>
      </c>
      <c r="AY2147" t="s">
        <v>2059</v>
      </c>
      <c r="AZ2147" t="s">
        <v>18118</v>
      </c>
      <c r="BA2147">
        <v>1.86</v>
      </c>
      <c r="BB2147">
        <v>404.9</v>
      </c>
      <c r="BC2147">
        <v>0.26</v>
      </c>
      <c r="BD2147">
        <v>127.62</v>
      </c>
      <c r="BE2147">
        <v>129.52000000000001</v>
      </c>
      <c r="BF2147">
        <v>128.05000000000001</v>
      </c>
      <c r="BG2147" t="s">
        <v>21699</v>
      </c>
      <c r="BH2147" t="s">
        <v>2059</v>
      </c>
      <c r="BI2147" t="s">
        <v>21700</v>
      </c>
      <c r="BJ2147" t="s">
        <v>101</v>
      </c>
      <c r="BK2147" t="s">
        <v>11924</v>
      </c>
      <c r="BL2147" t="s">
        <v>9736</v>
      </c>
      <c r="BM2147" t="s">
        <v>5068</v>
      </c>
      <c r="BN2147" t="s">
        <v>14623</v>
      </c>
    </row>
    <row r="2148" spans="1:66" x14ac:dyDescent="0.25">
      <c r="A2148" t="str">
        <f>HYPERLINK("https://elite.finviz.com/quote.ashx?t=USAU&amp;ty=c&amp;p=d&amp;b=1", "USAU")</f>
        <v>USAU</v>
      </c>
      <c r="B2148">
        <v>6</v>
      </c>
      <c r="C2148">
        <v>127.03</v>
      </c>
      <c r="D2148">
        <v>64.47</v>
      </c>
      <c r="E2148" t="s">
        <v>21701</v>
      </c>
      <c r="F2148" t="s">
        <v>67</v>
      </c>
      <c r="G2148" t="s">
        <v>355</v>
      </c>
      <c r="H2148" t="s">
        <v>1103</v>
      </c>
      <c r="I2148" t="s">
        <v>70</v>
      </c>
      <c r="J2148" t="s">
        <v>321</v>
      </c>
      <c r="K2148">
        <v>231.15</v>
      </c>
      <c r="L2148">
        <v>16.11</v>
      </c>
      <c r="M2148" t="s">
        <v>2317</v>
      </c>
      <c r="N2148">
        <v>112509</v>
      </c>
      <c r="S2148">
        <v>8.52</v>
      </c>
      <c r="V2148" t="s">
        <v>21702</v>
      </c>
      <c r="AA2148">
        <v>-1.5</v>
      </c>
      <c r="AB2148" t="s">
        <v>714</v>
      </c>
      <c r="AC2148" t="s">
        <v>5838</v>
      </c>
      <c r="AI2148" t="s">
        <v>21703</v>
      </c>
      <c r="AJ2148" t="s">
        <v>1225</v>
      </c>
      <c r="AK2148" t="s">
        <v>3271</v>
      </c>
      <c r="AL2148">
        <v>12.5</v>
      </c>
      <c r="AM2148">
        <v>12.5</v>
      </c>
      <c r="AN2148">
        <v>0</v>
      </c>
      <c r="AR2148" t="s">
        <v>5045</v>
      </c>
      <c r="AS2148" t="s">
        <v>3057</v>
      </c>
      <c r="AT2148" t="s">
        <v>5227</v>
      </c>
      <c r="AU2148" t="s">
        <v>6439</v>
      </c>
      <c r="AV2148" t="s">
        <v>5644</v>
      </c>
      <c r="AW2148" t="s">
        <v>9279</v>
      </c>
      <c r="AX2148" t="s">
        <v>12365</v>
      </c>
      <c r="AY2148" t="s">
        <v>9279</v>
      </c>
      <c r="AZ2148" t="s">
        <v>21704</v>
      </c>
      <c r="BA2148">
        <v>1</v>
      </c>
      <c r="BB2148">
        <v>332.05</v>
      </c>
      <c r="BC2148">
        <v>1.19</v>
      </c>
      <c r="BD2148">
        <v>15.6</v>
      </c>
      <c r="BE2148">
        <v>16.23</v>
      </c>
      <c r="BF2148">
        <v>15.56</v>
      </c>
      <c r="BG2148" t="s">
        <v>21705</v>
      </c>
      <c r="BH2148" t="s">
        <v>446</v>
      </c>
      <c r="BI2148" t="s">
        <v>21706</v>
      </c>
      <c r="BJ2148" t="s">
        <v>101</v>
      </c>
      <c r="BK2148" t="s">
        <v>15648</v>
      </c>
      <c r="BL2148" t="s">
        <v>16214</v>
      </c>
      <c r="BM2148" t="s">
        <v>21707</v>
      </c>
      <c r="BN2148" t="s">
        <v>14623</v>
      </c>
    </row>
    <row r="2149" spans="1:66" x14ac:dyDescent="0.25">
      <c r="A2149" t="str">
        <f>HYPERLINK("https://elite.finviz.com/quote.ashx?t=MPTI&amp;ty=c&amp;p=d&amp;b=1", "MPTI")</f>
        <v>MPTI</v>
      </c>
      <c r="B2149">
        <v>6</v>
      </c>
      <c r="C2149">
        <v>127.03</v>
      </c>
      <c r="D2149">
        <v>64.53</v>
      </c>
      <c r="E2149" t="s">
        <v>21708</v>
      </c>
      <c r="F2149" t="s">
        <v>67</v>
      </c>
      <c r="G2149" t="s">
        <v>108</v>
      </c>
      <c r="H2149" t="s">
        <v>3346</v>
      </c>
      <c r="I2149" t="s">
        <v>70</v>
      </c>
      <c r="J2149" t="s">
        <v>383</v>
      </c>
      <c r="K2149">
        <v>151.31</v>
      </c>
      <c r="L2149">
        <v>51.75</v>
      </c>
      <c r="M2149" t="s">
        <v>1938</v>
      </c>
      <c r="N2149">
        <v>1803</v>
      </c>
      <c r="O2149">
        <v>19.649999999999999</v>
      </c>
      <c r="P2149">
        <v>20.25</v>
      </c>
      <c r="Q2149">
        <v>8.44</v>
      </c>
      <c r="R2149">
        <v>2.91</v>
      </c>
      <c r="S2149">
        <v>4.3499999999999996</v>
      </c>
      <c r="Z2149" t="s">
        <v>164</v>
      </c>
      <c r="AA2149">
        <v>2.63</v>
      </c>
      <c r="AB2149" t="s">
        <v>11469</v>
      </c>
      <c r="AC2149" t="s">
        <v>2039</v>
      </c>
      <c r="AD2149" t="s">
        <v>180</v>
      </c>
      <c r="AE2149" t="s">
        <v>16280</v>
      </c>
      <c r="AF2149" t="s">
        <v>15526</v>
      </c>
      <c r="AG2149" t="s">
        <v>4109</v>
      </c>
      <c r="AH2149" t="s">
        <v>4462</v>
      </c>
      <c r="AI2149" t="s">
        <v>8098</v>
      </c>
      <c r="AJ2149" t="s">
        <v>2290</v>
      </c>
      <c r="AK2149" t="s">
        <v>6778</v>
      </c>
      <c r="AL2149">
        <v>6.78</v>
      </c>
      <c r="AM2149">
        <v>4.83</v>
      </c>
      <c r="AN2149">
        <v>0.01</v>
      </c>
      <c r="AO2149" t="s">
        <v>734</v>
      </c>
      <c r="AP2149" t="s">
        <v>10809</v>
      </c>
      <c r="AQ2149" t="s">
        <v>5775</v>
      </c>
      <c r="AR2149" t="s">
        <v>4403</v>
      </c>
      <c r="AS2149" t="s">
        <v>1100</v>
      </c>
      <c r="AT2149" t="s">
        <v>4966</v>
      </c>
      <c r="AU2149" t="s">
        <v>6087</v>
      </c>
      <c r="AV2149" t="s">
        <v>2653</v>
      </c>
      <c r="AW2149" t="s">
        <v>7383</v>
      </c>
      <c r="AX2149" t="s">
        <v>14663</v>
      </c>
      <c r="AY2149" t="s">
        <v>21709</v>
      </c>
      <c r="AZ2149" t="s">
        <v>1882</v>
      </c>
      <c r="BA2149">
        <v>1</v>
      </c>
      <c r="BB2149">
        <v>48.84</v>
      </c>
      <c r="BC2149">
        <v>0.13</v>
      </c>
      <c r="BD2149">
        <v>52.03</v>
      </c>
      <c r="BE2149">
        <v>51.86</v>
      </c>
      <c r="BF2149">
        <v>51.68</v>
      </c>
      <c r="BG2149" t="s">
        <v>21710</v>
      </c>
      <c r="BH2149" t="s">
        <v>21709</v>
      </c>
      <c r="BI2149" t="s">
        <v>21711</v>
      </c>
      <c r="BJ2149" t="s">
        <v>101</v>
      </c>
      <c r="BK2149" t="s">
        <v>6169</v>
      </c>
      <c r="BL2149" t="s">
        <v>19198</v>
      </c>
      <c r="BM2149" t="s">
        <v>2894</v>
      </c>
      <c r="BN2149" t="s">
        <v>14623</v>
      </c>
    </row>
    <row r="2150" spans="1:66" x14ac:dyDescent="0.25">
      <c r="A2150" t="str">
        <f>HYPERLINK("https://elite.finviz.com/quote.ashx?t=ITIC&amp;ty=c&amp;p=d&amp;b=1", "ITIC")</f>
        <v>ITIC</v>
      </c>
      <c r="B2150">
        <v>6</v>
      </c>
      <c r="C2150">
        <v>127.03</v>
      </c>
      <c r="D2150">
        <v>64.599999999999994</v>
      </c>
      <c r="E2150" t="s">
        <v>21712</v>
      </c>
      <c r="F2150" t="s">
        <v>67</v>
      </c>
      <c r="G2150" t="s">
        <v>550</v>
      </c>
      <c r="H2150" t="s">
        <v>4675</v>
      </c>
      <c r="I2150" t="s">
        <v>70</v>
      </c>
      <c r="J2150" t="s">
        <v>321</v>
      </c>
      <c r="K2150">
        <v>494.14</v>
      </c>
      <c r="L2150">
        <v>261.79000000000002</v>
      </c>
      <c r="M2150" t="s">
        <v>5058</v>
      </c>
      <c r="N2150">
        <v>2707</v>
      </c>
      <c r="O2150">
        <v>14.97</v>
      </c>
      <c r="R2150">
        <v>1.83</v>
      </c>
      <c r="S2150">
        <v>1.86</v>
      </c>
      <c r="T2150" t="s">
        <v>3047</v>
      </c>
      <c r="U2150">
        <v>1.84</v>
      </c>
      <c r="V2150" t="s">
        <v>2187</v>
      </c>
      <c r="W2150" t="s">
        <v>164</v>
      </c>
      <c r="X2150" t="s">
        <v>2642</v>
      </c>
      <c r="Y2150" t="s">
        <v>7437</v>
      </c>
      <c r="Z2150" t="s">
        <v>6293</v>
      </c>
      <c r="AA2150">
        <v>17.489999999999998</v>
      </c>
      <c r="AB2150" t="s">
        <v>10844</v>
      </c>
      <c r="AC2150" t="s">
        <v>2213</v>
      </c>
      <c r="AE2150" t="s">
        <v>1224</v>
      </c>
      <c r="AF2150" t="s">
        <v>7449</v>
      </c>
      <c r="AG2150" t="s">
        <v>8054</v>
      </c>
      <c r="AH2150" t="s">
        <v>1609</v>
      </c>
      <c r="AJ2150" t="s">
        <v>164</v>
      </c>
      <c r="AK2150" t="s">
        <v>10314</v>
      </c>
      <c r="AL2150">
        <v>3.99</v>
      </c>
      <c r="AN2150">
        <v>0.03</v>
      </c>
      <c r="AP2150" t="s">
        <v>15391</v>
      </c>
      <c r="AQ2150" t="s">
        <v>7221</v>
      </c>
      <c r="AR2150" t="s">
        <v>2145</v>
      </c>
      <c r="AS2150" t="s">
        <v>2424</v>
      </c>
      <c r="AT2150" t="s">
        <v>6121</v>
      </c>
      <c r="AU2150" t="s">
        <v>4996</v>
      </c>
      <c r="AV2150" t="s">
        <v>2685</v>
      </c>
      <c r="AW2150" t="s">
        <v>439</v>
      </c>
      <c r="AX2150" t="s">
        <v>2242</v>
      </c>
      <c r="AY2150" t="s">
        <v>8933</v>
      </c>
      <c r="AZ2150" t="s">
        <v>21713</v>
      </c>
      <c r="BB2150">
        <v>42.42</v>
      </c>
      <c r="BC2150">
        <v>0.22</v>
      </c>
      <c r="BD2150">
        <v>258.19</v>
      </c>
      <c r="BE2150">
        <v>260.61</v>
      </c>
      <c r="BF2150">
        <v>259.29000000000002</v>
      </c>
      <c r="BG2150" t="s">
        <v>21714</v>
      </c>
      <c r="BH2150" t="s">
        <v>8933</v>
      </c>
      <c r="BI2150" t="s">
        <v>21715</v>
      </c>
      <c r="BJ2150" t="s">
        <v>101</v>
      </c>
      <c r="BK2150" t="s">
        <v>5556</v>
      </c>
      <c r="BL2150" t="s">
        <v>327</v>
      </c>
      <c r="BM2150" t="s">
        <v>16008</v>
      </c>
      <c r="BN2150" t="s">
        <v>14623</v>
      </c>
    </row>
    <row r="2151" spans="1:66" x14ac:dyDescent="0.25">
      <c r="A2151" t="str">
        <f>HYPERLINK("https://elite.finviz.com/quote.ashx?t=KALA&amp;ty=c&amp;p=d&amp;b=1", "KALA")</f>
        <v>KALA</v>
      </c>
      <c r="B2151">
        <v>6</v>
      </c>
      <c r="C2151">
        <v>127.03</v>
      </c>
      <c r="D2151">
        <v>64.62</v>
      </c>
      <c r="E2151" t="s">
        <v>21716</v>
      </c>
      <c r="F2151" t="s">
        <v>107</v>
      </c>
      <c r="G2151" t="s">
        <v>428</v>
      </c>
      <c r="H2151" t="s">
        <v>429</v>
      </c>
      <c r="I2151" t="s">
        <v>70</v>
      </c>
      <c r="J2151" t="s">
        <v>321</v>
      </c>
      <c r="K2151">
        <v>131.82</v>
      </c>
      <c r="L2151">
        <v>18.77</v>
      </c>
      <c r="M2151" t="s">
        <v>1769</v>
      </c>
      <c r="N2151">
        <v>76668</v>
      </c>
      <c r="AA2151">
        <v>-6.8</v>
      </c>
      <c r="AB2151" t="s">
        <v>12881</v>
      </c>
      <c r="AC2151" t="s">
        <v>15189</v>
      </c>
      <c r="AD2151" t="s">
        <v>86</v>
      </c>
      <c r="AE2151" t="s">
        <v>579</v>
      </c>
      <c r="AI2151" t="s">
        <v>3388</v>
      </c>
      <c r="AJ2151" t="s">
        <v>79</v>
      </c>
      <c r="AK2151" t="s">
        <v>16579</v>
      </c>
      <c r="AL2151">
        <v>2.1</v>
      </c>
      <c r="AM2151">
        <v>2.1</v>
      </c>
      <c r="AR2151" t="s">
        <v>5680</v>
      </c>
      <c r="AS2151" t="s">
        <v>3430</v>
      </c>
      <c r="AT2151" t="s">
        <v>9164</v>
      </c>
      <c r="AU2151" t="s">
        <v>14781</v>
      </c>
      <c r="AV2151" t="s">
        <v>14540</v>
      </c>
      <c r="AW2151" t="s">
        <v>4692</v>
      </c>
      <c r="AX2151" t="s">
        <v>21717</v>
      </c>
      <c r="AY2151" t="s">
        <v>4692</v>
      </c>
      <c r="AZ2151" t="s">
        <v>21718</v>
      </c>
      <c r="BA2151">
        <v>1</v>
      </c>
      <c r="BB2151">
        <v>213.67</v>
      </c>
      <c r="BC2151">
        <v>1.26</v>
      </c>
      <c r="BD2151">
        <v>18.22</v>
      </c>
      <c r="BE2151">
        <v>19.48</v>
      </c>
      <c r="BF2151">
        <v>18.34</v>
      </c>
      <c r="BG2151" t="s">
        <v>21719</v>
      </c>
      <c r="BH2151" t="s">
        <v>21720</v>
      </c>
      <c r="BI2151" t="s">
        <v>21718</v>
      </c>
      <c r="BJ2151" t="s">
        <v>101</v>
      </c>
      <c r="BK2151" t="s">
        <v>21721</v>
      </c>
      <c r="BL2151" t="s">
        <v>21549</v>
      </c>
      <c r="BM2151" t="s">
        <v>21722</v>
      </c>
      <c r="BN2151" t="s">
        <v>14623</v>
      </c>
    </row>
    <row r="2152" spans="1:66" x14ac:dyDescent="0.25">
      <c r="A2152" t="str">
        <f>HYPERLINK("https://elite.finviz.com/quote.ashx?t=STRR&amp;ty=c&amp;p=d&amp;b=1", "STRR")</f>
        <v>STRR</v>
      </c>
      <c r="B2152">
        <v>6</v>
      </c>
      <c r="C2152">
        <v>127.03</v>
      </c>
      <c r="D2152">
        <v>64.64</v>
      </c>
      <c r="E2152" t="s">
        <v>21723</v>
      </c>
      <c r="F2152" t="s">
        <v>107</v>
      </c>
      <c r="G2152" t="s">
        <v>260</v>
      </c>
      <c r="H2152" t="s">
        <v>2508</v>
      </c>
      <c r="I2152" t="s">
        <v>70</v>
      </c>
      <c r="J2152" t="s">
        <v>321</v>
      </c>
      <c r="K2152">
        <v>40.11</v>
      </c>
      <c r="L2152">
        <v>11.46</v>
      </c>
      <c r="M2152" t="s">
        <v>2263</v>
      </c>
      <c r="N2152">
        <v>5038</v>
      </c>
      <c r="P2152">
        <v>7.12</v>
      </c>
      <c r="R2152">
        <v>0.28999999999999998</v>
      </c>
      <c r="S2152">
        <v>0.79</v>
      </c>
      <c r="V2152" t="s">
        <v>21724</v>
      </c>
      <c r="AA2152">
        <v>-1.3</v>
      </c>
      <c r="AC2152" t="s">
        <v>10911</v>
      </c>
      <c r="AE2152" t="s">
        <v>4927</v>
      </c>
      <c r="AF2152" t="s">
        <v>5748</v>
      </c>
      <c r="AG2152" t="s">
        <v>2783</v>
      </c>
      <c r="AH2152" t="s">
        <v>4886</v>
      </c>
      <c r="AI2152" t="s">
        <v>4543</v>
      </c>
      <c r="AJ2152" t="s">
        <v>4294</v>
      </c>
      <c r="AK2152" t="s">
        <v>8570</v>
      </c>
      <c r="AL2152">
        <v>3.04</v>
      </c>
      <c r="AM2152">
        <v>3.04</v>
      </c>
      <c r="AN2152">
        <v>0.02</v>
      </c>
      <c r="AO2152" t="s">
        <v>4263</v>
      </c>
      <c r="AP2152" t="s">
        <v>6533</v>
      </c>
      <c r="AQ2152" t="s">
        <v>5686</v>
      </c>
      <c r="AR2152" t="s">
        <v>2700</v>
      </c>
      <c r="AS2152" t="s">
        <v>191</v>
      </c>
      <c r="AT2152" t="s">
        <v>3920</v>
      </c>
      <c r="AU2152" t="s">
        <v>3667</v>
      </c>
      <c r="AV2152" t="s">
        <v>7511</v>
      </c>
      <c r="AW2152" t="s">
        <v>2827</v>
      </c>
      <c r="AX2152" t="s">
        <v>21333</v>
      </c>
      <c r="AY2152" t="s">
        <v>21725</v>
      </c>
      <c r="AZ2152" t="s">
        <v>21726</v>
      </c>
      <c r="BA2152">
        <v>1</v>
      </c>
      <c r="BB2152">
        <v>24.28</v>
      </c>
      <c r="BC2152">
        <v>0.74</v>
      </c>
      <c r="BD2152">
        <v>11.5</v>
      </c>
      <c r="BE2152">
        <v>11.58</v>
      </c>
      <c r="BF2152">
        <v>11.35</v>
      </c>
      <c r="BG2152" t="s">
        <v>21727</v>
      </c>
      <c r="BH2152" t="s">
        <v>21728</v>
      </c>
      <c r="BI2152" t="s">
        <v>20277</v>
      </c>
      <c r="BJ2152" t="s">
        <v>101</v>
      </c>
      <c r="BK2152" t="s">
        <v>4644</v>
      </c>
      <c r="BL2152" t="s">
        <v>483</v>
      </c>
      <c r="BM2152" t="s">
        <v>21729</v>
      </c>
      <c r="BN2152" t="s">
        <v>14623</v>
      </c>
    </row>
    <row r="2153" spans="1:66" x14ac:dyDescent="0.25">
      <c r="A2153" t="str">
        <f>HYPERLINK("https://elite.finviz.com/quote.ashx?t=ERII&amp;ty=c&amp;p=d&amp;b=1", "ERII")</f>
        <v>ERII</v>
      </c>
      <c r="B2153">
        <v>6</v>
      </c>
      <c r="C2153">
        <v>127.03</v>
      </c>
      <c r="D2153">
        <v>64.66</v>
      </c>
      <c r="E2153" t="s">
        <v>21730</v>
      </c>
      <c r="F2153" t="s">
        <v>67</v>
      </c>
      <c r="G2153" t="s">
        <v>260</v>
      </c>
      <c r="H2153" t="s">
        <v>4347</v>
      </c>
      <c r="I2153" t="s">
        <v>70</v>
      </c>
      <c r="J2153" t="s">
        <v>321</v>
      </c>
      <c r="K2153">
        <v>819.25</v>
      </c>
      <c r="L2153">
        <v>15.4</v>
      </c>
      <c r="M2153" t="s">
        <v>3447</v>
      </c>
      <c r="N2153">
        <v>65968</v>
      </c>
      <c r="O2153">
        <v>37.26</v>
      </c>
      <c r="P2153">
        <v>21.02</v>
      </c>
      <c r="Q2153">
        <v>1.22</v>
      </c>
      <c r="R2153">
        <v>5.78</v>
      </c>
      <c r="S2153">
        <v>4.46</v>
      </c>
      <c r="Z2153" t="s">
        <v>164</v>
      </c>
      <c r="AA2153">
        <v>0.41</v>
      </c>
      <c r="AB2153" t="s">
        <v>4944</v>
      </c>
      <c r="AC2153" t="s">
        <v>11482</v>
      </c>
      <c r="AD2153" t="s">
        <v>21731</v>
      </c>
      <c r="AE2153" t="s">
        <v>464</v>
      </c>
      <c r="AF2153" t="s">
        <v>11337</v>
      </c>
      <c r="AG2153" t="s">
        <v>10073</v>
      </c>
      <c r="AH2153" t="s">
        <v>7088</v>
      </c>
      <c r="AI2153" t="s">
        <v>21732</v>
      </c>
      <c r="AJ2153" t="s">
        <v>3423</v>
      </c>
      <c r="AK2153" t="s">
        <v>21733</v>
      </c>
      <c r="AL2153">
        <v>8.08</v>
      </c>
      <c r="AM2153">
        <v>6.34</v>
      </c>
      <c r="AN2153">
        <v>0.06</v>
      </c>
      <c r="AO2153" t="s">
        <v>21734</v>
      </c>
      <c r="AP2153" t="s">
        <v>7406</v>
      </c>
      <c r="AQ2153" t="s">
        <v>5046</v>
      </c>
      <c r="AR2153" t="s">
        <v>5929</v>
      </c>
      <c r="AS2153" t="s">
        <v>451</v>
      </c>
      <c r="AT2153" t="s">
        <v>275</v>
      </c>
      <c r="AU2153" t="s">
        <v>1114</v>
      </c>
      <c r="AV2153" t="s">
        <v>5114</v>
      </c>
      <c r="AW2153" t="s">
        <v>182</v>
      </c>
      <c r="AX2153" t="s">
        <v>4598</v>
      </c>
      <c r="AY2153" t="s">
        <v>3021</v>
      </c>
      <c r="AZ2153" t="s">
        <v>15521</v>
      </c>
      <c r="BA2153">
        <v>1.5</v>
      </c>
      <c r="BB2153">
        <v>434.7</v>
      </c>
      <c r="BC2153">
        <v>0.53</v>
      </c>
      <c r="BD2153">
        <v>15.24</v>
      </c>
      <c r="BE2153">
        <v>15.45</v>
      </c>
      <c r="BF2153">
        <v>15.28</v>
      </c>
      <c r="BG2153" t="s">
        <v>21735</v>
      </c>
      <c r="BH2153" t="s">
        <v>8726</v>
      </c>
      <c r="BI2153" t="s">
        <v>21736</v>
      </c>
      <c r="BJ2153" t="s">
        <v>101</v>
      </c>
      <c r="BK2153" t="s">
        <v>7303</v>
      </c>
      <c r="BL2153" t="s">
        <v>681</v>
      </c>
      <c r="BM2153" t="s">
        <v>21737</v>
      </c>
      <c r="BN2153" t="s">
        <v>14623</v>
      </c>
    </row>
    <row r="2154" spans="1:66" x14ac:dyDescent="0.25">
      <c r="A2154" t="str">
        <f>HYPERLINK("https://elite.finviz.com/quote.ashx?t=PRVA&amp;ty=c&amp;p=d&amp;b=1", "PRVA")</f>
        <v>PRVA</v>
      </c>
      <c r="B2154">
        <v>6</v>
      </c>
      <c r="C2154">
        <v>127.03</v>
      </c>
      <c r="D2154">
        <v>64.69</v>
      </c>
      <c r="E2154" t="s">
        <v>21738</v>
      </c>
      <c r="F2154" t="s">
        <v>67</v>
      </c>
      <c r="G2154" t="s">
        <v>428</v>
      </c>
      <c r="H2154" t="s">
        <v>2075</v>
      </c>
      <c r="I2154" t="s">
        <v>70</v>
      </c>
      <c r="J2154" t="s">
        <v>321</v>
      </c>
      <c r="K2154">
        <v>2902.56</v>
      </c>
      <c r="L2154">
        <v>23.65</v>
      </c>
      <c r="M2154" t="s">
        <v>2650</v>
      </c>
      <c r="N2154">
        <v>125668</v>
      </c>
      <c r="O2154">
        <v>202.31</v>
      </c>
      <c r="P2154">
        <v>73.25</v>
      </c>
      <c r="Q2154">
        <v>3.43</v>
      </c>
      <c r="R2154">
        <v>1.53</v>
      </c>
      <c r="S2154">
        <v>4.25</v>
      </c>
      <c r="Z2154" t="s">
        <v>164</v>
      </c>
      <c r="AA2154">
        <v>0.12</v>
      </c>
      <c r="AC2154" t="s">
        <v>10425</v>
      </c>
      <c r="AD2154" t="s">
        <v>21739</v>
      </c>
      <c r="AE2154" t="s">
        <v>953</v>
      </c>
      <c r="AF2154" t="s">
        <v>6451</v>
      </c>
      <c r="AG2154" t="s">
        <v>3272</v>
      </c>
      <c r="AH2154" t="s">
        <v>9562</v>
      </c>
      <c r="AI2154" t="s">
        <v>18626</v>
      </c>
      <c r="AJ2154" t="s">
        <v>8979</v>
      </c>
      <c r="AK2154" t="s">
        <v>17609</v>
      </c>
      <c r="AL2154">
        <v>1.65</v>
      </c>
      <c r="AM2154">
        <v>1.65</v>
      </c>
      <c r="AN2154">
        <v>0.01</v>
      </c>
      <c r="AO2154" t="s">
        <v>5618</v>
      </c>
      <c r="AP2154" t="s">
        <v>2144</v>
      </c>
      <c r="AQ2154" t="s">
        <v>3169</v>
      </c>
      <c r="AR2154" t="s">
        <v>7154</v>
      </c>
      <c r="AS2154" t="s">
        <v>3635</v>
      </c>
      <c r="AT2154" t="s">
        <v>5425</v>
      </c>
      <c r="AU2154" t="s">
        <v>2794</v>
      </c>
      <c r="AV2154" t="s">
        <v>3435</v>
      </c>
      <c r="AW2154" t="s">
        <v>2276</v>
      </c>
      <c r="AX2154" t="s">
        <v>8253</v>
      </c>
      <c r="AY2154" t="s">
        <v>19376</v>
      </c>
      <c r="AZ2154" t="s">
        <v>21740</v>
      </c>
      <c r="BA2154">
        <v>1.24</v>
      </c>
      <c r="BB2154">
        <v>952.98</v>
      </c>
      <c r="BC2154">
        <v>0.46</v>
      </c>
      <c r="BD2154">
        <v>23.36</v>
      </c>
      <c r="BE2154">
        <v>23.8</v>
      </c>
      <c r="BF2154">
        <v>23.33</v>
      </c>
      <c r="BG2154" t="s">
        <v>21741</v>
      </c>
      <c r="BH2154" t="s">
        <v>21742</v>
      </c>
      <c r="BI2154" t="s">
        <v>15585</v>
      </c>
      <c r="BJ2154" t="s">
        <v>101</v>
      </c>
      <c r="BK2154" t="s">
        <v>2967</v>
      </c>
      <c r="BL2154" t="s">
        <v>4204</v>
      </c>
      <c r="BM2154" t="s">
        <v>1910</v>
      </c>
      <c r="BN2154" t="s">
        <v>14623</v>
      </c>
    </row>
    <row r="2155" spans="1:66" x14ac:dyDescent="0.25">
      <c r="A2155" t="str">
        <f>HYPERLINK("https://elite.finviz.com/quote.ashx?t=LFWD&amp;ty=c&amp;p=d&amp;b=1", "LFWD")</f>
        <v>LFWD</v>
      </c>
      <c r="B2155">
        <v>6</v>
      </c>
      <c r="C2155">
        <v>127.03</v>
      </c>
      <c r="D2155">
        <v>64.73</v>
      </c>
      <c r="E2155" t="s">
        <v>21743</v>
      </c>
      <c r="F2155" t="s">
        <v>107</v>
      </c>
      <c r="G2155" t="s">
        <v>428</v>
      </c>
      <c r="H2155" t="s">
        <v>2051</v>
      </c>
      <c r="I2155" t="s">
        <v>70</v>
      </c>
      <c r="J2155" t="s">
        <v>321</v>
      </c>
      <c r="K2155">
        <v>11.85</v>
      </c>
      <c r="L2155">
        <v>0.75</v>
      </c>
      <c r="M2155" t="s">
        <v>608</v>
      </c>
      <c r="N2155">
        <v>99510</v>
      </c>
      <c r="R2155">
        <v>0.49</v>
      </c>
      <c r="S2155">
        <v>0.78</v>
      </c>
      <c r="AA2155">
        <v>-3.13</v>
      </c>
      <c r="AB2155" t="s">
        <v>5406</v>
      </c>
      <c r="AC2155" t="s">
        <v>7374</v>
      </c>
      <c r="AE2155" t="s">
        <v>4678</v>
      </c>
      <c r="AF2155" t="s">
        <v>9354</v>
      </c>
      <c r="AG2155" t="s">
        <v>21744</v>
      </c>
      <c r="AH2155" t="s">
        <v>6337</v>
      </c>
      <c r="AI2155" t="s">
        <v>7972</v>
      </c>
      <c r="AJ2155" t="s">
        <v>1564</v>
      </c>
      <c r="AK2155" t="s">
        <v>1438</v>
      </c>
      <c r="AL2155">
        <v>2</v>
      </c>
      <c r="AM2155">
        <v>1.26</v>
      </c>
      <c r="AN2155">
        <v>0.03</v>
      </c>
      <c r="AO2155" t="s">
        <v>21745</v>
      </c>
      <c r="AP2155" t="s">
        <v>21746</v>
      </c>
      <c r="AQ2155" t="s">
        <v>21747</v>
      </c>
      <c r="AR2155" t="s">
        <v>5743</v>
      </c>
      <c r="AS2155" t="s">
        <v>1771</v>
      </c>
      <c r="AT2155" t="s">
        <v>1887</v>
      </c>
      <c r="AU2155" t="s">
        <v>4108</v>
      </c>
      <c r="AV2155" t="s">
        <v>8140</v>
      </c>
      <c r="AW2155" t="s">
        <v>8252</v>
      </c>
      <c r="AX2155" t="s">
        <v>8612</v>
      </c>
      <c r="AY2155" t="s">
        <v>21748</v>
      </c>
      <c r="AZ2155" t="s">
        <v>12441</v>
      </c>
      <c r="BA2155">
        <v>1</v>
      </c>
      <c r="BB2155">
        <v>508.75</v>
      </c>
      <c r="BC2155">
        <v>0.7</v>
      </c>
      <c r="BD2155">
        <v>0.78</v>
      </c>
      <c r="BE2155">
        <v>0.78</v>
      </c>
      <c r="BF2155">
        <v>0.75</v>
      </c>
      <c r="BG2155" t="s">
        <v>21749</v>
      </c>
      <c r="BH2155" t="s">
        <v>3320</v>
      </c>
      <c r="BI2155" t="s">
        <v>12441</v>
      </c>
      <c r="BJ2155" t="s">
        <v>101</v>
      </c>
      <c r="BK2155" t="s">
        <v>11871</v>
      </c>
      <c r="BL2155" t="s">
        <v>21750</v>
      </c>
      <c r="BM2155" t="s">
        <v>21751</v>
      </c>
      <c r="BN2155" t="s">
        <v>14623</v>
      </c>
    </row>
    <row r="2156" spans="1:66" x14ac:dyDescent="0.25">
      <c r="A2156" t="str">
        <f>HYPERLINK("https://elite.finviz.com/quote.ashx?t=EGAN&amp;ty=c&amp;p=d&amp;b=1", "EGAN")</f>
        <v>EGAN</v>
      </c>
      <c r="B2156">
        <v>6</v>
      </c>
      <c r="C2156">
        <v>127.03</v>
      </c>
      <c r="D2156">
        <v>64.760000000000005</v>
      </c>
      <c r="E2156" t="s">
        <v>21752</v>
      </c>
      <c r="F2156" t="s">
        <v>67</v>
      </c>
      <c r="G2156" t="s">
        <v>108</v>
      </c>
      <c r="H2156" t="s">
        <v>136</v>
      </c>
      <c r="I2156" t="s">
        <v>70</v>
      </c>
      <c r="J2156" t="s">
        <v>321</v>
      </c>
      <c r="K2156">
        <v>234.31</v>
      </c>
      <c r="L2156">
        <v>8.7200000000000006</v>
      </c>
      <c r="M2156" t="s">
        <v>2554</v>
      </c>
      <c r="N2156">
        <v>29665</v>
      </c>
      <c r="O2156">
        <v>7.52</v>
      </c>
      <c r="R2156">
        <v>2.65</v>
      </c>
      <c r="S2156">
        <v>2.93</v>
      </c>
      <c r="Z2156" t="s">
        <v>164</v>
      </c>
      <c r="AA2156">
        <v>1.1599999999999999</v>
      </c>
      <c r="AC2156" t="s">
        <v>5550</v>
      </c>
      <c r="AE2156" t="s">
        <v>3625</v>
      </c>
      <c r="AF2156" t="s">
        <v>1783</v>
      </c>
      <c r="AG2156" t="s">
        <v>4142</v>
      </c>
      <c r="AH2156" t="s">
        <v>5736</v>
      </c>
      <c r="AI2156" t="s">
        <v>8753</v>
      </c>
      <c r="AJ2156" t="s">
        <v>164</v>
      </c>
      <c r="AK2156" t="s">
        <v>17986</v>
      </c>
      <c r="AL2156">
        <v>1.6</v>
      </c>
      <c r="AM2156">
        <v>1.6</v>
      </c>
      <c r="AN2156">
        <v>0.05</v>
      </c>
      <c r="AO2156" t="s">
        <v>7583</v>
      </c>
      <c r="AP2156" t="s">
        <v>2732</v>
      </c>
      <c r="AQ2156" t="s">
        <v>7053</v>
      </c>
      <c r="AR2156" t="s">
        <v>1104</v>
      </c>
      <c r="AS2156" t="s">
        <v>3372</v>
      </c>
      <c r="AT2156" t="s">
        <v>5658</v>
      </c>
      <c r="AU2156" t="s">
        <v>4311</v>
      </c>
      <c r="AV2156" t="s">
        <v>21753</v>
      </c>
      <c r="AW2156" t="s">
        <v>15437</v>
      </c>
      <c r="AX2156" t="s">
        <v>3562</v>
      </c>
      <c r="AY2156" t="s">
        <v>15437</v>
      </c>
      <c r="AZ2156" t="s">
        <v>6110</v>
      </c>
      <c r="BA2156">
        <v>2</v>
      </c>
      <c r="BB2156">
        <v>71.13</v>
      </c>
      <c r="BC2156">
        <v>1.47</v>
      </c>
      <c r="BD2156">
        <v>8.6</v>
      </c>
      <c r="BE2156">
        <v>8.76</v>
      </c>
      <c r="BF2156">
        <v>8.56</v>
      </c>
      <c r="BG2156" t="s">
        <v>21754</v>
      </c>
      <c r="BH2156" t="s">
        <v>21755</v>
      </c>
      <c r="BI2156" t="s">
        <v>21756</v>
      </c>
      <c r="BJ2156" t="s">
        <v>101</v>
      </c>
      <c r="BK2156" t="s">
        <v>5448</v>
      </c>
      <c r="BL2156" t="s">
        <v>7241</v>
      </c>
      <c r="BM2156" t="s">
        <v>19453</v>
      </c>
      <c r="BN2156" t="s">
        <v>14623</v>
      </c>
    </row>
    <row r="2157" spans="1:66" x14ac:dyDescent="0.25">
      <c r="A2157" t="str">
        <f>HYPERLINK("https://elite.finviz.com/quote.ashx?t=BOOM&amp;ty=c&amp;p=d&amp;b=1", "BOOM")</f>
        <v>BOOM</v>
      </c>
      <c r="B2157">
        <v>6</v>
      </c>
      <c r="C2157">
        <v>127.03</v>
      </c>
      <c r="D2157">
        <v>64.78</v>
      </c>
      <c r="E2157" t="s">
        <v>21757</v>
      </c>
      <c r="F2157" t="s">
        <v>67</v>
      </c>
      <c r="G2157" t="s">
        <v>260</v>
      </c>
      <c r="H2157" t="s">
        <v>2508</v>
      </c>
      <c r="I2157" t="s">
        <v>70</v>
      </c>
      <c r="J2157" t="s">
        <v>321</v>
      </c>
      <c r="K2157">
        <v>168.76</v>
      </c>
      <c r="L2157">
        <v>8.1999999999999993</v>
      </c>
      <c r="M2157" t="s">
        <v>2275</v>
      </c>
      <c r="N2157">
        <v>20920</v>
      </c>
      <c r="P2157">
        <v>18.850000000000001</v>
      </c>
      <c r="R2157">
        <v>0.27</v>
      </c>
      <c r="S2157">
        <v>0.66</v>
      </c>
      <c r="V2157" t="s">
        <v>20376</v>
      </c>
      <c r="AA2157">
        <v>-8.64</v>
      </c>
      <c r="AB2157" t="s">
        <v>21758</v>
      </c>
      <c r="AE2157" t="s">
        <v>12070</v>
      </c>
      <c r="AF2157" t="s">
        <v>21759</v>
      </c>
      <c r="AG2157" t="s">
        <v>2085</v>
      </c>
      <c r="AH2157" t="s">
        <v>1027</v>
      </c>
      <c r="AI2157" t="s">
        <v>21760</v>
      </c>
      <c r="AJ2157" t="s">
        <v>1279</v>
      </c>
      <c r="AK2157" t="s">
        <v>4391</v>
      </c>
      <c r="AL2157">
        <v>2.76</v>
      </c>
      <c r="AM2157">
        <v>1.34</v>
      </c>
      <c r="AN2157">
        <v>0.4</v>
      </c>
      <c r="AO2157" t="s">
        <v>8694</v>
      </c>
      <c r="AP2157" t="s">
        <v>3118</v>
      </c>
      <c r="AQ2157" t="s">
        <v>21761</v>
      </c>
      <c r="AR2157" t="s">
        <v>1215</v>
      </c>
      <c r="AS2157" t="s">
        <v>4403</v>
      </c>
      <c r="AT2157" t="s">
        <v>12058</v>
      </c>
      <c r="AU2157" t="s">
        <v>1116</v>
      </c>
      <c r="AV2157" t="s">
        <v>10542</v>
      </c>
      <c r="AW2157" t="s">
        <v>10559</v>
      </c>
      <c r="AX2157" t="s">
        <v>1726</v>
      </c>
      <c r="AY2157" t="s">
        <v>21762</v>
      </c>
      <c r="AZ2157" t="s">
        <v>1726</v>
      </c>
      <c r="BA2157">
        <v>2.33</v>
      </c>
      <c r="BB2157">
        <v>210.59</v>
      </c>
      <c r="BC2157">
        <v>0.35</v>
      </c>
      <c r="BD2157">
        <v>8.19</v>
      </c>
      <c r="BE2157">
        <v>8.3800000000000008</v>
      </c>
      <c r="BF2157">
        <v>8.16</v>
      </c>
      <c r="BG2157" t="s">
        <v>21763</v>
      </c>
      <c r="BH2157" t="s">
        <v>19958</v>
      </c>
      <c r="BI2157" t="s">
        <v>21764</v>
      </c>
      <c r="BJ2157" t="s">
        <v>101</v>
      </c>
      <c r="BK2157" t="s">
        <v>1657</v>
      </c>
      <c r="BL2157" t="s">
        <v>5509</v>
      </c>
      <c r="BM2157" t="s">
        <v>17220</v>
      </c>
      <c r="BN2157" t="s">
        <v>14623</v>
      </c>
    </row>
    <row r="2158" spans="1:66" x14ac:dyDescent="0.25">
      <c r="A2158" t="str">
        <f>HYPERLINK("https://elite.finviz.com/quote.ashx?t=CPBI&amp;ty=c&amp;p=d&amp;b=1", "CPBI")</f>
        <v>CPBI</v>
      </c>
      <c r="B2158">
        <v>6</v>
      </c>
      <c r="C2158">
        <v>127.03</v>
      </c>
      <c r="D2158">
        <v>64.790000000000006</v>
      </c>
      <c r="E2158" t="s">
        <v>21765</v>
      </c>
      <c r="F2158" t="s">
        <v>107</v>
      </c>
      <c r="G2158" t="s">
        <v>550</v>
      </c>
      <c r="H2158" t="s">
        <v>697</v>
      </c>
      <c r="I2158" t="s">
        <v>70</v>
      </c>
      <c r="J2158" t="s">
        <v>321</v>
      </c>
      <c r="K2158">
        <v>68.58</v>
      </c>
      <c r="L2158">
        <v>16.25</v>
      </c>
      <c r="M2158" t="s">
        <v>698</v>
      </c>
      <c r="N2158">
        <v>16</v>
      </c>
      <c r="O2158">
        <v>16.7</v>
      </c>
      <c r="R2158">
        <v>2.4500000000000002</v>
      </c>
      <c r="S2158">
        <v>0.75</v>
      </c>
      <c r="Z2158" t="s">
        <v>164</v>
      </c>
      <c r="AA2158">
        <v>0.97</v>
      </c>
      <c r="AB2158" t="s">
        <v>323</v>
      </c>
      <c r="AE2158" t="s">
        <v>2946</v>
      </c>
      <c r="AF2158" t="s">
        <v>948</v>
      </c>
      <c r="AH2158" t="s">
        <v>5551</v>
      </c>
      <c r="AJ2158" t="s">
        <v>164</v>
      </c>
      <c r="AK2158" t="s">
        <v>11857</v>
      </c>
      <c r="AL2158">
        <v>0.05</v>
      </c>
      <c r="AN2158">
        <v>0.1</v>
      </c>
      <c r="AP2158" t="s">
        <v>10485</v>
      </c>
      <c r="AQ2158" t="s">
        <v>3924</v>
      </c>
      <c r="AR2158" t="s">
        <v>1409</v>
      </c>
      <c r="AS2158" t="s">
        <v>4865</v>
      </c>
      <c r="AT2158" t="s">
        <v>6151</v>
      </c>
      <c r="AU2158" t="s">
        <v>2316</v>
      </c>
      <c r="AV2158" t="s">
        <v>3076</v>
      </c>
      <c r="AW2158" t="s">
        <v>2968</v>
      </c>
      <c r="AX2158" t="s">
        <v>10114</v>
      </c>
      <c r="AY2158" t="s">
        <v>2968</v>
      </c>
      <c r="AZ2158" t="s">
        <v>870</v>
      </c>
      <c r="BB2158">
        <v>4.4400000000000004</v>
      </c>
      <c r="BC2158">
        <v>0.01</v>
      </c>
      <c r="BD2158">
        <v>16.2</v>
      </c>
      <c r="BE2158">
        <v>16.32</v>
      </c>
      <c r="BF2158">
        <v>16.32</v>
      </c>
      <c r="BG2158" t="s">
        <v>21766</v>
      </c>
      <c r="BH2158" t="s">
        <v>2968</v>
      </c>
      <c r="BI2158" t="s">
        <v>12634</v>
      </c>
      <c r="BJ2158" t="s">
        <v>101</v>
      </c>
      <c r="BK2158" t="s">
        <v>1736</v>
      </c>
      <c r="BL2158" t="s">
        <v>7288</v>
      </c>
      <c r="BM2158" t="s">
        <v>5275</v>
      </c>
      <c r="BN2158" t="s">
        <v>14623</v>
      </c>
    </row>
    <row r="2159" spans="1:66" x14ac:dyDescent="0.25">
      <c r="A2159" t="str">
        <f>HYPERLINK("https://elite.finviz.com/quote.ashx?t=PIII&amp;ty=c&amp;p=d&amp;b=1", "PIII")</f>
        <v>PIII</v>
      </c>
      <c r="B2159">
        <v>6</v>
      </c>
      <c r="C2159">
        <v>127.03</v>
      </c>
      <c r="D2159">
        <v>64.88</v>
      </c>
      <c r="E2159" t="s">
        <v>21767</v>
      </c>
      <c r="F2159" t="s">
        <v>107</v>
      </c>
      <c r="G2159" t="s">
        <v>428</v>
      </c>
      <c r="H2159" t="s">
        <v>3160</v>
      </c>
      <c r="I2159" t="s">
        <v>70</v>
      </c>
      <c r="J2159" t="s">
        <v>321</v>
      </c>
      <c r="K2159">
        <v>69.930000000000007</v>
      </c>
      <c r="L2159">
        <v>9.73</v>
      </c>
      <c r="M2159" t="s">
        <v>4396</v>
      </c>
      <c r="N2159">
        <v>3486</v>
      </c>
      <c r="R2159">
        <v>0.05</v>
      </c>
      <c r="S2159">
        <v>0.71</v>
      </c>
      <c r="AA2159">
        <v>-49.03</v>
      </c>
      <c r="AB2159" t="s">
        <v>17059</v>
      </c>
      <c r="AC2159" t="s">
        <v>5963</v>
      </c>
      <c r="AD2159" t="s">
        <v>21768</v>
      </c>
      <c r="AE2159" t="s">
        <v>5331</v>
      </c>
      <c r="AF2159" t="s">
        <v>6984</v>
      </c>
      <c r="AG2159" t="s">
        <v>13995</v>
      </c>
      <c r="AH2159" t="s">
        <v>5355</v>
      </c>
      <c r="AI2159" t="s">
        <v>9629</v>
      </c>
      <c r="AJ2159" t="s">
        <v>164</v>
      </c>
      <c r="AK2159" t="s">
        <v>2400</v>
      </c>
      <c r="AL2159">
        <v>0.31</v>
      </c>
      <c r="AM2159">
        <v>0.31</v>
      </c>
      <c r="AN2159">
        <v>4.33</v>
      </c>
      <c r="AO2159" t="s">
        <v>704</v>
      </c>
      <c r="AP2159" t="s">
        <v>619</v>
      </c>
      <c r="AQ2159" t="s">
        <v>7269</v>
      </c>
      <c r="AR2159" t="s">
        <v>191</v>
      </c>
      <c r="AS2159" t="s">
        <v>2450</v>
      </c>
      <c r="AT2159" t="s">
        <v>6751</v>
      </c>
      <c r="AU2159" t="s">
        <v>17690</v>
      </c>
      <c r="AV2159" t="s">
        <v>8814</v>
      </c>
      <c r="AW2159" t="s">
        <v>6657</v>
      </c>
      <c r="AX2159" t="s">
        <v>10860</v>
      </c>
      <c r="AY2159" t="s">
        <v>21769</v>
      </c>
      <c r="AZ2159" t="s">
        <v>10860</v>
      </c>
      <c r="BA2159">
        <v>2</v>
      </c>
      <c r="BB2159">
        <v>8.9700000000000006</v>
      </c>
      <c r="BC2159">
        <v>1.38</v>
      </c>
      <c r="BD2159">
        <v>10.19</v>
      </c>
      <c r="BE2159">
        <v>10.14</v>
      </c>
      <c r="BF2159">
        <v>9.6999999999999993</v>
      </c>
      <c r="BG2159" t="s">
        <v>21770</v>
      </c>
      <c r="BH2159" t="s">
        <v>21771</v>
      </c>
      <c r="BI2159" t="s">
        <v>10860</v>
      </c>
      <c r="BJ2159" t="s">
        <v>101</v>
      </c>
      <c r="BK2159" t="s">
        <v>11614</v>
      </c>
      <c r="BL2159" t="s">
        <v>267</v>
      </c>
      <c r="BM2159" t="s">
        <v>14783</v>
      </c>
      <c r="BN2159" t="s">
        <v>14623</v>
      </c>
    </row>
    <row r="2160" spans="1:66" x14ac:dyDescent="0.25">
      <c r="A2160" t="str">
        <f>HYPERLINK("https://elite.finviz.com/quote.ashx?t=FET&amp;ty=c&amp;p=d&amp;b=1", "FET")</f>
        <v>FET</v>
      </c>
      <c r="B2160">
        <v>6</v>
      </c>
      <c r="C2160">
        <v>127.03</v>
      </c>
      <c r="D2160">
        <v>64.900000000000006</v>
      </c>
      <c r="E2160" t="s">
        <v>21772</v>
      </c>
      <c r="F2160" t="s">
        <v>67</v>
      </c>
      <c r="G2160" t="s">
        <v>1048</v>
      </c>
      <c r="H2160" t="s">
        <v>8341</v>
      </c>
      <c r="I2160" t="s">
        <v>70</v>
      </c>
      <c r="J2160" t="s">
        <v>71</v>
      </c>
      <c r="K2160">
        <v>331.98</v>
      </c>
      <c r="L2160">
        <v>27.89</v>
      </c>
      <c r="M2160" t="s">
        <v>6056</v>
      </c>
      <c r="N2160">
        <v>24775</v>
      </c>
      <c r="P2160">
        <v>19.71</v>
      </c>
      <c r="R2160">
        <v>0.41</v>
      </c>
      <c r="S2160">
        <v>1.01</v>
      </c>
      <c r="AA2160">
        <v>-8.91</v>
      </c>
      <c r="AB2160" t="s">
        <v>290</v>
      </c>
      <c r="AC2160" t="s">
        <v>686</v>
      </c>
      <c r="AE2160" t="s">
        <v>7117</v>
      </c>
      <c r="AF2160" t="s">
        <v>683</v>
      </c>
      <c r="AG2160" t="s">
        <v>13365</v>
      </c>
      <c r="AH2160" t="s">
        <v>11805</v>
      </c>
      <c r="AI2160" t="s">
        <v>21773</v>
      </c>
      <c r="AJ2160" t="s">
        <v>164</v>
      </c>
      <c r="AK2160" t="s">
        <v>21774</v>
      </c>
      <c r="AL2160">
        <v>2.41</v>
      </c>
      <c r="AM2160">
        <v>1.1299999999999999</v>
      </c>
      <c r="AN2160">
        <v>0.72</v>
      </c>
      <c r="AO2160" t="s">
        <v>11690</v>
      </c>
      <c r="AP2160" t="s">
        <v>3025</v>
      </c>
      <c r="AQ2160" t="s">
        <v>1053</v>
      </c>
      <c r="AR2160" t="s">
        <v>3613</v>
      </c>
      <c r="AS2160" t="s">
        <v>975</v>
      </c>
      <c r="AT2160" t="s">
        <v>4795</v>
      </c>
      <c r="AU2160" t="s">
        <v>7255</v>
      </c>
      <c r="AV2160" t="s">
        <v>9916</v>
      </c>
      <c r="AW2160" t="s">
        <v>3484</v>
      </c>
      <c r="AX2160" t="s">
        <v>14164</v>
      </c>
      <c r="AY2160" t="s">
        <v>3484</v>
      </c>
      <c r="AZ2160" t="s">
        <v>21775</v>
      </c>
      <c r="BA2160">
        <v>3.4</v>
      </c>
      <c r="BB2160">
        <v>104.62</v>
      </c>
      <c r="BC2160">
        <v>0.84</v>
      </c>
      <c r="BD2160">
        <v>27.47</v>
      </c>
      <c r="BE2160">
        <v>28.19</v>
      </c>
      <c r="BF2160">
        <v>27.78</v>
      </c>
      <c r="BG2160" t="s">
        <v>21776</v>
      </c>
      <c r="BH2160" t="s">
        <v>21777</v>
      </c>
      <c r="BI2160" t="s">
        <v>21778</v>
      </c>
      <c r="BJ2160" t="s">
        <v>101</v>
      </c>
      <c r="BK2160" t="s">
        <v>10156</v>
      </c>
      <c r="BL2160" t="s">
        <v>11338</v>
      </c>
      <c r="BM2160" t="s">
        <v>9411</v>
      </c>
      <c r="BN2160" t="s">
        <v>14623</v>
      </c>
    </row>
    <row r="2161" spans="1:66" x14ac:dyDescent="0.25">
      <c r="A2161" t="str">
        <f>HYPERLINK("https://elite.finviz.com/quote.ashx?t=CCSI&amp;ty=c&amp;p=d&amp;b=1", "CCSI")</f>
        <v>CCSI</v>
      </c>
      <c r="B2161">
        <v>6</v>
      </c>
      <c r="C2161">
        <v>127.03</v>
      </c>
      <c r="D2161">
        <v>64.92</v>
      </c>
      <c r="E2161" t="s">
        <v>21779</v>
      </c>
      <c r="F2161" t="s">
        <v>67</v>
      </c>
      <c r="G2161" t="s">
        <v>108</v>
      </c>
      <c r="H2161" t="s">
        <v>109</v>
      </c>
      <c r="I2161" t="s">
        <v>70</v>
      </c>
      <c r="J2161" t="s">
        <v>321</v>
      </c>
      <c r="K2161">
        <v>552.04</v>
      </c>
      <c r="L2161">
        <v>29.09</v>
      </c>
      <c r="M2161" t="s">
        <v>1765</v>
      </c>
      <c r="N2161">
        <v>9164</v>
      </c>
      <c r="O2161">
        <v>7.01</v>
      </c>
      <c r="P2161">
        <v>5.24</v>
      </c>
      <c r="Q2161">
        <v>28.04</v>
      </c>
      <c r="R2161">
        <v>1.58</v>
      </c>
      <c r="Z2161" t="s">
        <v>164</v>
      </c>
      <c r="AA2161">
        <v>4.1500000000000004</v>
      </c>
      <c r="AB2161" t="s">
        <v>7341</v>
      </c>
      <c r="AC2161" t="s">
        <v>14819</v>
      </c>
      <c r="AD2161" t="s">
        <v>4266</v>
      </c>
      <c r="AE2161" t="s">
        <v>2007</v>
      </c>
      <c r="AF2161" t="s">
        <v>4191</v>
      </c>
      <c r="AG2161" t="s">
        <v>8311</v>
      </c>
      <c r="AH2161" t="s">
        <v>4266</v>
      </c>
      <c r="AI2161" t="s">
        <v>10542</v>
      </c>
      <c r="AJ2161" t="s">
        <v>164</v>
      </c>
      <c r="AK2161" t="s">
        <v>21780</v>
      </c>
      <c r="AL2161">
        <v>1.49</v>
      </c>
      <c r="AM2161">
        <v>1.49</v>
      </c>
      <c r="AO2161" t="s">
        <v>21781</v>
      </c>
      <c r="AP2161" t="s">
        <v>10301</v>
      </c>
      <c r="AQ2161" t="s">
        <v>9440</v>
      </c>
      <c r="AR2161" t="s">
        <v>179</v>
      </c>
      <c r="AS2161" t="s">
        <v>901</v>
      </c>
      <c r="AT2161" t="s">
        <v>2821</v>
      </c>
      <c r="AU2161" t="s">
        <v>12975</v>
      </c>
      <c r="AV2161" t="s">
        <v>5443</v>
      </c>
      <c r="AW2161" t="s">
        <v>4281</v>
      </c>
      <c r="AX2161" t="s">
        <v>8279</v>
      </c>
      <c r="AY2161" t="s">
        <v>11932</v>
      </c>
      <c r="AZ2161" t="s">
        <v>21782</v>
      </c>
      <c r="BA2161">
        <v>1.8</v>
      </c>
      <c r="BB2161">
        <v>139.72</v>
      </c>
      <c r="BC2161">
        <v>0.23</v>
      </c>
      <c r="BD2161">
        <v>28.97</v>
      </c>
      <c r="BE2161">
        <v>29.33</v>
      </c>
      <c r="BF2161">
        <v>28.83</v>
      </c>
      <c r="BG2161" t="s">
        <v>21783</v>
      </c>
      <c r="BH2161" t="s">
        <v>16635</v>
      </c>
      <c r="BI2161" t="s">
        <v>21784</v>
      </c>
      <c r="BJ2161" t="s">
        <v>101</v>
      </c>
      <c r="BK2161" t="s">
        <v>11897</v>
      </c>
      <c r="BL2161" t="s">
        <v>2117</v>
      </c>
      <c r="BM2161" t="s">
        <v>12574</v>
      </c>
      <c r="BN2161" t="s">
        <v>14623</v>
      </c>
    </row>
    <row r="2162" spans="1:66" x14ac:dyDescent="0.25">
      <c r="A2162" t="str">
        <f>HYPERLINK("https://elite.finviz.com/quote.ashx?t=MSGE&amp;ty=c&amp;p=d&amp;b=1", "MSGE")</f>
        <v>MSGE</v>
      </c>
      <c r="B2162">
        <v>6</v>
      </c>
      <c r="C2162">
        <v>127.03</v>
      </c>
      <c r="D2162">
        <v>64.930000000000007</v>
      </c>
      <c r="E2162" t="s">
        <v>21785</v>
      </c>
      <c r="F2162" t="s">
        <v>67</v>
      </c>
      <c r="G2162" t="s">
        <v>813</v>
      </c>
      <c r="H2162" t="s">
        <v>5941</v>
      </c>
      <c r="I2162" t="s">
        <v>70</v>
      </c>
      <c r="J2162" t="s">
        <v>71</v>
      </c>
      <c r="K2162">
        <v>2148.9899999999998</v>
      </c>
      <c r="L2162">
        <v>45.28</v>
      </c>
      <c r="M2162" t="s">
        <v>2644</v>
      </c>
      <c r="N2162">
        <v>58113</v>
      </c>
      <c r="O2162">
        <v>59.88</v>
      </c>
      <c r="P2162">
        <v>21.14</v>
      </c>
      <c r="Q2162">
        <v>1.1000000000000001</v>
      </c>
      <c r="R2162">
        <v>2.2799999999999998</v>
      </c>
      <c r="Z2162" t="s">
        <v>164</v>
      </c>
      <c r="AA2162">
        <v>0.76</v>
      </c>
      <c r="AD2162" t="s">
        <v>7457</v>
      </c>
      <c r="AE2162" t="s">
        <v>181</v>
      </c>
      <c r="AF2162" t="s">
        <v>2463</v>
      </c>
      <c r="AG2162" t="s">
        <v>9037</v>
      </c>
      <c r="AH2162" t="s">
        <v>410</v>
      </c>
      <c r="AI2162" t="s">
        <v>9769</v>
      </c>
      <c r="AJ2162" t="s">
        <v>164</v>
      </c>
      <c r="AK2162" t="s">
        <v>21579</v>
      </c>
      <c r="AL2162">
        <v>0.47</v>
      </c>
      <c r="AM2162">
        <v>0.46</v>
      </c>
      <c r="AO2162" t="s">
        <v>6285</v>
      </c>
      <c r="AP2162" t="s">
        <v>15187</v>
      </c>
      <c r="AQ2162" t="s">
        <v>1148</v>
      </c>
      <c r="AR2162" t="s">
        <v>6003</v>
      </c>
      <c r="AS2162" t="s">
        <v>1776</v>
      </c>
      <c r="AT2162" t="s">
        <v>3025</v>
      </c>
      <c r="AU2162" t="s">
        <v>6196</v>
      </c>
      <c r="AV2162" t="s">
        <v>13068</v>
      </c>
      <c r="AW2162" t="s">
        <v>13365</v>
      </c>
      <c r="AX2162" t="s">
        <v>5760</v>
      </c>
      <c r="AY2162" t="s">
        <v>13365</v>
      </c>
      <c r="AZ2162" t="s">
        <v>14139</v>
      </c>
      <c r="BA2162">
        <v>1.5</v>
      </c>
      <c r="BB2162">
        <v>357.57</v>
      </c>
      <c r="BC2162">
        <v>0.56999999999999995</v>
      </c>
      <c r="BD2162">
        <v>44.8</v>
      </c>
      <c r="BE2162">
        <v>45.52</v>
      </c>
      <c r="BF2162">
        <v>44.72</v>
      </c>
      <c r="BG2162" t="s">
        <v>21786</v>
      </c>
      <c r="BH2162" t="s">
        <v>13365</v>
      </c>
      <c r="BI2162" t="s">
        <v>4166</v>
      </c>
      <c r="BJ2162" t="s">
        <v>101</v>
      </c>
      <c r="BK2162" t="s">
        <v>7898</v>
      </c>
      <c r="BL2162" t="s">
        <v>16462</v>
      </c>
      <c r="BM2162" t="s">
        <v>3581</v>
      </c>
      <c r="BN2162" t="s">
        <v>14623</v>
      </c>
    </row>
    <row r="2163" spans="1:66" x14ac:dyDescent="0.25">
      <c r="A2163" t="str">
        <f>HYPERLINK("https://elite.finviz.com/quote.ashx?t=PLX&amp;ty=c&amp;p=d&amp;b=1", "PLX")</f>
        <v>PLX</v>
      </c>
      <c r="B2163">
        <v>6</v>
      </c>
      <c r="C2163">
        <v>127.03</v>
      </c>
      <c r="D2163">
        <v>64.94</v>
      </c>
      <c r="E2163" t="s">
        <v>21787</v>
      </c>
      <c r="F2163" t="s">
        <v>67</v>
      </c>
      <c r="G2163" t="s">
        <v>428</v>
      </c>
      <c r="H2163" t="s">
        <v>429</v>
      </c>
      <c r="I2163" t="s">
        <v>70</v>
      </c>
      <c r="J2163" t="s">
        <v>383</v>
      </c>
      <c r="K2163">
        <v>160.66</v>
      </c>
      <c r="L2163">
        <v>2.02</v>
      </c>
      <c r="M2163" t="s">
        <v>2007</v>
      </c>
      <c r="N2163">
        <v>80086</v>
      </c>
      <c r="O2163">
        <v>27.23</v>
      </c>
      <c r="P2163">
        <v>3.7</v>
      </c>
      <c r="R2163">
        <v>2.59</v>
      </c>
      <c r="S2163">
        <v>3.22</v>
      </c>
      <c r="Z2163" t="s">
        <v>164</v>
      </c>
      <c r="AA2163">
        <v>7.0000000000000007E-2</v>
      </c>
      <c r="AE2163" t="s">
        <v>21788</v>
      </c>
      <c r="AF2163" t="s">
        <v>5010</v>
      </c>
      <c r="AG2163" t="s">
        <v>4886</v>
      </c>
      <c r="AH2163" t="s">
        <v>5012</v>
      </c>
      <c r="AI2163" t="s">
        <v>579</v>
      </c>
      <c r="AJ2163" t="s">
        <v>4956</v>
      </c>
      <c r="AK2163" t="s">
        <v>12975</v>
      </c>
      <c r="AL2163">
        <v>2.72</v>
      </c>
      <c r="AM2163">
        <v>1.84</v>
      </c>
      <c r="AN2163">
        <v>0.11</v>
      </c>
      <c r="AO2163" t="s">
        <v>17943</v>
      </c>
      <c r="AP2163" t="s">
        <v>3955</v>
      </c>
      <c r="AQ2163" t="s">
        <v>9300</v>
      </c>
      <c r="AR2163" t="s">
        <v>204</v>
      </c>
      <c r="AS2163" t="s">
        <v>3758</v>
      </c>
      <c r="AT2163" t="s">
        <v>3079</v>
      </c>
      <c r="AU2163" t="s">
        <v>7947</v>
      </c>
      <c r="AV2163" t="s">
        <v>273</v>
      </c>
      <c r="AW2163" t="s">
        <v>1465</v>
      </c>
      <c r="AX2163" t="s">
        <v>5349</v>
      </c>
      <c r="AY2163" t="s">
        <v>128</v>
      </c>
      <c r="AZ2163" t="s">
        <v>21789</v>
      </c>
      <c r="BA2163">
        <v>1</v>
      </c>
      <c r="BB2163">
        <v>842.94</v>
      </c>
      <c r="BC2163">
        <v>0.33</v>
      </c>
      <c r="BD2163">
        <v>2.04</v>
      </c>
      <c r="BE2163">
        <v>2.0499999999999998</v>
      </c>
      <c r="BF2163">
        <v>2</v>
      </c>
      <c r="BG2163" t="s">
        <v>21790</v>
      </c>
      <c r="BH2163" t="s">
        <v>961</v>
      </c>
      <c r="BI2163" t="s">
        <v>21791</v>
      </c>
      <c r="BJ2163" t="s">
        <v>101</v>
      </c>
      <c r="BK2163" t="s">
        <v>21792</v>
      </c>
      <c r="BL2163" t="s">
        <v>15118</v>
      </c>
      <c r="BM2163" t="s">
        <v>13625</v>
      </c>
      <c r="BN2163" t="s">
        <v>14623</v>
      </c>
    </row>
    <row r="2164" spans="1:66" x14ac:dyDescent="0.25">
      <c r="A2164" t="str">
        <f>HYPERLINK("https://elite.finviz.com/quote.ashx?t=SOTK&amp;ty=c&amp;p=d&amp;b=1", "SOTK")</f>
        <v>SOTK</v>
      </c>
      <c r="B2164">
        <v>6</v>
      </c>
      <c r="C2164">
        <v>127.03</v>
      </c>
      <c r="D2164">
        <v>64.94</v>
      </c>
      <c r="E2164" t="s">
        <v>21793</v>
      </c>
      <c r="F2164" t="s">
        <v>107</v>
      </c>
      <c r="G2164" t="s">
        <v>108</v>
      </c>
      <c r="H2164" t="s">
        <v>9222</v>
      </c>
      <c r="I2164" t="s">
        <v>70</v>
      </c>
      <c r="J2164" t="s">
        <v>321</v>
      </c>
      <c r="K2164">
        <v>65.5</v>
      </c>
      <c r="L2164">
        <v>4.16</v>
      </c>
      <c r="M2164" t="s">
        <v>1445</v>
      </c>
      <c r="N2164">
        <v>2609</v>
      </c>
      <c r="O2164">
        <v>45.97</v>
      </c>
      <c r="P2164">
        <v>46.28</v>
      </c>
      <c r="R2164">
        <v>3.18</v>
      </c>
      <c r="S2164">
        <v>3.58</v>
      </c>
      <c r="Z2164" t="s">
        <v>164</v>
      </c>
      <c r="AA2164">
        <v>0.09</v>
      </c>
      <c r="AB2164" t="s">
        <v>21794</v>
      </c>
      <c r="AC2164" t="s">
        <v>7322</v>
      </c>
      <c r="AE2164" t="s">
        <v>14462</v>
      </c>
      <c r="AF2164" t="s">
        <v>2776</v>
      </c>
      <c r="AG2164" t="s">
        <v>1496</v>
      </c>
      <c r="AH2164" t="s">
        <v>6692</v>
      </c>
      <c r="AI2164" t="s">
        <v>1882</v>
      </c>
      <c r="AJ2164" t="s">
        <v>6871</v>
      </c>
      <c r="AK2164" t="s">
        <v>12280</v>
      </c>
      <c r="AL2164">
        <v>3.77</v>
      </c>
      <c r="AM2164">
        <v>2.83</v>
      </c>
      <c r="AN2164">
        <v>0</v>
      </c>
      <c r="AO2164" t="s">
        <v>6030</v>
      </c>
      <c r="AP2164" t="s">
        <v>614</v>
      </c>
      <c r="AQ2164" t="s">
        <v>1215</v>
      </c>
      <c r="AR2164" t="s">
        <v>3500</v>
      </c>
      <c r="AS2164" t="s">
        <v>5100</v>
      </c>
      <c r="AT2164" t="s">
        <v>2123</v>
      </c>
      <c r="AU2164" t="s">
        <v>16206</v>
      </c>
      <c r="AV2164" t="s">
        <v>3230</v>
      </c>
      <c r="AW2164" t="s">
        <v>2814</v>
      </c>
      <c r="AX2164" t="s">
        <v>12574</v>
      </c>
      <c r="AY2164" t="s">
        <v>21725</v>
      </c>
      <c r="AZ2164" t="s">
        <v>12574</v>
      </c>
      <c r="BA2164">
        <v>2</v>
      </c>
      <c r="BB2164">
        <v>15.32</v>
      </c>
      <c r="BC2164">
        <v>0.61</v>
      </c>
      <c r="BD2164">
        <v>4.18</v>
      </c>
      <c r="BE2164">
        <v>4.25</v>
      </c>
      <c r="BF2164">
        <v>4.1100000000000003</v>
      </c>
      <c r="BG2164" t="s">
        <v>21795</v>
      </c>
      <c r="BH2164" t="s">
        <v>21796</v>
      </c>
      <c r="BI2164" t="s">
        <v>21797</v>
      </c>
      <c r="BJ2164" t="s">
        <v>101</v>
      </c>
      <c r="BK2164" t="s">
        <v>2612</v>
      </c>
      <c r="BL2164" t="s">
        <v>1231</v>
      </c>
      <c r="BM2164" t="s">
        <v>5152</v>
      </c>
      <c r="BN2164" t="s">
        <v>14623</v>
      </c>
    </row>
    <row r="2165" spans="1:66" x14ac:dyDescent="0.25">
      <c r="A2165" t="str">
        <f>HYPERLINK("https://elite.finviz.com/quote.ashx?t=DRUG&amp;ty=c&amp;p=d&amp;b=1", "DRUG")</f>
        <v>DRUG</v>
      </c>
      <c r="B2165">
        <v>6</v>
      </c>
      <c r="C2165">
        <v>127.03</v>
      </c>
      <c r="D2165">
        <v>64.989999999999995</v>
      </c>
      <c r="E2165" t="s">
        <v>21798</v>
      </c>
      <c r="F2165" t="s">
        <v>67</v>
      </c>
      <c r="G2165" t="s">
        <v>428</v>
      </c>
      <c r="H2165" t="s">
        <v>429</v>
      </c>
      <c r="I2165" t="s">
        <v>70</v>
      </c>
      <c r="J2165" t="s">
        <v>321</v>
      </c>
      <c r="K2165">
        <v>375.24</v>
      </c>
      <c r="L2165">
        <v>53</v>
      </c>
      <c r="M2165" t="s">
        <v>2650</v>
      </c>
      <c r="N2165">
        <v>15198</v>
      </c>
      <c r="S2165">
        <v>9.89</v>
      </c>
      <c r="AA2165">
        <v>-0.95</v>
      </c>
      <c r="AB2165" t="s">
        <v>16979</v>
      </c>
      <c r="AC2165" t="s">
        <v>21799</v>
      </c>
      <c r="AI2165" t="s">
        <v>11629</v>
      </c>
      <c r="AJ2165" t="s">
        <v>164</v>
      </c>
      <c r="AK2165" t="s">
        <v>21800</v>
      </c>
      <c r="AL2165">
        <v>86.56</v>
      </c>
      <c r="AM2165">
        <v>86.56</v>
      </c>
      <c r="AN2165">
        <v>0</v>
      </c>
      <c r="AR2165" t="s">
        <v>4999</v>
      </c>
      <c r="AS2165" t="s">
        <v>1021</v>
      </c>
      <c r="AT2165" t="s">
        <v>7575</v>
      </c>
      <c r="AU2165" t="s">
        <v>7514</v>
      </c>
      <c r="AV2165" t="s">
        <v>6754</v>
      </c>
      <c r="AW2165" t="s">
        <v>997</v>
      </c>
      <c r="AX2165" t="s">
        <v>21801</v>
      </c>
      <c r="AY2165" t="s">
        <v>10388</v>
      </c>
      <c r="AZ2165" t="s">
        <v>21802</v>
      </c>
      <c r="BA2165">
        <v>1.17</v>
      </c>
      <c r="BB2165">
        <v>72.89</v>
      </c>
      <c r="BC2165">
        <v>0.73</v>
      </c>
      <c r="BD2165">
        <v>52.35</v>
      </c>
      <c r="BE2165">
        <v>53</v>
      </c>
      <c r="BF2165">
        <v>52.14</v>
      </c>
      <c r="BG2165" t="s">
        <v>21803</v>
      </c>
      <c r="BH2165" t="s">
        <v>10388</v>
      </c>
      <c r="BI2165" t="s">
        <v>21804</v>
      </c>
      <c r="BJ2165" t="s">
        <v>101</v>
      </c>
      <c r="BK2165" t="s">
        <v>21805</v>
      </c>
      <c r="BL2165" t="s">
        <v>18631</v>
      </c>
      <c r="BM2165" t="s">
        <v>21806</v>
      </c>
      <c r="BN2165" t="s">
        <v>14623</v>
      </c>
    </row>
    <row r="2166" spans="1:66" x14ac:dyDescent="0.25">
      <c r="A2166" t="str">
        <f>HYPERLINK("https://elite.finviz.com/quote.ashx?t=ESLA&amp;ty=c&amp;p=d&amp;b=1", "ESLA")</f>
        <v>ESLA</v>
      </c>
      <c r="B2166">
        <v>6</v>
      </c>
      <c r="C2166">
        <v>127.03</v>
      </c>
      <c r="D2166">
        <v>65.28</v>
      </c>
      <c r="E2166" t="s">
        <v>21807</v>
      </c>
      <c r="F2166" t="s">
        <v>107</v>
      </c>
      <c r="G2166" t="s">
        <v>428</v>
      </c>
      <c r="H2166" t="s">
        <v>429</v>
      </c>
      <c r="I2166" t="s">
        <v>70</v>
      </c>
      <c r="J2166" t="s">
        <v>321</v>
      </c>
      <c r="K2166">
        <v>43.74</v>
      </c>
      <c r="L2166">
        <v>1.18</v>
      </c>
      <c r="M2166" t="s">
        <v>451</v>
      </c>
      <c r="N2166">
        <v>6781</v>
      </c>
      <c r="AA2166">
        <v>-0.33</v>
      </c>
      <c r="AB2166" t="s">
        <v>14513</v>
      </c>
      <c r="AI2166" t="s">
        <v>164</v>
      </c>
      <c r="AJ2166" t="s">
        <v>164</v>
      </c>
      <c r="AK2166" t="s">
        <v>6493</v>
      </c>
      <c r="AL2166">
        <v>0.16</v>
      </c>
      <c r="AM2166">
        <v>0.16</v>
      </c>
      <c r="AR2166" t="s">
        <v>5383</v>
      </c>
      <c r="AS2166" t="s">
        <v>1767</v>
      </c>
      <c r="AT2166" t="s">
        <v>417</v>
      </c>
      <c r="AU2166" t="s">
        <v>7601</v>
      </c>
      <c r="AV2166" t="s">
        <v>2018</v>
      </c>
      <c r="AW2166" t="s">
        <v>7289</v>
      </c>
      <c r="AX2166" t="s">
        <v>6754</v>
      </c>
      <c r="AY2166" t="s">
        <v>2246</v>
      </c>
      <c r="AZ2166" t="s">
        <v>11995</v>
      </c>
      <c r="BA2166">
        <v>1</v>
      </c>
      <c r="BB2166">
        <v>22.96</v>
      </c>
      <c r="BC2166">
        <v>1.05</v>
      </c>
      <c r="BD2166">
        <v>1.1499999999999999</v>
      </c>
      <c r="BE2166">
        <v>1.2</v>
      </c>
      <c r="BF2166">
        <v>1.1499999999999999</v>
      </c>
      <c r="BG2166" t="s">
        <v>21808</v>
      </c>
      <c r="BH2166" t="s">
        <v>21809</v>
      </c>
      <c r="BI2166" t="s">
        <v>11995</v>
      </c>
      <c r="BJ2166" t="s">
        <v>101</v>
      </c>
      <c r="BK2166" t="s">
        <v>1512</v>
      </c>
      <c r="BL2166" t="s">
        <v>10169</v>
      </c>
      <c r="BM2166" t="s">
        <v>7032</v>
      </c>
      <c r="BN2166" t="s">
        <v>14623</v>
      </c>
    </row>
    <row r="2167" spans="1:66" x14ac:dyDescent="0.25">
      <c r="A2167" t="str">
        <f>HYPERLINK("https://elite.finviz.com/quote.ashx?t=MCK&amp;ty=c&amp;p=d&amp;b=1", "MCK")</f>
        <v>MCK</v>
      </c>
      <c r="B2167">
        <v>6</v>
      </c>
      <c r="C2167">
        <v>127.03</v>
      </c>
      <c r="D2167">
        <v>65.3</v>
      </c>
      <c r="E2167" t="s">
        <v>21810</v>
      </c>
      <c r="F2167" t="s">
        <v>195</v>
      </c>
      <c r="G2167" t="s">
        <v>428</v>
      </c>
      <c r="H2167" t="s">
        <v>10658</v>
      </c>
      <c r="I2167" t="s">
        <v>70</v>
      </c>
      <c r="J2167" t="s">
        <v>71</v>
      </c>
      <c r="K2167">
        <v>93662.69</v>
      </c>
      <c r="L2167">
        <v>753.01</v>
      </c>
      <c r="M2167" t="s">
        <v>3842</v>
      </c>
      <c r="N2167">
        <v>147795</v>
      </c>
      <c r="O2167">
        <v>30.05</v>
      </c>
      <c r="P2167">
        <v>17.57</v>
      </c>
      <c r="Q2167">
        <v>2.09</v>
      </c>
      <c r="R2167">
        <v>0.25</v>
      </c>
      <c r="T2167" t="s">
        <v>2290</v>
      </c>
      <c r="U2167">
        <v>2.95</v>
      </c>
      <c r="V2167" t="s">
        <v>2187</v>
      </c>
      <c r="W2167" t="s">
        <v>2722</v>
      </c>
      <c r="X2167" t="s">
        <v>3434</v>
      </c>
      <c r="Y2167" t="s">
        <v>1454</v>
      </c>
      <c r="Z2167" t="s">
        <v>5838</v>
      </c>
      <c r="AA2167">
        <v>25.06</v>
      </c>
      <c r="AB2167" t="s">
        <v>21811</v>
      </c>
      <c r="AC2167" t="s">
        <v>16207</v>
      </c>
      <c r="AD2167" t="s">
        <v>8684</v>
      </c>
      <c r="AE2167" t="s">
        <v>11965</v>
      </c>
      <c r="AF2167" t="s">
        <v>8319</v>
      </c>
      <c r="AG2167" t="s">
        <v>7019</v>
      </c>
      <c r="AH2167" t="s">
        <v>5464</v>
      </c>
      <c r="AI2167" t="s">
        <v>5116</v>
      </c>
      <c r="AJ2167" t="s">
        <v>6564</v>
      </c>
      <c r="AK2167" t="s">
        <v>12695</v>
      </c>
      <c r="AL2167">
        <v>0.88</v>
      </c>
      <c r="AM2167">
        <v>0.49</v>
      </c>
      <c r="AO2167" t="s">
        <v>7284</v>
      </c>
      <c r="AP2167" t="s">
        <v>1837</v>
      </c>
      <c r="AQ2167" t="s">
        <v>7124</v>
      </c>
      <c r="AR2167" t="s">
        <v>4956</v>
      </c>
      <c r="AS2167" t="s">
        <v>212</v>
      </c>
      <c r="AT2167" t="s">
        <v>3115</v>
      </c>
      <c r="AU2167" t="s">
        <v>10610</v>
      </c>
      <c r="AV2167" t="s">
        <v>2724</v>
      </c>
      <c r="AW2167" t="s">
        <v>1356</v>
      </c>
      <c r="AX2167" t="s">
        <v>8364</v>
      </c>
      <c r="AY2167" t="s">
        <v>1356</v>
      </c>
      <c r="AZ2167" t="s">
        <v>17833</v>
      </c>
      <c r="BA2167">
        <v>1.63</v>
      </c>
      <c r="BB2167">
        <v>786.46</v>
      </c>
      <c r="BC2167">
        <v>0.66</v>
      </c>
      <c r="BD2167">
        <v>736.52</v>
      </c>
      <c r="BE2167">
        <v>754.97</v>
      </c>
      <c r="BF2167">
        <v>741.78</v>
      </c>
      <c r="BG2167" t="s">
        <v>21812</v>
      </c>
      <c r="BH2167" t="s">
        <v>1356</v>
      </c>
      <c r="BI2167" t="s">
        <v>21813</v>
      </c>
      <c r="BJ2167" t="s">
        <v>101</v>
      </c>
      <c r="BK2167" t="s">
        <v>749</v>
      </c>
      <c r="BL2167" t="s">
        <v>1557</v>
      </c>
      <c r="BM2167" t="s">
        <v>11487</v>
      </c>
      <c r="BN2167" t="s">
        <v>14623</v>
      </c>
    </row>
    <row r="2168" spans="1:66" x14ac:dyDescent="0.25">
      <c r="A2168" t="str">
        <f>HYPERLINK("https://elite.finviz.com/quote.ashx?t=WBTN&amp;ty=c&amp;p=d&amp;b=1", "WBTN")</f>
        <v>WBTN</v>
      </c>
      <c r="B2168">
        <v>6</v>
      </c>
      <c r="C2168">
        <v>127.03</v>
      </c>
      <c r="D2168">
        <v>65.3</v>
      </c>
      <c r="E2168" t="s">
        <v>21814</v>
      </c>
      <c r="F2168" t="s">
        <v>67</v>
      </c>
      <c r="G2168" t="s">
        <v>598</v>
      </c>
      <c r="H2168" t="s">
        <v>599</v>
      </c>
      <c r="I2168" t="s">
        <v>70</v>
      </c>
      <c r="J2168" t="s">
        <v>321</v>
      </c>
      <c r="K2168">
        <v>2542.61</v>
      </c>
      <c r="L2168">
        <v>19.47</v>
      </c>
      <c r="M2168" t="s">
        <v>1000</v>
      </c>
      <c r="N2168">
        <v>91324</v>
      </c>
      <c r="R2168">
        <v>1.85</v>
      </c>
      <c r="S2168">
        <v>1.68</v>
      </c>
      <c r="AA2168">
        <v>-0.78</v>
      </c>
      <c r="AB2168" t="s">
        <v>13734</v>
      </c>
      <c r="AE2168" t="s">
        <v>2932</v>
      </c>
      <c r="AF2168" t="s">
        <v>3079</v>
      </c>
      <c r="AH2168" t="s">
        <v>1736</v>
      </c>
      <c r="AI2168" t="s">
        <v>8429</v>
      </c>
      <c r="AJ2168" t="s">
        <v>164</v>
      </c>
      <c r="AK2168" t="s">
        <v>16008</v>
      </c>
      <c r="AL2168">
        <v>2.54</v>
      </c>
      <c r="AM2168">
        <v>2.54</v>
      </c>
      <c r="AN2168">
        <v>0.02</v>
      </c>
      <c r="AO2168" t="s">
        <v>10017</v>
      </c>
      <c r="AP2168" t="s">
        <v>4559</v>
      </c>
      <c r="AQ2168" t="s">
        <v>7230</v>
      </c>
      <c r="AR2168" t="s">
        <v>5455</v>
      </c>
      <c r="AS2168" t="s">
        <v>3115</v>
      </c>
      <c r="AT2168" t="s">
        <v>12316</v>
      </c>
      <c r="AU2168" t="s">
        <v>16282</v>
      </c>
      <c r="AV2168" t="s">
        <v>11678</v>
      </c>
      <c r="AW2168" t="s">
        <v>4115</v>
      </c>
      <c r="AX2168" t="s">
        <v>21815</v>
      </c>
      <c r="AY2168" t="s">
        <v>4115</v>
      </c>
      <c r="AZ2168" t="s">
        <v>21816</v>
      </c>
      <c r="BA2168">
        <v>1.67</v>
      </c>
      <c r="BB2168">
        <v>930.95</v>
      </c>
      <c r="BC2168">
        <v>0.35</v>
      </c>
      <c r="BD2168">
        <v>20.05</v>
      </c>
      <c r="BE2168">
        <v>20.05</v>
      </c>
      <c r="BF2168">
        <v>19.46</v>
      </c>
      <c r="BG2168" t="s">
        <v>21817</v>
      </c>
      <c r="BH2168" t="s">
        <v>805</v>
      </c>
      <c r="BI2168" t="s">
        <v>21816</v>
      </c>
      <c r="BJ2168" t="s">
        <v>101</v>
      </c>
      <c r="BK2168" t="s">
        <v>21818</v>
      </c>
      <c r="BL2168" t="s">
        <v>21819</v>
      </c>
      <c r="BM2168" t="s">
        <v>19895</v>
      </c>
      <c r="BN2168" t="s">
        <v>14623</v>
      </c>
    </row>
    <row r="2169" spans="1:66" x14ac:dyDescent="0.25">
      <c r="A2169" t="str">
        <f>HYPERLINK("https://elite.finviz.com/quote.ashx?t=KLXE&amp;ty=c&amp;p=d&amp;b=1", "KLXE")</f>
        <v>KLXE</v>
      </c>
      <c r="B2169">
        <v>6</v>
      </c>
      <c r="C2169">
        <v>127.03</v>
      </c>
      <c r="D2169">
        <v>65.3</v>
      </c>
      <c r="E2169" t="s">
        <v>21820</v>
      </c>
      <c r="F2169" t="s">
        <v>107</v>
      </c>
      <c r="G2169" t="s">
        <v>1048</v>
      </c>
      <c r="H2169" t="s">
        <v>8341</v>
      </c>
      <c r="I2169" t="s">
        <v>70</v>
      </c>
      <c r="J2169" t="s">
        <v>321</v>
      </c>
      <c r="K2169">
        <v>37.909999999999997</v>
      </c>
      <c r="L2169">
        <v>2.12</v>
      </c>
      <c r="M2169" t="s">
        <v>2494</v>
      </c>
      <c r="N2169">
        <v>36492</v>
      </c>
      <c r="R2169">
        <v>0.06</v>
      </c>
      <c r="AA2169">
        <v>-4.07</v>
      </c>
      <c r="AB2169" t="s">
        <v>5997</v>
      </c>
      <c r="AC2169" t="s">
        <v>11953</v>
      </c>
      <c r="AE2169" t="s">
        <v>4899</v>
      </c>
      <c r="AF2169" t="s">
        <v>3117</v>
      </c>
      <c r="AG2169" t="s">
        <v>3435</v>
      </c>
      <c r="AH2169" t="s">
        <v>75</v>
      </c>
      <c r="AI2169" t="s">
        <v>17609</v>
      </c>
      <c r="AJ2169" t="s">
        <v>2856</v>
      </c>
      <c r="AK2169" t="s">
        <v>21821</v>
      </c>
      <c r="AL2169">
        <v>1.24</v>
      </c>
      <c r="AM2169">
        <v>1.01</v>
      </c>
      <c r="AO2169" t="s">
        <v>267</v>
      </c>
      <c r="AP2169" t="s">
        <v>6976</v>
      </c>
      <c r="AQ2169" t="s">
        <v>16226</v>
      </c>
      <c r="AR2169" t="s">
        <v>2697</v>
      </c>
      <c r="AS2169" t="s">
        <v>3566</v>
      </c>
      <c r="AT2169" t="s">
        <v>777</v>
      </c>
      <c r="AU2169" t="s">
        <v>2711</v>
      </c>
      <c r="AV2169" t="s">
        <v>21822</v>
      </c>
      <c r="AW2169" t="s">
        <v>8402</v>
      </c>
      <c r="AX2169" t="s">
        <v>10534</v>
      </c>
      <c r="AY2169" t="s">
        <v>21823</v>
      </c>
      <c r="AZ2169" t="s">
        <v>15926</v>
      </c>
      <c r="BA2169">
        <v>1</v>
      </c>
      <c r="BB2169">
        <v>128.74</v>
      </c>
      <c r="BC2169">
        <v>1.01</v>
      </c>
      <c r="BD2169">
        <v>2.0499999999999998</v>
      </c>
      <c r="BE2169">
        <v>2.15</v>
      </c>
      <c r="BF2169">
        <v>2.0699999999999998</v>
      </c>
      <c r="BG2169" t="s">
        <v>21824</v>
      </c>
      <c r="BH2169" t="s">
        <v>21755</v>
      </c>
      <c r="BI2169" t="s">
        <v>15926</v>
      </c>
      <c r="BJ2169" t="s">
        <v>101</v>
      </c>
      <c r="BK2169" t="s">
        <v>3901</v>
      </c>
      <c r="BL2169" t="s">
        <v>16697</v>
      </c>
      <c r="BM2169" t="s">
        <v>21825</v>
      </c>
      <c r="BN2169" t="s">
        <v>14623</v>
      </c>
    </row>
    <row r="2170" spans="1:66" x14ac:dyDescent="0.25">
      <c r="A2170" t="str">
        <f>HYPERLINK("https://elite.finviz.com/quote.ashx?t=OPAL&amp;ty=c&amp;p=d&amp;b=1", "OPAL")</f>
        <v>OPAL</v>
      </c>
      <c r="B2170">
        <v>6</v>
      </c>
      <c r="C2170">
        <v>127.03</v>
      </c>
      <c r="D2170">
        <v>65.31</v>
      </c>
      <c r="E2170" t="s">
        <v>21826</v>
      </c>
      <c r="F2170" t="s">
        <v>67</v>
      </c>
      <c r="G2170" t="s">
        <v>287</v>
      </c>
      <c r="H2170" t="s">
        <v>3541</v>
      </c>
      <c r="I2170" t="s">
        <v>70</v>
      </c>
      <c r="J2170" t="s">
        <v>321</v>
      </c>
      <c r="K2170">
        <v>440.6</v>
      </c>
      <c r="L2170">
        <v>2.54</v>
      </c>
      <c r="M2170" t="s">
        <v>2734</v>
      </c>
      <c r="N2170">
        <v>62564</v>
      </c>
      <c r="O2170">
        <v>44.42</v>
      </c>
      <c r="P2170">
        <v>7.12</v>
      </c>
      <c r="Q2170">
        <v>0.24</v>
      </c>
      <c r="R2170">
        <v>1.34</v>
      </c>
      <c r="Z2170" t="s">
        <v>164</v>
      </c>
      <c r="AA2170">
        <v>0.06</v>
      </c>
      <c r="AD2170" t="s">
        <v>21827</v>
      </c>
      <c r="AE2170" t="s">
        <v>5282</v>
      </c>
      <c r="AF2170" t="s">
        <v>4693</v>
      </c>
      <c r="AH2170" t="s">
        <v>3141</v>
      </c>
      <c r="AI2170" t="s">
        <v>15608</v>
      </c>
      <c r="AJ2170" t="s">
        <v>2423</v>
      </c>
      <c r="AK2170" t="s">
        <v>17711</v>
      </c>
      <c r="AL2170">
        <v>1.26</v>
      </c>
      <c r="AM2170">
        <v>1.1200000000000001</v>
      </c>
      <c r="AO2170" t="s">
        <v>21828</v>
      </c>
      <c r="AP2170" t="s">
        <v>5577</v>
      </c>
      <c r="AQ2170" t="s">
        <v>1657</v>
      </c>
      <c r="AR2170" t="s">
        <v>8727</v>
      </c>
      <c r="AS2170" t="s">
        <v>204</v>
      </c>
      <c r="AT2170" t="s">
        <v>11871</v>
      </c>
      <c r="AU2170" t="s">
        <v>3212</v>
      </c>
      <c r="AV2170" t="s">
        <v>2215</v>
      </c>
      <c r="AW2170" t="s">
        <v>5650</v>
      </c>
      <c r="AX2170" t="s">
        <v>2306</v>
      </c>
      <c r="AY2170" t="s">
        <v>3211</v>
      </c>
      <c r="AZ2170" t="s">
        <v>21829</v>
      </c>
      <c r="BA2170">
        <v>2.4300000000000002</v>
      </c>
      <c r="BB2170">
        <v>198.8</v>
      </c>
      <c r="BC2170">
        <v>1.1100000000000001</v>
      </c>
      <c r="BD2170">
        <v>2.52</v>
      </c>
      <c r="BE2170">
        <v>2.5499999999999998</v>
      </c>
      <c r="BF2170">
        <v>2.4500000000000002</v>
      </c>
      <c r="BG2170" t="s">
        <v>21830</v>
      </c>
      <c r="BH2170" t="s">
        <v>8622</v>
      </c>
      <c r="BI2170" t="s">
        <v>21829</v>
      </c>
      <c r="BJ2170" t="s">
        <v>101</v>
      </c>
      <c r="BK2170" t="s">
        <v>2734</v>
      </c>
      <c r="BL2170" t="s">
        <v>12257</v>
      </c>
      <c r="BM2170" t="s">
        <v>540</v>
      </c>
      <c r="BN2170" t="s">
        <v>14623</v>
      </c>
    </row>
    <row r="2171" spans="1:66" x14ac:dyDescent="0.25">
      <c r="A2171" t="str">
        <f>HYPERLINK("https://elite.finviz.com/quote.ashx?t=INVX&amp;ty=c&amp;p=d&amp;b=1", "INVX")</f>
        <v>INVX</v>
      </c>
      <c r="B2171">
        <v>6</v>
      </c>
      <c r="C2171">
        <v>127.03</v>
      </c>
      <c r="D2171">
        <v>65.53</v>
      </c>
      <c r="E2171" t="s">
        <v>21831</v>
      </c>
      <c r="F2171" t="s">
        <v>67</v>
      </c>
      <c r="G2171" t="s">
        <v>1048</v>
      </c>
      <c r="H2171" t="s">
        <v>8341</v>
      </c>
      <c r="I2171" t="s">
        <v>70</v>
      </c>
      <c r="J2171" t="s">
        <v>71</v>
      </c>
      <c r="K2171">
        <v>1258.6600000000001</v>
      </c>
      <c r="L2171">
        <v>18.3</v>
      </c>
      <c r="M2171" t="s">
        <v>342</v>
      </c>
      <c r="N2171">
        <v>103608</v>
      </c>
      <c r="O2171">
        <v>6.33</v>
      </c>
      <c r="P2171">
        <v>12.6</v>
      </c>
      <c r="Q2171">
        <v>0.65</v>
      </c>
      <c r="R2171">
        <v>1.45</v>
      </c>
      <c r="S2171">
        <v>1.26</v>
      </c>
      <c r="Z2171" t="s">
        <v>164</v>
      </c>
      <c r="AA2171">
        <v>2.89</v>
      </c>
      <c r="AC2171" t="s">
        <v>21832</v>
      </c>
      <c r="AD2171" t="s">
        <v>3776</v>
      </c>
      <c r="AE2171" t="s">
        <v>21833</v>
      </c>
      <c r="AF2171" t="s">
        <v>86</v>
      </c>
      <c r="AG2171" t="s">
        <v>3776</v>
      </c>
      <c r="AH2171" t="s">
        <v>21834</v>
      </c>
      <c r="AI2171" t="s">
        <v>7289</v>
      </c>
      <c r="AJ2171" t="s">
        <v>164</v>
      </c>
      <c r="AK2171" t="s">
        <v>21835</v>
      </c>
      <c r="AL2171">
        <v>4.5999999999999996</v>
      </c>
      <c r="AM2171">
        <v>2.69</v>
      </c>
      <c r="AN2171">
        <v>0.1</v>
      </c>
      <c r="AO2171" t="s">
        <v>8237</v>
      </c>
      <c r="AP2171" t="s">
        <v>3532</v>
      </c>
      <c r="AQ2171" t="s">
        <v>685</v>
      </c>
      <c r="AR2171" t="s">
        <v>3334</v>
      </c>
      <c r="AS2171" t="s">
        <v>2941</v>
      </c>
      <c r="AT2171" t="s">
        <v>1215</v>
      </c>
      <c r="AU2171" t="s">
        <v>369</v>
      </c>
      <c r="AV2171" t="s">
        <v>340</v>
      </c>
      <c r="AW2171" t="s">
        <v>770</v>
      </c>
      <c r="AX2171" t="s">
        <v>1746</v>
      </c>
      <c r="AY2171" t="s">
        <v>2562</v>
      </c>
      <c r="AZ2171" t="s">
        <v>16778</v>
      </c>
      <c r="BA2171">
        <v>2</v>
      </c>
      <c r="BB2171">
        <v>376.47</v>
      </c>
      <c r="BC2171">
        <v>0.97</v>
      </c>
      <c r="BD2171">
        <v>17.88</v>
      </c>
      <c r="BE2171">
        <v>18.34</v>
      </c>
      <c r="BF2171">
        <v>18.03</v>
      </c>
      <c r="BG2171" t="s">
        <v>21836</v>
      </c>
      <c r="BH2171" t="s">
        <v>978</v>
      </c>
      <c r="BI2171" t="s">
        <v>21837</v>
      </c>
      <c r="BJ2171" t="s">
        <v>101</v>
      </c>
      <c r="BK2171" t="s">
        <v>10519</v>
      </c>
      <c r="BL2171" t="s">
        <v>2734</v>
      </c>
      <c r="BM2171" t="s">
        <v>4462</v>
      </c>
      <c r="BN2171" t="s">
        <v>14623</v>
      </c>
    </row>
    <row r="2172" spans="1:66" x14ac:dyDescent="0.25">
      <c r="A2172" t="str">
        <f>HYPERLINK("https://elite.finviz.com/quote.ashx?t=HCI&amp;ty=c&amp;p=d&amp;b=1", "HCI")</f>
        <v>HCI</v>
      </c>
      <c r="B2172">
        <v>6</v>
      </c>
      <c r="C2172">
        <v>127.03</v>
      </c>
      <c r="D2172">
        <v>65.63</v>
      </c>
      <c r="E2172" t="s">
        <v>21838</v>
      </c>
      <c r="F2172" t="s">
        <v>67</v>
      </c>
      <c r="G2172" t="s">
        <v>550</v>
      </c>
      <c r="H2172" t="s">
        <v>4407</v>
      </c>
      <c r="I2172" t="s">
        <v>70</v>
      </c>
      <c r="J2172" t="s">
        <v>71</v>
      </c>
      <c r="K2172">
        <v>2395.62</v>
      </c>
      <c r="L2172">
        <v>184.85</v>
      </c>
      <c r="M2172" t="s">
        <v>5121</v>
      </c>
      <c r="N2172">
        <v>21621</v>
      </c>
      <c r="O2172">
        <v>16.38</v>
      </c>
      <c r="P2172">
        <v>11.71</v>
      </c>
      <c r="Q2172">
        <v>0.83</v>
      </c>
      <c r="R2172">
        <v>3.09</v>
      </c>
      <c r="S2172">
        <v>3.16</v>
      </c>
      <c r="T2172" t="s">
        <v>6117</v>
      </c>
      <c r="U2172">
        <v>1.6</v>
      </c>
      <c r="V2172" t="s">
        <v>3046</v>
      </c>
      <c r="W2172" t="s">
        <v>164</v>
      </c>
      <c r="X2172" t="s">
        <v>164</v>
      </c>
      <c r="Y2172" t="s">
        <v>164</v>
      </c>
      <c r="Z2172" t="s">
        <v>2544</v>
      </c>
      <c r="AA2172">
        <v>11.28</v>
      </c>
      <c r="AB2172" t="s">
        <v>21839</v>
      </c>
      <c r="AC2172" t="s">
        <v>4771</v>
      </c>
      <c r="AD2172" t="s">
        <v>2636</v>
      </c>
      <c r="AE2172" t="s">
        <v>7209</v>
      </c>
      <c r="AF2172" t="s">
        <v>4181</v>
      </c>
      <c r="AG2172" t="s">
        <v>796</v>
      </c>
      <c r="AH2172" t="s">
        <v>929</v>
      </c>
      <c r="AI2172" t="s">
        <v>4108</v>
      </c>
      <c r="AJ2172" t="s">
        <v>164</v>
      </c>
      <c r="AK2172" t="s">
        <v>12302</v>
      </c>
      <c r="AL2172">
        <v>3.79</v>
      </c>
      <c r="AN2172">
        <v>7.0000000000000007E-2</v>
      </c>
      <c r="AP2172" t="s">
        <v>4224</v>
      </c>
      <c r="AQ2172" t="s">
        <v>3794</v>
      </c>
      <c r="AR2172" t="s">
        <v>5593</v>
      </c>
      <c r="AS2172" t="s">
        <v>304</v>
      </c>
      <c r="AT2172" t="s">
        <v>3170</v>
      </c>
      <c r="AU2172" t="s">
        <v>1625</v>
      </c>
      <c r="AV2172" t="s">
        <v>1883</v>
      </c>
      <c r="AW2172" t="s">
        <v>2276</v>
      </c>
      <c r="AX2172" t="s">
        <v>9533</v>
      </c>
      <c r="AY2172" t="s">
        <v>2276</v>
      </c>
      <c r="AZ2172" t="s">
        <v>21840</v>
      </c>
      <c r="BA2172">
        <v>1.33</v>
      </c>
      <c r="BB2172">
        <v>152.63</v>
      </c>
      <c r="BC2172">
        <v>0.5</v>
      </c>
      <c r="BD2172">
        <v>180.43</v>
      </c>
      <c r="BE2172">
        <v>184.94</v>
      </c>
      <c r="BF2172">
        <v>180.85</v>
      </c>
      <c r="BG2172" t="s">
        <v>21841</v>
      </c>
      <c r="BH2172" t="s">
        <v>2276</v>
      </c>
      <c r="BI2172" t="s">
        <v>21842</v>
      </c>
      <c r="BJ2172" t="s">
        <v>101</v>
      </c>
      <c r="BK2172" t="s">
        <v>3453</v>
      </c>
      <c r="BL2172" t="s">
        <v>5727</v>
      </c>
      <c r="BM2172" t="s">
        <v>21843</v>
      </c>
      <c r="BN2172" t="s">
        <v>14623</v>
      </c>
    </row>
    <row r="2173" spans="1:66" x14ac:dyDescent="0.25">
      <c r="A2173" t="str">
        <f>HYPERLINK("https://elite.finviz.com/quote.ashx?t=TDY&amp;ty=c&amp;p=d&amp;b=1", "TDY")</f>
        <v>TDY</v>
      </c>
      <c r="B2173">
        <v>6</v>
      </c>
      <c r="C2173">
        <v>127.03</v>
      </c>
      <c r="D2173">
        <v>65.67</v>
      </c>
      <c r="E2173" t="s">
        <v>21844</v>
      </c>
      <c r="F2173" t="s">
        <v>195</v>
      </c>
      <c r="G2173" t="s">
        <v>108</v>
      </c>
      <c r="H2173" t="s">
        <v>9222</v>
      </c>
      <c r="I2173" t="s">
        <v>70</v>
      </c>
      <c r="J2173" t="s">
        <v>71</v>
      </c>
      <c r="K2173">
        <v>26869.06</v>
      </c>
      <c r="L2173">
        <v>573.04</v>
      </c>
      <c r="M2173" t="s">
        <v>2650</v>
      </c>
      <c r="N2173">
        <v>52652</v>
      </c>
      <c r="O2173">
        <v>31.57</v>
      </c>
      <c r="P2173">
        <v>23.97</v>
      </c>
      <c r="Q2173">
        <v>3.23</v>
      </c>
      <c r="R2173">
        <v>4.54</v>
      </c>
      <c r="S2173">
        <v>2.59</v>
      </c>
      <c r="Z2173" t="s">
        <v>164</v>
      </c>
      <c r="AA2173">
        <v>18.149999999999999</v>
      </c>
      <c r="AB2173" t="s">
        <v>5950</v>
      </c>
      <c r="AC2173" t="s">
        <v>4089</v>
      </c>
      <c r="AD2173" t="s">
        <v>5653</v>
      </c>
      <c r="AE2173" t="s">
        <v>2066</v>
      </c>
      <c r="AF2173" t="s">
        <v>1767</v>
      </c>
      <c r="AG2173" t="s">
        <v>7760</v>
      </c>
      <c r="AH2173" t="s">
        <v>1575</v>
      </c>
      <c r="AI2173" t="s">
        <v>2735</v>
      </c>
      <c r="AJ2173" t="s">
        <v>11513</v>
      </c>
      <c r="AK2173" t="s">
        <v>19466</v>
      </c>
      <c r="AL2173">
        <v>1.66</v>
      </c>
      <c r="AM2173">
        <v>1.07</v>
      </c>
      <c r="AN2173">
        <v>0.25</v>
      </c>
      <c r="AO2173" t="s">
        <v>5400</v>
      </c>
      <c r="AP2173" t="s">
        <v>15044</v>
      </c>
      <c r="AQ2173" t="s">
        <v>11292</v>
      </c>
      <c r="AR2173" t="s">
        <v>5058</v>
      </c>
      <c r="AS2173" t="s">
        <v>192</v>
      </c>
      <c r="AT2173" t="s">
        <v>8013</v>
      </c>
      <c r="AU2173" t="s">
        <v>3433</v>
      </c>
      <c r="AV2173" t="s">
        <v>6608</v>
      </c>
      <c r="AW2173" t="s">
        <v>3227</v>
      </c>
      <c r="AX2173" t="s">
        <v>2555</v>
      </c>
      <c r="AY2173" t="s">
        <v>3227</v>
      </c>
      <c r="AZ2173" t="s">
        <v>13286</v>
      </c>
      <c r="BA2173">
        <v>1.46</v>
      </c>
      <c r="BB2173">
        <v>343.17</v>
      </c>
      <c r="BC2173">
        <v>0.54</v>
      </c>
      <c r="BD2173">
        <v>566</v>
      </c>
      <c r="BE2173">
        <v>572.79</v>
      </c>
      <c r="BF2173">
        <v>568.87</v>
      </c>
      <c r="BG2173" t="s">
        <v>21845</v>
      </c>
      <c r="BH2173" t="s">
        <v>3227</v>
      </c>
      <c r="BI2173" t="s">
        <v>21846</v>
      </c>
      <c r="BJ2173" t="s">
        <v>101</v>
      </c>
      <c r="BK2173" t="s">
        <v>2946</v>
      </c>
      <c r="BL2173" t="s">
        <v>7883</v>
      </c>
      <c r="BM2173" t="s">
        <v>10872</v>
      </c>
      <c r="BN2173" t="s">
        <v>14623</v>
      </c>
    </row>
    <row r="2174" spans="1:66" x14ac:dyDescent="0.25">
      <c r="A2174" t="str">
        <f>HYPERLINK("https://elite.finviz.com/quote.ashx?t=FCAP&amp;ty=c&amp;p=d&amp;b=1", "FCAP")</f>
        <v>FCAP</v>
      </c>
      <c r="B2174">
        <v>6</v>
      </c>
      <c r="C2174">
        <v>127.03</v>
      </c>
      <c r="D2174">
        <v>65.69</v>
      </c>
      <c r="E2174" t="s">
        <v>21847</v>
      </c>
      <c r="F2174" t="s">
        <v>67</v>
      </c>
      <c r="G2174" t="s">
        <v>550</v>
      </c>
      <c r="H2174" t="s">
        <v>697</v>
      </c>
      <c r="I2174" t="s">
        <v>70</v>
      </c>
      <c r="J2174" t="s">
        <v>321</v>
      </c>
      <c r="K2174">
        <v>153.72999999999999</v>
      </c>
      <c r="L2174">
        <v>45.82</v>
      </c>
      <c r="M2174" t="s">
        <v>5116</v>
      </c>
      <c r="N2174">
        <v>971</v>
      </c>
      <c r="O2174">
        <v>11.65</v>
      </c>
      <c r="R2174">
        <v>2.4900000000000002</v>
      </c>
      <c r="S2174">
        <v>1.25</v>
      </c>
      <c r="T2174" t="s">
        <v>2619</v>
      </c>
      <c r="U2174">
        <v>1.18</v>
      </c>
      <c r="V2174" t="s">
        <v>2620</v>
      </c>
      <c r="W2174" t="s">
        <v>4765</v>
      </c>
      <c r="X2174" t="s">
        <v>6430</v>
      </c>
      <c r="Y2174" t="s">
        <v>2522</v>
      </c>
      <c r="Z2174" t="s">
        <v>3339</v>
      </c>
      <c r="AA2174">
        <v>3.93</v>
      </c>
      <c r="AB2174" t="s">
        <v>3550</v>
      </c>
      <c r="AC2174" t="s">
        <v>4873</v>
      </c>
      <c r="AE2174" t="s">
        <v>2946</v>
      </c>
      <c r="AF2174" t="s">
        <v>4941</v>
      </c>
      <c r="AG2174" t="s">
        <v>6456</v>
      </c>
      <c r="AH2174" t="s">
        <v>8059</v>
      </c>
      <c r="AJ2174" t="s">
        <v>3169</v>
      </c>
      <c r="AK2174" t="s">
        <v>12213</v>
      </c>
      <c r="AL2174">
        <v>0.67</v>
      </c>
      <c r="AN2174">
        <v>0</v>
      </c>
      <c r="AP2174" t="s">
        <v>8608</v>
      </c>
      <c r="AQ2174" t="s">
        <v>4536</v>
      </c>
      <c r="AR2174" t="s">
        <v>2201</v>
      </c>
      <c r="AS2174" t="s">
        <v>4946</v>
      </c>
      <c r="AT2174" t="s">
        <v>8625</v>
      </c>
      <c r="AU2174" t="s">
        <v>7108</v>
      </c>
      <c r="AV2174" t="s">
        <v>1999</v>
      </c>
      <c r="AW2174" t="s">
        <v>3388</v>
      </c>
      <c r="AX2174" t="s">
        <v>9428</v>
      </c>
      <c r="AY2174" t="s">
        <v>7704</v>
      </c>
      <c r="AZ2174" t="s">
        <v>3143</v>
      </c>
      <c r="BB2174">
        <v>13.24</v>
      </c>
      <c r="BC2174">
        <v>0.26</v>
      </c>
      <c r="BD2174">
        <v>45.15</v>
      </c>
      <c r="BE2174">
        <v>45.15</v>
      </c>
      <c r="BF2174">
        <v>45.15</v>
      </c>
      <c r="BG2174" t="s">
        <v>21848</v>
      </c>
      <c r="BH2174" t="s">
        <v>21849</v>
      </c>
      <c r="BI2174" t="s">
        <v>21850</v>
      </c>
      <c r="BJ2174" t="s">
        <v>101</v>
      </c>
      <c r="BK2174" t="s">
        <v>3326</v>
      </c>
      <c r="BL2174" t="s">
        <v>13206</v>
      </c>
      <c r="BM2174" t="s">
        <v>5961</v>
      </c>
      <c r="BN2174" t="s">
        <v>14623</v>
      </c>
    </row>
    <row r="2175" spans="1:66" x14ac:dyDescent="0.25">
      <c r="A2175" t="str">
        <f>HYPERLINK("https://elite.finviz.com/quote.ashx?t=ONTF&amp;ty=c&amp;p=d&amp;b=1", "ONTF")</f>
        <v>ONTF</v>
      </c>
      <c r="B2175">
        <v>6</v>
      </c>
      <c r="C2175">
        <v>127.03</v>
      </c>
      <c r="D2175">
        <v>65.72</v>
      </c>
      <c r="E2175" t="s">
        <v>21851</v>
      </c>
      <c r="F2175" t="s">
        <v>67</v>
      </c>
      <c r="G2175" t="s">
        <v>108</v>
      </c>
      <c r="H2175" t="s">
        <v>136</v>
      </c>
      <c r="I2175" t="s">
        <v>70</v>
      </c>
      <c r="J2175" t="s">
        <v>71</v>
      </c>
      <c r="K2175">
        <v>252.35</v>
      </c>
      <c r="L2175">
        <v>5.97</v>
      </c>
      <c r="M2175" t="s">
        <v>4266</v>
      </c>
      <c r="N2175">
        <v>18352</v>
      </c>
      <c r="P2175">
        <v>122.61</v>
      </c>
      <c r="R2175">
        <v>1.76</v>
      </c>
      <c r="S2175">
        <v>1.7</v>
      </c>
      <c r="V2175" t="s">
        <v>21852</v>
      </c>
      <c r="AA2175">
        <v>-0.86</v>
      </c>
      <c r="AB2175" t="s">
        <v>15906</v>
      </c>
      <c r="AC2175" t="s">
        <v>9471</v>
      </c>
      <c r="AE2175" t="s">
        <v>7782</v>
      </c>
      <c r="AF2175" t="s">
        <v>10769</v>
      </c>
      <c r="AG2175" t="s">
        <v>5838</v>
      </c>
      <c r="AH2175" t="s">
        <v>7964</v>
      </c>
      <c r="AI2175" t="s">
        <v>21853</v>
      </c>
      <c r="AJ2175" t="s">
        <v>7338</v>
      </c>
      <c r="AK2175" t="s">
        <v>21211</v>
      </c>
      <c r="AL2175">
        <v>2.5</v>
      </c>
      <c r="AM2175">
        <v>2.5</v>
      </c>
      <c r="AN2175">
        <v>0.01</v>
      </c>
      <c r="AO2175" t="s">
        <v>21854</v>
      </c>
      <c r="AP2175" t="s">
        <v>21855</v>
      </c>
      <c r="AQ2175" t="s">
        <v>3081</v>
      </c>
      <c r="AR2175" t="s">
        <v>4945</v>
      </c>
      <c r="AS2175" t="s">
        <v>2146</v>
      </c>
      <c r="AT2175" t="s">
        <v>2293</v>
      </c>
      <c r="AU2175" t="s">
        <v>2656</v>
      </c>
      <c r="AV2175" t="s">
        <v>204</v>
      </c>
      <c r="AW2175" t="s">
        <v>3999</v>
      </c>
      <c r="AX2175" t="s">
        <v>19212</v>
      </c>
      <c r="AY2175" t="s">
        <v>8993</v>
      </c>
      <c r="AZ2175" t="s">
        <v>6988</v>
      </c>
      <c r="BA2175">
        <v>3</v>
      </c>
      <c r="BB2175">
        <v>179.98</v>
      </c>
      <c r="BC2175">
        <v>0.36</v>
      </c>
      <c r="BD2175">
        <v>5.95</v>
      </c>
      <c r="BE2175">
        <v>6</v>
      </c>
      <c r="BF2175">
        <v>5.95</v>
      </c>
      <c r="BG2175" t="s">
        <v>21856</v>
      </c>
      <c r="BH2175" t="s">
        <v>10204</v>
      </c>
      <c r="BI2175" t="s">
        <v>6988</v>
      </c>
      <c r="BJ2175" t="s">
        <v>101</v>
      </c>
      <c r="BK2175" t="s">
        <v>9280</v>
      </c>
      <c r="BL2175" t="s">
        <v>3372</v>
      </c>
      <c r="BM2175" t="s">
        <v>3625</v>
      </c>
      <c r="BN2175" t="s">
        <v>14623</v>
      </c>
    </row>
    <row r="2176" spans="1:66" x14ac:dyDescent="0.25">
      <c r="A2176" t="str">
        <f>HYPERLINK("https://elite.finviz.com/quote.ashx?t=PRA&amp;ty=c&amp;p=d&amp;b=1", "PRA")</f>
        <v>PRA</v>
      </c>
      <c r="B2176">
        <v>6</v>
      </c>
      <c r="C2176">
        <v>127.03</v>
      </c>
      <c r="D2176">
        <v>65.739999999999995</v>
      </c>
      <c r="E2176" t="s">
        <v>21857</v>
      </c>
      <c r="F2176" t="s">
        <v>67</v>
      </c>
      <c r="G2176" t="s">
        <v>550</v>
      </c>
      <c r="H2176" t="s">
        <v>4407</v>
      </c>
      <c r="I2176" t="s">
        <v>70</v>
      </c>
      <c r="J2176" t="s">
        <v>71</v>
      </c>
      <c r="K2176">
        <v>1230.99</v>
      </c>
      <c r="L2176">
        <v>23.94</v>
      </c>
      <c r="M2176" t="s">
        <v>182</v>
      </c>
      <c r="N2176">
        <v>48808</v>
      </c>
      <c r="O2176">
        <v>25.28</v>
      </c>
      <c r="P2176">
        <v>21.38</v>
      </c>
      <c r="Q2176">
        <v>2.0299999999999998</v>
      </c>
      <c r="R2176">
        <v>1.1000000000000001</v>
      </c>
      <c r="S2176">
        <v>0.97</v>
      </c>
      <c r="V2176" t="s">
        <v>21858</v>
      </c>
      <c r="Z2176" t="s">
        <v>164</v>
      </c>
      <c r="AA2176">
        <v>0.95</v>
      </c>
      <c r="AB2176" t="s">
        <v>2152</v>
      </c>
      <c r="AC2176" t="s">
        <v>21859</v>
      </c>
      <c r="AD2176" t="s">
        <v>2946</v>
      </c>
      <c r="AE2176" t="s">
        <v>1180</v>
      </c>
      <c r="AF2176" t="s">
        <v>6245</v>
      </c>
      <c r="AG2176" t="s">
        <v>862</v>
      </c>
      <c r="AH2176" t="s">
        <v>922</v>
      </c>
      <c r="AI2176" t="s">
        <v>21860</v>
      </c>
      <c r="AJ2176" t="s">
        <v>164</v>
      </c>
      <c r="AK2176" t="s">
        <v>8972</v>
      </c>
      <c r="AL2176">
        <v>0.32</v>
      </c>
      <c r="AN2176">
        <v>0.34</v>
      </c>
      <c r="AP2176" t="s">
        <v>2515</v>
      </c>
      <c r="AQ2176" t="s">
        <v>5497</v>
      </c>
      <c r="AR2176" t="s">
        <v>3736</v>
      </c>
      <c r="AS2176" t="s">
        <v>6719</v>
      </c>
      <c r="AT2176" t="s">
        <v>4308</v>
      </c>
      <c r="AU2176" t="s">
        <v>149</v>
      </c>
      <c r="AV2176" t="s">
        <v>14195</v>
      </c>
      <c r="AW2176" t="s">
        <v>8634</v>
      </c>
      <c r="AX2176" t="s">
        <v>2554</v>
      </c>
      <c r="AY2176" t="s">
        <v>8634</v>
      </c>
      <c r="AZ2176" t="s">
        <v>16041</v>
      </c>
      <c r="BA2176">
        <v>3.4</v>
      </c>
      <c r="BB2176">
        <v>537.54</v>
      </c>
      <c r="BC2176">
        <v>0.32</v>
      </c>
      <c r="BD2176">
        <v>23.88</v>
      </c>
      <c r="BE2176">
        <v>23.97</v>
      </c>
      <c r="BF2176">
        <v>23.9</v>
      </c>
      <c r="BG2176" t="s">
        <v>21861</v>
      </c>
      <c r="BH2176" t="s">
        <v>21862</v>
      </c>
      <c r="BI2176" t="s">
        <v>21863</v>
      </c>
      <c r="BJ2176" t="s">
        <v>101</v>
      </c>
      <c r="BK2176" t="s">
        <v>5100</v>
      </c>
      <c r="BL2176" t="s">
        <v>387</v>
      </c>
      <c r="BM2176" t="s">
        <v>21864</v>
      </c>
      <c r="BN2176" t="s">
        <v>14623</v>
      </c>
    </row>
    <row r="2177" spans="1:66" x14ac:dyDescent="0.25">
      <c r="A2177" t="str">
        <f>HYPERLINK("https://elite.finviz.com/quote.ashx?t=NDMO&amp;ty=c&amp;p=d&amp;b=1", "NDMO")</f>
        <v>NDMO</v>
      </c>
      <c r="B2177">
        <v>6</v>
      </c>
      <c r="C2177">
        <v>127.03</v>
      </c>
      <c r="D2177">
        <v>65.760000000000005</v>
      </c>
      <c r="E2177" t="s">
        <v>21865</v>
      </c>
      <c r="F2177" t="s">
        <v>107</v>
      </c>
      <c r="G2177" t="s">
        <v>550</v>
      </c>
      <c r="H2177" t="s">
        <v>2597</v>
      </c>
      <c r="I2177" t="s">
        <v>70</v>
      </c>
      <c r="J2177" t="s">
        <v>71</v>
      </c>
      <c r="K2177">
        <v>622.42999999999995</v>
      </c>
      <c r="L2177">
        <v>10.45</v>
      </c>
      <c r="M2177" t="s">
        <v>2880</v>
      </c>
      <c r="N2177">
        <v>26334</v>
      </c>
      <c r="O2177">
        <v>31.67</v>
      </c>
      <c r="T2177" t="s">
        <v>661</v>
      </c>
      <c r="U2177">
        <v>0.74</v>
      </c>
      <c r="V2177" t="s">
        <v>3833</v>
      </c>
      <c r="W2177" t="s">
        <v>1255</v>
      </c>
      <c r="X2177" t="s">
        <v>4764</v>
      </c>
      <c r="AA2177">
        <v>0.33</v>
      </c>
      <c r="AK2177" t="s">
        <v>10806</v>
      </c>
      <c r="AR2177" t="s">
        <v>458</v>
      </c>
      <c r="AS2177" t="s">
        <v>1279</v>
      </c>
      <c r="AT2177" t="s">
        <v>2650</v>
      </c>
      <c r="AU2177" t="s">
        <v>8229</v>
      </c>
      <c r="AV2177" t="s">
        <v>203</v>
      </c>
      <c r="AW2177" t="s">
        <v>3495</v>
      </c>
      <c r="AX2177" t="s">
        <v>605</v>
      </c>
      <c r="AY2177" t="s">
        <v>9741</v>
      </c>
      <c r="AZ2177" t="s">
        <v>3857</v>
      </c>
      <c r="BB2177">
        <v>178.27</v>
      </c>
      <c r="BC2177">
        <v>0.52</v>
      </c>
      <c r="BD2177">
        <v>10.43</v>
      </c>
      <c r="BE2177">
        <v>10.48</v>
      </c>
      <c r="BF2177">
        <v>10.42</v>
      </c>
      <c r="BG2177" t="s">
        <v>21866</v>
      </c>
      <c r="BH2177" t="s">
        <v>20535</v>
      </c>
      <c r="BI2177" t="s">
        <v>5239</v>
      </c>
      <c r="BJ2177" t="s">
        <v>101</v>
      </c>
      <c r="BK2177" t="s">
        <v>4269</v>
      </c>
      <c r="BL2177" t="s">
        <v>2743</v>
      </c>
      <c r="BM2177" t="s">
        <v>8139</v>
      </c>
      <c r="BN2177" t="s">
        <v>14623</v>
      </c>
    </row>
    <row r="2178" spans="1:66" x14ac:dyDescent="0.25">
      <c r="A2178" t="str">
        <f>HYPERLINK("https://elite.finviz.com/quote.ashx?t=AII&amp;ty=c&amp;p=d&amp;b=1", "AII")</f>
        <v>AII</v>
      </c>
      <c r="B2178">
        <v>6</v>
      </c>
      <c r="C2178">
        <v>127.03</v>
      </c>
      <c r="D2178">
        <v>65.83</v>
      </c>
      <c r="E2178" t="s">
        <v>21867</v>
      </c>
      <c r="F2178" t="s">
        <v>67</v>
      </c>
      <c r="G2178" t="s">
        <v>550</v>
      </c>
      <c r="H2178" t="s">
        <v>4407</v>
      </c>
      <c r="I2178" t="s">
        <v>70</v>
      </c>
      <c r="J2178" t="s">
        <v>71</v>
      </c>
      <c r="K2178">
        <v>426.37</v>
      </c>
      <c r="L2178">
        <v>21.79</v>
      </c>
      <c r="M2178" t="s">
        <v>2087</v>
      </c>
      <c r="N2178">
        <v>18563</v>
      </c>
      <c r="P2178">
        <v>7.99</v>
      </c>
      <c r="S2178">
        <v>1.41</v>
      </c>
      <c r="AD2178" t="s">
        <v>6278</v>
      </c>
      <c r="AI2178" t="s">
        <v>11505</v>
      </c>
      <c r="AJ2178" t="s">
        <v>9725</v>
      </c>
      <c r="AK2178" t="s">
        <v>3302</v>
      </c>
      <c r="AL2178">
        <v>1.07</v>
      </c>
      <c r="AN2178">
        <v>0.01</v>
      </c>
      <c r="AR2178" t="s">
        <v>5859</v>
      </c>
      <c r="AS2178" t="s">
        <v>1091</v>
      </c>
      <c r="AT2178" t="s">
        <v>2174</v>
      </c>
      <c r="AU2178" t="s">
        <v>10736</v>
      </c>
      <c r="AV2178" t="s">
        <v>5792</v>
      </c>
      <c r="AW2178" t="s">
        <v>11628</v>
      </c>
      <c r="AX2178" t="s">
        <v>16376</v>
      </c>
      <c r="AY2178" t="s">
        <v>11628</v>
      </c>
      <c r="AZ2178" t="s">
        <v>21868</v>
      </c>
      <c r="BA2178">
        <v>1.2</v>
      </c>
      <c r="BB2178">
        <v>116.47</v>
      </c>
      <c r="BC2178">
        <v>0.56999999999999995</v>
      </c>
      <c r="BD2178">
        <v>21.37</v>
      </c>
      <c r="BE2178">
        <v>21.89</v>
      </c>
      <c r="BF2178">
        <v>21.48</v>
      </c>
      <c r="BG2178" t="s">
        <v>21869</v>
      </c>
      <c r="BH2178" t="s">
        <v>11628</v>
      </c>
      <c r="BI2178" t="s">
        <v>21868</v>
      </c>
      <c r="BJ2178" t="s">
        <v>101</v>
      </c>
      <c r="BK2178" t="s">
        <v>2556</v>
      </c>
      <c r="BN2178" t="s">
        <v>14623</v>
      </c>
    </row>
    <row r="2179" spans="1:66" x14ac:dyDescent="0.25">
      <c r="A2179" t="str">
        <f>HYPERLINK("https://elite.finviz.com/quote.ashx?t=NXTC&amp;ty=c&amp;p=d&amp;b=1", "NXTC")</f>
        <v>NXTC</v>
      </c>
      <c r="B2179">
        <v>6</v>
      </c>
      <c r="C2179">
        <v>127.03</v>
      </c>
      <c r="D2179">
        <v>65.849999999999994</v>
      </c>
      <c r="E2179" t="s">
        <v>21870</v>
      </c>
      <c r="F2179" t="s">
        <v>107</v>
      </c>
      <c r="G2179" t="s">
        <v>428</v>
      </c>
      <c r="H2179" t="s">
        <v>429</v>
      </c>
      <c r="I2179" t="s">
        <v>70</v>
      </c>
      <c r="J2179" t="s">
        <v>321</v>
      </c>
      <c r="K2179">
        <v>15.66</v>
      </c>
      <c r="L2179">
        <v>5.85</v>
      </c>
      <c r="M2179" t="s">
        <v>6155</v>
      </c>
      <c r="N2179">
        <v>7608</v>
      </c>
      <c r="S2179">
        <v>0.43</v>
      </c>
      <c r="AA2179">
        <v>-25.91</v>
      </c>
      <c r="AB2179" t="s">
        <v>1283</v>
      </c>
      <c r="AC2179" t="s">
        <v>6056</v>
      </c>
      <c r="AD2179" t="s">
        <v>21871</v>
      </c>
      <c r="AI2179" t="s">
        <v>21872</v>
      </c>
      <c r="AJ2179" t="s">
        <v>164</v>
      </c>
      <c r="AK2179" t="s">
        <v>15691</v>
      </c>
      <c r="AL2179">
        <v>3.71</v>
      </c>
      <c r="AM2179">
        <v>3.71</v>
      </c>
      <c r="AN2179">
        <v>0.17</v>
      </c>
      <c r="AR2179" t="s">
        <v>6330</v>
      </c>
      <c r="AS2179" t="s">
        <v>5659</v>
      </c>
      <c r="AT2179" t="s">
        <v>7781</v>
      </c>
      <c r="AU2179" t="s">
        <v>2820</v>
      </c>
      <c r="AV2179" t="s">
        <v>18389</v>
      </c>
      <c r="AW2179" t="s">
        <v>13088</v>
      </c>
      <c r="AX2179" t="s">
        <v>9722</v>
      </c>
      <c r="AY2179" t="s">
        <v>15263</v>
      </c>
      <c r="AZ2179" t="s">
        <v>21873</v>
      </c>
      <c r="BA2179">
        <v>1.67</v>
      </c>
      <c r="BB2179">
        <v>111.96</v>
      </c>
      <c r="BC2179">
        <v>0.24</v>
      </c>
      <c r="BD2179">
        <v>5.78</v>
      </c>
      <c r="BE2179">
        <v>5.86</v>
      </c>
      <c r="BF2179">
        <v>5.79</v>
      </c>
      <c r="BG2179" t="s">
        <v>21874</v>
      </c>
      <c r="BH2179" t="s">
        <v>21656</v>
      </c>
      <c r="BI2179" t="s">
        <v>21873</v>
      </c>
      <c r="BJ2179" t="s">
        <v>101</v>
      </c>
      <c r="BK2179" t="s">
        <v>5658</v>
      </c>
      <c r="BL2179" t="s">
        <v>5176</v>
      </c>
      <c r="BM2179" t="s">
        <v>21875</v>
      </c>
      <c r="BN2179" t="s">
        <v>14623</v>
      </c>
    </row>
    <row r="2180" spans="1:66" x14ac:dyDescent="0.25">
      <c r="A2180" t="str">
        <f>HYPERLINK("https://elite.finviz.com/quote.ashx?t=ADVM&amp;ty=c&amp;p=d&amp;b=1", "ADVM")</f>
        <v>ADVM</v>
      </c>
      <c r="B2180">
        <v>6</v>
      </c>
      <c r="C2180">
        <v>127.03</v>
      </c>
      <c r="D2180">
        <v>65.86</v>
      </c>
      <c r="E2180" t="s">
        <v>21876</v>
      </c>
      <c r="F2180" t="s">
        <v>107</v>
      </c>
      <c r="G2180" t="s">
        <v>428</v>
      </c>
      <c r="H2180" t="s">
        <v>429</v>
      </c>
      <c r="I2180" t="s">
        <v>70</v>
      </c>
      <c r="J2180" t="s">
        <v>321</v>
      </c>
      <c r="K2180">
        <v>87.08</v>
      </c>
      <c r="L2180">
        <v>4.1500000000000004</v>
      </c>
      <c r="M2180" t="s">
        <v>4289</v>
      </c>
      <c r="N2180">
        <v>107924</v>
      </c>
      <c r="R2180">
        <v>87.08</v>
      </c>
      <c r="AA2180">
        <v>-7.85</v>
      </c>
      <c r="AB2180" t="s">
        <v>1701</v>
      </c>
      <c r="AC2180" t="s">
        <v>8727</v>
      </c>
      <c r="AD2180" t="s">
        <v>6154</v>
      </c>
      <c r="AE2180" t="s">
        <v>21877</v>
      </c>
      <c r="AF2180" t="s">
        <v>16610</v>
      </c>
      <c r="AG2180" t="s">
        <v>7463</v>
      </c>
      <c r="AI2180" t="s">
        <v>15052</v>
      </c>
      <c r="AJ2180" t="s">
        <v>7542</v>
      </c>
      <c r="AK2180" t="s">
        <v>21356</v>
      </c>
      <c r="AL2180">
        <v>1.54</v>
      </c>
      <c r="AM2180">
        <v>1.54</v>
      </c>
      <c r="AO2180" t="s">
        <v>21878</v>
      </c>
      <c r="AP2180" t="s">
        <v>21879</v>
      </c>
      <c r="AQ2180" t="s">
        <v>21880</v>
      </c>
      <c r="AR2180" t="s">
        <v>17060</v>
      </c>
      <c r="AS2180" t="s">
        <v>13358</v>
      </c>
      <c r="AT2180" t="s">
        <v>6968</v>
      </c>
      <c r="AU2180" t="s">
        <v>1163</v>
      </c>
      <c r="AV2180" t="s">
        <v>3451</v>
      </c>
      <c r="AW2180" t="s">
        <v>10504</v>
      </c>
      <c r="AX2180" t="s">
        <v>21881</v>
      </c>
      <c r="AY2180" t="s">
        <v>21147</v>
      </c>
      <c r="AZ2180" t="s">
        <v>21882</v>
      </c>
      <c r="BA2180">
        <v>1.33</v>
      </c>
      <c r="BB2180">
        <v>317.68</v>
      </c>
      <c r="BC2180">
        <v>1.21</v>
      </c>
      <c r="BD2180">
        <v>4.3099999999999996</v>
      </c>
      <c r="BE2180">
        <v>4.29</v>
      </c>
      <c r="BF2180">
        <v>4.0199999999999996</v>
      </c>
      <c r="BG2180" t="s">
        <v>21883</v>
      </c>
      <c r="BH2180" t="s">
        <v>21884</v>
      </c>
      <c r="BI2180" t="s">
        <v>21882</v>
      </c>
      <c r="BJ2180" t="s">
        <v>101</v>
      </c>
      <c r="BK2180" t="s">
        <v>21885</v>
      </c>
      <c r="BL2180" t="s">
        <v>16729</v>
      </c>
      <c r="BM2180" t="s">
        <v>21886</v>
      </c>
      <c r="BN2180" t="s">
        <v>14623</v>
      </c>
    </row>
    <row r="2181" spans="1:66" x14ac:dyDescent="0.25">
      <c r="A2181" t="str">
        <f>HYPERLINK("https://elite.finviz.com/quote.ashx?t=BKHA&amp;ty=c&amp;p=d&amp;b=1", "BKHA")</f>
        <v>BKHA</v>
      </c>
      <c r="B2181">
        <v>6</v>
      </c>
      <c r="C2181">
        <v>127.03</v>
      </c>
      <c r="D2181">
        <v>65.94</v>
      </c>
      <c r="E2181" t="s">
        <v>21887</v>
      </c>
      <c r="F2181" t="s">
        <v>107</v>
      </c>
      <c r="G2181" t="s">
        <v>550</v>
      </c>
      <c r="H2181" t="s">
        <v>2120</v>
      </c>
      <c r="I2181" t="s">
        <v>70</v>
      </c>
      <c r="J2181" t="s">
        <v>321</v>
      </c>
      <c r="K2181">
        <v>46.27</v>
      </c>
      <c r="L2181">
        <v>11.15</v>
      </c>
      <c r="M2181" t="s">
        <v>439</v>
      </c>
      <c r="N2181">
        <v>1020</v>
      </c>
      <c r="O2181">
        <v>35.369999999999997</v>
      </c>
      <c r="S2181">
        <v>1.41</v>
      </c>
      <c r="Z2181" t="s">
        <v>164</v>
      </c>
      <c r="AA2181">
        <v>0.32</v>
      </c>
      <c r="AJ2181" t="s">
        <v>164</v>
      </c>
      <c r="AK2181" t="s">
        <v>21888</v>
      </c>
      <c r="AL2181">
        <v>0.56000000000000005</v>
      </c>
      <c r="AM2181">
        <v>0.56000000000000005</v>
      </c>
      <c r="AN2181">
        <v>0</v>
      </c>
      <c r="AR2181" t="s">
        <v>1324</v>
      </c>
      <c r="AS2181" t="s">
        <v>3358</v>
      </c>
      <c r="AT2181" t="s">
        <v>1837</v>
      </c>
      <c r="AU2181" t="s">
        <v>4873</v>
      </c>
      <c r="AV2181" t="s">
        <v>954</v>
      </c>
      <c r="AW2181" t="s">
        <v>6105</v>
      </c>
      <c r="AX2181" t="s">
        <v>3496</v>
      </c>
      <c r="AY2181" t="s">
        <v>6105</v>
      </c>
      <c r="AZ2181" t="s">
        <v>1133</v>
      </c>
      <c r="BB2181">
        <v>15.11</v>
      </c>
      <c r="BC2181">
        <v>0.24</v>
      </c>
      <c r="BD2181">
        <v>11.12</v>
      </c>
      <c r="BE2181">
        <v>11.11</v>
      </c>
      <c r="BF2181">
        <v>11.11</v>
      </c>
      <c r="BG2181" t="s">
        <v>21889</v>
      </c>
      <c r="BH2181" t="s">
        <v>6105</v>
      </c>
      <c r="BI2181" t="s">
        <v>1228</v>
      </c>
      <c r="BJ2181" t="s">
        <v>101</v>
      </c>
      <c r="BK2181" t="s">
        <v>614</v>
      </c>
      <c r="BL2181" t="s">
        <v>10557</v>
      </c>
      <c r="BN2181" t="s">
        <v>14623</v>
      </c>
    </row>
    <row r="2182" spans="1:66" x14ac:dyDescent="0.25">
      <c r="A2182" t="str">
        <f>HYPERLINK("https://elite.finviz.com/quote.ashx?t=BACC&amp;ty=c&amp;p=d&amp;b=1", "BACC")</f>
        <v>BACC</v>
      </c>
      <c r="B2182">
        <v>6</v>
      </c>
      <c r="C2182">
        <v>127.03</v>
      </c>
      <c r="D2182">
        <v>65.94</v>
      </c>
      <c r="E2182" t="s">
        <v>21890</v>
      </c>
      <c r="F2182" t="s">
        <v>107</v>
      </c>
      <c r="G2182" t="s">
        <v>550</v>
      </c>
      <c r="H2182" t="s">
        <v>2120</v>
      </c>
      <c r="I2182" t="s">
        <v>70</v>
      </c>
      <c r="J2182" t="s">
        <v>321</v>
      </c>
      <c r="K2182">
        <v>279.60000000000002</v>
      </c>
      <c r="L2182">
        <v>10</v>
      </c>
      <c r="M2182" t="s">
        <v>164</v>
      </c>
      <c r="N2182">
        <v>101</v>
      </c>
      <c r="S2182">
        <v>1.43</v>
      </c>
      <c r="AJ2182" t="s">
        <v>164</v>
      </c>
      <c r="AL2182">
        <v>22.81</v>
      </c>
      <c r="AM2182">
        <v>22.81</v>
      </c>
      <c r="AN2182">
        <v>0</v>
      </c>
      <c r="AR2182" t="s">
        <v>5549</v>
      </c>
      <c r="AS2182" t="s">
        <v>580</v>
      </c>
      <c r="AT2182" t="s">
        <v>1083</v>
      </c>
      <c r="AU2182" t="s">
        <v>6182</v>
      </c>
      <c r="AV2182" t="s">
        <v>6182</v>
      </c>
      <c r="AW2182" t="s">
        <v>2486</v>
      </c>
      <c r="AX2182" t="s">
        <v>3336</v>
      </c>
      <c r="AY2182" t="s">
        <v>2486</v>
      </c>
      <c r="AZ2182" t="s">
        <v>3336</v>
      </c>
      <c r="BB2182">
        <v>129.80000000000001</v>
      </c>
      <c r="BC2182">
        <v>0</v>
      </c>
      <c r="BD2182">
        <v>10</v>
      </c>
      <c r="BE2182">
        <v>10</v>
      </c>
      <c r="BF2182">
        <v>10</v>
      </c>
      <c r="BG2182" t="s">
        <v>21891</v>
      </c>
      <c r="BH2182" t="s">
        <v>2486</v>
      </c>
      <c r="BI2182" t="s">
        <v>3336</v>
      </c>
      <c r="BJ2182" t="s">
        <v>101</v>
      </c>
      <c r="BN2182" t="s">
        <v>14623</v>
      </c>
    </row>
    <row r="2183" spans="1:66" x14ac:dyDescent="0.25">
      <c r="A2183" t="str">
        <f>HYPERLINK("https://elite.finviz.com/quote.ashx?t=MGRM&amp;ty=c&amp;p=d&amp;b=1", "MGRM")</f>
        <v>MGRM</v>
      </c>
      <c r="B2183">
        <v>6</v>
      </c>
      <c r="C2183">
        <v>127.03</v>
      </c>
      <c r="D2183">
        <v>65.97</v>
      </c>
      <c r="E2183" t="s">
        <v>21892</v>
      </c>
      <c r="F2183" t="s">
        <v>107</v>
      </c>
      <c r="G2183" t="s">
        <v>428</v>
      </c>
      <c r="H2183" t="s">
        <v>2051</v>
      </c>
      <c r="I2183" t="s">
        <v>70</v>
      </c>
      <c r="J2183" t="s">
        <v>321</v>
      </c>
      <c r="K2183">
        <v>239.92</v>
      </c>
      <c r="L2183">
        <v>5.91</v>
      </c>
      <c r="M2183" t="s">
        <v>4266</v>
      </c>
      <c r="N2183">
        <v>14930</v>
      </c>
      <c r="S2183">
        <v>24.74</v>
      </c>
      <c r="AA2183">
        <v>-0.54</v>
      </c>
      <c r="AB2183" t="s">
        <v>7449</v>
      </c>
      <c r="AC2183" t="s">
        <v>21893</v>
      </c>
      <c r="AD2183" t="s">
        <v>2969</v>
      </c>
      <c r="AE2183" t="s">
        <v>579</v>
      </c>
      <c r="AI2183" t="s">
        <v>20729</v>
      </c>
      <c r="AJ2183" t="s">
        <v>164</v>
      </c>
      <c r="AK2183" t="s">
        <v>197</v>
      </c>
      <c r="AL2183">
        <v>2.16</v>
      </c>
      <c r="AM2183">
        <v>2.11</v>
      </c>
      <c r="AN2183">
        <v>0.03</v>
      </c>
      <c r="AR2183" t="s">
        <v>4547</v>
      </c>
      <c r="AS2183" t="s">
        <v>2619</v>
      </c>
      <c r="AT2183" t="s">
        <v>3976</v>
      </c>
      <c r="AU2183" t="s">
        <v>9228</v>
      </c>
      <c r="AV2183" t="s">
        <v>21894</v>
      </c>
      <c r="AW2183" t="s">
        <v>5765</v>
      </c>
      <c r="AX2183" t="s">
        <v>1116</v>
      </c>
      <c r="AY2183" t="s">
        <v>5765</v>
      </c>
      <c r="AZ2183" t="s">
        <v>21895</v>
      </c>
      <c r="BA2183">
        <v>1</v>
      </c>
      <c r="BB2183">
        <v>374.69</v>
      </c>
      <c r="BC2183">
        <v>0.14000000000000001</v>
      </c>
      <c r="BD2183">
        <v>5.89</v>
      </c>
      <c r="BE2183">
        <v>5.92</v>
      </c>
      <c r="BF2183">
        <v>5.88</v>
      </c>
      <c r="BG2183" t="s">
        <v>21896</v>
      </c>
      <c r="BH2183" t="s">
        <v>21897</v>
      </c>
      <c r="BI2183" t="s">
        <v>21898</v>
      </c>
      <c r="BJ2183" t="s">
        <v>101</v>
      </c>
      <c r="BK2183" t="s">
        <v>20812</v>
      </c>
      <c r="BL2183" t="s">
        <v>21899</v>
      </c>
      <c r="BM2183" t="s">
        <v>21900</v>
      </c>
      <c r="BN2183" t="s">
        <v>14623</v>
      </c>
    </row>
    <row r="2184" spans="1:66" x14ac:dyDescent="0.25">
      <c r="A2184" t="str">
        <f>HYPERLINK("https://elite.finviz.com/quote.ashx?t=CDRE&amp;ty=c&amp;p=d&amp;b=1", "CDRE")</f>
        <v>CDRE</v>
      </c>
      <c r="B2184">
        <v>6</v>
      </c>
      <c r="C2184">
        <v>127.03</v>
      </c>
      <c r="D2184">
        <v>66.010000000000005</v>
      </c>
      <c r="E2184" t="s">
        <v>21901</v>
      </c>
      <c r="F2184" t="s">
        <v>67</v>
      </c>
      <c r="G2184" t="s">
        <v>260</v>
      </c>
      <c r="H2184" t="s">
        <v>4779</v>
      </c>
      <c r="I2184" t="s">
        <v>70</v>
      </c>
      <c r="J2184" t="s">
        <v>71</v>
      </c>
      <c r="K2184">
        <v>1458.61</v>
      </c>
      <c r="L2184">
        <v>35.869999999999997</v>
      </c>
      <c r="M2184" t="s">
        <v>1409</v>
      </c>
      <c r="N2184">
        <v>26386</v>
      </c>
      <c r="O2184">
        <v>38.57</v>
      </c>
      <c r="P2184">
        <v>25.11</v>
      </c>
      <c r="Q2184">
        <v>2.06</v>
      </c>
      <c r="R2184">
        <v>2.5499999999999998</v>
      </c>
      <c r="S2184">
        <v>4.3899999999999997</v>
      </c>
      <c r="T2184" t="s">
        <v>3552</v>
      </c>
      <c r="U2184">
        <v>0.37</v>
      </c>
      <c r="V2184" t="s">
        <v>4066</v>
      </c>
      <c r="W2184" t="s">
        <v>3212</v>
      </c>
      <c r="X2184" t="s">
        <v>21902</v>
      </c>
      <c r="Z2184" t="s">
        <v>16207</v>
      </c>
      <c r="AA2184">
        <v>0.93</v>
      </c>
      <c r="AB2184" t="s">
        <v>209</v>
      </c>
      <c r="AD2184" t="s">
        <v>6081</v>
      </c>
      <c r="AE2184" t="s">
        <v>1207</v>
      </c>
      <c r="AF2184" t="s">
        <v>1491</v>
      </c>
      <c r="AG2184" t="s">
        <v>2776</v>
      </c>
      <c r="AH2184" t="s">
        <v>10542</v>
      </c>
      <c r="AI2184" t="s">
        <v>9614</v>
      </c>
      <c r="AJ2184" t="s">
        <v>4653</v>
      </c>
      <c r="AK2184" t="s">
        <v>14696</v>
      </c>
      <c r="AL2184">
        <v>3.59</v>
      </c>
      <c r="AM2184">
        <v>2.56</v>
      </c>
      <c r="AN2184">
        <v>1.01</v>
      </c>
      <c r="AO2184" t="s">
        <v>5347</v>
      </c>
      <c r="AP2184" t="s">
        <v>2471</v>
      </c>
      <c r="AQ2184" t="s">
        <v>6330</v>
      </c>
      <c r="AR2184" t="s">
        <v>2108</v>
      </c>
      <c r="AS2184" t="s">
        <v>295</v>
      </c>
      <c r="AT2184" t="s">
        <v>418</v>
      </c>
      <c r="AU2184" t="s">
        <v>14918</v>
      </c>
      <c r="AV2184" t="s">
        <v>4815</v>
      </c>
      <c r="AW2184" t="s">
        <v>6494</v>
      </c>
      <c r="AX2184" t="s">
        <v>3407</v>
      </c>
      <c r="AY2184" t="s">
        <v>9631</v>
      </c>
      <c r="AZ2184" t="s">
        <v>9608</v>
      </c>
      <c r="BA2184">
        <v>1.71</v>
      </c>
      <c r="BB2184">
        <v>313.76</v>
      </c>
      <c r="BC2184">
        <v>0.3</v>
      </c>
      <c r="BD2184">
        <v>35.72</v>
      </c>
      <c r="BE2184">
        <v>36.119999999999997</v>
      </c>
      <c r="BF2184">
        <v>35.630000000000003</v>
      </c>
      <c r="BG2184" t="s">
        <v>21903</v>
      </c>
      <c r="BH2184" t="s">
        <v>9631</v>
      </c>
      <c r="BI2184" t="s">
        <v>21904</v>
      </c>
      <c r="BJ2184" t="s">
        <v>101</v>
      </c>
      <c r="BK2184" t="s">
        <v>2911</v>
      </c>
      <c r="BL2184" t="s">
        <v>5337</v>
      </c>
      <c r="BM2184" t="s">
        <v>5245</v>
      </c>
      <c r="BN2184" t="s">
        <v>14623</v>
      </c>
    </row>
    <row r="2185" spans="1:66" x14ac:dyDescent="0.25">
      <c r="A2185" t="str">
        <f>HYPERLINK("https://elite.finviz.com/quote.ashx?t=DNTH&amp;ty=c&amp;p=d&amp;b=1", "DNTH")</f>
        <v>DNTH</v>
      </c>
      <c r="B2185">
        <v>6</v>
      </c>
      <c r="C2185">
        <v>127.03</v>
      </c>
      <c r="D2185">
        <v>66.05</v>
      </c>
      <c r="E2185" t="s">
        <v>21905</v>
      </c>
      <c r="F2185" t="s">
        <v>67</v>
      </c>
      <c r="G2185" t="s">
        <v>428</v>
      </c>
      <c r="H2185" t="s">
        <v>429</v>
      </c>
      <c r="I2185" t="s">
        <v>70</v>
      </c>
      <c r="J2185" t="s">
        <v>321</v>
      </c>
      <c r="K2185">
        <v>1451.5</v>
      </c>
      <c r="L2185">
        <v>36.46</v>
      </c>
      <c r="M2185" t="s">
        <v>3257</v>
      </c>
      <c r="N2185">
        <v>63354</v>
      </c>
      <c r="R2185">
        <v>299.27999999999997</v>
      </c>
      <c r="S2185">
        <v>3.87</v>
      </c>
      <c r="AA2185">
        <v>-3.25</v>
      </c>
      <c r="AB2185" t="s">
        <v>13135</v>
      </c>
      <c r="AC2185" t="s">
        <v>9052</v>
      </c>
      <c r="AD2185" t="s">
        <v>9771</v>
      </c>
      <c r="AE2185" t="s">
        <v>10638</v>
      </c>
      <c r="AH2185" t="s">
        <v>11954</v>
      </c>
      <c r="AI2185" t="s">
        <v>5388</v>
      </c>
      <c r="AJ2185" t="s">
        <v>1648</v>
      </c>
      <c r="AK2185" t="s">
        <v>21906</v>
      </c>
      <c r="AL2185">
        <v>13.12</v>
      </c>
      <c r="AM2185">
        <v>13.12</v>
      </c>
      <c r="AN2185">
        <v>0</v>
      </c>
      <c r="AO2185" t="s">
        <v>17882</v>
      </c>
      <c r="AP2185" t="s">
        <v>21907</v>
      </c>
      <c r="AQ2185" t="s">
        <v>21908</v>
      </c>
      <c r="AR2185" t="s">
        <v>1576</v>
      </c>
      <c r="AS2185" t="s">
        <v>6348</v>
      </c>
      <c r="AT2185" t="s">
        <v>1207</v>
      </c>
      <c r="AU2185" t="s">
        <v>9093</v>
      </c>
      <c r="AV2185" t="s">
        <v>21909</v>
      </c>
      <c r="AW2185" t="s">
        <v>8970</v>
      </c>
      <c r="AX2185" t="s">
        <v>21910</v>
      </c>
      <c r="AY2185" t="s">
        <v>8970</v>
      </c>
      <c r="AZ2185" t="s">
        <v>21911</v>
      </c>
      <c r="BA2185">
        <v>1.1399999999999999</v>
      </c>
      <c r="BB2185">
        <v>598.5</v>
      </c>
      <c r="BC2185">
        <v>0.37</v>
      </c>
      <c r="BD2185">
        <v>35.840000000000003</v>
      </c>
      <c r="BE2185">
        <v>37.630000000000003</v>
      </c>
      <c r="BF2185">
        <v>35.6</v>
      </c>
      <c r="BG2185" t="s">
        <v>21912</v>
      </c>
      <c r="BH2185" t="s">
        <v>21913</v>
      </c>
      <c r="BI2185" t="s">
        <v>21914</v>
      </c>
      <c r="BJ2185" t="s">
        <v>101</v>
      </c>
      <c r="BK2185" t="s">
        <v>21915</v>
      </c>
      <c r="BL2185" t="s">
        <v>21916</v>
      </c>
      <c r="BM2185" t="s">
        <v>21917</v>
      </c>
      <c r="BN2185" t="s">
        <v>14623</v>
      </c>
    </row>
    <row r="2186" spans="1:66" x14ac:dyDescent="0.25">
      <c r="A2186" t="str">
        <f>HYPERLINK("https://elite.finviz.com/quote.ashx?t=BKV&amp;ty=c&amp;p=d&amp;b=1", "BKV")</f>
        <v>BKV</v>
      </c>
      <c r="B2186">
        <v>6</v>
      </c>
      <c r="C2186">
        <v>127.03</v>
      </c>
      <c r="D2186">
        <v>66.06</v>
      </c>
      <c r="E2186" t="s">
        <v>21918</v>
      </c>
      <c r="F2186" t="s">
        <v>67</v>
      </c>
      <c r="G2186" t="s">
        <v>1048</v>
      </c>
      <c r="H2186" t="s">
        <v>1049</v>
      </c>
      <c r="I2186" t="s">
        <v>70</v>
      </c>
      <c r="J2186" t="s">
        <v>71</v>
      </c>
      <c r="K2186">
        <v>2022.73</v>
      </c>
      <c r="L2186">
        <v>23.88</v>
      </c>
      <c r="M2186" t="s">
        <v>3635</v>
      </c>
      <c r="N2186">
        <v>36139</v>
      </c>
      <c r="P2186">
        <v>10.32</v>
      </c>
      <c r="R2186">
        <v>2.67</v>
      </c>
      <c r="S2186">
        <v>1.27</v>
      </c>
      <c r="AA2186">
        <v>-0.23</v>
      </c>
      <c r="AB2186" t="s">
        <v>1886</v>
      </c>
      <c r="AC2186" t="s">
        <v>17373</v>
      </c>
      <c r="AE2186" t="s">
        <v>3077</v>
      </c>
      <c r="AF2186" t="s">
        <v>7856</v>
      </c>
      <c r="AG2186" t="s">
        <v>21919</v>
      </c>
      <c r="AH2186" t="s">
        <v>14239</v>
      </c>
      <c r="AI2186" t="s">
        <v>21920</v>
      </c>
      <c r="AJ2186" t="s">
        <v>1938</v>
      </c>
      <c r="AK2186" t="s">
        <v>18550</v>
      </c>
      <c r="AL2186">
        <v>0.56000000000000005</v>
      </c>
      <c r="AM2186">
        <v>0.52</v>
      </c>
      <c r="AN2186">
        <v>0.13</v>
      </c>
      <c r="AO2186" t="s">
        <v>1007</v>
      </c>
      <c r="AP2186" t="s">
        <v>307</v>
      </c>
      <c r="AQ2186" t="s">
        <v>9938</v>
      </c>
      <c r="AR2186" t="s">
        <v>5467</v>
      </c>
      <c r="AS2186" t="s">
        <v>4204</v>
      </c>
      <c r="AT2186" t="s">
        <v>274</v>
      </c>
      <c r="AU2186" t="s">
        <v>3901</v>
      </c>
      <c r="AV2186" t="s">
        <v>801</v>
      </c>
      <c r="AW2186" t="s">
        <v>4689</v>
      </c>
      <c r="AX2186" t="s">
        <v>8580</v>
      </c>
      <c r="AY2186" t="s">
        <v>16186</v>
      </c>
      <c r="AZ2186" t="s">
        <v>9450</v>
      </c>
      <c r="BA2186">
        <v>1</v>
      </c>
      <c r="BB2186">
        <v>368.68</v>
      </c>
      <c r="BC2186">
        <v>0.35</v>
      </c>
      <c r="BD2186">
        <v>23.3</v>
      </c>
      <c r="BE2186">
        <v>23.98</v>
      </c>
      <c r="BF2186">
        <v>23.26</v>
      </c>
      <c r="BG2186" t="s">
        <v>21921</v>
      </c>
      <c r="BH2186" t="s">
        <v>16186</v>
      </c>
      <c r="BI2186" t="s">
        <v>9450</v>
      </c>
      <c r="BJ2186" t="s">
        <v>101</v>
      </c>
      <c r="BK2186" t="s">
        <v>7193</v>
      </c>
      <c r="BL2186" t="s">
        <v>2628</v>
      </c>
      <c r="BN2186" t="s">
        <v>14623</v>
      </c>
    </row>
    <row r="2187" spans="1:66" x14ac:dyDescent="0.25">
      <c r="A2187" t="str">
        <f>HYPERLINK("https://elite.finviz.com/quote.ashx?t=NMP&amp;ty=c&amp;p=d&amp;b=1", "NMP")</f>
        <v>NMP</v>
      </c>
      <c r="B2187">
        <v>6</v>
      </c>
      <c r="C2187">
        <v>127.03</v>
      </c>
      <c r="D2187">
        <v>66.09</v>
      </c>
      <c r="E2187" t="s">
        <v>20887</v>
      </c>
      <c r="F2187" t="s">
        <v>107</v>
      </c>
      <c r="G2187" t="s">
        <v>550</v>
      </c>
      <c r="H2187" t="s">
        <v>2120</v>
      </c>
      <c r="I2187" t="s">
        <v>70</v>
      </c>
      <c r="J2187" t="s">
        <v>321</v>
      </c>
      <c r="K2187">
        <v>158.9</v>
      </c>
      <c r="L2187">
        <v>9.9499999999999993</v>
      </c>
      <c r="M2187" t="s">
        <v>2641</v>
      </c>
      <c r="N2187">
        <v>2</v>
      </c>
      <c r="AJ2187" t="s">
        <v>164</v>
      </c>
      <c r="AL2187">
        <v>0.78</v>
      </c>
      <c r="AM2187">
        <v>0.78</v>
      </c>
      <c r="AR2187" t="s">
        <v>6182</v>
      </c>
      <c r="AT2187" t="s">
        <v>698</v>
      </c>
      <c r="AU2187" t="s">
        <v>698</v>
      </c>
      <c r="AV2187" t="s">
        <v>698</v>
      </c>
      <c r="AW2187" t="s">
        <v>164</v>
      </c>
      <c r="AX2187" t="s">
        <v>4849</v>
      </c>
      <c r="AY2187" t="s">
        <v>164</v>
      </c>
      <c r="AZ2187" t="s">
        <v>4849</v>
      </c>
      <c r="BB2187">
        <v>276.64999999999998</v>
      </c>
      <c r="BC2187">
        <v>0</v>
      </c>
      <c r="BD2187">
        <v>9.92</v>
      </c>
      <c r="BE2187">
        <v>9.9499999999999993</v>
      </c>
      <c r="BF2187">
        <v>9.9499999999999993</v>
      </c>
      <c r="BG2187" t="s">
        <v>21922</v>
      </c>
      <c r="BH2187" t="s">
        <v>164</v>
      </c>
      <c r="BI2187" t="s">
        <v>4849</v>
      </c>
      <c r="BJ2187" t="s">
        <v>101</v>
      </c>
      <c r="BN2187" t="s">
        <v>14623</v>
      </c>
    </row>
    <row r="2188" spans="1:66" x14ac:dyDescent="0.25">
      <c r="A2188" t="str">
        <f>HYPERLINK("https://elite.finviz.com/quote.ashx?t=KN&amp;ty=c&amp;p=d&amp;b=1", "KN")</f>
        <v>KN</v>
      </c>
      <c r="B2188">
        <v>6</v>
      </c>
      <c r="C2188">
        <v>127.03</v>
      </c>
      <c r="D2188">
        <v>66.11</v>
      </c>
      <c r="E2188" t="s">
        <v>21923</v>
      </c>
      <c r="F2188" t="s">
        <v>67</v>
      </c>
      <c r="G2188" t="s">
        <v>108</v>
      </c>
      <c r="H2188" t="s">
        <v>3346</v>
      </c>
      <c r="I2188" t="s">
        <v>70</v>
      </c>
      <c r="J2188" t="s">
        <v>71</v>
      </c>
      <c r="K2188">
        <v>1972.84</v>
      </c>
      <c r="L2188">
        <v>22.97</v>
      </c>
      <c r="M2188" t="s">
        <v>6298</v>
      </c>
      <c r="N2188">
        <v>121488</v>
      </c>
      <c r="O2188">
        <v>82.66</v>
      </c>
      <c r="P2188">
        <v>18.64</v>
      </c>
      <c r="R2188">
        <v>3.5</v>
      </c>
      <c r="S2188">
        <v>2.64</v>
      </c>
      <c r="AA2188">
        <v>0.28000000000000003</v>
      </c>
      <c r="AE2188" t="s">
        <v>20097</v>
      </c>
      <c r="AF2188" t="s">
        <v>9071</v>
      </c>
      <c r="AG2188" t="s">
        <v>5085</v>
      </c>
      <c r="AH2188" t="s">
        <v>21109</v>
      </c>
      <c r="AI2188" t="s">
        <v>5187</v>
      </c>
      <c r="AJ2188" t="s">
        <v>4636</v>
      </c>
      <c r="AK2188" t="s">
        <v>21924</v>
      </c>
      <c r="AL2188">
        <v>2</v>
      </c>
      <c r="AM2188">
        <v>1.29</v>
      </c>
      <c r="AN2188">
        <v>0.28000000000000003</v>
      </c>
      <c r="AO2188" t="s">
        <v>10348</v>
      </c>
      <c r="AP2188" t="s">
        <v>249</v>
      </c>
      <c r="AQ2188" t="s">
        <v>5026</v>
      </c>
      <c r="AR2188" t="s">
        <v>1439</v>
      </c>
      <c r="AS2188" t="s">
        <v>714</v>
      </c>
      <c r="AT2188" t="s">
        <v>3481</v>
      </c>
      <c r="AU2188" t="s">
        <v>2459</v>
      </c>
      <c r="AV2188" t="s">
        <v>2687</v>
      </c>
      <c r="AW2188" t="s">
        <v>2372</v>
      </c>
      <c r="AX2188" t="s">
        <v>20363</v>
      </c>
      <c r="AY2188" t="s">
        <v>2372</v>
      </c>
      <c r="AZ2188" t="s">
        <v>5843</v>
      </c>
      <c r="BA2188">
        <v>1.75</v>
      </c>
      <c r="BB2188">
        <v>649</v>
      </c>
      <c r="BC2188">
        <v>0.66</v>
      </c>
      <c r="BD2188">
        <v>23.13</v>
      </c>
      <c r="BE2188">
        <v>23.14</v>
      </c>
      <c r="BF2188">
        <v>22.92</v>
      </c>
      <c r="BG2188" t="s">
        <v>21925</v>
      </c>
      <c r="BH2188" t="s">
        <v>14215</v>
      </c>
      <c r="BI2188" t="s">
        <v>21926</v>
      </c>
      <c r="BJ2188" t="s">
        <v>101</v>
      </c>
      <c r="BK2188" t="s">
        <v>9522</v>
      </c>
      <c r="BL2188" t="s">
        <v>21927</v>
      </c>
      <c r="BM2188" t="s">
        <v>10435</v>
      </c>
      <c r="BN2188" t="s">
        <v>14623</v>
      </c>
    </row>
    <row r="2189" spans="1:66" x14ac:dyDescent="0.25">
      <c r="A2189" t="str">
        <f>HYPERLINK("https://elite.finviz.com/quote.ashx?t=CEVA&amp;ty=c&amp;p=d&amp;b=1", "CEVA")</f>
        <v>CEVA</v>
      </c>
      <c r="B2189">
        <v>6</v>
      </c>
      <c r="C2189">
        <v>127.03</v>
      </c>
      <c r="D2189">
        <v>66.11</v>
      </c>
      <c r="E2189" t="s">
        <v>21928</v>
      </c>
      <c r="F2189" t="s">
        <v>67</v>
      </c>
      <c r="G2189" t="s">
        <v>108</v>
      </c>
      <c r="H2189" t="s">
        <v>1808</v>
      </c>
      <c r="I2189" t="s">
        <v>70</v>
      </c>
      <c r="J2189" t="s">
        <v>321</v>
      </c>
      <c r="K2189">
        <v>624.52</v>
      </c>
      <c r="L2189">
        <v>26.15</v>
      </c>
      <c r="M2189" t="s">
        <v>8357</v>
      </c>
      <c r="N2189">
        <v>45488</v>
      </c>
      <c r="P2189">
        <v>35.86</v>
      </c>
      <c r="R2189">
        <v>5.87</v>
      </c>
      <c r="S2189">
        <v>2.35</v>
      </c>
      <c r="AA2189">
        <v>-0.42</v>
      </c>
      <c r="AE2189" t="s">
        <v>8155</v>
      </c>
      <c r="AF2189" t="s">
        <v>9780</v>
      </c>
      <c r="AG2189" t="s">
        <v>5467</v>
      </c>
      <c r="AH2189" t="s">
        <v>10421</v>
      </c>
      <c r="AI2189" t="s">
        <v>6399</v>
      </c>
      <c r="AJ2189" t="s">
        <v>164</v>
      </c>
      <c r="AK2189" t="s">
        <v>7714</v>
      </c>
      <c r="AL2189">
        <v>8.58</v>
      </c>
      <c r="AM2189">
        <v>8.58</v>
      </c>
      <c r="AN2189">
        <v>0.02</v>
      </c>
      <c r="AO2189" t="s">
        <v>21929</v>
      </c>
      <c r="AP2189" t="s">
        <v>528</v>
      </c>
      <c r="AQ2189" t="s">
        <v>8910</v>
      </c>
      <c r="AR2189" t="s">
        <v>6956</v>
      </c>
      <c r="AS2189" t="s">
        <v>4142</v>
      </c>
      <c r="AT2189" t="s">
        <v>327</v>
      </c>
      <c r="AU2189" t="s">
        <v>709</v>
      </c>
      <c r="AV2189" t="s">
        <v>4886</v>
      </c>
      <c r="AW2189" t="s">
        <v>16493</v>
      </c>
      <c r="AX2189" t="s">
        <v>9317</v>
      </c>
      <c r="AY2189" t="s">
        <v>21930</v>
      </c>
      <c r="AZ2189" t="s">
        <v>11131</v>
      </c>
      <c r="BA2189">
        <v>1.5</v>
      </c>
      <c r="BB2189">
        <v>283.27</v>
      </c>
      <c r="BC2189">
        <v>0.56999999999999995</v>
      </c>
      <c r="BD2189">
        <v>26.37</v>
      </c>
      <c r="BE2189">
        <v>26.5</v>
      </c>
      <c r="BF2189">
        <v>26.07</v>
      </c>
      <c r="BG2189" t="s">
        <v>21931</v>
      </c>
      <c r="BH2189" t="s">
        <v>21932</v>
      </c>
      <c r="BI2189" t="s">
        <v>21933</v>
      </c>
      <c r="BJ2189" t="s">
        <v>101</v>
      </c>
      <c r="BK2189" t="s">
        <v>5702</v>
      </c>
      <c r="BL2189" t="s">
        <v>9098</v>
      </c>
      <c r="BM2189" t="s">
        <v>2887</v>
      </c>
      <c r="BN2189" t="s">
        <v>14623</v>
      </c>
    </row>
    <row r="2190" spans="1:66" x14ac:dyDescent="0.25">
      <c r="A2190" t="str">
        <f>HYPERLINK("https://elite.finviz.com/quote.ashx?t=CRUS&amp;ty=c&amp;p=d&amp;b=1", "CRUS")</f>
        <v>CRUS</v>
      </c>
      <c r="B2190">
        <v>6</v>
      </c>
      <c r="C2190">
        <v>127.03</v>
      </c>
      <c r="D2190">
        <v>66.12</v>
      </c>
      <c r="E2190" t="s">
        <v>21934</v>
      </c>
      <c r="F2190" t="s">
        <v>107</v>
      </c>
      <c r="G2190" t="s">
        <v>108</v>
      </c>
      <c r="H2190" t="s">
        <v>1808</v>
      </c>
      <c r="I2190" t="s">
        <v>70</v>
      </c>
      <c r="J2190" t="s">
        <v>321</v>
      </c>
      <c r="K2190">
        <v>6447.47</v>
      </c>
      <c r="L2190">
        <v>125.6</v>
      </c>
      <c r="M2190" t="s">
        <v>164</v>
      </c>
      <c r="N2190">
        <v>47468</v>
      </c>
      <c r="O2190">
        <v>19.670000000000002</v>
      </c>
      <c r="P2190">
        <v>16.649999999999999</v>
      </c>
      <c r="R2190">
        <v>3.34</v>
      </c>
      <c r="S2190">
        <v>3.34</v>
      </c>
      <c r="Z2190" t="s">
        <v>164</v>
      </c>
      <c r="AA2190">
        <v>6.39</v>
      </c>
      <c r="AB2190" t="s">
        <v>2080</v>
      </c>
      <c r="AC2190" t="s">
        <v>10638</v>
      </c>
      <c r="AD2190" t="s">
        <v>5257</v>
      </c>
      <c r="AE2190" t="s">
        <v>6459</v>
      </c>
      <c r="AF2190" t="s">
        <v>6975</v>
      </c>
      <c r="AG2190" t="s">
        <v>1282</v>
      </c>
      <c r="AH2190" t="s">
        <v>660</v>
      </c>
      <c r="AI2190" t="s">
        <v>6762</v>
      </c>
      <c r="AJ2190" t="s">
        <v>4301</v>
      </c>
      <c r="AK2190" t="s">
        <v>21935</v>
      </c>
      <c r="AL2190">
        <v>6.58</v>
      </c>
      <c r="AM2190">
        <v>5.0999999999999996</v>
      </c>
      <c r="AN2190">
        <v>7.0000000000000007E-2</v>
      </c>
      <c r="AO2190" t="s">
        <v>20815</v>
      </c>
      <c r="AP2190" t="s">
        <v>10780</v>
      </c>
      <c r="AQ2190" t="s">
        <v>3741</v>
      </c>
      <c r="AR2190" t="s">
        <v>5369</v>
      </c>
      <c r="AS2190" t="s">
        <v>5256</v>
      </c>
      <c r="AT2190" t="s">
        <v>892</v>
      </c>
      <c r="AU2190" t="s">
        <v>1514</v>
      </c>
      <c r="AV2190" t="s">
        <v>3373</v>
      </c>
      <c r="AW2190" t="s">
        <v>4316</v>
      </c>
      <c r="AX2190" t="s">
        <v>6794</v>
      </c>
      <c r="AY2190" t="s">
        <v>4316</v>
      </c>
      <c r="AZ2190" t="s">
        <v>18034</v>
      </c>
      <c r="BA2190">
        <v>1.75</v>
      </c>
      <c r="BB2190">
        <v>560.63</v>
      </c>
      <c r="BC2190">
        <v>0.3</v>
      </c>
      <c r="BD2190">
        <v>125.6</v>
      </c>
      <c r="BE2190">
        <v>126.28</v>
      </c>
      <c r="BF2190">
        <v>125.46</v>
      </c>
      <c r="BG2190" t="s">
        <v>21936</v>
      </c>
      <c r="BH2190" t="s">
        <v>3725</v>
      </c>
      <c r="BI2190" t="s">
        <v>21937</v>
      </c>
      <c r="BJ2190" t="s">
        <v>101</v>
      </c>
      <c r="BK2190" t="s">
        <v>11559</v>
      </c>
      <c r="BL2190" t="s">
        <v>16007</v>
      </c>
      <c r="BM2190" t="s">
        <v>1761</v>
      </c>
      <c r="BN2190" t="s">
        <v>14623</v>
      </c>
    </row>
    <row r="2191" spans="1:66" x14ac:dyDescent="0.25">
      <c r="A2191" t="str">
        <f>HYPERLINK("https://elite.finviz.com/quote.ashx?t=BKTI&amp;ty=c&amp;p=d&amp;b=1", "BKTI")</f>
        <v>BKTI</v>
      </c>
      <c r="B2191">
        <v>6</v>
      </c>
      <c r="C2191">
        <v>127.03</v>
      </c>
      <c r="D2191">
        <v>66.16</v>
      </c>
      <c r="E2191" t="s">
        <v>21938</v>
      </c>
      <c r="F2191" t="s">
        <v>67</v>
      </c>
      <c r="G2191" t="s">
        <v>108</v>
      </c>
      <c r="H2191" t="s">
        <v>1921</v>
      </c>
      <c r="I2191" t="s">
        <v>70</v>
      </c>
      <c r="J2191" t="s">
        <v>383</v>
      </c>
      <c r="K2191">
        <v>290.14</v>
      </c>
      <c r="L2191">
        <v>77.709999999999994</v>
      </c>
      <c r="M2191" t="s">
        <v>2554</v>
      </c>
      <c r="N2191">
        <v>15319</v>
      </c>
      <c r="O2191">
        <v>25.35</v>
      </c>
      <c r="P2191">
        <v>19.38</v>
      </c>
      <c r="R2191">
        <v>3.7</v>
      </c>
      <c r="S2191">
        <v>7.81</v>
      </c>
      <c r="V2191" t="s">
        <v>21939</v>
      </c>
      <c r="Z2191" t="s">
        <v>164</v>
      </c>
      <c r="AA2191">
        <v>3.07</v>
      </c>
      <c r="AE2191" t="s">
        <v>3119</v>
      </c>
      <c r="AF2191" t="s">
        <v>8558</v>
      </c>
      <c r="AG2191" t="s">
        <v>4961</v>
      </c>
      <c r="AH2191" t="s">
        <v>8229</v>
      </c>
      <c r="AI2191" t="s">
        <v>21940</v>
      </c>
      <c r="AJ2191" t="s">
        <v>9084</v>
      </c>
      <c r="AK2191" t="s">
        <v>8393</v>
      </c>
      <c r="AL2191">
        <v>2.82</v>
      </c>
      <c r="AM2191">
        <v>1.74</v>
      </c>
      <c r="AN2191">
        <v>0.03</v>
      </c>
      <c r="AO2191" t="s">
        <v>14031</v>
      </c>
      <c r="AP2191" t="s">
        <v>1723</v>
      </c>
      <c r="AQ2191" t="s">
        <v>2018</v>
      </c>
      <c r="AR2191" t="s">
        <v>4690</v>
      </c>
      <c r="AS2191" t="s">
        <v>372</v>
      </c>
      <c r="AT2191" t="s">
        <v>291</v>
      </c>
      <c r="AU2191" t="s">
        <v>7261</v>
      </c>
      <c r="AV2191" t="s">
        <v>18372</v>
      </c>
      <c r="AW2191" t="s">
        <v>4673</v>
      </c>
      <c r="AX2191" t="s">
        <v>21941</v>
      </c>
      <c r="AY2191" t="s">
        <v>4673</v>
      </c>
      <c r="AZ2191" t="s">
        <v>21942</v>
      </c>
      <c r="BA2191">
        <v>1</v>
      </c>
      <c r="BB2191">
        <v>77.650000000000006</v>
      </c>
      <c r="BC2191">
        <v>0.7</v>
      </c>
      <c r="BD2191">
        <v>76.63</v>
      </c>
      <c r="BE2191">
        <v>79.39</v>
      </c>
      <c r="BF2191">
        <v>76.87</v>
      </c>
      <c r="BG2191" t="s">
        <v>21943</v>
      </c>
      <c r="BH2191" t="s">
        <v>21944</v>
      </c>
      <c r="BI2191" t="s">
        <v>21945</v>
      </c>
      <c r="BJ2191" t="s">
        <v>101</v>
      </c>
      <c r="BK2191" t="s">
        <v>21946</v>
      </c>
      <c r="BL2191" t="s">
        <v>21947</v>
      </c>
      <c r="BM2191" t="s">
        <v>21948</v>
      </c>
      <c r="BN2191" t="s">
        <v>14623</v>
      </c>
    </row>
    <row r="2192" spans="1:66" x14ac:dyDescent="0.25">
      <c r="A2192" t="str">
        <f>HYPERLINK("https://elite.finviz.com/quote.ashx?t=GRC&amp;ty=c&amp;p=d&amp;b=1", "GRC")</f>
        <v>GRC</v>
      </c>
      <c r="B2192">
        <v>6</v>
      </c>
      <c r="C2192">
        <v>127.03</v>
      </c>
      <c r="D2192">
        <v>66.34</v>
      </c>
      <c r="E2192" t="s">
        <v>21949</v>
      </c>
      <c r="F2192" t="s">
        <v>67</v>
      </c>
      <c r="G2192" t="s">
        <v>260</v>
      </c>
      <c r="H2192" t="s">
        <v>261</v>
      </c>
      <c r="I2192" t="s">
        <v>70</v>
      </c>
      <c r="J2192" t="s">
        <v>71</v>
      </c>
      <c r="K2192">
        <v>1200.72</v>
      </c>
      <c r="L2192">
        <v>45.63</v>
      </c>
      <c r="M2192" t="s">
        <v>6842</v>
      </c>
      <c r="N2192">
        <v>6835</v>
      </c>
      <c r="O2192">
        <v>23.12</v>
      </c>
      <c r="P2192">
        <v>18.68</v>
      </c>
      <c r="R2192">
        <v>1.78</v>
      </c>
      <c r="S2192">
        <v>3.02</v>
      </c>
      <c r="T2192" t="s">
        <v>2186</v>
      </c>
      <c r="U2192">
        <v>0.74</v>
      </c>
      <c r="V2192" t="s">
        <v>3046</v>
      </c>
      <c r="W2192" t="s">
        <v>2146</v>
      </c>
      <c r="X2192" t="s">
        <v>3433</v>
      </c>
      <c r="Y2192" t="s">
        <v>5336</v>
      </c>
      <c r="Z2192" t="s">
        <v>21950</v>
      </c>
      <c r="AA2192">
        <v>1.97</v>
      </c>
      <c r="AB2192" t="s">
        <v>7669</v>
      </c>
      <c r="AC2192" t="s">
        <v>5660</v>
      </c>
      <c r="AE2192" t="s">
        <v>2742</v>
      </c>
      <c r="AF2192" t="s">
        <v>11578</v>
      </c>
      <c r="AG2192" t="s">
        <v>4857</v>
      </c>
      <c r="AH2192" t="s">
        <v>3949</v>
      </c>
      <c r="AI2192" t="s">
        <v>3981</v>
      </c>
      <c r="AJ2192" t="s">
        <v>164</v>
      </c>
      <c r="AK2192" t="s">
        <v>21951</v>
      </c>
      <c r="AL2192">
        <v>2.39</v>
      </c>
      <c r="AM2192">
        <v>1.39</v>
      </c>
      <c r="AN2192">
        <v>0.85</v>
      </c>
      <c r="AO2192" t="s">
        <v>12632</v>
      </c>
      <c r="AP2192" t="s">
        <v>10380</v>
      </c>
      <c r="AQ2192" t="s">
        <v>2698</v>
      </c>
      <c r="AR2192" t="s">
        <v>3544</v>
      </c>
      <c r="AS2192" t="s">
        <v>206</v>
      </c>
      <c r="AT2192" t="s">
        <v>3443</v>
      </c>
      <c r="AU2192" t="s">
        <v>1282</v>
      </c>
      <c r="AV2192" t="s">
        <v>7283</v>
      </c>
      <c r="AW2192" t="s">
        <v>4711</v>
      </c>
      <c r="AX2192" t="s">
        <v>1456</v>
      </c>
      <c r="AY2192" t="s">
        <v>4711</v>
      </c>
      <c r="AZ2192" t="s">
        <v>21952</v>
      </c>
      <c r="BA2192">
        <v>1</v>
      </c>
      <c r="BB2192">
        <v>69.78</v>
      </c>
      <c r="BC2192">
        <v>0.35</v>
      </c>
      <c r="BD2192">
        <v>45.38</v>
      </c>
      <c r="BE2192">
        <v>45.98</v>
      </c>
      <c r="BF2192">
        <v>45.4</v>
      </c>
      <c r="BG2192" t="s">
        <v>21953</v>
      </c>
      <c r="BH2192" t="s">
        <v>6058</v>
      </c>
      <c r="BI2192" t="s">
        <v>21954</v>
      </c>
      <c r="BJ2192" t="s">
        <v>101</v>
      </c>
      <c r="BK2192" t="s">
        <v>15907</v>
      </c>
      <c r="BL2192" t="s">
        <v>7390</v>
      </c>
      <c r="BM2192" t="s">
        <v>10695</v>
      </c>
      <c r="BN2192" t="s">
        <v>14623</v>
      </c>
    </row>
    <row r="2193" spans="1:66" x14ac:dyDescent="0.25">
      <c r="A2193" t="str">
        <f>HYPERLINK("https://elite.finviz.com/quote.ashx?t=DYAI&amp;ty=c&amp;p=d&amp;b=1", "DYAI")</f>
        <v>DYAI</v>
      </c>
      <c r="B2193">
        <v>6</v>
      </c>
      <c r="C2193">
        <v>127.03</v>
      </c>
      <c r="D2193">
        <v>66.36</v>
      </c>
      <c r="E2193" t="s">
        <v>21955</v>
      </c>
      <c r="F2193" t="s">
        <v>107</v>
      </c>
      <c r="G2193" t="s">
        <v>428</v>
      </c>
      <c r="H2193" t="s">
        <v>429</v>
      </c>
      <c r="I2193" t="s">
        <v>70</v>
      </c>
      <c r="J2193" t="s">
        <v>321</v>
      </c>
      <c r="K2193">
        <v>41.44</v>
      </c>
      <c r="L2193">
        <v>1.1399999999999999</v>
      </c>
      <c r="M2193" t="s">
        <v>9500</v>
      </c>
      <c r="N2193">
        <v>50000</v>
      </c>
      <c r="R2193">
        <v>10.01</v>
      </c>
      <c r="AA2193">
        <v>-0.19</v>
      </c>
      <c r="AB2193" t="s">
        <v>2621</v>
      </c>
      <c r="AC2193" t="s">
        <v>418</v>
      </c>
      <c r="AD2193" t="s">
        <v>13085</v>
      </c>
      <c r="AE2193" t="s">
        <v>21956</v>
      </c>
      <c r="AF2193" t="s">
        <v>973</v>
      </c>
      <c r="AG2193" t="s">
        <v>10648</v>
      </c>
      <c r="AH2193" t="s">
        <v>21957</v>
      </c>
      <c r="AI2193" t="s">
        <v>164</v>
      </c>
      <c r="AJ2193" t="s">
        <v>822</v>
      </c>
      <c r="AK2193" t="s">
        <v>9253</v>
      </c>
      <c r="AL2193">
        <v>2.02</v>
      </c>
      <c r="AM2193">
        <v>2.02</v>
      </c>
      <c r="AO2193" t="s">
        <v>21958</v>
      </c>
      <c r="AP2193" t="s">
        <v>21959</v>
      </c>
      <c r="AQ2193" t="s">
        <v>21960</v>
      </c>
      <c r="AR2193" t="s">
        <v>147</v>
      </c>
      <c r="AS2193" t="s">
        <v>4760</v>
      </c>
      <c r="AT2193" t="s">
        <v>6740</v>
      </c>
      <c r="AU2193" t="s">
        <v>10695</v>
      </c>
      <c r="AV2193" t="s">
        <v>4282</v>
      </c>
      <c r="AW2193" t="s">
        <v>332</v>
      </c>
      <c r="AX2193" t="s">
        <v>14507</v>
      </c>
      <c r="AY2193" t="s">
        <v>21961</v>
      </c>
      <c r="AZ2193" t="s">
        <v>14507</v>
      </c>
      <c r="BA2193">
        <v>1</v>
      </c>
      <c r="BB2193">
        <v>154.61000000000001</v>
      </c>
      <c r="BC2193">
        <v>1.1399999999999999</v>
      </c>
      <c r="BD2193">
        <v>1.17</v>
      </c>
      <c r="BE2193">
        <v>1.19</v>
      </c>
      <c r="BF2193">
        <v>1.1000000000000001</v>
      </c>
      <c r="BG2193" t="s">
        <v>21962</v>
      </c>
      <c r="BH2193" t="s">
        <v>21963</v>
      </c>
      <c r="BI2193" t="s">
        <v>21964</v>
      </c>
      <c r="BJ2193" t="s">
        <v>101</v>
      </c>
      <c r="BK2193" t="s">
        <v>4523</v>
      </c>
      <c r="BL2193" t="s">
        <v>18707</v>
      </c>
      <c r="BM2193" t="s">
        <v>9651</v>
      </c>
      <c r="BN2193" t="s">
        <v>14623</v>
      </c>
    </row>
    <row r="2194" spans="1:66" x14ac:dyDescent="0.25">
      <c r="A2194" t="str">
        <f>HYPERLINK("https://elite.finviz.com/quote.ashx?t=AIRS&amp;ty=c&amp;p=d&amp;b=1", "AIRS")</f>
        <v>AIRS</v>
      </c>
      <c r="B2194">
        <v>6</v>
      </c>
      <c r="C2194">
        <v>127.03</v>
      </c>
      <c r="D2194">
        <v>66.42</v>
      </c>
      <c r="E2194" t="s">
        <v>21965</v>
      </c>
      <c r="F2194" t="s">
        <v>67</v>
      </c>
      <c r="G2194" t="s">
        <v>428</v>
      </c>
      <c r="H2194" t="s">
        <v>3160</v>
      </c>
      <c r="I2194" t="s">
        <v>70</v>
      </c>
      <c r="J2194" t="s">
        <v>321</v>
      </c>
      <c r="K2194">
        <v>458.91</v>
      </c>
      <c r="L2194">
        <v>7.35</v>
      </c>
      <c r="M2194" t="s">
        <v>2418</v>
      </c>
      <c r="N2194">
        <v>105792</v>
      </c>
      <c r="P2194">
        <v>551.39</v>
      </c>
      <c r="R2194">
        <v>2.78</v>
      </c>
      <c r="S2194">
        <v>5.03</v>
      </c>
      <c r="V2194" t="s">
        <v>21966</v>
      </c>
      <c r="AA2194">
        <v>-0.25</v>
      </c>
      <c r="AB2194" t="s">
        <v>21967</v>
      </c>
      <c r="AC2194" t="s">
        <v>6282</v>
      </c>
      <c r="AD2194" t="s">
        <v>18004</v>
      </c>
      <c r="AE2194" t="s">
        <v>335</v>
      </c>
      <c r="AF2194" t="s">
        <v>6315</v>
      </c>
      <c r="AG2194" t="s">
        <v>1311</v>
      </c>
      <c r="AH2194" t="s">
        <v>4791</v>
      </c>
      <c r="AI2194" t="s">
        <v>21968</v>
      </c>
      <c r="AJ2194" t="s">
        <v>633</v>
      </c>
      <c r="AK2194" t="s">
        <v>8097</v>
      </c>
      <c r="AL2194">
        <v>0.64</v>
      </c>
      <c r="AM2194">
        <v>0.64</v>
      </c>
      <c r="AN2194">
        <v>0.95</v>
      </c>
      <c r="AO2194" t="s">
        <v>4796</v>
      </c>
      <c r="AP2194" t="s">
        <v>6105</v>
      </c>
      <c r="AQ2194" t="s">
        <v>20212</v>
      </c>
      <c r="AR2194" t="s">
        <v>6532</v>
      </c>
      <c r="AS2194" t="s">
        <v>5122</v>
      </c>
      <c r="AT2194" t="s">
        <v>3434</v>
      </c>
      <c r="AU2194" t="s">
        <v>6752</v>
      </c>
      <c r="AV2194" t="s">
        <v>21969</v>
      </c>
      <c r="AW2194" t="s">
        <v>8139</v>
      </c>
      <c r="AX2194" t="s">
        <v>4419</v>
      </c>
      <c r="AY2194" t="s">
        <v>21970</v>
      </c>
      <c r="AZ2194" t="s">
        <v>21971</v>
      </c>
      <c r="BA2194">
        <v>2.5</v>
      </c>
      <c r="BB2194">
        <v>715.14</v>
      </c>
      <c r="BC2194">
        <v>0.52</v>
      </c>
      <c r="BD2194">
        <v>7.31</v>
      </c>
      <c r="BE2194">
        <v>7.52</v>
      </c>
      <c r="BF2194">
        <v>7.3</v>
      </c>
      <c r="BG2194" t="s">
        <v>21972</v>
      </c>
      <c r="BH2194" t="s">
        <v>21973</v>
      </c>
      <c r="BI2194" t="s">
        <v>21971</v>
      </c>
      <c r="BJ2194" t="s">
        <v>101</v>
      </c>
      <c r="BK2194" t="s">
        <v>1882</v>
      </c>
      <c r="BL2194" t="s">
        <v>21974</v>
      </c>
      <c r="BM2194" t="s">
        <v>21975</v>
      </c>
      <c r="BN2194" t="s">
        <v>14623</v>
      </c>
    </row>
    <row r="2195" spans="1:66" x14ac:dyDescent="0.25">
      <c r="A2195" t="str">
        <f>HYPERLINK("https://elite.finviz.com/quote.ashx?t=SOCAU&amp;ty=c&amp;p=d&amp;b=1", "SOCAU")</f>
        <v>SOCAU</v>
      </c>
      <c r="B2195">
        <v>6</v>
      </c>
      <c r="C2195">
        <v>127.03</v>
      </c>
      <c r="D2195">
        <v>66.45</v>
      </c>
      <c r="E2195" t="s">
        <v>19161</v>
      </c>
      <c r="F2195" t="s">
        <v>107</v>
      </c>
      <c r="G2195" t="s">
        <v>550</v>
      </c>
      <c r="H2195" t="s">
        <v>2120</v>
      </c>
      <c r="I2195" t="s">
        <v>70</v>
      </c>
      <c r="J2195" t="s">
        <v>321</v>
      </c>
      <c r="K2195">
        <v>236.61</v>
      </c>
      <c r="L2195">
        <v>10.09</v>
      </c>
      <c r="M2195" t="s">
        <v>164</v>
      </c>
      <c r="N2195">
        <v>0</v>
      </c>
      <c r="AK2195" t="s">
        <v>4539</v>
      </c>
      <c r="AL2195">
        <v>0.02</v>
      </c>
      <c r="AM2195">
        <v>0.02</v>
      </c>
      <c r="AR2195" t="s">
        <v>2757</v>
      </c>
      <c r="AS2195" t="s">
        <v>4237</v>
      </c>
      <c r="AT2195" t="s">
        <v>430</v>
      </c>
      <c r="AU2195" t="s">
        <v>439</v>
      </c>
      <c r="AV2195" t="s">
        <v>439</v>
      </c>
      <c r="AW2195" t="s">
        <v>8979</v>
      </c>
      <c r="AX2195" t="s">
        <v>3047</v>
      </c>
      <c r="AY2195" t="s">
        <v>8979</v>
      </c>
      <c r="AZ2195" t="s">
        <v>3047</v>
      </c>
      <c r="BB2195">
        <v>237.95</v>
      </c>
      <c r="BC2195">
        <v>0</v>
      </c>
      <c r="BD2195">
        <v>10.09</v>
      </c>
      <c r="BE2195">
        <v>10.09</v>
      </c>
      <c r="BF2195">
        <v>10.09</v>
      </c>
      <c r="BG2195" t="s">
        <v>21976</v>
      </c>
      <c r="BH2195" t="s">
        <v>8979</v>
      </c>
      <c r="BI2195" t="s">
        <v>3047</v>
      </c>
      <c r="BJ2195" t="s">
        <v>101</v>
      </c>
      <c r="BN2195" t="s">
        <v>14623</v>
      </c>
    </row>
    <row r="2196" spans="1:66" x14ac:dyDescent="0.25">
      <c r="A2196" t="str">
        <f>HYPERLINK("https://elite.finviz.com/quote.ashx?t=GROW&amp;ty=c&amp;p=d&amp;b=1", "GROW")</f>
        <v>GROW</v>
      </c>
      <c r="B2196">
        <v>6</v>
      </c>
      <c r="C2196">
        <v>127.03</v>
      </c>
      <c r="D2196">
        <v>66.459999999999994</v>
      </c>
      <c r="E2196" t="s">
        <v>21977</v>
      </c>
      <c r="F2196" t="s">
        <v>107</v>
      </c>
      <c r="G2196" t="s">
        <v>550</v>
      </c>
      <c r="H2196" t="s">
        <v>2597</v>
      </c>
      <c r="I2196" t="s">
        <v>70</v>
      </c>
      <c r="J2196" t="s">
        <v>321</v>
      </c>
      <c r="K2196">
        <v>34.54</v>
      </c>
      <c r="L2196">
        <v>2.66</v>
      </c>
      <c r="M2196" t="s">
        <v>2216</v>
      </c>
      <c r="N2196">
        <v>8814</v>
      </c>
      <c r="R2196">
        <v>3.89</v>
      </c>
      <c r="S2196">
        <v>0.77</v>
      </c>
      <c r="T2196" t="s">
        <v>2233</v>
      </c>
      <c r="U2196">
        <v>0.1</v>
      </c>
      <c r="V2196" t="s">
        <v>21978</v>
      </c>
      <c r="W2196" t="s">
        <v>164</v>
      </c>
      <c r="X2196" t="s">
        <v>164</v>
      </c>
      <c r="Y2196" t="s">
        <v>1628</v>
      </c>
      <c r="Z2196" t="s">
        <v>21979</v>
      </c>
      <c r="AA2196">
        <v>-0.03</v>
      </c>
      <c r="AC2196" t="s">
        <v>1816</v>
      </c>
      <c r="AE2196" t="s">
        <v>21980</v>
      </c>
      <c r="AF2196" t="s">
        <v>5190</v>
      </c>
      <c r="AG2196" t="s">
        <v>8848</v>
      </c>
      <c r="AH2196" t="s">
        <v>18665</v>
      </c>
      <c r="AJ2196" t="s">
        <v>164</v>
      </c>
      <c r="AK2196" t="s">
        <v>21981</v>
      </c>
      <c r="AL2196">
        <v>22.21</v>
      </c>
      <c r="AM2196">
        <v>22.21</v>
      </c>
      <c r="AN2196">
        <v>0</v>
      </c>
      <c r="AP2196" t="s">
        <v>21982</v>
      </c>
      <c r="AQ2196" t="s">
        <v>5913</v>
      </c>
      <c r="AR2196" t="s">
        <v>1933</v>
      </c>
      <c r="AS2196" t="s">
        <v>90</v>
      </c>
      <c r="AT2196" t="s">
        <v>5152</v>
      </c>
      <c r="AU2196" t="s">
        <v>1114</v>
      </c>
      <c r="AV2196" t="s">
        <v>4462</v>
      </c>
      <c r="AW2196" t="s">
        <v>133</v>
      </c>
      <c r="AX2196" t="s">
        <v>6752</v>
      </c>
      <c r="AY2196" t="s">
        <v>133</v>
      </c>
      <c r="AZ2196" t="s">
        <v>11983</v>
      </c>
      <c r="BB2196">
        <v>33</v>
      </c>
      <c r="BC2196">
        <v>0.95</v>
      </c>
      <c r="BD2196">
        <v>2.65</v>
      </c>
      <c r="BE2196">
        <v>2.7</v>
      </c>
      <c r="BF2196">
        <v>2.64</v>
      </c>
      <c r="BG2196" t="s">
        <v>21983</v>
      </c>
      <c r="BH2196" t="s">
        <v>21984</v>
      </c>
      <c r="BI2196" t="s">
        <v>21985</v>
      </c>
      <c r="BJ2196" t="s">
        <v>101</v>
      </c>
      <c r="BK2196" t="s">
        <v>5102</v>
      </c>
      <c r="BL2196" t="s">
        <v>5405</v>
      </c>
      <c r="BM2196" t="s">
        <v>2647</v>
      </c>
      <c r="BN2196" t="s">
        <v>14623</v>
      </c>
    </row>
    <row r="2197" spans="1:66" x14ac:dyDescent="0.25">
      <c r="A2197" t="str">
        <f>HYPERLINK("https://elite.finviz.com/quote.ashx?t=CMT&amp;ty=c&amp;p=d&amp;b=1", "CMT")</f>
        <v>CMT</v>
      </c>
      <c r="B2197">
        <v>6</v>
      </c>
      <c r="C2197">
        <v>127.03</v>
      </c>
      <c r="D2197">
        <v>66.5</v>
      </c>
      <c r="E2197" t="s">
        <v>21986</v>
      </c>
      <c r="F2197" t="s">
        <v>67</v>
      </c>
      <c r="G2197" t="s">
        <v>355</v>
      </c>
      <c r="H2197" t="s">
        <v>1147</v>
      </c>
      <c r="I2197" t="s">
        <v>70</v>
      </c>
      <c r="J2197" t="s">
        <v>383</v>
      </c>
      <c r="K2197">
        <v>187.11</v>
      </c>
      <c r="L2197">
        <v>21.85</v>
      </c>
      <c r="M2197" t="s">
        <v>4946</v>
      </c>
      <c r="N2197">
        <v>7487</v>
      </c>
      <c r="O2197">
        <v>20.38</v>
      </c>
      <c r="P2197">
        <v>13.01</v>
      </c>
      <c r="R2197">
        <v>0.68</v>
      </c>
      <c r="S2197">
        <v>1.22</v>
      </c>
      <c r="V2197" t="s">
        <v>21987</v>
      </c>
      <c r="Z2197" t="s">
        <v>164</v>
      </c>
      <c r="AA2197">
        <v>1.07</v>
      </c>
      <c r="AB2197" t="s">
        <v>21988</v>
      </c>
      <c r="AE2197" t="s">
        <v>21989</v>
      </c>
      <c r="AF2197" t="s">
        <v>2103</v>
      </c>
      <c r="AG2197" t="s">
        <v>2650</v>
      </c>
      <c r="AH2197" t="s">
        <v>21990</v>
      </c>
      <c r="AI2197" t="s">
        <v>663</v>
      </c>
      <c r="AJ2197" t="s">
        <v>12206</v>
      </c>
      <c r="AK2197" t="s">
        <v>14345</v>
      </c>
      <c r="AL2197">
        <v>2.85</v>
      </c>
      <c r="AM2197">
        <v>2.36</v>
      </c>
      <c r="AN2197">
        <v>0.16</v>
      </c>
      <c r="AO2197" t="s">
        <v>3272</v>
      </c>
      <c r="AP2197" t="s">
        <v>6460</v>
      </c>
      <c r="AQ2197" t="s">
        <v>4569</v>
      </c>
      <c r="AR2197" t="s">
        <v>4916</v>
      </c>
      <c r="AS2197" t="s">
        <v>4394</v>
      </c>
      <c r="AT2197" t="s">
        <v>3602</v>
      </c>
      <c r="AU2197" t="s">
        <v>10361</v>
      </c>
      <c r="AV2197" t="s">
        <v>12636</v>
      </c>
      <c r="AW2197" t="s">
        <v>1225</v>
      </c>
      <c r="AX2197" t="s">
        <v>18832</v>
      </c>
      <c r="AY2197" t="s">
        <v>1225</v>
      </c>
      <c r="AZ2197" t="s">
        <v>21991</v>
      </c>
      <c r="BA2197">
        <v>1</v>
      </c>
      <c r="BB2197">
        <v>31.32</v>
      </c>
      <c r="BC2197">
        <v>0.85</v>
      </c>
      <c r="BD2197">
        <v>21.48</v>
      </c>
      <c r="BE2197">
        <v>22</v>
      </c>
      <c r="BF2197">
        <v>21.9</v>
      </c>
      <c r="BG2197" t="s">
        <v>21992</v>
      </c>
      <c r="BH2197" t="s">
        <v>21993</v>
      </c>
      <c r="BI2197" t="s">
        <v>21994</v>
      </c>
      <c r="BJ2197" t="s">
        <v>101</v>
      </c>
      <c r="BK2197" t="s">
        <v>7006</v>
      </c>
      <c r="BL2197" t="s">
        <v>21995</v>
      </c>
      <c r="BM2197" t="s">
        <v>10300</v>
      </c>
      <c r="BN2197" t="s">
        <v>14623</v>
      </c>
    </row>
    <row r="2198" spans="1:66" x14ac:dyDescent="0.25">
      <c r="A2198" t="str">
        <f>HYPERLINK("https://elite.finviz.com/quote.ashx?t=SCLX&amp;ty=c&amp;p=d&amp;b=1", "SCLX")</f>
        <v>SCLX</v>
      </c>
      <c r="B2198">
        <v>6</v>
      </c>
      <c r="C2198">
        <v>127.03</v>
      </c>
      <c r="D2198">
        <v>66.709999999999994</v>
      </c>
      <c r="E2198" t="s">
        <v>21996</v>
      </c>
      <c r="F2198" t="s">
        <v>107</v>
      </c>
      <c r="G2198" t="s">
        <v>428</v>
      </c>
      <c r="H2198" t="s">
        <v>4701</v>
      </c>
      <c r="I2198" t="s">
        <v>70</v>
      </c>
      <c r="J2198" t="s">
        <v>321</v>
      </c>
      <c r="K2198">
        <v>198.09</v>
      </c>
      <c r="L2198">
        <v>28.48</v>
      </c>
      <c r="M2198" t="s">
        <v>5153</v>
      </c>
      <c r="N2198">
        <v>34355</v>
      </c>
      <c r="P2198">
        <v>9.16</v>
      </c>
      <c r="R2198">
        <v>4.4800000000000004</v>
      </c>
      <c r="AA2198">
        <v>-12.12</v>
      </c>
      <c r="AB2198" t="s">
        <v>276</v>
      </c>
      <c r="AE2198" t="s">
        <v>303</v>
      </c>
      <c r="AF2198" t="s">
        <v>7254</v>
      </c>
      <c r="AH2198" t="s">
        <v>21997</v>
      </c>
      <c r="AI2198" t="s">
        <v>1364</v>
      </c>
      <c r="AJ2198" t="s">
        <v>164</v>
      </c>
      <c r="AK2198" t="s">
        <v>7567</v>
      </c>
      <c r="AL2198">
        <v>0.08</v>
      </c>
      <c r="AM2198">
        <v>7.0000000000000007E-2</v>
      </c>
      <c r="AO2198" t="s">
        <v>21998</v>
      </c>
      <c r="AP2198" t="s">
        <v>21999</v>
      </c>
      <c r="AQ2198" t="s">
        <v>22000</v>
      </c>
      <c r="AR2198" t="s">
        <v>4109</v>
      </c>
      <c r="AS2198" t="s">
        <v>8188</v>
      </c>
      <c r="AT2198" t="s">
        <v>3774</v>
      </c>
      <c r="AU2198" t="s">
        <v>16693</v>
      </c>
      <c r="AV2198" t="s">
        <v>22001</v>
      </c>
      <c r="AW2198" t="s">
        <v>10304</v>
      </c>
      <c r="AX2198" t="s">
        <v>22002</v>
      </c>
      <c r="AY2198" t="s">
        <v>22003</v>
      </c>
      <c r="AZ2198" t="s">
        <v>22004</v>
      </c>
      <c r="BA2198">
        <v>3</v>
      </c>
      <c r="BB2198">
        <v>230.59</v>
      </c>
      <c r="BC2198">
        <v>0.52</v>
      </c>
      <c r="BD2198">
        <v>28.87</v>
      </c>
      <c r="BE2198">
        <v>29.27</v>
      </c>
      <c r="BF2198">
        <v>28</v>
      </c>
      <c r="BG2198" t="s">
        <v>22005</v>
      </c>
      <c r="BH2198" t="s">
        <v>22006</v>
      </c>
      <c r="BI2198" t="s">
        <v>22004</v>
      </c>
      <c r="BJ2198" t="s">
        <v>101</v>
      </c>
      <c r="BK2198" t="s">
        <v>12594</v>
      </c>
      <c r="BL2198" t="s">
        <v>22007</v>
      </c>
      <c r="BM2198" t="s">
        <v>3950</v>
      </c>
      <c r="BN2198" t="s">
        <v>14623</v>
      </c>
    </row>
    <row r="2199" spans="1:66" x14ac:dyDescent="0.25">
      <c r="A2199" t="str">
        <f>HYPERLINK("https://elite.finviz.com/quote.ashx?t=RSSS&amp;ty=c&amp;p=d&amp;b=1", "RSSS")</f>
        <v>RSSS</v>
      </c>
      <c r="B2199">
        <v>6</v>
      </c>
      <c r="C2199">
        <v>127.03</v>
      </c>
      <c r="D2199">
        <v>66.760000000000005</v>
      </c>
      <c r="E2199" t="s">
        <v>22008</v>
      </c>
      <c r="F2199" t="s">
        <v>107</v>
      </c>
      <c r="G2199" t="s">
        <v>108</v>
      </c>
      <c r="H2199" t="s">
        <v>136</v>
      </c>
      <c r="I2199" t="s">
        <v>70</v>
      </c>
      <c r="J2199" t="s">
        <v>321</v>
      </c>
      <c r="K2199">
        <v>127.21</v>
      </c>
      <c r="L2199">
        <v>3.88</v>
      </c>
      <c r="M2199" t="s">
        <v>6493</v>
      </c>
      <c r="N2199">
        <v>23243</v>
      </c>
      <c r="O2199">
        <v>112.65</v>
      </c>
      <c r="P2199">
        <v>20.95</v>
      </c>
      <c r="R2199">
        <v>2.59</v>
      </c>
      <c r="S2199">
        <v>9.0399999999999991</v>
      </c>
      <c r="Z2199" t="s">
        <v>164</v>
      </c>
      <c r="AA2199">
        <v>0.03</v>
      </c>
      <c r="AE2199" t="s">
        <v>12974</v>
      </c>
      <c r="AF2199" t="s">
        <v>1476</v>
      </c>
      <c r="AG2199" t="s">
        <v>4223</v>
      </c>
      <c r="AH2199" t="s">
        <v>179</v>
      </c>
      <c r="AI2199" t="s">
        <v>4279</v>
      </c>
      <c r="AJ2199" t="s">
        <v>164</v>
      </c>
      <c r="AK2199" t="s">
        <v>7690</v>
      </c>
      <c r="AL2199">
        <v>0.78</v>
      </c>
      <c r="AM2199">
        <v>0.78</v>
      </c>
      <c r="AN2199">
        <v>0</v>
      </c>
      <c r="AO2199" t="s">
        <v>11094</v>
      </c>
      <c r="AP2199" t="s">
        <v>2523</v>
      </c>
      <c r="AQ2199" t="s">
        <v>2619</v>
      </c>
      <c r="AR2199" t="s">
        <v>1159</v>
      </c>
      <c r="AS2199" t="s">
        <v>3981</v>
      </c>
      <c r="AT2199" t="s">
        <v>3326</v>
      </c>
      <c r="AU2199" t="s">
        <v>3750</v>
      </c>
      <c r="AV2199" t="s">
        <v>7790</v>
      </c>
      <c r="AW2199" t="s">
        <v>8929</v>
      </c>
      <c r="AX2199" t="s">
        <v>22009</v>
      </c>
      <c r="AY2199" t="s">
        <v>5409</v>
      </c>
      <c r="AZ2199" t="s">
        <v>15758</v>
      </c>
      <c r="BA2199">
        <v>1</v>
      </c>
      <c r="BB2199">
        <v>99.85</v>
      </c>
      <c r="BC2199">
        <v>0.83</v>
      </c>
      <c r="BD2199">
        <v>3.81</v>
      </c>
      <c r="BE2199">
        <v>3.94</v>
      </c>
      <c r="BF2199">
        <v>3.84</v>
      </c>
      <c r="BG2199" t="s">
        <v>22010</v>
      </c>
      <c r="BH2199" t="s">
        <v>5409</v>
      </c>
      <c r="BI2199" t="s">
        <v>22011</v>
      </c>
      <c r="BJ2199" t="s">
        <v>101</v>
      </c>
      <c r="BK2199" t="s">
        <v>13386</v>
      </c>
      <c r="BL2199" t="s">
        <v>11421</v>
      </c>
      <c r="BM2199" t="s">
        <v>13270</v>
      </c>
      <c r="BN2199" t="s">
        <v>14623</v>
      </c>
    </row>
    <row r="2200" spans="1:66" x14ac:dyDescent="0.25">
      <c r="A2200" t="str">
        <f>HYPERLINK("https://elite.finviz.com/quote.ashx?t=AARD&amp;ty=c&amp;p=d&amp;b=1", "AARD")</f>
        <v>AARD</v>
      </c>
      <c r="B2200">
        <v>6</v>
      </c>
      <c r="C2200">
        <v>127.03</v>
      </c>
      <c r="D2200">
        <v>66.760000000000005</v>
      </c>
      <c r="E2200" t="s">
        <v>22012</v>
      </c>
      <c r="F2200" t="s">
        <v>67</v>
      </c>
      <c r="G2200" t="s">
        <v>428</v>
      </c>
      <c r="H2200" t="s">
        <v>429</v>
      </c>
      <c r="I2200" t="s">
        <v>70</v>
      </c>
      <c r="J2200" t="s">
        <v>321</v>
      </c>
      <c r="K2200">
        <v>270.77999999999997</v>
      </c>
      <c r="L2200">
        <v>12.48</v>
      </c>
      <c r="M2200" t="s">
        <v>600</v>
      </c>
      <c r="N2200">
        <v>16582</v>
      </c>
      <c r="S2200">
        <v>1.98</v>
      </c>
      <c r="AA2200">
        <v>-1.69</v>
      </c>
      <c r="AB2200" t="s">
        <v>7173</v>
      </c>
      <c r="AD2200" t="s">
        <v>3789</v>
      </c>
      <c r="AI2200" t="s">
        <v>10731</v>
      </c>
      <c r="AJ2200" t="s">
        <v>6719</v>
      </c>
      <c r="AK2200" t="s">
        <v>142</v>
      </c>
      <c r="AL2200">
        <v>14.04</v>
      </c>
      <c r="AM2200">
        <v>14.04</v>
      </c>
      <c r="AN2200">
        <v>0</v>
      </c>
      <c r="AR2200" t="s">
        <v>3228</v>
      </c>
      <c r="AS2200" t="s">
        <v>2984</v>
      </c>
      <c r="AT2200" t="s">
        <v>3312</v>
      </c>
      <c r="AU2200" t="s">
        <v>1224</v>
      </c>
      <c r="AV2200" t="s">
        <v>10498</v>
      </c>
      <c r="AW2200" t="s">
        <v>3527</v>
      </c>
      <c r="AX2200" t="s">
        <v>10299</v>
      </c>
      <c r="AY2200" t="s">
        <v>6243</v>
      </c>
      <c r="AZ2200" t="s">
        <v>22013</v>
      </c>
      <c r="BA2200">
        <v>1</v>
      </c>
      <c r="BB2200">
        <v>120.64</v>
      </c>
      <c r="BC2200">
        <v>0.48</v>
      </c>
      <c r="BD2200">
        <v>12.67</v>
      </c>
      <c r="BE2200">
        <v>12.79</v>
      </c>
      <c r="BF2200">
        <v>12.31</v>
      </c>
      <c r="BG2200" t="s">
        <v>22014</v>
      </c>
      <c r="BH2200" t="s">
        <v>6243</v>
      </c>
      <c r="BI2200" t="s">
        <v>22013</v>
      </c>
      <c r="BJ2200" t="s">
        <v>101</v>
      </c>
      <c r="BK2200" t="s">
        <v>14672</v>
      </c>
      <c r="BL2200" t="s">
        <v>7741</v>
      </c>
      <c r="BN2200" t="s">
        <v>14623</v>
      </c>
    </row>
    <row r="2201" spans="1:66" x14ac:dyDescent="0.25">
      <c r="A2201" t="str">
        <f>HYPERLINK("https://elite.finviz.com/quote.ashx?t=WSBF&amp;ty=c&amp;p=d&amp;b=1", "WSBF")</f>
        <v>WSBF</v>
      </c>
      <c r="B2201">
        <v>6</v>
      </c>
      <c r="C2201">
        <v>127.03</v>
      </c>
      <c r="D2201">
        <v>66.77</v>
      </c>
      <c r="E2201" t="s">
        <v>22015</v>
      </c>
      <c r="F2201" t="s">
        <v>67</v>
      </c>
      <c r="G2201" t="s">
        <v>550</v>
      </c>
      <c r="H2201" t="s">
        <v>697</v>
      </c>
      <c r="I2201" t="s">
        <v>70</v>
      </c>
      <c r="J2201" t="s">
        <v>321</v>
      </c>
      <c r="K2201">
        <v>297.38</v>
      </c>
      <c r="L2201">
        <v>15.92</v>
      </c>
      <c r="M2201" t="s">
        <v>4266</v>
      </c>
      <c r="N2201">
        <v>7121</v>
      </c>
      <c r="O2201">
        <v>14.03</v>
      </c>
      <c r="R2201">
        <v>1.5</v>
      </c>
      <c r="S2201">
        <v>0.88</v>
      </c>
      <c r="T2201" t="s">
        <v>1100</v>
      </c>
      <c r="U2201">
        <v>0.6</v>
      </c>
      <c r="V2201" t="s">
        <v>4489</v>
      </c>
      <c r="W2201" t="s">
        <v>8795</v>
      </c>
      <c r="X2201" t="s">
        <v>2364</v>
      </c>
      <c r="Y2201" t="s">
        <v>371</v>
      </c>
      <c r="Z2201" t="s">
        <v>9209</v>
      </c>
      <c r="AA2201">
        <v>1.1299999999999999</v>
      </c>
      <c r="AB2201" t="s">
        <v>13514</v>
      </c>
      <c r="AC2201" t="s">
        <v>11313</v>
      </c>
      <c r="AE2201" t="s">
        <v>3024</v>
      </c>
      <c r="AF2201" t="s">
        <v>22016</v>
      </c>
      <c r="AG2201" t="s">
        <v>1574</v>
      </c>
      <c r="AH2201" t="s">
        <v>9085</v>
      </c>
      <c r="AJ2201" t="s">
        <v>15684</v>
      </c>
      <c r="AK2201" t="s">
        <v>4302</v>
      </c>
      <c r="AL2201">
        <v>0.06</v>
      </c>
      <c r="AN2201">
        <v>1.36</v>
      </c>
      <c r="AP2201" t="s">
        <v>1925</v>
      </c>
      <c r="AQ2201" t="s">
        <v>3368</v>
      </c>
      <c r="AR2201" t="s">
        <v>1934</v>
      </c>
      <c r="AS2201" t="s">
        <v>715</v>
      </c>
      <c r="AT2201" t="s">
        <v>161</v>
      </c>
      <c r="AU2201" t="s">
        <v>6981</v>
      </c>
      <c r="AV2201" t="s">
        <v>7629</v>
      </c>
      <c r="AW2201" t="s">
        <v>4126</v>
      </c>
      <c r="AX2201" t="s">
        <v>5679</v>
      </c>
      <c r="AY2201" t="s">
        <v>15949</v>
      </c>
      <c r="AZ2201" t="s">
        <v>9195</v>
      </c>
      <c r="BA2201">
        <v>3</v>
      </c>
      <c r="BB2201">
        <v>54.91</v>
      </c>
      <c r="BC2201">
        <v>0.46</v>
      </c>
      <c r="BD2201">
        <v>15.88</v>
      </c>
      <c r="BE2201">
        <v>16.079999999999998</v>
      </c>
      <c r="BF2201">
        <v>15.86</v>
      </c>
      <c r="BG2201" t="s">
        <v>22017</v>
      </c>
      <c r="BH2201" t="s">
        <v>22018</v>
      </c>
      <c r="BI2201" t="s">
        <v>22019</v>
      </c>
      <c r="BJ2201" t="s">
        <v>101</v>
      </c>
      <c r="BK2201" t="s">
        <v>6474</v>
      </c>
      <c r="BL2201" t="s">
        <v>1562</v>
      </c>
      <c r="BM2201" t="s">
        <v>3066</v>
      </c>
      <c r="BN2201" t="s">
        <v>14623</v>
      </c>
    </row>
    <row r="2202" spans="1:66" x14ac:dyDescent="0.25">
      <c r="A2202" t="str">
        <f>HYPERLINK("https://elite.finviz.com/quote.ashx?t=MAYA&amp;ty=c&amp;p=d&amp;b=1", "MAYA")</f>
        <v>MAYA</v>
      </c>
      <c r="B2202">
        <v>6</v>
      </c>
      <c r="C2202">
        <v>127.03</v>
      </c>
      <c r="D2202">
        <v>66.81</v>
      </c>
      <c r="E2202" t="s">
        <v>22020</v>
      </c>
      <c r="F2202" t="s">
        <v>107</v>
      </c>
      <c r="G2202" t="s">
        <v>550</v>
      </c>
      <c r="H2202" t="s">
        <v>2120</v>
      </c>
      <c r="I2202" t="s">
        <v>70</v>
      </c>
      <c r="J2202" t="s">
        <v>321</v>
      </c>
      <c r="K2202">
        <v>152.96</v>
      </c>
      <c r="L2202">
        <v>10.24</v>
      </c>
      <c r="M2202" t="s">
        <v>164</v>
      </c>
      <c r="N2202">
        <v>0</v>
      </c>
      <c r="O2202">
        <v>123.29</v>
      </c>
      <c r="S2202">
        <v>1.82</v>
      </c>
      <c r="AA2202">
        <v>0.08</v>
      </c>
      <c r="AJ2202" t="s">
        <v>164</v>
      </c>
      <c r="AK2202" t="s">
        <v>22021</v>
      </c>
      <c r="AL2202">
        <v>23.69</v>
      </c>
      <c r="AM2202">
        <v>23.69</v>
      </c>
      <c r="AN2202">
        <v>0.01</v>
      </c>
      <c r="AR2202" t="s">
        <v>4507</v>
      </c>
      <c r="AS2202" t="s">
        <v>4494</v>
      </c>
      <c r="AT2202" t="s">
        <v>3226</v>
      </c>
      <c r="AU2202" t="s">
        <v>6117</v>
      </c>
      <c r="AV2202" t="s">
        <v>4493</v>
      </c>
      <c r="AW2202" t="s">
        <v>3752</v>
      </c>
      <c r="AX2202" t="s">
        <v>4891</v>
      </c>
      <c r="AY2202" t="s">
        <v>3752</v>
      </c>
      <c r="AZ2202" t="s">
        <v>2838</v>
      </c>
      <c r="BB2202">
        <v>68.430000000000007</v>
      </c>
      <c r="BC2202">
        <v>0</v>
      </c>
      <c r="BD2202">
        <v>10.24</v>
      </c>
      <c r="BE2202">
        <v>10.24</v>
      </c>
      <c r="BF2202">
        <v>10.24</v>
      </c>
      <c r="BG2202" t="s">
        <v>22022</v>
      </c>
      <c r="BH2202" t="s">
        <v>3752</v>
      </c>
      <c r="BI2202" t="s">
        <v>2838</v>
      </c>
      <c r="BJ2202" t="s">
        <v>101</v>
      </c>
      <c r="BK2202" t="s">
        <v>4945</v>
      </c>
      <c r="BN2202" t="s">
        <v>14623</v>
      </c>
    </row>
    <row r="2203" spans="1:66" x14ac:dyDescent="0.25">
      <c r="A2203" t="str">
        <f>HYPERLINK("https://elite.finviz.com/quote.ashx?t=OII&amp;ty=c&amp;p=d&amp;b=1", "OII")</f>
        <v>OII</v>
      </c>
      <c r="B2203">
        <v>6</v>
      </c>
      <c r="C2203">
        <v>127.03</v>
      </c>
      <c r="D2203">
        <v>66.86</v>
      </c>
      <c r="E2203" t="s">
        <v>22023</v>
      </c>
      <c r="F2203" t="s">
        <v>67</v>
      </c>
      <c r="G2203" t="s">
        <v>1048</v>
      </c>
      <c r="H2203" t="s">
        <v>8341</v>
      </c>
      <c r="I2203" t="s">
        <v>70</v>
      </c>
      <c r="J2203" t="s">
        <v>71</v>
      </c>
      <c r="K2203">
        <v>2573.77</v>
      </c>
      <c r="L2203">
        <v>25.68</v>
      </c>
      <c r="M2203" t="s">
        <v>7780</v>
      </c>
      <c r="N2203">
        <v>75297</v>
      </c>
      <c r="O2203">
        <v>12.96</v>
      </c>
      <c r="P2203">
        <v>14.52</v>
      </c>
      <c r="Q2203">
        <v>0.63</v>
      </c>
      <c r="R2203">
        <v>0.93</v>
      </c>
      <c r="S2203">
        <v>3.06</v>
      </c>
      <c r="V2203" t="s">
        <v>22024</v>
      </c>
      <c r="Z2203" t="s">
        <v>164</v>
      </c>
      <c r="AA2203">
        <v>1.98</v>
      </c>
      <c r="AD2203" t="s">
        <v>19879</v>
      </c>
      <c r="AE2203" t="s">
        <v>15964</v>
      </c>
      <c r="AF2203" t="s">
        <v>302</v>
      </c>
      <c r="AG2203" t="s">
        <v>2580</v>
      </c>
      <c r="AH2203" t="s">
        <v>5026</v>
      </c>
      <c r="AI2203" t="s">
        <v>482</v>
      </c>
      <c r="AJ2203" t="s">
        <v>7243</v>
      </c>
      <c r="AK2203" t="s">
        <v>22025</v>
      </c>
      <c r="AL2203">
        <v>2</v>
      </c>
      <c r="AM2203">
        <v>1.67</v>
      </c>
      <c r="AN2203">
        <v>0.95</v>
      </c>
      <c r="AO2203" t="s">
        <v>2710</v>
      </c>
      <c r="AP2203" t="s">
        <v>6085</v>
      </c>
      <c r="AQ2203" t="s">
        <v>5151</v>
      </c>
      <c r="AR2203" t="s">
        <v>6121</v>
      </c>
      <c r="AS2203" t="s">
        <v>3500</v>
      </c>
      <c r="AT2203" t="s">
        <v>1749</v>
      </c>
      <c r="AU2203" t="s">
        <v>6981</v>
      </c>
      <c r="AV2203" t="s">
        <v>12975</v>
      </c>
      <c r="AW2203" t="s">
        <v>5809</v>
      </c>
      <c r="AX2203" t="s">
        <v>10659</v>
      </c>
      <c r="AY2203" t="s">
        <v>13554</v>
      </c>
      <c r="AZ2203" t="s">
        <v>22026</v>
      </c>
      <c r="BA2203">
        <v>2.6</v>
      </c>
      <c r="BB2203">
        <v>744.26</v>
      </c>
      <c r="BC2203">
        <v>0.36</v>
      </c>
      <c r="BD2203">
        <v>25.33</v>
      </c>
      <c r="BE2203">
        <v>25.91</v>
      </c>
      <c r="BF2203">
        <v>25.33</v>
      </c>
      <c r="BG2203" t="s">
        <v>22027</v>
      </c>
      <c r="BH2203" t="s">
        <v>22028</v>
      </c>
      <c r="BI2203" t="s">
        <v>22029</v>
      </c>
      <c r="BJ2203" t="s">
        <v>101</v>
      </c>
      <c r="BK2203" t="s">
        <v>15814</v>
      </c>
      <c r="BL2203" t="s">
        <v>7629</v>
      </c>
      <c r="BM2203" t="s">
        <v>6127</v>
      </c>
      <c r="BN2203" t="s">
        <v>14623</v>
      </c>
    </row>
    <row r="2204" spans="1:66" x14ac:dyDescent="0.25">
      <c r="A2204" t="str">
        <f>HYPERLINK("https://elite.finviz.com/quote.ashx?t=CLIR&amp;ty=c&amp;p=d&amp;b=1", "CLIR")</f>
        <v>CLIR</v>
      </c>
      <c r="B2204">
        <v>6</v>
      </c>
      <c r="C2204">
        <v>127.03</v>
      </c>
      <c r="D2204">
        <v>66.88</v>
      </c>
      <c r="E2204" t="s">
        <v>22030</v>
      </c>
      <c r="F2204" t="s">
        <v>107</v>
      </c>
      <c r="G2204" t="s">
        <v>260</v>
      </c>
      <c r="H2204" t="s">
        <v>4347</v>
      </c>
      <c r="I2204" t="s">
        <v>70</v>
      </c>
      <c r="J2204" t="s">
        <v>321</v>
      </c>
      <c r="K2204">
        <v>42.87</v>
      </c>
      <c r="L2204">
        <v>0.82</v>
      </c>
      <c r="M2204" t="s">
        <v>6751</v>
      </c>
      <c r="N2204">
        <v>293546</v>
      </c>
      <c r="R2204">
        <v>14.39</v>
      </c>
      <c r="S2204">
        <v>4.12</v>
      </c>
      <c r="AA2204">
        <v>-0.11</v>
      </c>
      <c r="AB2204" t="s">
        <v>19198</v>
      </c>
      <c r="AC2204" t="s">
        <v>13712</v>
      </c>
      <c r="AD2204" t="s">
        <v>5394</v>
      </c>
      <c r="AE2204" t="s">
        <v>7206</v>
      </c>
      <c r="AF2204" t="s">
        <v>22031</v>
      </c>
      <c r="AH2204" t="s">
        <v>17858</v>
      </c>
      <c r="AI2204" t="s">
        <v>2621</v>
      </c>
      <c r="AJ2204" t="s">
        <v>164</v>
      </c>
      <c r="AK2204" t="s">
        <v>1341</v>
      </c>
      <c r="AL2204">
        <v>3.56</v>
      </c>
      <c r="AM2204">
        <v>3.56</v>
      </c>
      <c r="AN2204">
        <v>0.02</v>
      </c>
      <c r="AO2204" t="s">
        <v>645</v>
      </c>
      <c r="AP2204" t="s">
        <v>22032</v>
      </c>
      <c r="AQ2204" t="s">
        <v>22033</v>
      </c>
      <c r="AR2204" t="s">
        <v>5805</v>
      </c>
      <c r="AS2204" t="s">
        <v>3002</v>
      </c>
      <c r="AT2204" t="s">
        <v>9686</v>
      </c>
      <c r="AU2204" t="s">
        <v>16723</v>
      </c>
      <c r="AV2204" t="s">
        <v>1771</v>
      </c>
      <c r="AW2204" t="s">
        <v>22034</v>
      </c>
      <c r="AX2204" t="s">
        <v>11334</v>
      </c>
      <c r="AY2204" t="s">
        <v>22035</v>
      </c>
      <c r="AZ2204" t="s">
        <v>15066</v>
      </c>
      <c r="BA2204">
        <v>1</v>
      </c>
      <c r="BB2204">
        <v>706.94</v>
      </c>
      <c r="BC2204">
        <v>1.46</v>
      </c>
      <c r="BD2204">
        <v>0.73</v>
      </c>
      <c r="BE2204">
        <v>0.86</v>
      </c>
      <c r="BF2204">
        <v>0.78</v>
      </c>
      <c r="BG2204" t="s">
        <v>22036</v>
      </c>
      <c r="BH2204" t="s">
        <v>22037</v>
      </c>
      <c r="BI2204" t="s">
        <v>22038</v>
      </c>
      <c r="BJ2204" t="s">
        <v>101</v>
      </c>
      <c r="BK2204" t="s">
        <v>4612</v>
      </c>
      <c r="BL2204" t="s">
        <v>3205</v>
      </c>
      <c r="BM2204" t="s">
        <v>2201</v>
      </c>
      <c r="BN2204" t="s">
        <v>14623</v>
      </c>
    </row>
    <row r="2205" spans="1:66" x14ac:dyDescent="0.25">
      <c r="A2205" t="str">
        <f>HYPERLINK("https://elite.finviz.com/quote.ashx?t=SIMA&amp;ty=c&amp;p=d&amp;b=1", "SIMA")</f>
        <v>SIMA</v>
      </c>
      <c r="B2205">
        <v>6</v>
      </c>
      <c r="C2205">
        <v>127.03</v>
      </c>
      <c r="D2205">
        <v>66.89</v>
      </c>
      <c r="E2205" t="s">
        <v>22039</v>
      </c>
      <c r="F2205" t="s">
        <v>107</v>
      </c>
      <c r="G2205" t="s">
        <v>550</v>
      </c>
      <c r="H2205" t="s">
        <v>2120</v>
      </c>
      <c r="I2205" t="s">
        <v>70</v>
      </c>
      <c r="J2205" t="s">
        <v>321</v>
      </c>
      <c r="K2205">
        <v>322.64999999999998</v>
      </c>
      <c r="L2205">
        <v>10.52</v>
      </c>
      <c r="M2205" t="s">
        <v>164</v>
      </c>
      <c r="N2205">
        <v>0</v>
      </c>
      <c r="O2205">
        <v>34.65</v>
      </c>
      <c r="S2205">
        <v>1.4</v>
      </c>
      <c r="Z2205" t="s">
        <v>164</v>
      </c>
      <c r="AA2205">
        <v>0.3</v>
      </c>
      <c r="AJ2205" t="s">
        <v>164</v>
      </c>
      <c r="AK2205" t="s">
        <v>19174</v>
      </c>
      <c r="AL2205">
        <v>50.16</v>
      </c>
      <c r="AM2205">
        <v>50.16</v>
      </c>
      <c r="AN2205">
        <v>0</v>
      </c>
      <c r="AR2205" t="s">
        <v>4623</v>
      </c>
      <c r="AS2205" t="s">
        <v>4794</v>
      </c>
      <c r="AT2205" t="s">
        <v>227</v>
      </c>
      <c r="AU2205" t="s">
        <v>6463</v>
      </c>
      <c r="AV2205" t="s">
        <v>203</v>
      </c>
      <c r="AW2205" t="s">
        <v>4828</v>
      </c>
      <c r="AX2205" t="s">
        <v>2185</v>
      </c>
      <c r="AY2205" t="s">
        <v>4828</v>
      </c>
      <c r="AZ2205" t="s">
        <v>4995</v>
      </c>
      <c r="BB2205">
        <v>70.61</v>
      </c>
      <c r="BC2205">
        <v>0</v>
      </c>
      <c r="BD2205">
        <v>10.52</v>
      </c>
      <c r="BE2205">
        <v>10.52</v>
      </c>
      <c r="BF2205">
        <v>10.52</v>
      </c>
      <c r="BG2205" t="s">
        <v>22040</v>
      </c>
      <c r="BH2205" t="s">
        <v>4828</v>
      </c>
      <c r="BI2205" t="s">
        <v>4641</v>
      </c>
      <c r="BJ2205" t="s">
        <v>101</v>
      </c>
      <c r="BK2205" t="s">
        <v>4891</v>
      </c>
      <c r="BL2205" t="s">
        <v>5045</v>
      </c>
      <c r="BN2205" t="s">
        <v>14623</v>
      </c>
    </row>
    <row r="2206" spans="1:66" x14ac:dyDescent="0.25">
      <c r="A2206" t="str">
        <f>HYPERLINK("https://elite.finviz.com/quote.ashx?t=ENS&amp;ty=c&amp;p=d&amp;b=1", "ENS")</f>
        <v>ENS</v>
      </c>
      <c r="B2206">
        <v>6</v>
      </c>
      <c r="C2206">
        <v>127.03</v>
      </c>
      <c r="D2206">
        <v>66.91</v>
      </c>
      <c r="E2206" t="s">
        <v>22041</v>
      </c>
      <c r="F2206" t="s">
        <v>67</v>
      </c>
      <c r="G2206" t="s">
        <v>260</v>
      </c>
      <c r="H2206" t="s">
        <v>1128</v>
      </c>
      <c r="I2206" t="s">
        <v>70</v>
      </c>
      <c r="J2206" t="s">
        <v>71</v>
      </c>
      <c r="K2206">
        <v>4136.91</v>
      </c>
      <c r="L2206">
        <v>110.42</v>
      </c>
      <c r="M2206" t="s">
        <v>1657</v>
      </c>
      <c r="N2206">
        <v>38674</v>
      </c>
      <c r="O2206">
        <v>12.6</v>
      </c>
      <c r="P2206">
        <v>9.7200000000000006</v>
      </c>
      <c r="R2206">
        <v>1.1299999999999999</v>
      </c>
      <c r="S2206">
        <v>2.2200000000000002</v>
      </c>
      <c r="T2206" t="s">
        <v>2759</v>
      </c>
      <c r="U2206">
        <v>0.98</v>
      </c>
      <c r="V2206" t="s">
        <v>2620</v>
      </c>
      <c r="W2206" t="s">
        <v>237</v>
      </c>
      <c r="X2206" t="s">
        <v>1396</v>
      </c>
      <c r="Y2206" t="s">
        <v>7541</v>
      </c>
      <c r="Z2206" t="s">
        <v>1228</v>
      </c>
      <c r="AA2206">
        <v>8.77</v>
      </c>
      <c r="AB2206" t="s">
        <v>22042</v>
      </c>
      <c r="AC2206" t="s">
        <v>1065</v>
      </c>
      <c r="AE2206" t="s">
        <v>8818</v>
      </c>
      <c r="AF2206" t="s">
        <v>715</v>
      </c>
      <c r="AG2206" t="s">
        <v>4294</v>
      </c>
      <c r="AH2206" t="s">
        <v>5370</v>
      </c>
      <c r="AI2206" t="s">
        <v>2630</v>
      </c>
      <c r="AJ2206" t="s">
        <v>2560</v>
      </c>
      <c r="AK2206" t="s">
        <v>21780</v>
      </c>
      <c r="AL2206">
        <v>3</v>
      </c>
      <c r="AM2206">
        <v>1.91</v>
      </c>
      <c r="AN2206">
        <v>0.7</v>
      </c>
      <c r="AO2206" t="s">
        <v>22043</v>
      </c>
      <c r="AP2206" t="s">
        <v>3955</v>
      </c>
      <c r="AQ2206" t="s">
        <v>2010</v>
      </c>
      <c r="AR2206" t="s">
        <v>4547</v>
      </c>
      <c r="AS2206" t="s">
        <v>4891</v>
      </c>
      <c r="AT2206" t="s">
        <v>4189</v>
      </c>
      <c r="AU2206" t="s">
        <v>2794</v>
      </c>
      <c r="AV2206" t="s">
        <v>12515</v>
      </c>
      <c r="AW2206" t="s">
        <v>4646</v>
      </c>
      <c r="AX2206" t="s">
        <v>4859</v>
      </c>
      <c r="AY2206" t="s">
        <v>4646</v>
      </c>
      <c r="AZ2206" t="s">
        <v>20523</v>
      </c>
      <c r="BA2206">
        <v>1.8</v>
      </c>
      <c r="BB2206">
        <v>361.26</v>
      </c>
      <c r="BC2206">
        <v>0.38</v>
      </c>
      <c r="BD2206">
        <v>109.88</v>
      </c>
      <c r="BE2206">
        <v>110.5</v>
      </c>
      <c r="BF2206">
        <v>110.01</v>
      </c>
      <c r="BG2206" t="s">
        <v>22044</v>
      </c>
      <c r="BH2206" t="s">
        <v>4646</v>
      </c>
      <c r="BI2206" t="s">
        <v>22045</v>
      </c>
      <c r="BJ2206" t="s">
        <v>101</v>
      </c>
      <c r="BK2206" t="s">
        <v>17779</v>
      </c>
      <c r="BL2206" t="s">
        <v>5893</v>
      </c>
      <c r="BM2206" t="s">
        <v>185</v>
      </c>
      <c r="BN2206" t="s">
        <v>14623</v>
      </c>
    </row>
    <row r="2207" spans="1:66" x14ac:dyDescent="0.25">
      <c r="A2207" t="str">
        <f>HYPERLINK("https://elite.finviz.com/quote.ashx?t=PBT&amp;ty=c&amp;p=d&amp;b=1", "PBT")</f>
        <v>PBT</v>
      </c>
      <c r="B2207">
        <v>6</v>
      </c>
      <c r="C2207">
        <v>127.03</v>
      </c>
      <c r="D2207">
        <v>66.92</v>
      </c>
      <c r="E2207" t="s">
        <v>22046</v>
      </c>
      <c r="F2207" t="s">
        <v>107</v>
      </c>
      <c r="G2207" t="s">
        <v>1048</v>
      </c>
      <c r="H2207" t="s">
        <v>3915</v>
      </c>
      <c r="I2207" t="s">
        <v>70</v>
      </c>
      <c r="J2207" t="s">
        <v>71</v>
      </c>
      <c r="K2207">
        <v>884.63</v>
      </c>
      <c r="L2207">
        <v>18.98</v>
      </c>
      <c r="M2207" t="s">
        <v>4780</v>
      </c>
      <c r="N2207">
        <v>11959</v>
      </c>
      <c r="O2207">
        <v>53.68</v>
      </c>
      <c r="R2207">
        <v>48.05</v>
      </c>
      <c r="S2207">
        <v>5422.86</v>
      </c>
      <c r="T2207" t="s">
        <v>5058</v>
      </c>
      <c r="U2207">
        <v>0.26</v>
      </c>
      <c r="V2207" t="s">
        <v>198</v>
      </c>
      <c r="W2207" t="s">
        <v>5085</v>
      </c>
      <c r="X2207" t="s">
        <v>7544</v>
      </c>
      <c r="Y2207" t="s">
        <v>1871</v>
      </c>
      <c r="Z2207" t="s">
        <v>1647</v>
      </c>
      <c r="AA2207">
        <v>0.35</v>
      </c>
      <c r="AB2207" t="s">
        <v>14472</v>
      </c>
      <c r="AC2207" t="s">
        <v>5336</v>
      </c>
      <c r="AE2207" t="s">
        <v>22047</v>
      </c>
      <c r="AF2207" t="s">
        <v>11983</v>
      </c>
      <c r="AG2207" t="s">
        <v>3088</v>
      </c>
      <c r="AH2207" t="s">
        <v>14518</v>
      </c>
      <c r="AJ2207" t="s">
        <v>2789</v>
      </c>
      <c r="AK2207" t="s">
        <v>12892</v>
      </c>
      <c r="AL2207">
        <v>2.82</v>
      </c>
      <c r="AM2207">
        <v>2.82</v>
      </c>
      <c r="AN2207">
        <v>0</v>
      </c>
      <c r="AP2207" t="s">
        <v>22048</v>
      </c>
      <c r="AQ2207" t="s">
        <v>22048</v>
      </c>
      <c r="AR2207" t="s">
        <v>2810</v>
      </c>
      <c r="AS2207" t="s">
        <v>2493</v>
      </c>
      <c r="AT2207" t="s">
        <v>5102</v>
      </c>
      <c r="AU2207" t="s">
        <v>3668</v>
      </c>
      <c r="AV2207" t="s">
        <v>22049</v>
      </c>
      <c r="AW2207" t="s">
        <v>4711</v>
      </c>
      <c r="AX2207" t="s">
        <v>19429</v>
      </c>
      <c r="AY2207" t="s">
        <v>4711</v>
      </c>
      <c r="AZ2207" t="s">
        <v>22050</v>
      </c>
      <c r="BB2207">
        <v>143.69</v>
      </c>
      <c r="BC2207">
        <v>0.28999999999999998</v>
      </c>
      <c r="BD2207">
        <v>18.7</v>
      </c>
      <c r="BE2207">
        <v>19.059999999999999</v>
      </c>
      <c r="BF2207">
        <v>18.600000000000001</v>
      </c>
      <c r="BG2207" t="s">
        <v>22051</v>
      </c>
      <c r="BH2207" t="s">
        <v>22052</v>
      </c>
      <c r="BI2207" t="s">
        <v>22053</v>
      </c>
      <c r="BJ2207" t="s">
        <v>101</v>
      </c>
      <c r="BK2207" t="s">
        <v>18157</v>
      </c>
      <c r="BL2207" t="s">
        <v>22054</v>
      </c>
      <c r="BM2207" t="s">
        <v>22055</v>
      </c>
      <c r="BN2207" t="s">
        <v>14623</v>
      </c>
    </row>
    <row r="2208" spans="1:66" x14ac:dyDescent="0.25">
      <c r="A2208" t="str">
        <f>HYPERLINK("https://elite.finviz.com/quote.ashx?t=ADEA&amp;ty=c&amp;p=d&amp;b=1", "ADEA")</f>
        <v>ADEA</v>
      </c>
      <c r="B2208">
        <v>6</v>
      </c>
      <c r="C2208">
        <v>127.03</v>
      </c>
      <c r="D2208">
        <v>67.12</v>
      </c>
      <c r="E2208" t="s">
        <v>22056</v>
      </c>
      <c r="F2208" t="s">
        <v>67</v>
      </c>
      <c r="G2208" t="s">
        <v>108</v>
      </c>
      <c r="H2208" t="s">
        <v>136</v>
      </c>
      <c r="I2208" t="s">
        <v>70</v>
      </c>
      <c r="J2208" t="s">
        <v>321</v>
      </c>
      <c r="K2208">
        <v>1821.53</v>
      </c>
      <c r="L2208">
        <v>16.66</v>
      </c>
      <c r="M2208" t="s">
        <v>3598</v>
      </c>
      <c r="N2208">
        <v>49560</v>
      </c>
      <c r="O2208">
        <v>22.46</v>
      </c>
      <c r="P2208">
        <v>11.23</v>
      </c>
      <c r="Q2208">
        <v>1.94</v>
      </c>
      <c r="R2208">
        <v>4.8099999999999996</v>
      </c>
      <c r="S2208">
        <v>4.5199999999999996</v>
      </c>
      <c r="T2208" t="s">
        <v>1417</v>
      </c>
      <c r="U2208">
        <v>0.2</v>
      </c>
      <c r="V2208" t="s">
        <v>2882</v>
      </c>
      <c r="W2208" t="s">
        <v>164</v>
      </c>
      <c r="X2208" t="s">
        <v>164</v>
      </c>
      <c r="Y2208" t="s">
        <v>9579</v>
      </c>
      <c r="Z2208" t="s">
        <v>1298</v>
      </c>
      <c r="AA2208">
        <v>0.74</v>
      </c>
      <c r="AD2208" t="s">
        <v>7216</v>
      </c>
      <c r="AE2208" t="s">
        <v>272</v>
      </c>
      <c r="AF2208" t="s">
        <v>12982</v>
      </c>
      <c r="AG2208" t="s">
        <v>7541</v>
      </c>
      <c r="AH2208" t="s">
        <v>6359</v>
      </c>
      <c r="AI2208" t="s">
        <v>5809</v>
      </c>
      <c r="AJ2208" t="s">
        <v>164</v>
      </c>
      <c r="AK2208" t="s">
        <v>13002</v>
      </c>
      <c r="AL2208">
        <v>3.09</v>
      </c>
      <c r="AM2208">
        <v>3.09</v>
      </c>
      <c r="AN2208">
        <v>1.1399999999999999</v>
      </c>
      <c r="AO2208" t="s">
        <v>4544</v>
      </c>
      <c r="AP2208" t="s">
        <v>9928</v>
      </c>
      <c r="AQ2208" t="s">
        <v>6022</v>
      </c>
      <c r="AR2208" t="s">
        <v>3208</v>
      </c>
      <c r="AS2208" t="s">
        <v>5780</v>
      </c>
      <c r="AT2208" t="s">
        <v>5620</v>
      </c>
      <c r="AU2208" t="s">
        <v>7760</v>
      </c>
      <c r="AV2208" t="s">
        <v>11176</v>
      </c>
      <c r="AW2208" t="s">
        <v>82</v>
      </c>
      <c r="AX2208" t="s">
        <v>4165</v>
      </c>
      <c r="AY2208" t="s">
        <v>6499</v>
      </c>
      <c r="AZ2208" t="s">
        <v>22057</v>
      </c>
      <c r="BA2208">
        <v>1.25</v>
      </c>
      <c r="BB2208">
        <v>536.70000000000005</v>
      </c>
      <c r="BC2208">
        <v>0.33</v>
      </c>
      <c r="BD2208">
        <v>16.66</v>
      </c>
      <c r="BE2208">
        <v>16.690000000000001</v>
      </c>
      <c r="BF2208">
        <v>16.54</v>
      </c>
      <c r="BG2208" t="s">
        <v>22058</v>
      </c>
      <c r="BH2208" t="s">
        <v>6499</v>
      </c>
      <c r="BI2208" t="s">
        <v>22059</v>
      </c>
      <c r="BJ2208" t="s">
        <v>101</v>
      </c>
      <c r="BK2208" t="s">
        <v>7874</v>
      </c>
      <c r="BL2208" t="s">
        <v>2067</v>
      </c>
      <c r="BM2208" t="s">
        <v>13969</v>
      </c>
      <c r="BN2208" t="s">
        <v>14623</v>
      </c>
    </row>
    <row r="2209" spans="1:66" x14ac:dyDescent="0.25">
      <c r="A2209" t="str">
        <f>HYPERLINK("https://elite.finviz.com/quote.ashx?t=TURN&amp;ty=c&amp;p=d&amp;b=1", "TURN")</f>
        <v>TURN</v>
      </c>
      <c r="B2209">
        <v>6</v>
      </c>
      <c r="C2209">
        <v>127.03</v>
      </c>
      <c r="D2209">
        <v>67.180000000000007</v>
      </c>
      <c r="E2209" t="s">
        <v>22060</v>
      </c>
      <c r="F2209" t="s">
        <v>107</v>
      </c>
      <c r="G2209" t="s">
        <v>550</v>
      </c>
      <c r="H2209" t="s">
        <v>2597</v>
      </c>
      <c r="I2209" t="s">
        <v>70</v>
      </c>
      <c r="J2209" t="s">
        <v>321</v>
      </c>
      <c r="K2209">
        <v>49.6</v>
      </c>
      <c r="L2209">
        <v>4.96</v>
      </c>
      <c r="M2209" t="s">
        <v>164</v>
      </c>
      <c r="N2209">
        <v>0</v>
      </c>
      <c r="O2209">
        <v>16.53</v>
      </c>
      <c r="R2209">
        <v>101.64</v>
      </c>
      <c r="S2209">
        <v>1.03</v>
      </c>
      <c r="AA2209">
        <v>0.3</v>
      </c>
      <c r="AH2209" t="s">
        <v>22061</v>
      </c>
      <c r="AJ2209" t="s">
        <v>3493</v>
      </c>
      <c r="AK2209" t="s">
        <v>7903</v>
      </c>
      <c r="AR2209" t="s">
        <v>5370</v>
      </c>
      <c r="AS2209" t="s">
        <v>5736</v>
      </c>
      <c r="AT2209" t="s">
        <v>4254</v>
      </c>
      <c r="AU2209" t="s">
        <v>1369</v>
      </c>
      <c r="AV2209" t="s">
        <v>16827</v>
      </c>
      <c r="AW2209" t="s">
        <v>3999</v>
      </c>
      <c r="AX2209" t="s">
        <v>11747</v>
      </c>
      <c r="AY2209" t="s">
        <v>3999</v>
      </c>
      <c r="AZ2209" t="s">
        <v>9394</v>
      </c>
      <c r="BB2209">
        <v>29.23</v>
      </c>
      <c r="BC2209">
        <v>0</v>
      </c>
      <c r="BD2209">
        <v>4.96</v>
      </c>
      <c r="BE2209">
        <v>4.96</v>
      </c>
      <c r="BF2209">
        <v>4.96</v>
      </c>
      <c r="BG2209" t="s">
        <v>22062</v>
      </c>
      <c r="BH2209" t="s">
        <v>22063</v>
      </c>
      <c r="BI2209" t="s">
        <v>22064</v>
      </c>
      <c r="BJ2209" t="s">
        <v>101</v>
      </c>
      <c r="BK2209" t="s">
        <v>1715</v>
      </c>
      <c r="BL2209" t="s">
        <v>10378</v>
      </c>
      <c r="BM2209" t="s">
        <v>7881</v>
      </c>
      <c r="BN2209" t="s">
        <v>14623</v>
      </c>
    </row>
    <row r="2210" spans="1:66" x14ac:dyDescent="0.25">
      <c r="A2210" t="str">
        <f>HYPERLINK("https://elite.finviz.com/quote.ashx?t=UTI&amp;ty=c&amp;p=d&amp;b=1", "UTI")</f>
        <v>UTI</v>
      </c>
      <c r="B2210">
        <v>6</v>
      </c>
      <c r="C2210">
        <v>127.03</v>
      </c>
      <c r="D2210">
        <v>67.2</v>
      </c>
      <c r="E2210" t="s">
        <v>22065</v>
      </c>
      <c r="F2210" t="s">
        <v>67</v>
      </c>
      <c r="G2210" t="s">
        <v>2244</v>
      </c>
      <c r="H2210" t="s">
        <v>2483</v>
      </c>
      <c r="I2210" t="s">
        <v>70</v>
      </c>
      <c r="J2210" t="s">
        <v>71</v>
      </c>
      <c r="K2210">
        <v>1682.77</v>
      </c>
      <c r="L2210">
        <v>30.92</v>
      </c>
      <c r="M2210" t="s">
        <v>3871</v>
      </c>
      <c r="N2210">
        <v>112550</v>
      </c>
      <c r="O2210">
        <v>27.17</v>
      </c>
      <c r="P2210">
        <v>31.55</v>
      </c>
      <c r="Q2210">
        <v>2.61</v>
      </c>
      <c r="R2210">
        <v>2.08</v>
      </c>
      <c r="S2210">
        <v>5.49</v>
      </c>
      <c r="V2210" t="s">
        <v>22066</v>
      </c>
      <c r="Z2210" t="s">
        <v>164</v>
      </c>
      <c r="AA2210">
        <v>1.1399999999999999</v>
      </c>
      <c r="AB2210" t="s">
        <v>16788</v>
      </c>
      <c r="AD2210" t="s">
        <v>6168</v>
      </c>
      <c r="AE2210" t="s">
        <v>1581</v>
      </c>
      <c r="AF2210" t="s">
        <v>6623</v>
      </c>
      <c r="AG2210" t="s">
        <v>3817</v>
      </c>
      <c r="AH2210" t="s">
        <v>7683</v>
      </c>
      <c r="AI2210" t="s">
        <v>22067</v>
      </c>
      <c r="AJ2210" t="s">
        <v>17534</v>
      </c>
      <c r="AK2210" t="s">
        <v>19401</v>
      </c>
      <c r="AL2210">
        <v>1</v>
      </c>
      <c r="AM2210">
        <v>1</v>
      </c>
      <c r="AN2210">
        <v>0.85</v>
      </c>
      <c r="AO2210" t="s">
        <v>6629</v>
      </c>
      <c r="AP2210" t="s">
        <v>9841</v>
      </c>
      <c r="AQ2210" t="s">
        <v>6225</v>
      </c>
      <c r="AR2210" t="s">
        <v>1769</v>
      </c>
      <c r="AS2210" t="s">
        <v>203</v>
      </c>
      <c r="AT2210" t="s">
        <v>9342</v>
      </c>
      <c r="AU2210" t="s">
        <v>2447</v>
      </c>
      <c r="AV2210" t="s">
        <v>4966</v>
      </c>
      <c r="AW2210" t="s">
        <v>6436</v>
      </c>
      <c r="AX2210" t="s">
        <v>12213</v>
      </c>
      <c r="AY2210" t="s">
        <v>22068</v>
      </c>
      <c r="AZ2210" t="s">
        <v>22069</v>
      </c>
      <c r="BA2210">
        <v>1.1200000000000001</v>
      </c>
      <c r="BB2210">
        <v>758.63</v>
      </c>
      <c r="BC2210">
        <v>0.52</v>
      </c>
      <c r="BD2210">
        <v>30.7</v>
      </c>
      <c r="BE2210">
        <v>31.13</v>
      </c>
      <c r="BF2210">
        <v>30.74</v>
      </c>
      <c r="BG2210" t="s">
        <v>22070</v>
      </c>
      <c r="BH2210" t="s">
        <v>1181</v>
      </c>
      <c r="BI2210" t="s">
        <v>22071</v>
      </c>
      <c r="BJ2210" t="s">
        <v>101</v>
      </c>
      <c r="BK2210" t="s">
        <v>15553</v>
      </c>
      <c r="BL2210" t="s">
        <v>5747</v>
      </c>
      <c r="BM2210" t="s">
        <v>22072</v>
      </c>
      <c r="BN2210" t="s">
        <v>14623</v>
      </c>
    </row>
    <row r="2211" spans="1:66" x14ac:dyDescent="0.25">
      <c r="A2211" t="str">
        <f>HYPERLINK("https://elite.finviz.com/quote.ashx?t=CNR&amp;ty=c&amp;p=d&amp;b=1", "CNR")</f>
        <v>CNR</v>
      </c>
      <c r="B2211">
        <v>6</v>
      </c>
      <c r="C2211">
        <v>127.03</v>
      </c>
      <c r="D2211">
        <v>67.25</v>
      </c>
      <c r="E2211" t="s">
        <v>22073</v>
      </c>
      <c r="F2211" t="s">
        <v>67</v>
      </c>
      <c r="G2211" t="s">
        <v>1048</v>
      </c>
      <c r="H2211" t="s">
        <v>2807</v>
      </c>
      <c r="I2211" t="s">
        <v>70</v>
      </c>
      <c r="J2211" t="s">
        <v>71</v>
      </c>
      <c r="K2211">
        <v>4264.42</v>
      </c>
      <c r="L2211">
        <v>82.85</v>
      </c>
      <c r="M2211" t="s">
        <v>969</v>
      </c>
      <c r="N2211">
        <v>95810</v>
      </c>
      <c r="O2211">
        <v>37.799999999999997</v>
      </c>
      <c r="P2211">
        <v>8.68</v>
      </c>
      <c r="Q2211">
        <v>18.09</v>
      </c>
      <c r="R2211">
        <v>1.3</v>
      </c>
      <c r="S2211">
        <v>1.1299999999999999</v>
      </c>
      <c r="T2211" t="s">
        <v>4801</v>
      </c>
      <c r="U2211">
        <v>0.55000000000000004</v>
      </c>
      <c r="V2211" t="s">
        <v>4882</v>
      </c>
      <c r="W2211" t="s">
        <v>22074</v>
      </c>
      <c r="Z2211" t="s">
        <v>6226</v>
      </c>
      <c r="AA2211">
        <v>2.19</v>
      </c>
      <c r="AB2211" t="s">
        <v>22075</v>
      </c>
      <c r="AC2211" t="s">
        <v>1299</v>
      </c>
      <c r="AD2211" t="s">
        <v>3671</v>
      </c>
      <c r="AE2211" t="s">
        <v>1994</v>
      </c>
      <c r="AF2211" t="s">
        <v>5886</v>
      </c>
      <c r="AG2211" t="s">
        <v>1423</v>
      </c>
      <c r="AH2211" t="s">
        <v>22076</v>
      </c>
      <c r="AI2211" t="s">
        <v>22077</v>
      </c>
      <c r="AJ2211" t="s">
        <v>1445</v>
      </c>
      <c r="AK2211" t="s">
        <v>7004</v>
      </c>
      <c r="AL2211">
        <v>1.78</v>
      </c>
      <c r="AM2211">
        <v>1.25</v>
      </c>
      <c r="AN2211">
        <v>0.1</v>
      </c>
      <c r="AO2211" t="s">
        <v>1515</v>
      </c>
      <c r="AP2211" t="s">
        <v>3244</v>
      </c>
      <c r="AQ2211" t="s">
        <v>4840</v>
      </c>
      <c r="AR2211" t="s">
        <v>2035</v>
      </c>
      <c r="AS2211" t="s">
        <v>2941</v>
      </c>
      <c r="AT2211" t="s">
        <v>9830</v>
      </c>
      <c r="AU2211" t="s">
        <v>10793</v>
      </c>
      <c r="AV2211" t="s">
        <v>2810</v>
      </c>
      <c r="AW2211" t="s">
        <v>5356</v>
      </c>
      <c r="AX2211" t="s">
        <v>10384</v>
      </c>
      <c r="AY2211" t="s">
        <v>22078</v>
      </c>
      <c r="AZ2211" t="s">
        <v>11649</v>
      </c>
      <c r="BA2211">
        <v>1.4</v>
      </c>
      <c r="BB2211">
        <v>784.39</v>
      </c>
      <c r="BC2211">
        <v>0.43</v>
      </c>
      <c r="BD2211">
        <v>82.18</v>
      </c>
      <c r="BE2211">
        <v>83.16</v>
      </c>
      <c r="BF2211">
        <v>81.08</v>
      </c>
      <c r="BG2211" t="s">
        <v>22079</v>
      </c>
      <c r="BH2211" t="s">
        <v>22078</v>
      </c>
      <c r="BI2211" t="s">
        <v>22080</v>
      </c>
      <c r="BJ2211" t="s">
        <v>101</v>
      </c>
      <c r="BK2211" t="s">
        <v>7726</v>
      </c>
      <c r="BL2211" t="s">
        <v>2370</v>
      </c>
      <c r="BM2211" t="s">
        <v>17301</v>
      </c>
      <c r="BN2211" t="s">
        <v>14623</v>
      </c>
    </row>
    <row r="2212" spans="1:66" x14ac:dyDescent="0.25">
      <c r="A2212" t="str">
        <f>HYPERLINK("https://elite.finviz.com/quote.ashx?t=GNSS&amp;ty=c&amp;p=d&amp;b=1", "GNSS")</f>
        <v>GNSS</v>
      </c>
      <c r="B2212">
        <v>6</v>
      </c>
      <c r="C2212">
        <v>127.03</v>
      </c>
      <c r="D2212">
        <v>67.27</v>
      </c>
      <c r="E2212" t="s">
        <v>22081</v>
      </c>
      <c r="F2212" t="s">
        <v>107</v>
      </c>
      <c r="G2212" t="s">
        <v>108</v>
      </c>
      <c r="H2212" t="s">
        <v>9222</v>
      </c>
      <c r="I2212" t="s">
        <v>70</v>
      </c>
      <c r="J2212" t="s">
        <v>321</v>
      </c>
      <c r="K2212">
        <v>110.85</v>
      </c>
      <c r="L2212">
        <v>2.4500000000000002</v>
      </c>
      <c r="M2212" t="s">
        <v>6105</v>
      </c>
      <c r="N2212">
        <v>50673</v>
      </c>
      <c r="P2212">
        <v>11.16</v>
      </c>
      <c r="R2212">
        <v>3.64</v>
      </c>
      <c r="S2212">
        <v>35.090000000000003</v>
      </c>
      <c r="V2212" t="s">
        <v>15572</v>
      </c>
      <c r="AA2212">
        <v>-0.63</v>
      </c>
      <c r="AE2212" t="s">
        <v>5912</v>
      </c>
      <c r="AF2212" t="s">
        <v>638</v>
      </c>
      <c r="AG2212" t="s">
        <v>3869</v>
      </c>
      <c r="AH2212" t="s">
        <v>22082</v>
      </c>
      <c r="AI2212" t="s">
        <v>22083</v>
      </c>
      <c r="AJ2212" t="s">
        <v>164</v>
      </c>
      <c r="AK2212" t="s">
        <v>22084</v>
      </c>
      <c r="AL2212">
        <v>0.65</v>
      </c>
      <c r="AM2212">
        <v>0.31</v>
      </c>
      <c r="AN2212">
        <v>6.52</v>
      </c>
      <c r="AO2212" t="s">
        <v>1093</v>
      </c>
      <c r="AP2212" t="s">
        <v>22085</v>
      </c>
      <c r="AQ2212" t="s">
        <v>22086</v>
      </c>
      <c r="AR2212" t="s">
        <v>2542</v>
      </c>
      <c r="AS2212" t="s">
        <v>336</v>
      </c>
      <c r="AT2212" t="s">
        <v>2653</v>
      </c>
      <c r="AU2212" t="s">
        <v>4451</v>
      </c>
      <c r="AV2212" t="s">
        <v>3526</v>
      </c>
      <c r="AW2212" t="s">
        <v>5559</v>
      </c>
      <c r="AX2212" t="s">
        <v>22087</v>
      </c>
      <c r="AY2212" t="s">
        <v>22088</v>
      </c>
      <c r="AZ2212" t="s">
        <v>11878</v>
      </c>
      <c r="BA2212">
        <v>1</v>
      </c>
      <c r="BB2212">
        <v>127.16</v>
      </c>
      <c r="BC2212">
        <v>1.4</v>
      </c>
      <c r="BD2212">
        <v>2.5299999999999998</v>
      </c>
      <c r="BE2212">
        <v>2.5299999999999998</v>
      </c>
      <c r="BF2212">
        <v>2.42</v>
      </c>
      <c r="BG2212" t="s">
        <v>22089</v>
      </c>
      <c r="BH2212" t="s">
        <v>8304</v>
      </c>
      <c r="BI2212" t="s">
        <v>22090</v>
      </c>
      <c r="BJ2212" t="s">
        <v>101</v>
      </c>
      <c r="BK2212" t="s">
        <v>8360</v>
      </c>
      <c r="BL2212" t="s">
        <v>4956</v>
      </c>
      <c r="BM2212" t="s">
        <v>8857</v>
      </c>
      <c r="BN2212" t="s">
        <v>14623</v>
      </c>
    </row>
    <row r="2213" spans="1:66" x14ac:dyDescent="0.25">
      <c r="A2213" t="str">
        <f>HYPERLINK("https://elite.finviz.com/quote.ashx?t=CDZI&amp;ty=c&amp;p=d&amp;b=1", "CDZI")</f>
        <v>CDZI</v>
      </c>
      <c r="B2213">
        <v>6</v>
      </c>
      <c r="C2213">
        <v>127.03</v>
      </c>
      <c r="D2213">
        <v>67.31</v>
      </c>
      <c r="E2213" t="s">
        <v>22091</v>
      </c>
      <c r="F2213" t="s">
        <v>67</v>
      </c>
      <c r="G2213" t="s">
        <v>287</v>
      </c>
      <c r="H2213" t="s">
        <v>13133</v>
      </c>
      <c r="I2213" t="s">
        <v>70</v>
      </c>
      <c r="J2213" t="s">
        <v>321</v>
      </c>
      <c r="K2213">
        <v>359.73</v>
      </c>
      <c r="L2213">
        <v>4.3899999999999997</v>
      </c>
      <c r="M2213" t="s">
        <v>1226</v>
      </c>
      <c r="N2213">
        <v>89879</v>
      </c>
      <c r="R2213">
        <v>23.9</v>
      </c>
      <c r="S2213">
        <v>10.1</v>
      </c>
      <c r="AA2213">
        <v>-0.51</v>
      </c>
      <c r="AB2213" t="s">
        <v>3965</v>
      </c>
      <c r="AC2213" t="s">
        <v>7079</v>
      </c>
      <c r="AE2213" t="s">
        <v>22092</v>
      </c>
      <c r="AF2213" t="s">
        <v>22093</v>
      </c>
      <c r="AG2213" t="s">
        <v>22094</v>
      </c>
      <c r="AH2213" t="s">
        <v>22095</v>
      </c>
      <c r="AI2213" t="s">
        <v>6394</v>
      </c>
      <c r="AJ2213" t="s">
        <v>164</v>
      </c>
      <c r="AK2213" t="s">
        <v>6546</v>
      </c>
      <c r="AL2213">
        <v>1.81</v>
      </c>
      <c r="AM2213">
        <v>1.55</v>
      </c>
      <c r="AN2213">
        <v>2.5</v>
      </c>
      <c r="AO2213" t="s">
        <v>6973</v>
      </c>
      <c r="AP2213" t="s">
        <v>22096</v>
      </c>
      <c r="AQ2213" t="s">
        <v>22097</v>
      </c>
      <c r="AR2213" t="s">
        <v>4077</v>
      </c>
      <c r="AS2213" t="s">
        <v>5336</v>
      </c>
      <c r="AT2213" t="s">
        <v>9108</v>
      </c>
      <c r="AU2213" t="s">
        <v>1134</v>
      </c>
      <c r="AV2213" t="s">
        <v>7294</v>
      </c>
      <c r="AW2213" t="s">
        <v>798</v>
      </c>
      <c r="AX2213" t="s">
        <v>22098</v>
      </c>
      <c r="AY2213" t="s">
        <v>12518</v>
      </c>
      <c r="AZ2213" t="s">
        <v>22099</v>
      </c>
      <c r="BA2213">
        <v>1</v>
      </c>
      <c r="BB2213">
        <v>531.80999999999995</v>
      </c>
      <c r="BC2213">
        <v>0.6</v>
      </c>
      <c r="BD2213">
        <v>4.42</v>
      </c>
      <c r="BE2213">
        <v>4.46</v>
      </c>
      <c r="BF2213">
        <v>4.3600000000000003</v>
      </c>
      <c r="BG2213" t="s">
        <v>22100</v>
      </c>
      <c r="BH2213" t="s">
        <v>1332</v>
      </c>
      <c r="BI2213" t="s">
        <v>22101</v>
      </c>
      <c r="BJ2213" t="s">
        <v>101</v>
      </c>
      <c r="BK2213" t="s">
        <v>2540</v>
      </c>
      <c r="BL2213" t="s">
        <v>18281</v>
      </c>
      <c r="BM2213" t="s">
        <v>2540</v>
      </c>
      <c r="BN2213" t="s">
        <v>14623</v>
      </c>
    </row>
    <row r="2214" spans="1:66" x14ac:dyDescent="0.25">
      <c r="A2214" t="str">
        <f>HYPERLINK("https://elite.finviz.com/quote.ashx?t=FTLF&amp;ty=c&amp;p=d&amp;b=1", "FTLF")</f>
        <v>FTLF</v>
      </c>
      <c r="B2214">
        <v>6</v>
      </c>
      <c r="C2214">
        <v>127.03</v>
      </c>
      <c r="D2214">
        <v>67.37</v>
      </c>
      <c r="E2214" t="s">
        <v>22102</v>
      </c>
      <c r="F2214" t="s">
        <v>67</v>
      </c>
      <c r="G2214" t="s">
        <v>2244</v>
      </c>
      <c r="H2214" t="s">
        <v>3269</v>
      </c>
      <c r="I2214" t="s">
        <v>70</v>
      </c>
      <c r="J2214" t="s">
        <v>321</v>
      </c>
      <c r="K2214">
        <v>186.6</v>
      </c>
      <c r="L2214">
        <v>19.87</v>
      </c>
      <c r="M2214" t="s">
        <v>6056</v>
      </c>
      <c r="N2214">
        <v>5253</v>
      </c>
      <c r="O2214">
        <v>24.31</v>
      </c>
      <c r="P2214">
        <v>12.54</v>
      </c>
      <c r="Q2214">
        <v>0.79</v>
      </c>
      <c r="R2214">
        <v>2.96</v>
      </c>
      <c r="S2214">
        <v>4.5599999999999996</v>
      </c>
      <c r="Z2214" t="s">
        <v>164</v>
      </c>
      <c r="AA2214">
        <v>0.82</v>
      </c>
      <c r="AB2214" t="s">
        <v>4084</v>
      </c>
      <c r="AC2214" t="s">
        <v>20629</v>
      </c>
      <c r="AD2214" t="s">
        <v>13695</v>
      </c>
      <c r="AE2214" t="s">
        <v>316</v>
      </c>
      <c r="AF2214" t="s">
        <v>6763</v>
      </c>
      <c r="AG2214" t="s">
        <v>18942</v>
      </c>
      <c r="AH2214" t="s">
        <v>5264</v>
      </c>
      <c r="AI2214" t="s">
        <v>2146</v>
      </c>
      <c r="AJ2214" t="s">
        <v>1409</v>
      </c>
      <c r="AK2214" t="s">
        <v>18304</v>
      </c>
      <c r="AL2214">
        <v>1.71</v>
      </c>
      <c r="AM2214">
        <v>0.81</v>
      </c>
      <c r="AN2214">
        <v>0.27</v>
      </c>
      <c r="AO2214" t="s">
        <v>14875</v>
      </c>
      <c r="AP2214" t="s">
        <v>11778</v>
      </c>
      <c r="AQ2214" t="s">
        <v>11871</v>
      </c>
      <c r="AR2214" t="s">
        <v>5593</v>
      </c>
      <c r="AS2214" t="s">
        <v>162</v>
      </c>
      <c r="AT2214" t="s">
        <v>464</v>
      </c>
      <c r="AU2214" t="s">
        <v>8239</v>
      </c>
      <c r="AV2214" t="s">
        <v>9742</v>
      </c>
      <c r="AW2214" t="s">
        <v>1083</v>
      </c>
      <c r="AX2214" t="s">
        <v>9354</v>
      </c>
      <c r="AY2214" t="s">
        <v>1083</v>
      </c>
      <c r="AZ2214" t="s">
        <v>22103</v>
      </c>
      <c r="BA2214">
        <v>1</v>
      </c>
      <c r="BB2214">
        <v>25.52</v>
      </c>
      <c r="BC2214">
        <v>0.73</v>
      </c>
      <c r="BD2214">
        <v>19.57</v>
      </c>
      <c r="BE2214">
        <v>19.84</v>
      </c>
      <c r="BF2214">
        <v>19.739999999999998</v>
      </c>
      <c r="BG2214" t="s">
        <v>22104</v>
      </c>
      <c r="BH2214" t="s">
        <v>22105</v>
      </c>
      <c r="BI2214" t="s">
        <v>22106</v>
      </c>
      <c r="BJ2214" t="s">
        <v>101</v>
      </c>
      <c r="BK2214" t="s">
        <v>6179</v>
      </c>
      <c r="BL2214" t="s">
        <v>22107</v>
      </c>
      <c r="BM2214" t="s">
        <v>5950</v>
      </c>
      <c r="BN2214" t="s">
        <v>14623</v>
      </c>
    </row>
    <row r="2215" spans="1:66" x14ac:dyDescent="0.25">
      <c r="A2215" t="str">
        <f>HYPERLINK("https://elite.finviz.com/quote.ashx?t=KFII&amp;ty=c&amp;p=d&amp;b=1", "KFII")</f>
        <v>KFII</v>
      </c>
      <c r="B2215">
        <v>6</v>
      </c>
      <c r="C2215">
        <v>127.03</v>
      </c>
      <c r="D2215">
        <v>67.37</v>
      </c>
      <c r="E2215" t="s">
        <v>22108</v>
      </c>
      <c r="F2215" t="s">
        <v>107</v>
      </c>
      <c r="G2215" t="s">
        <v>550</v>
      </c>
      <c r="H2215" t="s">
        <v>2120</v>
      </c>
      <c r="I2215" t="s">
        <v>70</v>
      </c>
      <c r="J2215" t="s">
        <v>321</v>
      </c>
      <c r="K2215">
        <v>348.77</v>
      </c>
      <c r="L2215">
        <v>10.210000000000001</v>
      </c>
      <c r="M2215" t="s">
        <v>164</v>
      </c>
      <c r="N2215">
        <v>0</v>
      </c>
      <c r="O2215">
        <v>90.19</v>
      </c>
      <c r="S2215">
        <v>1.41</v>
      </c>
      <c r="AA2215">
        <v>0.11</v>
      </c>
      <c r="AJ2215" t="s">
        <v>164</v>
      </c>
      <c r="AK2215" t="s">
        <v>6803</v>
      </c>
      <c r="AL2215">
        <v>13.05</v>
      </c>
      <c r="AM2215">
        <v>13.05</v>
      </c>
      <c r="AN2215">
        <v>0</v>
      </c>
      <c r="AR2215" t="s">
        <v>2215</v>
      </c>
      <c r="AS2215" t="s">
        <v>4237</v>
      </c>
      <c r="AT2215" t="s">
        <v>2560</v>
      </c>
      <c r="AU2215" t="s">
        <v>4266</v>
      </c>
      <c r="AV2215" t="s">
        <v>581</v>
      </c>
      <c r="AW2215" t="s">
        <v>2638</v>
      </c>
      <c r="AX2215" t="s">
        <v>8179</v>
      </c>
      <c r="AY2215" t="s">
        <v>2638</v>
      </c>
      <c r="AZ2215" t="s">
        <v>7088</v>
      </c>
      <c r="BB2215">
        <v>48.34</v>
      </c>
      <c r="BC2215">
        <v>0</v>
      </c>
      <c r="BD2215">
        <v>10.210000000000001</v>
      </c>
      <c r="BE2215">
        <v>10.210000000000001</v>
      </c>
      <c r="BF2215">
        <v>10.210000000000001</v>
      </c>
      <c r="BG2215" t="s">
        <v>22109</v>
      </c>
      <c r="BH2215" t="s">
        <v>2638</v>
      </c>
      <c r="BI2215" t="s">
        <v>7088</v>
      </c>
      <c r="BJ2215" t="s">
        <v>101</v>
      </c>
      <c r="BK2215" t="s">
        <v>3463</v>
      </c>
      <c r="BL2215" t="s">
        <v>465</v>
      </c>
      <c r="BN2215" t="s">
        <v>14623</v>
      </c>
    </row>
    <row r="2216" spans="1:66" x14ac:dyDescent="0.25">
      <c r="A2216" t="str">
        <f>HYPERLINK("https://elite.finviz.com/quote.ashx?t=AMBC&amp;ty=c&amp;p=d&amp;b=1", "AMBC")</f>
        <v>AMBC</v>
      </c>
      <c r="B2216">
        <v>6</v>
      </c>
      <c r="C2216">
        <v>127.03</v>
      </c>
      <c r="D2216">
        <v>67.5</v>
      </c>
      <c r="E2216" t="s">
        <v>22110</v>
      </c>
      <c r="F2216" t="s">
        <v>67</v>
      </c>
      <c r="G2216" t="s">
        <v>550</v>
      </c>
      <c r="H2216" t="s">
        <v>4675</v>
      </c>
      <c r="I2216" t="s">
        <v>70</v>
      </c>
      <c r="J2216" t="s">
        <v>71</v>
      </c>
      <c r="K2216">
        <v>435.62</v>
      </c>
      <c r="L2216">
        <v>9.39</v>
      </c>
      <c r="M2216" t="s">
        <v>5036</v>
      </c>
      <c r="N2216">
        <v>54046</v>
      </c>
      <c r="R2216">
        <v>1.47</v>
      </c>
      <c r="S2216">
        <v>0.51</v>
      </c>
      <c r="Z2216" t="s">
        <v>164</v>
      </c>
      <c r="AA2216">
        <v>-0.31</v>
      </c>
      <c r="AE2216" t="s">
        <v>7065</v>
      </c>
      <c r="AF2216" t="s">
        <v>2934</v>
      </c>
      <c r="AG2216" t="s">
        <v>13331</v>
      </c>
      <c r="AH2216" t="s">
        <v>15729</v>
      </c>
      <c r="AI2216" t="s">
        <v>3917</v>
      </c>
      <c r="AJ2216" t="s">
        <v>1926</v>
      </c>
      <c r="AK2216" t="s">
        <v>17592</v>
      </c>
      <c r="AL2216">
        <v>1.24</v>
      </c>
      <c r="AN2216">
        <v>0.17</v>
      </c>
      <c r="AP2216" t="s">
        <v>22111</v>
      </c>
      <c r="AQ2216" t="s">
        <v>7256</v>
      </c>
      <c r="AR2216" t="s">
        <v>4839</v>
      </c>
      <c r="AS2216" t="s">
        <v>3500</v>
      </c>
      <c r="AT2216" t="s">
        <v>5369</v>
      </c>
      <c r="AU2216" t="s">
        <v>2655</v>
      </c>
      <c r="AV2216" t="s">
        <v>4294</v>
      </c>
      <c r="AW2216" t="s">
        <v>1842</v>
      </c>
      <c r="AX2216" t="s">
        <v>9612</v>
      </c>
      <c r="AY2216" t="s">
        <v>14236</v>
      </c>
      <c r="AZ2216" t="s">
        <v>22112</v>
      </c>
      <c r="BA2216">
        <v>1</v>
      </c>
      <c r="BB2216">
        <v>819.07</v>
      </c>
      <c r="BC2216">
        <v>0.23</v>
      </c>
      <c r="BD2216">
        <v>9.32</v>
      </c>
      <c r="BE2216">
        <v>9.44</v>
      </c>
      <c r="BF2216">
        <v>9.34</v>
      </c>
      <c r="BG2216" t="s">
        <v>22113</v>
      </c>
      <c r="BH2216" t="s">
        <v>22114</v>
      </c>
      <c r="BI2216" t="s">
        <v>22112</v>
      </c>
      <c r="BJ2216" t="s">
        <v>101</v>
      </c>
      <c r="BK2216" t="s">
        <v>8927</v>
      </c>
      <c r="BL2216" t="s">
        <v>334</v>
      </c>
      <c r="BM2216" t="s">
        <v>489</v>
      </c>
      <c r="BN2216" t="s">
        <v>14623</v>
      </c>
    </row>
    <row r="2217" spans="1:66" x14ac:dyDescent="0.25">
      <c r="A2217" t="str">
        <f>HYPERLINK("https://elite.finviz.com/quote.ashx?t=SION&amp;ty=c&amp;p=d&amp;b=1", "SION")</f>
        <v>SION</v>
      </c>
      <c r="B2217">
        <v>6</v>
      </c>
      <c r="C2217">
        <v>127.03</v>
      </c>
      <c r="D2217">
        <v>67.540000000000006</v>
      </c>
      <c r="E2217" t="s">
        <v>22115</v>
      </c>
      <c r="F2217" t="s">
        <v>67</v>
      </c>
      <c r="G2217" t="s">
        <v>428</v>
      </c>
      <c r="H2217" t="s">
        <v>429</v>
      </c>
      <c r="I2217" t="s">
        <v>70</v>
      </c>
      <c r="J2217" t="s">
        <v>321</v>
      </c>
      <c r="K2217">
        <v>1242.98</v>
      </c>
      <c r="L2217">
        <v>28.16</v>
      </c>
      <c r="M2217" t="s">
        <v>4710</v>
      </c>
      <c r="N2217">
        <v>51055</v>
      </c>
      <c r="S2217">
        <v>3.69</v>
      </c>
      <c r="AB2217" t="s">
        <v>11951</v>
      </c>
      <c r="AD2217" t="s">
        <v>18519</v>
      </c>
      <c r="AI2217" t="s">
        <v>16602</v>
      </c>
      <c r="AJ2217" t="s">
        <v>337</v>
      </c>
      <c r="AK2217" t="s">
        <v>19593</v>
      </c>
      <c r="AL2217">
        <v>35.33</v>
      </c>
      <c r="AM2217">
        <v>35.33</v>
      </c>
      <c r="AN2217">
        <v>0.03</v>
      </c>
      <c r="AR2217" t="s">
        <v>848</v>
      </c>
      <c r="AS2217" t="s">
        <v>7698</v>
      </c>
      <c r="AT2217" t="s">
        <v>328</v>
      </c>
      <c r="AU2217" t="s">
        <v>7796</v>
      </c>
      <c r="AV2217" t="s">
        <v>22116</v>
      </c>
      <c r="AW2217" t="s">
        <v>8228</v>
      </c>
      <c r="AX2217" t="s">
        <v>22117</v>
      </c>
      <c r="AY2217" t="s">
        <v>8228</v>
      </c>
      <c r="AZ2217" t="s">
        <v>22118</v>
      </c>
      <c r="BA2217">
        <v>1.33</v>
      </c>
      <c r="BB2217">
        <v>247.64</v>
      </c>
      <c r="BC2217">
        <v>0.73</v>
      </c>
      <c r="BD2217">
        <v>27.5</v>
      </c>
      <c r="BE2217">
        <v>28.94</v>
      </c>
      <c r="BF2217">
        <v>26.3</v>
      </c>
      <c r="BG2217" t="s">
        <v>22119</v>
      </c>
      <c r="BH2217" t="s">
        <v>8228</v>
      </c>
      <c r="BI2217" t="s">
        <v>22118</v>
      </c>
      <c r="BJ2217" t="s">
        <v>101</v>
      </c>
      <c r="BK2217" t="s">
        <v>4812</v>
      </c>
      <c r="BL2217" t="s">
        <v>22120</v>
      </c>
      <c r="BN2217" t="s">
        <v>14623</v>
      </c>
    </row>
    <row r="2218" spans="1:66" x14ac:dyDescent="0.25">
      <c r="A2218" t="str">
        <f>HYPERLINK("https://elite.finviz.com/quote.ashx?t=MAMA&amp;ty=c&amp;p=d&amp;b=1", "MAMA")</f>
        <v>MAMA</v>
      </c>
      <c r="B2218">
        <v>6</v>
      </c>
      <c r="C2218">
        <v>127.03</v>
      </c>
      <c r="D2218">
        <v>67.58</v>
      </c>
      <c r="E2218" t="s">
        <v>22121</v>
      </c>
      <c r="F2218" t="s">
        <v>67</v>
      </c>
      <c r="G2218" t="s">
        <v>2244</v>
      </c>
      <c r="H2218" t="s">
        <v>3269</v>
      </c>
      <c r="I2218" t="s">
        <v>70</v>
      </c>
      <c r="J2218" t="s">
        <v>321</v>
      </c>
      <c r="K2218">
        <v>435.36</v>
      </c>
      <c r="L2218">
        <v>10.75</v>
      </c>
      <c r="M2218" t="s">
        <v>2103</v>
      </c>
      <c r="N2218">
        <v>47134</v>
      </c>
      <c r="O2218">
        <v>93.97</v>
      </c>
      <c r="P2218">
        <v>45.94</v>
      </c>
      <c r="Q2218">
        <v>2.71</v>
      </c>
      <c r="R2218">
        <v>3.21</v>
      </c>
      <c r="S2218">
        <v>13.74</v>
      </c>
      <c r="Z2218" t="s">
        <v>164</v>
      </c>
      <c r="AA2218">
        <v>0.11</v>
      </c>
      <c r="AC2218" t="s">
        <v>5458</v>
      </c>
      <c r="AD2218" t="s">
        <v>10694</v>
      </c>
      <c r="AE2218" t="s">
        <v>9905</v>
      </c>
      <c r="AF2218" t="s">
        <v>16746</v>
      </c>
      <c r="AG2218" t="s">
        <v>11975</v>
      </c>
      <c r="AH2218" t="s">
        <v>3426</v>
      </c>
      <c r="AI2218" t="s">
        <v>10378</v>
      </c>
      <c r="AJ2218" t="s">
        <v>7598</v>
      </c>
      <c r="AK2218" t="s">
        <v>19799</v>
      </c>
      <c r="AL2218">
        <v>1.58</v>
      </c>
      <c r="AM2218">
        <v>1.1499999999999999</v>
      </c>
      <c r="AN2218">
        <v>0.36</v>
      </c>
      <c r="AO2218" t="s">
        <v>5701</v>
      </c>
      <c r="AP2218" t="s">
        <v>165</v>
      </c>
      <c r="AQ2218" t="s">
        <v>3035</v>
      </c>
      <c r="AR2218" t="s">
        <v>272</v>
      </c>
      <c r="AS2218" t="s">
        <v>370</v>
      </c>
      <c r="AT2218" t="s">
        <v>6456</v>
      </c>
      <c r="AU2218" t="s">
        <v>6595</v>
      </c>
      <c r="AV2218" t="s">
        <v>13742</v>
      </c>
      <c r="AW2218" t="s">
        <v>7383</v>
      </c>
      <c r="AX2218" t="s">
        <v>20405</v>
      </c>
      <c r="AY2218" t="s">
        <v>7383</v>
      </c>
      <c r="AZ2218" t="s">
        <v>7316</v>
      </c>
      <c r="BA2218">
        <v>1</v>
      </c>
      <c r="BB2218">
        <v>264.70999999999998</v>
      </c>
      <c r="BC2218">
        <v>0.63</v>
      </c>
      <c r="BD2218">
        <v>10.81</v>
      </c>
      <c r="BE2218">
        <v>10.87</v>
      </c>
      <c r="BF2218">
        <v>10.54</v>
      </c>
      <c r="BG2218" t="s">
        <v>22122</v>
      </c>
      <c r="BH2218" t="s">
        <v>7383</v>
      </c>
      <c r="BI2218" t="s">
        <v>22123</v>
      </c>
      <c r="BJ2218" t="s">
        <v>101</v>
      </c>
      <c r="BK2218" t="s">
        <v>6957</v>
      </c>
      <c r="BL2218" t="s">
        <v>22124</v>
      </c>
      <c r="BM2218" t="s">
        <v>22125</v>
      </c>
      <c r="BN2218" t="s">
        <v>14623</v>
      </c>
    </row>
    <row r="2219" spans="1:66" x14ac:dyDescent="0.25">
      <c r="A2219" t="str">
        <f>HYPERLINK("https://elite.finviz.com/quote.ashx?t=FBK&amp;ty=c&amp;p=d&amp;b=1", "FBK")</f>
        <v>FBK</v>
      </c>
      <c r="B2219">
        <v>6</v>
      </c>
      <c r="C2219">
        <v>127.03</v>
      </c>
      <c r="D2219">
        <v>67.63</v>
      </c>
      <c r="E2219" t="s">
        <v>22126</v>
      </c>
      <c r="F2219" t="s">
        <v>67</v>
      </c>
      <c r="G2219" t="s">
        <v>550</v>
      </c>
      <c r="H2219" t="s">
        <v>697</v>
      </c>
      <c r="I2219" t="s">
        <v>70</v>
      </c>
      <c r="J2219" t="s">
        <v>71</v>
      </c>
      <c r="K2219">
        <v>2968.69</v>
      </c>
      <c r="L2219">
        <v>55.13</v>
      </c>
      <c r="M2219" t="s">
        <v>1409</v>
      </c>
      <c r="N2219">
        <v>74764</v>
      </c>
      <c r="O2219">
        <v>28.61</v>
      </c>
      <c r="P2219">
        <v>12.12</v>
      </c>
      <c r="Q2219">
        <v>2.19</v>
      </c>
      <c r="R2219">
        <v>4.13</v>
      </c>
      <c r="S2219">
        <v>1.57</v>
      </c>
      <c r="T2219" t="s">
        <v>2509</v>
      </c>
      <c r="U2219">
        <v>0.74</v>
      </c>
      <c r="V2219" t="s">
        <v>7906</v>
      </c>
      <c r="W2219" t="s">
        <v>485</v>
      </c>
      <c r="X2219" t="s">
        <v>6343</v>
      </c>
      <c r="Y2219" t="s">
        <v>16206</v>
      </c>
      <c r="Z2219" t="s">
        <v>12556</v>
      </c>
      <c r="AA2219">
        <v>1.93</v>
      </c>
      <c r="AB2219" t="s">
        <v>2452</v>
      </c>
      <c r="AC2219" t="s">
        <v>4938</v>
      </c>
      <c r="AD2219" t="s">
        <v>4109</v>
      </c>
      <c r="AE2219" t="s">
        <v>16493</v>
      </c>
      <c r="AF2219" t="s">
        <v>2581</v>
      </c>
      <c r="AG2219" t="s">
        <v>10736</v>
      </c>
      <c r="AH2219" t="s">
        <v>14765</v>
      </c>
      <c r="AI2219" t="s">
        <v>2760</v>
      </c>
      <c r="AJ2219" t="s">
        <v>4237</v>
      </c>
      <c r="AK2219" t="s">
        <v>22127</v>
      </c>
      <c r="AL2219">
        <v>0.11</v>
      </c>
      <c r="AN2219">
        <v>0.14000000000000001</v>
      </c>
      <c r="AP2219" t="s">
        <v>4549</v>
      </c>
      <c r="AQ2219" t="s">
        <v>3921</v>
      </c>
      <c r="AR2219" t="s">
        <v>4946</v>
      </c>
      <c r="AS2219" t="s">
        <v>1129</v>
      </c>
      <c r="AT2219" t="s">
        <v>4658</v>
      </c>
      <c r="AU2219" t="s">
        <v>4377</v>
      </c>
      <c r="AV2219" t="s">
        <v>14309</v>
      </c>
      <c r="AW2219" t="s">
        <v>2213</v>
      </c>
      <c r="AX2219" t="s">
        <v>5758</v>
      </c>
      <c r="AY2219" t="s">
        <v>5567</v>
      </c>
      <c r="AZ2219" t="s">
        <v>12705</v>
      </c>
      <c r="BA2219">
        <v>1.29</v>
      </c>
      <c r="BB2219">
        <v>446.37</v>
      </c>
      <c r="BC2219">
        <v>0.59</v>
      </c>
      <c r="BD2219">
        <v>54.9</v>
      </c>
      <c r="BE2219">
        <v>55.64</v>
      </c>
      <c r="BF2219">
        <v>54.92</v>
      </c>
      <c r="BG2219" t="s">
        <v>22128</v>
      </c>
      <c r="BH2219" t="s">
        <v>5567</v>
      </c>
      <c r="BI2219" t="s">
        <v>22129</v>
      </c>
      <c r="BJ2219" t="s">
        <v>101</v>
      </c>
      <c r="BK2219" t="s">
        <v>8592</v>
      </c>
      <c r="BL2219" t="s">
        <v>3270</v>
      </c>
      <c r="BM2219" t="s">
        <v>1422</v>
      </c>
      <c r="BN2219" t="s">
        <v>14623</v>
      </c>
    </row>
    <row r="2220" spans="1:66" x14ac:dyDescent="0.25">
      <c r="A2220" t="str">
        <f>HYPERLINK("https://elite.finviz.com/quote.ashx?t=MLNK&amp;ty=c&amp;p=d&amp;b=1", "MLNK")</f>
        <v>MLNK</v>
      </c>
      <c r="B2220">
        <v>6</v>
      </c>
      <c r="C2220">
        <v>127.03</v>
      </c>
      <c r="D2220">
        <v>67.650000000000006</v>
      </c>
      <c r="E2220" t="s">
        <v>22130</v>
      </c>
      <c r="F2220" t="s">
        <v>67</v>
      </c>
      <c r="G2220" t="s">
        <v>108</v>
      </c>
      <c r="H2220" t="s">
        <v>136</v>
      </c>
      <c r="I2220" t="s">
        <v>70</v>
      </c>
      <c r="J2220" t="s">
        <v>71</v>
      </c>
      <c r="K2220">
        <v>1472.73</v>
      </c>
      <c r="L2220">
        <v>19.940000000000001</v>
      </c>
      <c r="M2220" t="s">
        <v>5549</v>
      </c>
      <c r="N2220">
        <v>30317</v>
      </c>
      <c r="P2220">
        <v>43.81</v>
      </c>
      <c r="R2220">
        <v>4.5199999999999996</v>
      </c>
      <c r="S2220">
        <v>3.77</v>
      </c>
      <c r="AA2220">
        <v>-0.3</v>
      </c>
      <c r="AB2220" t="s">
        <v>2213</v>
      </c>
      <c r="AC2220" t="s">
        <v>10237</v>
      </c>
      <c r="AD2220" t="s">
        <v>839</v>
      </c>
      <c r="AE2220" t="s">
        <v>1496</v>
      </c>
      <c r="AF2220" t="s">
        <v>7685</v>
      </c>
      <c r="AG2220" t="s">
        <v>15391</v>
      </c>
      <c r="AH2220" t="s">
        <v>6392</v>
      </c>
      <c r="AI2220" t="s">
        <v>870</v>
      </c>
      <c r="AJ2220" t="s">
        <v>164</v>
      </c>
      <c r="AK2220" t="s">
        <v>22042</v>
      </c>
      <c r="AL2220">
        <v>1.94</v>
      </c>
      <c r="AM2220">
        <v>1.94</v>
      </c>
      <c r="AN2220">
        <v>1.19</v>
      </c>
      <c r="AO2220" t="s">
        <v>8522</v>
      </c>
      <c r="AP2220" t="s">
        <v>2662</v>
      </c>
      <c r="AQ2220" t="s">
        <v>1092</v>
      </c>
      <c r="AR2220" t="s">
        <v>430</v>
      </c>
      <c r="AS2220" t="s">
        <v>3736</v>
      </c>
      <c r="AT2220" t="s">
        <v>5242</v>
      </c>
      <c r="AU2220" t="s">
        <v>4742</v>
      </c>
      <c r="AV2220" t="s">
        <v>5658</v>
      </c>
      <c r="AW2220" t="s">
        <v>148</v>
      </c>
      <c r="AX2220" t="s">
        <v>10087</v>
      </c>
      <c r="AY2220" t="s">
        <v>16826</v>
      </c>
      <c r="AZ2220" t="s">
        <v>19643</v>
      </c>
      <c r="BA2220">
        <v>3.25</v>
      </c>
      <c r="BB2220">
        <v>673.22</v>
      </c>
      <c r="BC2220">
        <v>0.16</v>
      </c>
      <c r="BD2220">
        <v>19.93</v>
      </c>
      <c r="BE2220">
        <v>19.940000000000001</v>
      </c>
      <c r="BF2220">
        <v>19.920000000000002</v>
      </c>
      <c r="BG2220" t="s">
        <v>22131</v>
      </c>
      <c r="BH2220" t="s">
        <v>22132</v>
      </c>
      <c r="BI2220" t="s">
        <v>4624</v>
      </c>
      <c r="BJ2220" t="s">
        <v>101</v>
      </c>
      <c r="BK2220" t="s">
        <v>18114</v>
      </c>
      <c r="BL2220" t="s">
        <v>9130</v>
      </c>
      <c r="BM2220" t="s">
        <v>15466</v>
      </c>
      <c r="BN2220" t="s">
        <v>14623</v>
      </c>
    </row>
    <row r="2221" spans="1:66" x14ac:dyDescent="0.25">
      <c r="A2221" t="str">
        <f>HYPERLINK("https://elite.finviz.com/quote.ashx?t=CPK&amp;ty=c&amp;p=d&amp;b=1", "CPK")</f>
        <v>CPK</v>
      </c>
      <c r="B2221">
        <v>6</v>
      </c>
      <c r="C2221">
        <v>127.03</v>
      </c>
      <c r="D2221">
        <v>67.67</v>
      </c>
      <c r="E2221" t="s">
        <v>22133</v>
      </c>
      <c r="F2221" t="s">
        <v>67</v>
      </c>
      <c r="G2221" t="s">
        <v>287</v>
      </c>
      <c r="H2221" t="s">
        <v>3541</v>
      </c>
      <c r="I2221" t="s">
        <v>70</v>
      </c>
      <c r="J2221" t="s">
        <v>71</v>
      </c>
      <c r="K2221">
        <v>3104.81</v>
      </c>
      <c r="L2221">
        <v>131.87</v>
      </c>
      <c r="M2221" t="s">
        <v>164</v>
      </c>
      <c r="N2221">
        <v>22049</v>
      </c>
      <c r="O2221">
        <v>23.52</v>
      </c>
      <c r="P2221">
        <v>19.54</v>
      </c>
      <c r="Q2221">
        <v>2.27</v>
      </c>
      <c r="R2221">
        <v>3.58</v>
      </c>
      <c r="S2221">
        <v>2.06</v>
      </c>
      <c r="T2221" t="s">
        <v>6151</v>
      </c>
      <c r="U2221">
        <v>2.65</v>
      </c>
      <c r="V2221" t="s">
        <v>3833</v>
      </c>
      <c r="W2221" t="s">
        <v>191</v>
      </c>
      <c r="X2221" t="s">
        <v>5404</v>
      </c>
      <c r="Y2221" t="s">
        <v>2635</v>
      </c>
      <c r="Z2221" t="s">
        <v>10590</v>
      </c>
      <c r="AA2221">
        <v>5.61</v>
      </c>
      <c r="AB2221" t="s">
        <v>2233</v>
      </c>
      <c r="AC2221" t="s">
        <v>2450</v>
      </c>
      <c r="AD2221" t="s">
        <v>10247</v>
      </c>
      <c r="AE2221" t="s">
        <v>14050</v>
      </c>
      <c r="AF2221" t="s">
        <v>2661</v>
      </c>
      <c r="AG2221" t="s">
        <v>6168</v>
      </c>
      <c r="AH2221" t="s">
        <v>10359</v>
      </c>
      <c r="AI2221" t="s">
        <v>5660</v>
      </c>
      <c r="AJ2221" t="s">
        <v>164</v>
      </c>
      <c r="AK2221" t="s">
        <v>22134</v>
      </c>
      <c r="AL2221">
        <v>0.42</v>
      </c>
      <c r="AM2221">
        <v>0.36</v>
      </c>
      <c r="AN2221">
        <v>1.02</v>
      </c>
      <c r="AO2221" t="s">
        <v>8653</v>
      </c>
      <c r="AP2221" t="s">
        <v>11804</v>
      </c>
      <c r="AQ2221" t="s">
        <v>1561</v>
      </c>
      <c r="AR2221" t="s">
        <v>617</v>
      </c>
      <c r="AS2221" t="s">
        <v>2201</v>
      </c>
      <c r="AT2221" t="s">
        <v>3480</v>
      </c>
      <c r="AU2221" t="s">
        <v>7767</v>
      </c>
      <c r="AV2221" t="s">
        <v>2231</v>
      </c>
      <c r="AW2221" t="s">
        <v>5789</v>
      </c>
      <c r="AX2221" t="s">
        <v>5788</v>
      </c>
      <c r="AY2221" t="s">
        <v>3586</v>
      </c>
      <c r="AZ2221" t="s">
        <v>4666</v>
      </c>
      <c r="BA2221">
        <v>1.5</v>
      </c>
      <c r="BB2221">
        <v>123.71</v>
      </c>
      <c r="BC2221">
        <v>0.63</v>
      </c>
      <c r="BD2221">
        <v>131.87</v>
      </c>
      <c r="BE2221">
        <v>134.26</v>
      </c>
      <c r="BF2221">
        <v>131.9</v>
      </c>
      <c r="BG2221" t="s">
        <v>22135</v>
      </c>
      <c r="BH2221" t="s">
        <v>8115</v>
      </c>
      <c r="BI2221" t="s">
        <v>22136</v>
      </c>
      <c r="BJ2221" t="s">
        <v>101</v>
      </c>
      <c r="BK2221" t="s">
        <v>1078</v>
      </c>
      <c r="BL2221" t="s">
        <v>4824</v>
      </c>
      <c r="BM2221" t="s">
        <v>8808</v>
      </c>
      <c r="BN2221" t="s">
        <v>14623</v>
      </c>
    </row>
    <row r="2222" spans="1:66" x14ac:dyDescent="0.25">
      <c r="A2222" t="str">
        <f>HYPERLINK("https://elite.finviz.com/quote.ashx?t=GATX&amp;ty=c&amp;p=d&amp;b=1", "GATX")</f>
        <v>GATX</v>
      </c>
      <c r="B2222">
        <v>6</v>
      </c>
      <c r="C2222">
        <v>127.03</v>
      </c>
      <c r="D2222">
        <v>67.7</v>
      </c>
      <c r="E2222" t="s">
        <v>22137</v>
      </c>
      <c r="F2222" t="s">
        <v>67</v>
      </c>
      <c r="G2222" t="s">
        <v>260</v>
      </c>
      <c r="H2222" t="s">
        <v>7905</v>
      </c>
      <c r="I2222" t="s">
        <v>70</v>
      </c>
      <c r="J2222" t="s">
        <v>71</v>
      </c>
      <c r="K2222">
        <v>6281.62</v>
      </c>
      <c r="L2222">
        <v>176.45</v>
      </c>
      <c r="M2222" t="s">
        <v>4902</v>
      </c>
      <c r="N2222">
        <v>29306</v>
      </c>
      <c r="O2222">
        <v>20.170000000000002</v>
      </c>
      <c r="P2222">
        <v>18.13</v>
      </c>
      <c r="Q2222">
        <v>2.14</v>
      </c>
      <c r="R2222">
        <v>3.76</v>
      </c>
      <c r="S2222">
        <v>2.36</v>
      </c>
      <c r="T2222" t="s">
        <v>1025</v>
      </c>
      <c r="U2222">
        <v>2.41</v>
      </c>
      <c r="V2222" t="s">
        <v>3833</v>
      </c>
      <c r="W2222" t="s">
        <v>3435</v>
      </c>
      <c r="X2222" t="s">
        <v>3887</v>
      </c>
      <c r="Y2222" t="s">
        <v>2774</v>
      </c>
      <c r="Z2222" t="s">
        <v>10712</v>
      </c>
      <c r="AA2222">
        <v>8.75</v>
      </c>
      <c r="AB2222" t="s">
        <v>7244</v>
      </c>
      <c r="AC2222" t="s">
        <v>4077</v>
      </c>
      <c r="AD2222" t="s">
        <v>10557</v>
      </c>
      <c r="AE2222" t="s">
        <v>11337</v>
      </c>
      <c r="AF2222" t="s">
        <v>8727</v>
      </c>
      <c r="AG2222" t="s">
        <v>2205</v>
      </c>
      <c r="AH2222" t="s">
        <v>5656</v>
      </c>
      <c r="AI2222" t="s">
        <v>2640</v>
      </c>
      <c r="AJ2222" t="s">
        <v>1862</v>
      </c>
      <c r="AK2222" t="s">
        <v>21268</v>
      </c>
      <c r="AL2222">
        <v>1.6</v>
      </c>
      <c r="AM2222">
        <v>1.6</v>
      </c>
      <c r="AN2222">
        <v>3.38</v>
      </c>
      <c r="AO2222" t="s">
        <v>8428</v>
      </c>
      <c r="AP2222" t="s">
        <v>11575</v>
      </c>
      <c r="AQ2222" t="s">
        <v>5465</v>
      </c>
      <c r="AR2222" t="s">
        <v>2307</v>
      </c>
      <c r="AS2222" t="s">
        <v>5258</v>
      </c>
      <c r="AT2222" t="s">
        <v>3035</v>
      </c>
      <c r="AU2222" t="s">
        <v>147</v>
      </c>
      <c r="AV2222" t="s">
        <v>6530</v>
      </c>
      <c r="AW2222" t="s">
        <v>1820</v>
      </c>
      <c r="AX2222" t="s">
        <v>8576</v>
      </c>
      <c r="AY2222" t="s">
        <v>1820</v>
      </c>
      <c r="AZ2222" t="s">
        <v>486</v>
      </c>
      <c r="BA2222">
        <v>1.5</v>
      </c>
      <c r="BB2222">
        <v>183.5</v>
      </c>
      <c r="BC2222">
        <v>0.56000000000000005</v>
      </c>
      <c r="BD2222">
        <v>174.49</v>
      </c>
      <c r="BE2222">
        <v>177.02</v>
      </c>
      <c r="BF2222">
        <v>174.49</v>
      </c>
      <c r="BG2222" t="s">
        <v>22138</v>
      </c>
      <c r="BH2222" t="s">
        <v>1820</v>
      </c>
      <c r="BI2222" t="s">
        <v>22139</v>
      </c>
      <c r="BJ2222" t="s">
        <v>101</v>
      </c>
      <c r="BK2222" t="s">
        <v>6779</v>
      </c>
      <c r="BL2222" t="s">
        <v>5877</v>
      </c>
      <c r="BM2222" t="s">
        <v>11424</v>
      </c>
      <c r="BN2222" t="s">
        <v>14623</v>
      </c>
    </row>
    <row r="2223" spans="1:66" x14ac:dyDescent="0.25">
      <c r="A2223" t="str">
        <f>HYPERLINK("https://elite.finviz.com/quote.ashx?t=ATRO&amp;ty=c&amp;p=d&amp;b=1", "ATRO")</f>
        <v>ATRO</v>
      </c>
      <c r="B2223">
        <v>6</v>
      </c>
      <c r="C2223">
        <v>127.03</v>
      </c>
      <c r="D2223">
        <v>67.72</v>
      </c>
      <c r="E2223" t="s">
        <v>22140</v>
      </c>
      <c r="F2223" t="s">
        <v>67</v>
      </c>
      <c r="G2223" t="s">
        <v>260</v>
      </c>
      <c r="H2223" t="s">
        <v>4779</v>
      </c>
      <c r="I2223" t="s">
        <v>70</v>
      </c>
      <c r="J2223" t="s">
        <v>321</v>
      </c>
      <c r="K2223">
        <v>1544.68</v>
      </c>
      <c r="L2223">
        <v>43.67</v>
      </c>
      <c r="M2223" t="s">
        <v>2638</v>
      </c>
      <c r="N2223">
        <v>66189</v>
      </c>
      <c r="P2223">
        <v>23.87</v>
      </c>
      <c r="R2223">
        <v>1.88</v>
      </c>
      <c r="S2223">
        <v>5.69</v>
      </c>
      <c r="AA2223">
        <v>-0.16</v>
      </c>
      <c r="AB2223" t="s">
        <v>5003</v>
      </c>
      <c r="AE2223" t="s">
        <v>7556</v>
      </c>
      <c r="AF2223" t="s">
        <v>16012</v>
      </c>
      <c r="AG2223" t="s">
        <v>2571</v>
      </c>
      <c r="AH2223" t="s">
        <v>6770</v>
      </c>
      <c r="AI2223" t="s">
        <v>19751</v>
      </c>
      <c r="AJ2223" t="s">
        <v>4432</v>
      </c>
      <c r="AK2223" t="s">
        <v>21834</v>
      </c>
      <c r="AL2223">
        <v>3.04</v>
      </c>
      <c r="AM2223">
        <v>1.63</v>
      </c>
      <c r="AN2223">
        <v>0.72</v>
      </c>
      <c r="AO2223" t="s">
        <v>8721</v>
      </c>
      <c r="AP2223" t="s">
        <v>4744</v>
      </c>
      <c r="AQ2223" t="s">
        <v>2203</v>
      </c>
      <c r="AR2223" t="s">
        <v>5369</v>
      </c>
      <c r="AS2223" t="s">
        <v>2385</v>
      </c>
      <c r="AT2223" t="s">
        <v>3672</v>
      </c>
      <c r="AU2223" t="s">
        <v>4533</v>
      </c>
      <c r="AV2223" t="s">
        <v>8171</v>
      </c>
      <c r="AW2223" t="s">
        <v>15918</v>
      </c>
      <c r="AX2223" t="s">
        <v>16551</v>
      </c>
      <c r="AY2223" t="s">
        <v>15918</v>
      </c>
      <c r="AZ2223" t="s">
        <v>22141</v>
      </c>
      <c r="BA2223">
        <v>1</v>
      </c>
      <c r="BB2223">
        <v>775.57</v>
      </c>
      <c r="BC2223">
        <v>0.3</v>
      </c>
      <c r="BD2223">
        <v>43.72</v>
      </c>
      <c r="BE2223">
        <v>44.14</v>
      </c>
      <c r="BF2223">
        <v>43.52</v>
      </c>
      <c r="BG2223" t="s">
        <v>22142</v>
      </c>
      <c r="BH2223" t="s">
        <v>5767</v>
      </c>
      <c r="BI2223" t="s">
        <v>22143</v>
      </c>
      <c r="BJ2223" t="s">
        <v>101</v>
      </c>
      <c r="BK2223" t="s">
        <v>20473</v>
      </c>
      <c r="BL2223" t="s">
        <v>15012</v>
      </c>
      <c r="BM2223" t="s">
        <v>22144</v>
      </c>
      <c r="BN2223" t="s">
        <v>14623</v>
      </c>
    </row>
    <row r="2224" spans="1:66" x14ac:dyDescent="0.25">
      <c r="A2224" t="str">
        <f>HYPERLINK("https://elite.finviz.com/quote.ashx?t=ACLS&amp;ty=c&amp;p=d&amp;b=1", "ACLS")</f>
        <v>ACLS</v>
      </c>
      <c r="B2224">
        <v>6</v>
      </c>
      <c r="C2224">
        <v>127.03</v>
      </c>
      <c r="D2224">
        <v>67.930000000000007</v>
      </c>
      <c r="E2224" t="s">
        <v>22145</v>
      </c>
      <c r="F2224" t="s">
        <v>67</v>
      </c>
      <c r="G2224" t="s">
        <v>108</v>
      </c>
      <c r="H2224" t="s">
        <v>2097</v>
      </c>
      <c r="I2224" t="s">
        <v>70</v>
      </c>
      <c r="J2224" t="s">
        <v>321</v>
      </c>
      <c r="K2224">
        <v>3021.87</v>
      </c>
      <c r="L2224">
        <v>96.18</v>
      </c>
      <c r="M2224" t="s">
        <v>11369</v>
      </c>
      <c r="N2224">
        <v>46797</v>
      </c>
      <c r="O2224">
        <v>19.66</v>
      </c>
      <c r="P2224">
        <v>22.87</v>
      </c>
      <c r="R2224">
        <v>3.37</v>
      </c>
      <c r="S2224">
        <v>2.96</v>
      </c>
      <c r="Z2224" t="s">
        <v>164</v>
      </c>
      <c r="AA2224">
        <v>4.8899999999999997</v>
      </c>
      <c r="AB2224" t="s">
        <v>2972</v>
      </c>
      <c r="AC2224" t="s">
        <v>18153</v>
      </c>
      <c r="AD2224" t="s">
        <v>11775</v>
      </c>
      <c r="AE2224" t="s">
        <v>18717</v>
      </c>
      <c r="AF2224" t="s">
        <v>5057</v>
      </c>
      <c r="AG2224" t="s">
        <v>22146</v>
      </c>
      <c r="AH2224" t="s">
        <v>20672</v>
      </c>
      <c r="AI2224" t="s">
        <v>12881</v>
      </c>
      <c r="AJ2224" t="s">
        <v>2402</v>
      </c>
      <c r="AK2224" t="s">
        <v>14737</v>
      </c>
      <c r="AL2224">
        <v>6.01</v>
      </c>
      <c r="AM2224">
        <v>4.26</v>
      </c>
      <c r="AN2224">
        <v>7.0000000000000007E-2</v>
      </c>
      <c r="AO2224" t="s">
        <v>242</v>
      </c>
      <c r="AP2224" t="s">
        <v>3794</v>
      </c>
      <c r="AQ2224" t="s">
        <v>1383</v>
      </c>
      <c r="AR2224" t="s">
        <v>2493</v>
      </c>
      <c r="AS2224" t="s">
        <v>4499</v>
      </c>
      <c r="AT2224" t="s">
        <v>1822</v>
      </c>
      <c r="AU2224" t="s">
        <v>7851</v>
      </c>
      <c r="AV2224" t="s">
        <v>8306</v>
      </c>
      <c r="AW2224" t="s">
        <v>4764</v>
      </c>
      <c r="AX2224" t="s">
        <v>18631</v>
      </c>
      <c r="AY2224" t="s">
        <v>7526</v>
      </c>
      <c r="AZ2224" t="s">
        <v>22147</v>
      </c>
      <c r="BA2224">
        <v>2.67</v>
      </c>
      <c r="BB2224">
        <v>515.57000000000005</v>
      </c>
      <c r="BC2224">
        <v>0.32</v>
      </c>
      <c r="BD2224">
        <v>97.12</v>
      </c>
      <c r="BE2224">
        <v>96.98</v>
      </c>
      <c r="BF2224">
        <v>95.23</v>
      </c>
      <c r="BG2224" t="s">
        <v>22148</v>
      </c>
      <c r="BH2224" t="s">
        <v>19807</v>
      </c>
      <c r="BI2224" t="s">
        <v>22149</v>
      </c>
      <c r="BJ2224" t="s">
        <v>101</v>
      </c>
      <c r="BK2224" t="s">
        <v>6901</v>
      </c>
      <c r="BL2224" t="s">
        <v>22150</v>
      </c>
      <c r="BM2224" t="s">
        <v>3792</v>
      </c>
      <c r="BN2224" t="s">
        <v>14623</v>
      </c>
    </row>
    <row r="2225" spans="1:66" x14ac:dyDescent="0.25">
      <c r="A2225" t="str">
        <f>HYPERLINK("https://elite.finviz.com/quote.ashx?t=L&amp;ty=c&amp;p=d&amp;b=1", "L")</f>
        <v>L</v>
      </c>
      <c r="B2225">
        <v>6</v>
      </c>
      <c r="C2225">
        <v>127.03</v>
      </c>
      <c r="D2225">
        <v>67.98</v>
      </c>
      <c r="E2225" t="s">
        <v>22151</v>
      </c>
      <c r="F2225" t="s">
        <v>195</v>
      </c>
      <c r="G2225" t="s">
        <v>550</v>
      </c>
      <c r="H2225" t="s">
        <v>4407</v>
      </c>
      <c r="I2225" t="s">
        <v>70</v>
      </c>
      <c r="J2225" t="s">
        <v>71</v>
      </c>
      <c r="K2225">
        <v>20725.009999999998</v>
      </c>
      <c r="L2225">
        <v>99.92</v>
      </c>
      <c r="M2225" t="s">
        <v>3493</v>
      </c>
      <c r="N2225">
        <v>112371</v>
      </c>
      <c r="O2225">
        <v>15.89</v>
      </c>
      <c r="R2225">
        <v>1.1499999999999999</v>
      </c>
      <c r="S2225">
        <v>1.18</v>
      </c>
      <c r="T2225" t="s">
        <v>4266</v>
      </c>
      <c r="U2225">
        <v>0.25</v>
      </c>
      <c r="V2225" t="s">
        <v>5737</v>
      </c>
      <c r="W2225" t="s">
        <v>164</v>
      </c>
      <c r="X2225" t="s">
        <v>164</v>
      </c>
      <c r="Y2225" t="s">
        <v>164</v>
      </c>
      <c r="Z2225" t="s">
        <v>2838</v>
      </c>
      <c r="AA2225">
        <v>6.29</v>
      </c>
      <c r="AB2225" t="s">
        <v>5071</v>
      </c>
      <c r="AC2225" t="s">
        <v>9860</v>
      </c>
      <c r="AE2225" t="s">
        <v>5579</v>
      </c>
      <c r="AF2225" t="s">
        <v>7541</v>
      </c>
      <c r="AG2225" t="s">
        <v>203</v>
      </c>
      <c r="AH2225" t="s">
        <v>437</v>
      </c>
      <c r="AJ2225" t="s">
        <v>3752</v>
      </c>
      <c r="AK2225" t="s">
        <v>12459</v>
      </c>
      <c r="AL2225">
        <v>0.65</v>
      </c>
      <c r="AN2225">
        <v>0.51</v>
      </c>
      <c r="AP2225" t="s">
        <v>3406</v>
      </c>
      <c r="AQ2225" t="s">
        <v>8808</v>
      </c>
      <c r="AR2225" t="s">
        <v>1559</v>
      </c>
      <c r="AS2225" t="s">
        <v>6155</v>
      </c>
      <c r="AT2225" t="s">
        <v>4945</v>
      </c>
      <c r="AU2225" t="s">
        <v>1104</v>
      </c>
      <c r="AV2225" t="s">
        <v>9861</v>
      </c>
      <c r="AW2225" t="s">
        <v>1842</v>
      </c>
      <c r="AX2225" t="s">
        <v>6751</v>
      </c>
      <c r="AY2225" t="s">
        <v>1842</v>
      </c>
      <c r="AZ2225" t="s">
        <v>10717</v>
      </c>
      <c r="BA2225">
        <v>3</v>
      </c>
      <c r="BB2225">
        <v>814.44</v>
      </c>
      <c r="BC2225">
        <v>0.49</v>
      </c>
      <c r="BD2225">
        <v>99.02</v>
      </c>
      <c r="BE2225">
        <v>100.39</v>
      </c>
      <c r="BF2225">
        <v>99.66</v>
      </c>
      <c r="BG2225" t="s">
        <v>22152</v>
      </c>
      <c r="BH2225" t="s">
        <v>1842</v>
      </c>
      <c r="BI2225" t="s">
        <v>22153</v>
      </c>
      <c r="BJ2225" t="s">
        <v>101</v>
      </c>
      <c r="BK2225" t="s">
        <v>11544</v>
      </c>
      <c r="BL2225" t="s">
        <v>6945</v>
      </c>
      <c r="BM2225" t="s">
        <v>12178</v>
      </c>
      <c r="BN2225" t="s">
        <v>14623</v>
      </c>
    </row>
    <row r="2226" spans="1:66" x14ac:dyDescent="0.25">
      <c r="A2226" t="str">
        <f>HYPERLINK("https://elite.finviz.com/quote.ashx?t=LINC&amp;ty=c&amp;p=d&amp;b=1", "LINC")</f>
        <v>LINC</v>
      </c>
      <c r="B2226">
        <v>6</v>
      </c>
      <c r="C2226">
        <v>127.03</v>
      </c>
      <c r="D2226">
        <v>68.03</v>
      </c>
      <c r="E2226" t="s">
        <v>22154</v>
      </c>
      <c r="F2226" t="s">
        <v>67</v>
      </c>
      <c r="G2226" t="s">
        <v>2244</v>
      </c>
      <c r="H2226" t="s">
        <v>2483</v>
      </c>
      <c r="I2226" t="s">
        <v>70</v>
      </c>
      <c r="J2226" t="s">
        <v>321</v>
      </c>
      <c r="K2226">
        <v>722.32</v>
      </c>
      <c r="L2226">
        <v>22.84</v>
      </c>
      <c r="M2226" t="s">
        <v>6493</v>
      </c>
      <c r="N2226">
        <v>34130</v>
      </c>
      <c r="O2226">
        <v>49.77</v>
      </c>
      <c r="P2226">
        <v>28.56</v>
      </c>
      <c r="R2226">
        <v>1.54</v>
      </c>
      <c r="S2226">
        <v>4</v>
      </c>
      <c r="V2226" t="s">
        <v>22155</v>
      </c>
      <c r="Z2226" t="s">
        <v>164</v>
      </c>
      <c r="AA2226">
        <v>0.46</v>
      </c>
      <c r="AB2226" t="s">
        <v>1075</v>
      </c>
      <c r="AC2226" t="s">
        <v>13242</v>
      </c>
      <c r="AE2226" t="s">
        <v>3815</v>
      </c>
      <c r="AF2226" t="s">
        <v>12048</v>
      </c>
      <c r="AG2226" t="s">
        <v>6448</v>
      </c>
      <c r="AH2226" t="s">
        <v>604</v>
      </c>
      <c r="AI2226" t="s">
        <v>22156</v>
      </c>
      <c r="AJ2226" t="s">
        <v>5245</v>
      </c>
      <c r="AK2226" t="s">
        <v>15163</v>
      </c>
      <c r="AL2226">
        <v>0.9</v>
      </c>
      <c r="AM2226">
        <v>0.85</v>
      </c>
      <c r="AN2226">
        <v>1.05</v>
      </c>
      <c r="AO2226" t="s">
        <v>10258</v>
      </c>
      <c r="AP2226" t="s">
        <v>2842</v>
      </c>
      <c r="AQ2226" t="s">
        <v>1769</v>
      </c>
      <c r="AR2226" t="s">
        <v>4956</v>
      </c>
      <c r="AS2226" t="s">
        <v>5111</v>
      </c>
      <c r="AT2226" t="s">
        <v>6923</v>
      </c>
      <c r="AU2226" t="s">
        <v>2428</v>
      </c>
      <c r="AV2226" t="s">
        <v>7320</v>
      </c>
      <c r="AW2226" t="s">
        <v>3215</v>
      </c>
      <c r="AX2226" t="s">
        <v>13491</v>
      </c>
      <c r="AY2226" t="s">
        <v>3215</v>
      </c>
      <c r="AZ2226" t="s">
        <v>22157</v>
      </c>
      <c r="BA2226">
        <v>1</v>
      </c>
      <c r="BB2226">
        <v>380.74</v>
      </c>
      <c r="BC2226">
        <v>0.32</v>
      </c>
      <c r="BD2226">
        <v>22.46</v>
      </c>
      <c r="BE2226">
        <v>22.85</v>
      </c>
      <c r="BF2226">
        <v>22.49</v>
      </c>
      <c r="BG2226" t="s">
        <v>22158</v>
      </c>
      <c r="BH2226" t="s">
        <v>13655</v>
      </c>
      <c r="BI2226" t="s">
        <v>22159</v>
      </c>
      <c r="BJ2226" t="s">
        <v>101</v>
      </c>
      <c r="BK2226" t="s">
        <v>9160</v>
      </c>
      <c r="BL2226" t="s">
        <v>22160</v>
      </c>
      <c r="BM2226" t="s">
        <v>8651</v>
      </c>
      <c r="BN2226" t="s">
        <v>14623</v>
      </c>
    </row>
    <row r="2227" spans="1:66" x14ac:dyDescent="0.25">
      <c r="A2227" t="str">
        <f>HYPERLINK("https://elite.finviz.com/quote.ashx?t=HONE&amp;ty=c&amp;p=d&amp;b=1", "HONE")</f>
        <v>HONE</v>
      </c>
      <c r="B2227">
        <v>6</v>
      </c>
      <c r="C2227">
        <v>127.03</v>
      </c>
      <c r="D2227">
        <v>68.099999999999994</v>
      </c>
      <c r="E2227" t="s">
        <v>22161</v>
      </c>
      <c r="F2227" t="s">
        <v>67</v>
      </c>
      <c r="G2227" t="s">
        <v>550</v>
      </c>
      <c r="H2227" t="s">
        <v>697</v>
      </c>
      <c r="I2227" t="s">
        <v>70</v>
      </c>
      <c r="J2227" t="s">
        <v>321</v>
      </c>
      <c r="K2227">
        <v>586.70000000000005</v>
      </c>
      <c r="L2227">
        <v>13.59</v>
      </c>
      <c r="M2227" t="s">
        <v>2402</v>
      </c>
      <c r="N2227">
        <v>57803</v>
      </c>
      <c r="O2227">
        <v>20.99</v>
      </c>
      <c r="P2227">
        <v>14.94</v>
      </c>
      <c r="R2227">
        <v>1.89</v>
      </c>
      <c r="S2227">
        <v>1.01</v>
      </c>
      <c r="T2227" t="s">
        <v>213</v>
      </c>
      <c r="U2227">
        <v>0.43</v>
      </c>
      <c r="V2227" t="s">
        <v>7315</v>
      </c>
      <c r="W2227" t="s">
        <v>4760</v>
      </c>
      <c r="X2227" t="s">
        <v>87</v>
      </c>
      <c r="Z2227" t="s">
        <v>15241</v>
      </c>
      <c r="AA2227">
        <v>0.65</v>
      </c>
      <c r="AB2227" t="s">
        <v>10941</v>
      </c>
      <c r="AC2227" t="s">
        <v>10498</v>
      </c>
      <c r="AE2227" t="s">
        <v>3450</v>
      </c>
      <c r="AF2227" t="s">
        <v>8530</v>
      </c>
      <c r="AG2227" t="s">
        <v>9864</v>
      </c>
      <c r="AH2227" t="s">
        <v>1324</v>
      </c>
      <c r="AI2227" t="s">
        <v>15814</v>
      </c>
      <c r="AJ2227" t="s">
        <v>164</v>
      </c>
      <c r="AK2227" t="s">
        <v>22162</v>
      </c>
      <c r="AL2227">
        <v>0.09</v>
      </c>
      <c r="AN2227">
        <v>0.79</v>
      </c>
      <c r="AP2227" t="s">
        <v>4857</v>
      </c>
      <c r="AQ2227" t="s">
        <v>3455</v>
      </c>
      <c r="AR2227" t="s">
        <v>3544</v>
      </c>
      <c r="AS2227" t="s">
        <v>3544</v>
      </c>
      <c r="AT2227" t="s">
        <v>2662</v>
      </c>
      <c r="AU2227" t="s">
        <v>712</v>
      </c>
      <c r="AV2227" t="s">
        <v>20369</v>
      </c>
      <c r="AW2227" t="s">
        <v>530</v>
      </c>
      <c r="AX2227" t="s">
        <v>2544</v>
      </c>
      <c r="AY2227" t="s">
        <v>2132</v>
      </c>
      <c r="AZ2227" t="s">
        <v>20236</v>
      </c>
      <c r="BA2227">
        <v>2</v>
      </c>
      <c r="BB2227">
        <v>247.14</v>
      </c>
      <c r="BC2227">
        <v>0.82</v>
      </c>
      <c r="BD2227">
        <v>13.63</v>
      </c>
      <c r="BE2227">
        <v>13.73</v>
      </c>
      <c r="BF2227">
        <v>13.52</v>
      </c>
      <c r="BG2227" t="s">
        <v>22163</v>
      </c>
      <c r="BH2227" t="s">
        <v>11824</v>
      </c>
      <c r="BI2227" t="s">
        <v>22164</v>
      </c>
      <c r="BJ2227" t="s">
        <v>101</v>
      </c>
      <c r="BK2227" t="s">
        <v>3817</v>
      </c>
      <c r="BL2227" t="s">
        <v>21975</v>
      </c>
      <c r="BM2227" t="s">
        <v>661</v>
      </c>
      <c r="BN2227" t="s">
        <v>14623</v>
      </c>
    </row>
    <row r="2228" spans="1:66" x14ac:dyDescent="0.25">
      <c r="A2228" t="str">
        <f>HYPERLINK("https://elite.finviz.com/quote.ashx?t=SWBI&amp;ty=c&amp;p=d&amp;b=1", "SWBI")</f>
        <v>SWBI</v>
      </c>
      <c r="B2228">
        <v>6</v>
      </c>
      <c r="C2228">
        <v>127.03</v>
      </c>
      <c r="D2228">
        <v>68.099999999999994</v>
      </c>
      <c r="E2228" t="s">
        <v>22165</v>
      </c>
      <c r="F2228" t="s">
        <v>67</v>
      </c>
      <c r="G2228" t="s">
        <v>260</v>
      </c>
      <c r="H2228" t="s">
        <v>4779</v>
      </c>
      <c r="I2228" t="s">
        <v>70</v>
      </c>
      <c r="J2228" t="s">
        <v>321</v>
      </c>
      <c r="K2228">
        <v>423.68</v>
      </c>
      <c r="L2228">
        <v>9.56</v>
      </c>
      <c r="M2228" t="s">
        <v>1457</v>
      </c>
      <c r="N2228">
        <v>202640</v>
      </c>
      <c r="O2228">
        <v>35.25</v>
      </c>
      <c r="P2228">
        <v>21.47</v>
      </c>
      <c r="R2228">
        <v>0.9</v>
      </c>
      <c r="S2228">
        <v>1.1599999999999999</v>
      </c>
      <c r="T2228" t="s">
        <v>2123</v>
      </c>
      <c r="U2228">
        <v>0.52</v>
      </c>
      <c r="V2228" t="s">
        <v>8236</v>
      </c>
      <c r="W2228" t="s">
        <v>5658</v>
      </c>
      <c r="X2228" t="s">
        <v>5038</v>
      </c>
      <c r="Z2228" t="s">
        <v>22166</v>
      </c>
      <c r="AA2228">
        <v>0.27</v>
      </c>
      <c r="AB2228" t="s">
        <v>22167</v>
      </c>
      <c r="AE2228" t="s">
        <v>2616</v>
      </c>
      <c r="AF2228" t="s">
        <v>17798</v>
      </c>
      <c r="AG2228" t="s">
        <v>1080</v>
      </c>
      <c r="AH2228" t="s">
        <v>9618</v>
      </c>
      <c r="AI2228" t="s">
        <v>13491</v>
      </c>
      <c r="AJ2228" t="s">
        <v>164</v>
      </c>
      <c r="AK2228" t="s">
        <v>9778</v>
      </c>
      <c r="AL2228">
        <v>5.21</v>
      </c>
      <c r="AM2228">
        <v>1.37</v>
      </c>
      <c r="AN2228">
        <v>0.36</v>
      </c>
      <c r="AO2228" t="s">
        <v>10765</v>
      </c>
      <c r="AP2228" t="s">
        <v>4052</v>
      </c>
      <c r="AQ2228" t="s">
        <v>248</v>
      </c>
      <c r="AR2228" t="s">
        <v>3542</v>
      </c>
      <c r="AS2228" t="s">
        <v>2419</v>
      </c>
      <c r="AT2228" t="s">
        <v>2542</v>
      </c>
      <c r="AU2228" t="s">
        <v>945</v>
      </c>
      <c r="AV2228" t="s">
        <v>2216</v>
      </c>
      <c r="AW2228" t="s">
        <v>4636</v>
      </c>
      <c r="AX2228" t="s">
        <v>1701</v>
      </c>
      <c r="AY2228" t="s">
        <v>22168</v>
      </c>
      <c r="AZ2228" t="s">
        <v>1701</v>
      </c>
      <c r="BA2228">
        <v>1.67</v>
      </c>
      <c r="BB2228">
        <v>985.17</v>
      </c>
      <c r="BC2228">
        <v>0.72</v>
      </c>
      <c r="BD2228">
        <v>9.4600000000000009</v>
      </c>
      <c r="BE2228">
        <v>9.68</v>
      </c>
      <c r="BF2228">
        <v>9.52</v>
      </c>
      <c r="BG2228" t="s">
        <v>22169</v>
      </c>
      <c r="BH2228" t="s">
        <v>22170</v>
      </c>
      <c r="BI2228" t="s">
        <v>22171</v>
      </c>
      <c r="BJ2228" t="s">
        <v>101</v>
      </c>
      <c r="BK2228" t="s">
        <v>1396</v>
      </c>
      <c r="BL2228" t="s">
        <v>2571</v>
      </c>
      <c r="BM2228" t="s">
        <v>10744</v>
      </c>
      <c r="BN2228" t="s">
        <v>14623</v>
      </c>
    </row>
    <row r="2229" spans="1:66" x14ac:dyDescent="0.25">
      <c r="A2229" t="str">
        <f>HYPERLINK("https://elite.finviz.com/quote.ashx?t=WFCF&amp;ty=c&amp;p=d&amp;b=1", "WFCF")</f>
        <v>WFCF</v>
      </c>
      <c r="B2229">
        <v>6</v>
      </c>
      <c r="C2229">
        <v>127.03</v>
      </c>
      <c r="D2229">
        <v>68.11</v>
      </c>
      <c r="E2229" t="s">
        <v>22172</v>
      </c>
      <c r="F2229" t="s">
        <v>107</v>
      </c>
      <c r="G2229" t="s">
        <v>260</v>
      </c>
      <c r="H2229" t="s">
        <v>1077</v>
      </c>
      <c r="I2229" t="s">
        <v>70</v>
      </c>
      <c r="J2229" t="s">
        <v>321</v>
      </c>
      <c r="K2229">
        <v>69.25</v>
      </c>
      <c r="L2229">
        <v>13.4</v>
      </c>
      <c r="M2229" t="s">
        <v>8763</v>
      </c>
      <c r="N2229">
        <v>723</v>
      </c>
      <c r="O2229">
        <v>34.71</v>
      </c>
      <c r="R2229">
        <v>2.71</v>
      </c>
      <c r="S2229">
        <v>6.98</v>
      </c>
      <c r="V2229" t="s">
        <v>22173</v>
      </c>
      <c r="Z2229" t="s">
        <v>164</v>
      </c>
      <c r="AA2229">
        <v>0.39</v>
      </c>
      <c r="AB2229" t="s">
        <v>17105</v>
      </c>
      <c r="AC2229" t="s">
        <v>4258</v>
      </c>
      <c r="AE2229" t="s">
        <v>2203</v>
      </c>
      <c r="AF2229" t="s">
        <v>5859</v>
      </c>
      <c r="AG2229" t="s">
        <v>3020</v>
      </c>
      <c r="AH2229" t="s">
        <v>451</v>
      </c>
      <c r="AJ2229" t="s">
        <v>1083</v>
      </c>
      <c r="AK2229" t="s">
        <v>7622</v>
      </c>
      <c r="AL2229">
        <v>1.56</v>
      </c>
      <c r="AM2229">
        <v>1.32</v>
      </c>
      <c r="AN2229">
        <v>0.25</v>
      </c>
      <c r="AO2229" t="s">
        <v>12571</v>
      </c>
      <c r="AP2229" t="s">
        <v>7938</v>
      </c>
      <c r="AQ2229" t="s">
        <v>4293</v>
      </c>
      <c r="AR2229" t="s">
        <v>7154</v>
      </c>
      <c r="AS2229" t="s">
        <v>679</v>
      </c>
      <c r="AT2229" t="s">
        <v>3303</v>
      </c>
      <c r="AU2229" t="s">
        <v>485</v>
      </c>
      <c r="AV2229" t="s">
        <v>8456</v>
      </c>
      <c r="AW2229" t="s">
        <v>7356</v>
      </c>
      <c r="AX2229" t="s">
        <v>18942</v>
      </c>
      <c r="AY2229" t="s">
        <v>7356</v>
      </c>
      <c r="AZ2229" t="s">
        <v>2194</v>
      </c>
      <c r="BA2229">
        <v>1</v>
      </c>
      <c r="BB2229">
        <v>4.78</v>
      </c>
      <c r="BC2229">
        <v>0.54</v>
      </c>
      <c r="BD2229">
        <v>13.7</v>
      </c>
      <c r="BE2229">
        <v>13.4</v>
      </c>
      <c r="BF2229">
        <v>13.25</v>
      </c>
      <c r="BG2229" t="s">
        <v>22174</v>
      </c>
      <c r="BH2229" t="s">
        <v>4774</v>
      </c>
      <c r="BI2229" t="s">
        <v>22175</v>
      </c>
      <c r="BJ2229" t="s">
        <v>101</v>
      </c>
      <c r="BK2229" t="s">
        <v>2966</v>
      </c>
      <c r="BL2229" t="s">
        <v>1843</v>
      </c>
      <c r="BM2229" t="s">
        <v>9140</v>
      </c>
      <c r="BN2229" t="s">
        <v>14623</v>
      </c>
    </row>
    <row r="2230" spans="1:66" x14ac:dyDescent="0.25">
      <c r="A2230" t="str">
        <f>HYPERLINK("https://elite.finviz.com/quote.ashx?t=COEP&amp;ty=c&amp;p=d&amp;b=1", "COEP")</f>
        <v>COEP</v>
      </c>
      <c r="B2230">
        <v>6</v>
      </c>
      <c r="C2230">
        <v>127.03</v>
      </c>
      <c r="D2230">
        <v>68.12</v>
      </c>
      <c r="E2230" t="s">
        <v>22176</v>
      </c>
      <c r="F2230" t="s">
        <v>107</v>
      </c>
      <c r="G2230" t="s">
        <v>428</v>
      </c>
      <c r="H2230" t="s">
        <v>429</v>
      </c>
      <c r="I2230" t="s">
        <v>70</v>
      </c>
      <c r="J2230" t="s">
        <v>321</v>
      </c>
      <c r="K2230">
        <v>81.8</v>
      </c>
      <c r="L2230">
        <v>16.97</v>
      </c>
      <c r="M2230" t="s">
        <v>2219</v>
      </c>
      <c r="N2230">
        <v>19567</v>
      </c>
      <c r="R2230">
        <v>314.63</v>
      </c>
      <c r="S2230">
        <v>11.37</v>
      </c>
      <c r="AA2230">
        <v>-4.29</v>
      </c>
      <c r="AB2230" t="s">
        <v>10646</v>
      </c>
      <c r="AC2230" t="s">
        <v>22177</v>
      </c>
      <c r="AJ2230" t="s">
        <v>164</v>
      </c>
      <c r="AK2230" t="s">
        <v>5577</v>
      </c>
      <c r="AL2230">
        <v>0.83</v>
      </c>
      <c r="AM2230">
        <v>0.83</v>
      </c>
      <c r="AN2230">
        <v>0.21</v>
      </c>
      <c r="AO2230" t="s">
        <v>22178</v>
      </c>
      <c r="AP2230" t="s">
        <v>22179</v>
      </c>
      <c r="AQ2230" t="s">
        <v>22180</v>
      </c>
      <c r="AR2230" t="s">
        <v>10303</v>
      </c>
      <c r="AS2230" t="s">
        <v>3687</v>
      </c>
      <c r="AT2230" t="s">
        <v>7733</v>
      </c>
      <c r="AU2230" t="s">
        <v>2546</v>
      </c>
      <c r="AV2230" t="s">
        <v>21006</v>
      </c>
      <c r="AW2230" t="s">
        <v>7856</v>
      </c>
      <c r="AX2230" t="s">
        <v>539</v>
      </c>
      <c r="AY2230" t="s">
        <v>7856</v>
      </c>
      <c r="AZ2230" t="s">
        <v>22181</v>
      </c>
      <c r="BA2230">
        <v>1</v>
      </c>
      <c r="BB2230">
        <v>54.46</v>
      </c>
      <c r="BC2230">
        <v>1.28</v>
      </c>
      <c r="BD2230">
        <v>16.66</v>
      </c>
      <c r="BE2230">
        <v>16.489999999999998</v>
      </c>
      <c r="BF2230">
        <v>16.329999999999998</v>
      </c>
      <c r="BG2230" t="s">
        <v>22182</v>
      </c>
      <c r="BH2230" t="s">
        <v>22183</v>
      </c>
      <c r="BI2230" t="s">
        <v>22181</v>
      </c>
      <c r="BJ2230" t="s">
        <v>101</v>
      </c>
      <c r="BK2230" t="s">
        <v>22184</v>
      </c>
      <c r="BL2230" t="s">
        <v>8089</v>
      </c>
      <c r="BM2230" t="s">
        <v>22185</v>
      </c>
      <c r="BN2230" t="s">
        <v>14623</v>
      </c>
    </row>
    <row r="2231" spans="1:66" x14ac:dyDescent="0.25">
      <c r="A2231" t="str">
        <f>HYPERLINK("https://elite.finviz.com/quote.ashx?t=IBEX&amp;ty=c&amp;p=d&amp;b=1", "IBEX")</f>
        <v>IBEX</v>
      </c>
      <c r="B2231">
        <v>6</v>
      </c>
      <c r="C2231">
        <v>127.03</v>
      </c>
      <c r="D2231">
        <v>68.180000000000007</v>
      </c>
      <c r="E2231" t="s">
        <v>22186</v>
      </c>
      <c r="F2231" t="s">
        <v>67</v>
      </c>
      <c r="G2231" t="s">
        <v>108</v>
      </c>
      <c r="H2231" t="s">
        <v>1322</v>
      </c>
      <c r="I2231" t="s">
        <v>70</v>
      </c>
      <c r="J2231" t="s">
        <v>321</v>
      </c>
      <c r="K2231">
        <v>543.39</v>
      </c>
      <c r="L2231">
        <v>40.81</v>
      </c>
      <c r="M2231" t="s">
        <v>4436</v>
      </c>
      <c r="N2231">
        <v>17797</v>
      </c>
      <c r="O2231">
        <v>17.13</v>
      </c>
      <c r="P2231">
        <v>11.83</v>
      </c>
      <c r="R2231">
        <v>0.97</v>
      </c>
      <c r="S2231">
        <v>4.0599999999999996</v>
      </c>
      <c r="Z2231" t="s">
        <v>164</v>
      </c>
      <c r="AA2231">
        <v>2.38</v>
      </c>
      <c r="AB2231" t="s">
        <v>16431</v>
      </c>
      <c r="AC2231" t="s">
        <v>18812</v>
      </c>
      <c r="AE2231" t="s">
        <v>8650</v>
      </c>
      <c r="AF2231" t="s">
        <v>3519</v>
      </c>
      <c r="AG2231" t="s">
        <v>6106</v>
      </c>
      <c r="AH2231" t="s">
        <v>3741</v>
      </c>
      <c r="AI2231" t="s">
        <v>15109</v>
      </c>
      <c r="AJ2231" t="s">
        <v>134</v>
      </c>
      <c r="AK2231" t="s">
        <v>22187</v>
      </c>
      <c r="AL2231">
        <v>1.82</v>
      </c>
      <c r="AM2231">
        <v>1.82</v>
      </c>
      <c r="AN2231">
        <v>0.52</v>
      </c>
      <c r="AO2231" t="s">
        <v>12178</v>
      </c>
      <c r="AP2231" t="s">
        <v>4867</v>
      </c>
      <c r="AQ2231" t="s">
        <v>1254</v>
      </c>
      <c r="AR2231" t="s">
        <v>4495</v>
      </c>
      <c r="AS2231" t="s">
        <v>2821</v>
      </c>
      <c r="AT2231" t="s">
        <v>4683</v>
      </c>
      <c r="AU2231" t="s">
        <v>5713</v>
      </c>
      <c r="AV2231" t="s">
        <v>22188</v>
      </c>
      <c r="AW2231" t="s">
        <v>2845</v>
      </c>
      <c r="AX2231" t="s">
        <v>16856</v>
      </c>
      <c r="AY2231" t="s">
        <v>2845</v>
      </c>
      <c r="AZ2231" t="s">
        <v>22189</v>
      </c>
      <c r="BA2231">
        <v>3</v>
      </c>
      <c r="BB2231">
        <v>151.94</v>
      </c>
      <c r="BC2231">
        <v>0.41</v>
      </c>
      <c r="BD2231">
        <v>41.26</v>
      </c>
      <c r="BE2231">
        <v>41.5</v>
      </c>
      <c r="BF2231">
        <v>40.81</v>
      </c>
      <c r="BG2231" t="s">
        <v>22190</v>
      </c>
      <c r="BH2231" t="s">
        <v>2845</v>
      </c>
      <c r="BI2231" t="s">
        <v>22191</v>
      </c>
      <c r="BJ2231" t="s">
        <v>101</v>
      </c>
      <c r="BK2231" t="s">
        <v>22192</v>
      </c>
      <c r="BL2231" t="s">
        <v>12230</v>
      </c>
      <c r="BM2231" t="s">
        <v>22193</v>
      </c>
      <c r="BN2231" t="s">
        <v>14623</v>
      </c>
    </row>
    <row r="2232" spans="1:66" x14ac:dyDescent="0.25">
      <c r="A2232" t="str">
        <f>HYPERLINK("https://elite.finviz.com/quote.ashx?t=MRAM&amp;ty=c&amp;p=d&amp;b=1", "MRAM")</f>
        <v>MRAM</v>
      </c>
      <c r="B2232">
        <v>6</v>
      </c>
      <c r="C2232">
        <v>127.03</v>
      </c>
      <c r="D2232">
        <v>68.25</v>
      </c>
      <c r="E2232" t="s">
        <v>22194</v>
      </c>
      <c r="F2232" t="s">
        <v>107</v>
      </c>
      <c r="G2232" t="s">
        <v>108</v>
      </c>
      <c r="H2232" t="s">
        <v>1808</v>
      </c>
      <c r="I2232" t="s">
        <v>70</v>
      </c>
      <c r="J2232" t="s">
        <v>321</v>
      </c>
      <c r="K2232">
        <v>185.3</v>
      </c>
      <c r="L2232">
        <v>8.19</v>
      </c>
      <c r="M2232" t="s">
        <v>1764</v>
      </c>
      <c r="N2232">
        <v>12366</v>
      </c>
      <c r="O2232">
        <v>107.76</v>
      </c>
      <c r="P2232">
        <v>71.22</v>
      </c>
      <c r="R2232">
        <v>3.59</v>
      </c>
      <c r="S2232">
        <v>2.88</v>
      </c>
      <c r="Z2232" t="s">
        <v>164</v>
      </c>
      <c r="AA2232">
        <v>0.08</v>
      </c>
      <c r="AB2232" t="s">
        <v>22195</v>
      </c>
      <c r="AE2232" t="s">
        <v>6266</v>
      </c>
      <c r="AF2232" t="s">
        <v>10469</v>
      </c>
      <c r="AG2232" t="s">
        <v>614</v>
      </c>
      <c r="AH2232" t="s">
        <v>22196</v>
      </c>
      <c r="AI2232" t="s">
        <v>2169</v>
      </c>
      <c r="AJ2232" t="s">
        <v>5895</v>
      </c>
      <c r="AK2232" t="s">
        <v>2981</v>
      </c>
      <c r="AL2232">
        <v>5.87</v>
      </c>
      <c r="AM2232">
        <v>4.8499999999999996</v>
      </c>
      <c r="AN2232">
        <v>0.15</v>
      </c>
      <c r="AO2232" t="s">
        <v>11468</v>
      </c>
      <c r="AP2232" t="s">
        <v>13342</v>
      </c>
      <c r="AQ2232" t="s">
        <v>1391</v>
      </c>
      <c r="AR2232" t="s">
        <v>3545</v>
      </c>
      <c r="AS2232" t="s">
        <v>4269</v>
      </c>
      <c r="AT2232" t="s">
        <v>777</v>
      </c>
      <c r="AU2232" t="s">
        <v>2556</v>
      </c>
      <c r="AV2232" t="s">
        <v>9468</v>
      </c>
      <c r="AW2232" t="s">
        <v>5623</v>
      </c>
      <c r="AX2232" t="s">
        <v>3287</v>
      </c>
      <c r="AY2232" t="s">
        <v>5623</v>
      </c>
      <c r="AZ2232" t="s">
        <v>12013</v>
      </c>
      <c r="BA2232">
        <v>1</v>
      </c>
      <c r="BB2232">
        <v>141.05000000000001</v>
      </c>
      <c r="BC2232">
        <v>0.31</v>
      </c>
      <c r="BD2232">
        <v>8.1300000000000008</v>
      </c>
      <c r="BE2232">
        <v>8.2100000000000009</v>
      </c>
      <c r="BF2232">
        <v>8.14</v>
      </c>
      <c r="BG2232" t="s">
        <v>22197</v>
      </c>
      <c r="BH2232" t="s">
        <v>22198</v>
      </c>
      <c r="BI2232" t="s">
        <v>22199</v>
      </c>
      <c r="BJ2232" t="s">
        <v>101</v>
      </c>
      <c r="BK2232" t="s">
        <v>8883</v>
      </c>
      <c r="BL2232" t="s">
        <v>20634</v>
      </c>
      <c r="BM2232" t="s">
        <v>1725</v>
      </c>
      <c r="BN2232" t="s">
        <v>14623</v>
      </c>
    </row>
    <row r="2233" spans="1:66" x14ac:dyDescent="0.25">
      <c r="A2233" t="str">
        <f>HYPERLINK("https://elite.finviz.com/quote.ashx?t=RGLD&amp;ty=c&amp;p=d&amp;b=1", "RGLD")</f>
        <v>RGLD</v>
      </c>
      <c r="B2233">
        <v>6</v>
      </c>
      <c r="C2233">
        <v>127.03</v>
      </c>
      <c r="D2233">
        <v>68.260000000000005</v>
      </c>
      <c r="E2233" t="s">
        <v>22200</v>
      </c>
      <c r="F2233" t="s">
        <v>107</v>
      </c>
      <c r="G2233" t="s">
        <v>355</v>
      </c>
      <c r="H2233" t="s">
        <v>1103</v>
      </c>
      <c r="I2233" t="s">
        <v>70</v>
      </c>
      <c r="J2233" t="s">
        <v>321</v>
      </c>
      <c r="K2233">
        <v>12918.31</v>
      </c>
      <c r="L2233">
        <v>196.24</v>
      </c>
      <c r="M2233" t="s">
        <v>2186</v>
      </c>
      <c r="N2233">
        <v>257257</v>
      </c>
      <c r="O2233">
        <v>28.73</v>
      </c>
      <c r="P2233">
        <v>20.65</v>
      </c>
      <c r="Q2233">
        <v>1.1399999999999999</v>
      </c>
      <c r="R2233">
        <v>16.16</v>
      </c>
      <c r="S2233">
        <v>3.9</v>
      </c>
      <c r="T2233" t="s">
        <v>2864</v>
      </c>
      <c r="U2233">
        <v>1.75</v>
      </c>
      <c r="V2233" t="s">
        <v>4105</v>
      </c>
      <c r="W2233" t="s">
        <v>637</v>
      </c>
      <c r="X2233" t="s">
        <v>662</v>
      </c>
      <c r="Y2233" t="s">
        <v>236</v>
      </c>
      <c r="Z2233" t="s">
        <v>18941</v>
      </c>
      <c r="AA2233">
        <v>6.83</v>
      </c>
      <c r="AB2233" t="s">
        <v>1902</v>
      </c>
      <c r="AC2233" t="s">
        <v>8244</v>
      </c>
      <c r="AD2233" t="s">
        <v>16688</v>
      </c>
      <c r="AE2233" t="s">
        <v>12977</v>
      </c>
      <c r="AF2233" t="s">
        <v>3054</v>
      </c>
      <c r="AG2233" t="s">
        <v>6293</v>
      </c>
      <c r="AH2233" t="s">
        <v>3735</v>
      </c>
      <c r="AI2233" t="s">
        <v>578</v>
      </c>
      <c r="AJ2233" t="s">
        <v>5424</v>
      </c>
      <c r="AK2233" t="s">
        <v>22201</v>
      </c>
      <c r="AL2233">
        <v>4.49</v>
      </c>
      <c r="AM2233">
        <v>4.32</v>
      </c>
      <c r="AN2233">
        <v>0</v>
      </c>
      <c r="AO2233" t="s">
        <v>11297</v>
      </c>
      <c r="AP2233" t="s">
        <v>13341</v>
      </c>
      <c r="AQ2233" t="s">
        <v>2061</v>
      </c>
      <c r="AR2233" t="s">
        <v>89</v>
      </c>
      <c r="AS2233" t="s">
        <v>4710</v>
      </c>
      <c r="AT2233" t="s">
        <v>3520</v>
      </c>
      <c r="AU2233" t="s">
        <v>9097</v>
      </c>
      <c r="AV2233" t="s">
        <v>11778</v>
      </c>
      <c r="AW2233" t="s">
        <v>2275</v>
      </c>
      <c r="AX2233" t="s">
        <v>2890</v>
      </c>
      <c r="AY2233" t="s">
        <v>2275</v>
      </c>
      <c r="AZ2233" t="s">
        <v>22202</v>
      </c>
      <c r="BA2233">
        <v>1.6</v>
      </c>
      <c r="BB2233">
        <v>921.24</v>
      </c>
      <c r="BC2233">
        <v>0.98</v>
      </c>
      <c r="BD2233">
        <v>193.11</v>
      </c>
      <c r="BE2233">
        <v>198.12</v>
      </c>
      <c r="BF2233">
        <v>193.4</v>
      </c>
      <c r="BG2233" t="s">
        <v>22203</v>
      </c>
      <c r="BH2233" t="s">
        <v>2275</v>
      </c>
      <c r="BI2233" t="s">
        <v>22204</v>
      </c>
      <c r="BJ2233" t="s">
        <v>101</v>
      </c>
      <c r="BK2233" t="s">
        <v>6466</v>
      </c>
      <c r="BL2233" t="s">
        <v>233</v>
      </c>
      <c r="BM2233" t="s">
        <v>263</v>
      </c>
      <c r="BN2233" t="s">
        <v>14623</v>
      </c>
    </row>
    <row r="2234" spans="1:66" x14ac:dyDescent="0.25">
      <c r="A2234" t="str">
        <f>HYPERLINK("https://elite.finviz.com/quote.ashx?t=CRBP&amp;ty=c&amp;p=d&amp;b=1", "CRBP")</f>
        <v>CRBP</v>
      </c>
      <c r="B2234">
        <v>6</v>
      </c>
      <c r="C2234">
        <v>127.03</v>
      </c>
      <c r="D2234">
        <v>68.290000000000006</v>
      </c>
      <c r="E2234" t="s">
        <v>22205</v>
      </c>
      <c r="F2234" t="s">
        <v>107</v>
      </c>
      <c r="G2234" t="s">
        <v>428</v>
      </c>
      <c r="H2234" t="s">
        <v>429</v>
      </c>
      <c r="I2234" t="s">
        <v>70</v>
      </c>
      <c r="J2234" t="s">
        <v>321</v>
      </c>
      <c r="K2234">
        <v>144.86000000000001</v>
      </c>
      <c r="L2234">
        <v>11.82</v>
      </c>
      <c r="M2234" t="s">
        <v>3328</v>
      </c>
      <c r="N2234">
        <v>18875</v>
      </c>
      <c r="S2234">
        <v>1.3</v>
      </c>
      <c r="AA2234">
        <v>-4.76</v>
      </c>
      <c r="AB2234" t="s">
        <v>22206</v>
      </c>
      <c r="AC2234" t="s">
        <v>5996</v>
      </c>
      <c r="AD2234" t="s">
        <v>17172</v>
      </c>
      <c r="AI2234" t="s">
        <v>1050</v>
      </c>
      <c r="AJ2234" t="s">
        <v>8425</v>
      </c>
      <c r="AK2234" t="s">
        <v>8899</v>
      </c>
      <c r="AL2234">
        <v>9.2100000000000009</v>
      </c>
      <c r="AM2234">
        <v>9.2100000000000009</v>
      </c>
      <c r="AN2234">
        <v>0.02</v>
      </c>
      <c r="AR2234" t="s">
        <v>9751</v>
      </c>
      <c r="AS2234" t="s">
        <v>6674</v>
      </c>
      <c r="AT2234" t="s">
        <v>1609</v>
      </c>
      <c r="AU2234" t="s">
        <v>8911</v>
      </c>
      <c r="AV2234" t="s">
        <v>1848</v>
      </c>
      <c r="AW2234" t="s">
        <v>9279</v>
      </c>
      <c r="AX2234" t="s">
        <v>7702</v>
      </c>
      <c r="AY2234" t="s">
        <v>22207</v>
      </c>
      <c r="AZ2234" t="s">
        <v>1703</v>
      </c>
      <c r="BA2234">
        <v>1</v>
      </c>
      <c r="BB2234">
        <v>150.65</v>
      </c>
      <c r="BC2234">
        <v>0.45</v>
      </c>
      <c r="BD2234">
        <v>12.14</v>
      </c>
      <c r="BE2234">
        <v>12.22</v>
      </c>
      <c r="BF2234">
        <v>11.72</v>
      </c>
      <c r="BG2234" t="s">
        <v>22208</v>
      </c>
      <c r="BH2234" t="s">
        <v>17850</v>
      </c>
      <c r="BI2234" t="s">
        <v>22209</v>
      </c>
      <c r="BJ2234" t="s">
        <v>101</v>
      </c>
      <c r="BK2234" t="s">
        <v>4572</v>
      </c>
      <c r="BL2234" t="s">
        <v>22193</v>
      </c>
      <c r="BM2234" t="s">
        <v>18229</v>
      </c>
      <c r="BN2234" t="s">
        <v>14623</v>
      </c>
    </row>
    <row r="2235" spans="1:66" x14ac:dyDescent="0.25">
      <c r="A2235" t="str">
        <f>HYPERLINK("https://elite.finviz.com/quote.ashx?t=NCSM&amp;ty=c&amp;p=d&amp;b=1", "NCSM")</f>
        <v>NCSM</v>
      </c>
      <c r="B2235">
        <v>6</v>
      </c>
      <c r="C2235">
        <v>127.03</v>
      </c>
      <c r="D2235">
        <v>68.42</v>
      </c>
      <c r="E2235" t="s">
        <v>22210</v>
      </c>
      <c r="F2235" t="s">
        <v>107</v>
      </c>
      <c r="G2235" t="s">
        <v>1048</v>
      </c>
      <c r="H2235" t="s">
        <v>8341</v>
      </c>
      <c r="I2235" t="s">
        <v>70</v>
      </c>
      <c r="J2235" t="s">
        <v>321</v>
      </c>
      <c r="K2235">
        <v>130.91999999999999</v>
      </c>
      <c r="L2235">
        <v>51.53</v>
      </c>
      <c r="M2235" t="s">
        <v>4840</v>
      </c>
      <c r="N2235">
        <v>5207</v>
      </c>
      <c r="O2235">
        <v>10.8</v>
      </c>
      <c r="P2235">
        <v>11.78</v>
      </c>
      <c r="R2235">
        <v>0.74</v>
      </c>
      <c r="S2235">
        <v>1.23</v>
      </c>
      <c r="Z2235" t="s">
        <v>164</v>
      </c>
      <c r="AA2235">
        <v>4.7699999999999996</v>
      </c>
      <c r="AE2235" t="s">
        <v>8322</v>
      </c>
      <c r="AF2235" t="s">
        <v>821</v>
      </c>
      <c r="AG2235" t="s">
        <v>706</v>
      </c>
      <c r="AH2235" t="s">
        <v>1134</v>
      </c>
      <c r="AI2235" t="s">
        <v>22211</v>
      </c>
      <c r="AJ2235" t="s">
        <v>1842</v>
      </c>
      <c r="AK2235" t="s">
        <v>5082</v>
      </c>
      <c r="AL2235">
        <v>4.66</v>
      </c>
      <c r="AM2235">
        <v>2.83</v>
      </c>
      <c r="AN2235">
        <v>0.13</v>
      </c>
      <c r="AO2235" t="s">
        <v>21108</v>
      </c>
      <c r="AP2235" t="s">
        <v>5163</v>
      </c>
      <c r="AQ2235" t="s">
        <v>6420</v>
      </c>
      <c r="AR2235" t="s">
        <v>3435</v>
      </c>
      <c r="AS2235" t="s">
        <v>8276</v>
      </c>
      <c r="AT2235" t="s">
        <v>10619</v>
      </c>
      <c r="AU2235" t="s">
        <v>19106</v>
      </c>
      <c r="AV2235" t="s">
        <v>16577</v>
      </c>
      <c r="AW2235" t="s">
        <v>580</v>
      </c>
      <c r="AX2235" t="s">
        <v>1627</v>
      </c>
      <c r="AY2235" t="s">
        <v>580</v>
      </c>
      <c r="AZ2235" t="s">
        <v>22212</v>
      </c>
      <c r="BA2235">
        <v>1</v>
      </c>
      <c r="BB2235">
        <v>12.25</v>
      </c>
      <c r="BC2235">
        <v>1.5</v>
      </c>
      <c r="BD2235">
        <v>51.2</v>
      </c>
      <c r="BE2235">
        <v>52</v>
      </c>
      <c r="BF2235">
        <v>50.54</v>
      </c>
      <c r="BG2235" t="s">
        <v>22213</v>
      </c>
      <c r="BH2235" t="s">
        <v>6807</v>
      </c>
      <c r="BI2235" t="s">
        <v>22214</v>
      </c>
      <c r="BJ2235" t="s">
        <v>101</v>
      </c>
      <c r="BK2235" t="s">
        <v>11681</v>
      </c>
      <c r="BL2235" t="s">
        <v>1780</v>
      </c>
      <c r="BM2235" t="s">
        <v>22215</v>
      </c>
      <c r="BN2235" t="s">
        <v>14623</v>
      </c>
    </row>
    <row r="2236" spans="1:66" x14ac:dyDescent="0.25">
      <c r="A2236" t="str">
        <f>HYPERLINK("https://elite.finviz.com/quote.ashx?t=OIS&amp;ty=c&amp;p=d&amp;b=1", "OIS")</f>
        <v>OIS</v>
      </c>
      <c r="B2236">
        <v>6</v>
      </c>
      <c r="C2236">
        <v>127.03</v>
      </c>
      <c r="D2236">
        <v>68.430000000000007</v>
      </c>
      <c r="E2236" t="s">
        <v>22216</v>
      </c>
      <c r="F2236" t="s">
        <v>67</v>
      </c>
      <c r="G2236" t="s">
        <v>1048</v>
      </c>
      <c r="H2236" t="s">
        <v>8341</v>
      </c>
      <c r="I2236" t="s">
        <v>70</v>
      </c>
      <c r="J2236" t="s">
        <v>71</v>
      </c>
      <c r="K2236">
        <v>375.68</v>
      </c>
      <c r="L2236">
        <v>6.2</v>
      </c>
      <c r="M2236" t="s">
        <v>3487</v>
      </c>
      <c r="N2236">
        <v>68887</v>
      </c>
      <c r="O2236">
        <v>55.21</v>
      </c>
      <c r="P2236">
        <v>11.43</v>
      </c>
      <c r="Q2236">
        <v>1.17</v>
      </c>
      <c r="R2236">
        <v>0.56999999999999995</v>
      </c>
      <c r="S2236">
        <v>0.54</v>
      </c>
      <c r="AA2236">
        <v>0.11</v>
      </c>
      <c r="AB2236" t="s">
        <v>12490</v>
      </c>
      <c r="AC2236" t="s">
        <v>19804</v>
      </c>
      <c r="AD2236" t="s">
        <v>22217</v>
      </c>
      <c r="AE2236" t="s">
        <v>21737</v>
      </c>
      <c r="AF2236" t="s">
        <v>291</v>
      </c>
      <c r="AG2236" t="s">
        <v>7347</v>
      </c>
      <c r="AH2236" t="s">
        <v>13219</v>
      </c>
      <c r="AI2236" t="s">
        <v>4907</v>
      </c>
      <c r="AJ2236" t="s">
        <v>164</v>
      </c>
      <c r="AK2236" t="s">
        <v>16994</v>
      </c>
      <c r="AL2236">
        <v>1.87</v>
      </c>
      <c r="AM2236">
        <v>1.04</v>
      </c>
      <c r="AN2236">
        <v>0.19</v>
      </c>
      <c r="AO2236" t="s">
        <v>11116</v>
      </c>
      <c r="AP2236" t="s">
        <v>909</v>
      </c>
      <c r="AQ2236" t="s">
        <v>1338</v>
      </c>
      <c r="AR2236" t="s">
        <v>454</v>
      </c>
      <c r="AS2236" t="s">
        <v>1453</v>
      </c>
      <c r="AT2236" t="s">
        <v>707</v>
      </c>
      <c r="AU2236" t="s">
        <v>9843</v>
      </c>
      <c r="AV2236" t="s">
        <v>5501</v>
      </c>
      <c r="AW2236" t="s">
        <v>79</v>
      </c>
      <c r="AX2236" t="s">
        <v>4418</v>
      </c>
      <c r="AY2236" t="s">
        <v>79</v>
      </c>
      <c r="AZ2236" t="s">
        <v>21910</v>
      </c>
      <c r="BA2236">
        <v>1.75</v>
      </c>
      <c r="BB2236">
        <v>632.89</v>
      </c>
      <c r="BC2236">
        <v>0.38</v>
      </c>
      <c r="BD2236">
        <v>6.1</v>
      </c>
      <c r="BE2236">
        <v>6.26</v>
      </c>
      <c r="BF2236">
        <v>6.13</v>
      </c>
      <c r="BG2236" t="s">
        <v>22218</v>
      </c>
      <c r="BH2236" t="s">
        <v>1015</v>
      </c>
      <c r="BI2236" t="s">
        <v>22219</v>
      </c>
      <c r="BJ2236" t="s">
        <v>101</v>
      </c>
      <c r="BK2236" t="s">
        <v>9545</v>
      </c>
      <c r="BL2236" t="s">
        <v>1161</v>
      </c>
      <c r="BM2236" t="s">
        <v>7796</v>
      </c>
      <c r="BN2236" t="s">
        <v>14623</v>
      </c>
    </row>
    <row r="2237" spans="1:66" x14ac:dyDescent="0.25">
      <c r="A2237" t="str">
        <f>HYPERLINK("https://elite.finviz.com/quote.ashx?t=NGS&amp;ty=c&amp;p=d&amp;b=1", "NGS")</f>
        <v>NGS</v>
      </c>
      <c r="B2237">
        <v>6</v>
      </c>
      <c r="C2237">
        <v>127.03</v>
      </c>
      <c r="D2237">
        <v>68.44</v>
      </c>
      <c r="E2237" t="s">
        <v>22220</v>
      </c>
      <c r="F2237" t="s">
        <v>67</v>
      </c>
      <c r="G2237" t="s">
        <v>1048</v>
      </c>
      <c r="H2237" t="s">
        <v>8341</v>
      </c>
      <c r="I2237" t="s">
        <v>70</v>
      </c>
      <c r="J2237" t="s">
        <v>71</v>
      </c>
      <c r="K2237">
        <v>359.59</v>
      </c>
      <c r="L2237">
        <v>28.67</v>
      </c>
      <c r="M2237" t="s">
        <v>458</v>
      </c>
      <c r="N2237">
        <v>18732</v>
      </c>
      <c r="O2237">
        <v>20.14</v>
      </c>
      <c r="P2237">
        <v>16.45</v>
      </c>
      <c r="Q2237">
        <v>1.22</v>
      </c>
      <c r="R2237">
        <v>2.19</v>
      </c>
      <c r="S2237">
        <v>1.35</v>
      </c>
      <c r="T2237" t="s">
        <v>6117</v>
      </c>
      <c r="U2237">
        <v>0.1</v>
      </c>
      <c r="V2237" t="s">
        <v>1762</v>
      </c>
      <c r="Z2237" t="s">
        <v>164</v>
      </c>
      <c r="AA2237">
        <v>1.42</v>
      </c>
      <c r="AD2237" t="s">
        <v>1038</v>
      </c>
      <c r="AE2237" t="s">
        <v>7724</v>
      </c>
      <c r="AF2237" t="s">
        <v>3471</v>
      </c>
      <c r="AG2237" t="s">
        <v>536</v>
      </c>
      <c r="AH2237" t="s">
        <v>262</v>
      </c>
      <c r="AI2237" t="s">
        <v>2225</v>
      </c>
      <c r="AJ2237" t="s">
        <v>1000</v>
      </c>
      <c r="AK2237" t="s">
        <v>4942</v>
      </c>
      <c r="AL2237">
        <v>1.97</v>
      </c>
      <c r="AM2237">
        <v>1.23</v>
      </c>
      <c r="AN2237">
        <v>0.68</v>
      </c>
      <c r="AO2237" t="s">
        <v>11888</v>
      </c>
      <c r="AP2237" t="s">
        <v>1953</v>
      </c>
      <c r="AQ2237" t="s">
        <v>5551</v>
      </c>
      <c r="AR2237" t="s">
        <v>2892</v>
      </c>
      <c r="AS2237" t="s">
        <v>7437</v>
      </c>
      <c r="AT2237" t="s">
        <v>5152</v>
      </c>
      <c r="AU2237" t="s">
        <v>7976</v>
      </c>
      <c r="AV2237" t="s">
        <v>11564</v>
      </c>
      <c r="AW2237" t="s">
        <v>1763</v>
      </c>
      <c r="AX2237" t="s">
        <v>603</v>
      </c>
      <c r="AY2237" t="s">
        <v>1727</v>
      </c>
      <c r="AZ2237" t="s">
        <v>22221</v>
      </c>
      <c r="BA2237">
        <v>1</v>
      </c>
      <c r="BB2237">
        <v>58.18</v>
      </c>
      <c r="BC2237">
        <v>1.1299999999999999</v>
      </c>
      <c r="BD2237">
        <v>28.42</v>
      </c>
      <c r="BE2237">
        <v>28.92</v>
      </c>
      <c r="BF2237">
        <v>28.25</v>
      </c>
      <c r="BG2237" t="s">
        <v>22222</v>
      </c>
      <c r="BH2237" t="s">
        <v>22223</v>
      </c>
      <c r="BI2237" t="s">
        <v>22224</v>
      </c>
      <c r="BJ2237" t="s">
        <v>101</v>
      </c>
      <c r="BK2237" t="s">
        <v>3429</v>
      </c>
      <c r="BL2237" t="s">
        <v>10959</v>
      </c>
      <c r="BM2237" t="s">
        <v>12797</v>
      </c>
      <c r="BN2237" t="s">
        <v>14623</v>
      </c>
    </row>
    <row r="2238" spans="1:66" x14ac:dyDescent="0.25">
      <c r="A2238" t="str">
        <f>HYPERLINK("https://elite.finviz.com/quote.ashx?t=XGN&amp;ty=c&amp;p=d&amp;b=1", "XGN")</f>
        <v>XGN</v>
      </c>
      <c r="B2238">
        <v>6</v>
      </c>
      <c r="C2238">
        <v>127.03</v>
      </c>
      <c r="D2238">
        <v>68.540000000000006</v>
      </c>
      <c r="E2238" t="s">
        <v>22225</v>
      </c>
      <c r="F2238" t="s">
        <v>107</v>
      </c>
      <c r="G2238" t="s">
        <v>428</v>
      </c>
      <c r="H2238" t="s">
        <v>4202</v>
      </c>
      <c r="I2238" t="s">
        <v>70</v>
      </c>
      <c r="J2238" t="s">
        <v>321</v>
      </c>
      <c r="K2238">
        <v>241.29</v>
      </c>
      <c r="L2238">
        <v>10.97</v>
      </c>
      <c r="M2238" t="s">
        <v>749</v>
      </c>
      <c r="N2238">
        <v>112283</v>
      </c>
      <c r="R2238">
        <v>4.0999999999999996</v>
      </c>
      <c r="S2238">
        <v>11.47</v>
      </c>
      <c r="AA2238">
        <v>-0.89</v>
      </c>
      <c r="AB2238" t="s">
        <v>9039</v>
      </c>
      <c r="AC2238" t="s">
        <v>10750</v>
      </c>
      <c r="AD2238" t="s">
        <v>21333</v>
      </c>
      <c r="AE2238" t="s">
        <v>162</v>
      </c>
      <c r="AF2238" t="s">
        <v>3545</v>
      </c>
      <c r="AG2238" t="s">
        <v>6106</v>
      </c>
      <c r="AH2238" t="s">
        <v>3420</v>
      </c>
      <c r="AI2238" t="s">
        <v>22226</v>
      </c>
      <c r="AJ2238" t="s">
        <v>4121</v>
      </c>
      <c r="AK2238" t="s">
        <v>1989</v>
      </c>
      <c r="AL2238">
        <v>4.95</v>
      </c>
      <c r="AM2238">
        <v>4.59</v>
      </c>
      <c r="AN2238">
        <v>1.2</v>
      </c>
      <c r="AO2238" t="s">
        <v>11129</v>
      </c>
      <c r="AP2238" t="s">
        <v>22227</v>
      </c>
      <c r="AQ2238" t="s">
        <v>20097</v>
      </c>
      <c r="AR2238" t="s">
        <v>7685</v>
      </c>
      <c r="AS2238" t="s">
        <v>161</v>
      </c>
      <c r="AT2238" t="s">
        <v>6196</v>
      </c>
      <c r="AU2238" t="s">
        <v>6595</v>
      </c>
      <c r="AV2238" t="s">
        <v>22228</v>
      </c>
      <c r="AW2238" t="s">
        <v>4902</v>
      </c>
      <c r="AX2238" t="s">
        <v>13411</v>
      </c>
      <c r="AY2238" t="s">
        <v>4902</v>
      </c>
      <c r="AZ2238" t="s">
        <v>22229</v>
      </c>
      <c r="BA2238">
        <v>1</v>
      </c>
      <c r="BB2238">
        <v>278.45</v>
      </c>
      <c r="BC2238">
        <v>1.42</v>
      </c>
      <c r="BD2238">
        <v>10.57</v>
      </c>
      <c r="BE2238">
        <v>11.17</v>
      </c>
      <c r="BF2238">
        <v>10.58</v>
      </c>
      <c r="BG2238" t="s">
        <v>22230</v>
      </c>
      <c r="BH2238" t="s">
        <v>22231</v>
      </c>
      <c r="BI2238" t="s">
        <v>22232</v>
      </c>
      <c r="BJ2238" t="s">
        <v>101</v>
      </c>
      <c r="BK2238" t="s">
        <v>22233</v>
      </c>
      <c r="BL2238" t="s">
        <v>22234</v>
      </c>
      <c r="BM2238" t="s">
        <v>22235</v>
      </c>
      <c r="BN2238" t="s">
        <v>14623</v>
      </c>
    </row>
    <row r="2239" spans="1:66" x14ac:dyDescent="0.25">
      <c r="A2239" t="str">
        <f>HYPERLINK("https://elite.finviz.com/quote.ashx?t=CHAC&amp;ty=c&amp;p=d&amp;b=1", "CHAC")</f>
        <v>CHAC</v>
      </c>
      <c r="B2239">
        <v>6</v>
      </c>
      <c r="C2239">
        <v>127.03</v>
      </c>
      <c r="D2239">
        <v>68.69</v>
      </c>
      <c r="E2239" t="s">
        <v>22236</v>
      </c>
      <c r="F2239" t="s">
        <v>107</v>
      </c>
      <c r="G2239" t="s">
        <v>550</v>
      </c>
      <c r="H2239" t="s">
        <v>2120</v>
      </c>
      <c r="I2239" t="s">
        <v>70</v>
      </c>
      <c r="J2239" t="s">
        <v>321</v>
      </c>
      <c r="K2239">
        <v>303.89999999999998</v>
      </c>
      <c r="L2239">
        <v>10.14</v>
      </c>
      <c r="M2239" t="s">
        <v>2638</v>
      </c>
      <c r="N2239">
        <v>4124</v>
      </c>
      <c r="S2239">
        <v>1.42</v>
      </c>
      <c r="AJ2239" t="s">
        <v>164</v>
      </c>
      <c r="AK2239" t="s">
        <v>12673</v>
      </c>
      <c r="AL2239">
        <v>7.1</v>
      </c>
      <c r="AM2239">
        <v>7.1</v>
      </c>
      <c r="AN2239">
        <v>0</v>
      </c>
      <c r="AR2239" t="s">
        <v>227</v>
      </c>
      <c r="AS2239" t="s">
        <v>6719</v>
      </c>
      <c r="AT2239" t="s">
        <v>1338</v>
      </c>
      <c r="AU2239" t="s">
        <v>2630</v>
      </c>
      <c r="AV2239" t="s">
        <v>5380</v>
      </c>
      <c r="AW2239" t="s">
        <v>3486</v>
      </c>
      <c r="AX2239" t="s">
        <v>3925</v>
      </c>
      <c r="AY2239" t="s">
        <v>3486</v>
      </c>
      <c r="AZ2239" t="s">
        <v>3635</v>
      </c>
      <c r="BB2239">
        <v>41.42</v>
      </c>
      <c r="BC2239">
        <v>0.35</v>
      </c>
      <c r="BD2239">
        <v>10.15</v>
      </c>
      <c r="BE2239">
        <v>10.15</v>
      </c>
      <c r="BF2239">
        <v>10.1</v>
      </c>
      <c r="BG2239" t="s">
        <v>22237</v>
      </c>
      <c r="BH2239" t="s">
        <v>3486</v>
      </c>
      <c r="BI2239" t="s">
        <v>3635</v>
      </c>
      <c r="BJ2239" t="s">
        <v>101</v>
      </c>
      <c r="BK2239" t="s">
        <v>3493</v>
      </c>
      <c r="BN2239" t="s">
        <v>14623</v>
      </c>
    </row>
    <row r="2240" spans="1:66" x14ac:dyDescent="0.25">
      <c r="A2240" t="str">
        <f>HYPERLINK("https://elite.finviz.com/quote.ashx?t=CAPN&amp;ty=c&amp;p=d&amp;b=1", "CAPN")</f>
        <v>CAPN</v>
      </c>
      <c r="B2240">
        <v>6</v>
      </c>
      <c r="C2240">
        <v>127.03</v>
      </c>
      <c r="D2240">
        <v>68.78</v>
      </c>
      <c r="E2240" t="s">
        <v>22238</v>
      </c>
      <c r="F2240" t="s">
        <v>107</v>
      </c>
      <c r="G2240" t="s">
        <v>550</v>
      </c>
      <c r="H2240" t="s">
        <v>2120</v>
      </c>
      <c r="I2240" t="s">
        <v>70</v>
      </c>
      <c r="J2240" t="s">
        <v>321</v>
      </c>
      <c r="K2240">
        <v>82.37</v>
      </c>
      <c r="L2240">
        <v>10.52</v>
      </c>
      <c r="M2240" t="s">
        <v>4801</v>
      </c>
      <c r="N2240">
        <v>1</v>
      </c>
      <c r="O2240">
        <v>60.46</v>
      </c>
      <c r="S2240">
        <v>1.37</v>
      </c>
      <c r="Z2240" t="s">
        <v>164</v>
      </c>
      <c r="AA2240">
        <v>0.17</v>
      </c>
      <c r="AJ2240" t="s">
        <v>164</v>
      </c>
      <c r="AK2240" t="s">
        <v>1365</v>
      </c>
      <c r="AL2240">
        <v>2.84</v>
      </c>
      <c r="AM2240">
        <v>2.84</v>
      </c>
      <c r="AN2240">
        <v>0</v>
      </c>
      <c r="AR2240" t="s">
        <v>4237</v>
      </c>
      <c r="AS2240" t="s">
        <v>5549</v>
      </c>
      <c r="AT2240" t="s">
        <v>2630</v>
      </c>
      <c r="AU2240" t="s">
        <v>3925</v>
      </c>
      <c r="AV2240" t="s">
        <v>1926</v>
      </c>
      <c r="AW2240" t="s">
        <v>2757</v>
      </c>
      <c r="AX2240" t="s">
        <v>911</v>
      </c>
      <c r="AY2240" t="s">
        <v>2757</v>
      </c>
      <c r="AZ2240" t="s">
        <v>4641</v>
      </c>
      <c r="BB2240">
        <v>11.74</v>
      </c>
      <c r="BC2240">
        <v>0</v>
      </c>
      <c r="BD2240">
        <v>10.47</v>
      </c>
      <c r="BE2240">
        <v>10.52</v>
      </c>
      <c r="BF2240">
        <v>10.52</v>
      </c>
      <c r="BG2240" t="s">
        <v>22239</v>
      </c>
      <c r="BH2240" t="s">
        <v>2757</v>
      </c>
      <c r="BI2240" t="s">
        <v>4641</v>
      </c>
      <c r="BJ2240" t="s">
        <v>101</v>
      </c>
      <c r="BK2240" t="s">
        <v>3205</v>
      </c>
      <c r="BL2240" t="s">
        <v>5611</v>
      </c>
      <c r="BN2240" t="s">
        <v>14623</v>
      </c>
    </row>
    <row r="2241" spans="1:66" x14ac:dyDescent="0.25">
      <c r="A2241" t="str">
        <f>HYPERLINK("https://elite.finviz.com/quote.ashx?t=DDS&amp;ty=c&amp;p=d&amp;b=1", "DDS")</f>
        <v>DDS</v>
      </c>
      <c r="B2241">
        <v>6</v>
      </c>
      <c r="C2241">
        <v>127.03</v>
      </c>
      <c r="D2241">
        <v>68.790000000000006</v>
      </c>
      <c r="E2241" t="s">
        <v>22240</v>
      </c>
      <c r="F2241" t="s">
        <v>107</v>
      </c>
      <c r="G2241" t="s">
        <v>813</v>
      </c>
      <c r="H2241" t="s">
        <v>8117</v>
      </c>
      <c r="I2241" t="s">
        <v>70</v>
      </c>
      <c r="J2241" t="s">
        <v>71</v>
      </c>
      <c r="K2241">
        <v>9672.67</v>
      </c>
      <c r="L2241">
        <v>619.53</v>
      </c>
      <c r="M2241" t="s">
        <v>6829</v>
      </c>
      <c r="N2241">
        <v>21066</v>
      </c>
      <c r="O2241">
        <v>17.079999999999998</v>
      </c>
      <c r="P2241">
        <v>24.78</v>
      </c>
      <c r="R2241">
        <v>1.47</v>
      </c>
      <c r="S2241">
        <v>5.04</v>
      </c>
      <c r="T2241" t="s">
        <v>1934</v>
      </c>
      <c r="U2241">
        <v>0.99</v>
      </c>
      <c r="V2241" t="s">
        <v>198</v>
      </c>
      <c r="W2241" t="s">
        <v>821</v>
      </c>
      <c r="X2241" t="s">
        <v>5224</v>
      </c>
      <c r="Y2241" t="s">
        <v>1561</v>
      </c>
      <c r="Z2241" t="s">
        <v>901</v>
      </c>
      <c r="AA2241">
        <v>36.270000000000003</v>
      </c>
      <c r="AB2241" t="s">
        <v>6123</v>
      </c>
      <c r="AC2241" t="s">
        <v>6198</v>
      </c>
      <c r="AD2241" t="s">
        <v>14896</v>
      </c>
      <c r="AE2241" t="s">
        <v>7272</v>
      </c>
      <c r="AF2241" t="s">
        <v>1554</v>
      </c>
      <c r="AG2241" t="s">
        <v>84</v>
      </c>
      <c r="AH2241" t="s">
        <v>2554</v>
      </c>
      <c r="AI2241" t="s">
        <v>10128</v>
      </c>
      <c r="AJ2241" t="s">
        <v>164</v>
      </c>
      <c r="AK2241" t="s">
        <v>22241</v>
      </c>
      <c r="AL2241">
        <v>2.68</v>
      </c>
      <c r="AM2241">
        <v>1.41</v>
      </c>
      <c r="AN2241">
        <v>0.28999999999999998</v>
      </c>
      <c r="AO2241" t="s">
        <v>18415</v>
      </c>
      <c r="AP2241" t="s">
        <v>7777</v>
      </c>
      <c r="AQ2241" t="s">
        <v>776</v>
      </c>
      <c r="AR2241" t="s">
        <v>2736</v>
      </c>
      <c r="AS2241" t="s">
        <v>7484</v>
      </c>
      <c r="AT2241" t="s">
        <v>2776</v>
      </c>
      <c r="AU2241" t="s">
        <v>4601</v>
      </c>
      <c r="AV2241" t="s">
        <v>22242</v>
      </c>
      <c r="AW2241" t="s">
        <v>343</v>
      </c>
      <c r="AX2241" t="s">
        <v>16130</v>
      </c>
      <c r="AY2241" t="s">
        <v>343</v>
      </c>
      <c r="AZ2241" t="s">
        <v>22243</v>
      </c>
      <c r="BA2241">
        <v>4</v>
      </c>
      <c r="BB2241">
        <v>137.72</v>
      </c>
      <c r="BC2241">
        <v>0.54</v>
      </c>
      <c r="BD2241">
        <v>610.79</v>
      </c>
      <c r="BE2241">
        <v>612.72</v>
      </c>
      <c r="BF2241">
        <v>612.16</v>
      </c>
      <c r="BG2241" t="s">
        <v>22244</v>
      </c>
      <c r="BH2241" t="s">
        <v>343</v>
      </c>
      <c r="BI2241" t="s">
        <v>22245</v>
      </c>
      <c r="BJ2241" t="s">
        <v>101</v>
      </c>
      <c r="BK2241" t="s">
        <v>22246</v>
      </c>
      <c r="BL2241" t="s">
        <v>7093</v>
      </c>
      <c r="BM2241" t="s">
        <v>8210</v>
      </c>
      <c r="BN2241" t="s">
        <v>14623</v>
      </c>
    </row>
    <row r="2242" spans="1:66" x14ac:dyDescent="0.25">
      <c r="A2242" t="str">
        <f>HYPERLINK("https://elite.finviz.com/quote.ashx?t=NHC&amp;ty=c&amp;p=d&amp;b=1", "NHC")</f>
        <v>NHC</v>
      </c>
      <c r="B2242">
        <v>6</v>
      </c>
      <c r="C2242">
        <v>127.03</v>
      </c>
      <c r="D2242">
        <v>68.849999999999994</v>
      </c>
      <c r="E2242" t="s">
        <v>22247</v>
      </c>
      <c r="F2242" t="s">
        <v>67</v>
      </c>
      <c r="G2242" t="s">
        <v>428</v>
      </c>
      <c r="H2242" t="s">
        <v>3160</v>
      </c>
      <c r="I2242" t="s">
        <v>70</v>
      </c>
      <c r="J2242" t="s">
        <v>383</v>
      </c>
      <c r="K2242">
        <v>1918.55</v>
      </c>
      <c r="L2242">
        <v>123.77</v>
      </c>
      <c r="M2242" t="s">
        <v>4552</v>
      </c>
      <c r="N2242">
        <v>4040</v>
      </c>
      <c r="O2242">
        <v>18.45</v>
      </c>
      <c r="R2242">
        <v>1.33</v>
      </c>
      <c r="S2242">
        <v>1.88</v>
      </c>
      <c r="T2242" t="s">
        <v>1439</v>
      </c>
      <c r="U2242">
        <v>2.4700000000000002</v>
      </c>
      <c r="V2242" t="s">
        <v>198</v>
      </c>
      <c r="W2242" t="s">
        <v>5369</v>
      </c>
      <c r="X2242" t="s">
        <v>2235</v>
      </c>
      <c r="Y2242" t="s">
        <v>2317</v>
      </c>
      <c r="Z2242" t="s">
        <v>3932</v>
      </c>
      <c r="AA2242">
        <v>6.71</v>
      </c>
      <c r="AB2242" t="s">
        <v>4048</v>
      </c>
      <c r="AC2242" t="s">
        <v>8727</v>
      </c>
      <c r="AE2242" t="s">
        <v>2129</v>
      </c>
      <c r="AF2242" t="s">
        <v>1515</v>
      </c>
      <c r="AG2242" t="s">
        <v>3874</v>
      </c>
      <c r="AH2242" t="s">
        <v>22248</v>
      </c>
      <c r="AI2242" t="s">
        <v>15036</v>
      </c>
      <c r="AJ2242" t="s">
        <v>164</v>
      </c>
      <c r="AK2242" t="s">
        <v>10253</v>
      </c>
      <c r="AL2242">
        <v>1.72</v>
      </c>
      <c r="AM2242">
        <v>1.69</v>
      </c>
      <c r="AN2242">
        <v>0.17</v>
      </c>
      <c r="AO2242" t="s">
        <v>3903</v>
      </c>
      <c r="AP2242" t="s">
        <v>1889</v>
      </c>
      <c r="AQ2242" t="s">
        <v>1653</v>
      </c>
      <c r="AR2242" t="s">
        <v>4294</v>
      </c>
      <c r="AS2242" t="s">
        <v>1776</v>
      </c>
      <c r="AT2242" t="s">
        <v>3088</v>
      </c>
      <c r="AU2242" t="s">
        <v>1716</v>
      </c>
      <c r="AV2242" t="s">
        <v>10795</v>
      </c>
      <c r="AW2242" t="s">
        <v>2276</v>
      </c>
      <c r="AX2242" t="s">
        <v>22249</v>
      </c>
      <c r="AY2242" t="s">
        <v>2301</v>
      </c>
      <c r="AZ2242" t="s">
        <v>16601</v>
      </c>
      <c r="BB2242">
        <v>64.290000000000006</v>
      </c>
      <c r="BC2242">
        <v>0.22</v>
      </c>
      <c r="BD2242">
        <v>122.28</v>
      </c>
      <c r="BE2242">
        <v>124.12</v>
      </c>
      <c r="BF2242">
        <v>123.28</v>
      </c>
      <c r="BG2242" t="s">
        <v>22250</v>
      </c>
      <c r="BH2242" t="s">
        <v>411</v>
      </c>
      <c r="BI2242" t="s">
        <v>22251</v>
      </c>
      <c r="BJ2242" t="s">
        <v>101</v>
      </c>
      <c r="BK2242" t="s">
        <v>11732</v>
      </c>
      <c r="BL2242" t="s">
        <v>11606</v>
      </c>
      <c r="BM2242" t="s">
        <v>17603</v>
      </c>
      <c r="BN2242" t="s">
        <v>14623</v>
      </c>
    </row>
    <row r="2243" spans="1:66" x14ac:dyDescent="0.25">
      <c r="A2243" t="str">
        <f>HYPERLINK("https://elite.finviz.com/quote.ashx?t=SUPN&amp;ty=c&amp;p=d&amp;b=1", "SUPN")</f>
        <v>SUPN</v>
      </c>
      <c r="B2243">
        <v>6</v>
      </c>
      <c r="C2243">
        <v>127.03</v>
      </c>
      <c r="D2243">
        <v>68.91</v>
      </c>
      <c r="E2243" t="s">
        <v>22252</v>
      </c>
      <c r="F2243" t="s">
        <v>67</v>
      </c>
      <c r="G2243" t="s">
        <v>428</v>
      </c>
      <c r="H2243" t="s">
        <v>1296</v>
      </c>
      <c r="I2243" t="s">
        <v>70</v>
      </c>
      <c r="J2243" t="s">
        <v>321</v>
      </c>
      <c r="K2243">
        <v>2663.47</v>
      </c>
      <c r="L2243">
        <v>47.5</v>
      </c>
      <c r="M2243" t="s">
        <v>5253</v>
      </c>
      <c r="N2243">
        <v>142840</v>
      </c>
      <c r="O2243">
        <v>41.51</v>
      </c>
      <c r="P2243">
        <v>19.489999999999998</v>
      </c>
      <c r="Q2243">
        <v>6.18</v>
      </c>
      <c r="R2243">
        <v>4</v>
      </c>
      <c r="S2243">
        <v>2.5099999999999998</v>
      </c>
      <c r="Z2243" t="s">
        <v>164</v>
      </c>
      <c r="AA2243">
        <v>1.1399999999999999</v>
      </c>
      <c r="AB2243" t="s">
        <v>1396</v>
      </c>
      <c r="AC2243" t="s">
        <v>16666</v>
      </c>
      <c r="AD2243" t="s">
        <v>8855</v>
      </c>
      <c r="AE2243" t="s">
        <v>4403</v>
      </c>
      <c r="AF2243" t="s">
        <v>1091</v>
      </c>
      <c r="AG2243" t="s">
        <v>5265</v>
      </c>
      <c r="AH2243" t="s">
        <v>2372</v>
      </c>
      <c r="AI2243" t="s">
        <v>22253</v>
      </c>
      <c r="AJ2243" t="s">
        <v>119</v>
      </c>
      <c r="AK2243" t="s">
        <v>4313</v>
      </c>
      <c r="AL2243">
        <v>2.58</v>
      </c>
      <c r="AM2243">
        <v>2.4300000000000002</v>
      </c>
      <c r="AN2243">
        <v>0.03</v>
      </c>
      <c r="AO2243" t="s">
        <v>20953</v>
      </c>
      <c r="AP2243" t="s">
        <v>7669</v>
      </c>
      <c r="AQ2243" t="s">
        <v>2635</v>
      </c>
      <c r="AR2243" t="s">
        <v>4839</v>
      </c>
      <c r="AS2243" t="s">
        <v>387</v>
      </c>
      <c r="AT2243" t="s">
        <v>3613</v>
      </c>
      <c r="AU2243" t="s">
        <v>2338</v>
      </c>
      <c r="AV2243" t="s">
        <v>3839</v>
      </c>
      <c r="AW2243" t="s">
        <v>6871</v>
      </c>
      <c r="AX2243" t="s">
        <v>22254</v>
      </c>
      <c r="AY2243" t="s">
        <v>6871</v>
      </c>
      <c r="AZ2243" t="s">
        <v>22255</v>
      </c>
      <c r="BA2243">
        <v>1.8</v>
      </c>
      <c r="BB2243">
        <v>815.43</v>
      </c>
      <c r="BC2243">
        <v>0.62</v>
      </c>
      <c r="BD2243">
        <v>47.18</v>
      </c>
      <c r="BE2243">
        <v>47.84</v>
      </c>
      <c r="BF2243">
        <v>47.05</v>
      </c>
      <c r="BG2243" t="s">
        <v>22256</v>
      </c>
      <c r="BH2243" t="s">
        <v>4456</v>
      </c>
      <c r="BI2243" t="s">
        <v>22257</v>
      </c>
      <c r="BJ2243" t="s">
        <v>101</v>
      </c>
      <c r="BK2243" t="s">
        <v>20806</v>
      </c>
      <c r="BL2243" t="s">
        <v>1385</v>
      </c>
      <c r="BM2243" t="s">
        <v>15940</v>
      </c>
      <c r="BN2243" t="s">
        <v>14623</v>
      </c>
    </row>
    <row r="2244" spans="1:66" x14ac:dyDescent="0.25">
      <c r="A2244" t="str">
        <f>HYPERLINK("https://elite.finviz.com/quote.ashx?t=UTHR&amp;ty=c&amp;p=d&amp;b=1", "UTHR")</f>
        <v>UTHR</v>
      </c>
      <c r="B2244">
        <v>6</v>
      </c>
      <c r="C2244">
        <v>127.03</v>
      </c>
      <c r="D2244">
        <v>68.930000000000007</v>
      </c>
      <c r="E2244" t="s">
        <v>22258</v>
      </c>
      <c r="F2244" t="s">
        <v>107</v>
      </c>
      <c r="G2244" t="s">
        <v>428</v>
      </c>
      <c r="H2244" t="s">
        <v>1296</v>
      </c>
      <c r="I2244" t="s">
        <v>70</v>
      </c>
      <c r="J2244" t="s">
        <v>321</v>
      </c>
      <c r="K2244">
        <v>19389.41</v>
      </c>
      <c r="L2244">
        <v>428.72</v>
      </c>
      <c r="M2244" t="s">
        <v>3169</v>
      </c>
      <c r="N2244">
        <v>132400</v>
      </c>
      <c r="O2244">
        <v>16.739999999999998</v>
      </c>
      <c r="P2244">
        <v>14.64</v>
      </c>
      <c r="Q2244">
        <v>2.7</v>
      </c>
      <c r="R2244">
        <v>6.3</v>
      </c>
      <c r="S2244">
        <v>2.7</v>
      </c>
      <c r="Z2244" t="s">
        <v>164</v>
      </c>
      <c r="AA2244">
        <v>25.61</v>
      </c>
      <c r="AB2244" t="s">
        <v>9898</v>
      </c>
      <c r="AD2244" t="s">
        <v>8925</v>
      </c>
      <c r="AE2244" t="s">
        <v>3888</v>
      </c>
      <c r="AF2244" t="s">
        <v>10797</v>
      </c>
      <c r="AG2244" t="s">
        <v>5795</v>
      </c>
      <c r="AH2244" t="s">
        <v>2629</v>
      </c>
      <c r="AI2244" t="s">
        <v>13083</v>
      </c>
      <c r="AJ2244" t="s">
        <v>9435</v>
      </c>
      <c r="AK2244" t="s">
        <v>22259</v>
      </c>
      <c r="AL2244">
        <v>7.26</v>
      </c>
      <c r="AM2244">
        <v>6.94</v>
      </c>
      <c r="AN2244">
        <v>0</v>
      </c>
      <c r="AO2244" t="s">
        <v>9401</v>
      </c>
      <c r="AP2244" t="s">
        <v>114</v>
      </c>
      <c r="AQ2244" t="s">
        <v>3799</v>
      </c>
      <c r="AR2244" t="s">
        <v>5111</v>
      </c>
      <c r="AS2244" t="s">
        <v>2736</v>
      </c>
      <c r="AT2244" t="s">
        <v>463</v>
      </c>
      <c r="AU2244" t="s">
        <v>17283</v>
      </c>
      <c r="AV2244" t="s">
        <v>10039</v>
      </c>
      <c r="AW2244" t="s">
        <v>6541</v>
      </c>
      <c r="AX2244" t="s">
        <v>22260</v>
      </c>
      <c r="AY2244" t="s">
        <v>6541</v>
      </c>
      <c r="AZ2244" t="s">
        <v>22261</v>
      </c>
      <c r="BA2244">
        <v>1.59</v>
      </c>
      <c r="BB2244">
        <v>723.13</v>
      </c>
      <c r="BC2244">
        <v>0.65</v>
      </c>
      <c r="BD2244">
        <v>425.42</v>
      </c>
      <c r="BE2244">
        <v>430.2</v>
      </c>
      <c r="BF2244">
        <v>426.86</v>
      </c>
      <c r="BG2244" t="s">
        <v>22262</v>
      </c>
      <c r="BH2244" t="s">
        <v>6541</v>
      </c>
      <c r="BI2244" t="s">
        <v>22263</v>
      </c>
      <c r="BJ2244" t="s">
        <v>101</v>
      </c>
      <c r="BK2244" t="s">
        <v>3624</v>
      </c>
      <c r="BL2244" t="s">
        <v>15866</v>
      </c>
      <c r="BM2244" t="s">
        <v>18702</v>
      </c>
      <c r="BN2244" t="s">
        <v>14623</v>
      </c>
    </row>
    <row r="2245" spans="1:66" x14ac:dyDescent="0.25">
      <c r="A2245" t="str">
        <f>HYPERLINK("https://elite.finviz.com/quote.ashx?t=CBNA&amp;ty=c&amp;p=d&amp;b=1", "CBNA")</f>
        <v>CBNA</v>
      </c>
      <c r="B2245">
        <v>6</v>
      </c>
      <c r="C2245">
        <v>127.03</v>
      </c>
      <c r="D2245">
        <v>68.930000000000007</v>
      </c>
      <c r="E2245" t="s">
        <v>22264</v>
      </c>
      <c r="F2245" t="s">
        <v>67</v>
      </c>
      <c r="G2245" t="s">
        <v>550</v>
      </c>
      <c r="H2245" t="s">
        <v>697</v>
      </c>
      <c r="I2245" t="s">
        <v>70</v>
      </c>
      <c r="J2245" t="s">
        <v>71</v>
      </c>
      <c r="K2245">
        <v>212.85</v>
      </c>
      <c r="L2245">
        <v>32.4</v>
      </c>
      <c r="M2245" t="s">
        <v>4623</v>
      </c>
      <c r="N2245">
        <v>922</v>
      </c>
      <c r="O2245">
        <v>9.8699999999999992</v>
      </c>
      <c r="P2245">
        <v>7.94</v>
      </c>
      <c r="R2245">
        <v>3.54</v>
      </c>
      <c r="S2245">
        <v>1.35</v>
      </c>
      <c r="Z2245" t="s">
        <v>164</v>
      </c>
      <c r="AA2245">
        <v>3.28</v>
      </c>
      <c r="AB2245" t="s">
        <v>7268</v>
      </c>
      <c r="AF2245" t="s">
        <v>7763</v>
      </c>
      <c r="AH2245" t="s">
        <v>5913</v>
      </c>
      <c r="AI2245" t="s">
        <v>7914</v>
      </c>
      <c r="AJ2245" t="s">
        <v>174</v>
      </c>
      <c r="AK2245" t="s">
        <v>18114</v>
      </c>
      <c r="AL2245">
        <v>0.43</v>
      </c>
      <c r="AN2245">
        <v>0</v>
      </c>
      <c r="AP2245" t="s">
        <v>14879</v>
      </c>
      <c r="AQ2245" t="s">
        <v>13791</v>
      </c>
      <c r="AR2245" t="s">
        <v>2080</v>
      </c>
      <c r="AS2245" t="s">
        <v>679</v>
      </c>
      <c r="AT2245" t="s">
        <v>5736</v>
      </c>
      <c r="AU2245" t="s">
        <v>4087</v>
      </c>
      <c r="AV2245" t="s">
        <v>20629</v>
      </c>
      <c r="AW2245" t="s">
        <v>1998</v>
      </c>
      <c r="AX2245" t="s">
        <v>3683</v>
      </c>
      <c r="AY2245" t="s">
        <v>1998</v>
      </c>
      <c r="AZ2245" t="s">
        <v>1518</v>
      </c>
      <c r="BA2245">
        <v>2.33</v>
      </c>
      <c r="BB2245">
        <v>18.34</v>
      </c>
      <c r="BC2245">
        <v>0.18</v>
      </c>
      <c r="BD2245">
        <v>32.21</v>
      </c>
      <c r="BE2245">
        <v>32.68</v>
      </c>
      <c r="BF2245">
        <v>32.6</v>
      </c>
      <c r="BG2245" t="s">
        <v>22265</v>
      </c>
      <c r="BH2245" t="s">
        <v>1998</v>
      </c>
      <c r="BI2245" t="s">
        <v>1518</v>
      </c>
      <c r="BJ2245" t="s">
        <v>101</v>
      </c>
      <c r="BK2245" t="s">
        <v>12507</v>
      </c>
      <c r="BL2245" t="s">
        <v>7981</v>
      </c>
      <c r="BN2245" t="s">
        <v>14623</v>
      </c>
    </row>
    <row r="2246" spans="1:66" x14ac:dyDescent="0.25">
      <c r="A2246" t="str">
        <f>HYPERLINK("https://elite.finviz.com/quote.ashx?t=PELI&amp;ty=c&amp;p=d&amp;b=1", "PELI")</f>
        <v>PELI</v>
      </c>
      <c r="B2246">
        <v>6</v>
      </c>
      <c r="C2246">
        <v>127.03</v>
      </c>
      <c r="D2246">
        <v>69.099999999999994</v>
      </c>
      <c r="E2246" t="s">
        <v>22266</v>
      </c>
      <c r="F2246" t="s">
        <v>107</v>
      </c>
      <c r="G2246" t="s">
        <v>550</v>
      </c>
      <c r="H2246" t="s">
        <v>2120</v>
      </c>
      <c r="I2246" t="s">
        <v>70</v>
      </c>
      <c r="J2246" t="s">
        <v>321</v>
      </c>
      <c r="K2246">
        <v>121.06</v>
      </c>
      <c r="L2246">
        <v>10.09</v>
      </c>
      <c r="M2246" t="s">
        <v>3226</v>
      </c>
      <c r="N2246">
        <v>21</v>
      </c>
      <c r="S2246">
        <v>1.39</v>
      </c>
      <c r="AJ2246" t="s">
        <v>164</v>
      </c>
      <c r="AK2246" t="s">
        <v>22267</v>
      </c>
      <c r="AL2246">
        <v>4.3899999999999997</v>
      </c>
      <c r="AM2246">
        <v>4.3899999999999997</v>
      </c>
      <c r="AN2246">
        <v>0</v>
      </c>
      <c r="AR2246" t="s">
        <v>4539</v>
      </c>
      <c r="AS2246" t="s">
        <v>1324</v>
      </c>
      <c r="AT2246" t="s">
        <v>4271</v>
      </c>
      <c r="AU2246" t="s">
        <v>227</v>
      </c>
      <c r="AV2246" t="s">
        <v>1764</v>
      </c>
      <c r="AW2246" t="s">
        <v>193</v>
      </c>
      <c r="AX2246" t="s">
        <v>5055</v>
      </c>
      <c r="AY2246" t="s">
        <v>193</v>
      </c>
      <c r="AZ2246" t="s">
        <v>9736</v>
      </c>
      <c r="BB2246">
        <v>14.56</v>
      </c>
      <c r="BC2246">
        <v>0.01</v>
      </c>
      <c r="BD2246">
        <v>10.050000000000001</v>
      </c>
      <c r="BE2246">
        <v>10.08</v>
      </c>
      <c r="BF2246">
        <v>10.08</v>
      </c>
      <c r="BG2246" t="s">
        <v>22268</v>
      </c>
      <c r="BH2246" t="s">
        <v>193</v>
      </c>
      <c r="BI2246" t="s">
        <v>9736</v>
      </c>
      <c r="BJ2246" t="s">
        <v>101</v>
      </c>
      <c r="BK2246" t="s">
        <v>2571</v>
      </c>
      <c r="BN2246" t="s">
        <v>14623</v>
      </c>
    </row>
    <row r="2247" spans="1:66" x14ac:dyDescent="0.25">
      <c r="A2247" t="str">
        <f>HYPERLINK("https://elite.finviz.com/quote.ashx?t=KMTS&amp;ty=c&amp;p=d&amp;b=1", "KMTS")</f>
        <v>KMTS</v>
      </c>
      <c r="B2247">
        <v>6</v>
      </c>
      <c r="C2247">
        <v>127.03</v>
      </c>
      <c r="D2247">
        <v>69.16</v>
      </c>
      <c r="E2247" t="s">
        <v>22269</v>
      </c>
      <c r="F2247" t="s">
        <v>67</v>
      </c>
      <c r="G2247" t="s">
        <v>428</v>
      </c>
      <c r="H2247" t="s">
        <v>2161</v>
      </c>
      <c r="I2247" t="s">
        <v>70</v>
      </c>
      <c r="J2247" t="s">
        <v>321</v>
      </c>
      <c r="K2247">
        <v>1257.1600000000001</v>
      </c>
      <c r="L2247">
        <v>24.43</v>
      </c>
      <c r="M2247" t="s">
        <v>1559</v>
      </c>
      <c r="N2247">
        <v>17871</v>
      </c>
      <c r="R2247">
        <v>18.93</v>
      </c>
      <c r="S2247">
        <v>6.81</v>
      </c>
      <c r="AA2247">
        <v>-2.52</v>
      </c>
      <c r="AB2247" t="s">
        <v>17300</v>
      </c>
      <c r="AD2247" t="s">
        <v>10948</v>
      </c>
      <c r="AE2247" t="s">
        <v>5744</v>
      </c>
      <c r="AF2247" t="s">
        <v>22270</v>
      </c>
      <c r="AH2247" t="s">
        <v>22271</v>
      </c>
      <c r="AI2247" t="s">
        <v>5063</v>
      </c>
      <c r="AJ2247" t="s">
        <v>4237</v>
      </c>
      <c r="AK2247" t="s">
        <v>7081</v>
      </c>
      <c r="AL2247">
        <v>6.84</v>
      </c>
      <c r="AM2247">
        <v>6.63</v>
      </c>
      <c r="AN2247">
        <v>0.24</v>
      </c>
      <c r="AO2247" t="s">
        <v>1073</v>
      </c>
      <c r="AP2247" t="s">
        <v>22272</v>
      </c>
      <c r="AQ2247" t="s">
        <v>22273</v>
      </c>
      <c r="AR2247" t="s">
        <v>1282</v>
      </c>
      <c r="AS2247" t="s">
        <v>1515</v>
      </c>
      <c r="AT2247" t="s">
        <v>1132</v>
      </c>
      <c r="AU2247" t="s">
        <v>4200</v>
      </c>
      <c r="AV2247" t="s">
        <v>3437</v>
      </c>
      <c r="AW2247" t="s">
        <v>20278</v>
      </c>
      <c r="AX2247" t="s">
        <v>22274</v>
      </c>
      <c r="AY2247" t="s">
        <v>20278</v>
      </c>
      <c r="AZ2247" t="s">
        <v>13590</v>
      </c>
      <c r="BA2247">
        <v>1.33</v>
      </c>
      <c r="BB2247">
        <v>365.97</v>
      </c>
      <c r="BC2247">
        <v>0.17</v>
      </c>
      <c r="BD2247">
        <v>24.12</v>
      </c>
      <c r="BE2247">
        <v>24.23</v>
      </c>
      <c r="BF2247">
        <v>24.14</v>
      </c>
      <c r="BG2247" t="s">
        <v>22275</v>
      </c>
      <c r="BH2247" t="s">
        <v>20278</v>
      </c>
      <c r="BI2247" t="s">
        <v>13590</v>
      </c>
      <c r="BJ2247" t="s">
        <v>101</v>
      </c>
      <c r="BK2247" t="s">
        <v>22276</v>
      </c>
      <c r="BL2247" t="s">
        <v>6336</v>
      </c>
      <c r="BN2247" t="s">
        <v>14623</v>
      </c>
    </row>
    <row r="2248" spans="1:66" x14ac:dyDescent="0.25">
      <c r="A2248" t="str">
        <f>HYPERLINK("https://elite.finviz.com/quote.ashx?t=RLMD&amp;ty=c&amp;p=d&amp;b=1", "RLMD")</f>
        <v>RLMD</v>
      </c>
      <c r="B2248">
        <v>6</v>
      </c>
      <c r="C2248">
        <v>127.03</v>
      </c>
      <c r="D2248">
        <v>69.3</v>
      </c>
      <c r="E2248" t="s">
        <v>22277</v>
      </c>
      <c r="F2248" t="s">
        <v>107</v>
      </c>
      <c r="G2248" t="s">
        <v>428</v>
      </c>
      <c r="H2248" t="s">
        <v>429</v>
      </c>
      <c r="I2248" t="s">
        <v>70</v>
      </c>
      <c r="J2248" t="s">
        <v>321</v>
      </c>
      <c r="K2248">
        <v>58.42</v>
      </c>
      <c r="L2248">
        <v>1.76</v>
      </c>
      <c r="M2248" t="s">
        <v>1826</v>
      </c>
      <c r="N2248">
        <v>107207</v>
      </c>
      <c r="S2248">
        <v>3.66</v>
      </c>
      <c r="AA2248">
        <v>-2.21</v>
      </c>
      <c r="AB2248" t="s">
        <v>10087</v>
      </c>
      <c r="AC2248" t="s">
        <v>5253</v>
      </c>
      <c r="AI2248" t="s">
        <v>9534</v>
      </c>
      <c r="AJ2248" t="s">
        <v>9461</v>
      </c>
      <c r="AK2248" t="s">
        <v>3034</v>
      </c>
      <c r="AL2248">
        <v>4.1100000000000003</v>
      </c>
      <c r="AM2248">
        <v>4.1100000000000003</v>
      </c>
      <c r="AN2248">
        <v>0</v>
      </c>
      <c r="AR2248" t="s">
        <v>11641</v>
      </c>
      <c r="AS2248" t="s">
        <v>2008</v>
      </c>
      <c r="AT2248" t="s">
        <v>14731</v>
      </c>
      <c r="AU2248" t="s">
        <v>19166</v>
      </c>
      <c r="AV2248" t="s">
        <v>22278</v>
      </c>
      <c r="AW2248" t="s">
        <v>2227</v>
      </c>
      <c r="AX2248" t="s">
        <v>20304</v>
      </c>
      <c r="AY2248" t="s">
        <v>22279</v>
      </c>
      <c r="AZ2248" t="s">
        <v>22280</v>
      </c>
      <c r="BA2248">
        <v>3</v>
      </c>
      <c r="BB2248">
        <v>716.02</v>
      </c>
      <c r="BC2248">
        <v>0.53</v>
      </c>
      <c r="BD2248">
        <v>1.66</v>
      </c>
      <c r="BE2248">
        <v>1.79</v>
      </c>
      <c r="BF2248">
        <v>1.66</v>
      </c>
      <c r="BG2248" t="s">
        <v>22281</v>
      </c>
      <c r="BH2248" t="s">
        <v>22282</v>
      </c>
      <c r="BI2248" t="s">
        <v>22280</v>
      </c>
      <c r="BJ2248" t="s">
        <v>101</v>
      </c>
      <c r="BK2248" t="s">
        <v>22283</v>
      </c>
      <c r="BL2248" t="s">
        <v>22284</v>
      </c>
      <c r="BM2248" t="s">
        <v>22285</v>
      </c>
      <c r="BN2248" t="s">
        <v>14623</v>
      </c>
    </row>
    <row r="2249" spans="1:66" x14ac:dyDescent="0.25">
      <c r="A2249" t="str">
        <f>HYPERLINK("https://elite.finviz.com/quote.ashx?t=POLA&amp;ty=c&amp;p=d&amp;b=1", "POLA")</f>
        <v>POLA</v>
      </c>
      <c r="B2249">
        <v>6</v>
      </c>
      <c r="C2249">
        <v>127.03</v>
      </c>
      <c r="D2249">
        <v>69.349999999999994</v>
      </c>
      <c r="E2249" t="s">
        <v>22286</v>
      </c>
      <c r="F2249" t="s">
        <v>107</v>
      </c>
      <c r="G2249" t="s">
        <v>260</v>
      </c>
      <c r="H2249" t="s">
        <v>1128</v>
      </c>
      <c r="I2249" t="s">
        <v>70</v>
      </c>
      <c r="J2249" t="s">
        <v>321</v>
      </c>
      <c r="K2249">
        <v>8.61</v>
      </c>
      <c r="L2249">
        <v>3.43</v>
      </c>
      <c r="M2249" t="s">
        <v>4150</v>
      </c>
      <c r="N2249">
        <v>14760</v>
      </c>
      <c r="R2249">
        <v>0.72</v>
      </c>
      <c r="S2249">
        <v>1.23</v>
      </c>
      <c r="AA2249">
        <v>-1.82</v>
      </c>
      <c r="AB2249" t="s">
        <v>22287</v>
      </c>
      <c r="AC2249" t="s">
        <v>6225</v>
      </c>
      <c r="AE2249" t="s">
        <v>4494</v>
      </c>
      <c r="AF2249" t="s">
        <v>6985</v>
      </c>
      <c r="AG2249" t="s">
        <v>704</v>
      </c>
      <c r="AH2249" t="s">
        <v>22288</v>
      </c>
      <c r="AJ2249" t="s">
        <v>164</v>
      </c>
      <c r="AK2249" t="s">
        <v>7684</v>
      </c>
      <c r="AL2249">
        <v>1.61</v>
      </c>
      <c r="AM2249">
        <v>0.24</v>
      </c>
      <c r="AN2249">
        <v>0.99</v>
      </c>
      <c r="AO2249" t="s">
        <v>10114</v>
      </c>
      <c r="AP2249" t="s">
        <v>5141</v>
      </c>
      <c r="AQ2249" t="s">
        <v>16359</v>
      </c>
      <c r="AR2249" t="s">
        <v>73</v>
      </c>
      <c r="AS2249" t="s">
        <v>7108</v>
      </c>
      <c r="AT2249" t="s">
        <v>877</v>
      </c>
      <c r="AU2249" t="s">
        <v>16609</v>
      </c>
      <c r="AV2249" t="s">
        <v>13754</v>
      </c>
      <c r="AW2249" t="s">
        <v>16335</v>
      </c>
      <c r="AX2249" t="s">
        <v>22289</v>
      </c>
      <c r="AY2249" t="s">
        <v>11766</v>
      </c>
      <c r="AZ2249" t="s">
        <v>22290</v>
      </c>
      <c r="BA2249">
        <v>1</v>
      </c>
      <c r="BB2249">
        <v>389.21</v>
      </c>
      <c r="BC2249">
        <v>0.13</v>
      </c>
      <c r="BD2249">
        <v>3.5</v>
      </c>
      <c r="BE2249">
        <v>3.59</v>
      </c>
      <c r="BF2249">
        <v>3.38</v>
      </c>
      <c r="BG2249" t="s">
        <v>22291</v>
      </c>
      <c r="BH2249" t="s">
        <v>1043</v>
      </c>
      <c r="BI2249" t="s">
        <v>22290</v>
      </c>
      <c r="BJ2249" t="s">
        <v>101</v>
      </c>
      <c r="BK2249" t="s">
        <v>22292</v>
      </c>
      <c r="BL2249" t="s">
        <v>15970</v>
      </c>
      <c r="BM2249" t="s">
        <v>786</v>
      </c>
      <c r="BN2249" t="s">
        <v>14623</v>
      </c>
    </row>
    <row r="2250" spans="1:66" x14ac:dyDescent="0.25">
      <c r="A2250" t="str">
        <f>HYPERLINK("https://elite.finviz.com/quote.ashx?t=XELB&amp;ty=c&amp;p=d&amp;b=1", "XELB")</f>
        <v>XELB</v>
      </c>
      <c r="B2250">
        <v>6</v>
      </c>
      <c r="C2250">
        <v>127.03</v>
      </c>
      <c r="D2250">
        <v>69.510000000000005</v>
      </c>
      <c r="E2250" t="s">
        <v>22293</v>
      </c>
      <c r="F2250" t="s">
        <v>107</v>
      </c>
      <c r="G2250" t="s">
        <v>813</v>
      </c>
      <c r="H2250" t="s">
        <v>7446</v>
      </c>
      <c r="I2250" t="s">
        <v>70</v>
      </c>
      <c r="J2250" t="s">
        <v>321</v>
      </c>
      <c r="K2250">
        <v>8.34</v>
      </c>
      <c r="L2250">
        <v>1.75</v>
      </c>
      <c r="M2250" t="s">
        <v>2216</v>
      </c>
      <c r="N2250">
        <v>18238</v>
      </c>
      <c r="R2250">
        <v>1.44</v>
      </c>
      <c r="S2250">
        <v>0.17</v>
      </c>
      <c r="AA2250">
        <v>-9.75</v>
      </c>
      <c r="AB2250" t="s">
        <v>22294</v>
      </c>
      <c r="AC2250" t="s">
        <v>21886</v>
      </c>
      <c r="AD2250" t="s">
        <v>162</v>
      </c>
      <c r="AE2250" t="s">
        <v>22295</v>
      </c>
      <c r="AF2250" t="s">
        <v>15945</v>
      </c>
      <c r="AG2250" t="s">
        <v>14318</v>
      </c>
      <c r="AH2250" t="s">
        <v>22296</v>
      </c>
      <c r="AI2250" t="s">
        <v>22297</v>
      </c>
      <c r="AJ2250" t="s">
        <v>1062</v>
      </c>
      <c r="AK2250" t="s">
        <v>683</v>
      </c>
      <c r="AL2250">
        <v>0.59</v>
      </c>
      <c r="AM2250">
        <v>0.59</v>
      </c>
      <c r="AN2250">
        <v>0.75</v>
      </c>
      <c r="AO2250" t="s">
        <v>369</v>
      </c>
      <c r="AP2250" t="s">
        <v>22298</v>
      </c>
      <c r="AQ2250" t="s">
        <v>22299</v>
      </c>
      <c r="AR2250" t="s">
        <v>6607</v>
      </c>
      <c r="AS2250" t="s">
        <v>8593</v>
      </c>
      <c r="AT2250" t="s">
        <v>10760</v>
      </c>
      <c r="AU2250" t="s">
        <v>11433</v>
      </c>
      <c r="AV2250" t="s">
        <v>18240</v>
      </c>
      <c r="AW2250" t="s">
        <v>2149</v>
      </c>
      <c r="AX2250" t="s">
        <v>22300</v>
      </c>
      <c r="AY2250" t="s">
        <v>22301</v>
      </c>
      <c r="AZ2250" t="s">
        <v>22300</v>
      </c>
      <c r="BA2250">
        <v>1</v>
      </c>
      <c r="BB2250">
        <v>557.86</v>
      </c>
      <c r="BC2250">
        <v>0.12</v>
      </c>
      <c r="BD2250">
        <v>1.74</v>
      </c>
      <c r="BE2250">
        <v>1.8</v>
      </c>
      <c r="BF2250">
        <v>1.71</v>
      </c>
      <c r="BG2250" t="s">
        <v>22302</v>
      </c>
      <c r="BH2250" t="s">
        <v>3320</v>
      </c>
      <c r="BI2250" t="s">
        <v>22300</v>
      </c>
      <c r="BJ2250" t="s">
        <v>101</v>
      </c>
      <c r="BK2250" t="s">
        <v>6989</v>
      </c>
      <c r="BL2250" t="s">
        <v>22303</v>
      </c>
      <c r="BM2250" t="s">
        <v>22304</v>
      </c>
      <c r="BN2250" t="s">
        <v>14623</v>
      </c>
    </row>
    <row r="2251" spans="1:66" x14ac:dyDescent="0.25">
      <c r="A2251" t="str">
        <f>HYPERLINK("https://elite.finviz.com/quote.ashx?t=IDCC&amp;ty=c&amp;p=d&amp;b=1", "IDCC")</f>
        <v>IDCC</v>
      </c>
      <c r="B2251">
        <v>6</v>
      </c>
      <c r="C2251">
        <v>127.03</v>
      </c>
      <c r="D2251">
        <v>69.680000000000007</v>
      </c>
      <c r="E2251" t="s">
        <v>22305</v>
      </c>
      <c r="F2251" t="s">
        <v>67</v>
      </c>
      <c r="G2251" t="s">
        <v>108</v>
      </c>
      <c r="H2251" t="s">
        <v>136</v>
      </c>
      <c r="I2251" t="s">
        <v>70</v>
      </c>
      <c r="J2251" t="s">
        <v>321</v>
      </c>
      <c r="K2251">
        <v>8764.85</v>
      </c>
      <c r="L2251">
        <v>339.69</v>
      </c>
      <c r="M2251" t="s">
        <v>430</v>
      </c>
      <c r="N2251">
        <v>42016</v>
      </c>
      <c r="O2251">
        <v>24.21</v>
      </c>
      <c r="P2251">
        <v>47.58</v>
      </c>
      <c r="R2251">
        <v>9.82</v>
      </c>
      <c r="S2251">
        <v>8.09</v>
      </c>
      <c r="T2251" t="s">
        <v>4623</v>
      </c>
      <c r="U2251">
        <v>2.1</v>
      </c>
      <c r="V2251" t="s">
        <v>4489</v>
      </c>
      <c r="W2251" t="s">
        <v>485</v>
      </c>
      <c r="X2251" t="s">
        <v>8843</v>
      </c>
      <c r="Y2251" t="s">
        <v>6475</v>
      </c>
      <c r="Z2251" t="s">
        <v>2711</v>
      </c>
      <c r="AA2251">
        <v>14.03</v>
      </c>
      <c r="AB2251" t="s">
        <v>22306</v>
      </c>
      <c r="AC2251" t="s">
        <v>8661</v>
      </c>
      <c r="AD2251" t="s">
        <v>20212</v>
      </c>
      <c r="AE2251" t="s">
        <v>4664</v>
      </c>
      <c r="AF2251" t="s">
        <v>2189</v>
      </c>
      <c r="AG2251" t="s">
        <v>20822</v>
      </c>
      <c r="AH2251" t="s">
        <v>209</v>
      </c>
      <c r="AI2251" t="s">
        <v>21232</v>
      </c>
      <c r="AJ2251" t="s">
        <v>5746</v>
      </c>
      <c r="AK2251" t="s">
        <v>22307</v>
      </c>
      <c r="AL2251">
        <v>1.96</v>
      </c>
      <c r="AM2251">
        <v>1.96</v>
      </c>
      <c r="AN2251">
        <v>0.45</v>
      </c>
      <c r="AO2251" t="s">
        <v>20559</v>
      </c>
      <c r="AP2251" t="s">
        <v>22308</v>
      </c>
      <c r="AQ2251" t="s">
        <v>6844</v>
      </c>
      <c r="AR2251" t="s">
        <v>5331</v>
      </c>
      <c r="AS2251" t="s">
        <v>2822</v>
      </c>
      <c r="AT2251" t="s">
        <v>297</v>
      </c>
      <c r="AU2251" t="s">
        <v>5769</v>
      </c>
      <c r="AV2251" t="s">
        <v>22309</v>
      </c>
      <c r="AW2251" t="s">
        <v>2677</v>
      </c>
      <c r="AX2251" t="s">
        <v>7649</v>
      </c>
      <c r="AY2251" t="s">
        <v>2677</v>
      </c>
      <c r="AZ2251" t="s">
        <v>22310</v>
      </c>
      <c r="BA2251">
        <v>2.14</v>
      </c>
      <c r="BB2251">
        <v>318.41000000000003</v>
      </c>
      <c r="BC2251">
        <v>0.46</v>
      </c>
      <c r="BD2251">
        <v>338.94</v>
      </c>
      <c r="BE2251">
        <v>343.28</v>
      </c>
      <c r="BF2251">
        <v>338.09</v>
      </c>
      <c r="BG2251" t="s">
        <v>22311</v>
      </c>
      <c r="BH2251" t="s">
        <v>2677</v>
      </c>
      <c r="BI2251" t="s">
        <v>22312</v>
      </c>
      <c r="BJ2251" t="s">
        <v>101</v>
      </c>
      <c r="BK2251" t="s">
        <v>22313</v>
      </c>
      <c r="BL2251" t="s">
        <v>20061</v>
      </c>
      <c r="BM2251" t="s">
        <v>22314</v>
      </c>
      <c r="BN2251" t="s">
        <v>14623</v>
      </c>
    </row>
    <row r="2252" spans="1:66" x14ac:dyDescent="0.25">
      <c r="A2252" t="str">
        <f>HYPERLINK("https://elite.finviz.com/quote.ashx?t=STRS&amp;ty=c&amp;p=d&amp;b=1", "STRS")</f>
        <v>STRS</v>
      </c>
      <c r="B2252">
        <v>6</v>
      </c>
      <c r="C2252">
        <v>127.03</v>
      </c>
      <c r="D2252">
        <v>69.680000000000007</v>
      </c>
      <c r="E2252" t="s">
        <v>22315</v>
      </c>
      <c r="F2252" t="s">
        <v>67</v>
      </c>
      <c r="G2252" t="s">
        <v>68</v>
      </c>
      <c r="H2252" t="s">
        <v>18266</v>
      </c>
      <c r="I2252" t="s">
        <v>70</v>
      </c>
      <c r="J2252" t="s">
        <v>321</v>
      </c>
      <c r="K2252">
        <v>180.07</v>
      </c>
      <c r="L2252">
        <v>22.29</v>
      </c>
      <c r="M2252" t="s">
        <v>84</v>
      </c>
      <c r="N2252">
        <v>2445</v>
      </c>
      <c r="R2252">
        <v>5.03</v>
      </c>
      <c r="S2252">
        <v>0.94</v>
      </c>
      <c r="V2252" t="s">
        <v>14193</v>
      </c>
      <c r="Z2252" t="s">
        <v>164</v>
      </c>
      <c r="AA2252">
        <v>-0.43</v>
      </c>
      <c r="AB2252" t="s">
        <v>22316</v>
      </c>
      <c r="AE2252" t="s">
        <v>12798</v>
      </c>
      <c r="AF2252" t="s">
        <v>5011</v>
      </c>
      <c r="AG2252" t="s">
        <v>10461</v>
      </c>
      <c r="AH2252" t="s">
        <v>13084</v>
      </c>
      <c r="AJ2252" t="s">
        <v>2426</v>
      </c>
      <c r="AK2252" t="s">
        <v>14366</v>
      </c>
      <c r="AL2252">
        <v>1.2</v>
      </c>
      <c r="AM2252">
        <v>1.2</v>
      </c>
      <c r="AN2252">
        <v>1.1200000000000001</v>
      </c>
      <c r="AO2252" t="s">
        <v>7464</v>
      </c>
      <c r="AP2252" t="s">
        <v>22317</v>
      </c>
      <c r="AQ2252" t="s">
        <v>5767</v>
      </c>
      <c r="AR2252" t="s">
        <v>4324</v>
      </c>
      <c r="AS2252" t="s">
        <v>2493</v>
      </c>
      <c r="AT2252" t="s">
        <v>7669</v>
      </c>
      <c r="AU2252" t="s">
        <v>19879</v>
      </c>
      <c r="AV2252" t="s">
        <v>1383</v>
      </c>
      <c r="AW2252" t="s">
        <v>9854</v>
      </c>
      <c r="AX2252" t="s">
        <v>13922</v>
      </c>
      <c r="AY2252" t="s">
        <v>15979</v>
      </c>
      <c r="AZ2252" t="s">
        <v>3289</v>
      </c>
      <c r="BB2252">
        <v>13.11</v>
      </c>
      <c r="BC2252">
        <v>0.66</v>
      </c>
      <c r="BD2252">
        <v>22.12</v>
      </c>
      <c r="BE2252">
        <v>22.12</v>
      </c>
      <c r="BF2252">
        <v>22</v>
      </c>
      <c r="BG2252" t="s">
        <v>22318</v>
      </c>
      <c r="BH2252" t="s">
        <v>6170</v>
      </c>
      <c r="BI2252" t="s">
        <v>22319</v>
      </c>
      <c r="BJ2252" t="s">
        <v>101</v>
      </c>
      <c r="BK2252" t="s">
        <v>10499</v>
      </c>
      <c r="BL2252" t="s">
        <v>3375</v>
      </c>
      <c r="BM2252" t="s">
        <v>11088</v>
      </c>
      <c r="BN2252" t="s">
        <v>14623</v>
      </c>
    </row>
    <row r="2253" spans="1:66" x14ac:dyDescent="0.25">
      <c r="A2253" t="str">
        <f>HYPERLINK("https://elite.finviz.com/quote.ashx?t=UHS&amp;ty=c&amp;p=d&amp;b=1", "UHS")</f>
        <v>UHS</v>
      </c>
      <c r="B2253">
        <v>6</v>
      </c>
      <c r="C2253">
        <v>127.03</v>
      </c>
      <c r="D2253">
        <v>69.790000000000006</v>
      </c>
      <c r="E2253" t="s">
        <v>22320</v>
      </c>
      <c r="F2253" t="s">
        <v>195</v>
      </c>
      <c r="G2253" t="s">
        <v>428</v>
      </c>
      <c r="H2253" t="s">
        <v>3160</v>
      </c>
      <c r="I2253" t="s">
        <v>70</v>
      </c>
      <c r="J2253" t="s">
        <v>71</v>
      </c>
      <c r="K2253">
        <v>12691.52</v>
      </c>
      <c r="L2253">
        <v>199.47</v>
      </c>
      <c r="M2253" t="s">
        <v>2759</v>
      </c>
      <c r="N2253">
        <v>97609</v>
      </c>
      <c r="O2253">
        <v>10.51</v>
      </c>
      <c r="P2253">
        <v>9.08</v>
      </c>
      <c r="Q2253">
        <v>0.78</v>
      </c>
      <c r="R2253">
        <v>0.77</v>
      </c>
      <c r="S2253">
        <v>1.81</v>
      </c>
      <c r="T2253" t="s">
        <v>1765</v>
      </c>
      <c r="U2253">
        <v>0.8</v>
      </c>
      <c r="V2253" t="s">
        <v>2187</v>
      </c>
      <c r="W2253" t="s">
        <v>164</v>
      </c>
      <c r="X2253" t="s">
        <v>164</v>
      </c>
      <c r="Y2253" t="s">
        <v>351</v>
      </c>
      <c r="Z2253" t="s">
        <v>995</v>
      </c>
      <c r="AA2253">
        <v>18.98</v>
      </c>
      <c r="AB2253" t="s">
        <v>9861</v>
      </c>
      <c r="AC2253" t="s">
        <v>8059</v>
      </c>
      <c r="AD2253" t="s">
        <v>4648</v>
      </c>
      <c r="AE2253" t="s">
        <v>9830</v>
      </c>
      <c r="AF2253" t="s">
        <v>5122</v>
      </c>
      <c r="AG2253" t="s">
        <v>3126</v>
      </c>
      <c r="AH2253" t="s">
        <v>3230</v>
      </c>
      <c r="AI2253" t="s">
        <v>1370</v>
      </c>
      <c r="AJ2253" t="s">
        <v>1249</v>
      </c>
      <c r="AK2253" t="s">
        <v>1460</v>
      </c>
      <c r="AL2253">
        <v>1.29</v>
      </c>
      <c r="AM2253">
        <v>1.19</v>
      </c>
      <c r="AN2253">
        <v>0.71</v>
      </c>
      <c r="AO2253" t="s">
        <v>2513</v>
      </c>
      <c r="AP2253" t="s">
        <v>2513</v>
      </c>
      <c r="AQ2253" t="s">
        <v>1207</v>
      </c>
      <c r="AR2253" t="s">
        <v>1768</v>
      </c>
      <c r="AS2253" t="s">
        <v>4710</v>
      </c>
      <c r="AT2253" t="s">
        <v>3957</v>
      </c>
      <c r="AU2253" t="s">
        <v>5446</v>
      </c>
      <c r="AV2253" t="s">
        <v>2579</v>
      </c>
      <c r="AW2253" t="s">
        <v>8932</v>
      </c>
      <c r="AX2253" t="s">
        <v>5140</v>
      </c>
      <c r="AY2253" t="s">
        <v>3515</v>
      </c>
      <c r="AZ2253" t="s">
        <v>5140</v>
      </c>
      <c r="BA2253">
        <v>2.39</v>
      </c>
      <c r="BB2253">
        <v>850.77</v>
      </c>
      <c r="BC2253">
        <v>0.4</v>
      </c>
      <c r="BD2253">
        <v>197.62</v>
      </c>
      <c r="BE2253">
        <v>200.54</v>
      </c>
      <c r="BF2253">
        <v>197.01</v>
      </c>
      <c r="BG2253" t="s">
        <v>22321</v>
      </c>
      <c r="BH2253" t="s">
        <v>8613</v>
      </c>
      <c r="BI2253" t="s">
        <v>22322</v>
      </c>
      <c r="BJ2253" t="s">
        <v>101</v>
      </c>
      <c r="BK2253" t="s">
        <v>5127</v>
      </c>
      <c r="BL2253" t="s">
        <v>1955</v>
      </c>
      <c r="BM2253" t="s">
        <v>3515</v>
      </c>
      <c r="BN2253" t="s">
        <v>14623</v>
      </c>
    </row>
    <row r="2254" spans="1:66" x14ac:dyDescent="0.25">
      <c r="A2254" t="str">
        <f>HYPERLINK("https://elite.finviz.com/quote.ashx?t=FSHP&amp;ty=c&amp;p=d&amp;b=1", "FSHP")</f>
        <v>FSHP</v>
      </c>
      <c r="B2254">
        <v>6</v>
      </c>
      <c r="C2254">
        <v>127.03</v>
      </c>
      <c r="D2254">
        <v>69.81</v>
      </c>
      <c r="E2254" t="s">
        <v>22323</v>
      </c>
      <c r="F2254" t="s">
        <v>107</v>
      </c>
      <c r="G2254" t="s">
        <v>550</v>
      </c>
      <c r="H2254" t="s">
        <v>2120</v>
      </c>
      <c r="I2254" t="s">
        <v>70</v>
      </c>
      <c r="J2254" t="s">
        <v>321</v>
      </c>
      <c r="K2254">
        <v>94.39</v>
      </c>
      <c r="L2254">
        <v>10.65</v>
      </c>
      <c r="M2254" t="s">
        <v>164</v>
      </c>
      <c r="N2254">
        <v>0</v>
      </c>
      <c r="O2254">
        <v>24.52</v>
      </c>
      <c r="S2254">
        <v>1.35</v>
      </c>
      <c r="Z2254" t="s">
        <v>164</v>
      </c>
      <c r="AA2254">
        <v>0.43</v>
      </c>
      <c r="AJ2254" t="s">
        <v>164</v>
      </c>
      <c r="AK2254" t="s">
        <v>22324</v>
      </c>
      <c r="AL2254">
        <v>0.09</v>
      </c>
      <c r="AM2254">
        <v>0.09</v>
      </c>
      <c r="AN2254">
        <v>0.01</v>
      </c>
      <c r="AR2254" t="s">
        <v>822</v>
      </c>
      <c r="AS2254" t="s">
        <v>2757</v>
      </c>
      <c r="AT2254" t="s">
        <v>2610</v>
      </c>
      <c r="AU2254" t="s">
        <v>6493</v>
      </c>
      <c r="AV2254" t="s">
        <v>1148</v>
      </c>
      <c r="AW2254" t="s">
        <v>6192</v>
      </c>
      <c r="AX2254" t="s">
        <v>5779</v>
      </c>
      <c r="AY2254" t="s">
        <v>6192</v>
      </c>
      <c r="AZ2254" t="s">
        <v>3053</v>
      </c>
      <c r="BB2254">
        <v>21.09</v>
      </c>
      <c r="BC2254">
        <v>0</v>
      </c>
      <c r="BD2254">
        <v>10.65</v>
      </c>
      <c r="BE2254">
        <v>10.65</v>
      </c>
      <c r="BF2254">
        <v>10.65</v>
      </c>
      <c r="BG2254" t="s">
        <v>22325</v>
      </c>
      <c r="BH2254" t="s">
        <v>6192</v>
      </c>
      <c r="BI2254" t="s">
        <v>8593</v>
      </c>
      <c r="BJ2254" t="s">
        <v>101</v>
      </c>
      <c r="BK2254" t="s">
        <v>1932</v>
      </c>
      <c r="BL2254" t="s">
        <v>2293</v>
      </c>
      <c r="BN2254" t="s">
        <v>14623</v>
      </c>
    </row>
    <row r="2255" spans="1:66" x14ac:dyDescent="0.25">
      <c r="A2255" t="str">
        <f>HYPERLINK("https://elite.finviz.com/quote.ashx?t=CGON&amp;ty=c&amp;p=d&amp;b=1", "CGON")</f>
        <v>CGON</v>
      </c>
      <c r="B2255">
        <v>6</v>
      </c>
      <c r="C2255">
        <v>127.03</v>
      </c>
      <c r="D2255">
        <v>69.87</v>
      </c>
      <c r="E2255" t="s">
        <v>22326</v>
      </c>
      <c r="F2255" t="s">
        <v>67</v>
      </c>
      <c r="G2255" t="s">
        <v>428</v>
      </c>
      <c r="H2255" t="s">
        <v>429</v>
      </c>
      <c r="I2255" t="s">
        <v>70</v>
      </c>
      <c r="J2255" t="s">
        <v>321</v>
      </c>
      <c r="K2255">
        <v>2819.63</v>
      </c>
      <c r="L2255">
        <v>36.979999999999997</v>
      </c>
      <c r="M2255" t="s">
        <v>4856</v>
      </c>
      <c r="N2255">
        <v>100879</v>
      </c>
      <c r="R2255">
        <v>5126.6099999999997</v>
      </c>
      <c r="S2255">
        <v>4.21</v>
      </c>
      <c r="AA2255">
        <v>-1.68</v>
      </c>
      <c r="AB2255" t="s">
        <v>22327</v>
      </c>
      <c r="AD2255" t="s">
        <v>6256</v>
      </c>
      <c r="AF2255" t="s">
        <v>22328</v>
      </c>
      <c r="AH2255" t="s">
        <v>579</v>
      </c>
      <c r="AI2255" t="s">
        <v>11088</v>
      </c>
      <c r="AJ2255" t="s">
        <v>5685</v>
      </c>
      <c r="AK2255" t="s">
        <v>11366</v>
      </c>
      <c r="AL2255">
        <v>22.15</v>
      </c>
      <c r="AM2255">
        <v>22.15</v>
      </c>
      <c r="AN2255">
        <v>0</v>
      </c>
      <c r="AO2255" t="s">
        <v>22329</v>
      </c>
      <c r="AP2255" t="s">
        <v>22330</v>
      </c>
      <c r="AQ2255" t="s">
        <v>22331</v>
      </c>
      <c r="AR2255" t="s">
        <v>2721</v>
      </c>
      <c r="AS2255" t="s">
        <v>755</v>
      </c>
      <c r="AT2255" t="s">
        <v>4378</v>
      </c>
      <c r="AU2255" t="s">
        <v>6446</v>
      </c>
      <c r="AV2255" t="s">
        <v>9226</v>
      </c>
      <c r="AW2255" t="s">
        <v>7380</v>
      </c>
      <c r="AX2255" t="s">
        <v>5486</v>
      </c>
      <c r="AY2255" t="s">
        <v>6735</v>
      </c>
      <c r="AZ2255" t="s">
        <v>22332</v>
      </c>
      <c r="BA2255">
        <v>1</v>
      </c>
      <c r="BB2255">
        <v>931.86</v>
      </c>
      <c r="BC2255">
        <v>0.38</v>
      </c>
      <c r="BD2255">
        <v>36.479999999999997</v>
      </c>
      <c r="BE2255">
        <v>37.81</v>
      </c>
      <c r="BF2255">
        <v>36.799999999999997</v>
      </c>
      <c r="BG2255" t="s">
        <v>22333</v>
      </c>
      <c r="BH2255" t="s">
        <v>1400</v>
      </c>
      <c r="BI2255" t="s">
        <v>22332</v>
      </c>
      <c r="BJ2255" t="s">
        <v>101</v>
      </c>
      <c r="BK2255" t="s">
        <v>4821</v>
      </c>
      <c r="BL2255" t="s">
        <v>12108</v>
      </c>
      <c r="BM2255" t="s">
        <v>80</v>
      </c>
      <c r="BN2255" t="s">
        <v>14623</v>
      </c>
    </row>
    <row r="2256" spans="1:66" x14ac:dyDescent="0.25">
      <c r="A2256" t="str">
        <f>HYPERLINK("https://elite.finviz.com/quote.ashx?t=LAW&amp;ty=c&amp;p=d&amp;b=1", "LAW")</f>
        <v>LAW</v>
      </c>
      <c r="B2256">
        <v>6</v>
      </c>
      <c r="C2256">
        <v>127.03</v>
      </c>
      <c r="D2256">
        <v>69.98</v>
      </c>
      <c r="E2256" t="s">
        <v>22334</v>
      </c>
      <c r="F2256" t="s">
        <v>67</v>
      </c>
      <c r="G2256" t="s">
        <v>108</v>
      </c>
      <c r="H2256" t="s">
        <v>136</v>
      </c>
      <c r="I2256" t="s">
        <v>70</v>
      </c>
      <c r="J2256" t="s">
        <v>71</v>
      </c>
      <c r="K2256">
        <v>398.86</v>
      </c>
      <c r="L2256">
        <v>6.46</v>
      </c>
      <c r="M2256" t="s">
        <v>6871</v>
      </c>
      <c r="N2256">
        <v>8896</v>
      </c>
      <c r="R2256">
        <v>2.69</v>
      </c>
      <c r="S2256">
        <v>2.89</v>
      </c>
      <c r="AA2256">
        <v>-0.94</v>
      </c>
      <c r="AB2256" t="s">
        <v>667</v>
      </c>
      <c r="AC2256" t="s">
        <v>12912</v>
      </c>
      <c r="AD2256" t="s">
        <v>19431</v>
      </c>
      <c r="AE2256" t="s">
        <v>3469</v>
      </c>
      <c r="AF2256" t="s">
        <v>2861</v>
      </c>
      <c r="AG2256" t="s">
        <v>6169</v>
      </c>
      <c r="AH2256" t="s">
        <v>3733</v>
      </c>
      <c r="AI2256" t="s">
        <v>17815</v>
      </c>
      <c r="AJ2256" t="s">
        <v>2003</v>
      </c>
      <c r="AK2256" t="s">
        <v>7796</v>
      </c>
      <c r="AL2256">
        <v>6.75</v>
      </c>
      <c r="AM2256">
        <v>6.75</v>
      </c>
      <c r="AN2256">
        <v>0.06</v>
      </c>
      <c r="AO2256" t="s">
        <v>22335</v>
      </c>
      <c r="AP2256" t="s">
        <v>3641</v>
      </c>
      <c r="AQ2256" t="s">
        <v>16359</v>
      </c>
      <c r="AR2256" t="s">
        <v>4872</v>
      </c>
      <c r="AS2256" t="s">
        <v>926</v>
      </c>
      <c r="AT2256" t="s">
        <v>9636</v>
      </c>
      <c r="AU2256" t="s">
        <v>9687</v>
      </c>
      <c r="AV2256" t="s">
        <v>4579</v>
      </c>
      <c r="AW2256" t="s">
        <v>11567</v>
      </c>
      <c r="AX2256" t="s">
        <v>11503</v>
      </c>
      <c r="AY2256" t="s">
        <v>11567</v>
      </c>
      <c r="AZ2256" t="s">
        <v>22336</v>
      </c>
      <c r="BA2256">
        <v>2.4</v>
      </c>
      <c r="BB2256">
        <v>149.09</v>
      </c>
      <c r="BC2256">
        <v>0.21</v>
      </c>
      <c r="BD2256">
        <v>6.48</v>
      </c>
      <c r="BE2256">
        <v>6.5</v>
      </c>
      <c r="BF2256">
        <v>6.43</v>
      </c>
      <c r="BG2256" t="s">
        <v>22337</v>
      </c>
      <c r="BH2256" t="s">
        <v>22338</v>
      </c>
      <c r="BI2256" t="s">
        <v>22336</v>
      </c>
      <c r="BJ2256" t="s">
        <v>101</v>
      </c>
      <c r="BK2256" t="s">
        <v>12322</v>
      </c>
      <c r="BL2256" t="s">
        <v>8158</v>
      </c>
      <c r="BM2256" t="s">
        <v>8345</v>
      </c>
      <c r="BN2256" t="s">
        <v>14623</v>
      </c>
    </row>
    <row r="2257" spans="1:66" x14ac:dyDescent="0.25">
      <c r="A2257" t="str">
        <f>HYPERLINK("https://elite.finviz.com/quote.ashx?t=TKNO&amp;ty=c&amp;p=d&amp;b=1", "TKNO")</f>
        <v>TKNO</v>
      </c>
      <c r="B2257">
        <v>6</v>
      </c>
      <c r="C2257">
        <v>127.03</v>
      </c>
      <c r="D2257">
        <v>70.06</v>
      </c>
      <c r="E2257" t="s">
        <v>22339</v>
      </c>
      <c r="F2257" t="s">
        <v>67</v>
      </c>
      <c r="G2257" t="s">
        <v>428</v>
      </c>
      <c r="H2257" t="s">
        <v>1296</v>
      </c>
      <c r="I2257" t="s">
        <v>70</v>
      </c>
      <c r="J2257" t="s">
        <v>321</v>
      </c>
      <c r="K2257">
        <v>306.10000000000002</v>
      </c>
      <c r="L2257">
        <v>5.72</v>
      </c>
      <c r="M2257" t="s">
        <v>2518</v>
      </c>
      <c r="N2257">
        <v>133252</v>
      </c>
      <c r="R2257">
        <v>7.86</v>
      </c>
      <c r="S2257">
        <v>4.0199999999999996</v>
      </c>
      <c r="AA2257">
        <v>-0.41</v>
      </c>
      <c r="AB2257" t="s">
        <v>8527</v>
      </c>
      <c r="AC2257" t="s">
        <v>22340</v>
      </c>
      <c r="AD2257" t="s">
        <v>5251</v>
      </c>
      <c r="AE2257" t="s">
        <v>7605</v>
      </c>
      <c r="AF2257" t="s">
        <v>6245</v>
      </c>
      <c r="AG2257" t="s">
        <v>945</v>
      </c>
      <c r="AH2257" t="s">
        <v>7010</v>
      </c>
      <c r="AI2257" t="s">
        <v>2242</v>
      </c>
      <c r="AJ2257" t="s">
        <v>7709</v>
      </c>
      <c r="AK2257" t="s">
        <v>3434</v>
      </c>
      <c r="AL2257">
        <v>5.87</v>
      </c>
      <c r="AM2257">
        <v>4.7</v>
      </c>
      <c r="AN2257">
        <v>0.38</v>
      </c>
      <c r="AO2257" t="s">
        <v>1876</v>
      </c>
      <c r="AP2257" t="s">
        <v>15273</v>
      </c>
      <c r="AQ2257" t="s">
        <v>6634</v>
      </c>
      <c r="AR2257" t="s">
        <v>6202</v>
      </c>
      <c r="AS2257" t="s">
        <v>1388</v>
      </c>
      <c r="AT2257" t="s">
        <v>5160</v>
      </c>
      <c r="AU2257" t="s">
        <v>21465</v>
      </c>
      <c r="AV2257" t="s">
        <v>16199</v>
      </c>
      <c r="AW2257" t="s">
        <v>411</v>
      </c>
      <c r="AX2257" t="s">
        <v>18519</v>
      </c>
      <c r="AY2257" t="s">
        <v>22341</v>
      </c>
      <c r="AZ2257" t="s">
        <v>18519</v>
      </c>
      <c r="BA2257">
        <v>1.67</v>
      </c>
      <c r="BB2257">
        <v>299.44</v>
      </c>
      <c r="BC2257">
        <v>1.57</v>
      </c>
      <c r="BD2257">
        <v>5.79</v>
      </c>
      <c r="BE2257">
        <v>5.97</v>
      </c>
      <c r="BF2257">
        <v>5.64</v>
      </c>
      <c r="BG2257" t="s">
        <v>22342</v>
      </c>
      <c r="BH2257" t="s">
        <v>22343</v>
      </c>
      <c r="BI2257" t="s">
        <v>22344</v>
      </c>
      <c r="BJ2257" t="s">
        <v>101</v>
      </c>
      <c r="BK2257" t="s">
        <v>3644</v>
      </c>
      <c r="BL2257" t="s">
        <v>6527</v>
      </c>
      <c r="BM2257" t="s">
        <v>3858</v>
      </c>
      <c r="BN2257" t="s">
        <v>14623</v>
      </c>
    </row>
    <row r="2258" spans="1:66" x14ac:dyDescent="0.25">
      <c r="A2258" t="str">
        <f>HYPERLINK("https://elite.finviz.com/quote.ashx?t=WFRD&amp;ty=c&amp;p=d&amp;b=1", "WFRD")</f>
        <v>WFRD</v>
      </c>
      <c r="B2258">
        <v>6</v>
      </c>
      <c r="C2258">
        <v>127.03</v>
      </c>
      <c r="D2258">
        <v>70.069999999999993</v>
      </c>
      <c r="E2258" t="s">
        <v>22345</v>
      </c>
      <c r="F2258" t="s">
        <v>107</v>
      </c>
      <c r="G2258" t="s">
        <v>1048</v>
      </c>
      <c r="H2258" t="s">
        <v>8341</v>
      </c>
      <c r="I2258" t="s">
        <v>70</v>
      </c>
      <c r="J2258" t="s">
        <v>321</v>
      </c>
      <c r="K2258">
        <v>4985.16</v>
      </c>
      <c r="L2258">
        <v>69.400000000000006</v>
      </c>
      <c r="M2258" t="s">
        <v>3118</v>
      </c>
      <c r="N2258">
        <v>155941</v>
      </c>
      <c r="O2258">
        <v>10.67</v>
      </c>
      <c r="P2258">
        <v>13.45</v>
      </c>
      <c r="R2258">
        <v>0.97</v>
      </c>
      <c r="S2258">
        <v>3.3</v>
      </c>
      <c r="T2258" t="s">
        <v>4881</v>
      </c>
      <c r="U2258">
        <v>1</v>
      </c>
      <c r="V2258" t="s">
        <v>2859</v>
      </c>
      <c r="Z2258" t="s">
        <v>12465</v>
      </c>
      <c r="AA2258">
        <v>6.5</v>
      </c>
      <c r="AC2258" t="s">
        <v>9914</v>
      </c>
      <c r="AD2258" t="s">
        <v>7598</v>
      </c>
      <c r="AE2258" t="s">
        <v>4417</v>
      </c>
      <c r="AF2258" t="s">
        <v>5307</v>
      </c>
      <c r="AG2258" t="s">
        <v>4902</v>
      </c>
      <c r="AH2258" t="s">
        <v>13401</v>
      </c>
      <c r="AI2258" t="s">
        <v>22346</v>
      </c>
      <c r="AJ2258" t="s">
        <v>2785</v>
      </c>
      <c r="AK2258" t="s">
        <v>22347</v>
      </c>
      <c r="AL2258">
        <v>2.21</v>
      </c>
      <c r="AM2258">
        <v>1.63</v>
      </c>
      <c r="AN2258">
        <v>1.1599999999999999</v>
      </c>
      <c r="AO2258" t="s">
        <v>7554</v>
      </c>
      <c r="AP2258" t="s">
        <v>10485</v>
      </c>
      <c r="AQ2258" t="s">
        <v>3189</v>
      </c>
      <c r="AR2258" t="s">
        <v>165</v>
      </c>
      <c r="AS2258" t="s">
        <v>3670</v>
      </c>
      <c r="AT2258" t="s">
        <v>1515</v>
      </c>
      <c r="AU2258" t="s">
        <v>7843</v>
      </c>
      <c r="AV2258" t="s">
        <v>14815</v>
      </c>
      <c r="AW2258" t="s">
        <v>2213</v>
      </c>
      <c r="AX2258" t="s">
        <v>16837</v>
      </c>
      <c r="AY2258" t="s">
        <v>22348</v>
      </c>
      <c r="AZ2258" t="s">
        <v>20316</v>
      </c>
      <c r="BA2258">
        <v>1.8</v>
      </c>
      <c r="BB2258">
        <v>966.41</v>
      </c>
      <c r="BC2258">
        <v>0.56999999999999995</v>
      </c>
      <c r="BD2258">
        <v>68.09</v>
      </c>
      <c r="BE2258">
        <v>70.28</v>
      </c>
      <c r="BF2258">
        <v>68.44</v>
      </c>
      <c r="BG2258" t="s">
        <v>22349</v>
      </c>
      <c r="BH2258" t="s">
        <v>400</v>
      </c>
      <c r="BI2258" t="s">
        <v>22350</v>
      </c>
      <c r="BJ2258" t="s">
        <v>101</v>
      </c>
      <c r="BK2258" t="s">
        <v>4219</v>
      </c>
      <c r="BL2258" t="s">
        <v>8030</v>
      </c>
      <c r="BM2258" t="s">
        <v>22351</v>
      </c>
      <c r="BN2258" t="s">
        <v>14623</v>
      </c>
    </row>
    <row r="2259" spans="1:66" x14ac:dyDescent="0.25">
      <c r="A2259" t="str">
        <f>HYPERLINK("https://elite.finviz.com/quote.ashx?t=SR&amp;ty=c&amp;p=d&amp;b=1", "SR")</f>
        <v>SR</v>
      </c>
      <c r="B2259">
        <v>6</v>
      </c>
      <c r="C2259">
        <v>127.03</v>
      </c>
      <c r="D2259">
        <v>70.13</v>
      </c>
      <c r="E2259" t="s">
        <v>22352</v>
      </c>
      <c r="F2259" t="s">
        <v>67</v>
      </c>
      <c r="G2259" t="s">
        <v>287</v>
      </c>
      <c r="H2259" t="s">
        <v>3541</v>
      </c>
      <c r="I2259" t="s">
        <v>70</v>
      </c>
      <c r="J2259" t="s">
        <v>71</v>
      </c>
      <c r="K2259">
        <v>4709.62</v>
      </c>
      <c r="L2259">
        <v>79.790000000000006</v>
      </c>
      <c r="M2259" t="s">
        <v>5745</v>
      </c>
      <c r="N2259">
        <v>117693</v>
      </c>
      <c r="O2259">
        <v>17.25</v>
      </c>
      <c r="P2259">
        <v>15.64</v>
      </c>
      <c r="Q2259">
        <v>1.74</v>
      </c>
      <c r="R2259">
        <v>1.93</v>
      </c>
      <c r="S2259">
        <v>1.45</v>
      </c>
      <c r="T2259" t="s">
        <v>1087</v>
      </c>
      <c r="U2259">
        <v>3.14</v>
      </c>
      <c r="V2259" t="s">
        <v>7788</v>
      </c>
      <c r="W2259" t="s">
        <v>2035</v>
      </c>
      <c r="X2259" t="s">
        <v>1063</v>
      </c>
      <c r="Y2259" t="s">
        <v>197</v>
      </c>
      <c r="Z2259" t="s">
        <v>4015</v>
      </c>
      <c r="AA2259">
        <v>4.63</v>
      </c>
      <c r="AB2259" t="s">
        <v>6354</v>
      </c>
      <c r="AC2259" t="s">
        <v>2822</v>
      </c>
      <c r="AD2259" t="s">
        <v>4728</v>
      </c>
      <c r="AE2259" t="s">
        <v>4122</v>
      </c>
      <c r="AF2259" t="s">
        <v>3887</v>
      </c>
      <c r="AG2259" t="s">
        <v>3733</v>
      </c>
      <c r="AH2259" t="s">
        <v>910</v>
      </c>
      <c r="AI2259" t="s">
        <v>1222</v>
      </c>
      <c r="AJ2259" t="s">
        <v>164</v>
      </c>
      <c r="AK2259" t="s">
        <v>22353</v>
      </c>
      <c r="AL2259">
        <v>0.37</v>
      </c>
      <c r="AM2259">
        <v>0.27</v>
      </c>
      <c r="AN2259">
        <v>1.41</v>
      </c>
      <c r="AO2259" t="s">
        <v>18179</v>
      </c>
      <c r="AP2259" t="s">
        <v>3453</v>
      </c>
      <c r="AQ2259" t="s">
        <v>1935</v>
      </c>
      <c r="AR2259" t="s">
        <v>1760</v>
      </c>
      <c r="AS2259" t="s">
        <v>2145</v>
      </c>
      <c r="AT2259" t="s">
        <v>2811</v>
      </c>
      <c r="AU2259" t="s">
        <v>372</v>
      </c>
      <c r="AV2259" t="s">
        <v>8155</v>
      </c>
      <c r="AW2259" t="s">
        <v>5036</v>
      </c>
      <c r="AX2259" t="s">
        <v>5127</v>
      </c>
      <c r="AY2259" t="s">
        <v>3598</v>
      </c>
      <c r="AZ2259" t="s">
        <v>10672</v>
      </c>
      <c r="BA2259">
        <v>2.29</v>
      </c>
      <c r="BB2259">
        <v>506.51</v>
      </c>
      <c r="BC2259">
        <v>0.82</v>
      </c>
      <c r="BD2259">
        <v>78.790000000000006</v>
      </c>
      <c r="BE2259">
        <v>80.5</v>
      </c>
      <c r="BF2259">
        <v>78.58</v>
      </c>
      <c r="BG2259" t="s">
        <v>22354</v>
      </c>
      <c r="BH2259" t="s">
        <v>11663</v>
      </c>
      <c r="BI2259" t="s">
        <v>22355</v>
      </c>
      <c r="BJ2259" t="s">
        <v>101</v>
      </c>
      <c r="BK2259" t="s">
        <v>369</v>
      </c>
      <c r="BL2259" t="s">
        <v>2383</v>
      </c>
      <c r="BM2259" t="s">
        <v>5540</v>
      </c>
      <c r="BN2259" t="s">
        <v>14623</v>
      </c>
    </row>
    <row r="2260" spans="1:66" x14ac:dyDescent="0.25">
      <c r="A2260" t="str">
        <f>HYPERLINK("https://elite.finviz.com/quote.ashx?t=PRIM&amp;ty=c&amp;p=d&amp;b=1", "PRIM")</f>
        <v>PRIM</v>
      </c>
      <c r="B2260">
        <v>6</v>
      </c>
      <c r="C2260">
        <v>127.03</v>
      </c>
      <c r="D2260">
        <v>70.22</v>
      </c>
      <c r="E2260" t="s">
        <v>22356</v>
      </c>
      <c r="F2260" t="s">
        <v>67</v>
      </c>
      <c r="G2260" t="s">
        <v>260</v>
      </c>
      <c r="H2260" t="s">
        <v>2944</v>
      </c>
      <c r="I2260" t="s">
        <v>70</v>
      </c>
      <c r="J2260" t="s">
        <v>71</v>
      </c>
      <c r="K2260">
        <v>7120.51</v>
      </c>
      <c r="L2260">
        <v>131.83000000000001</v>
      </c>
      <c r="M2260" t="s">
        <v>2449</v>
      </c>
      <c r="N2260">
        <v>120747</v>
      </c>
      <c r="O2260">
        <v>29.94</v>
      </c>
      <c r="P2260">
        <v>22.94</v>
      </c>
      <c r="Q2260">
        <v>1.48</v>
      </c>
      <c r="R2260">
        <v>1.03</v>
      </c>
      <c r="S2260">
        <v>4.6399999999999997</v>
      </c>
      <c r="T2260" t="s">
        <v>6182</v>
      </c>
      <c r="U2260">
        <v>0.3</v>
      </c>
      <c r="V2260" t="s">
        <v>198</v>
      </c>
      <c r="W2260" t="s">
        <v>5658</v>
      </c>
      <c r="X2260" t="s">
        <v>648</v>
      </c>
      <c r="Y2260" t="s">
        <v>6990</v>
      </c>
      <c r="Z2260" t="s">
        <v>10610</v>
      </c>
      <c r="AA2260">
        <v>4.4000000000000004</v>
      </c>
      <c r="AB2260" t="s">
        <v>3841</v>
      </c>
      <c r="AC2260" t="s">
        <v>7617</v>
      </c>
      <c r="AD2260" t="s">
        <v>12922</v>
      </c>
      <c r="AE2260" t="s">
        <v>4074</v>
      </c>
      <c r="AF2260" t="s">
        <v>16647</v>
      </c>
      <c r="AG2260" t="s">
        <v>310</v>
      </c>
      <c r="AH2260" t="s">
        <v>5894</v>
      </c>
      <c r="AI2260" t="s">
        <v>6642</v>
      </c>
      <c r="AJ2260" t="s">
        <v>14902</v>
      </c>
      <c r="AK2260" t="s">
        <v>17650</v>
      </c>
      <c r="AL2260">
        <v>1.22</v>
      </c>
      <c r="AM2260">
        <v>1.19</v>
      </c>
      <c r="AN2260">
        <v>0.7</v>
      </c>
      <c r="AO2260" t="s">
        <v>2661</v>
      </c>
      <c r="AP2260" t="s">
        <v>3057</v>
      </c>
      <c r="AQ2260" t="s">
        <v>903</v>
      </c>
      <c r="AR2260" t="s">
        <v>3244</v>
      </c>
      <c r="AS2260" t="s">
        <v>2662</v>
      </c>
      <c r="AT2260" t="s">
        <v>5847</v>
      </c>
      <c r="AU2260" t="s">
        <v>3710</v>
      </c>
      <c r="AV2260" t="s">
        <v>13979</v>
      </c>
      <c r="AW2260" t="s">
        <v>5245</v>
      </c>
      <c r="AX2260" t="s">
        <v>22357</v>
      </c>
      <c r="AY2260" t="s">
        <v>5245</v>
      </c>
      <c r="AZ2260" t="s">
        <v>22358</v>
      </c>
      <c r="BA2260">
        <v>1.2</v>
      </c>
      <c r="BB2260">
        <v>911.88</v>
      </c>
      <c r="BC2260">
        <v>0.47</v>
      </c>
      <c r="BD2260">
        <v>129.77000000000001</v>
      </c>
      <c r="BE2260">
        <v>132.69999999999999</v>
      </c>
      <c r="BF2260">
        <v>130.84</v>
      </c>
      <c r="BG2260" t="s">
        <v>22359</v>
      </c>
      <c r="BH2260" t="s">
        <v>5245</v>
      </c>
      <c r="BI2260" t="s">
        <v>22360</v>
      </c>
      <c r="BJ2260" t="s">
        <v>101</v>
      </c>
      <c r="BK2260" t="s">
        <v>7839</v>
      </c>
      <c r="BL2260" t="s">
        <v>22361</v>
      </c>
      <c r="BM2260" t="s">
        <v>22362</v>
      </c>
      <c r="BN2260" t="s">
        <v>14623</v>
      </c>
    </row>
    <row r="2261" spans="1:66" x14ac:dyDescent="0.25">
      <c r="A2261" t="str">
        <f>HYPERLINK("https://elite.finviz.com/quote.ashx?t=EFSI&amp;ty=c&amp;p=d&amp;b=1", "EFSI")</f>
        <v>EFSI</v>
      </c>
      <c r="B2261">
        <v>6</v>
      </c>
      <c r="C2261">
        <v>127.03</v>
      </c>
      <c r="D2261">
        <v>70.61</v>
      </c>
      <c r="E2261" t="s">
        <v>22363</v>
      </c>
      <c r="F2261" t="s">
        <v>67</v>
      </c>
      <c r="G2261" t="s">
        <v>550</v>
      </c>
      <c r="H2261" t="s">
        <v>697</v>
      </c>
      <c r="I2261" t="s">
        <v>70</v>
      </c>
      <c r="J2261" t="s">
        <v>321</v>
      </c>
      <c r="K2261">
        <v>211.02</v>
      </c>
      <c r="L2261">
        <v>39.25</v>
      </c>
      <c r="M2261" t="s">
        <v>1202</v>
      </c>
      <c r="N2261">
        <v>2741</v>
      </c>
      <c r="O2261">
        <v>18.16</v>
      </c>
      <c r="P2261">
        <v>10.23</v>
      </c>
      <c r="Q2261">
        <v>8.07</v>
      </c>
      <c r="R2261">
        <v>2.0699999999999998</v>
      </c>
      <c r="S2261">
        <v>1.17</v>
      </c>
      <c r="T2261" t="s">
        <v>4916</v>
      </c>
      <c r="U2261">
        <v>1.24</v>
      </c>
      <c r="V2261" t="s">
        <v>4827</v>
      </c>
      <c r="W2261" t="s">
        <v>2734</v>
      </c>
      <c r="X2261" t="s">
        <v>5187</v>
      </c>
      <c r="Y2261" t="s">
        <v>162</v>
      </c>
      <c r="Z2261" t="s">
        <v>14986</v>
      </c>
      <c r="AA2261">
        <v>2.16</v>
      </c>
      <c r="AB2261" t="s">
        <v>1110</v>
      </c>
      <c r="AC2261" t="s">
        <v>607</v>
      </c>
      <c r="AD2261" t="s">
        <v>8016</v>
      </c>
      <c r="AE2261" t="s">
        <v>6257</v>
      </c>
      <c r="AF2261" t="s">
        <v>9373</v>
      </c>
      <c r="AG2261" t="s">
        <v>7579</v>
      </c>
      <c r="AH2261" t="s">
        <v>10917</v>
      </c>
      <c r="AI2261" t="s">
        <v>6953</v>
      </c>
      <c r="AJ2261" t="s">
        <v>698</v>
      </c>
      <c r="AK2261" t="s">
        <v>21188</v>
      </c>
      <c r="AL2261">
        <v>0.34</v>
      </c>
      <c r="AN2261">
        <v>0.44</v>
      </c>
      <c r="AP2261" t="s">
        <v>3983</v>
      </c>
      <c r="AQ2261" t="s">
        <v>4114</v>
      </c>
      <c r="AR2261" t="s">
        <v>1303</v>
      </c>
      <c r="AS2261" t="s">
        <v>1760</v>
      </c>
      <c r="AT2261" t="s">
        <v>9130</v>
      </c>
      <c r="AU2261" t="s">
        <v>7232</v>
      </c>
      <c r="AV2261" t="s">
        <v>3103</v>
      </c>
      <c r="AW2261" t="s">
        <v>1119</v>
      </c>
      <c r="AX2261" t="s">
        <v>7295</v>
      </c>
      <c r="AY2261" t="s">
        <v>1119</v>
      </c>
      <c r="AZ2261" t="s">
        <v>13286</v>
      </c>
      <c r="BA2261">
        <v>1</v>
      </c>
      <c r="BB2261">
        <v>27.76</v>
      </c>
      <c r="BC2261">
        <v>0.35</v>
      </c>
      <c r="BD2261">
        <v>39.49</v>
      </c>
      <c r="BE2261">
        <v>39.72</v>
      </c>
      <c r="BF2261">
        <v>39.35</v>
      </c>
      <c r="BG2261" t="s">
        <v>22364</v>
      </c>
      <c r="BH2261" t="s">
        <v>6693</v>
      </c>
      <c r="BI2261" t="s">
        <v>22365</v>
      </c>
      <c r="BJ2261" t="s">
        <v>101</v>
      </c>
      <c r="BK2261" t="s">
        <v>4503</v>
      </c>
      <c r="BL2261" t="s">
        <v>1645</v>
      </c>
      <c r="BM2261" t="s">
        <v>758</v>
      </c>
      <c r="BN2261" t="s">
        <v>14623</v>
      </c>
    </row>
    <row r="2262" spans="1:66" x14ac:dyDescent="0.25">
      <c r="A2262" t="str">
        <f>HYPERLINK("https://elite.finviz.com/quote.ashx?t=MTZ&amp;ty=c&amp;p=d&amp;b=1", "MTZ")</f>
        <v>MTZ</v>
      </c>
      <c r="B2262">
        <v>6</v>
      </c>
      <c r="C2262">
        <v>127.03</v>
      </c>
      <c r="D2262">
        <v>70.67</v>
      </c>
      <c r="E2262" t="s">
        <v>22366</v>
      </c>
      <c r="F2262" t="s">
        <v>107</v>
      </c>
      <c r="G2262" t="s">
        <v>260</v>
      </c>
      <c r="H2262" t="s">
        <v>2944</v>
      </c>
      <c r="I2262" t="s">
        <v>70</v>
      </c>
      <c r="J2262" t="s">
        <v>71</v>
      </c>
      <c r="K2262">
        <v>16268.45</v>
      </c>
      <c r="L2262">
        <v>206.17</v>
      </c>
      <c r="M2262" t="s">
        <v>6117</v>
      </c>
      <c r="N2262">
        <v>85117</v>
      </c>
      <c r="O2262">
        <v>61.18</v>
      </c>
      <c r="P2262">
        <v>26.65</v>
      </c>
      <c r="Q2262">
        <v>1.89</v>
      </c>
      <c r="R2262">
        <v>1.25</v>
      </c>
      <c r="S2262">
        <v>5.52</v>
      </c>
      <c r="Z2262" t="s">
        <v>164</v>
      </c>
      <c r="AA2262">
        <v>3.37</v>
      </c>
      <c r="AB2262" t="s">
        <v>12212</v>
      </c>
      <c r="AC2262" t="s">
        <v>20993</v>
      </c>
      <c r="AD2262" t="s">
        <v>22249</v>
      </c>
      <c r="AE2262" t="s">
        <v>8054</v>
      </c>
      <c r="AF2262" t="s">
        <v>1552</v>
      </c>
      <c r="AG2262" t="s">
        <v>4903</v>
      </c>
      <c r="AH2262" t="s">
        <v>7804</v>
      </c>
      <c r="AI2262" t="s">
        <v>3115</v>
      </c>
      <c r="AJ2262" t="s">
        <v>4191</v>
      </c>
      <c r="AK2262" t="s">
        <v>22367</v>
      </c>
      <c r="AL2262">
        <v>1.22</v>
      </c>
      <c r="AM2262">
        <v>1.19</v>
      </c>
      <c r="AN2262">
        <v>0.91</v>
      </c>
      <c r="AO2262" t="s">
        <v>268</v>
      </c>
      <c r="AP2262" t="s">
        <v>316</v>
      </c>
      <c r="AQ2262" t="s">
        <v>5968</v>
      </c>
      <c r="AR2262" t="s">
        <v>2080</v>
      </c>
      <c r="AS2262" t="s">
        <v>1391</v>
      </c>
      <c r="AT2262" t="s">
        <v>417</v>
      </c>
      <c r="AU2262" t="s">
        <v>7510</v>
      </c>
      <c r="AV2262" t="s">
        <v>21759</v>
      </c>
      <c r="AW2262" t="s">
        <v>3027</v>
      </c>
      <c r="AX2262" t="s">
        <v>18805</v>
      </c>
      <c r="AY2262" t="s">
        <v>3027</v>
      </c>
      <c r="AZ2262" t="s">
        <v>22368</v>
      </c>
      <c r="BA2262">
        <v>1.41</v>
      </c>
      <c r="BB2262">
        <v>967.47</v>
      </c>
      <c r="BC2262">
        <v>0.31</v>
      </c>
      <c r="BD2262">
        <v>204.4</v>
      </c>
      <c r="BE2262">
        <v>208.04</v>
      </c>
      <c r="BF2262">
        <v>204.35</v>
      </c>
      <c r="BG2262" t="s">
        <v>22369</v>
      </c>
      <c r="BH2262" t="s">
        <v>3027</v>
      </c>
      <c r="BI2262" t="s">
        <v>22370</v>
      </c>
      <c r="BJ2262" t="s">
        <v>101</v>
      </c>
      <c r="BK2262" t="s">
        <v>9349</v>
      </c>
      <c r="BL2262" t="s">
        <v>22371</v>
      </c>
      <c r="BM2262" t="s">
        <v>4013</v>
      </c>
      <c r="BN2262" t="s">
        <v>14623</v>
      </c>
    </row>
    <row r="2263" spans="1:66" x14ac:dyDescent="0.25">
      <c r="A2263" t="str">
        <f>HYPERLINK("https://elite.finviz.com/quote.ashx?t=CRVS&amp;ty=c&amp;p=d&amp;b=1", "CRVS")</f>
        <v>CRVS</v>
      </c>
      <c r="B2263">
        <v>6</v>
      </c>
      <c r="C2263">
        <v>127.03</v>
      </c>
      <c r="D2263">
        <v>70.69</v>
      </c>
      <c r="E2263" t="s">
        <v>22372</v>
      </c>
      <c r="F2263" t="s">
        <v>67</v>
      </c>
      <c r="G2263" t="s">
        <v>428</v>
      </c>
      <c r="H2263" t="s">
        <v>429</v>
      </c>
      <c r="I2263" t="s">
        <v>70</v>
      </c>
      <c r="J2263" t="s">
        <v>321</v>
      </c>
      <c r="K2263">
        <v>508.19</v>
      </c>
      <c r="L2263">
        <v>6.82</v>
      </c>
      <c r="M2263" t="s">
        <v>4204</v>
      </c>
      <c r="N2263">
        <v>192683</v>
      </c>
      <c r="S2263">
        <v>6.33</v>
      </c>
      <c r="AA2263">
        <v>-1.02</v>
      </c>
      <c r="AB2263" t="s">
        <v>3226</v>
      </c>
      <c r="AC2263" t="s">
        <v>3455</v>
      </c>
      <c r="AD2263" t="s">
        <v>16280</v>
      </c>
      <c r="AI2263" t="s">
        <v>17740</v>
      </c>
      <c r="AJ2263" t="s">
        <v>13438</v>
      </c>
      <c r="AK2263" t="s">
        <v>839</v>
      </c>
      <c r="AL2263">
        <v>8.91</v>
      </c>
      <c r="AM2263">
        <v>8.91</v>
      </c>
      <c r="AN2263">
        <v>0.01</v>
      </c>
      <c r="AR2263" t="s">
        <v>6593</v>
      </c>
      <c r="AS2263" t="s">
        <v>7090</v>
      </c>
      <c r="AT2263" t="s">
        <v>7298</v>
      </c>
      <c r="AU2263" t="s">
        <v>21334</v>
      </c>
      <c r="AV2263" t="s">
        <v>6030</v>
      </c>
      <c r="AW2263" t="s">
        <v>862</v>
      </c>
      <c r="AX2263" t="s">
        <v>22373</v>
      </c>
      <c r="AY2263" t="s">
        <v>16043</v>
      </c>
      <c r="AZ2263" t="s">
        <v>20870</v>
      </c>
      <c r="BA2263">
        <v>1</v>
      </c>
      <c r="BB2263">
        <v>681.68</v>
      </c>
      <c r="BC2263">
        <v>1</v>
      </c>
      <c r="BD2263">
        <v>6.61</v>
      </c>
      <c r="BE2263">
        <v>6.82</v>
      </c>
      <c r="BF2263">
        <v>6.54</v>
      </c>
      <c r="BG2263" t="s">
        <v>22374</v>
      </c>
      <c r="BH2263" t="s">
        <v>8635</v>
      </c>
      <c r="BI2263" t="s">
        <v>22375</v>
      </c>
      <c r="BJ2263" t="s">
        <v>101</v>
      </c>
      <c r="BK2263" t="s">
        <v>22376</v>
      </c>
      <c r="BL2263" t="s">
        <v>22377</v>
      </c>
      <c r="BM2263" t="s">
        <v>15710</v>
      </c>
      <c r="BN2263" t="s">
        <v>14623</v>
      </c>
    </row>
    <row r="2264" spans="1:66" x14ac:dyDescent="0.25">
      <c r="A2264" t="str">
        <f>HYPERLINK("https://elite.finviz.com/quote.ashx?t=INSG&amp;ty=c&amp;p=d&amp;b=1", "INSG")</f>
        <v>INSG</v>
      </c>
      <c r="B2264">
        <v>6</v>
      </c>
      <c r="C2264">
        <v>127.03</v>
      </c>
      <c r="D2264">
        <v>70.739999999999995</v>
      </c>
      <c r="E2264" t="s">
        <v>22378</v>
      </c>
      <c r="F2264" t="s">
        <v>67</v>
      </c>
      <c r="G2264" t="s">
        <v>108</v>
      </c>
      <c r="H2264" t="s">
        <v>1921</v>
      </c>
      <c r="I2264" t="s">
        <v>70</v>
      </c>
      <c r="J2264" t="s">
        <v>321</v>
      </c>
      <c r="K2264">
        <v>210.67</v>
      </c>
      <c r="L2264">
        <v>14.01</v>
      </c>
      <c r="M2264" t="s">
        <v>7270</v>
      </c>
      <c r="N2264">
        <v>46198</v>
      </c>
      <c r="O2264">
        <v>42.67</v>
      </c>
      <c r="P2264">
        <v>19.18</v>
      </c>
      <c r="R2264">
        <v>1.21</v>
      </c>
      <c r="Z2264" t="s">
        <v>164</v>
      </c>
      <c r="AA2264">
        <v>0.33</v>
      </c>
      <c r="AE2264" t="s">
        <v>10475</v>
      </c>
      <c r="AF2264" t="s">
        <v>8921</v>
      </c>
      <c r="AG2264" t="s">
        <v>2968</v>
      </c>
      <c r="AH2264" t="s">
        <v>16713</v>
      </c>
      <c r="AI2264" t="s">
        <v>22379</v>
      </c>
      <c r="AJ2264" t="s">
        <v>1533</v>
      </c>
      <c r="AK2264" t="s">
        <v>22380</v>
      </c>
      <c r="AL2264">
        <v>1.21</v>
      </c>
      <c r="AM2264">
        <v>0.89</v>
      </c>
      <c r="AO2264" t="s">
        <v>725</v>
      </c>
      <c r="AP2264" t="s">
        <v>2273</v>
      </c>
      <c r="AQ2264" t="s">
        <v>8016</v>
      </c>
      <c r="AR2264" t="s">
        <v>3115</v>
      </c>
      <c r="AS2264" t="s">
        <v>2776</v>
      </c>
      <c r="AT2264" t="s">
        <v>2064</v>
      </c>
      <c r="AU2264" t="s">
        <v>643</v>
      </c>
      <c r="AV2264" t="s">
        <v>10572</v>
      </c>
      <c r="AW2264" t="s">
        <v>4540</v>
      </c>
      <c r="AX2264" t="s">
        <v>22381</v>
      </c>
      <c r="AY2264" t="s">
        <v>22382</v>
      </c>
      <c r="AZ2264" t="s">
        <v>22383</v>
      </c>
      <c r="BA2264">
        <v>2.33</v>
      </c>
      <c r="BB2264">
        <v>277.47000000000003</v>
      </c>
      <c r="BC2264">
        <v>0.59</v>
      </c>
      <c r="BD2264">
        <v>14.09</v>
      </c>
      <c r="BE2264">
        <v>14.42</v>
      </c>
      <c r="BF2264">
        <v>13.99</v>
      </c>
      <c r="BG2264" t="s">
        <v>22384</v>
      </c>
      <c r="BH2264" t="s">
        <v>22385</v>
      </c>
      <c r="BI2264" t="s">
        <v>22386</v>
      </c>
      <c r="BJ2264" t="s">
        <v>101</v>
      </c>
      <c r="BK2264" t="s">
        <v>5298</v>
      </c>
      <c r="BL2264" t="s">
        <v>4937</v>
      </c>
      <c r="BM2264" t="s">
        <v>2552</v>
      </c>
      <c r="BN2264" t="s">
        <v>14623</v>
      </c>
    </row>
    <row r="2265" spans="1:66" x14ac:dyDescent="0.25">
      <c r="A2265" t="str">
        <f>HYPERLINK("https://elite.finviz.com/quote.ashx?t=UI&amp;ty=c&amp;p=d&amp;b=1", "UI")</f>
        <v>UI</v>
      </c>
      <c r="B2265">
        <v>6</v>
      </c>
      <c r="C2265">
        <v>127.03</v>
      </c>
      <c r="D2265">
        <v>70.8</v>
      </c>
      <c r="E2265" t="s">
        <v>22387</v>
      </c>
      <c r="F2265" t="s">
        <v>107</v>
      </c>
      <c r="G2265" t="s">
        <v>108</v>
      </c>
      <c r="H2265" t="s">
        <v>1921</v>
      </c>
      <c r="I2265" t="s">
        <v>70</v>
      </c>
      <c r="J2265" t="s">
        <v>71</v>
      </c>
      <c r="K2265">
        <v>38919.32</v>
      </c>
      <c r="L2265">
        <v>643.30999999999995</v>
      </c>
      <c r="M2265" t="s">
        <v>2638</v>
      </c>
      <c r="N2265">
        <v>38031</v>
      </c>
      <c r="O2265">
        <v>54.7</v>
      </c>
      <c r="P2265">
        <v>53.79</v>
      </c>
      <c r="R2265">
        <v>15.12</v>
      </c>
      <c r="S2265">
        <v>58.23</v>
      </c>
      <c r="T2265" t="s">
        <v>2423</v>
      </c>
      <c r="U2265">
        <v>2.6</v>
      </c>
      <c r="V2265" t="s">
        <v>2187</v>
      </c>
      <c r="W2265" t="s">
        <v>164</v>
      </c>
      <c r="X2265" t="s">
        <v>164</v>
      </c>
      <c r="Y2265" t="s">
        <v>1561</v>
      </c>
      <c r="Z2265" t="s">
        <v>20980</v>
      </c>
      <c r="AA2265">
        <v>11.76</v>
      </c>
      <c r="AB2265" t="s">
        <v>15691</v>
      </c>
      <c r="AC2265" t="s">
        <v>5386</v>
      </c>
      <c r="AE2265" t="s">
        <v>3210</v>
      </c>
      <c r="AF2265" t="s">
        <v>2058</v>
      </c>
      <c r="AG2265" t="s">
        <v>5897</v>
      </c>
      <c r="AH2265" t="s">
        <v>10159</v>
      </c>
      <c r="AI2265" t="s">
        <v>8149</v>
      </c>
      <c r="AJ2265" t="s">
        <v>164</v>
      </c>
      <c r="AK2265" t="s">
        <v>2293</v>
      </c>
      <c r="AL2265">
        <v>1.65</v>
      </c>
      <c r="AM2265">
        <v>0.63</v>
      </c>
      <c r="AN2265">
        <v>0.45</v>
      </c>
      <c r="AO2265" t="s">
        <v>22388</v>
      </c>
      <c r="AP2265" t="s">
        <v>2558</v>
      </c>
      <c r="AQ2265" t="s">
        <v>11359</v>
      </c>
      <c r="AR2265" t="s">
        <v>2735</v>
      </c>
      <c r="AS2265" t="s">
        <v>7484</v>
      </c>
      <c r="AT2265" t="s">
        <v>8855</v>
      </c>
      <c r="AU2265" t="s">
        <v>6720</v>
      </c>
      <c r="AV2265" t="s">
        <v>9870</v>
      </c>
      <c r="AW2265" t="s">
        <v>708</v>
      </c>
      <c r="AX2265" t="s">
        <v>22389</v>
      </c>
      <c r="AY2265" t="s">
        <v>708</v>
      </c>
      <c r="AZ2265" t="s">
        <v>22390</v>
      </c>
      <c r="BA2265">
        <v>3.33</v>
      </c>
      <c r="BB2265">
        <v>158.33000000000001</v>
      </c>
      <c r="BC2265">
        <v>0.85</v>
      </c>
      <c r="BD2265">
        <v>643.96</v>
      </c>
      <c r="BE2265">
        <v>650.01</v>
      </c>
      <c r="BF2265">
        <v>639.36</v>
      </c>
      <c r="BG2265" t="s">
        <v>22391</v>
      </c>
      <c r="BH2265" t="s">
        <v>708</v>
      </c>
      <c r="BI2265" t="s">
        <v>22392</v>
      </c>
      <c r="BJ2265" t="s">
        <v>101</v>
      </c>
      <c r="BK2265" t="s">
        <v>10571</v>
      </c>
      <c r="BL2265" t="s">
        <v>12123</v>
      </c>
      <c r="BM2265" t="s">
        <v>22393</v>
      </c>
      <c r="BN2265" t="s">
        <v>14623</v>
      </c>
    </row>
    <row r="2266" spans="1:66" x14ac:dyDescent="0.25">
      <c r="A2266" t="str">
        <f>HYPERLINK("https://elite.finviz.com/quote.ashx?t=NSSC&amp;ty=c&amp;p=d&amp;b=1", "NSSC")</f>
        <v>NSSC</v>
      </c>
      <c r="B2266">
        <v>6</v>
      </c>
      <c r="C2266">
        <v>127.03</v>
      </c>
      <c r="D2266">
        <v>70.930000000000007</v>
      </c>
      <c r="E2266" t="s">
        <v>22394</v>
      </c>
      <c r="F2266" t="s">
        <v>67</v>
      </c>
      <c r="G2266" t="s">
        <v>260</v>
      </c>
      <c r="H2266" t="s">
        <v>4162</v>
      </c>
      <c r="I2266" t="s">
        <v>70</v>
      </c>
      <c r="J2266" t="s">
        <v>321</v>
      </c>
      <c r="K2266">
        <v>1532.87</v>
      </c>
      <c r="L2266">
        <v>42.99</v>
      </c>
      <c r="M2266" t="s">
        <v>2468</v>
      </c>
      <c r="N2266">
        <v>30266</v>
      </c>
      <c r="O2266">
        <v>36.130000000000003</v>
      </c>
      <c r="P2266">
        <v>29.01</v>
      </c>
      <c r="Q2266">
        <v>2.44</v>
      </c>
      <c r="R2266">
        <v>8.44</v>
      </c>
      <c r="S2266">
        <v>9.09</v>
      </c>
      <c r="T2266" t="s">
        <v>343</v>
      </c>
      <c r="U2266">
        <v>0.53</v>
      </c>
      <c r="V2266" t="s">
        <v>2620</v>
      </c>
      <c r="W2266" t="s">
        <v>11533</v>
      </c>
      <c r="Z2266" t="s">
        <v>10093</v>
      </c>
      <c r="AA2266">
        <v>1.19</v>
      </c>
      <c r="AB2266" t="s">
        <v>6957</v>
      </c>
      <c r="AC2266" t="s">
        <v>16601</v>
      </c>
      <c r="AD2266" t="s">
        <v>5307</v>
      </c>
      <c r="AE2266" t="s">
        <v>82</v>
      </c>
      <c r="AF2266" t="s">
        <v>6859</v>
      </c>
      <c r="AG2266" t="s">
        <v>3857</v>
      </c>
      <c r="AH2266" t="s">
        <v>3169</v>
      </c>
      <c r="AI2266" t="s">
        <v>10300</v>
      </c>
      <c r="AJ2266" t="s">
        <v>164</v>
      </c>
      <c r="AK2266" t="s">
        <v>14471</v>
      </c>
      <c r="AL2266">
        <v>6.75</v>
      </c>
      <c r="AM2266">
        <v>5.51</v>
      </c>
      <c r="AN2266">
        <v>0.03</v>
      </c>
      <c r="AO2266" t="s">
        <v>22395</v>
      </c>
      <c r="AP2266" t="s">
        <v>1371</v>
      </c>
      <c r="AQ2266" t="s">
        <v>4511</v>
      </c>
      <c r="AR2266" t="s">
        <v>2743</v>
      </c>
      <c r="AS2266" t="s">
        <v>4873</v>
      </c>
      <c r="AT2266" t="s">
        <v>162</v>
      </c>
      <c r="AU2266" t="s">
        <v>11870</v>
      </c>
      <c r="AV2266" t="s">
        <v>11131</v>
      </c>
      <c r="AW2266" t="s">
        <v>4653</v>
      </c>
      <c r="AX2266" t="s">
        <v>19133</v>
      </c>
      <c r="AY2266" t="s">
        <v>4653</v>
      </c>
      <c r="AZ2266" t="s">
        <v>22396</v>
      </c>
      <c r="BA2266">
        <v>1.33</v>
      </c>
      <c r="BB2266">
        <v>372.49</v>
      </c>
      <c r="BC2266">
        <v>0.28999999999999998</v>
      </c>
      <c r="BD2266">
        <v>43.08</v>
      </c>
      <c r="BE2266">
        <v>43.18</v>
      </c>
      <c r="BF2266">
        <v>42.75</v>
      </c>
      <c r="BG2266" t="s">
        <v>22397</v>
      </c>
      <c r="BH2266" t="s">
        <v>11769</v>
      </c>
      <c r="BI2266" t="s">
        <v>22398</v>
      </c>
      <c r="BJ2266" t="s">
        <v>101</v>
      </c>
      <c r="BK2266" t="s">
        <v>8612</v>
      </c>
      <c r="BL2266" t="s">
        <v>22399</v>
      </c>
      <c r="BM2266" t="s">
        <v>3170</v>
      </c>
      <c r="BN2266" t="s">
        <v>14623</v>
      </c>
    </row>
    <row r="2267" spans="1:66" x14ac:dyDescent="0.25">
      <c r="A2267" t="str">
        <f>HYPERLINK("https://elite.finviz.com/quote.ashx?t=AFG&amp;ty=c&amp;p=d&amp;b=1", "AFG")</f>
        <v>AFG</v>
      </c>
      <c r="B2267">
        <v>6</v>
      </c>
      <c r="C2267">
        <v>127.03</v>
      </c>
      <c r="D2267">
        <v>70.930000000000007</v>
      </c>
      <c r="E2267" t="s">
        <v>22400</v>
      </c>
      <c r="F2267" t="s">
        <v>107</v>
      </c>
      <c r="G2267" t="s">
        <v>550</v>
      </c>
      <c r="H2267" t="s">
        <v>4407</v>
      </c>
      <c r="I2267" t="s">
        <v>70</v>
      </c>
      <c r="J2267" t="s">
        <v>71</v>
      </c>
      <c r="K2267">
        <v>12101.38</v>
      </c>
      <c r="L2267">
        <v>145.11000000000001</v>
      </c>
      <c r="M2267" t="s">
        <v>1025</v>
      </c>
      <c r="N2267">
        <v>47306</v>
      </c>
      <c r="O2267">
        <v>15.92</v>
      </c>
      <c r="P2267">
        <v>12.54</v>
      </c>
      <c r="Q2267">
        <v>3.55</v>
      </c>
      <c r="R2267">
        <v>1.46</v>
      </c>
      <c r="S2267">
        <v>2.68</v>
      </c>
      <c r="T2267" t="s">
        <v>4104</v>
      </c>
      <c r="U2267">
        <v>3.15</v>
      </c>
      <c r="V2267" t="s">
        <v>7944</v>
      </c>
      <c r="W2267" t="s">
        <v>3751</v>
      </c>
      <c r="X2267" t="s">
        <v>3122</v>
      </c>
      <c r="Y2267" t="s">
        <v>239</v>
      </c>
      <c r="Z2267" t="s">
        <v>19832</v>
      </c>
      <c r="AA2267">
        <v>9.11</v>
      </c>
      <c r="AB2267" t="s">
        <v>9592</v>
      </c>
      <c r="AC2267" t="s">
        <v>2554</v>
      </c>
      <c r="AD2267" t="s">
        <v>6378</v>
      </c>
      <c r="AE2267" t="s">
        <v>2522</v>
      </c>
      <c r="AF2267" t="s">
        <v>1064</v>
      </c>
      <c r="AG2267" t="s">
        <v>4801</v>
      </c>
      <c r="AH2267" t="s">
        <v>180</v>
      </c>
      <c r="AI2267" t="s">
        <v>4976</v>
      </c>
      <c r="AJ2267" t="s">
        <v>6192</v>
      </c>
      <c r="AK2267" t="s">
        <v>22401</v>
      </c>
      <c r="AL2267">
        <v>0.47</v>
      </c>
      <c r="AN2267">
        <v>0.37</v>
      </c>
      <c r="AP2267" t="s">
        <v>3243</v>
      </c>
      <c r="AQ2267" t="s">
        <v>268</v>
      </c>
      <c r="AR2267" t="s">
        <v>6336</v>
      </c>
      <c r="AS2267" t="s">
        <v>2217</v>
      </c>
      <c r="AT2267" t="s">
        <v>9130</v>
      </c>
      <c r="AU2267" t="s">
        <v>863</v>
      </c>
      <c r="AV2267" t="s">
        <v>920</v>
      </c>
      <c r="AW2267" t="s">
        <v>2203</v>
      </c>
      <c r="AX2267" t="s">
        <v>6595</v>
      </c>
      <c r="AY2267" t="s">
        <v>9618</v>
      </c>
      <c r="AZ2267" t="s">
        <v>8377</v>
      </c>
      <c r="BA2267">
        <v>2.88</v>
      </c>
      <c r="BB2267">
        <v>487.73</v>
      </c>
      <c r="BC2267">
        <v>0.34</v>
      </c>
      <c r="BD2267">
        <v>143.13999999999999</v>
      </c>
      <c r="BE2267">
        <v>145.62</v>
      </c>
      <c r="BF2267">
        <v>144.54</v>
      </c>
      <c r="BG2267" t="s">
        <v>22402</v>
      </c>
      <c r="BH2267" t="s">
        <v>9618</v>
      </c>
      <c r="BI2267" t="s">
        <v>22403</v>
      </c>
      <c r="BJ2267" t="s">
        <v>101</v>
      </c>
      <c r="BK2267" t="s">
        <v>6415</v>
      </c>
      <c r="BL2267" t="s">
        <v>7116</v>
      </c>
      <c r="BM2267" t="s">
        <v>5318</v>
      </c>
      <c r="BN2267" t="s">
        <v>14623</v>
      </c>
    </row>
    <row r="2268" spans="1:66" x14ac:dyDescent="0.25">
      <c r="A2268" t="str">
        <f>HYPERLINK("https://elite.finviz.com/quote.ashx?t=LOPE&amp;ty=c&amp;p=d&amp;b=1", "LOPE")</f>
        <v>LOPE</v>
      </c>
      <c r="B2268">
        <v>6</v>
      </c>
      <c r="C2268">
        <v>127.03</v>
      </c>
      <c r="D2268">
        <v>71</v>
      </c>
      <c r="E2268" t="s">
        <v>22404</v>
      </c>
      <c r="F2268" t="s">
        <v>107</v>
      </c>
      <c r="G2268" t="s">
        <v>2244</v>
      </c>
      <c r="H2268" t="s">
        <v>2483</v>
      </c>
      <c r="I2268" t="s">
        <v>70</v>
      </c>
      <c r="J2268" t="s">
        <v>321</v>
      </c>
      <c r="K2268">
        <v>6045.49</v>
      </c>
      <c r="L2268">
        <v>215.24</v>
      </c>
      <c r="M2268" t="s">
        <v>3112</v>
      </c>
      <c r="N2268">
        <v>26126</v>
      </c>
      <c r="O2268">
        <v>26.09</v>
      </c>
      <c r="P2268">
        <v>21.53</v>
      </c>
      <c r="R2268">
        <v>5.66</v>
      </c>
      <c r="S2268">
        <v>7.81</v>
      </c>
      <c r="Z2268" t="s">
        <v>164</v>
      </c>
      <c r="AA2268">
        <v>8.25</v>
      </c>
      <c r="AB2268" t="s">
        <v>2886</v>
      </c>
      <c r="AC2268" t="s">
        <v>2796</v>
      </c>
      <c r="AE2268" t="s">
        <v>8125</v>
      </c>
      <c r="AF2268" t="s">
        <v>5969</v>
      </c>
      <c r="AG2268" t="s">
        <v>12712</v>
      </c>
      <c r="AH2268" t="s">
        <v>7781</v>
      </c>
      <c r="AI2268" t="s">
        <v>2656</v>
      </c>
      <c r="AJ2268" t="s">
        <v>1547</v>
      </c>
      <c r="AK2268" t="s">
        <v>14039</v>
      </c>
      <c r="AL2268">
        <v>3.55</v>
      </c>
      <c r="AM2268">
        <v>3.55</v>
      </c>
      <c r="AN2268">
        <v>0.14000000000000001</v>
      </c>
      <c r="AO2268" t="s">
        <v>17489</v>
      </c>
      <c r="AP2268" t="s">
        <v>16431</v>
      </c>
      <c r="AQ2268" t="s">
        <v>6022</v>
      </c>
      <c r="AR2268" t="s">
        <v>7423</v>
      </c>
      <c r="AS2268" t="s">
        <v>3916</v>
      </c>
      <c r="AT2268" t="s">
        <v>4093</v>
      </c>
      <c r="AU2268" t="s">
        <v>2376</v>
      </c>
      <c r="AV2268" t="s">
        <v>9460</v>
      </c>
      <c r="AW2268" t="s">
        <v>698</v>
      </c>
      <c r="AX2268" t="s">
        <v>2797</v>
      </c>
      <c r="AY2268" t="s">
        <v>698</v>
      </c>
      <c r="AZ2268" t="s">
        <v>13341</v>
      </c>
      <c r="BA2268">
        <v>1.33</v>
      </c>
      <c r="BB2268">
        <v>253.52</v>
      </c>
      <c r="BC2268">
        <v>0.36</v>
      </c>
      <c r="BD2268">
        <v>214.3</v>
      </c>
      <c r="BE2268">
        <v>215.26</v>
      </c>
      <c r="BF2268">
        <v>213.81</v>
      </c>
      <c r="BG2268" t="s">
        <v>22405</v>
      </c>
      <c r="BH2268" t="s">
        <v>698</v>
      </c>
      <c r="BI2268" t="s">
        <v>22406</v>
      </c>
      <c r="BJ2268" t="s">
        <v>101</v>
      </c>
      <c r="BK2268" t="s">
        <v>95</v>
      </c>
      <c r="BL2268" t="s">
        <v>6974</v>
      </c>
      <c r="BM2268" t="s">
        <v>18677</v>
      </c>
      <c r="BN2268" t="s">
        <v>14623</v>
      </c>
    </row>
    <row r="2269" spans="1:66" x14ac:dyDescent="0.25">
      <c r="A2269" t="str">
        <f>HYPERLINK("https://elite.finviz.com/quote.ashx?t=RDNW&amp;ty=c&amp;p=d&amp;b=1", "RDNW")</f>
        <v>RDNW</v>
      </c>
      <c r="B2269">
        <v>6</v>
      </c>
      <c r="C2269">
        <v>127.03</v>
      </c>
      <c r="D2269">
        <v>71.05</v>
      </c>
      <c r="E2269" t="s">
        <v>22407</v>
      </c>
      <c r="F2269" t="s">
        <v>107</v>
      </c>
      <c r="G2269" t="s">
        <v>813</v>
      </c>
      <c r="H2269" t="s">
        <v>5888</v>
      </c>
      <c r="I2269" t="s">
        <v>70</v>
      </c>
      <c r="J2269" t="s">
        <v>321</v>
      </c>
      <c r="K2269">
        <v>175.04</v>
      </c>
      <c r="L2269">
        <v>4.5999999999999996</v>
      </c>
      <c r="M2269" t="s">
        <v>5693</v>
      </c>
      <c r="N2269">
        <v>8187</v>
      </c>
      <c r="R2269">
        <v>0.16</v>
      </c>
      <c r="AA2269">
        <v>-3</v>
      </c>
      <c r="AB2269" t="s">
        <v>21505</v>
      </c>
      <c r="AC2269" t="s">
        <v>22408</v>
      </c>
      <c r="AD2269" t="s">
        <v>3382</v>
      </c>
      <c r="AE2269" t="s">
        <v>15010</v>
      </c>
      <c r="AF2269" t="s">
        <v>1468</v>
      </c>
      <c r="AG2269" t="s">
        <v>1495</v>
      </c>
      <c r="AH2269" t="s">
        <v>16522</v>
      </c>
      <c r="AI2269" t="s">
        <v>22409</v>
      </c>
      <c r="AJ2269" t="s">
        <v>164</v>
      </c>
      <c r="AK2269" t="s">
        <v>5961</v>
      </c>
      <c r="AL2269">
        <v>1.1599999999999999</v>
      </c>
      <c r="AM2269">
        <v>0.28999999999999998</v>
      </c>
      <c r="AO2269" t="s">
        <v>10467</v>
      </c>
      <c r="AP2269" t="s">
        <v>4276</v>
      </c>
      <c r="AQ2269" t="s">
        <v>13982</v>
      </c>
      <c r="AR2269" t="s">
        <v>2066</v>
      </c>
      <c r="AS2269" t="s">
        <v>274</v>
      </c>
      <c r="AT2269" t="s">
        <v>10247</v>
      </c>
      <c r="AU2269" t="s">
        <v>20739</v>
      </c>
      <c r="AV2269" t="s">
        <v>11888</v>
      </c>
      <c r="AW2269" t="s">
        <v>4155</v>
      </c>
      <c r="AX2269" t="s">
        <v>22410</v>
      </c>
      <c r="AY2269" t="s">
        <v>22411</v>
      </c>
      <c r="AZ2269" t="s">
        <v>22412</v>
      </c>
      <c r="BA2269">
        <v>2.33</v>
      </c>
      <c r="BB2269">
        <v>744.79</v>
      </c>
      <c r="BC2269">
        <v>0.04</v>
      </c>
      <c r="BD2269">
        <v>4.6399999999999997</v>
      </c>
      <c r="BE2269">
        <v>4.7</v>
      </c>
      <c r="BF2269">
        <v>4.57</v>
      </c>
      <c r="BG2269" t="s">
        <v>22413</v>
      </c>
      <c r="BH2269" t="s">
        <v>22414</v>
      </c>
      <c r="BI2269" t="s">
        <v>22412</v>
      </c>
      <c r="BJ2269" t="s">
        <v>101</v>
      </c>
      <c r="BK2269" t="s">
        <v>3808</v>
      </c>
      <c r="BL2269" t="s">
        <v>8197</v>
      </c>
      <c r="BM2269" t="s">
        <v>1026</v>
      </c>
      <c r="BN2269" t="s">
        <v>14623</v>
      </c>
    </row>
    <row r="2270" spans="1:66" x14ac:dyDescent="0.25">
      <c r="A2270" t="str">
        <f>HYPERLINK("https://elite.finviz.com/quote.ashx?t=RYAM&amp;ty=c&amp;p=d&amp;b=1", "RYAM")</f>
        <v>RYAM</v>
      </c>
      <c r="B2270">
        <v>6</v>
      </c>
      <c r="C2270">
        <v>127.03</v>
      </c>
      <c r="D2270">
        <v>71.06</v>
      </c>
      <c r="E2270" t="s">
        <v>22415</v>
      </c>
      <c r="F2270" t="s">
        <v>67</v>
      </c>
      <c r="G2270" t="s">
        <v>355</v>
      </c>
      <c r="H2270" t="s">
        <v>5130</v>
      </c>
      <c r="I2270" t="s">
        <v>70</v>
      </c>
      <c r="J2270" t="s">
        <v>71</v>
      </c>
      <c r="K2270">
        <v>457.98</v>
      </c>
      <c r="L2270">
        <v>6.84</v>
      </c>
      <c r="M2270" t="s">
        <v>3019</v>
      </c>
      <c r="N2270">
        <v>260085</v>
      </c>
      <c r="P2270">
        <v>21.14</v>
      </c>
      <c r="R2270">
        <v>0.3</v>
      </c>
      <c r="S2270">
        <v>1.34</v>
      </c>
      <c r="V2270" t="s">
        <v>22416</v>
      </c>
      <c r="AA2270">
        <v>-6.65</v>
      </c>
      <c r="AC2270" t="s">
        <v>3835</v>
      </c>
      <c r="AE2270" t="s">
        <v>309</v>
      </c>
      <c r="AF2270" t="s">
        <v>754</v>
      </c>
      <c r="AG2270" t="s">
        <v>123</v>
      </c>
      <c r="AH2270" t="s">
        <v>17709</v>
      </c>
      <c r="AI2270" t="s">
        <v>22417</v>
      </c>
      <c r="AJ2270" t="s">
        <v>1050</v>
      </c>
      <c r="AK2270" t="s">
        <v>22418</v>
      </c>
      <c r="AL2270">
        <v>1.45</v>
      </c>
      <c r="AM2270">
        <v>0.83</v>
      </c>
      <c r="AN2270">
        <v>2.27</v>
      </c>
      <c r="AO2270" t="s">
        <v>3664</v>
      </c>
      <c r="AP2270" t="s">
        <v>2195</v>
      </c>
      <c r="AQ2270" t="s">
        <v>2547</v>
      </c>
      <c r="AR2270" t="s">
        <v>215</v>
      </c>
      <c r="AS2270" t="s">
        <v>3119</v>
      </c>
      <c r="AT2270" t="s">
        <v>3121</v>
      </c>
      <c r="AU2270" t="s">
        <v>2434</v>
      </c>
      <c r="AV2270" t="s">
        <v>14949</v>
      </c>
      <c r="AW2270" t="s">
        <v>15635</v>
      </c>
      <c r="AX2270" t="s">
        <v>22419</v>
      </c>
      <c r="AY2270" t="s">
        <v>6695</v>
      </c>
      <c r="AZ2270" t="s">
        <v>22419</v>
      </c>
      <c r="BA2270">
        <v>1</v>
      </c>
      <c r="BB2270">
        <v>664.22</v>
      </c>
      <c r="BC2270">
        <v>1.38</v>
      </c>
      <c r="BD2270">
        <v>6.74</v>
      </c>
      <c r="BE2270">
        <v>6.85</v>
      </c>
      <c r="BF2270">
        <v>6.64</v>
      </c>
      <c r="BG2270" t="s">
        <v>22420</v>
      </c>
      <c r="BH2270" t="s">
        <v>22421</v>
      </c>
      <c r="BI2270" t="s">
        <v>22422</v>
      </c>
      <c r="BJ2270" t="s">
        <v>101</v>
      </c>
      <c r="BK2270" t="s">
        <v>22423</v>
      </c>
      <c r="BL2270" t="s">
        <v>12156</v>
      </c>
      <c r="BM2270" t="s">
        <v>7205</v>
      </c>
      <c r="BN2270" t="s">
        <v>14623</v>
      </c>
    </row>
    <row r="2271" spans="1:66" x14ac:dyDescent="0.25">
      <c r="A2271" t="str">
        <f>HYPERLINK("https://elite.finviz.com/quote.ashx?t=GPCR&amp;ty=c&amp;p=d&amp;b=1", "GPCR")</f>
        <v>GPCR</v>
      </c>
      <c r="B2271">
        <v>6</v>
      </c>
      <c r="C2271">
        <v>127.03</v>
      </c>
      <c r="D2271">
        <v>71.209999999999994</v>
      </c>
      <c r="E2271" t="s">
        <v>22424</v>
      </c>
      <c r="F2271" t="s">
        <v>107</v>
      </c>
      <c r="G2271" t="s">
        <v>428</v>
      </c>
      <c r="H2271" t="s">
        <v>429</v>
      </c>
      <c r="I2271" t="s">
        <v>70</v>
      </c>
      <c r="J2271" t="s">
        <v>321</v>
      </c>
      <c r="K2271">
        <v>1483.08</v>
      </c>
      <c r="L2271">
        <v>25.76</v>
      </c>
      <c r="M2271" t="s">
        <v>3638</v>
      </c>
      <c r="N2271">
        <v>124618</v>
      </c>
      <c r="S2271">
        <v>1.92</v>
      </c>
      <c r="AA2271">
        <v>-3.13</v>
      </c>
      <c r="AB2271" t="s">
        <v>5720</v>
      </c>
      <c r="AC2271" t="s">
        <v>22425</v>
      </c>
      <c r="AI2271" t="s">
        <v>22426</v>
      </c>
      <c r="AJ2271" t="s">
        <v>164</v>
      </c>
      <c r="AK2271" t="s">
        <v>17362</v>
      </c>
      <c r="AL2271">
        <v>20.48</v>
      </c>
      <c r="AM2271">
        <v>20.48</v>
      </c>
      <c r="AN2271">
        <v>0.01</v>
      </c>
      <c r="AR2271" t="s">
        <v>1496</v>
      </c>
      <c r="AS2271" t="s">
        <v>6684</v>
      </c>
      <c r="AT2271" t="s">
        <v>4601</v>
      </c>
      <c r="AU2271" t="s">
        <v>5348</v>
      </c>
      <c r="AV2271" t="s">
        <v>9614</v>
      </c>
      <c r="AW2271" t="s">
        <v>5424</v>
      </c>
      <c r="AX2271" t="s">
        <v>16192</v>
      </c>
      <c r="AY2271" t="s">
        <v>22427</v>
      </c>
      <c r="AZ2271" t="s">
        <v>22428</v>
      </c>
      <c r="BA2271">
        <v>1</v>
      </c>
      <c r="BB2271">
        <v>933.93</v>
      </c>
      <c r="BC2271">
        <v>0.47</v>
      </c>
      <c r="BD2271">
        <v>24.99</v>
      </c>
      <c r="BE2271">
        <v>25.83</v>
      </c>
      <c r="BF2271">
        <v>24.85</v>
      </c>
      <c r="BG2271" t="s">
        <v>22429</v>
      </c>
      <c r="BH2271" t="s">
        <v>8700</v>
      </c>
      <c r="BI2271" t="s">
        <v>22428</v>
      </c>
      <c r="BJ2271" t="s">
        <v>101</v>
      </c>
      <c r="BK2271" t="s">
        <v>9501</v>
      </c>
      <c r="BL2271" t="s">
        <v>7514</v>
      </c>
      <c r="BM2271" t="s">
        <v>9759</v>
      </c>
      <c r="BN2271" t="s">
        <v>14623</v>
      </c>
    </row>
    <row r="2272" spans="1:66" x14ac:dyDescent="0.25">
      <c r="A2272" t="str">
        <f>HYPERLINK("https://elite.finviz.com/quote.ashx?t=NFG&amp;ty=c&amp;p=d&amp;b=1", "NFG")</f>
        <v>NFG</v>
      </c>
      <c r="B2272">
        <v>6</v>
      </c>
      <c r="C2272">
        <v>127.03</v>
      </c>
      <c r="D2272">
        <v>71.27</v>
      </c>
      <c r="E2272" t="s">
        <v>22430</v>
      </c>
      <c r="F2272" t="s">
        <v>107</v>
      </c>
      <c r="G2272" t="s">
        <v>1048</v>
      </c>
      <c r="H2272" t="s">
        <v>10235</v>
      </c>
      <c r="I2272" t="s">
        <v>70</v>
      </c>
      <c r="J2272" t="s">
        <v>71</v>
      </c>
      <c r="K2272">
        <v>8401.32</v>
      </c>
      <c r="L2272">
        <v>92.97</v>
      </c>
      <c r="M2272" t="s">
        <v>914</v>
      </c>
      <c r="N2272">
        <v>64120</v>
      </c>
      <c r="O2272">
        <v>34.79</v>
      </c>
      <c r="P2272">
        <v>10.77</v>
      </c>
      <c r="Q2272">
        <v>1.51</v>
      </c>
      <c r="R2272">
        <v>4</v>
      </c>
      <c r="S2272">
        <v>2.82</v>
      </c>
      <c r="T2272" t="s">
        <v>8016</v>
      </c>
      <c r="U2272">
        <v>2.08</v>
      </c>
      <c r="V2272" t="s">
        <v>198</v>
      </c>
      <c r="W2272" t="s">
        <v>2170</v>
      </c>
      <c r="X2272" t="s">
        <v>4395</v>
      </c>
      <c r="Y2272" t="s">
        <v>2317</v>
      </c>
      <c r="Z2272" t="s">
        <v>22431</v>
      </c>
      <c r="AA2272">
        <v>2.67</v>
      </c>
      <c r="AB2272" t="s">
        <v>22432</v>
      </c>
      <c r="AC2272" t="s">
        <v>15200</v>
      </c>
      <c r="AD2272" t="s">
        <v>4799</v>
      </c>
      <c r="AE2272" t="s">
        <v>2713</v>
      </c>
      <c r="AF2272" t="s">
        <v>6533</v>
      </c>
      <c r="AG2272" t="s">
        <v>1765</v>
      </c>
      <c r="AH2272" t="s">
        <v>22433</v>
      </c>
      <c r="AI2272" t="s">
        <v>1114</v>
      </c>
      <c r="AJ2272" t="s">
        <v>164</v>
      </c>
      <c r="AK2272" t="s">
        <v>2835</v>
      </c>
      <c r="AL2272">
        <v>0.46</v>
      </c>
      <c r="AM2272">
        <v>0.38</v>
      </c>
      <c r="AN2272">
        <v>0.92</v>
      </c>
      <c r="AO2272" t="s">
        <v>22434</v>
      </c>
      <c r="AP2272" t="s">
        <v>7887</v>
      </c>
      <c r="AQ2272" t="s">
        <v>5446</v>
      </c>
      <c r="AR2272" t="s">
        <v>7322</v>
      </c>
      <c r="AS2272" t="s">
        <v>7423</v>
      </c>
      <c r="AT2272" t="s">
        <v>7685</v>
      </c>
      <c r="AU2272" t="s">
        <v>2839</v>
      </c>
      <c r="AV2272" t="s">
        <v>731</v>
      </c>
      <c r="AW2272" t="s">
        <v>2007</v>
      </c>
      <c r="AX2272" t="s">
        <v>3212</v>
      </c>
      <c r="AY2272" t="s">
        <v>2007</v>
      </c>
      <c r="AZ2272" t="s">
        <v>11361</v>
      </c>
      <c r="BA2272">
        <v>2.14</v>
      </c>
      <c r="BB2272">
        <v>612.94000000000005</v>
      </c>
      <c r="BC2272">
        <v>0.37</v>
      </c>
      <c r="BD2272">
        <v>92.56</v>
      </c>
      <c r="BE2272">
        <v>93.6</v>
      </c>
      <c r="BF2272">
        <v>92.6</v>
      </c>
      <c r="BG2272" t="s">
        <v>22435</v>
      </c>
      <c r="BH2272" t="s">
        <v>2007</v>
      </c>
      <c r="BI2272" t="s">
        <v>22436</v>
      </c>
      <c r="BJ2272" t="s">
        <v>101</v>
      </c>
      <c r="BK2272" t="s">
        <v>10114</v>
      </c>
      <c r="BL2272" t="s">
        <v>301</v>
      </c>
      <c r="BM2272" t="s">
        <v>5834</v>
      </c>
      <c r="BN2272" t="s">
        <v>14623</v>
      </c>
    </row>
    <row r="2273" spans="1:66" x14ac:dyDescent="0.25">
      <c r="A2273" t="str">
        <f>HYPERLINK("https://elite.finviz.com/quote.ashx?t=MCY&amp;ty=c&amp;p=d&amp;b=1", "MCY")</f>
        <v>MCY</v>
      </c>
      <c r="B2273">
        <v>6</v>
      </c>
      <c r="C2273">
        <v>127.03</v>
      </c>
      <c r="D2273">
        <v>71.349999999999994</v>
      </c>
      <c r="E2273" t="s">
        <v>22437</v>
      </c>
      <c r="F2273" t="s">
        <v>67</v>
      </c>
      <c r="G2273" t="s">
        <v>550</v>
      </c>
      <c r="H2273" t="s">
        <v>4407</v>
      </c>
      <c r="I2273" t="s">
        <v>70</v>
      </c>
      <c r="J2273" t="s">
        <v>71</v>
      </c>
      <c r="K2273">
        <v>4561.8100000000004</v>
      </c>
      <c r="L2273">
        <v>82.36</v>
      </c>
      <c r="M2273" t="s">
        <v>4865</v>
      </c>
      <c r="N2273">
        <v>18589</v>
      </c>
      <c r="O2273">
        <v>11.69</v>
      </c>
      <c r="P2273">
        <v>11.85</v>
      </c>
      <c r="R2273">
        <v>0.79</v>
      </c>
      <c r="S2273">
        <v>2.3199999999999998</v>
      </c>
      <c r="T2273" t="s">
        <v>2572</v>
      </c>
      <c r="U2273">
        <v>1.27</v>
      </c>
      <c r="V2273" t="s">
        <v>7788</v>
      </c>
      <c r="W2273" t="s">
        <v>164</v>
      </c>
      <c r="X2273" t="s">
        <v>9677</v>
      </c>
      <c r="Y2273" t="s">
        <v>4363</v>
      </c>
      <c r="Z2273" t="s">
        <v>2289</v>
      </c>
      <c r="AA2273">
        <v>7.04</v>
      </c>
      <c r="AB2273" t="s">
        <v>3926</v>
      </c>
      <c r="AC2273" t="s">
        <v>265</v>
      </c>
      <c r="AD2273" t="s">
        <v>1938</v>
      </c>
      <c r="AE2273" t="s">
        <v>3180</v>
      </c>
      <c r="AF2273" t="s">
        <v>1935</v>
      </c>
      <c r="AG2273" t="s">
        <v>7935</v>
      </c>
      <c r="AH2273" t="s">
        <v>8181</v>
      </c>
      <c r="AI2273" t="s">
        <v>22438</v>
      </c>
      <c r="AJ2273" t="s">
        <v>4507</v>
      </c>
      <c r="AK2273" t="s">
        <v>7286</v>
      </c>
      <c r="AL2273">
        <v>0.71</v>
      </c>
      <c r="AN2273">
        <v>0.3</v>
      </c>
      <c r="AP2273" t="s">
        <v>607</v>
      </c>
      <c r="AQ2273" t="s">
        <v>4966</v>
      </c>
      <c r="AR2273" t="s">
        <v>617</v>
      </c>
      <c r="AS2273" t="s">
        <v>617</v>
      </c>
      <c r="AT2273" t="s">
        <v>2170</v>
      </c>
      <c r="AU2273" t="s">
        <v>2499</v>
      </c>
      <c r="AV2273" t="s">
        <v>4319</v>
      </c>
      <c r="AW2273" t="s">
        <v>3027</v>
      </c>
      <c r="AX2273" t="s">
        <v>2465</v>
      </c>
      <c r="AY2273" t="s">
        <v>3027</v>
      </c>
      <c r="AZ2273" t="s">
        <v>10509</v>
      </c>
      <c r="BA2273">
        <v>2</v>
      </c>
      <c r="BB2273">
        <v>261.88</v>
      </c>
      <c r="BC2273">
        <v>0.25</v>
      </c>
      <c r="BD2273">
        <v>81.78</v>
      </c>
      <c r="BE2273">
        <v>82.84</v>
      </c>
      <c r="BF2273">
        <v>81.95</v>
      </c>
      <c r="BG2273" t="s">
        <v>22439</v>
      </c>
      <c r="BH2273" t="s">
        <v>3027</v>
      </c>
      <c r="BI2273" t="s">
        <v>22440</v>
      </c>
      <c r="BJ2273" t="s">
        <v>101</v>
      </c>
      <c r="BK2273" t="s">
        <v>15766</v>
      </c>
      <c r="BL2273" t="s">
        <v>15154</v>
      </c>
      <c r="BM2273" t="s">
        <v>7713</v>
      </c>
      <c r="BN2273" t="s">
        <v>14623</v>
      </c>
    </row>
    <row r="2274" spans="1:66" x14ac:dyDescent="0.25">
      <c r="A2274" t="str">
        <f>HYPERLINK("https://elite.finviz.com/quote.ashx?t=KYTX&amp;ty=c&amp;p=d&amp;b=1", "KYTX")</f>
        <v>KYTX</v>
      </c>
      <c r="B2274">
        <v>6</v>
      </c>
      <c r="C2274">
        <v>127.03</v>
      </c>
      <c r="D2274">
        <v>71.36</v>
      </c>
      <c r="E2274" t="s">
        <v>22441</v>
      </c>
      <c r="F2274" t="s">
        <v>107</v>
      </c>
      <c r="G2274" t="s">
        <v>428</v>
      </c>
      <c r="H2274" t="s">
        <v>429</v>
      </c>
      <c r="I2274" t="s">
        <v>70</v>
      </c>
      <c r="J2274" t="s">
        <v>321</v>
      </c>
      <c r="K2274">
        <v>262.5</v>
      </c>
      <c r="L2274">
        <v>6.07</v>
      </c>
      <c r="M2274" t="s">
        <v>2267</v>
      </c>
      <c r="N2274">
        <v>169062</v>
      </c>
      <c r="S2274">
        <v>1.42</v>
      </c>
      <c r="AA2274">
        <v>-3.67</v>
      </c>
      <c r="AB2274" t="s">
        <v>22170</v>
      </c>
      <c r="AD2274" t="s">
        <v>11675</v>
      </c>
      <c r="AI2274" t="s">
        <v>8054</v>
      </c>
      <c r="AJ2274" t="s">
        <v>164</v>
      </c>
      <c r="AK2274" t="s">
        <v>22442</v>
      </c>
      <c r="AL2274">
        <v>5.39</v>
      </c>
      <c r="AM2274">
        <v>5.39</v>
      </c>
      <c r="AN2274">
        <v>0.03</v>
      </c>
      <c r="AR2274" t="s">
        <v>644</v>
      </c>
      <c r="AS2274" t="s">
        <v>10273</v>
      </c>
      <c r="AT2274" t="s">
        <v>17838</v>
      </c>
      <c r="AU2274" t="s">
        <v>21270</v>
      </c>
      <c r="AV2274" t="s">
        <v>22443</v>
      </c>
      <c r="AW2274" t="s">
        <v>22444</v>
      </c>
      <c r="AX2274" t="s">
        <v>22445</v>
      </c>
      <c r="AY2274" t="s">
        <v>22446</v>
      </c>
      <c r="AZ2274" t="s">
        <v>22447</v>
      </c>
      <c r="BA2274">
        <v>1</v>
      </c>
      <c r="BB2274">
        <v>443.09</v>
      </c>
      <c r="BC2274">
        <v>1.34</v>
      </c>
      <c r="BD2274">
        <v>6.35</v>
      </c>
      <c r="BE2274">
        <v>6.4</v>
      </c>
      <c r="BF2274">
        <v>5.9</v>
      </c>
      <c r="BG2274" t="s">
        <v>22448</v>
      </c>
      <c r="BH2274" t="s">
        <v>8588</v>
      </c>
      <c r="BI2274" t="s">
        <v>22447</v>
      </c>
      <c r="BJ2274" t="s">
        <v>101</v>
      </c>
      <c r="BK2274" t="s">
        <v>19589</v>
      </c>
      <c r="BL2274" t="s">
        <v>22449</v>
      </c>
      <c r="BM2274" t="s">
        <v>7616</v>
      </c>
      <c r="BN2274" t="s">
        <v>14623</v>
      </c>
    </row>
    <row r="2275" spans="1:66" x14ac:dyDescent="0.25">
      <c r="A2275" t="str">
        <f>HYPERLINK("https://elite.finviz.com/quote.ashx?t=AIR&amp;ty=c&amp;p=d&amp;b=1", "AIR")</f>
        <v>AIR</v>
      </c>
      <c r="B2275">
        <v>6</v>
      </c>
      <c r="C2275">
        <v>127.03</v>
      </c>
      <c r="D2275">
        <v>71.45</v>
      </c>
      <c r="E2275" t="s">
        <v>22450</v>
      </c>
      <c r="F2275" t="s">
        <v>67</v>
      </c>
      <c r="G2275" t="s">
        <v>260</v>
      </c>
      <c r="H2275" t="s">
        <v>4779</v>
      </c>
      <c r="I2275" t="s">
        <v>70</v>
      </c>
      <c r="J2275" t="s">
        <v>71</v>
      </c>
      <c r="K2275">
        <v>3019.49</v>
      </c>
      <c r="L2275">
        <v>83.61</v>
      </c>
      <c r="M2275" t="s">
        <v>1488</v>
      </c>
      <c r="N2275">
        <v>131936</v>
      </c>
      <c r="O2275">
        <v>105.49</v>
      </c>
      <c r="P2275">
        <v>16.239999999999998</v>
      </c>
      <c r="Q2275">
        <v>7.34</v>
      </c>
      <c r="R2275">
        <v>1.06</v>
      </c>
      <c r="S2275">
        <v>2.42</v>
      </c>
      <c r="V2275" t="s">
        <v>22451</v>
      </c>
      <c r="Z2275" t="s">
        <v>164</v>
      </c>
      <c r="AA2275">
        <v>0.79</v>
      </c>
      <c r="AB2275" t="s">
        <v>22452</v>
      </c>
      <c r="AC2275" t="s">
        <v>4541</v>
      </c>
      <c r="AD2275" t="s">
        <v>6474</v>
      </c>
      <c r="AE2275" t="s">
        <v>13660</v>
      </c>
      <c r="AF2275" t="s">
        <v>5386</v>
      </c>
      <c r="AG2275" t="s">
        <v>3951</v>
      </c>
      <c r="AH2275" t="s">
        <v>3079</v>
      </c>
      <c r="AI2275" t="s">
        <v>3776</v>
      </c>
      <c r="AJ2275" t="s">
        <v>3941</v>
      </c>
      <c r="AK2275" t="s">
        <v>7701</v>
      </c>
      <c r="AL2275">
        <v>2.91</v>
      </c>
      <c r="AM2275">
        <v>1.31</v>
      </c>
      <c r="AN2275">
        <v>0.88</v>
      </c>
      <c r="AO2275" t="s">
        <v>6393</v>
      </c>
      <c r="AP2275" t="s">
        <v>4819</v>
      </c>
      <c r="AQ2275" t="s">
        <v>4689</v>
      </c>
      <c r="AR2275" t="s">
        <v>5163</v>
      </c>
      <c r="AS2275" t="s">
        <v>1902</v>
      </c>
      <c r="AT2275" t="s">
        <v>12383</v>
      </c>
      <c r="AU2275" t="s">
        <v>3335</v>
      </c>
      <c r="AV2275" t="s">
        <v>12507</v>
      </c>
      <c r="AW2275" t="s">
        <v>4920</v>
      </c>
      <c r="AX2275" t="s">
        <v>9149</v>
      </c>
      <c r="AY2275" t="s">
        <v>4920</v>
      </c>
      <c r="AZ2275" t="s">
        <v>22453</v>
      </c>
      <c r="BA2275">
        <v>1.17</v>
      </c>
      <c r="BB2275">
        <v>437.88</v>
      </c>
      <c r="BC2275">
        <v>1.06</v>
      </c>
      <c r="BD2275">
        <v>82.66</v>
      </c>
      <c r="BE2275">
        <v>85.02</v>
      </c>
      <c r="BF2275">
        <v>83.25</v>
      </c>
      <c r="BG2275" t="s">
        <v>22454</v>
      </c>
      <c r="BH2275" t="s">
        <v>4920</v>
      </c>
      <c r="BI2275" t="s">
        <v>22455</v>
      </c>
      <c r="BJ2275" t="s">
        <v>101</v>
      </c>
      <c r="BK2275" t="s">
        <v>711</v>
      </c>
      <c r="BL2275" t="s">
        <v>6868</v>
      </c>
      <c r="BM2275" t="s">
        <v>21178</v>
      </c>
      <c r="BN2275" t="s">
        <v>14623</v>
      </c>
    </row>
    <row r="2276" spans="1:66" x14ac:dyDescent="0.25">
      <c r="A2276" t="str">
        <f>HYPERLINK("https://elite.finviz.com/quote.ashx?t=DALN&amp;ty=c&amp;p=d&amp;b=1", "DALN")</f>
        <v>DALN</v>
      </c>
      <c r="B2276">
        <v>6</v>
      </c>
      <c r="C2276">
        <v>127.03</v>
      </c>
      <c r="D2276">
        <v>71.47</v>
      </c>
      <c r="E2276" t="s">
        <v>22456</v>
      </c>
      <c r="F2276" t="s">
        <v>107</v>
      </c>
      <c r="G2276" t="s">
        <v>598</v>
      </c>
      <c r="H2276" t="s">
        <v>5379</v>
      </c>
      <c r="I2276" t="s">
        <v>70</v>
      </c>
      <c r="J2276" t="s">
        <v>321</v>
      </c>
      <c r="K2276">
        <v>88.37</v>
      </c>
      <c r="L2276">
        <v>16.510000000000002</v>
      </c>
      <c r="M2276" t="s">
        <v>164</v>
      </c>
      <c r="N2276">
        <v>0</v>
      </c>
      <c r="R2276">
        <v>0.73</v>
      </c>
      <c r="S2276">
        <v>2.2999999999999998</v>
      </c>
      <c r="V2276" t="s">
        <v>22457</v>
      </c>
      <c r="Z2276" t="s">
        <v>22458</v>
      </c>
      <c r="AA2276">
        <v>-0.96</v>
      </c>
      <c r="AC2276" t="s">
        <v>22459</v>
      </c>
      <c r="AE2276" t="s">
        <v>5963</v>
      </c>
      <c r="AF2276" t="s">
        <v>134</v>
      </c>
      <c r="AG2276" t="s">
        <v>5573</v>
      </c>
      <c r="AH2276" t="s">
        <v>4226</v>
      </c>
      <c r="AI2276" t="s">
        <v>22460</v>
      </c>
      <c r="AJ2276" t="s">
        <v>17010</v>
      </c>
      <c r="AK2276" t="s">
        <v>8570</v>
      </c>
      <c r="AL2276">
        <v>2.2999999999999998</v>
      </c>
      <c r="AM2276">
        <v>2.2799999999999998</v>
      </c>
      <c r="AN2276">
        <v>0.49</v>
      </c>
      <c r="AO2276" t="s">
        <v>7380</v>
      </c>
      <c r="AP2276" t="s">
        <v>7380</v>
      </c>
      <c r="AQ2276" t="s">
        <v>818</v>
      </c>
      <c r="AR2276" t="s">
        <v>5188</v>
      </c>
      <c r="AS2276" t="s">
        <v>3494</v>
      </c>
      <c r="AT2276" t="s">
        <v>10132</v>
      </c>
      <c r="AU2276" t="s">
        <v>4996</v>
      </c>
      <c r="AV2276" t="s">
        <v>22461</v>
      </c>
      <c r="AW2276" t="s">
        <v>2745</v>
      </c>
      <c r="AX2276" t="s">
        <v>3437</v>
      </c>
      <c r="AY2276" t="s">
        <v>2745</v>
      </c>
      <c r="AZ2276" t="s">
        <v>22462</v>
      </c>
      <c r="BB2276">
        <v>187.67</v>
      </c>
      <c r="BC2276">
        <v>0</v>
      </c>
      <c r="BD2276">
        <v>16.510000000000002</v>
      </c>
      <c r="BE2276">
        <v>16.510000000000002</v>
      </c>
      <c r="BF2276">
        <v>16.510000000000002</v>
      </c>
      <c r="BG2276" t="s">
        <v>22463</v>
      </c>
      <c r="BH2276" t="s">
        <v>22464</v>
      </c>
      <c r="BI2276" t="s">
        <v>22465</v>
      </c>
      <c r="BJ2276" t="s">
        <v>101</v>
      </c>
      <c r="BK2276" t="s">
        <v>22466</v>
      </c>
      <c r="BL2276" t="s">
        <v>22467</v>
      </c>
      <c r="BM2276" t="s">
        <v>22468</v>
      </c>
      <c r="BN2276" t="s">
        <v>14623</v>
      </c>
    </row>
    <row r="2277" spans="1:66" x14ac:dyDescent="0.25">
      <c r="A2277" t="str">
        <f>HYPERLINK("https://elite.finviz.com/quote.ashx?t=FLUX&amp;ty=c&amp;p=d&amp;b=1", "FLUX")</f>
        <v>FLUX</v>
      </c>
      <c r="B2277">
        <v>6</v>
      </c>
      <c r="C2277">
        <v>127.03</v>
      </c>
      <c r="D2277">
        <v>71.81</v>
      </c>
      <c r="E2277" t="s">
        <v>22469</v>
      </c>
      <c r="F2277" t="s">
        <v>107</v>
      </c>
      <c r="G2277" t="s">
        <v>260</v>
      </c>
      <c r="H2277" t="s">
        <v>1128</v>
      </c>
      <c r="I2277" t="s">
        <v>70</v>
      </c>
      <c r="J2277" t="s">
        <v>321</v>
      </c>
      <c r="K2277">
        <v>55.9</v>
      </c>
      <c r="L2277">
        <v>3.32</v>
      </c>
      <c r="M2277" t="s">
        <v>306</v>
      </c>
      <c r="N2277">
        <v>95518</v>
      </c>
      <c r="P2277">
        <v>17.95</v>
      </c>
      <c r="R2277">
        <v>0.84</v>
      </c>
      <c r="AA2277">
        <v>-0.4</v>
      </c>
      <c r="AB2277" t="s">
        <v>15944</v>
      </c>
      <c r="AC2277" t="s">
        <v>15648</v>
      </c>
      <c r="AE2277" t="s">
        <v>7019</v>
      </c>
      <c r="AF2277" t="s">
        <v>5012</v>
      </c>
      <c r="AG2277" t="s">
        <v>7626</v>
      </c>
      <c r="AH2277" t="s">
        <v>15980</v>
      </c>
      <c r="AI2277" t="s">
        <v>9281</v>
      </c>
      <c r="AJ2277" t="s">
        <v>2906</v>
      </c>
      <c r="AK2277" t="s">
        <v>20875</v>
      </c>
      <c r="AL2277">
        <v>0.8</v>
      </c>
      <c r="AM2277">
        <v>0.37</v>
      </c>
      <c r="AO2277" t="s">
        <v>15404</v>
      </c>
      <c r="AP2277" t="s">
        <v>10338</v>
      </c>
      <c r="AQ2277" t="s">
        <v>17460</v>
      </c>
      <c r="AR2277" t="s">
        <v>828</v>
      </c>
      <c r="AS2277" t="s">
        <v>2338</v>
      </c>
      <c r="AT2277" t="s">
        <v>1384</v>
      </c>
      <c r="AU2277" t="s">
        <v>20834</v>
      </c>
      <c r="AV2277" t="s">
        <v>22470</v>
      </c>
      <c r="AW2277" t="s">
        <v>1690</v>
      </c>
      <c r="AX2277" t="s">
        <v>22471</v>
      </c>
      <c r="AY2277" t="s">
        <v>1690</v>
      </c>
      <c r="AZ2277" t="s">
        <v>22472</v>
      </c>
      <c r="BA2277">
        <v>1</v>
      </c>
      <c r="BB2277">
        <v>289.81</v>
      </c>
      <c r="BC2277">
        <v>1.1599999999999999</v>
      </c>
      <c r="BD2277">
        <v>3.3</v>
      </c>
      <c r="BE2277">
        <v>3.42</v>
      </c>
      <c r="BF2277">
        <v>3.23</v>
      </c>
      <c r="BG2277" t="s">
        <v>22473</v>
      </c>
      <c r="BH2277" t="s">
        <v>579</v>
      </c>
      <c r="BI2277" t="s">
        <v>22472</v>
      </c>
      <c r="BJ2277" t="s">
        <v>101</v>
      </c>
      <c r="BK2277" t="s">
        <v>22474</v>
      </c>
      <c r="BL2277" t="s">
        <v>21902</v>
      </c>
      <c r="BM2277" t="s">
        <v>4223</v>
      </c>
      <c r="BN2277" t="s">
        <v>14623</v>
      </c>
    </row>
    <row r="2278" spans="1:66" x14ac:dyDescent="0.25">
      <c r="A2278" t="str">
        <f>HYPERLINK("https://elite.finviz.com/quote.ashx?t=BASE&amp;ty=c&amp;p=d&amp;b=1", "BASE")</f>
        <v>BASE</v>
      </c>
      <c r="B2278">
        <v>6</v>
      </c>
      <c r="C2278">
        <v>127.03</v>
      </c>
      <c r="D2278">
        <v>71.959999999999994</v>
      </c>
      <c r="E2278" t="s">
        <v>22475</v>
      </c>
      <c r="F2278" t="s">
        <v>107</v>
      </c>
      <c r="G2278" t="s">
        <v>108</v>
      </c>
      <c r="H2278" t="s">
        <v>109</v>
      </c>
      <c r="I2278" t="s">
        <v>70</v>
      </c>
      <c r="J2278" t="s">
        <v>321</v>
      </c>
      <c r="K2278">
        <v>1354.28</v>
      </c>
      <c r="L2278">
        <v>24.51</v>
      </c>
      <c r="M2278" t="s">
        <v>164</v>
      </c>
      <c r="N2278">
        <v>0</v>
      </c>
      <c r="P2278">
        <v>312.19</v>
      </c>
      <c r="R2278">
        <v>6.14</v>
      </c>
      <c r="S2278">
        <v>10.92</v>
      </c>
      <c r="AA2278">
        <v>-1.41</v>
      </c>
      <c r="AB2278" t="s">
        <v>7089</v>
      </c>
      <c r="AC2278" t="s">
        <v>4405</v>
      </c>
      <c r="AE2278" t="s">
        <v>8188</v>
      </c>
      <c r="AF2278" t="s">
        <v>8464</v>
      </c>
      <c r="AG2278" t="s">
        <v>9884</v>
      </c>
      <c r="AH2278" t="s">
        <v>1675</v>
      </c>
      <c r="AI2278" t="s">
        <v>18621</v>
      </c>
      <c r="AJ2278" t="s">
        <v>11260</v>
      </c>
      <c r="AK2278" t="s">
        <v>22476</v>
      </c>
      <c r="AL2278">
        <v>1.66</v>
      </c>
      <c r="AM2278">
        <v>1.66</v>
      </c>
      <c r="AN2278">
        <v>7.0000000000000007E-2</v>
      </c>
      <c r="AO2278" t="s">
        <v>22477</v>
      </c>
      <c r="AP2278" t="s">
        <v>16229</v>
      </c>
      <c r="AQ2278" t="s">
        <v>17373</v>
      </c>
      <c r="AR2278" t="s">
        <v>141</v>
      </c>
      <c r="AS2278" t="s">
        <v>822</v>
      </c>
      <c r="AT2278" t="s">
        <v>3446</v>
      </c>
      <c r="AU2278" t="s">
        <v>3463</v>
      </c>
      <c r="AV2278" t="s">
        <v>22478</v>
      </c>
      <c r="AW2278" t="s">
        <v>530</v>
      </c>
      <c r="AX2278" t="s">
        <v>3550</v>
      </c>
      <c r="AY2278" t="s">
        <v>7193</v>
      </c>
      <c r="AZ2278" t="s">
        <v>11294</v>
      </c>
      <c r="BA2278">
        <v>2.33</v>
      </c>
      <c r="BB2278">
        <v>904.28</v>
      </c>
      <c r="BC2278">
        <v>0</v>
      </c>
      <c r="BD2278">
        <v>24.51</v>
      </c>
      <c r="BE2278">
        <v>24.51</v>
      </c>
      <c r="BF2278">
        <v>24.51</v>
      </c>
      <c r="BG2278" t="s">
        <v>22479</v>
      </c>
      <c r="BH2278" t="s">
        <v>22480</v>
      </c>
      <c r="BI2278" t="s">
        <v>22481</v>
      </c>
      <c r="BJ2278" t="s">
        <v>101</v>
      </c>
      <c r="BK2278" t="s">
        <v>1765</v>
      </c>
      <c r="BL2278" t="s">
        <v>5590</v>
      </c>
      <c r="BM2278" t="s">
        <v>10316</v>
      </c>
      <c r="BN2278" t="s">
        <v>14623</v>
      </c>
    </row>
    <row r="2279" spans="1:66" x14ac:dyDescent="0.25">
      <c r="A2279" t="str">
        <f>HYPERLINK("https://elite.finviz.com/quote.ashx?t=FRAF&amp;ty=c&amp;p=d&amp;b=1", "FRAF")</f>
        <v>FRAF</v>
      </c>
      <c r="B2279">
        <v>6</v>
      </c>
      <c r="C2279">
        <v>127.03</v>
      </c>
      <c r="D2279">
        <v>72.12</v>
      </c>
      <c r="E2279" t="s">
        <v>22482</v>
      </c>
      <c r="F2279" t="s">
        <v>67</v>
      </c>
      <c r="G2279" t="s">
        <v>550</v>
      </c>
      <c r="H2279" t="s">
        <v>697</v>
      </c>
      <c r="I2279" t="s">
        <v>70</v>
      </c>
      <c r="J2279" t="s">
        <v>321</v>
      </c>
      <c r="K2279">
        <v>217.43</v>
      </c>
      <c r="L2279">
        <v>48.57</v>
      </c>
      <c r="M2279" t="s">
        <v>4308</v>
      </c>
      <c r="N2279">
        <v>3989</v>
      </c>
      <c r="O2279">
        <v>14.87</v>
      </c>
      <c r="R2279">
        <v>1.77</v>
      </c>
      <c r="S2279">
        <v>1.38</v>
      </c>
      <c r="T2279" t="s">
        <v>4976</v>
      </c>
      <c r="U2279">
        <v>1.3</v>
      </c>
      <c r="V2279" t="s">
        <v>4066</v>
      </c>
      <c r="W2279" t="s">
        <v>164</v>
      </c>
      <c r="X2279" t="s">
        <v>6463</v>
      </c>
      <c r="Y2279" t="s">
        <v>3925</v>
      </c>
      <c r="Z2279" t="s">
        <v>16609</v>
      </c>
      <c r="AA2279">
        <v>3.27</v>
      </c>
      <c r="AB2279" t="s">
        <v>4368</v>
      </c>
      <c r="AC2279" t="s">
        <v>3266</v>
      </c>
      <c r="AE2279" t="s">
        <v>2018</v>
      </c>
      <c r="AF2279" t="s">
        <v>7902</v>
      </c>
      <c r="AG2279" t="s">
        <v>2392</v>
      </c>
      <c r="AH2279" t="s">
        <v>13222</v>
      </c>
      <c r="AJ2279" t="s">
        <v>2694</v>
      </c>
      <c r="AK2279" t="s">
        <v>1936</v>
      </c>
      <c r="AL2279">
        <v>0.19</v>
      </c>
      <c r="AN2279">
        <v>1.42</v>
      </c>
      <c r="AP2279" t="s">
        <v>7847</v>
      </c>
      <c r="AQ2279" t="s">
        <v>3188</v>
      </c>
      <c r="AR2279" t="s">
        <v>1417</v>
      </c>
      <c r="AS2279" t="s">
        <v>1025</v>
      </c>
      <c r="AT2279" t="s">
        <v>2195</v>
      </c>
      <c r="AU2279" t="s">
        <v>3230</v>
      </c>
      <c r="AV2279" t="s">
        <v>5401</v>
      </c>
      <c r="AW2279" t="s">
        <v>181</v>
      </c>
      <c r="AX2279" t="s">
        <v>11659</v>
      </c>
      <c r="AY2279" t="s">
        <v>181</v>
      </c>
      <c r="AZ2279" t="s">
        <v>22483</v>
      </c>
      <c r="BB2279">
        <v>33.380000000000003</v>
      </c>
      <c r="BC2279">
        <v>0.42</v>
      </c>
      <c r="BD2279">
        <v>48.27</v>
      </c>
      <c r="BE2279">
        <v>48.6</v>
      </c>
      <c r="BF2279">
        <v>48.3</v>
      </c>
      <c r="BG2279" t="s">
        <v>22484</v>
      </c>
      <c r="BH2279" t="s">
        <v>181</v>
      </c>
      <c r="BI2279" t="s">
        <v>22485</v>
      </c>
      <c r="BJ2279" t="s">
        <v>101</v>
      </c>
      <c r="BK2279" t="s">
        <v>19431</v>
      </c>
      <c r="BL2279" t="s">
        <v>8646</v>
      </c>
      <c r="BM2279" t="s">
        <v>19788</v>
      </c>
      <c r="BN2279" t="s">
        <v>14623</v>
      </c>
    </row>
    <row r="2280" spans="1:66" x14ac:dyDescent="0.25">
      <c r="A2280" t="str">
        <f>HYPERLINK("https://elite.finviz.com/quote.ashx?t=GLTO&amp;ty=c&amp;p=d&amp;b=1", "GLTO")</f>
        <v>GLTO</v>
      </c>
      <c r="B2280">
        <v>6</v>
      </c>
      <c r="C2280">
        <v>127.03</v>
      </c>
      <c r="D2280">
        <v>72.180000000000007</v>
      </c>
      <c r="E2280" t="s">
        <v>22486</v>
      </c>
      <c r="F2280" t="s">
        <v>107</v>
      </c>
      <c r="G2280" t="s">
        <v>428</v>
      </c>
      <c r="H2280" t="s">
        <v>429</v>
      </c>
      <c r="I2280" t="s">
        <v>70</v>
      </c>
      <c r="J2280" t="s">
        <v>321</v>
      </c>
      <c r="K2280">
        <v>5.73</v>
      </c>
      <c r="L2280">
        <v>4.33</v>
      </c>
      <c r="M2280" t="s">
        <v>3315</v>
      </c>
      <c r="N2280">
        <v>99764</v>
      </c>
      <c r="S2280">
        <v>0.6</v>
      </c>
      <c r="AA2280">
        <v>-13.13</v>
      </c>
      <c r="AB2280" t="s">
        <v>7633</v>
      </c>
      <c r="AC2280" t="s">
        <v>15574</v>
      </c>
      <c r="AJ2280" t="s">
        <v>8374</v>
      </c>
      <c r="AK2280" t="s">
        <v>3635</v>
      </c>
      <c r="AL2280">
        <v>4.3899999999999997</v>
      </c>
      <c r="AM2280">
        <v>4.3899999999999997</v>
      </c>
      <c r="AN2280">
        <v>0.15</v>
      </c>
      <c r="AR2280" t="s">
        <v>913</v>
      </c>
      <c r="AS2280" t="s">
        <v>709</v>
      </c>
      <c r="AT2280" t="s">
        <v>20120</v>
      </c>
      <c r="AU2280" t="s">
        <v>11323</v>
      </c>
      <c r="AV2280" t="s">
        <v>5901</v>
      </c>
      <c r="AW2280" t="s">
        <v>7857</v>
      </c>
      <c r="AX2280" t="s">
        <v>15882</v>
      </c>
      <c r="AY2280" t="s">
        <v>22487</v>
      </c>
      <c r="AZ2280" t="s">
        <v>22488</v>
      </c>
      <c r="BA2280">
        <v>1</v>
      </c>
      <c r="BB2280">
        <v>988.14</v>
      </c>
      <c r="BC2280">
        <v>0.36</v>
      </c>
      <c r="BD2280">
        <v>4.45</v>
      </c>
      <c r="BE2280">
        <v>4.49</v>
      </c>
      <c r="BF2280">
        <v>4.1900000000000004</v>
      </c>
      <c r="BG2280" t="s">
        <v>22489</v>
      </c>
      <c r="BH2280" t="s">
        <v>2081</v>
      </c>
      <c r="BI2280" t="s">
        <v>22488</v>
      </c>
      <c r="BJ2280" t="s">
        <v>101</v>
      </c>
      <c r="BK2280" t="s">
        <v>3427</v>
      </c>
      <c r="BL2280" t="s">
        <v>5690</v>
      </c>
      <c r="BM2280" t="s">
        <v>22490</v>
      </c>
      <c r="BN2280" t="s">
        <v>14623</v>
      </c>
    </row>
    <row r="2281" spans="1:66" x14ac:dyDescent="0.25">
      <c r="A2281" t="str">
        <f>HYPERLINK("https://elite.finviz.com/quote.ashx?t=EKSO&amp;ty=c&amp;p=d&amp;b=1", "EKSO")</f>
        <v>EKSO</v>
      </c>
      <c r="B2281">
        <v>6</v>
      </c>
      <c r="C2281">
        <v>127.03</v>
      </c>
      <c r="D2281">
        <v>72.19</v>
      </c>
      <c r="E2281" t="s">
        <v>22491</v>
      </c>
      <c r="F2281" t="s">
        <v>107</v>
      </c>
      <c r="G2281" t="s">
        <v>428</v>
      </c>
      <c r="H2281" t="s">
        <v>2161</v>
      </c>
      <c r="I2281" t="s">
        <v>70</v>
      </c>
      <c r="J2281" t="s">
        <v>321</v>
      </c>
      <c r="K2281">
        <v>12.54</v>
      </c>
      <c r="L2281">
        <v>4.8</v>
      </c>
      <c r="M2281" t="s">
        <v>342</v>
      </c>
      <c r="N2281">
        <v>10967</v>
      </c>
      <c r="R2281">
        <v>0.86</v>
      </c>
      <c r="S2281">
        <v>1.1399999999999999</v>
      </c>
      <c r="AA2281">
        <v>-6.56</v>
      </c>
      <c r="AB2281" t="s">
        <v>9253</v>
      </c>
      <c r="AC2281" t="s">
        <v>3397</v>
      </c>
      <c r="AD2281" t="s">
        <v>18732</v>
      </c>
      <c r="AE2281" t="s">
        <v>17571</v>
      </c>
      <c r="AF2281" t="s">
        <v>6569</v>
      </c>
      <c r="AG2281" t="s">
        <v>5395</v>
      </c>
      <c r="AH2281" t="s">
        <v>10824</v>
      </c>
      <c r="AI2281" t="s">
        <v>6859</v>
      </c>
      <c r="AJ2281" t="s">
        <v>164</v>
      </c>
      <c r="AK2281" t="s">
        <v>2892</v>
      </c>
      <c r="AL2281">
        <v>2.38</v>
      </c>
      <c r="AM2281">
        <v>1.57</v>
      </c>
      <c r="AN2281">
        <v>0.49</v>
      </c>
      <c r="AO2281" t="s">
        <v>20581</v>
      </c>
      <c r="AP2281" t="s">
        <v>22492</v>
      </c>
      <c r="AQ2281" t="s">
        <v>22493</v>
      </c>
      <c r="AR2281" t="s">
        <v>484</v>
      </c>
      <c r="AS2281" t="s">
        <v>1090</v>
      </c>
      <c r="AT2281" t="s">
        <v>2699</v>
      </c>
      <c r="AU2281" t="s">
        <v>15084</v>
      </c>
      <c r="AV2281" t="s">
        <v>22494</v>
      </c>
      <c r="AW2281" t="s">
        <v>8795</v>
      </c>
      <c r="AX2281" t="s">
        <v>21909</v>
      </c>
      <c r="AY2281" t="s">
        <v>22495</v>
      </c>
      <c r="AZ2281" t="s">
        <v>15253</v>
      </c>
      <c r="BA2281">
        <v>1</v>
      </c>
      <c r="BB2281">
        <v>91.01</v>
      </c>
      <c r="BC2281">
        <v>0.43</v>
      </c>
      <c r="BD2281">
        <v>4.6900000000000004</v>
      </c>
      <c r="BE2281">
        <v>4.8899999999999997</v>
      </c>
      <c r="BF2281">
        <v>4.67</v>
      </c>
      <c r="BG2281" t="s">
        <v>22496</v>
      </c>
      <c r="BH2281" t="s">
        <v>1194</v>
      </c>
      <c r="BI2281" t="s">
        <v>15253</v>
      </c>
      <c r="BJ2281" t="s">
        <v>101</v>
      </c>
      <c r="BK2281" t="s">
        <v>13873</v>
      </c>
      <c r="BL2281" t="s">
        <v>7358</v>
      </c>
      <c r="BM2281" t="s">
        <v>22497</v>
      </c>
      <c r="BN2281" t="s">
        <v>14623</v>
      </c>
    </row>
    <row r="2282" spans="1:66" x14ac:dyDescent="0.25">
      <c r="A2282" t="str">
        <f>HYPERLINK("https://elite.finviz.com/quote.ashx?t=NPKI&amp;ty=c&amp;p=d&amp;b=1", "NPKI")</f>
        <v>NPKI</v>
      </c>
      <c r="B2282">
        <v>6</v>
      </c>
      <c r="C2282">
        <v>127.03</v>
      </c>
      <c r="D2282">
        <v>72.27</v>
      </c>
      <c r="E2282" t="s">
        <v>22498</v>
      </c>
      <c r="F2282" t="s">
        <v>67</v>
      </c>
      <c r="G2282" t="s">
        <v>1048</v>
      </c>
      <c r="H2282" t="s">
        <v>8341</v>
      </c>
      <c r="I2282" t="s">
        <v>70</v>
      </c>
      <c r="J2282" t="s">
        <v>71</v>
      </c>
      <c r="K2282">
        <v>960.33</v>
      </c>
      <c r="L2282">
        <v>11.37</v>
      </c>
      <c r="M2282" t="s">
        <v>5380</v>
      </c>
      <c r="N2282">
        <v>140963</v>
      </c>
      <c r="O2282">
        <v>20.260000000000002</v>
      </c>
      <c r="P2282">
        <v>22.57</v>
      </c>
      <c r="R2282">
        <v>4.09</v>
      </c>
      <c r="S2282">
        <v>2.92</v>
      </c>
      <c r="V2282" t="s">
        <v>22499</v>
      </c>
      <c r="Z2282" t="s">
        <v>164</v>
      </c>
      <c r="AA2282">
        <v>0.56000000000000005</v>
      </c>
      <c r="AE2282" t="s">
        <v>21365</v>
      </c>
      <c r="AF2282" t="s">
        <v>21585</v>
      </c>
      <c r="AG2282" t="s">
        <v>22500</v>
      </c>
      <c r="AH2282" t="s">
        <v>14316</v>
      </c>
      <c r="AI2282" t="s">
        <v>10317</v>
      </c>
      <c r="AJ2282" t="s">
        <v>6659</v>
      </c>
      <c r="AK2282" t="s">
        <v>22501</v>
      </c>
      <c r="AL2282">
        <v>2.34</v>
      </c>
      <c r="AM2282">
        <v>2.08</v>
      </c>
      <c r="AN2282">
        <v>0.06</v>
      </c>
      <c r="AO2282" t="s">
        <v>4484</v>
      </c>
      <c r="AP2282" t="s">
        <v>11840</v>
      </c>
      <c r="AQ2282" t="s">
        <v>6974</v>
      </c>
      <c r="AR2282" t="s">
        <v>4216</v>
      </c>
      <c r="AS2282" t="s">
        <v>4800</v>
      </c>
      <c r="AT2282" t="s">
        <v>3949</v>
      </c>
      <c r="AU2282" t="s">
        <v>8814</v>
      </c>
      <c r="AV2282" t="s">
        <v>10897</v>
      </c>
      <c r="AW2282" t="s">
        <v>4273</v>
      </c>
      <c r="AX2282" t="s">
        <v>1948</v>
      </c>
      <c r="AY2282" t="s">
        <v>4273</v>
      </c>
      <c r="AZ2282" t="s">
        <v>22502</v>
      </c>
      <c r="BA2282">
        <v>1</v>
      </c>
      <c r="BB2282">
        <v>812.58</v>
      </c>
      <c r="BC2282">
        <v>0.61</v>
      </c>
      <c r="BD2282">
        <v>11.24</v>
      </c>
      <c r="BE2282">
        <v>11.44</v>
      </c>
      <c r="BF2282">
        <v>11.19</v>
      </c>
      <c r="BG2282" t="s">
        <v>22503</v>
      </c>
      <c r="BH2282" t="s">
        <v>22504</v>
      </c>
      <c r="BI2282" t="s">
        <v>22505</v>
      </c>
      <c r="BJ2282" t="s">
        <v>101</v>
      </c>
      <c r="BK2282" t="s">
        <v>22506</v>
      </c>
      <c r="BL2282" t="s">
        <v>22507</v>
      </c>
      <c r="BM2282" t="s">
        <v>22508</v>
      </c>
      <c r="BN2282" t="s">
        <v>14623</v>
      </c>
    </row>
    <row r="2283" spans="1:66" x14ac:dyDescent="0.25">
      <c r="A2283" t="str">
        <f>HYPERLINK("https://elite.finviz.com/quote.ashx?t=VECO&amp;ty=c&amp;p=d&amp;b=1", "VECO")</f>
        <v>VECO</v>
      </c>
      <c r="B2283">
        <v>6</v>
      </c>
      <c r="C2283">
        <v>127.03</v>
      </c>
      <c r="D2283">
        <v>72.599999999999994</v>
      </c>
      <c r="E2283" t="s">
        <v>22509</v>
      </c>
      <c r="F2283" t="s">
        <v>67</v>
      </c>
      <c r="G2283" t="s">
        <v>108</v>
      </c>
      <c r="H2283" t="s">
        <v>2097</v>
      </c>
      <c r="I2283" t="s">
        <v>70</v>
      </c>
      <c r="J2283" t="s">
        <v>321</v>
      </c>
      <c r="K2283">
        <v>1750.91</v>
      </c>
      <c r="L2283">
        <v>29.1</v>
      </c>
      <c r="M2283" t="s">
        <v>6407</v>
      </c>
      <c r="N2283">
        <v>126450</v>
      </c>
      <c r="O2283">
        <v>28.71</v>
      </c>
      <c r="P2283">
        <v>19.2</v>
      </c>
      <c r="Q2283">
        <v>9.93</v>
      </c>
      <c r="R2283">
        <v>2.5</v>
      </c>
      <c r="S2283">
        <v>2.04</v>
      </c>
      <c r="Z2283" t="s">
        <v>164</v>
      </c>
      <c r="AA2283">
        <v>1.01</v>
      </c>
      <c r="AB2283" t="s">
        <v>10948</v>
      </c>
      <c r="AD2283" t="s">
        <v>2892</v>
      </c>
      <c r="AE2283" t="s">
        <v>1648</v>
      </c>
      <c r="AF2283" t="s">
        <v>5114</v>
      </c>
      <c r="AG2283" t="s">
        <v>5656</v>
      </c>
      <c r="AH2283" t="s">
        <v>2604</v>
      </c>
      <c r="AI2283" t="s">
        <v>15210</v>
      </c>
      <c r="AJ2283" t="s">
        <v>6105</v>
      </c>
      <c r="AK2283" t="s">
        <v>14047</v>
      </c>
      <c r="AL2283">
        <v>5.0999999999999996</v>
      </c>
      <c r="AM2283">
        <v>3.35</v>
      </c>
      <c r="AN2283">
        <v>0.31</v>
      </c>
      <c r="AO2283" t="s">
        <v>22510</v>
      </c>
      <c r="AP2283" t="s">
        <v>7567</v>
      </c>
      <c r="AQ2283" t="s">
        <v>2250</v>
      </c>
      <c r="AR2283" t="s">
        <v>89</v>
      </c>
      <c r="AS2283" t="s">
        <v>2473</v>
      </c>
      <c r="AT2283" t="s">
        <v>7698</v>
      </c>
      <c r="AU2283" t="s">
        <v>5792</v>
      </c>
      <c r="AV2283" t="s">
        <v>22511</v>
      </c>
      <c r="AW2283" t="s">
        <v>10262</v>
      </c>
      <c r="AX2283" t="s">
        <v>13353</v>
      </c>
      <c r="AY2283" t="s">
        <v>9638</v>
      </c>
      <c r="AZ2283" t="s">
        <v>22512</v>
      </c>
      <c r="BA2283">
        <v>1.57</v>
      </c>
      <c r="BB2283">
        <v>842.02</v>
      </c>
      <c r="BC2283">
        <v>0.53</v>
      </c>
      <c r="BD2283">
        <v>29.45</v>
      </c>
      <c r="BE2283">
        <v>29.6</v>
      </c>
      <c r="BF2283">
        <v>28.98</v>
      </c>
      <c r="BG2283" t="s">
        <v>22513</v>
      </c>
      <c r="BH2283" t="s">
        <v>22514</v>
      </c>
      <c r="BI2283" t="s">
        <v>22515</v>
      </c>
      <c r="BJ2283" t="s">
        <v>101</v>
      </c>
      <c r="BK2283" t="s">
        <v>1678</v>
      </c>
      <c r="BL2283" t="s">
        <v>8390</v>
      </c>
      <c r="BM2283" t="s">
        <v>13088</v>
      </c>
      <c r="BN2283" t="s">
        <v>14623</v>
      </c>
    </row>
    <row r="2284" spans="1:66" x14ac:dyDescent="0.25">
      <c r="A2284" t="str">
        <f>HYPERLINK("https://elite.finviz.com/quote.ashx?t=MSGS&amp;ty=c&amp;p=d&amp;b=1", "MSGS")</f>
        <v>MSGS</v>
      </c>
      <c r="B2284">
        <v>6</v>
      </c>
      <c r="C2284">
        <v>127.03</v>
      </c>
      <c r="D2284">
        <v>72.650000000000006</v>
      </c>
      <c r="E2284" t="s">
        <v>22516</v>
      </c>
      <c r="F2284" t="s">
        <v>107</v>
      </c>
      <c r="G2284" t="s">
        <v>598</v>
      </c>
      <c r="H2284" t="s">
        <v>4247</v>
      </c>
      <c r="I2284" t="s">
        <v>70</v>
      </c>
      <c r="J2284" t="s">
        <v>71</v>
      </c>
      <c r="K2284">
        <v>5361.56</v>
      </c>
      <c r="L2284">
        <v>223.23</v>
      </c>
      <c r="M2284" t="s">
        <v>4623</v>
      </c>
      <c r="N2284">
        <v>52970</v>
      </c>
      <c r="P2284">
        <v>4188.97</v>
      </c>
      <c r="R2284">
        <v>5.16</v>
      </c>
      <c r="V2284" t="s">
        <v>22517</v>
      </c>
      <c r="Z2284" t="s">
        <v>164</v>
      </c>
      <c r="AA2284">
        <v>-0.93</v>
      </c>
      <c r="AC2284" t="s">
        <v>18906</v>
      </c>
      <c r="AE2284" t="s">
        <v>102</v>
      </c>
      <c r="AF2284" t="s">
        <v>1282</v>
      </c>
      <c r="AG2284" t="s">
        <v>10407</v>
      </c>
      <c r="AH2284" t="s">
        <v>9757</v>
      </c>
      <c r="AI2284" t="s">
        <v>22518</v>
      </c>
      <c r="AJ2284" t="s">
        <v>164</v>
      </c>
      <c r="AK2284" t="s">
        <v>22519</v>
      </c>
      <c r="AL2284">
        <v>0.44</v>
      </c>
      <c r="AM2284">
        <v>0.44</v>
      </c>
      <c r="AO2284" t="s">
        <v>14149</v>
      </c>
      <c r="AP2284" t="s">
        <v>3019</v>
      </c>
      <c r="AQ2284" t="s">
        <v>3753</v>
      </c>
      <c r="AR2284" t="s">
        <v>4256</v>
      </c>
      <c r="AS2284" t="s">
        <v>5420</v>
      </c>
      <c r="AT2284" t="s">
        <v>3429</v>
      </c>
      <c r="AU2284" t="s">
        <v>9515</v>
      </c>
      <c r="AV2284" t="s">
        <v>1066</v>
      </c>
      <c r="AW2284" t="s">
        <v>5549</v>
      </c>
      <c r="AX2284" t="s">
        <v>555</v>
      </c>
      <c r="AY2284" t="s">
        <v>10713</v>
      </c>
      <c r="AZ2284" t="s">
        <v>20863</v>
      </c>
      <c r="BA2284">
        <v>1.5</v>
      </c>
      <c r="BB2284">
        <v>204.91</v>
      </c>
      <c r="BC2284">
        <v>0.91</v>
      </c>
      <c r="BD2284">
        <v>221.92</v>
      </c>
      <c r="BE2284">
        <v>226.09</v>
      </c>
      <c r="BF2284">
        <v>221.51</v>
      </c>
      <c r="BG2284" t="s">
        <v>22520</v>
      </c>
      <c r="BH2284" t="s">
        <v>10713</v>
      </c>
      <c r="BI2284" t="s">
        <v>22521</v>
      </c>
      <c r="BJ2284" t="s">
        <v>101</v>
      </c>
      <c r="BK2284" t="s">
        <v>4913</v>
      </c>
      <c r="BL2284" t="s">
        <v>11924</v>
      </c>
      <c r="BM2284" t="s">
        <v>4293</v>
      </c>
      <c r="BN2284" t="s">
        <v>14623</v>
      </c>
    </row>
    <row r="2285" spans="1:66" x14ac:dyDescent="0.25">
      <c r="A2285" t="str">
        <f>HYPERLINK("https://elite.finviz.com/quote.ashx?t=ARCT&amp;ty=c&amp;p=d&amp;b=1", "ARCT")</f>
        <v>ARCT</v>
      </c>
      <c r="B2285">
        <v>6</v>
      </c>
      <c r="C2285">
        <v>127.03</v>
      </c>
      <c r="D2285">
        <v>72.72</v>
      </c>
      <c r="E2285" t="s">
        <v>22522</v>
      </c>
      <c r="F2285" t="s">
        <v>67</v>
      </c>
      <c r="G2285" t="s">
        <v>428</v>
      </c>
      <c r="H2285" t="s">
        <v>429</v>
      </c>
      <c r="I2285" t="s">
        <v>70</v>
      </c>
      <c r="J2285" t="s">
        <v>321</v>
      </c>
      <c r="K2285">
        <v>598.22</v>
      </c>
      <c r="L2285">
        <v>22.03</v>
      </c>
      <c r="M2285" t="s">
        <v>3455</v>
      </c>
      <c r="N2285">
        <v>257974</v>
      </c>
      <c r="R2285">
        <v>5.45</v>
      </c>
      <c r="S2285">
        <v>2.59</v>
      </c>
      <c r="AA2285">
        <v>-2.2200000000000002</v>
      </c>
      <c r="AB2285" t="s">
        <v>13604</v>
      </c>
      <c r="AC2285" t="s">
        <v>4282</v>
      </c>
      <c r="AD2285" t="s">
        <v>18069</v>
      </c>
      <c r="AE2285" t="s">
        <v>7824</v>
      </c>
      <c r="AF2285" t="s">
        <v>22523</v>
      </c>
      <c r="AG2285" t="s">
        <v>22524</v>
      </c>
      <c r="AH2285" t="s">
        <v>22525</v>
      </c>
      <c r="AI2285" t="s">
        <v>22526</v>
      </c>
      <c r="AJ2285" t="s">
        <v>164</v>
      </c>
      <c r="AK2285" t="s">
        <v>22527</v>
      </c>
      <c r="AL2285">
        <v>5.9</v>
      </c>
      <c r="AM2285">
        <v>5.9</v>
      </c>
      <c r="AN2285">
        <v>0.12</v>
      </c>
      <c r="AO2285" t="s">
        <v>22528</v>
      </c>
      <c r="AP2285" t="s">
        <v>22529</v>
      </c>
      <c r="AQ2285" t="s">
        <v>22530</v>
      </c>
      <c r="AR2285" t="s">
        <v>2205</v>
      </c>
      <c r="AS2285" t="s">
        <v>2776</v>
      </c>
      <c r="AT2285" t="s">
        <v>8063</v>
      </c>
      <c r="AU2285" t="s">
        <v>7895</v>
      </c>
      <c r="AV2285" t="s">
        <v>22531</v>
      </c>
      <c r="AW2285" t="s">
        <v>6493</v>
      </c>
      <c r="AX2285" t="s">
        <v>21680</v>
      </c>
      <c r="AY2285" t="s">
        <v>19919</v>
      </c>
      <c r="AZ2285" t="s">
        <v>22532</v>
      </c>
      <c r="BA2285">
        <v>1</v>
      </c>
      <c r="BB2285">
        <v>582.61</v>
      </c>
      <c r="BC2285">
        <v>1.56</v>
      </c>
      <c r="BD2285">
        <v>20.309999999999999</v>
      </c>
      <c r="BE2285">
        <v>22.07</v>
      </c>
      <c r="BF2285">
        <v>20.51</v>
      </c>
      <c r="BG2285" t="s">
        <v>22533</v>
      </c>
      <c r="BH2285" t="s">
        <v>22534</v>
      </c>
      <c r="BI2285" t="s">
        <v>22535</v>
      </c>
      <c r="BJ2285" t="s">
        <v>101</v>
      </c>
      <c r="BK2285" t="s">
        <v>22536</v>
      </c>
      <c r="BL2285" t="s">
        <v>12688</v>
      </c>
      <c r="BM2285" t="s">
        <v>5692</v>
      </c>
      <c r="BN2285" t="s">
        <v>14623</v>
      </c>
    </row>
    <row r="2286" spans="1:66" x14ac:dyDescent="0.25">
      <c r="A2286" t="str">
        <f>HYPERLINK("https://elite.finviz.com/quote.ashx?t=APEI&amp;ty=c&amp;p=d&amp;b=1", "APEI")</f>
        <v>APEI</v>
      </c>
      <c r="B2286">
        <v>6</v>
      </c>
      <c r="C2286">
        <v>127.03</v>
      </c>
      <c r="D2286">
        <v>72.819999999999993</v>
      </c>
      <c r="E2286" t="s">
        <v>22537</v>
      </c>
      <c r="F2286" t="s">
        <v>67</v>
      </c>
      <c r="G2286" t="s">
        <v>2244</v>
      </c>
      <c r="H2286" t="s">
        <v>2483</v>
      </c>
      <c r="I2286" t="s">
        <v>70</v>
      </c>
      <c r="J2286" t="s">
        <v>321</v>
      </c>
      <c r="K2286">
        <v>681.67</v>
      </c>
      <c r="L2286">
        <v>37.729999999999997</v>
      </c>
      <c r="M2286" t="s">
        <v>5424</v>
      </c>
      <c r="N2286">
        <v>27737</v>
      </c>
      <c r="O2286">
        <v>35.770000000000003</v>
      </c>
      <c r="P2286">
        <v>15.9</v>
      </c>
      <c r="Q2286">
        <v>0.78</v>
      </c>
      <c r="R2286">
        <v>1.06</v>
      </c>
      <c r="S2286">
        <v>2.5</v>
      </c>
      <c r="Z2286" t="s">
        <v>164</v>
      </c>
      <c r="AA2286">
        <v>1.05</v>
      </c>
      <c r="AB2286" t="s">
        <v>21194</v>
      </c>
      <c r="AC2286" t="s">
        <v>708</v>
      </c>
      <c r="AD2286" t="s">
        <v>5945</v>
      </c>
      <c r="AE2286" t="s">
        <v>2370</v>
      </c>
      <c r="AF2286" t="s">
        <v>15187</v>
      </c>
      <c r="AG2286" t="s">
        <v>2631</v>
      </c>
      <c r="AH2286" t="s">
        <v>3389</v>
      </c>
      <c r="AI2286" t="s">
        <v>22538</v>
      </c>
      <c r="AJ2286" t="s">
        <v>17955</v>
      </c>
      <c r="AK2286" t="s">
        <v>22539</v>
      </c>
      <c r="AL2286">
        <v>2.83</v>
      </c>
      <c r="AM2286">
        <v>2.83</v>
      </c>
      <c r="AN2286">
        <v>0.72</v>
      </c>
      <c r="AO2286" t="s">
        <v>10284</v>
      </c>
      <c r="AP2286" t="s">
        <v>6392</v>
      </c>
      <c r="AQ2286" t="s">
        <v>295</v>
      </c>
      <c r="AR2286" t="s">
        <v>7154</v>
      </c>
      <c r="AS2286" t="s">
        <v>8818</v>
      </c>
      <c r="AT2286" t="s">
        <v>1960</v>
      </c>
      <c r="AU2286" t="s">
        <v>8982</v>
      </c>
      <c r="AV2286" t="s">
        <v>9129</v>
      </c>
      <c r="AW2286" t="s">
        <v>3967</v>
      </c>
      <c r="AX2286" t="s">
        <v>22540</v>
      </c>
      <c r="AY2286" t="s">
        <v>3967</v>
      </c>
      <c r="AZ2286" t="s">
        <v>22541</v>
      </c>
      <c r="BA2286">
        <v>1.25</v>
      </c>
      <c r="BB2286">
        <v>278.97000000000003</v>
      </c>
      <c r="BC2286">
        <v>0.35</v>
      </c>
      <c r="BD2286">
        <v>38.049999999999997</v>
      </c>
      <c r="BE2286">
        <v>38.21</v>
      </c>
      <c r="BF2286">
        <v>37.5</v>
      </c>
      <c r="BG2286" t="s">
        <v>22542</v>
      </c>
      <c r="BH2286" t="s">
        <v>22543</v>
      </c>
      <c r="BI2286" t="s">
        <v>22544</v>
      </c>
      <c r="BJ2286" t="s">
        <v>101</v>
      </c>
      <c r="BK2286" t="s">
        <v>3748</v>
      </c>
      <c r="BL2286" t="s">
        <v>22545</v>
      </c>
      <c r="BM2286" t="s">
        <v>22546</v>
      </c>
      <c r="BN2286" t="s">
        <v>14623</v>
      </c>
    </row>
    <row r="2287" spans="1:66" x14ac:dyDescent="0.25">
      <c r="A2287" t="str">
        <f>HYPERLINK("https://elite.finviz.com/quote.ashx?t=KRRO&amp;ty=c&amp;p=d&amp;b=1", "KRRO")</f>
        <v>KRRO</v>
      </c>
      <c r="B2287">
        <v>6</v>
      </c>
      <c r="C2287">
        <v>127.03</v>
      </c>
      <c r="D2287">
        <v>73.05</v>
      </c>
      <c r="E2287" t="s">
        <v>22547</v>
      </c>
      <c r="F2287" t="s">
        <v>67</v>
      </c>
      <c r="G2287" t="s">
        <v>428</v>
      </c>
      <c r="H2287" t="s">
        <v>429</v>
      </c>
      <c r="I2287" t="s">
        <v>70</v>
      </c>
      <c r="J2287" t="s">
        <v>321</v>
      </c>
      <c r="K2287">
        <v>373.38</v>
      </c>
      <c r="L2287">
        <v>39.76</v>
      </c>
      <c r="M2287" t="s">
        <v>6460</v>
      </c>
      <c r="N2287">
        <v>16137</v>
      </c>
      <c r="R2287">
        <v>59.46</v>
      </c>
      <c r="S2287">
        <v>3.24</v>
      </c>
      <c r="AA2287">
        <v>-9.75</v>
      </c>
      <c r="AB2287" t="s">
        <v>12899</v>
      </c>
      <c r="AC2287" t="s">
        <v>4664</v>
      </c>
      <c r="AD2287" t="s">
        <v>7449</v>
      </c>
      <c r="AF2287" t="s">
        <v>11618</v>
      </c>
      <c r="AG2287" t="s">
        <v>22548</v>
      </c>
      <c r="AI2287" t="s">
        <v>14672</v>
      </c>
      <c r="AJ2287" t="s">
        <v>164</v>
      </c>
      <c r="AK2287" t="s">
        <v>22549</v>
      </c>
      <c r="AL2287">
        <v>5.98</v>
      </c>
      <c r="AM2287">
        <v>5.98</v>
      </c>
      <c r="AN2287">
        <v>0.39</v>
      </c>
      <c r="AO2287" t="s">
        <v>9547</v>
      </c>
      <c r="AP2287" t="s">
        <v>22550</v>
      </c>
      <c r="AQ2287" t="s">
        <v>22551</v>
      </c>
      <c r="AR2287" t="s">
        <v>5127</v>
      </c>
      <c r="AS2287" t="s">
        <v>4109</v>
      </c>
      <c r="AT2287" t="s">
        <v>12136</v>
      </c>
      <c r="AU2287" t="s">
        <v>14121</v>
      </c>
      <c r="AV2287" t="s">
        <v>9328</v>
      </c>
      <c r="AW2287" t="s">
        <v>2294</v>
      </c>
      <c r="AX2287" t="s">
        <v>22552</v>
      </c>
      <c r="AY2287" t="s">
        <v>22553</v>
      </c>
      <c r="AZ2287" t="s">
        <v>22554</v>
      </c>
      <c r="BA2287">
        <v>1</v>
      </c>
      <c r="BB2287">
        <v>174.13</v>
      </c>
      <c r="BC2287">
        <v>0.33</v>
      </c>
      <c r="BD2287">
        <v>38.15</v>
      </c>
      <c r="BE2287">
        <v>39.35</v>
      </c>
      <c r="BF2287">
        <v>37.99</v>
      </c>
      <c r="BG2287" t="s">
        <v>22555</v>
      </c>
      <c r="BH2287" t="s">
        <v>22556</v>
      </c>
      <c r="BI2287" t="s">
        <v>22557</v>
      </c>
      <c r="BJ2287" t="s">
        <v>101</v>
      </c>
      <c r="BK2287" t="s">
        <v>22558</v>
      </c>
      <c r="BL2287" t="s">
        <v>12483</v>
      </c>
      <c r="BM2287" t="s">
        <v>7775</v>
      </c>
      <c r="BN2287" t="s">
        <v>14623</v>
      </c>
    </row>
    <row r="2288" spans="1:66" x14ac:dyDescent="0.25">
      <c r="A2288" t="str">
        <f>HYPERLINK("https://elite.finviz.com/quote.ashx?t=NWN&amp;ty=c&amp;p=d&amp;b=1", "NWN")</f>
        <v>NWN</v>
      </c>
      <c r="B2288">
        <v>6</v>
      </c>
      <c r="C2288">
        <v>127.03</v>
      </c>
      <c r="D2288">
        <v>73.13</v>
      </c>
      <c r="E2288" t="s">
        <v>22559</v>
      </c>
      <c r="F2288" t="s">
        <v>67</v>
      </c>
      <c r="G2288" t="s">
        <v>287</v>
      </c>
      <c r="H2288" t="s">
        <v>3541</v>
      </c>
      <c r="I2288" t="s">
        <v>70</v>
      </c>
      <c r="J2288" t="s">
        <v>71</v>
      </c>
      <c r="K2288">
        <v>1806.82</v>
      </c>
      <c r="L2288">
        <v>44.13</v>
      </c>
      <c r="M2288" t="s">
        <v>5577</v>
      </c>
      <c r="N2288">
        <v>54850</v>
      </c>
      <c r="O2288">
        <v>17.440000000000001</v>
      </c>
      <c r="P2288">
        <v>14.59</v>
      </c>
      <c r="Q2288">
        <v>1.47</v>
      </c>
      <c r="R2288">
        <v>1.46</v>
      </c>
      <c r="S2288">
        <v>1.24</v>
      </c>
      <c r="T2288" t="s">
        <v>3480</v>
      </c>
      <c r="U2288">
        <v>1.96</v>
      </c>
      <c r="V2288" t="s">
        <v>5604</v>
      </c>
      <c r="W2288" t="s">
        <v>4271</v>
      </c>
      <c r="X2288" t="s">
        <v>4271</v>
      </c>
      <c r="Y2288" t="s">
        <v>4271</v>
      </c>
      <c r="Z2288" t="s">
        <v>10870</v>
      </c>
      <c r="AA2288">
        <v>2.5299999999999998</v>
      </c>
      <c r="AB2288" t="s">
        <v>5703</v>
      </c>
      <c r="AC2288" t="s">
        <v>1364</v>
      </c>
      <c r="AD2288" t="s">
        <v>2819</v>
      </c>
      <c r="AE2288" t="s">
        <v>1252</v>
      </c>
      <c r="AF2288" t="s">
        <v>8401</v>
      </c>
      <c r="AG2288" t="s">
        <v>2093</v>
      </c>
      <c r="AH2288" t="s">
        <v>7976</v>
      </c>
      <c r="AI2288" t="s">
        <v>22560</v>
      </c>
      <c r="AJ2288" t="s">
        <v>9100</v>
      </c>
      <c r="AK2288" t="s">
        <v>22561</v>
      </c>
      <c r="AL2288">
        <v>0.68</v>
      </c>
      <c r="AM2288">
        <v>0.52</v>
      </c>
      <c r="AN2288">
        <v>1.69</v>
      </c>
      <c r="AO2288" t="s">
        <v>22562</v>
      </c>
      <c r="AP2288" t="s">
        <v>1209</v>
      </c>
      <c r="AQ2288" t="s">
        <v>3050</v>
      </c>
      <c r="AR2288" t="s">
        <v>3976</v>
      </c>
      <c r="AS2288" t="s">
        <v>907</v>
      </c>
      <c r="AT2288" t="s">
        <v>169</v>
      </c>
      <c r="AU2288" t="s">
        <v>8855</v>
      </c>
      <c r="AV2288" t="s">
        <v>296</v>
      </c>
      <c r="AW2288" t="s">
        <v>211</v>
      </c>
      <c r="AX2288" t="s">
        <v>2365</v>
      </c>
      <c r="AY2288" t="s">
        <v>1714</v>
      </c>
      <c r="AZ2288" t="s">
        <v>22563</v>
      </c>
      <c r="BA2288">
        <v>1.5</v>
      </c>
      <c r="BB2288">
        <v>263.33999999999997</v>
      </c>
      <c r="BC2288">
        <v>0.73</v>
      </c>
      <c r="BD2288">
        <v>43.69</v>
      </c>
      <c r="BE2288">
        <v>44.58</v>
      </c>
      <c r="BF2288">
        <v>43.72</v>
      </c>
      <c r="BG2288" t="s">
        <v>22564</v>
      </c>
      <c r="BH2288" t="s">
        <v>11972</v>
      </c>
      <c r="BI2288" t="s">
        <v>22565</v>
      </c>
      <c r="BJ2288" t="s">
        <v>101</v>
      </c>
      <c r="BK2288" t="s">
        <v>6587</v>
      </c>
      <c r="BL2288" t="s">
        <v>276</v>
      </c>
      <c r="BM2288" t="s">
        <v>4288</v>
      </c>
      <c r="BN2288" t="s">
        <v>14623</v>
      </c>
    </row>
    <row r="2289" spans="1:66" x14ac:dyDescent="0.25">
      <c r="A2289" t="str">
        <f>HYPERLINK("https://elite.finviz.com/quote.ashx?t=FULC&amp;ty=c&amp;p=d&amp;b=1", "FULC")</f>
        <v>FULC</v>
      </c>
      <c r="B2289">
        <v>6</v>
      </c>
      <c r="C2289">
        <v>127.03</v>
      </c>
      <c r="D2289">
        <v>73.209999999999994</v>
      </c>
      <c r="E2289" t="s">
        <v>22566</v>
      </c>
      <c r="F2289" t="s">
        <v>67</v>
      </c>
      <c r="G2289" t="s">
        <v>428</v>
      </c>
      <c r="H2289" t="s">
        <v>429</v>
      </c>
      <c r="I2289" t="s">
        <v>70</v>
      </c>
      <c r="J2289" t="s">
        <v>321</v>
      </c>
      <c r="K2289">
        <v>467.77</v>
      </c>
      <c r="L2289">
        <v>8.65</v>
      </c>
      <c r="M2289" t="s">
        <v>2195</v>
      </c>
      <c r="N2289">
        <v>239231</v>
      </c>
      <c r="S2289">
        <v>2.1800000000000002</v>
      </c>
      <c r="AA2289">
        <v>-1.21</v>
      </c>
      <c r="AB2289" t="s">
        <v>12459</v>
      </c>
      <c r="AC2289" t="s">
        <v>22567</v>
      </c>
      <c r="AE2289" t="s">
        <v>579</v>
      </c>
      <c r="AF2289" t="s">
        <v>12904</v>
      </c>
      <c r="AH2289" t="s">
        <v>579</v>
      </c>
      <c r="AI2289" t="s">
        <v>6150</v>
      </c>
      <c r="AJ2289" t="s">
        <v>1249</v>
      </c>
      <c r="AK2289" t="s">
        <v>17372</v>
      </c>
      <c r="AL2289">
        <v>24.42</v>
      </c>
      <c r="AM2289">
        <v>24.42</v>
      </c>
      <c r="AN2289">
        <v>0.04</v>
      </c>
      <c r="AR2289" t="s">
        <v>954</v>
      </c>
      <c r="AS2289" t="s">
        <v>8460</v>
      </c>
      <c r="AT2289" t="s">
        <v>2171</v>
      </c>
      <c r="AU2289" t="s">
        <v>16647</v>
      </c>
      <c r="AV2289" t="s">
        <v>17912</v>
      </c>
      <c r="AW2289" t="s">
        <v>4780</v>
      </c>
      <c r="AX2289" t="s">
        <v>6762</v>
      </c>
      <c r="AY2289" t="s">
        <v>4780</v>
      </c>
      <c r="AZ2289" t="s">
        <v>22568</v>
      </c>
      <c r="BA2289">
        <v>1.71</v>
      </c>
      <c r="BB2289">
        <v>669.34</v>
      </c>
      <c r="BC2289">
        <v>1.26</v>
      </c>
      <c r="BD2289">
        <v>8.5</v>
      </c>
      <c r="BE2289">
        <v>8.91</v>
      </c>
      <c r="BF2289">
        <v>8.43</v>
      </c>
      <c r="BG2289" t="s">
        <v>22569</v>
      </c>
      <c r="BH2289" t="s">
        <v>22570</v>
      </c>
      <c r="BI2289" t="s">
        <v>22571</v>
      </c>
      <c r="BJ2289" t="s">
        <v>101</v>
      </c>
      <c r="BK2289" t="s">
        <v>7254</v>
      </c>
      <c r="BL2289" t="s">
        <v>22572</v>
      </c>
      <c r="BM2289" t="s">
        <v>22573</v>
      </c>
      <c r="BN2289" t="s">
        <v>14623</v>
      </c>
    </row>
    <row r="2290" spans="1:66" x14ac:dyDescent="0.25">
      <c r="A2290" t="str">
        <f>HYPERLINK("https://elite.finviz.com/quote.ashx?t=ZIMV&amp;ty=c&amp;p=d&amp;b=1", "ZIMV")</f>
        <v>ZIMV</v>
      </c>
      <c r="B2290">
        <v>6</v>
      </c>
      <c r="C2290">
        <v>127.03</v>
      </c>
      <c r="D2290">
        <v>73.239999999999995</v>
      </c>
      <c r="E2290" t="s">
        <v>22574</v>
      </c>
      <c r="F2290" t="s">
        <v>67</v>
      </c>
      <c r="G2290" t="s">
        <v>428</v>
      </c>
      <c r="H2290" t="s">
        <v>2051</v>
      </c>
      <c r="I2290" t="s">
        <v>70</v>
      </c>
      <c r="J2290" t="s">
        <v>321</v>
      </c>
      <c r="K2290">
        <v>533.36</v>
      </c>
      <c r="L2290">
        <v>18.91</v>
      </c>
      <c r="M2290" t="s">
        <v>7709</v>
      </c>
      <c r="N2290">
        <v>39842</v>
      </c>
      <c r="P2290">
        <v>27.78</v>
      </c>
      <c r="R2290">
        <v>1.2</v>
      </c>
      <c r="S2290">
        <v>1.29</v>
      </c>
      <c r="AA2290">
        <v>-0.7</v>
      </c>
      <c r="AB2290" t="s">
        <v>14240</v>
      </c>
      <c r="AC2290" t="s">
        <v>4430</v>
      </c>
      <c r="AD2290" t="s">
        <v>2088</v>
      </c>
      <c r="AE2290" t="s">
        <v>6676</v>
      </c>
      <c r="AF2290" t="s">
        <v>22575</v>
      </c>
      <c r="AG2290" t="s">
        <v>22446</v>
      </c>
      <c r="AH2290" t="s">
        <v>1842</v>
      </c>
      <c r="AI2290" t="s">
        <v>20897</v>
      </c>
      <c r="AJ2290" t="s">
        <v>164</v>
      </c>
      <c r="AK2290" t="s">
        <v>21337</v>
      </c>
      <c r="AL2290">
        <v>2.37</v>
      </c>
      <c r="AM2290">
        <v>1.6</v>
      </c>
      <c r="AN2290">
        <v>0.56999999999999995</v>
      </c>
      <c r="AO2290" t="s">
        <v>5821</v>
      </c>
      <c r="AP2290" t="s">
        <v>3019</v>
      </c>
      <c r="AQ2290" t="s">
        <v>13232</v>
      </c>
      <c r="AR2290" t="s">
        <v>2880</v>
      </c>
      <c r="AS2290" t="s">
        <v>182</v>
      </c>
      <c r="AT2290" t="s">
        <v>2757</v>
      </c>
      <c r="AU2290" t="s">
        <v>2185</v>
      </c>
      <c r="AV2290" t="s">
        <v>21139</v>
      </c>
      <c r="AW2290" t="s">
        <v>1938</v>
      </c>
      <c r="AX2290" t="s">
        <v>22576</v>
      </c>
      <c r="AY2290" t="s">
        <v>1938</v>
      </c>
      <c r="AZ2290" t="s">
        <v>11120</v>
      </c>
      <c r="BA2290">
        <v>3</v>
      </c>
      <c r="BB2290">
        <v>683.94</v>
      </c>
      <c r="BC2290">
        <v>0.21</v>
      </c>
      <c r="BD2290">
        <v>18.91</v>
      </c>
      <c r="BE2290">
        <v>18.920000000000002</v>
      </c>
      <c r="BF2290">
        <v>18.899999999999999</v>
      </c>
      <c r="BG2290" t="s">
        <v>22577</v>
      </c>
      <c r="BH2290" t="s">
        <v>22578</v>
      </c>
      <c r="BI2290" t="s">
        <v>22579</v>
      </c>
      <c r="BJ2290" t="s">
        <v>101</v>
      </c>
      <c r="BK2290" t="s">
        <v>22580</v>
      </c>
      <c r="BL2290" t="s">
        <v>12837</v>
      </c>
      <c r="BM2290" t="s">
        <v>1477</v>
      </c>
      <c r="BN2290" t="s">
        <v>14623</v>
      </c>
    </row>
    <row r="2291" spans="1:66" x14ac:dyDescent="0.25">
      <c r="A2291" t="str">
        <f>HYPERLINK("https://elite.finviz.com/quote.ashx?t=BSM&amp;ty=c&amp;p=d&amp;b=1", "BSM")</f>
        <v>BSM</v>
      </c>
      <c r="B2291">
        <v>6</v>
      </c>
      <c r="C2291">
        <v>127.03</v>
      </c>
      <c r="D2291">
        <v>73.45</v>
      </c>
      <c r="E2291" t="s">
        <v>22581</v>
      </c>
      <c r="F2291" t="s">
        <v>107</v>
      </c>
      <c r="G2291" t="s">
        <v>1048</v>
      </c>
      <c r="H2291" t="s">
        <v>1049</v>
      </c>
      <c r="I2291" t="s">
        <v>70</v>
      </c>
      <c r="J2291" t="s">
        <v>71</v>
      </c>
      <c r="K2291">
        <v>2851.54</v>
      </c>
      <c r="L2291">
        <v>13.46</v>
      </c>
      <c r="M2291" t="s">
        <v>6829</v>
      </c>
      <c r="N2291">
        <v>115680</v>
      </c>
      <c r="O2291">
        <v>11.65</v>
      </c>
      <c r="P2291">
        <v>11.31</v>
      </c>
      <c r="Q2291">
        <v>3.21</v>
      </c>
      <c r="R2291">
        <v>6.43</v>
      </c>
      <c r="S2291">
        <v>3.55</v>
      </c>
      <c r="T2291" t="s">
        <v>3335</v>
      </c>
      <c r="U2291">
        <v>1.43</v>
      </c>
      <c r="V2291" t="s">
        <v>2420</v>
      </c>
      <c r="W2291" t="s">
        <v>3728</v>
      </c>
      <c r="X2291" t="s">
        <v>3397</v>
      </c>
      <c r="Y2291" t="s">
        <v>2720</v>
      </c>
      <c r="Z2291" t="s">
        <v>22582</v>
      </c>
      <c r="AA2291">
        <v>1.1599999999999999</v>
      </c>
      <c r="AB2291" t="s">
        <v>2711</v>
      </c>
      <c r="AC2291" t="s">
        <v>1981</v>
      </c>
      <c r="AD2291" t="s">
        <v>3613</v>
      </c>
      <c r="AE2291" t="s">
        <v>4875</v>
      </c>
      <c r="AF2291" t="s">
        <v>706</v>
      </c>
      <c r="AG2291" t="s">
        <v>10568</v>
      </c>
      <c r="AH2291" t="s">
        <v>22583</v>
      </c>
      <c r="AI2291" t="s">
        <v>22584</v>
      </c>
      <c r="AJ2291" t="s">
        <v>141</v>
      </c>
      <c r="AK2291" t="s">
        <v>5699</v>
      </c>
      <c r="AL2291">
        <v>3.22</v>
      </c>
      <c r="AM2291">
        <v>3.22</v>
      </c>
      <c r="AN2291">
        <v>0.09</v>
      </c>
      <c r="AO2291" t="s">
        <v>21082</v>
      </c>
      <c r="AP2291" t="s">
        <v>17517</v>
      </c>
      <c r="AQ2291" t="s">
        <v>22585</v>
      </c>
      <c r="AR2291" t="s">
        <v>3551</v>
      </c>
      <c r="AS2291" t="s">
        <v>7423</v>
      </c>
      <c r="AT2291" t="s">
        <v>1254</v>
      </c>
      <c r="AU2291" t="s">
        <v>2848</v>
      </c>
      <c r="AV2291" t="s">
        <v>4131</v>
      </c>
      <c r="AW2291" t="s">
        <v>914</v>
      </c>
      <c r="AX2291" t="s">
        <v>1716</v>
      </c>
      <c r="AY2291" t="s">
        <v>19949</v>
      </c>
      <c r="AZ2291" t="s">
        <v>1716</v>
      </c>
      <c r="BA2291">
        <v>2.5</v>
      </c>
      <c r="BB2291">
        <v>534.85</v>
      </c>
      <c r="BC2291">
        <v>0.77</v>
      </c>
      <c r="BD2291">
        <v>13.27</v>
      </c>
      <c r="BE2291">
        <v>13.5</v>
      </c>
      <c r="BF2291">
        <v>13.29</v>
      </c>
      <c r="BG2291" t="s">
        <v>22586</v>
      </c>
      <c r="BH2291" t="s">
        <v>9914</v>
      </c>
      <c r="BI2291" t="s">
        <v>22587</v>
      </c>
      <c r="BJ2291" t="s">
        <v>101</v>
      </c>
      <c r="BK2291" t="s">
        <v>911</v>
      </c>
      <c r="BL2291" t="s">
        <v>15423</v>
      </c>
      <c r="BM2291" t="s">
        <v>5640</v>
      </c>
      <c r="BN2291" t="s">
        <v>14623</v>
      </c>
    </row>
    <row r="2292" spans="1:66" x14ac:dyDescent="0.25">
      <c r="A2292" t="str">
        <f>HYPERLINK("https://elite.finviz.com/quote.ashx?t=PDFS&amp;ty=c&amp;p=d&amp;b=1", "PDFS")</f>
        <v>PDFS</v>
      </c>
      <c r="B2292">
        <v>6</v>
      </c>
      <c r="C2292">
        <v>127.03</v>
      </c>
      <c r="D2292">
        <v>73.81</v>
      </c>
      <c r="E2292" t="s">
        <v>22588</v>
      </c>
      <c r="F2292" t="s">
        <v>67</v>
      </c>
      <c r="G2292" t="s">
        <v>108</v>
      </c>
      <c r="H2292" t="s">
        <v>136</v>
      </c>
      <c r="I2292" t="s">
        <v>70</v>
      </c>
      <c r="J2292" t="s">
        <v>321</v>
      </c>
      <c r="K2292">
        <v>1008.84</v>
      </c>
      <c r="L2292">
        <v>25.55</v>
      </c>
      <c r="M2292" t="s">
        <v>4507</v>
      </c>
      <c r="N2292">
        <v>30197</v>
      </c>
      <c r="O2292">
        <v>1171.79</v>
      </c>
      <c r="P2292">
        <v>22.98</v>
      </c>
      <c r="Q2292">
        <v>82.7</v>
      </c>
      <c r="R2292">
        <v>5.15</v>
      </c>
      <c r="S2292">
        <v>3.88</v>
      </c>
      <c r="Z2292" t="s">
        <v>164</v>
      </c>
      <c r="AA2292">
        <v>0.02</v>
      </c>
      <c r="AD2292" t="s">
        <v>3789</v>
      </c>
      <c r="AE2292" t="s">
        <v>5438</v>
      </c>
      <c r="AF2292" t="s">
        <v>12515</v>
      </c>
      <c r="AG2292" t="s">
        <v>4188</v>
      </c>
      <c r="AH2292" t="s">
        <v>9215</v>
      </c>
      <c r="AI2292" t="s">
        <v>4902</v>
      </c>
      <c r="AJ2292" t="s">
        <v>1324</v>
      </c>
      <c r="AK2292" t="s">
        <v>13518</v>
      </c>
      <c r="AL2292">
        <v>2.3199999999999998</v>
      </c>
      <c r="AM2292">
        <v>2.3199999999999998</v>
      </c>
      <c r="AN2292">
        <v>0.28999999999999998</v>
      </c>
      <c r="AO2292" t="s">
        <v>22589</v>
      </c>
      <c r="AP2292" t="s">
        <v>2757</v>
      </c>
      <c r="AQ2292" t="s">
        <v>3112</v>
      </c>
      <c r="AR2292" t="s">
        <v>2385</v>
      </c>
      <c r="AS2292" t="s">
        <v>891</v>
      </c>
      <c r="AT2292" t="s">
        <v>10803</v>
      </c>
      <c r="AU2292" t="s">
        <v>5886</v>
      </c>
      <c r="AV2292" t="s">
        <v>2722</v>
      </c>
      <c r="AW2292" t="s">
        <v>7907</v>
      </c>
      <c r="AX2292" t="s">
        <v>11652</v>
      </c>
      <c r="AY2292" t="s">
        <v>2388</v>
      </c>
      <c r="AZ2292" t="s">
        <v>22590</v>
      </c>
      <c r="BA2292">
        <v>1.5</v>
      </c>
      <c r="BB2292">
        <v>313.20999999999998</v>
      </c>
      <c r="BC2292">
        <v>0.34</v>
      </c>
      <c r="BD2292">
        <v>25.53</v>
      </c>
      <c r="BE2292">
        <v>25.65</v>
      </c>
      <c r="BF2292">
        <v>25.35</v>
      </c>
      <c r="BG2292" t="s">
        <v>22591</v>
      </c>
      <c r="BH2292" t="s">
        <v>15367</v>
      </c>
      <c r="BI2292" t="s">
        <v>22592</v>
      </c>
      <c r="BJ2292" t="s">
        <v>101</v>
      </c>
      <c r="BK2292" t="s">
        <v>7123</v>
      </c>
      <c r="BL2292" t="s">
        <v>11684</v>
      </c>
      <c r="BM2292" t="s">
        <v>13921</v>
      </c>
      <c r="BN2292" t="s">
        <v>14623</v>
      </c>
    </row>
    <row r="2293" spans="1:66" x14ac:dyDescent="0.25">
      <c r="A2293" t="str">
        <f>HYPERLINK("https://elite.finviz.com/quote.ashx?t=FTK&amp;ty=c&amp;p=d&amp;b=1", "FTK")</f>
        <v>FTK</v>
      </c>
      <c r="B2293">
        <v>6</v>
      </c>
      <c r="C2293">
        <v>127.03</v>
      </c>
      <c r="D2293">
        <v>73.81</v>
      </c>
      <c r="E2293" t="s">
        <v>22593</v>
      </c>
      <c r="F2293" t="s">
        <v>67</v>
      </c>
      <c r="G2293" t="s">
        <v>1048</v>
      </c>
      <c r="H2293" t="s">
        <v>8341</v>
      </c>
      <c r="I2293" t="s">
        <v>70</v>
      </c>
      <c r="J2293" t="s">
        <v>71</v>
      </c>
      <c r="K2293">
        <v>435.32</v>
      </c>
      <c r="L2293">
        <v>14.58</v>
      </c>
      <c r="M2293" t="s">
        <v>1303</v>
      </c>
      <c r="N2293">
        <v>94168</v>
      </c>
      <c r="O2293">
        <v>33.049999999999997</v>
      </c>
      <c r="P2293">
        <v>15.48</v>
      </c>
      <c r="R2293">
        <v>2.0299999999999998</v>
      </c>
      <c r="S2293">
        <v>6.06</v>
      </c>
      <c r="Z2293" t="s">
        <v>164</v>
      </c>
      <c r="AA2293">
        <v>0.44</v>
      </c>
      <c r="AE2293" t="s">
        <v>2485</v>
      </c>
      <c r="AF2293" t="s">
        <v>20171</v>
      </c>
      <c r="AG2293" t="s">
        <v>684</v>
      </c>
      <c r="AH2293" t="s">
        <v>8196</v>
      </c>
      <c r="AI2293" t="s">
        <v>7221</v>
      </c>
      <c r="AJ2293" t="s">
        <v>2757</v>
      </c>
      <c r="AK2293" t="s">
        <v>19644</v>
      </c>
      <c r="AL2293">
        <v>1.59</v>
      </c>
      <c r="AM2293">
        <v>1.36</v>
      </c>
      <c r="AN2293">
        <v>0.73</v>
      </c>
      <c r="AO2293" t="s">
        <v>4398</v>
      </c>
      <c r="AP2293" t="s">
        <v>10114</v>
      </c>
      <c r="AQ2293" t="s">
        <v>6075</v>
      </c>
      <c r="AR2293" t="s">
        <v>2922</v>
      </c>
      <c r="AS2293" t="s">
        <v>2370</v>
      </c>
      <c r="AT2293" t="s">
        <v>8982</v>
      </c>
      <c r="AU2293" t="s">
        <v>15593</v>
      </c>
      <c r="AV2293" t="s">
        <v>5315</v>
      </c>
      <c r="AW2293" t="s">
        <v>944</v>
      </c>
      <c r="AX2293" t="s">
        <v>7895</v>
      </c>
      <c r="AY2293" t="s">
        <v>18365</v>
      </c>
      <c r="AZ2293" t="s">
        <v>22594</v>
      </c>
      <c r="BA2293">
        <v>1</v>
      </c>
      <c r="BB2293">
        <v>519.88</v>
      </c>
      <c r="BC2293">
        <v>0.64</v>
      </c>
      <c r="BD2293">
        <v>14.32</v>
      </c>
      <c r="BE2293">
        <v>14.62</v>
      </c>
      <c r="BF2293">
        <v>14.09</v>
      </c>
      <c r="BG2293" t="s">
        <v>22595</v>
      </c>
      <c r="BH2293" t="s">
        <v>21516</v>
      </c>
      <c r="BI2293" t="s">
        <v>22596</v>
      </c>
      <c r="BJ2293" t="s">
        <v>101</v>
      </c>
      <c r="BK2293" t="s">
        <v>9925</v>
      </c>
      <c r="BL2293" t="s">
        <v>17383</v>
      </c>
      <c r="BM2293" t="s">
        <v>22597</v>
      </c>
      <c r="BN2293" t="s">
        <v>14623</v>
      </c>
    </row>
    <row r="2294" spans="1:66" x14ac:dyDescent="0.25">
      <c r="A2294" t="str">
        <f>HYPERLINK("https://elite.finviz.com/quote.ashx?t=LCCC&amp;ty=c&amp;p=d&amp;b=1", "LCCC")</f>
        <v>LCCC</v>
      </c>
      <c r="B2294">
        <v>6</v>
      </c>
      <c r="C2294">
        <v>127.03</v>
      </c>
      <c r="D2294">
        <v>73.81</v>
      </c>
      <c r="E2294" t="s">
        <v>22598</v>
      </c>
      <c r="F2294" t="s">
        <v>107</v>
      </c>
      <c r="G2294" t="s">
        <v>550</v>
      </c>
      <c r="H2294" t="s">
        <v>2120</v>
      </c>
      <c r="I2294" t="s">
        <v>70</v>
      </c>
      <c r="J2294" t="s">
        <v>321</v>
      </c>
      <c r="K2294">
        <v>89.8</v>
      </c>
      <c r="L2294">
        <v>10.09</v>
      </c>
      <c r="M2294" t="s">
        <v>164</v>
      </c>
      <c r="N2294">
        <v>0</v>
      </c>
      <c r="S2294">
        <v>1.32</v>
      </c>
      <c r="AJ2294" t="s">
        <v>164</v>
      </c>
      <c r="AK2294" t="s">
        <v>12280</v>
      </c>
      <c r="AL2294">
        <v>14.41</v>
      </c>
      <c r="AM2294">
        <v>14.41</v>
      </c>
      <c r="AN2294">
        <v>0</v>
      </c>
      <c r="AR2294" t="s">
        <v>211</v>
      </c>
      <c r="AS2294" t="s">
        <v>1324</v>
      </c>
      <c r="AT2294" t="s">
        <v>2642</v>
      </c>
      <c r="AU2294" t="s">
        <v>1657</v>
      </c>
      <c r="AV2294" t="s">
        <v>1657</v>
      </c>
      <c r="AW2294" t="s">
        <v>4763</v>
      </c>
      <c r="AX2294" t="s">
        <v>3493</v>
      </c>
      <c r="AY2294" t="s">
        <v>4763</v>
      </c>
      <c r="AZ2294" t="s">
        <v>3493</v>
      </c>
      <c r="BB2294">
        <v>57.6</v>
      </c>
      <c r="BC2294">
        <v>0</v>
      </c>
      <c r="BD2294">
        <v>10.09</v>
      </c>
      <c r="BE2294">
        <v>10.09</v>
      </c>
      <c r="BF2294">
        <v>10.09</v>
      </c>
      <c r="BG2294" t="s">
        <v>22599</v>
      </c>
      <c r="BH2294" t="s">
        <v>4763</v>
      </c>
      <c r="BI2294" t="s">
        <v>3493</v>
      </c>
      <c r="BJ2294" t="s">
        <v>101</v>
      </c>
      <c r="BN2294" t="s">
        <v>14623</v>
      </c>
    </row>
    <row r="2295" spans="1:66" x14ac:dyDescent="0.25">
      <c r="A2295" t="str">
        <f>HYPERLINK("https://elite.finviz.com/quote.ashx?t=STOK&amp;ty=c&amp;p=d&amp;b=1", "STOK")</f>
        <v>STOK</v>
      </c>
      <c r="B2295">
        <v>6</v>
      </c>
      <c r="C2295">
        <v>127.03</v>
      </c>
      <c r="D2295">
        <v>73.87</v>
      </c>
      <c r="E2295" t="s">
        <v>22600</v>
      </c>
      <c r="F2295" t="s">
        <v>67</v>
      </c>
      <c r="G2295" t="s">
        <v>428</v>
      </c>
      <c r="H2295" t="s">
        <v>429</v>
      </c>
      <c r="I2295" t="s">
        <v>70</v>
      </c>
      <c r="J2295" t="s">
        <v>321</v>
      </c>
      <c r="K2295">
        <v>1315.14</v>
      </c>
      <c r="L2295">
        <v>24</v>
      </c>
      <c r="M2295" t="s">
        <v>4052</v>
      </c>
      <c r="N2295">
        <v>448355</v>
      </c>
      <c r="O2295">
        <v>28.4</v>
      </c>
      <c r="R2295">
        <v>6.58</v>
      </c>
      <c r="S2295">
        <v>3.92</v>
      </c>
      <c r="AA2295">
        <v>0.84</v>
      </c>
      <c r="AB2295" t="s">
        <v>8188</v>
      </c>
      <c r="AC2295" t="s">
        <v>2195</v>
      </c>
      <c r="AD2295" t="s">
        <v>18055</v>
      </c>
      <c r="AE2295" t="s">
        <v>22601</v>
      </c>
      <c r="AH2295" t="s">
        <v>22602</v>
      </c>
      <c r="AI2295" t="s">
        <v>12627</v>
      </c>
      <c r="AJ2295" t="s">
        <v>6511</v>
      </c>
      <c r="AK2295" t="s">
        <v>22603</v>
      </c>
      <c r="AL2295">
        <v>6.98</v>
      </c>
      <c r="AM2295">
        <v>6.98</v>
      </c>
      <c r="AN2295">
        <v>0.01</v>
      </c>
      <c r="AO2295" t="s">
        <v>12374</v>
      </c>
      <c r="AP2295" t="s">
        <v>718</v>
      </c>
      <c r="AQ2295" t="s">
        <v>10462</v>
      </c>
      <c r="AR2295" t="s">
        <v>3887</v>
      </c>
      <c r="AS2295" t="s">
        <v>3057</v>
      </c>
      <c r="AT2295" t="s">
        <v>4293</v>
      </c>
      <c r="AU2295" t="s">
        <v>12527</v>
      </c>
      <c r="AV2295" t="s">
        <v>11759</v>
      </c>
      <c r="AW2295" t="s">
        <v>7272</v>
      </c>
      <c r="AX2295" t="s">
        <v>22604</v>
      </c>
      <c r="AY2295" t="s">
        <v>7272</v>
      </c>
      <c r="AZ2295" t="s">
        <v>22605</v>
      </c>
      <c r="BA2295">
        <v>1.18</v>
      </c>
      <c r="BB2295">
        <v>887.89</v>
      </c>
      <c r="BC2295">
        <v>1.78</v>
      </c>
      <c r="BD2295">
        <v>22.95</v>
      </c>
      <c r="BE2295">
        <v>24.15</v>
      </c>
      <c r="BF2295">
        <v>23</v>
      </c>
      <c r="BG2295" t="s">
        <v>22606</v>
      </c>
      <c r="BH2295" t="s">
        <v>22607</v>
      </c>
      <c r="BI2295" t="s">
        <v>22608</v>
      </c>
      <c r="BJ2295" t="s">
        <v>101</v>
      </c>
      <c r="BK2295" t="s">
        <v>22609</v>
      </c>
      <c r="BL2295" t="s">
        <v>22610</v>
      </c>
      <c r="BM2295" t="s">
        <v>11442</v>
      </c>
      <c r="BN2295" t="s">
        <v>14623</v>
      </c>
    </row>
    <row r="2296" spans="1:66" x14ac:dyDescent="0.25">
      <c r="A2296" t="str">
        <f>HYPERLINK("https://elite.finviz.com/quote.ashx?t=III&amp;ty=c&amp;p=d&amp;b=1", "III")</f>
        <v>III</v>
      </c>
      <c r="B2296">
        <v>6</v>
      </c>
      <c r="C2296">
        <v>127.03</v>
      </c>
      <c r="D2296">
        <v>74.22</v>
      </c>
      <c r="E2296" t="s">
        <v>22611</v>
      </c>
      <c r="F2296" t="s">
        <v>67</v>
      </c>
      <c r="G2296" t="s">
        <v>108</v>
      </c>
      <c r="H2296" t="s">
        <v>1322</v>
      </c>
      <c r="I2296" t="s">
        <v>70</v>
      </c>
      <c r="J2296" t="s">
        <v>321</v>
      </c>
      <c r="K2296">
        <v>280.02</v>
      </c>
      <c r="L2296">
        <v>5.81</v>
      </c>
      <c r="M2296" t="s">
        <v>6117</v>
      </c>
      <c r="N2296">
        <v>60436</v>
      </c>
      <c r="O2296">
        <v>37.22</v>
      </c>
      <c r="P2296">
        <v>29.34</v>
      </c>
      <c r="R2296">
        <v>1.17</v>
      </c>
      <c r="S2296">
        <v>2.98</v>
      </c>
      <c r="T2296" t="s">
        <v>1932</v>
      </c>
      <c r="U2296">
        <v>0.18</v>
      </c>
      <c r="V2296" t="s">
        <v>4548</v>
      </c>
      <c r="W2296" t="s">
        <v>4907</v>
      </c>
      <c r="X2296" t="s">
        <v>3397</v>
      </c>
      <c r="Z2296" t="s">
        <v>22612</v>
      </c>
      <c r="AA2296">
        <v>0.16</v>
      </c>
      <c r="AB2296" t="s">
        <v>22613</v>
      </c>
      <c r="AC2296" t="s">
        <v>6080</v>
      </c>
      <c r="AE2296" t="s">
        <v>8115</v>
      </c>
      <c r="AF2296" t="s">
        <v>5913</v>
      </c>
      <c r="AG2296" t="s">
        <v>13117</v>
      </c>
      <c r="AH2296" t="s">
        <v>10747</v>
      </c>
      <c r="AI2296" t="s">
        <v>2681</v>
      </c>
      <c r="AJ2296" t="s">
        <v>3227</v>
      </c>
      <c r="AK2296" t="s">
        <v>10746</v>
      </c>
      <c r="AL2296">
        <v>2.4300000000000002</v>
      </c>
      <c r="AM2296">
        <v>2.4300000000000002</v>
      </c>
      <c r="AN2296">
        <v>0.66</v>
      </c>
      <c r="AO2296" t="s">
        <v>16002</v>
      </c>
      <c r="AP2296" t="s">
        <v>5319</v>
      </c>
      <c r="AQ2296" t="s">
        <v>2317</v>
      </c>
      <c r="AR2296" t="s">
        <v>2170</v>
      </c>
      <c r="AS2296" t="s">
        <v>2624</v>
      </c>
      <c r="AT2296" t="s">
        <v>2447</v>
      </c>
      <c r="AU2296" t="s">
        <v>1005</v>
      </c>
      <c r="AV2296" t="s">
        <v>7248</v>
      </c>
      <c r="AW2296" t="s">
        <v>4271</v>
      </c>
      <c r="AX2296" t="s">
        <v>1994</v>
      </c>
      <c r="AY2296" t="s">
        <v>4271</v>
      </c>
      <c r="AZ2296" t="s">
        <v>22614</v>
      </c>
      <c r="BA2296">
        <v>1</v>
      </c>
      <c r="BB2296">
        <v>247.21</v>
      </c>
      <c r="BC2296">
        <v>0.86</v>
      </c>
      <c r="BD2296">
        <v>5.76</v>
      </c>
      <c r="BE2296">
        <v>5.83</v>
      </c>
      <c r="BF2296">
        <v>5.75</v>
      </c>
      <c r="BG2296" t="s">
        <v>22615</v>
      </c>
      <c r="BH2296" t="s">
        <v>8876</v>
      </c>
      <c r="BI2296" t="s">
        <v>22616</v>
      </c>
      <c r="BJ2296" t="s">
        <v>101</v>
      </c>
      <c r="BK2296" t="s">
        <v>4451</v>
      </c>
      <c r="BL2296" t="s">
        <v>9360</v>
      </c>
      <c r="BM2296" t="s">
        <v>11010</v>
      </c>
      <c r="BN2296" t="s">
        <v>14623</v>
      </c>
    </row>
    <row r="2297" spans="1:66" x14ac:dyDescent="0.25">
      <c r="A2297" t="str">
        <f>HYPERLINK("https://elite.finviz.com/quote.ashx?t=KYMR&amp;ty=c&amp;p=d&amp;b=1", "KYMR")</f>
        <v>KYMR</v>
      </c>
      <c r="B2297">
        <v>6</v>
      </c>
      <c r="C2297">
        <v>127.03</v>
      </c>
      <c r="D2297">
        <v>74.239999999999995</v>
      </c>
      <c r="E2297" t="s">
        <v>22617</v>
      </c>
      <c r="F2297" t="s">
        <v>67</v>
      </c>
      <c r="G2297" t="s">
        <v>428</v>
      </c>
      <c r="H2297" t="s">
        <v>429</v>
      </c>
      <c r="I2297" t="s">
        <v>70</v>
      </c>
      <c r="J2297" t="s">
        <v>321</v>
      </c>
      <c r="K2297">
        <v>3943.8</v>
      </c>
      <c r="L2297">
        <v>55.16</v>
      </c>
      <c r="M2297" t="s">
        <v>213</v>
      </c>
      <c r="N2297">
        <v>184073</v>
      </c>
      <c r="R2297">
        <v>88.21</v>
      </c>
      <c r="S2297">
        <v>4.01</v>
      </c>
      <c r="AA2297">
        <v>-3.48</v>
      </c>
      <c r="AB2297" t="s">
        <v>12945</v>
      </c>
      <c r="AC2297" t="s">
        <v>15828</v>
      </c>
      <c r="AD2297" t="s">
        <v>15022</v>
      </c>
      <c r="AE2297" t="s">
        <v>22618</v>
      </c>
      <c r="AF2297" t="s">
        <v>13705</v>
      </c>
      <c r="AG2297" t="s">
        <v>22619</v>
      </c>
      <c r="AH2297" t="s">
        <v>22620</v>
      </c>
      <c r="AI2297" t="s">
        <v>2747</v>
      </c>
      <c r="AJ2297" t="s">
        <v>3952</v>
      </c>
      <c r="AK2297" t="s">
        <v>22621</v>
      </c>
      <c r="AL2297">
        <v>8.32</v>
      </c>
      <c r="AM2297">
        <v>8.32</v>
      </c>
      <c r="AN2297">
        <v>0.09</v>
      </c>
      <c r="AO2297" t="s">
        <v>11832</v>
      </c>
      <c r="AP2297" t="s">
        <v>22622</v>
      </c>
      <c r="AQ2297" t="s">
        <v>22623</v>
      </c>
      <c r="AR2297" t="s">
        <v>4744</v>
      </c>
      <c r="AS2297" t="s">
        <v>1872</v>
      </c>
      <c r="AT2297" t="s">
        <v>6965</v>
      </c>
      <c r="AU2297" t="s">
        <v>12726</v>
      </c>
      <c r="AV2297" t="s">
        <v>3287</v>
      </c>
      <c r="AW2297" t="s">
        <v>5121</v>
      </c>
      <c r="AX2297" t="s">
        <v>19447</v>
      </c>
      <c r="AY2297" t="s">
        <v>5121</v>
      </c>
      <c r="AZ2297" t="s">
        <v>22624</v>
      </c>
      <c r="BA2297">
        <v>1.05</v>
      </c>
      <c r="BB2297">
        <v>772.2</v>
      </c>
      <c r="BC2297">
        <v>0.84</v>
      </c>
      <c r="BD2297">
        <v>53.74</v>
      </c>
      <c r="BE2297">
        <v>55.21</v>
      </c>
      <c r="BF2297">
        <v>53.19</v>
      </c>
      <c r="BG2297" t="s">
        <v>22625</v>
      </c>
      <c r="BH2297" t="s">
        <v>2015</v>
      </c>
      <c r="BI2297" t="s">
        <v>22626</v>
      </c>
      <c r="BJ2297" t="s">
        <v>101</v>
      </c>
      <c r="BK2297" t="s">
        <v>11787</v>
      </c>
      <c r="BL2297" t="s">
        <v>22627</v>
      </c>
      <c r="BM2297" t="s">
        <v>8966</v>
      </c>
      <c r="BN2297" t="s">
        <v>14623</v>
      </c>
    </row>
    <row r="2298" spans="1:66" x14ac:dyDescent="0.25">
      <c r="A2298" t="str">
        <f>HYPERLINK("https://elite.finviz.com/quote.ashx?t=PZG&amp;ty=c&amp;p=d&amp;b=1", "PZG")</f>
        <v>PZG</v>
      </c>
      <c r="B2298">
        <v>6</v>
      </c>
      <c r="C2298">
        <v>127.03</v>
      </c>
      <c r="D2298">
        <v>74.37</v>
      </c>
      <c r="E2298" t="s">
        <v>22628</v>
      </c>
      <c r="F2298" t="s">
        <v>107</v>
      </c>
      <c r="G2298" t="s">
        <v>355</v>
      </c>
      <c r="H2298" t="s">
        <v>1103</v>
      </c>
      <c r="I2298" t="s">
        <v>70</v>
      </c>
      <c r="J2298" t="s">
        <v>383</v>
      </c>
      <c r="K2298">
        <v>86.1</v>
      </c>
      <c r="L2298">
        <v>1.21</v>
      </c>
      <c r="M2298" t="s">
        <v>5420</v>
      </c>
      <c r="N2298">
        <v>187864</v>
      </c>
      <c r="S2298">
        <v>2.5099999999999998</v>
      </c>
      <c r="AA2298">
        <v>-0.13</v>
      </c>
      <c r="AB2298" t="s">
        <v>506</v>
      </c>
      <c r="AC2298" t="s">
        <v>2794</v>
      </c>
      <c r="AD2298" t="s">
        <v>6956</v>
      </c>
      <c r="AI2298" t="s">
        <v>579</v>
      </c>
      <c r="AJ2298" t="s">
        <v>3494</v>
      </c>
      <c r="AK2298" t="s">
        <v>5010</v>
      </c>
      <c r="AL2298">
        <v>4.3</v>
      </c>
      <c r="AM2298">
        <v>4.3</v>
      </c>
      <c r="AN2298">
        <v>0.34</v>
      </c>
      <c r="AR2298" t="s">
        <v>6419</v>
      </c>
      <c r="AS2298" t="s">
        <v>521</v>
      </c>
      <c r="AT2298" t="s">
        <v>483</v>
      </c>
      <c r="AU2298" t="s">
        <v>12931</v>
      </c>
      <c r="AV2298" t="s">
        <v>22629</v>
      </c>
      <c r="AW2298" t="s">
        <v>1225</v>
      </c>
      <c r="AX2298" t="s">
        <v>22630</v>
      </c>
      <c r="AY2298" t="s">
        <v>1225</v>
      </c>
      <c r="AZ2298" t="s">
        <v>22631</v>
      </c>
      <c r="BA2298">
        <v>1</v>
      </c>
      <c r="BB2298">
        <v>535.14</v>
      </c>
      <c r="BC2298">
        <v>1.24</v>
      </c>
      <c r="BD2298">
        <v>1.18</v>
      </c>
      <c r="BE2298">
        <v>1.22</v>
      </c>
      <c r="BF2298">
        <v>1.1599999999999999</v>
      </c>
      <c r="BG2298" t="s">
        <v>22632</v>
      </c>
      <c r="BH2298" t="s">
        <v>22633</v>
      </c>
      <c r="BI2298" t="s">
        <v>22634</v>
      </c>
      <c r="BJ2298" t="s">
        <v>101</v>
      </c>
      <c r="BK2298" t="s">
        <v>13884</v>
      </c>
      <c r="BL2298" t="s">
        <v>15452</v>
      </c>
      <c r="BM2298" t="s">
        <v>22635</v>
      </c>
      <c r="BN2298" t="s">
        <v>14623</v>
      </c>
    </row>
    <row r="2299" spans="1:66" x14ac:dyDescent="0.25">
      <c r="A2299" t="str">
        <f>HYPERLINK("https://elite.finviz.com/quote.ashx?t=ODP&amp;ty=c&amp;p=d&amp;b=1", "ODP")</f>
        <v>ODP</v>
      </c>
      <c r="B2299">
        <v>6</v>
      </c>
      <c r="C2299">
        <v>127.03</v>
      </c>
      <c r="D2299">
        <v>74.38</v>
      </c>
      <c r="E2299" t="s">
        <v>22636</v>
      </c>
      <c r="F2299" t="s">
        <v>67</v>
      </c>
      <c r="G2299" t="s">
        <v>813</v>
      </c>
      <c r="H2299" t="s">
        <v>2262</v>
      </c>
      <c r="I2299" t="s">
        <v>70</v>
      </c>
      <c r="J2299" t="s">
        <v>321</v>
      </c>
      <c r="K2299">
        <v>842.43</v>
      </c>
      <c r="L2299">
        <v>28</v>
      </c>
      <c r="M2299" t="s">
        <v>2275</v>
      </c>
      <c r="N2299">
        <v>238613</v>
      </c>
      <c r="O2299">
        <v>23.23</v>
      </c>
      <c r="P2299">
        <v>9.7100000000000009</v>
      </c>
      <c r="R2299">
        <v>0.13</v>
      </c>
      <c r="S2299">
        <v>1.06</v>
      </c>
      <c r="V2299" t="s">
        <v>22637</v>
      </c>
      <c r="Z2299" t="s">
        <v>164</v>
      </c>
      <c r="AA2299">
        <v>1.21</v>
      </c>
      <c r="AC2299" t="s">
        <v>296</v>
      </c>
      <c r="AD2299" t="s">
        <v>5480</v>
      </c>
      <c r="AE2299" t="s">
        <v>12163</v>
      </c>
      <c r="AF2299" t="s">
        <v>6775</v>
      </c>
      <c r="AG2299" t="s">
        <v>500</v>
      </c>
      <c r="AH2299" t="s">
        <v>15221</v>
      </c>
      <c r="AI2299" t="s">
        <v>5314</v>
      </c>
      <c r="AJ2299" t="s">
        <v>164</v>
      </c>
      <c r="AK2299" t="s">
        <v>22638</v>
      </c>
      <c r="AL2299">
        <v>0.94</v>
      </c>
      <c r="AM2299">
        <v>0.45</v>
      </c>
      <c r="AN2299">
        <v>1.18</v>
      </c>
      <c r="AO2299" t="s">
        <v>20980</v>
      </c>
      <c r="AP2299" t="s">
        <v>6003</v>
      </c>
      <c r="AQ2299" t="s">
        <v>306</v>
      </c>
      <c r="AR2299" t="s">
        <v>4946</v>
      </c>
      <c r="AS2299" t="s">
        <v>1087</v>
      </c>
      <c r="AT2299" t="s">
        <v>1065</v>
      </c>
      <c r="AU2299" t="s">
        <v>129</v>
      </c>
      <c r="AV2299" t="s">
        <v>15344</v>
      </c>
      <c r="AW2299" t="s">
        <v>770</v>
      </c>
      <c r="AX2299" t="s">
        <v>22639</v>
      </c>
      <c r="AY2299" t="s">
        <v>18298</v>
      </c>
      <c r="AZ2299" t="s">
        <v>22640</v>
      </c>
      <c r="BA2299">
        <v>2.33</v>
      </c>
      <c r="BB2299">
        <v>657.48</v>
      </c>
      <c r="BC2299">
        <v>1.28</v>
      </c>
      <c r="BD2299">
        <v>27.97</v>
      </c>
      <c r="BE2299">
        <v>28.03</v>
      </c>
      <c r="BF2299">
        <v>27.91</v>
      </c>
      <c r="BG2299" t="s">
        <v>22641</v>
      </c>
      <c r="BH2299" t="s">
        <v>22642</v>
      </c>
      <c r="BI2299" t="s">
        <v>22643</v>
      </c>
      <c r="BJ2299" t="s">
        <v>101</v>
      </c>
      <c r="BK2299" t="s">
        <v>22644</v>
      </c>
      <c r="BL2299" t="s">
        <v>22645</v>
      </c>
      <c r="BM2299" t="s">
        <v>3444</v>
      </c>
      <c r="BN2299" t="s">
        <v>14623</v>
      </c>
    </row>
    <row r="2300" spans="1:66" x14ac:dyDescent="0.25">
      <c r="A2300" t="str">
        <f>HYPERLINK("https://elite.finviz.com/quote.ashx?t=KOD&amp;ty=c&amp;p=d&amp;b=1", "KOD")</f>
        <v>KOD</v>
      </c>
      <c r="B2300">
        <v>6</v>
      </c>
      <c r="C2300">
        <v>127.03</v>
      </c>
      <c r="D2300">
        <v>74.47</v>
      </c>
      <c r="E2300" t="s">
        <v>22646</v>
      </c>
      <c r="F2300" t="s">
        <v>67</v>
      </c>
      <c r="G2300" t="s">
        <v>428</v>
      </c>
      <c r="H2300" t="s">
        <v>429</v>
      </c>
      <c r="I2300" t="s">
        <v>70</v>
      </c>
      <c r="J2300" t="s">
        <v>321</v>
      </c>
      <c r="K2300">
        <v>852.8</v>
      </c>
      <c r="L2300">
        <v>16.149999999999999</v>
      </c>
      <c r="M2300" t="s">
        <v>2383</v>
      </c>
      <c r="N2300">
        <v>263012</v>
      </c>
      <c r="S2300">
        <v>12.13</v>
      </c>
      <c r="AA2300">
        <v>-3.79</v>
      </c>
      <c r="AB2300" t="s">
        <v>2685</v>
      </c>
      <c r="AC2300" t="s">
        <v>10211</v>
      </c>
      <c r="AD2300" t="s">
        <v>581</v>
      </c>
      <c r="AI2300" t="s">
        <v>4956</v>
      </c>
      <c r="AJ2300" t="s">
        <v>7709</v>
      </c>
      <c r="AK2300" t="s">
        <v>17316</v>
      </c>
      <c r="AL2300">
        <v>3.48</v>
      </c>
      <c r="AM2300">
        <v>3.48</v>
      </c>
      <c r="AN2300">
        <v>2.35</v>
      </c>
      <c r="AR2300" t="s">
        <v>7433</v>
      </c>
      <c r="AS2300" t="s">
        <v>7068</v>
      </c>
      <c r="AT2300" t="s">
        <v>15585</v>
      </c>
      <c r="AU2300" t="s">
        <v>10098</v>
      </c>
      <c r="AV2300" t="s">
        <v>18767</v>
      </c>
      <c r="AW2300" t="s">
        <v>4770</v>
      </c>
      <c r="AX2300" t="s">
        <v>22647</v>
      </c>
      <c r="AY2300" t="s">
        <v>4770</v>
      </c>
      <c r="AZ2300" t="s">
        <v>22648</v>
      </c>
      <c r="BA2300">
        <v>2.67</v>
      </c>
      <c r="BB2300">
        <v>723.05</v>
      </c>
      <c r="BC2300">
        <v>1.28</v>
      </c>
      <c r="BD2300">
        <v>15.68</v>
      </c>
      <c r="BE2300">
        <v>16.23</v>
      </c>
      <c r="BF2300">
        <v>15.1</v>
      </c>
      <c r="BG2300" t="s">
        <v>22649</v>
      </c>
      <c r="BH2300" t="s">
        <v>1015</v>
      </c>
      <c r="BI2300" t="s">
        <v>22650</v>
      </c>
      <c r="BJ2300" t="s">
        <v>101</v>
      </c>
      <c r="BK2300" t="s">
        <v>22651</v>
      </c>
      <c r="BL2300" t="s">
        <v>22652</v>
      </c>
      <c r="BM2300" t="s">
        <v>22653</v>
      </c>
      <c r="BN2300" t="s">
        <v>14623</v>
      </c>
    </row>
    <row r="2301" spans="1:66" x14ac:dyDescent="0.25">
      <c r="A2301" t="str">
        <f>HYPERLINK("https://elite.finviz.com/quote.ashx?t=KLAC&amp;ty=c&amp;p=d&amp;b=1", "KLAC")</f>
        <v>KLAC</v>
      </c>
      <c r="B2301">
        <v>6</v>
      </c>
      <c r="C2301">
        <v>127.03</v>
      </c>
      <c r="D2301">
        <v>74.92</v>
      </c>
      <c r="E2301" t="s">
        <v>22654</v>
      </c>
      <c r="F2301" t="s">
        <v>319</v>
      </c>
      <c r="G2301" t="s">
        <v>108</v>
      </c>
      <c r="H2301" t="s">
        <v>2097</v>
      </c>
      <c r="I2301" t="s">
        <v>70</v>
      </c>
      <c r="J2301" t="s">
        <v>321</v>
      </c>
      <c r="K2301">
        <v>139974.07</v>
      </c>
      <c r="L2301">
        <v>1060.72</v>
      </c>
      <c r="M2301" t="s">
        <v>183</v>
      </c>
      <c r="N2301">
        <v>108306</v>
      </c>
      <c r="O2301">
        <v>34.9</v>
      </c>
      <c r="P2301">
        <v>27.18</v>
      </c>
      <c r="Q2301">
        <v>3.7</v>
      </c>
      <c r="R2301">
        <v>11.52</v>
      </c>
      <c r="S2301">
        <v>29.84</v>
      </c>
      <c r="T2301" t="s">
        <v>5036</v>
      </c>
      <c r="U2301">
        <v>7.2</v>
      </c>
      <c r="V2301" t="s">
        <v>1440</v>
      </c>
      <c r="W2301" t="s">
        <v>5886</v>
      </c>
      <c r="X2301" t="s">
        <v>7399</v>
      </c>
      <c r="Y2301" t="s">
        <v>5057</v>
      </c>
      <c r="Z2301" t="s">
        <v>5614</v>
      </c>
      <c r="AA2301">
        <v>30.4</v>
      </c>
      <c r="AB2301" t="s">
        <v>9387</v>
      </c>
      <c r="AC2301" t="s">
        <v>22655</v>
      </c>
      <c r="AD2301" t="s">
        <v>10557</v>
      </c>
      <c r="AE2301" t="s">
        <v>7797</v>
      </c>
      <c r="AF2301" t="s">
        <v>2499</v>
      </c>
      <c r="AG2301" t="s">
        <v>1680</v>
      </c>
      <c r="AH2301" t="s">
        <v>16465</v>
      </c>
      <c r="AI2301" t="s">
        <v>9830</v>
      </c>
      <c r="AJ2301" t="s">
        <v>15780</v>
      </c>
      <c r="AK2301" t="s">
        <v>21487</v>
      </c>
      <c r="AL2301">
        <v>2.56</v>
      </c>
      <c r="AM2301">
        <v>1.78</v>
      </c>
      <c r="AN2301">
        <v>1.3</v>
      </c>
      <c r="AO2301" t="s">
        <v>3293</v>
      </c>
      <c r="AP2301" t="s">
        <v>13118</v>
      </c>
      <c r="AQ2301" t="s">
        <v>7580</v>
      </c>
      <c r="AR2301" t="s">
        <v>714</v>
      </c>
      <c r="AS2301" t="s">
        <v>342</v>
      </c>
      <c r="AT2301" t="s">
        <v>5212</v>
      </c>
      <c r="AU2301" t="s">
        <v>5840</v>
      </c>
      <c r="AV2301" t="s">
        <v>3069</v>
      </c>
      <c r="AW2301" t="s">
        <v>2856</v>
      </c>
      <c r="AX2301" t="s">
        <v>1398</v>
      </c>
      <c r="AY2301" t="s">
        <v>2856</v>
      </c>
      <c r="AZ2301" t="s">
        <v>13019</v>
      </c>
      <c r="BA2301">
        <v>2.2599999999999998</v>
      </c>
      <c r="BB2301">
        <v>952.4</v>
      </c>
      <c r="BC2301">
        <v>0.4</v>
      </c>
      <c r="BD2301">
        <v>1059.0999999999999</v>
      </c>
      <c r="BE2301">
        <v>1066.56</v>
      </c>
      <c r="BF2301">
        <v>1052.79</v>
      </c>
      <c r="BG2301" t="s">
        <v>22656</v>
      </c>
      <c r="BH2301" t="s">
        <v>2856</v>
      </c>
      <c r="BI2301" t="s">
        <v>22657</v>
      </c>
      <c r="BJ2301" t="s">
        <v>101</v>
      </c>
      <c r="BK2301" t="s">
        <v>10750</v>
      </c>
      <c r="BL2301" t="s">
        <v>6841</v>
      </c>
      <c r="BM2301" t="s">
        <v>9093</v>
      </c>
      <c r="BN2301" t="s">
        <v>14623</v>
      </c>
    </row>
    <row r="2302" spans="1:66" x14ac:dyDescent="0.25">
      <c r="A2302" t="str">
        <f>HYPERLINK("https://elite.finviz.com/quote.ashx?t=GRAL&amp;ty=c&amp;p=d&amp;b=1", "GRAL")</f>
        <v>GRAL</v>
      </c>
      <c r="B2302">
        <v>6</v>
      </c>
      <c r="C2302">
        <v>127.03</v>
      </c>
      <c r="D2302">
        <v>75.040000000000006</v>
      </c>
      <c r="E2302" t="s">
        <v>22658</v>
      </c>
      <c r="F2302" t="s">
        <v>67</v>
      </c>
      <c r="G2302" t="s">
        <v>428</v>
      </c>
      <c r="H2302" t="s">
        <v>4202</v>
      </c>
      <c r="I2302" t="s">
        <v>70</v>
      </c>
      <c r="J2302" t="s">
        <v>321</v>
      </c>
      <c r="K2302">
        <v>1745.8</v>
      </c>
      <c r="L2302">
        <v>48.43</v>
      </c>
      <c r="M2302" t="s">
        <v>141</v>
      </c>
      <c r="N2302">
        <v>180583</v>
      </c>
      <c r="R2302">
        <v>13</v>
      </c>
      <c r="S2302">
        <v>0.75</v>
      </c>
      <c r="AA2302">
        <v>-12.93</v>
      </c>
      <c r="AB2302" t="s">
        <v>7067</v>
      </c>
      <c r="AC2302" t="s">
        <v>12613</v>
      </c>
      <c r="AD2302" t="s">
        <v>20636</v>
      </c>
      <c r="AE2302" t="s">
        <v>2825</v>
      </c>
      <c r="AF2302" t="s">
        <v>22659</v>
      </c>
      <c r="AH2302" t="s">
        <v>2399</v>
      </c>
      <c r="AI2302" t="s">
        <v>5248</v>
      </c>
      <c r="AJ2302" t="s">
        <v>3431</v>
      </c>
      <c r="AK2302" t="s">
        <v>22660</v>
      </c>
      <c r="AL2302">
        <v>9.23</v>
      </c>
      <c r="AM2302">
        <v>8.9499999999999993</v>
      </c>
      <c r="AN2302">
        <v>0.03</v>
      </c>
      <c r="AO2302" t="s">
        <v>22661</v>
      </c>
      <c r="AP2302" t="s">
        <v>22662</v>
      </c>
      <c r="AQ2302" t="s">
        <v>22663</v>
      </c>
      <c r="AR2302" t="s">
        <v>10132</v>
      </c>
      <c r="AS2302" t="s">
        <v>2777</v>
      </c>
      <c r="AT2302" t="s">
        <v>2692</v>
      </c>
      <c r="AU2302" t="s">
        <v>8381</v>
      </c>
      <c r="AV2302" t="s">
        <v>12561</v>
      </c>
      <c r="AW2302" t="s">
        <v>3753</v>
      </c>
      <c r="AX2302" t="s">
        <v>22664</v>
      </c>
      <c r="AY2302" t="s">
        <v>8717</v>
      </c>
      <c r="AZ2302" t="s">
        <v>22665</v>
      </c>
      <c r="BA2302">
        <v>2.5</v>
      </c>
      <c r="BB2302">
        <v>990.89</v>
      </c>
      <c r="BC2302">
        <v>0.64</v>
      </c>
      <c r="BD2302">
        <v>48.26</v>
      </c>
      <c r="BE2302">
        <v>49</v>
      </c>
      <c r="BF2302">
        <v>48.1</v>
      </c>
      <c r="BG2302" t="s">
        <v>22666</v>
      </c>
      <c r="BH2302" t="s">
        <v>8717</v>
      </c>
      <c r="BI2302" t="s">
        <v>22665</v>
      </c>
      <c r="BJ2302" t="s">
        <v>101</v>
      </c>
      <c r="BK2302" t="s">
        <v>4539</v>
      </c>
      <c r="BL2302" t="s">
        <v>5530</v>
      </c>
      <c r="BM2302" t="s">
        <v>22667</v>
      </c>
      <c r="BN2302" t="s">
        <v>14623</v>
      </c>
    </row>
    <row r="2303" spans="1:66" x14ac:dyDescent="0.25">
      <c r="A2303" t="str">
        <f>HYPERLINK("https://elite.finviz.com/quote.ashx?t=FCCO&amp;ty=c&amp;p=d&amp;b=1", "FCCO")</f>
        <v>FCCO</v>
      </c>
      <c r="B2303">
        <v>6</v>
      </c>
      <c r="C2303">
        <v>127.03</v>
      </c>
      <c r="D2303">
        <v>75.12</v>
      </c>
      <c r="E2303" t="s">
        <v>22668</v>
      </c>
      <c r="F2303" t="s">
        <v>67</v>
      </c>
      <c r="G2303" t="s">
        <v>550</v>
      </c>
      <c r="H2303" t="s">
        <v>697</v>
      </c>
      <c r="I2303" t="s">
        <v>70</v>
      </c>
      <c r="J2303" t="s">
        <v>321</v>
      </c>
      <c r="K2303">
        <v>222.89</v>
      </c>
      <c r="L2303">
        <v>29</v>
      </c>
      <c r="M2303" t="s">
        <v>698</v>
      </c>
      <c r="N2303">
        <v>3522</v>
      </c>
      <c r="O2303">
        <v>13.02</v>
      </c>
      <c r="P2303">
        <v>9.9</v>
      </c>
      <c r="R2303">
        <v>2.04</v>
      </c>
      <c r="S2303">
        <v>1.43</v>
      </c>
      <c r="T2303" t="s">
        <v>714</v>
      </c>
      <c r="U2303">
        <v>0.61</v>
      </c>
      <c r="V2303" t="s">
        <v>6057</v>
      </c>
      <c r="W2303" t="s">
        <v>975</v>
      </c>
      <c r="X2303" t="s">
        <v>291</v>
      </c>
      <c r="Y2303" t="s">
        <v>5659</v>
      </c>
      <c r="Z2303" t="s">
        <v>9654</v>
      </c>
      <c r="AA2303">
        <v>2.23</v>
      </c>
      <c r="AB2303" t="s">
        <v>9160</v>
      </c>
      <c r="AC2303" t="s">
        <v>4659</v>
      </c>
      <c r="AE2303" t="s">
        <v>6814</v>
      </c>
      <c r="AF2303" t="s">
        <v>4874</v>
      </c>
      <c r="AG2303" t="s">
        <v>8916</v>
      </c>
      <c r="AH2303" t="s">
        <v>9108</v>
      </c>
      <c r="AI2303" t="s">
        <v>10809</v>
      </c>
      <c r="AJ2303" t="s">
        <v>386</v>
      </c>
      <c r="AK2303" t="s">
        <v>12904</v>
      </c>
      <c r="AL2303">
        <v>0.09</v>
      </c>
      <c r="AN2303">
        <v>0.78</v>
      </c>
      <c r="AP2303" t="s">
        <v>3538</v>
      </c>
      <c r="AQ2303" t="s">
        <v>2133</v>
      </c>
      <c r="AR2303" t="s">
        <v>3925</v>
      </c>
      <c r="AS2303" t="s">
        <v>4275</v>
      </c>
      <c r="AT2303" t="s">
        <v>5780</v>
      </c>
      <c r="AU2303" t="s">
        <v>4867</v>
      </c>
      <c r="AV2303" t="s">
        <v>3794</v>
      </c>
      <c r="AW2303" t="s">
        <v>4501</v>
      </c>
      <c r="AX2303" t="s">
        <v>4832</v>
      </c>
      <c r="AY2303" t="s">
        <v>4501</v>
      </c>
      <c r="AZ2303" t="s">
        <v>21045</v>
      </c>
      <c r="BA2303">
        <v>1</v>
      </c>
      <c r="BB2303">
        <v>44.33</v>
      </c>
      <c r="BC2303">
        <v>0.28000000000000003</v>
      </c>
      <c r="BD2303">
        <v>28.91</v>
      </c>
      <c r="BE2303">
        <v>29.07</v>
      </c>
      <c r="BF2303">
        <v>29</v>
      </c>
      <c r="BG2303" t="s">
        <v>22669</v>
      </c>
      <c r="BH2303" t="s">
        <v>4501</v>
      </c>
      <c r="BI2303" t="s">
        <v>22670</v>
      </c>
      <c r="BJ2303" t="s">
        <v>101</v>
      </c>
      <c r="BK2303" t="s">
        <v>12648</v>
      </c>
      <c r="BL2303" t="s">
        <v>3868</v>
      </c>
      <c r="BM2303" t="s">
        <v>14568</v>
      </c>
      <c r="BN2303" t="s">
        <v>14623</v>
      </c>
    </row>
    <row r="2304" spans="1:66" x14ac:dyDescent="0.25">
      <c r="A2304" t="str">
        <f>HYPERLINK("https://elite.finviz.com/quote.ashx?t=GIG&amp;ty=c&amp;p=d&amp;b=1", "GIG")</f>
        <v>GIG</v>
      </c>
      <c r="B2304">
        <v>6</v>
      </c>
      <c r="C2304">
        <v>127.03</v>
      </c>
      <c r="D2304">
        <v>75.459999999999994</v>
      </c>
      <c r="E2304" t="s">
        <v>22671</v>
      </c>
      <c r="F2304" t="s">
        <v>107</v>
      </c>
      <c r="G2304" t="s">
        <v>550</v>
      </c>
      <c r="H2304" t="s">
        <v>2120</v>
      </c>
      <c r="I2304" t="s">
        <v>70</v>
      </c>
      <c r="J2304" t="s">
        <v>321</v>
      </c>
      <c r="K2304">
        <v>348.49</v>
      </c>
      <c r="L2304">
        <v>10.45</v>
      </c>
      <c r="M2304" t="s">
        <v>3226</v>
      </c>
      <c r="N2304">
        <v>11</v>
      </c>
      <c r="O2304">
        <v>62.54</v>
      </c>
      <c r="S2304">
        <v>1389.57</v>
      </c>
      <c r="Z2304" t="s">
        <v>164</v>
      </c>
      <c r="AA2304">
        <v>0.17</v>
      </c>
      <c r="AJ2304" t="s">
        <v>164</v>
      </c>
      <c r="AK2304" t="s">
        <v>22672</v>
      </c>
      <c r="AL2304">
        <v>6.33</v>
      </c>
      <c r="AM2304">
        <v>6.33</v>
      </c>
      <c r="AN2304">
        <v>0</v>
      </c>
      <c r="AR2304" t="s">
        <v>629</v>
      </c>
      <c r="AS2304" t="s">
        <v>2275</v>
      </c>
      <c r="AT2304" t="s">
        <v>1022</v>
      </c>
      <c r="AU2304" t="s">
        <v>5253</v>
      </c>
      <c r="AV2304" t="s">
        <v>3638</v>
      </c>
      <c r="AW2304" t="s">
        <v>2880</v>
      </c>
      <c r="AX2304" t="s">
        <v>2509</v>
      </c>
      <c r="AY2304" t="s">
        <v>2880</v>
      </c>
      <c r="AZ2304" t="s">
        <v>5210</v>
      </c>
      <c r="BB2304">
        <v>76.88</v>
      </c>
      <c r="BC2304">
        <v>0</v>
      </c>
      <c r="BD2304">
        <v>10.41</v>
      </c>
      <c r="BE2304">
        <v>10.5</v>
      </c>
      <c r="BF2304">
        <v>10.5</v>
      </c>
      <c r="BG2304" t="s">
        <v>22673</v>
      </c>
      <c r="BH2304" t="s">
        <v>2880</v>
      </c>
      <c r="BI2304" t="s">
        <v>5210</v>
      </c>
      <c r="BJ2304" t="s">
        <v>101</v>
      </c>
      <c r="BK2304" t="s">
        <v>8016</v>
      </c>
      <c r="BL2304" t="s">
        <v>121</v>
      </c>
      <c r="BN2304" t="s">
        <v>14623</v>
      </c>
    </row>
    <row r="2305" spans="1:66" x14ac:dyDescent="0.25">
      <c r="A2305" t="str">
        <f>HYPERLINK("https://elite.finviz.com/quote.ashx?t=INBX&amp;ty=c&amp;p=d&amp;b=1", "INBX")</f>
        <v>INBX</v>
      </c>
      <c r="B2305">
        <v>6</v>
      </c>
      <c r="C2305">
        <v>127.03</v>
      </c>
      <c r="D2305">
        <v>75.5</v>
      </c>
      <c r="E2305" t="s">
        <v>22674</v>
      </c>
      <c r="F2305" t="s">
        <v>67</v>
      </c>
      <c r="G2305" t="s">
        <v>428</v>
      </c>
      <c r="H2305" t="s">
        <v>429</v>
      </c>
      <c r="I2305" t="s">
        <v>70</v>
      </c>
      <c r="J2305" t="s">
        <v>321</v>
      </c>
      <c r="K2305">
        <v>478.43</v>
      </c>
      <c r="L2305">
        <v>33.03</v>
      </c>
      <c r="M2305" t="s">
        <v>1050</v>
      </c>
      <c r="N2305">
        <v>43001</v>
      </c>
      <c r="R2305">
        <v>341.74</v>
      </c>
      <c r="S2305">
        <v>6.97</v>
      </c>
      <c r="Z2305" t="s">
        <v>164</v>
      </c>
      <c r="AA2305">
        <v>-10.99</v>
      </c>
      <c r="AF2305" t="s">
        <v>22675</v>
      </c>
      <c r="AH2305" t="s">
        <v>22676</v>
      </c>
      <c r="AI2305" t="s">
        <v>8653</v>
      </c>
      <c r="AJ2305" t="s">
        <v>164</v>
      </c>
      <c r="AK2305" t="s">
        <v>12524</v>
      </c>
      <c r="AL2305">
        <v>4.9800000000000004</v>
      </c>
      <c r="AM2305">
        <v>4.9800000000000004</v>
      </c>
      <c r="AN2305">
        <v>1.56</v>
      </c>
      <c r="AO2305" t="s">
        <v>22677</v>
      </c>
      <c r="AP2305" t="s">
        <v>22678</v>
      </c>
      <c r="AQ2305" t="s">
        <v>22679</v>
      </c>
      <c r="AR2305" t="s">
        <v>4416</v>
      </c>
      <c r="AS2305" t="s">
        <v>2408</v>
      </c>
      <c r="AT2305" t="s">
        <v>980</v>
      </c>
      <c r="AU2305" t="s">
        <v>5595</v>
      </c>
      <c r="AV2305" t="s">
        <v>11881</v>
      </c>
      <c r="AW2305" t="s">
        <v>3035</v>
      </c>
      <c r="AX2305" t="s">
        <v>22680</v>
      </c>
      <c r="AY2305" t="s">
        <v>3035</v>
      </c>
      <c r="AZ2305" t="s">
        <v>9274</v>
      </c>
      <c r="BA2305">
        <v>3</v>
      </c>
      <c r="BB2305">
        <v>126.31</v>
      </c>
      <c r="BC2305">
        <v>1.2</v>
      </c>
      <c r="BD2305">
        <v>31.84</v>
      </c>
      <c r="BE2305">
        <v>33.630000000000003</v>
      </c>
      <c r="BF2305">
        <v>31.66</v>
      </c>
      <c r="BG2305" t="s">
        <v>22681</v>
      </c>
      <c r="BH2305" t="s">
        <v>3035</v>
      </c>
      <c r="BI2305" t="s">
        <v>22682</v>
      </c>
      <c r="BJ2305" t="s">
        <v>101</v>
      </c>
      <c r="BK2305" t="s">
        <v>22683</v>
      </c>
      <c r="BL2305" t="s">
        <v>22684</v>
      </c>
      <c r="BM2305" t="s">
        <v>19270</v>
      </c>
      <c r="BN2305" t="s">
        <v>14623</v>
      </c>
    </row>
    <row r="2306" spans="1:66" x14ac:dyDescent="0.25">
      <c r="A2306" t="str">
        <f>HYPERLINK("https://elite.finviz.com/quote.ashx?t=DTM&amp;ty=c&amp;p=d&amp;b=1", "DTM")</f>
        <v>DTM</v>
      </c>
      <c r="B2306">
        <v>6</v>
      </c>
      <c r="C2306">
        <v>127.03</v>
      </c>
      <c r="D2306">
        <v>75.55</v>
      </c>
      <c r="E2306" t="s">
        <v>22685</v>
      </c>
      <c r="F2306" t="s">
        <v>107</v>
      </c>
      <c r="G2306" t="s">
        <v>1048</v>
      </c>
      <c r="H2306" t="s">
        <v>3915</v>
      </c>
      <c r="I2306" t="s">
        <v>70</v>
      </c>
      <c r="J2306" t="s">
        <v>71</v>
      </c>
      <c r="K2306">
        <v>11541.92</v>
      </c>
      <c r="L2306">
        <v>113.61</v>
      </c>
      <c r="M2306" t="s">
        <v>2808</v>
      </c>
      <c r="N2306">
        <v>195890</v>
      </c>
      <c r="O2306">
        <v>30.54</v>
      </c>
      <c r="P2306">
        <v>23.51</v>
      </c>
      <c r="Q2306">
        <v>2.06</v>
      </c>
      <c r="R2306">
        <v>10.41</v>
      </c>
      <c r="S2306">
        <v>2.4700000000000002</v>
      </c>
      <c r="T2306" t="s">
        <v>5425</v>
      </c>
      <c r="U2306">
        <v>3.19</v>
      </c>
      <c r="V2306" t="s">
        <v>3833</v>
      </c>
      <c r="W2306" t="s">
        <v>8125</v>
      </c>
      <c r="X2306" t="s">
        <v>9776</v>
      </c>
      <c r="Z2306" t="s">
        <v>22686</v>
      </c>
      <c r="AA2306">
        <v>3.72</v>
      </c>
      <c r="AB2306" t="s">
        <v>4744</v>
      </c>
      <c r="AC2306" t="s">
        <v>3173</v>
      </c>
      <c r="AD2306" t="s">
        <v>4295</v>
      </c>
      <c r="AE2306" t="s">
        <v>1224</v>
      </c>
      <c r="AF2306" t="s">
        <v>5611</v>
      </c>
      <c r="AG2306" t="s">
        <v>9703</v>
      </c>
      <c r="AH2306" t="s">
        <v>15944</v>
      </c>
      <c r="AI2306" t="s">
        <v>4499</v>
      </c>
      <c r="AJ2306" t="s">
        <v>4828</v>
      </c>
      <c r="AK2306" t="s">
        <v>4909</v>
      </c>
      <c r="AL2306">
        <v>0.88</v>
      </c>
      <c r="AM2306">
        <v>0.88</v>
      </c>
      <c r="AN2306">
        <v>0.73</v>
      </c>
      <c r="AO2306" t="s">
        <v>1265</v>
      </c>
      <c r="AP2306" t="s">
        <v>18835</v>
      </c>
      <c r="AQ2306" t="s">
        <v>725</v>
      </c>
      <c r="AR2306" t="s">
        <v>617</v>
      </c>
      <c r="AS2306" t="s">
        <v>3856</v>
      </c>
      <c r="AT2306" t="s">
        <v>2174</v>
      </c>
      <c r="AU2306" t="s">
        <v>3245</v>
      </c>
      <c r="AV2306" t="s">
        <v>1089</v>
      </c>
      <c r="AW2306" t="s">
        <v>4552</v>
      </c>
      <c r="AX2306" t="s">
        <v>11086</v>
      </c>
      <c r="AY2306" t="s">
        <v>241</v>
      </c>
      <c r="AZ2306" t="s">
        <v>15415</v>
      </c>
      <c r="BA2306">
        <v>2.4</v>
      </c>
      <c r="BB2306">
        <v>812.53</v>
      </c>
      <c r="BC2306">
        <v>0.85</v>
      </c>
      <c r="BD2306">
        <v>111.15</v>
      </c>
      <c r="BE2306">
        <v>113.97</v>
      </c>
      <c r="BF2306">
        <v>111.29</v>
      </c>
      <c r="BG2306" t="s">
        <v>22687</v>
      </c>
      <c r="BH2306" t="s">
        <v>241</v>
      </c>
      <c r="BI2306" t="s">
        <v>22688</v>
      </c>
      <c r="BJ2306" t="s">
        <v>101</v>
      </c>
      <c r="BK2306" t="s">
        <v>3520</v>
      </c>
      <c r="BL2306" t="s">
        <v>3428</v>
      </c>
      <c r="BM2306" t="s">
        <v>3452</v>
      </c>
      <c r="BN2306" t="s">
        <v>14623</v>
      </c>
    </row>
    <row r="2307" spans="1:66" x14ac:dyDescent="0.25">
      <c r="A2307" t="str">
        <f>HYPERLINK("https://elite.finviz.com/quote.ashx?t=PAII-U&amp;ty=c&amp;p=d&amp;b=1", "PAII-U")</f>
        <v>PAII-U</v>
      </c>
      <c r="B2307">
        <v>6</v>
      </c>
      <c r="C2307">
        <v>127.03</v>
      </c>
      <c r="D2307">
        <v>75.72</v>
      </c>
      <c r="E2307" t="s">
        <v>22689</v>
      </c>
      <c r="F2307" t="s">
        <v>107</v>
      </c>
      <c r="G2307" t="s">
        <v>550</v>
      </c>
      <c r="H2307" t="s">
        <v>2120</v>
      </c>
      <c r="I2307" t="s">
        <v>70</v>
      </c>
      <c r="J2307" t="s">
        <v>71</v>
      </c>
      <c r="K2307">
        <v>275.7</v>
      </c>
      <c r="L2307">
        <v>10.11</v>
      </c>
      <c r="M2307" t="s">
        <v>164</v>
      </c>
      <c r="N2307">
        <v>0</v>
      </c>
      <c r="AK2307" t="s">
        <v>8013</v>
      </c>
      <c r="AL2307">
        <v>0</v>
      </c>
      <c r="AM2307">
        <v>0</v>
      </c>
      <c r="AR2307" t="s">
        <v>2757</v>
      </c>
      <c r="AS2307" t="s">
        <v>211</v>
      </c>
      <c r="AT2307" t="s">
        <v>8228</v>
      </c>
      <c r="AU2307" t="s">
        <v>3112</v>
      </c>
      <c r="AV2307" t="s">
        <v>3112</v>
      </c>
      <c r="AW2307" t="s">
        <v>2003</v>
      </c>
      <c r="AX2307" t="s">
        <v>1837</v>
      </c>
      <c r="AY2307" t="s">
        <v>2003</v>
      </c>
      <c r="AZ2307" t="s">
        <v>1837</v>
      </c>
      <c r="BB2307">
        <v>249.14</v>
      </c>
      <c r="BC2307">
        <v>0</v>
      </c>
      <c r="BD2307">
        <v>10.11</v>
      </c>
      <c r="BE2307">
        <v>10.11</v>
      </c>
      <c r="BF2307">
        <v>10.11</v>
      </c>
      <c r="BG2307" t="s">
        <v>22690</v>
      </c>
      <c r="BH2307" t="s">
        <v>2003</v>
      </c>
      <c r="BI2307" t="s">
        <v>1837</v>
      </c>
      <c r="BJ2307" t="s">
        <v>101</v>
      </c>
      <c r="BN2307" t="s">
        <v>14623</v>
      </c>
    </row>
    <row r="2308" spans="1:66" x14ac:dyDescent="0.25">
      <c r="A2308" t="str">
        <f>HYPERLINK("https://elite.finviz.com/quote.ashx?t=TACT&amp;ty=c&amp;p=d&amp;b=1", "TACT")</f>
        <v>TACT</v>
      </c>
      <c r="B2308">
        <v>6</v>
      </c>
      <c r="C2308">
        <v>127.03</v>
      </c>
      <c r="D2308">
        <v>76.11</v>
      </c>
      <c r="E2308" t="s">
        <v>22691</v>
      </c>
      <c r="F2308" t="s">
        <v>107</v>
      </c>
      <c r="G2308" t="s">
        <v>108</v>
      </c>
      <c r="H2308" t="s">
        <v>496</v>
      </c>
      <c r="I2308" t="s">
        <v>70</v>
      </c>
      <c r="J2308" t="s">
        <v>321</v>
      </c>
      <c r="K2308">
        <v>53.69</v>
      </c>
      <c r="L2308">
        <v>5.32</v>
      </c>
      <c r="M2308" t="s">
        <v>3226</v>
      </c>
      <c r="N2308">
        <v>9461</v>
      </c>
      <c r="R2308">
        <v>1.1200000000000001</v>
      </c>
      <c r="S2308">
        <v>1.72</v>
      </c>
      <c r="V2308" t="s">
        <v>22692</v>
      </c>
      <c r="AA2308">
        <v>-0.86</v>
      </c>
      <c r="AB2308" t="s">
        <v>12778</v>
      </c>
      <c r="AE2308" t="s">
        <v>2632</v>
      </c>
      <c r="AF2308" t="s">
        <v>7284</v>
      </c>
      <c r="AG2308" t="s">
        <v>7646</v>
      </c>
      <c r="AH2308" t="s">
        <v>16429</v>
      </c>
      <c r="AI2308" t="s">
        <v>9989</v>
      </c>
      <c r="AJ2308" t="s">
        <v>164</v>
      </c>
      <c r="AK2308" t="s">
        <v>10850</v>
      </c>
      <c r="AL2308">
        <v>3.08</v>
      </c>
      <c r="AM2308">
        <v>2.0699999999999998</v>
      </c>
      <c r="AN2308">
        <v>0.12</v>
      </c>
      <c r="AO2308" t="s">
        <v>1611</v>
      </c>
      <c r="AP2308" t="s">
        <v>4396</v>
      </c>
      <c r="AQ2308" t="s">
        <v>8613</v>
      </c>
      <c r="AR2308" t="s">
        <v>5395</v>
      </c>
      <c r="AS2308" t="s">
        <v>6459</v>
      </c>
      <c r="AT2308" t="s">
        <v>1492</v>
      </c>
      <c r="AU2308" t="s">
        <v>3748</v>
      </c>
      <c r="AV2308" t="s">
        <v>4793</v>
      </c>
      <c r="AW2308" t="s">
        <v>7742</v>
      </c>
      <c r="AX2308" t="s">
        <v>22693</v>
      </c>
      <c r="AY2308" t="s">
        <v>7742</v>
      </c>
      <c r="AZ2308" t="s">
        <v>22694</v>
      </c>
      <c r="BA2308">
        <v>1</v>
      </c>
      <c r="BB2308">
        <v>46.83</v>
      </c>
      <c r="BC2308">
        <v>0.72</v>
      </c>
      <c r="BD2308">
        <v>5.3</v>
      </c>
      <c r="BE2308">
        <v>5.4</v>
      </c>
      <c r="BF2308">
        <v>5.3</v>
      </c>
      <c r="BG2308" t="s">
        <v>22695</v>
      </c>
      <c r="BH2308" t="s">
        <v>19501</v>
      </c>
      <c r="BI2308" t="s">
        <v>22696</v>
      </c>
      <c r="BJ2308" t="s">
        <v>101</v>
      </c>
      <c r="BK2308" t="s">
        <v>21045</v>
      </c>
      <c r="BL2308" t="s">
        <v>1874</v>
      </c>
      <c r="BM2308" t="s">
        <v>6746</v>
      </c>
      <c r="BN2308" t="s">
        <v>14623</v>
      </c>
    </row>
    <row r="2309" spans="1:66" x14ac:dyDescent="0.25">
      <c r="A2309" t="str">
        <f>HYPERLINK("https://elite.finviz.com/quote.ashx?t=LXEO&amp;ty=c&amp;p=d&amp;b=1", "LXEO")</f>
        <v>LXEO</v>
      </c>
      <c r="B2309">
        <v>6</v>
      </c>
      <c r="C2309">
        <v>127.03</v>
      </c>
      <c r="D2309">
        <v>76.319999999999993</v>
      </c>
      <c r="E2309" t="s">
        <v>22697</v>
      </c>
      <c r="F2309" t="s">
        <v>67</v>
      </c>
      <c r="G2309" t="s">
        <v>428</v>
      </c>
      <c r="H2309" t="s">
        <v>429</v>
      </c>
      <c r="I2309" t="s">
        <v>70</v>
      </c>
      <c r="J2309" t="s">
        <v>321</v>
      </c>
      <c r="K2309">
        <v>351.55</v>
      </c>
      <c r="L2309">
        <v>6.51</v>
      </c>
      <c r="M2309" t="s">
        <v>183</v>
      </c>
      <c r="N2309">
        <v>203481</v>
      </c>
      <c r="S2309">
        <v>2.54</v>
      </c>
      <c r="AA2309">
        <v>-3.26</v>
      </c>
      <c r="AB2309" t="s">
        <v>4917</v>
      </c>
      <c r="AC2309" t="s">
        <v>3265</v>
      </c>
      <c r="AD2309" t="s">
        <v>1415</v>
      </c>
      <c r="AI2309" t="s">
        <v>1297</v>
      </c>
      <c r="AJ2309" t="s">
        <v>1547</v>
      </c>
      <c r="AK2309" t="s">
        <v>22698</v>
      </c>
      <c r="AL2309">
        <v>4.43</v>
      </c>
      <c r="AM2309">
        <v>4.43</v>
      </c>
      <c r="AN2309">
        <v>0.06</v>
      </c>
      <c r="AR2309" t="s">
        <v>2095</v>
      </c>
      <c r="AS2309" t="s">
        <v>7622</v>
      </c>
      <c r="AT2309" t="s">
        <v>5443</v>
      </c>
      <c r="AU2309" t="s">
        <v>14187</v>
      </c>
      <c r="AV2309" t="s">
        <v>11943</v>
      </c>
      <c r="AW2309" t="s">
        <v>15775</v>
      </c>
      <c r="AX2309" t="s">
        <v>22699</v>
      </c>
      <c r="AY2309" t="s">
        <v>22700</v>
      </c>
      <c r="AZ2309" t="s">
        <v>22701</v>
      </c>
      <c r="BA2309">
        <v>1.1200000000000001</v>
      </c>
      <c r="BB2309">
        <v>516.99</v>
      </c>
      <c r="BC2309">
        <v>1.39</v>
      </c>
      <c r="BD2309">
        <v>6.5</v>
      </c>
      <c r="BE2309">
        <v>6.7</v>
      </c>
      <c r="BF2309">
        <v>6.36</v>
      </c>
      <c r="BG2309" t="s">
        <v>22702</v>
      </c>
      <c r="BH2309" t="s">
        <v>22703</v>
      </c>
      <c r="BI2309" t="s">
        <v>22701</v>
      </c>
      <c r="BJ2309" t="s">
        <v>101</v>
      </c>
      <c r="BK2309" t="s">
        <v>11155</v>
      </c>
      <c r="BL2309" t="s">
        <v>7513</v>
      </c>
      <c r="BM2309" t="s">
        <v>15828</v>
      </c>
      <c r="BN2309" t="s">
        <v>14623</v>
      </c>
    </row>
    <row r="2310" spans="1:66" x14ac:dyDescent="0.25">
      <c r="A2310" t="str">
        <f>HYPERLINK("https://elite.finviz.com/quote.ashx?t=VTVT&amp;ty=c&amp;p=d&amp;b=1", "VTVT")</f>
        <v>VTVT</v>
      </c>
      <c r="B2310">
        <v>6</v>
      </c>
      <c r="C2310">
        <v>127.03</v>
      </c>
      <c r="D2310">
        <v>76.38</v>
      </c>
      <c r="E2310" t="s">
        <v>22704</v>
      </c>
      <c r="F2310" t="s">
        <v>107</v>
      </c>
      <c r="G2310" t="s">
        <v>428</v>
      </c>
      <c r="H2310" t="s">
        <v>429</v>
      </c>
      <c r="I2310" t="s">
        <v>70</v>
      </c>
      <c r="J2310" t="s">
        <v>321</v>
      </c>
      <c r="K2310">
        <v>72.77</v>
      </c>
      <c r="L2310">
        <v>22.78</v>
      </c>
      <c r="M2310" t="s">
        <v>2717</v>
      </c>
      <c r="N2310">
        <v>1023</v>
      </c>
      <c r="R2310">
        <v>3638.45</v>
      </c>
      <c r="S2310">
        <v>21.59</v>
      </c>
      <c r="AA2310">
        <v>-3.12</v>
      </c>
      <c r="AB2310" t="s">
        <v>8821</v>
      </c>
      <c r="AC2310" t="s">
        <v>22705</v>
      </c>
      <c r="AD2310" t="s">
        <v>15153</v>
      </c>
      <c r="AE2310" t="s">
        <v>3718</v>
      </c>
      <c r="AF2310" t="s">
        <v>22706</v>
      </c>
      <c r="AG2310" t="s">
        <v>1817</v>
      </c>
      <c r="AI2310" t="s">
        <v>22707</v>
      </c>
      <c r="AJ2310" t="s">
        <v>164</v>
      </c>
      <c r="AK2310" t="s">
        <v>16590</v>
      </c>
      <c r="AL2310">
        <v>4.9800000000000004</v>
      </c>
      <c r="AM2310">
        <v>4.9800000000000004</v>
      </c>
      <c r="AN2310">
        <v>0.03</v>
      </c>
      <c r="AO2310" t="s">
        <v>22708</v>
      </c>
      <c r="AP2310" t="s">
        <v>22709</v>
      </c>
      <c r="AQ2310" t="s">
        <v>22710</v>
      </c>
      <c r="AR2310" t="s">
        <v>10557</v>
      </c>
      <c r="AS2310" t="s">
        <v>2967</v>
      </c>
      <c r="AT2310" t="s">
        <v>302</v>
      </c>
      <c r="AU2310" t="s">
        <v>9525</v>
      </c>
      <c r="AV2310" t="s">
        <v>15115</v>
      </c>
      <c r="AW2310" t="s">
        <v>8216</v>
      </c>
      <c r="AX2310" t="s">
        <v>17501</v>
      </c>
      <c r="AY2310" t="s">
        <v>19620</v>
      </c>
      <c r="AZ2310" t="s">
        <v>22711</v>
      </c>
      <c r="BA2310">
        <v>1</v>
      </c>
      <c r="BB2310">
        <v>5.48</v>
      </c>
      <c r="BC2310">
        <v>0.66</v>
      </c>
      <c r="BD2310">
        <v>22.81</v>
      </c>
      <c r="BE2310">
        <v>22.33</v>
      </c>
      <c r="BF2310">
        <v>22.33</v>
      </c>
      <c r="BG2310" t="s">
        <v>22712</v>
      </c>
      <c r="BH2310" t="s">
        <v>22713</v>
      </c>
      <c r="BI2310" t="s">
        <v>22714</v>
      </c>
      <c r="BJ2310" t="s">
        <v>101</v>
      </c>
      <c r="BK2310" t="s">
        <v>11649</v>
      </c>
      <c r="BL2310" t="s">
        <v>13503</v>
      </c>
      <c r="BM2310" t="s">
        <v>11171</v>
      </c>
      <c r="BN2310" t="s">
        <v>14623</v>
      </c>
    </row>
    <row r="2311" spans="1:66" x14ac:dyDescent="0.25">
      <c r="A2311" t="str">
        <f>HYPERLINK("https://elite.finviz.com/quote.ashx?t=SEPN&amp;ty=c&amp;p=d&amp;b=1", "SEPN")</f>
        <v>SEPN</v>
      </c>
      <c r="B2311">
        <v>6</v>
      </c>
      <c r="C2311">
        <v>127.03</v>
      </c>
      <c r="D2311">
        <v>76.540000000000006</v>
      </c>
      <c r="E2311" t="s">
        <v>22715</v>
      </c>
      <c r="F2311" t="s">
        <v>67</v>
      </c>
      <c r="G2311" t="s">
        <v>428</v>
      </c>
      <c r="H2311" t="s">
        <v>429</v>
      </c>
      <c r="I2311" t="s">
        <v>70</v>
      </c>
      <c r="J2311" t="s">
        <v>321</v>
      </c>
      <c r="K2311">
        <v>764.8</v>
      </c>
      <c r="L2311">
        <v>17.149999999999999</v>
      </c>
      <c r="M2311" t="s">
        <v>92</v>
      </c>
      <c r="N2311">
        <v>37207</v>
      </c>
      <c r="R2311">
        <v>1047.68</v>
      </c>
      <c r="S2311">
        <v>2.02</v>
      </c>
      <c r="AA2311">
        <v>-2.15</v>
      </c>
      <c r="AB2311" t="s">
        <v>2751</v>
      </c>
      <c r="AD2311" t="s">
        <v>1371</v>
      </c>
      <c r="AE2311" t="s">
        <v>11925</v>
      </c>
      <c r="AH2311" t="s">
        <v>6564</v>
      </c>
      <c r="AI2311" t="s">
        <v>22716</v>
      </c>
      <c r="AJ2311" t="s">
        <v>164</v>
      </c>
      <c r="AK2311" t="s">
        <v>22519</v>
      </c>
      <c r="AL2311">
        <v>22.09</v>
      </c>
      <c r="AM2311">
        <v>22.09</v>
      </c>
      <c r="AN2311">
        <v>7.0000000000000007E-2</v>
      </c>
      <c r="AO2311" t="s">
        <v>22717</v>
      </c>
      <c r="AP2311" t="s">
        <v>22718</v>
      </c>
      <c r="AQ2311" t="s">
        <v>22719</v>
      </c>
      <c r="AR2311" t="s">
        <v>2842</v>
      </c>
      <c r="AS2311" t="s">
        <v>3054</v>
      </c>
      <c r="AT2311" t="s">
        <v>10498</v>
      </c>
      <c r="AU2311" t="s">
        <v>22506</v>
      </c>
      <c r="AV2311" t="s">
        <v>22720</v>
      </c>
      <c r="AW2311" t="s">
        <v>5036</v>
      </c>
      <c r="AX2311" t="s">
        <v>8767</v>
      </c>
      <c r="AY2311" t="s">
        <v>17462</v>
      </c>
      <c r="AZ2311" t="s">
        <v>22721</v>
      </c>
      <c r="BA2311">
        <v>1.4</v>
      </c>
      <c r="BB2311">
        <v>265.35000000000002</v>
      </c>
      <c r="BC2311">
        <v>0.49</v>
      </c>
      <c r="BD2311">
        <v>16.75</v>
      </c>
      <c r="BE2311">
        <v>17.32</v>
      </c>
      <c r="BF2311">
        <v>16.649999999999999</v>
      </c>
      <c r="BG2311" t="s">
        <v>22722</v>
      </c>
      <c r="BH2311" t="s">
        <v>17462</v>
      </c>
      <c r="BI2311" t="s">
        <v>22721</v>
      </c>
      <c r="BJ2311" t="s">
        <v>101</v>
      </c>
      <c r="BK2311" t="s">
        <v>8320</v>
      </c>
      <c r="BL2311" t="s">
        <v>22723</v>
      </c>
      <c r="BN2311" t="s">
        <v>14623</v>
      </c>
    </row>
    <row r="2312" spans="1:66" x14ac:dyDescent="0.25">
      <c r="A2312" t="str">
        <f>HYPERLINK("https://elite.finviz.com/quote.ashx?t=SPKL&amp;ty=c&amp;p=d&amp;b=1", "SPKL")</f>
        <v>SPKL</v>
      </c>
      <c r="B2312">
        <v>6</v>
      </c>
      <c r="C2312">
        <v>127.03</v>
      </c>
      <c r="D2312">
        <v>76.680000000000007</v>
      </c>
      <c r="E2312" t="s">
        <v>22724</v>
      </c>
      <c r="F2312" t="s">
        <v>107</v>
      </c>
      <c r="G2312" t="s">
        <v>550</v>
      </c>
      <c r="H2312" t="s">
        <v>2120</v>
      </c>
      <c r="I2312" t="s">
        <v>70</v>
      </c>
      <c r="J2312" t="s">
        <v>321</v>
      </c>
      <c r="K2312">
        <v>102.19</v>
      </c>
      <c r="L2312">
        <v>11.8</v>
      </c>
      <c r="M2312" t="s">
        <v>3487</v>
      </c>
      <c r="N2312">
        <v>10</v>
      </c>
      <c r="O2312">
        <v>80.27</v>
      </c>
      <c r="S2312">
        <v>1.87</v>
      </c>
      <c r="Z2312" t="s">
        <v>164</v>
      </c>
      <c r="AA2312">
        <v>0.15</v>
      </c>
      <c r="AJ2312" t="s">
        <v>164</v>
      </c>
      <c r="AK2312" t="s">
        <v>22725</v>
      </c>
      <c r="AL2312">
        <v>0.35</v>
      </c>
      <c r="AM2312">
        <v>0.35</v>
      </c>
      <c r="AN2312">
        <v>0.02</v>
      </c>
      <c r="AR2312" t="s">
        <v>4216</v>
      </c>
      <c r="AS2312" t="s">
        <v>6117</v>
      </c>
      <c r="AT2312" t="s">
        <v>5090</v>
      </c>
      <c r="AU2312" t="s">
        <v>8855</v>
      </c>
      <c r="AV2312" t="s">
        <v>3648</v>
      </c>
      <c r="AW2312" t="s">
        <v>5000</v>
      </c>
      <c r="AX2312" t="s">
        <v>4378</v>
      </c>
      <c r="AY2312" t="s">
        <v>5000</v>
      </c>
      <c r="AZ2312" t="s">
        <v>7435</v>
      </c>
      <c r="BB2312">
        <v>17.09</v>
      </c>
      <c r="BC2312">
        <v>0</v>
      </c>
      <c r="BD2312">
        <v>11.61</v>
      </c>
      <c r="BE2312">
        <v>11.66</v>
      </c>
      <c r="BF2312">
        <v>11.66</v>
      </c>
      <c r="BG2312" t="s">
        <v>22726</v>
      </c>
      <c r="BH2312" t="s">
        <v>5000</v>
      </c>
      <c r="BI2312" t="s">
        <v>2121</v>
      </c>
      <c r="BJ2312" t="s">
        <v>101</v>
      </c>
      <c r="BK2312" t="s">
        <v>4378</v>
      </c>
      <c r="BL2312" t="s">
        <v>8650</v>
      </c>
      <c r="BM2312" t="s">
        <v>1777</v>
      </c>
      <c r="BN2312" t="s">
        <v>14623</v>
      </c>
    </row>
    <row r="2313" spans="1:66" x14ac:dyDescent="0.25">
      <c r="A2313" t="str">
        <f>HYPERLINK("https://elite.finviz.com/quote.ashx?t=SSEAU&amp;ty=c&amp;p=d&amp;b=1", "SSEAU")</f>
        <v>SSEAU</v>
      </c>
      <c r="B2313">
        <v>6</v>
      </c>
      <c r="C2313">
        <v>127.03</v>
      </c>
      <c r="D2313">
        <v>76.81</v>
      </c>
      <c r="E2313" t="s">
        <v>22727</v>
      </c>
      <c r="F2313" t="s">
        <v>107</v>
      </c>
      <c r="G2313" t="s">
        <v>550</v>
      </c>
      <c r="H2313" t="s">
        <v>2120</v>
      </c>
      <c r="I2313" t="s">
        <v>70</v>
      </c>
      <c r="J2313" t="s">
        <v>321</v>
      </c>
      <c r="K2313">
        <v>60.69</v>
      </c>
      <c r="L2313">
        <v>10.119999999999999</v>
      </c>
      <c r="M2313" t="s">
        <v>164</v>
      </c>
      <c r="N2313">
        <v>0</v>
      </c>
      <c r="AJ2313" t="s">
        <v>164</v>
      </c>
      <c r="AK2313" t="s">
        <v>3505</v>
      </c>
      <c r="AL2313">
        <v>0</v>
      </c>
      <c r="AM2313">
        <v>0</v>
      </c>
      <c r="AR2313" t="s">
        <v>1776</v>
      </c>
      <c r="AS2313" t="s">
        <v>4782</v>
      </c>
      <c r="AT2313" t="s">
        <v>2362</v>
      </c>
      <c r="AU2313" t="s">
        <v>4308</v>
      </c>
      <c r="AV2313" t="s">
        <v>4308</v>
      </c>
      <c r="AW2313" t="s">
        <v>12282</v>
      </c>
      <c r="AX2313" t="s">
        <v>3493</v>
      </c>
      <c r="AY2313" t="s">
        <v>12282</v>
      </c>
      <c r="AZ2313" t="s">
        <v>3493</v>
      </c>
      <c r="BB2313">
        <v>115.03</v>
      </c>
      <c r="BC2313">
        <v>0</v>
      </c>
      <c r="BD2313">
        <v>10.119999999999999</v>
      </c>
      <c r="BE2313">
        <v>10.119999999999999</v>
      </c>
      <c r="BF2313">
        <v>10.119999999999999</v>
      </c>
      <c r="BG2313" t="s">
        <v>22728</v>
      </c>
      <c r="BH2313" t="s">
        <v>12282</v>
      </c>
      <c r="BI2313" t="s">
        <v>3493</v>
      </c>
      <c r="BJ2313" t="s">
        <v>101</v>
      </c>
      <c r="BN2313" t="s">
        <v>14623</v>
      </c>
    </row>
    <row r="2314" spans="1:66" x14ac:dyDescent="0.25">
      <c r="A2314" t="str">
        <f>HYPERLINK("https://elite.finviz.com/quote.ashx?t=PRDO&amp;ty=c&amp;p=d&amp;b=1", "PRDO")</f>
        <v>PRDO</v>
      </c>
      <c r="B2314">
        <v>6</v>
      </c>
      <c r="C2314">
        <v>127.03</v>
      </c>
      <c r="D2314">
        <v>77.099999999999994</v>
      </c>
      <c r="E2314" t="s">
        <v>22729</v>
      </c>
      <c r="F2314" t="s">
        <v>67</v>
      </c>
      <c r="G2314" t="s">
        <v>2244</v>
      </c>
      <c r="H2314" t="s">
        <v>2483</v>
      </c>
      <c r="I2314" t="s">
        <v>70</v>
      </c>
      <c r="J2314" t="s">
        <v>321</v>
      </c>
      <c r="K2314">
        <v>2391.92</v>
      </c>
      <c r="L2314">
        <v>36.83</v>
      </c>
      <c r="M2314" t="s">
        <v>4782</v>
      </c>
      <c r="N2314">
        <v>51528</v>
      </c>
      <c r="O2314">
        <v>15.98</v>
      </c>
      <c r="P2314">
        <v>14.56</v>
      </c>
      <c r="R2314">
        <v>3.11</v>
      </c>
      <c r="S2314">
        <v>2.4300000000000002</v>
      </c>
      <c r="T2314" t="s">
        <v>5610</v>
      </c>
      <c r="U2314">
        <v>0.54</v>
      </c>
      <c r="V2314" t="s">
        <v>2187</v>
      </c>
      <c r="W2314" t="s">
        <v>21760</v>
      </c>
      <c r="Z2314" t="s">
        <v>12627</v>
      </c>
      <c r="AA2314">
        <v>2.2999999999999998</v>
      </c>
      <c r="AB2314" t="s">
        <v>3857</v>
      </c>
      <c r="AC2314" t="s">
        <v>5627</v>
      </c>
      <c r="AE2314" t="s">
        <v>10361</v>
      </c>
      <c r="AF2314" t="s">
        <v>3896</v>
      </c>
      <c r="AG2314" t="s">
        <v>2175</v>
      </c>
      <c r="AH2314" t="s">
        <v>2687</v>
      </c>
      <c r="AI2314" t="s">
        <v>4189</v>
      </c>
      <c r="AJ2314" t="s">
        <v>22730</v>
      </c>
      <c r="AK2314" t="s">
        <v>13009</v>
      </c>
      <c r="AL2314">
        <v>4.2699999999999996</v>
      </c>
      <c r="AM2314">
        <v>4.26</v>
      </c>
      <c r="AN2314">
        <v>7.0000000000000007E-2</v>
      </c>
      <c r="AO2314" t="s">
        <v>13391</v>
      </c>
      <c r="AP2314" t="s">
        <v>7490</v>
      </c>
      <c r="AQ2314" t="s">
        <v>12771</v>
      </c>
      <c r="AR2314" t="s">
        <v>4255</v>
      </c>
      <c r="AS2314" t="s">
        <v>6003</v>
      </c>
      <c r="AT2314" t="s">
        <v>7935</v>
      </c>
      <c r="AU2314" t="s">
        <v>15187</v>
      </c>
      <c r="AV2314" t="s">
        <v>603</v>
      </c>
      <c r="AW2314" t="s">
        <v>4308</v>
      </c>
      <c r="AX2314" t="s">
        <v>8381</v>
      </c>
      <c r="AY2314" t="s">
        <v>4308</v>
      </c>
      <c r="AZ2314" t="s">
        <v>22731</v>
      </c>
      <c r="BA2314">
        <v>1</v>
      </c>
      <c r="BB2314">
        <v>678.84</v>
      </c>
      <c r="BC2314">
        <v>0.27</v>
      </c>
      <c r="BD2314">
        <v>36.58</v>
      </c>
      <c r="BE2314">
        <v>36.96</v>
      </c>
      <c r="BF2314">
        <v>36.5</v>
      </c>
      <c r="BG2314" t="s">
        <v>22732</v>
      </c>
      <c r="BH2314" t="s">
        <v>22733</v>
      </c>
      <c r="BI2314" t="s">
        <v>22734</v>
      </c>
      <c r="BJ2314" t="s">
        <v>101</v>
      </c>
      <c r="BK2314" t="s">
        <v>11151</v>
      </c>
      <c r="BL2314" t="s">
        <v>11489</v>
      </c>
      <c r="BM2314" t="s">
        <v>22735</v>
      </c>
      <c r="BN2314" t="s">
        <v>14623</v>
      </c>
    </row>
    <row r="2315" spans="1:66" x14ac:dyDescent="0.25">
      <c r="A2315" t="str">
        <f>HYPERLINK("https://elite.finviz.com/quote.ashx?t=IRD&amp;ty=c&amp;p=d&amp;b=1", "IRD")</f>
        <v>IRD</v>
      </c>
      <c r="B2315">
        <v>6</v>
      </c>
      <c r="C2315">
        <v>127.03</v>
      </c>
      <c r="D2315">
        <v>77.180000000000007</v>
      </c>
      <c r="E2315" t="s">
        <v>22736</v>
      </c>
      <c r="F2315" t="s">
        <v>107</v>
      </c>
      <c r="G2315" t="s">
        <v>428</v>
      </c>
      <c r="H2315" t="s">
        <v>429</v>
      </c>
      <c r="I2315" t="s">
        <v>70</v>
      </c>
      <c r="J2315" t="s">
        <v>321</v>
      </c>
      <c r="K2315">
        <v>104.24</v>
      </c>
      <c r="L2315">
        <v>1.74</v>
      </c>
      <c r="M2315" t="s">
        <v>5166</v>
      </c>
      <c r="N2315">
        <v>205894</v>
      </c>
      <c r="R2315">
        <v>6.76</v>
      </c>
      <c r="S2315">
        <v>5.97</v>
      </c>
      <c r="AA2315">
        <v>-1.76</v>
      </c>
      <c r="AB2315" t="s">
        <v>4272</v>
      </c>
      <c r="AC2315" t="s">
        <v>16827</v>
      </c>
      <c r="AD2315" t="s">
        <v>22737</v>
      </c>
      <c r="AE2315" t="s">
        <v>6755</v>
      </c>
      <c r="AF2315" t="s">
        <v>22738</v>
      </c>
      <c r="AH2315" t="s">
        <v>22739</v>
      </c>
      <c r="AI2315" t="s">
        <v>1479</v>
      </c>
      <c r="AJ2315" t="s">
        <v>164</v>
      </c>
      <c r="AK2315" t="s">
        <v>9229</v>
      </c>
      <c r="AL2315">
        <v>1.9</v>
      </c>
      <c r="AM2315">
        <v>1.9</v>
      </c>
      <c r="AN2315">
        <v>0.06</v>
      </c>
      <c r="AP2315" t="s">
        <v>22740</v>
      </c>
      <c r="AQ2315" t="s">
        <v>22741</v>
      </c>
      <c r="AR2315" t="s">
        <v>4409</v>
      </c>
      <c r="AS2315" t="s">
        <v>297</v>
      </c>
      <c r="AT2315" t="s">
        <v>8886</v>
      </c>
      <c r="AU2315" t="s">
        <v>12983</v>
      </c>
      <c r="AV2315" t="s">
        <v>17064</v>
      </c>
      <c r="AW2315" t="s">
        <v>2276</v>
      </c>
      <c r="AX2315" t="s">
        <v>19183</v>
      </c>
      <c r="AY2315" t="s">
        <v>2276</v>
      </c>
      <c r="AZ2315" t="s">
        <v>22742</v>
      </c>
      <c r="BA2315">
        <v>1</v>
      </c>
      <c r="BB2315">
        <v>408.52</v>
      </c>
      <c r="BC2315">
        <v>1.78</v>
      </c>
      <c r="BD2315">
        <v>1.72</v>
      </c>
      <c r="BE2315">
        <v>1.78</v>
      </c>
      <c r="BF2315">
        <v>1.7</v>
      </c>
      <c r="BG2315" t="s">
        <v>22743</v>
      </c>
      <c r="BH2315" t="s">
        <v>3320</v>
      </c>
      <c r="BI2315" t="s">
        <v>22742</v>
      </c>
      <c r="BJ2315" t="s">
        <v>101</v>
      </c>
      <c r="BK2315" t="s">
        <v>9308</v>
      </c>
      <c r="BL2315" t="s">
        <v>22744</v>
      </c>
      <c r="BM2315" t="s">
        <v>10392</v>
      </c>
      <c r="BN2315" t="s">
        <v>14623</v>
      </c>
    </row>
    <row r="2316" spans="1:66" x14ac:dyDescent="0.25">
      <c r="A2316" t="str">
        <f>HYPERLINK("https://elite.finviz.com/quote.ashx?t=NESR&amp;ty=c&amp;p=d&amp;b=1", "NESR")</f>
        <v>NESR</v>
      </c>
      <c r="B2316">
        <v>6</v>
      </c>
      <c r="C2316">
        <v>127.03</v>
      </c>
      <c r="D2316">
        <v>77.27</v>
      </c>
      <c r="E2316" t="s">
        <v>22745</v>
      </c>
      <c r="F2316" t="s">
        <v>67</v>
      </c>
      <c r="G2316" t="s">
        <v>1048</v>
      </c>
      <c r="H2316" t="s">
        <v>8341</v>
      </c>
      <c r="I2316" t="s">
        <v>70</v>
      </c>
      <c r="J2316" t="s">
        <v>321</v>
      </c>
      <c r="K2316">
        <v>1029.1600000000001</v>
      </c>
      <c r="L2316">
        <v>10.67</v>
      </c>
      <c r="M2316" t="s">
        <v>2186</v>
      </c>
      <c r="N2316">
        <v>154279</v>
      </c>
      <c r="O2316">
        <v>14.08</v>
      </c>
      <c r="P2316">
        <v>9.26</v>
      </c>
      <c r="Q2316">
        <v>0.86</v>
      </c>
      <c r="R2316">
        <v>0.79</v>
      </c>
      <c r="S2316">
        <v>1.1000000000000001</v>
      </c>
      <c r="Z2316" t="s">
        <v>164</v>
      </c>
      <c r="AA2316">
        <v>0.76</v>
      </c>
      <c r="AC2316" t="s">
        <v>2911</v>
      </c>
      <c r="AD2316" t="s">
        <v>3190</v>
      </c>
      <c r="AF2316" t="s">
        <v>2711</v>
      </c>
      <c r="AG2316" t="s">
        <v>11845</v>
      </c>
      <c r="AH2316" t="s">
        <v>1764</v>
      </c>
      <c r="AI2316" t="s">
        <v>7847</v>
      </c>
      <c r="AJ2316" t="s">
        <v>164</v>
      </c>
      <c r="AK2316" t="s">
        <v>22746</v>
      </c>
      <c r="AL2316">
        <v>1.1100000000000001</v>
      </c>
      <c r="AM2316">
        <v>0.93</v>
      </c>
      <c r="AN2316">
        <v>0.41</v>
      </c>
      <c r="AO2316" t="s">
        <v>18007</v>
      </c>
      <c r="AP2316" t="s">
        <v>2635</v>
      </c>
      <c r="AQ2316" t="s">
        <v>4697</v>
      </c>
      <c r="AR2316" t="s">
        <v>4395</v>
      </c>
      <c r="AS2316" t="s">
        <v>1453</v>
      </c>
      <c r="AT2316" t="s">
        <v>3204</v>
      </c>
      <c r="AU2316" t="s">
        <v>17060</v>
      </c>
      <c r="AV2316" t="s">
        <v>22747</v>
      </c>
      <c r="AW2316" t="s">
        <v>609</v>
      </c>
      <c r="AX2316" t="s">
        <v>15352</v>
      </c>
      <c r="AY2316" t="s">
        <v>609</v>
      </c>
      <c r="AZ2316" t="s">
        <v>22748</v>
      </c>
      <c r="BA2316">
        <v>1.2</v>
      </c>
      <c r="BB2316">
        <v>885.96</v>
      </c>
      <c r="BC2316">
        <v>0.61</v>
      </c>
      <c r="BD2316">
        <v>10.5</v>
      </c>
      <c r="BE2316">
        <v>10.74</v>
      </c>
      <c r="BF2316">
        <v>10.44</v>
      </c>
      <c r="BG2316" t="s">
        <v>22749</v>
      </c>
      <c r="BH2316" t="s">
        <v>22750</v>
      </c>
      <c r="BI2316" t="s">
        <v>22751</v>
      </c>
      <c r="BJ2316" t="s">
        <v>101</v>
      </c>
      <c r="BK2316" t="s">
        <v>22752</v>
      </c>
      <c r="BL2316" t="s">
        <v>207</v>
      </c>
      <c r="BM2316" t="s">
        <v>1206</v>
      </c>
      <c r="BN2316" t="s">
        <v>14623</v>
      </c>
    </row>
    <row r="2317" spans="1:66" x14ac:dyDescent="0.25">
      <c r="A2317" t="str">
        <f>HYPERLINK("https://elite.finviz.com/quote.ashx?t=AMRC&amp;ty=c&amp;p=d&amp;b=1", "AMRC")</f>
        <v>AMRC</v>
      </c>
      <c r="B2317">
        <v>6</v>
      </c>
      <c r="C2317">
        <v>127.03</v>
      </c>
      <c r="D2317">
        <v>77.56</v>
      </c>
      <c r="E2317" t="s">
        <v>22753</v>
      </c>
      <c r="F2317" t="s">
        <v>67</v>
      </c>
      <c r="G2317" t="s">
        <v>260</v>
      </c>
      <c r="H2317" t="s">
        <v>2944</v>
      </c>
      <c r="I2317" t="s">
        <v>70</v>
      </c>
      <c r="J2317" t="s">
        <v>71</v>
      </c>
      <c r="K2317">
        <v>1829.41</v>
      </c>
      <c r="L2317">
        <v>34.71</v>
      </c>
      <c r="M2317" t="s">
        <v>1364</v>
      </c>
      <c r="N2317">
        <v>152440</v>
      </c>
      <c r="O2317">
        <v>29.82</v>
      </c>
      <c r="P2317">
        <v>30.66</v>
      </c>
      <c r="Q2317">
        <v>2.29</v>
      </c>
      <c r="R2317">
        <v>0.98</v>
      </c>
      <c r="S2317">
        <v>1.77</v>
      </c>
      <c r="Z2317" t="s">
        <v>164</v>
      </c>
      <c r="AA2317">
        <v>1.1599999999999999</v>
      </c>
      <c r="AB2317" t="s">
        <v>11775</v>
      </c>
      <c r="AC2317" t="s">
        <v>5256</v>
      </c>
      <c r="AD2317" t="s">
        <v>6278</v>
      </c>
      <c r="AE2317" t="s">
        <v>3997</v>
      </c>
      <c r="AF2317" t="s">
        <v>3924</v>
      </c>
      <c r="AG2317" t="s">
        <v>2470</v>
      </c>
      <c r="AH2317" t="s">
        <v>7566</v>
      </c>
      <c r="AI2317" t="s">
        <v>22754</v>
      </c>
      <c r="AJ2317" t="s">
        <v>5242</v>
      </c>
      <c r="AK2317" t="s">
        <v>8412</v>
      </c>
      <c r="AL2317">
        <v>1.36</v>
      </c>
      <c r="AM2317">
        <v>1.34</v>
      </c>
      <c r="AN2317">
        <v>1.82</v>
      </c>
      <c r="AO2317" t="s">
        <v>5840</v>
      </c>
      <c r="AP2317" t="s">
        <v>7453</v>
      </c>
      <c r="AQ2317" t="s">
        <v>4189</v>
      </c>
      <c r="AR2317" t="s">
        <v>1243</v>
      </c>
      <c r="AS2317" t="s">
        <v>463</v>
      </c>
      <c r="AT2317" t="s">
        <v>729</v>
      </c>
      <c r="AU2317" t="s">
        <v>558</v>
      </c>
      <c r="AV2317" t="s">
        <v>10138</v>
      </c>
      <c r="AW2317" t="s">
        <v>1413</v>
      </c>
      <c r="AX2317" t="s">
        <v>22755</v>
      </c>
      <c r="AY2317" t="s">
        <v>20325</v>
      </c>
      <c r="AZ2317" t="s">
        <v>22756</v>
      </c>
      <c r="BA2317">
        <v>1.64</v>
      </c>
      <c r="BB2317">
        <v>755.96</v>
      </c>
      <c r="BC2317">
        <v>0.71</v>
      </c>
      <c r="BD2317">
        <v>34.840000000000003</v>
      </c>
      <c r="BE2317">
        <v>35.49</v>
      </c>
      <c r="BF2317">
        <v>34.229999999999997</v>
      </c>
      <c r="BG2317" t="s">
        <v>22757</v>
      </c>
      <c r="BH2317" t="s">
        <v>20450</v>
      </c>
      <c r="BI2317" t="s">
        <v>22758</v>
      </c>
      <c r="BJ2317" t="s">
        <v>101</v>
      </c>
      <c r="BK2317" t="s">
        <v>22759</v>
      </c>
      <c r="BL2317" t="s">
        <v>22760</v>
      </c>
      <c r="BM2317" t="s">
        <v>8251</v>
      </c>
      <c r="BN2317" t="s">
        <v>14623</v>
      </c>
    </row>
    <row r="2318" spans="1:66" x14ac:dyDescent="0.25">
      <c r="A2318" t="str">
        <f>HYPERLINK("https://elite.finviz.com/quote.ashx?t=DRDB&amp;ty=c&amp;p=d&amp;b=1", "DRDB")</f>
        <v>DRDB</v>
      </c>
      <c r="B2318">
        <v>6</v>
      </c>
      <c r="C2318">
        <v>127.03</v>
      </c>
      <c r="D2318">
        <v>77.83</v>
      </c>
      <c r="E2318" t="s">
        <v>22761</v>
      </c>
      <c r="F2318" t="s">
        <v>107</v>
      </c>
      <c r="G2318" t="s">
        <v>550</v>
      </c>
      <c r="H2318" t="s">
        <v>2120</v>
      </c>
      <c r="I2318" t="s">
        <v>70</v>
      </c>
      <c r="J2318" t="s">
        <v>321</v>
      </c>
      <c r="K2318">
        <v>317.43</v>
      </c>
      <c r="L2318">
        <v>10.35</v>
      </c>
      <c r="M2318" t="s">
        <v>164</v>
      </c>
      <c r="N2318">
        <v>0</v>
      </c>
      <c r="S2318">
        <v>1.35</v>
      </c>
      <c r="AJ2318" t="s">
        <v>164</v>
      </c>
      <c r="AK2318" t="s">
        <v>22762</v>
      </c>
      <c r="AL2318">
        <v>15.14</v>
      </c>
      <c r="AM2318">
        <v>15.14</v>
      </c>
      <c r="AN2318">
        <v>0</v>
      </c>
      <c r="AR2318" t="s">
        <v>4539</v>
      </c>
      <c r="AS2318" t="s">
        <v>580</v>
      </c>
      <c r="AT2318" t="s">
        <v>4308</v>
      </c>
      <c r="AU2318" t="s">
        <v>3871</v>
      </c>
      <c r="AV2318" t="s">
        <v>2339</v>
      </c>
      <c r="AW2318" t="s">
        <v>2646</v>
      </c>
      <c r="AX2318" t="s">
        <v>6732</v>
      </c>
      <c r="AY2318" t="s">
        <v>1226</v>
      </c>
      <c r="AZ2318" t="s">
        <v>2035</v>
      </c>
      <c r="BB2318">
        <v>92.58</v>
      </c>
      <c r="BC2318">
        <v>0</v>
      </c>
      <c r="BD2318">
        <v>10.35</v>
      </c>
      <c r="BE2318">
        <v>10.35</v>
      </c>
      <c r="BF2318">
        <v>10.35</v>
      </c>
      <c r="BG2318" t="s">
        <v>22763</v>
      </c>
      <c r="BH2318" t="s">
        <v>1226</v>
      </c>
      <c r="BI2318" t="s">
        <v>2035</v>
      </c>
      <c r="BJ2318" t="s">
        <v>101</v>
      </c>
      <c r="BK2318" t="s">
        <v>2638</v>
      </c>
      <c r="BL2318" t="s">
        <v>3482</v>
      </c>
      <c r="BN2318" t="s">
        <v>14623</v>
      </c>
    </row>
    <row r="2319" spans="1:66" x14ac:dyDescent="0.25">
      <c r="A2319" t="str">
        <f>HYPERLINK("https://elite.finviz.com/quote.ashx?t=TDAC&amp;ty=c&amp;p=d&amp;b=1", "TDAC")</f>
        <v>TDAC</v>
      </c>
      <c r="B2319">
        <v>6</v>
      </c>
      <c r="C2319">
        <v>127.03</v>
      </c>
      <c r="D2319">
        <v>77.87</v>
      </c>
      <c r="E2319" t="s">
        <v>22764</v>
      </c>
      <c r="F2319" t="s">
        <v>107</v>
      </c>
      <c r="G2319" t="s">
        <v>550</v>
      </c>
      <c r="H2319" t="s">
        <v>2120</v>
      </c>
      <c r="I2319" t="s">
        <v>70</v>
      </c>
      <c r="J2319" t="s">
        <v>321</v>
      </c>
      <c r="K2319">
        <v>227.31</v>
      </c>
      <c r="L2319">
        <v>10.37</v>
      </c>
      <c r="M2319" t="s">
        <v>164</v>
      </c>
      <c r="N2319">
        <v>0</v>
      </c>
      <c r="O2319">
        <v>75.069999999999993</v>
      </c>
      <c r="S2319">
        <v>1.32</v>
      </c>
      <c r="AA2319">
        <v>0.14000000000000001</v>
      </c>
      <c r="AB2319" t="s">
        <v>15457</v>
      </c>
      <c r="AJ2319" t="s">
        <v>164</v>
      </c>
      <c r="AK2319" t="s">
        <v>22765</v>
      </c>
      <c r="AL2319">
        <v>0.55000000000000004</v>
      </c>
      <c r="AM2319">
        <v>0.55000000000000004</v>
      </c>
      <c r="AN2319">
        <v>0</v>
      </c>
      <c r="AR2319" t="s">
        <v>4507</v>
      </c>
      <c r="AS2319" t="s">
        <v>5549</v>
      </c>
      <c r="AT2319" t="s">
        <v>3226</v>
      </c>
      <c r="AU2319" t="s">
        <v>2644</v>
      </c>
      <c r="AV2319" t="s">
        <v>617</v>
      </c>
      <c r="AW2319" t="s">
        <v>3752</v>
      </c>
      <c r="AX2319" t="s">
        <v>2273</v>
      </c>
      <c r="AY2319" t="s">
        <v>3752</v>
      </c>
      <c r="AZ2319" t="s">
        <v>749</v>
      </c>
      <c r="BB2319">
        <v>49.78</v>
      </c>
      <c r="BC2319">
        <v>0</v>
      </c>
      <c r="BD2319">
        <v>10.37</v>
      </c>
      <c r="BE2319">
        <v>10.37</v>
      </c>
      <c r="BF2319">
        <v>10.37</v>
      </c>
      <c r="BG2319" t="s">
        <v>20374</v>
      </c>
      <c r="BH2319" t="s">
        <v>4237</v>
      </c>
      <c r="BI2319" t="s">
        <v>749</v>
      </c>
      <c r="BJ2319" t="s">
        <v>101</v>
      </c>
      <c r="BK2319" t="s">
        <v>6937</v>
      </c>
      <c r="BN2319" t="s">
        <v>14623</v>
      </c>
    </row>
    <row r="2320" spans="1:66" x14ac:dyDescent="0.25">
      <c r="A2320" t="str">
        <f>HYPERLINK("https://elite.finviz.com/quote.ashx?t=XNCR&amp;ty=c&amp;p=d&amp;b=1", "XNCR")</f>
        <v>XNCR</v>
      </c>
      <c r="B2320">
        <v>6</v>
      </c>
      <c r="C2320">
        <v>127.03</v>
      </c>
      <c r="D2320">
        <v>78.099999999999994</v>
      </c>
      <c r="E2320" t="s">
        <v>22766</v>
      </c>
      <c r="F2320" t="s">
        <v>67</v>
      </c>
      <c r="G2320" t="s">
        <v>428</v>
      </c>
      <c r="H2320" t="s">
        <v>429</v>
      </c>
      <c r="I2320" t="s">
        <v>70</v>
      </c>
      <c r="J2320" t="s">
        <v>321</v>
      </c>
      <c r="K2320">
        <v>782.42</v>
      </c>
      <c r="L2320">
        <v>10.97</v>
      </c>
      <c r="M2320" t="s">
        <v>2777</v>
      </c>
      <c r="N2320">
        <v>148924</v>
      </c>
      <c r="R2320">
        <v>5.33</v>
      </c>
      <c r="S2320">
        <v>1.26</v>
      </c>
      <c r="AA2320">
        <v>-2.42</v>
      </c>
      <c r="AD2320" t="s">
        <v>5839</v>
      </c>
      <c r="AE2320" t="s">
        <v>2190</v>
      </c>
      <c r="AF2320" t="s">
        <v>22767</v>
      </c>
      <c r="AG2320" t="s">
        <v>2252</v>
      </c>
      <c r="AH2320" t="s">
        <v>22768</v>
      </c>
      <c r="AI2320" t="s">
        <v>5961</v>
      </c>
      <c r="AJ2320" t="s">
        <v>4809</v>
      </c>
      <c r="AK2320" t="s">
        <v>6560</v>
      </c>
      <c r="AL2320">
        <v>5.34</v>
      </c>
      <c r="AM2320">
        <v>5.34</v>
      </c>
      <c r="AN2320">
        <v>0.34</v>
      </c>
      <c r="AO2320" t="s">
        <v>17710</v>
      </c>
      <c r="AP2320" t="s">
        <v>13925</v>
      </c>
      <c r="AQ2320" t="s">
        <v>22769</v>
      </c>
      <c r="AR2320" t="s">
        <v>2810</v>
      </c>
      <c r="AS2320" t="s">
        <v>1063</v>
      </c>
      <c r="AT2320" t="s">
        <v>7804</v>
      </c>
      <c r="AU2320" t="s">
        <v>20389</v>
      </c>
      <c r="AV2320" t="s">
        <v>9100</v>
      </c>
      <c r="AW2320" t="s">
        <v>2082</v>
      </c>
      <c r="AX2320" t="s">
        <v>18915</v>
      </c>
      <c r="AY2320" t="s">
        <v>22770</v>
      </c>
      <c r="AZ2320" t="s">
        <v>18915</v>
      </c>
      <c r="BA2320">
        <v>1.5</v>
      </c>
      <c r="BB2320">
        <v>838.31</v>
      </c>
      <c r="BC2320">
        <v>0.63</v>
      </c>
      <c r="BD2320">
        <v>10.33</v>
      </c>
      <c r="BE2320">
        <v>10.97</v>
      </c>
      <c r="BF2320">
        <v>10.39</v>
      </c>
      <c r="BG2320" t="s">
        <v>22771</v>
      </c>
      <c r="BH2320" t="s">
        <v>22772</v>
      </c>
      <c r="BI2320" t="s">
        <v>14651</v>
      </c>
      <c r="BJ2320" t="s">
        <v>101</v>
      </c>
      <c r="BK2320" t="s">
        <v>7470</v>
      </c>
      <c r="BL2320" t="s">
        <v>5742</v>
      </c>
      <c r="BM2320" t="s">
        <v>10318</v>
      </c>
      <c r="BN2320" t="s">
        <v>14623</v>
      </c>
    </row>
    <row r="2321" spans="1:66" x14ac:dyDescent="0.25">
      <c r="A2321" t="str">
        <f>HYPERLINK("https://elite.finviz.com/quote.ashx?t=ETON&amp;ty=c&amp;p=d&amp;b=1", "ETON")</f>
        <v>ETON</v>
      </c>
      <c r="B2321">
        <v>6</v>
      </c>
      <c r="C2321">
        <v>127.03</v>
      </c>
      <c r="D2321">
        <v>78.27</v>
      </c>
      <c r="E2321" t="s">
        <v>22773</v>
      </c>
      <c r="F2321" t="s">
        <v>67</v>
      </c>
      <c r="G2321" t="s">
        <v>428</v>
      </c>
      <c r="H2321" t="s">
        <v>1296</v>
      </c>
      <c r="I2321" t="s">
        <v>70</v>
      </c>
      <c r="J2321" t="s">
        <v>321</v>
      </c>
      <c r="K2321">
        <v>541.58000000000004</v>
      </c>
      <c r="L2321">
        <v>20.190000000000001</v>
      </c>
      <c r="M2321" t="s">
        <v>439</v>
      </c>
      <c r="N2321">
        <v>55367</v>
      </c>
      <c r="P2321">
        <v>19.61</v>
      </c>
      <c r="R2321">
        <v>9.31</v>
      </c>
      <c r="S2321">
        <v>22.6</v>
      </c>
      <c r="AA2321">
        <v>-0.15</v>
      </c>
      <c r="AB2321" t="s">
        <v>16968</v>
      </c>
      <c r="AC2321" t="s">
        <v>21447</v>
      </c>
      <c r="AE2321" t="s">
        <v>4964</v>
      </c>
      <c r="AF2321" t="s">
        <v>5492</v>
      </c>
      <c r="AG2321" t="s">
        <v>22774</v>
      </c>
      <c r="AH2321" t="s">
        <v>22775</v>
      </c>
      <c r="AI2321" t="s">
        <v>22776</v>
      </c>
      <c r="AJ2321" t="s">
        <v>657</v>
      </c>
      <c r="AK2321" t="s">
        <v>22777</v>
      </c>
      <c r="AL2321">
        <v>1.77</v>
      </c>
      <c r="AM2321">
        <v>1.1599999999999999</v>
      </c>
      <c r="AN2321">
        <v>1.28</v>
      </c>
      <c r="AO2321" t="s">
        <v>22778</v>
      </c>
      <c r="AP2321" t="s">
        <v>1998</v>
      </c>
      <c r="AQ2321" t="s">
        <v>19119</v>
      </c>
      <c r="AR2321" t="s">
        <v>3758</v>
      </c>
      <c r="AS2321" t="s">
        <v>6460</v>
      </c>
      <c r="AT2321" t="s">
        <v>6587</v>
      </c>
      <c r="AU2321" t="s">
        <v>7290</v>
      </c>
      <c r="AV2321" t="s">
        <v>4803</v>
      </c>
      <c r="AW2321" t="s">
        <v>580</v>
      </c>
      <c r="AX2321" t="s">
        <v>13751</v>
      </c>
      <c r="AY2321" t="s">
        <v>15649</v>
      </c>
      <c r="AZ2321" t="s">
        <v>22779</v>
      </c>
      <c r="BA2321">
        <v>1</v>
      </c>
      <c r="BB2321">
        <v>420.08</v>
      </c>
      <c r="BC2321">
        <v>0.46</v>
      </c>
      <c r="BD2321">
        <v>20.14</v>
      </c>
      <c r="BE2321">
        <v>20.329999999999998</v>
      </c>
      <c r="BF2321">
        <v>19.829999999999998</v>
      </c>
      <c r="BG2321" t="s">
        <v>22780</v>
      </c>
      <c r="BH2321" t="s">
        <v>15649</v>
      </c>
      <c r="BI2321" t="s">
        <v>22781</v>
      </c>
      <c r="BJ2321" t="s">
        <v>101</v>
      </c>
      <c r="BK2321" t="s">
        <v>1397</v>
      </c>
      <c r="BL2321" t="s">
        <v>19871</v>
      </c>
      <c r="BM2321" t="s">
        <v>22782</v>
      </c>
      <c r="BN2321" t="s">
        <v>14623</v>
      </c>
    </row>
    <row r="2322" spans="1:66" x14ac:dyDescent="0.25">
      <c r="A2322" t="str">
        <f>HYPERLINK("https://elite.finviz.com/quote.ashx?t=FMFC&amp;ty=c&amp;p=d&amp;b=1", "FMFC")</f>
        <v>FMFC</v>
      </c>
      <c r="B2322">
        <v>6</v>
      </c>
      <c r="C2322">
        <v>127.03</v>
      </c>
      <c r="D2322">
        <v>78.430000000000007</v>
      </c>
      <c r="E2322" t="s">
        <v>22783</v>
      </c>
      <c r="F2322" t="s">
        <v>107</v>
      </c>
      <c r="G2322" t="s">
        <v>813</v>
      </c>
      <c r="H2322" t="s">
        <v>4043</v>
      </c>
      <c r="I2322" t="s">
        <v>70</v>
      </c>
      <c r="J2322" t="s">
        <v>321</v>
      </c>
      <c r="L2322">
        <v>14.07</v>
      </c>
      <c r="M2322" t="s">
        <v>2789</v>
      </c>
      <c r="N2322">
        <v>265987</v>
      </c>
      <c r="AR2322" t="s">
        <v>2196</v>
      </c>
      <c r="AS2322" t="s">
        <v>7019</v>
      </c>
      <c r="AT2322" t="s">
        <v>757</v>
      </c>
      <c r="AU2322" t="s">
        <v>3847</v>
      </c>
      <c r="AV2322" t="s">
        <v>7755</v>
      </c>
      <c r="AW2322" t="s">
        <v>13117</v>
      </c>
      <c r="AX2322" t="s">
        <v>22784</v>
      </c>
      <c r="AY2322" t="s">
        <v>13117</v>
      </c>
      <c r="AZ2322" t="s">
        <v>22785</v>
      </c>
      <c r="BB2322">
        <v>883.58</v>
      </c>
      <c r="BC2322">
        <v>1.07</v>
      </c>
      <c r="BD2322">
        <v>13.73</v>
      </c>
      <c r="BE2322">
        <v>14.26</v>
      </c>
      <c r="BF2322">
        <v>13.54</v>
      </c>
      <c r="BG2322" t="s">
        <v>22786</v>
      </c>
      <c r="BH2322" t="s">
        <v>13117</v>
      </c>
      <c r="BI2322" t="s">
        <v>22785</v>
      </c>
      <c r="BJ2322" t="s">
        <v>101</v>
      </c>
      <c r="BK2322" t="s">
        <v>22787</v>
      </c>
      <c r="BN2322" t="s">
        <v>14623</v>
      </c>
    </row>
    <row r="2323" spans="1:66" x14ac:dyDescent="0.25">
      <c r="A2323" t="str">
        <f>HYPERLINK("https://elite.finviz.com/quote.ashx?t=ATGE&amp;ty=c&amp;p=d&amp;b=1", "ATGE")</f>
        <v>ATGE</v>
      </c>
      <c r="B2323">
        <v>6</v>
      </c>
      <c r="C2323">
        <v>127.03</v>
      </c>
      <c r="D2323">
        <v>78.63</v>
      </c>
      <c r="E2323" t="s">
        <v>22788</v>
      </c>
      <c r="F2323" t="s">
        <v>67</v>
      </c>
      <c r="G2323" t="s">
        <v>2244</v>
      </c>
      <c r="H2323" t="s">
        <v>2483</v>
      </c>
      <c r="I2323" t="s">
        <v>70</v>
      </c>
      <c r="J2323" t="s">
        <v>71</v>
      </c>
      <c r="K2323">
        <v>5371.06</v>
      </c>
      <c r="L2323">
        <v>149.38</v>
      </c>
      <c r="M2323" t="s">
        <v>4689</v>
      </c>
      <c r="N2323">
        <v>50719</v>
      </c>
      <c r="O2323">
        <v>24.11</v>
      </c>
      <c r="P2323">
        <v>17</v>
      </c>
      <c r="R2323">
        <v>3</v>
      </c>
      <c r="S2323">
        <v>3.75</v>
      </c>
      <c r="V2323" t="s">
        <v>22789</v>
      </c>
      <c r="Z2323" t="s">
        <v>164</v>
      </c>
      <c r="AA2323">
        <v>6.19</v>
      </c>
      <c r="AC2323" t="s">
        <v>1575</v>
      </c>
      <c r="AE2323" t="s">
        <v>4450</v>
      </c>
      <c r="AF2323" t="s">
        <v>5911</v>
      </c>
      <c r="AG2323" t="s">
        <v>6076</v>
      </c>
      <c r="AH2323" t="s">
        <v>8051</v>
      </c>
      <c r="AI2323" t="s">
        <v>3050</v>
      </c>
      <c r="AJ2323" t="s">
        <v>10449</v>
      </c>
      <c r="AK2323" t="s">
        <v>22790</v>
      </c>
      <c r="AL2323">
        <v>0.82</v>
      </c>
      <c r="AM2323">
        <v>0.82</v>
      </c>
      <c r="AN2323">
        <v>0.54</v>
      </c>
      <c r="AO2323" t="s">
        <v>14052</v>
      </c>
      <c r="AP2323" t="s">
        <v>7913</v>
      </c>
      <c r="AQ2323" t="s">
        <v>6946</v>
      </c>
      <c r="AR2323" t="s">
        <v>451</v>
      </c>
      <c r="AS2323" t="s">
        <v>213</v>
      </c>
      <c r="AT2323" t="s">
        <v>7938</v>
      </c>
      <c r="AU2323" t="s">
        <v>11086</v>
      </c>
      <c r="AV2323" t="s">
        <v>15533</v>
      </c>
      <c r="AW2323" t="s">
        <v>3169</v>
      </c>
      <c r="AX2323" t="s">
        <v>1512</v>
      </c>
      <c r="AY2323" t="s">
        <v>3169</v>
      </c>
      <c r="AZ2323" t="s">
        <v>22791</v>
      </c>
      <c r="BA2323">
        <v>1.25</v>
      </c>
      <c r="BB2323">
        <v>405.47</v>
      </c>
      <c r="BC2323">
        <v>0.44</v>
      </c>
      <c r="BD2323">
        <v>147.88</v>
      </c>
      <c r="BE2323">
        <v>150.57</v>
      </c>
      <c r="BF2323">
        <v>147.34</v>
      </c>
      <c r="BG2323" t="s">
        <v>22792</v>
      </c>
      <c r="BH2323" t="s">
        <v>3169</v>
      </c>
      <c r="BI2323" t="s">
        <v>22793</v>
      </c>
      <c r="BJ2323" t="s">
        <v>101</v>
      </c>
      <c r="BK2323" t="s">
        <v>8273</v>
      </c>
      <c r="BL2323" t="s">
        <v>18519</v>
      </c>
      <c r="BM2323" t="s">
        <v>22794</v>
      </c>
      <c r="BN2323" t="s">
        <v>14623</v>
      </c>
    </row>
    <row r="2324" spans="1:66" x14ac:dyDescent="0.25">
      <c r="A2324" t="str">
        <f>HYPERLINK("https://elite.finviz.com/quote.ashx?t=BAYA&amp;ty=c&amp;p=d&amp;b=1", "BAYA")</f>
        <v>BAYA</v>
      </c>
      <c r="B2324">
        <v>6</v>
      </c>
      <c r="C2324">
        <v>127.03</v>
      </c>
      <c r="D2324">
        <v>78.819999999999993</v>
      </c>
      <c r="E2324" t="s">
        <v>22795</v>
      </c>
      <c r="F2324" t="s">
        <v>107</v>
      </c>
      <c r="G2324" t="s">
        <v>550</v>
      </c>
      <c r="H2324" t="s">
        <v>2120</v>
      </c>
      <c r="I2324" t="s">
        <v>70</v>
      </c>
      <c r="J2324" t="s">
        <v>321</v>
      </c>
      <c r="K2324">
        <v>39.200000000000003</v>
      </c>
      <c r="L2324">
        <v>11.28</v>
      </c>
      <c r="M2324" t="s">
        <v>164</v>
      </c>
      <c r="N2324">
        <v>0</v>
      </c>
      <c r="O2324">
        <v>93.38</v>
      </c>
      <c r="S2324">
        <v>2.65</v>
      </c>
      <c r="Z2324" t="s">
        <v>164</v>
      </c>
      <c r="AA2324">
        <v>0.12</v>
      </c>
      <c r="AJ2324" t="s">
        <v>164</v>
      </c>
      <c r="AK2324" t="s">
        <v>20352</v>
      </c>
      <c r="AL2324">
        <v>0.04</v>
      </c>
      <c r="AM2324">
        <v>0.04</v>
      </c>
      <c r="AN2324">
        <v>0.08</v>
      </c>
      <c r="AR2324" t="s">
        <v>164</v>
      </c>
      <c r="AS2324" t="s">
        <v>164</v>
      </c>
      <c r="AT2324" t="s">
        <v>2185</v>
      </c>
      <c r="AU2324" t="s">
        <v>3024</v>
      </c>
      <c r="AV2324" t="s">
        <v>3057</v>
      </c>
      <c r="AW2324" t="s">
        <v>10546</v>
      </c>
      <c r="AX2324" t="s">
        <v>3520</v>
      </c>
      <c r="AY2324" t="s">
        <v>10546</v>
      </c>
      <c r="AZ2324" t="s">
        <v>223</v>
      </c>
      <c r="BB2324">
        <v>0.34</v>
      </c>
      <c r="BC2324">
        <v>0</v>
      </c>
      <c r="BD2324">
        <v>11.28</v>
      </c>
      <c r="BE2324">
        <v>11.28</v>
      </c>
      <c r="BF2324">
        <v>11.28</v>
      </c>
      <c r="BG2324" t="s">
        <v>22796</v>
      </c>
      <c r="BH2324" t="s">
        <v>10546</v>
      </c>
      <c r="BI2324" t="s">
        <v>3751</v>
      </c>
      <c r="BJ2324" t="s">
        <v>101</v>
      </c>
      <c r="BK2324" t="s">
        <v>3500</v>
      </c>
      <c r="BL2324" t="s">
        <v>3507</v>
      </c>
      <c r="BN2324" t="s">
        <v>14623</v>
      </c>
    </row>
    <row r="2325" spans="1:66" x14ac:dyDescent="0.25">
      <c r="A2325" t="str">
        <f>HYPERLINK("https://elite.finviz.com/quote.ashx?t=EZPW&amp;ty=c&amp;p=d&amp;b=1", "EZPW")</f>
        <v>EZPW</v>
      </c>
      <c r="B2325">
        <v>6</v>
      </c>
      <c r="C2325">
        <v>127.03</v>
      </c>
      <c r="D2325">
        <v>78.88</v>
      </c>
      <c r="E2325" t="s">
        <v>22797</v>
      </c>
      <c r="F2325" t="s">
        <v>107</v>
      </c>
      <c r="G2325" t="s">
        <v>550</v>
      </c>
      <c r="H2325" t="s">
        <v>3744</v>
      </c>
      <c r="I2325" t="s">
        <v>70</v>
      </c>
      <c r="J2325" t="s">
        <v>321</v>
      </c>
      <c r="K2325">
        <v>1145.46</v>
      </c>
      <c r="L2325">
        <v>18.809999999999999</v>
      </c>
      <c r="M2325" t="s">
        <v>1438</v>
      </c>
      <c r="N2325">
        <v>226083</v>
      </c>
      <c r="O2325">
        <v>15.25</v>
      </c>
      <c r="P2325">
        <v>13.08</v>
      </c>
      <c r="Q2325">
        <v>1.19</v>
      </c>
      <c r="R2325">
        <v>0.93</v>
      </c>
      <c r="S2325">
        <v>1.1599999999999999</v>
      </c>
      <c r="Z2325" t="s">
        <v>164</v>
      </c>
      <c r="AA2325">
        <v>1.23</v>
      </c>
      <c r="AB2325" t="s">
        <v>22798</v>
      </c>
      <c r="AC2325" t="s">
        <v>8071</v>
      </c>
      <c r="AD2325" t="s">
        <v>9097</v>
      </c>
      <c r="AE2325" t="s">
        <v>5528</v>
      </c>
      <c r="AF2325" t="s">
        <v>7167</v>
      </c>
      <c r="AG2325" t="s">
        <v>8125</v>
      </c>
      <c r="AH2325" t="s">
        <v>4996</v>
      </c>
      <c r="AI2325" t="s">
        <v>11934</v>
      </c>
      <c r="AJ2325" t="s">
        <v>6359</v>
      </c>
      <c r="AK2325" t="s">
        <v>22799</v>
      </c>
      <c r="AL2325">
        <v>6.31</v>
      </c>
      <c r="AM2325">
        <v>5</v>
      </c>
      <c r="AN2325">
        <v>0.77</v>
      </c>
      <c r="AO2325" t="s">
        <v>13283</v>
      </c>
      <c r="AP2325" t="s">
        <v>6293</v>
      </c>
      <c r="AQ2325" t="s">
        <v>710</v>
      </c>
      <c r="AR2325" t="s">
        <v>3173</v>
      </c>
      <c r="AS2325" t="s">
        <v>179</v>
      </c>
      <c r="AT2325" t="s">
        <v>418</v>
      </c>
      <c r="AU2325" t="s">
        <v>9194</v>
      </c>
      <c r="AV2325" t="s">
        <v>6763</v>
      </c>
      <c r="AW2325" t="s">
        <v>7780</v>
      </c>
      <c r="AX2325" t="s">
        <v>22800</v>
      </c>
      <c r="AY2325" t="s">
        <v>7780</v>
      </c>
      <c r="AZ2325" t="s">
        <v>9388</v>
      </c>
      <c r="BA2325">
        <v>1.67</v>
      </c>
      <c r="BB2325">
        <v>750.49</v>
      </c>
      <c r="BC2325">
        <v>1.06</v>
      </c>
      <c r="BD2325">
        <v>18.39</v>
      </c>
      <c r="BE2325">
        <v>18.88</v>
      </c>
      <c r="BF2325">
        <v>18.48</v>
      </c>
      <c r="BG2325" t="s">
        <v>22801</v>
      </c>
      <c r="BH2325" t="s">
        <v>22802</v>
      </c>
      <c r="BI2325" t="s">
        <v>22803</v>
      </c>
      <c r="BJ2325" t="s">
        <v>101</v>
      </c>
      <c r="BK2325" t="s">
        <v>21868</v>
      </c>
      <c r="BL2325" t="s">
        <v>2334</v>
      </c>
      <c r="BM2325" t="s">
        <v>22804</v>
      </c>
      <c r="BN2325" t="s">
        <v>14623</v>
      </c>
    </row>
    <row r="2326" spans="1:66" x14ac:dyDescent="0.25">
      <c r="A2326" t="str">
        <f>HYPERLINK("https://elite.finviz.com/quote.ashx?t=HCMAU&amp;ty=c&amp;p=d&amp;b=1", "HCMAU")</f>
        <v>HCMAU</v>
      </c>
      <c r="B2326">
        <v>6</v>
      </c>
      <c r="C2326">
        <v>127.03</v>
      </c>
      <c r="D2326">
        <v>79.36</v>
      </c>
      <c r="E2326" t="s">
        <v>22805</v>
      </c>
      <c r="F2326" t="s">
        <v>107</v>
      </c>
      <c r="G2326" t="s">
        <v>550</v>
      </c>
      <c r="H2326" t="s">
        <v>2120</v>
      </c>
      <c r="I2326" t="s">
        <v>70</v>
      </c>
      <c r="J2326" t="s">
        <v>321</v>
      </c>
      <c r="K2326">
        <v>349.44</v>
      </c>
      <c r="L2326">
        <v>10.36</v>
      </c>
      <c r="M2326" t="s">
        <v>1648</v>
      </c>
      <c r="N2326">
        <v>4</v>
      </c>
      <c r="AJ2326" t="s">
        <v>164</v>
      </c>
      <c r="AK2326" t="s">
        <v>6726</v>
      </c>
      <c r="AL2326">
        <v>0.09</v>
      </c>
      <c r="AM2326">
        <v>0.09</v>
      </c>
      <c r="AR2326" t="s">
        <v>3976</v>
      </c>
      <c r="AS2326" t="s">
        <v>3336</v>
      </c>
      <c r="AT2326" t="s">
        <v>2186</v>
      </c>
      <c r="AU2326" t="s">
        <v>3118</v>
      </c>
      <c r="AV2326" t="s">
        <v>3118</v>
      </c>
      <c r="AW2326" t="s">
        <v>3937</v>
      </c>
      <c r="AX2326" t="s">
        <v>5188</v>
      </c>
      <c r="AY2326" t="s">
        <v>3937</v>
      </c>
      <c r="AZ2326" t="s">
        <v>5188</v>
      </c>
      <c r="BB2326">
        <v>354.98</v>
      </c>
      <c r="BC2326">
        <v>0</v>
      </c>
      <c r="BD2326">
        <v>10.38</v>
      </c>
      <c r="BE2326">
        <v>10.36</v>
      </c>
      <c r="BF2326">
        <v>10.36</v>
      </c>
      <c r="BG2326" t="s">
        <v>22806</v>
      </c>
      <c r="BH2326" t="s">
        <v>3937</v>
      </c>
      <c r="BI2326" t="s">
        <v>5188</v>
      </c>
      <c r="BJ2326" t="s">
        <v>101</v>
      </c>
      <c r="BN2326" t="s">
        <v>14623</v>
      </c>
    </row>
    <row r="2327" spans="1:66" x14ac:dyDescent="0.25">
      <c r="A2327" t="str">
        <f>HYPERLINK("https://elite.finviz.com/quote.ashx?t=MAZE&amp;ty=c&amp;p=d&amp;b=1", "MAZE")</f>
        <v>MAZE</v>
      </c>
      <c r="B2327">
        <v>6</v>
      </c>
      <c r="C2327">
        <v>127.03</v>
      </c>
      <c r="D2327">
        <v>79.64</v>
      </c>
      <c r="E2327" t="s">
        <v>22807</v>
      </c>
      <c r="F2327" t="s">
        <v>67</v>
      </c>
      <c r="G2327" t="s">
        <v>428</v>
      </c>
      <c r="H2327" t="s">
        <v>429</v>
      </c>
      <c r="I2327" t="s">
        <v>70</v>
      </c>
      <c r="J2327" t="s">
        <v>321</v>
      </c>
      <c r="K2327">
        <v>1162.49</v>
      </c>
      <c r="L2327">
        <v>26.51</v>
      </c>
      <c r="M2327" t="s">
        <v>306</v>
      </c>
      <c r="N2327">
        <v>146636</v>
      </c>
      <c r="R2327">
        <v>464.99</v>
      </c>
      <c r="S2327">
        <v>4.43</v>
      </c>
      <c r="AA2327">
        <v>-1.68</v>
      </c>
      <c r="AI2327" t="s">
        <v>2678</v>
      </c>
      <c r="AJ2327" t="s">
        <v>6192</v>
      </c>
      <c r="AK2327" t="s">
        <v>13473</v>
      </c>
      <c r="AL2327">
        <v>13.63</v>
      </c>
      <c r="AM2327">
        <v>13.63</v>
      </c>
      <c r="AN2327">
        <v>0.1</v>
      </c>
      <c r="AO2327" t="s">
        <v>14902</v>
      </c>
      <c r="AP2327" t="s">
        <v>22808</v>
      </c>
      <c r="AQ2327" t="s">
        <v>22809</v>
      </c>
      <c r="AR2327" t="s">
        <v>2655</v>
      </c>
      <c r="AS2327" t="s">
        <v>5404</v>
      </c>
      <c r="AT2327" t="s">
        <v>6970</v>
      </c>
      <c r="AU2327" t="s">
        <v>13653</v>
      </c>
      <c r="AV2327" t="s">
        <v>2348</v>
      </c>
      <c r="AW2327" t="s">
        <v>842</v>
      </c>
      <c r="AX2327" t="s">
        <v>22810</v>
      </c>
      <c r="AY2327" t="s">
        <v>842</v>
      </c>
      <c r="AZ2327" t="s">
        <v>22811</v>
      </c>
      <c r="BA2327">
        <v>1</v>
      </c>
      <c r="BB2327">
        <v>401.49</v>
      </c>
      <c r="BC2327">
        <v>1.29</v>
      </c>
      <c r="BD2327">
        <v>26.35</v>
      </c>
      <c r="BE2327">
        <v>26.97</v>
      </c>
      <c r="BF2327">
        <v>25.69</v>
      </c>
      <c r="BG2327" t="s">
        <v>22812</v>
      </c>
      <c r="BH2327" t="s">
        <v>842</v>
      </c>
      <c r="BI2327" t="s">
        <v>22811</v>
      </c>
      <c r="BJ2327" t="s">
        <v>101</v>
      </c>
      <c r="BK2327" t="s">
        <v>15271</v>
      </c>
      <c r="BL2327" t="s">
        <v>22813</v>
      </c>
      <c r="BN2327" t="s">
        <v>14623</v>
      </c>
    </row>
    <row r="2328" spans="1:66" x14ac:dyDescent="0.25">
      <c r="A2328" t="str">
        <f>HYPERLINK("https://elite.finviz.com/quote.ashx?t=GSRFU&amp;ty=c&amp;p=d&amp;b=1", "GSRFU")</f>
        <v>GSRFU</v>
      </c>
      <c r="B2328">
        <v>6</v>
      </c>
      <c r="C2328">
        <v>127.03</v>
      </c>
      <c r="D2328">
        <v>80.37</v>
      </c>
      <c r="E2328" t="s">
        <v>22814</v>
      </c>
      <c r="F2328" t="s">
        <v>107</v>
      </c>
      <c r="G2328" t="s">
        <v>550</v>
      </c>
      <c r="H2328" t="s">
        <v>2120</v>
      </c>
      <c r="I2328" t="s">
        <v>70</v>
      </c>
      <c r="J2328" t="s">
        <v>321</v>
      </c>
      <c r="K2328">
        <v>209.19</v>
      </c>
      <c r="L2328">
        <v>10.15</v>
      </c>
      <c r="M2328" t="s">
        <v>4237</v>
      </c>
      <c r="N2328">
        <v>25030</v>
      </c>
      <c r="AJ2328" t="s">
        <v>164</v>
      </c>
      <c r="AL2328">
        <v>0</v>
      </c>
      <c r="AM2328">
        <v>0</v>
      </c>
      <c r="AR2328" t="s">
        <v>2646</v>
      </c>
      <c r="AT2328" t="s">
        <v>1657</v>
      </c>
      <c r="AU2328" t="s">
        <v>1657</v>
      </c>
      <c r="AV2328" t="s">
        <v>1657</v>
      </c>
      <c r="AW2328" t="s">
        <v>2003</v>
      </c>
      <c r="AX2328" t="s">
        <v>7780</v>
      </c>
      <c r="AY2328" t="s">
        <v>2003</v>
      </c>
      <c r="AZ2328" t="s">
        <v>7780</v>
      </c>
      <c r="BB2328">
        <v>906.18</v>
      </c>
      <c r="BC2328">
        <v>0.1</v>
      </c>
      <c r="BD2328">
        <v>10.15</v>
      </c>
      <c r="BE2328">
        <v>10.15</v>
      </c>
      <c r="BF2328">
        <v>10.15</v>
      </c>
      <c r="BG2328" t="s">
        <v>22815</v>
      </c>
      <c r="BH2328" t="s">
        <v>2003</v>
      </c>
      <c r="BI2328" t="s">
        <v>7780</v>
      </c>
      <c r="BJ2328" t="s">
        <v>101</v>
      </c>
      <c r="BN2328" t="s">
        <v>14623</v>
      </c>
    </row>
    <row r="2329" spans="1:66" x14ac:dyDescent="0.25">
      <c r="A2329" t="str">
        <f>HYPERLINK("https://elite.finviz.com/quote.ashx?t=RGR&amp;ty=c&amp;p=d&amp;b=1", "RGR")</f>
        <v>RGR</v>
      </c>
      <c r="B2329">
        <v>6</v>
      </c>
      <c r="C2329">
        <v>127.03</v>
      </c>
      <c r="D2329">
        <v>80.790000000000006</v>
      </c>
      <c r="E2329" t="s">
        <v>22816</v>
      </c>
      <c r="F2329" t="s">
        <v>67</v>
      </c>
      <c r="G2329" t="s">
        <v>260</v>
      </c>
      <c r="H2329" t="s">
        <v>4779</v>
      </c>
      <c r="I2329" t="s">
        <v>70</v>
      </c>
      <c r="J2329" t="s">
        <v>71</v>
      </c>
      <c r="K2329">
        <v>685.29</v>
      </c>
      <c r="L2329">
        <v>42.4</v>
      </c>
      <c r="M2329" t="s">
        <v>3550</v>
      </c>
      <c r="N2329">
        <v>33911</v>
      </c>
      <c r="O2329">
        <v>137.13</v>
      </c>
      <c r="P2329">
        <v>20.34</v>
      </c>
      <c r="R2329">
        <v>1.28</v>
      </c>
      <c r="S2329">
        <v>2.38</v>
      </c>
      <c r="T2329" t="s">
        <v>2082</v>
      </c>
      <c r="U2329">
        <v>0.69</v>
      </c>
      <c r="V2329" t="s">
        <v>3046</v>
      </c>
      <c r="W2329" t="s">
        <v>22817</v>
      </c>
      <c r="X2329" t="s">
        <v>22818</v>
      </c>
      <c r="Y2329" t="s">
        <v>12575</v>
      </c>
      <c r="Z2329" t="s">
        <v>18856</v>
      </c>
      <c r="AA2329">
        <v>0.31</v>
      </c>
      <c r="AB2329" t="s">
        <v>22819</v>
      </c>
      <c r="AC2329" t="s">
        <v>148</v>
      </c>
      <c r="AE2329" t="s">
        <v>6770</v>
      </c>
      <c r="AF2329" t="s">
        <v>2850</v>
      </c>
      <c r="AG2329" t="s">
        <v>272</v>
      </c>
      <c r="AH2329" t="s">
        <v>4881</v>
      </c>
      <c r="AI2329" t="s">
        <v>2678</v>
      </c>
      <c r="AJ2329" t="s">
        <v>10262</v>
      </c>
      <c r="AK2329" t="s">
        <v>22820</v>
      </c>
      <c r="AL2329">
        <v>3.96</v>
      </c>
      <c r="AM2329">
        <v>3.03</v>
      </c>
      <c r="AN2329">
        <v>0.01</v>
      </c>
      <c r="AO2329" t="s">
        <v>6815</v>
      </c>
      <c r="AP2329" t="s">
        <v>4901</v>
      </c>
      <c r="AQ2329" t="s">
        <v>2644</v>
      </c>
      <c r="AR2329" t="s">
        <v>4294</v>
      </c>
      <c r="AS2329" t="s">
        <v>213</v>
      </c>
      <c r="AT2329" t="s">
        <v>5128</v>
      </c>
      <c r="AU2329" t="s">
        <v>12156</v>
      </c>
      <c r="AV2329" t="s">
        <v>5439</v>
      </c>
      <c r="AW2329" t="s">
        <v>6359</v>
      </c>
      <c r="AX2329" t="s">
        <v>363</v>
      </c>
      <c r="AY2329" t="s">
        <v>6359</v>
      </c>
      <c r="AZ2329" t="s">
        <v>363</v>
      </c>
      <c r="BA2329">
        <v>2</v>
      </c>
      <c r="BB2329">
        <v>211.59</v>
      </c>
      <c r="BC2329">
        <v>0.56000000000000005</v>
      </c>
      <c r="BD2329">
        <v>41.78</v>
      </c>
      <c r="BE2329">
        <v>42.5</v>
      </c>
      <c r="BF2329">
        <v>41.88</v>
      </c>
      <c r="BG2329" t="s">
        <v>22821</v>
      </c>
      <c r="BH2329" t="s">
        <v>18470</v>
      </c>
      <c r="BI2329" t="s">
        <v>22822</v>
      </c>
      <c r="BJ2329" t="s">
        <v>101</v>
      </c>
      <c r="BK2329" t="s">
        <v>5970</v>
      </c>
      <c r="BL2329" t="s">
        <v>464</v>
      </c>
      <c r="BM2329" t="s">
        <v>171</v>
      </c>
      <c r="BN2329" t="s">
        <v>14623</v>
      </c>
    </row>
    <row r="2330" spans="1:66" x14ac:dyDescent="0.25">
      <c r="A2330" t="str">
        <f>HYPERLINK("https://elite.finviz.com/quote.ashx?t=YMAB&amp;ty=c&amp;p=d&amp;b=1", "YMAB")</f>
        <v>YMAB</v>
      </c>
      <c r="B2330">
        <v>6</v>
      </c>
      <c r="C2330">
        <v>127.03</v>
      </c>
      <c r="D2330">
        <v>81.2</v>
      </c>
      <c r="E2330" t="s">
        <v>22823</v>
      </c>
      <c r="F2330" t="s">
        <v>107</v>
      </c>
      <c r="G2330" t="s">
        <v>428</v>
      </c>
      <c r="H2330" t="s">
        <v>429</v>
      </c>
      <c r="I2330" t="s">
        <v>70</v>
      </c>
      <c r="J2330" t="s">
        <v>321</v>
      </c>
      <c r="K2330">
        <v>391.24</v>
      </c>
      <c r="L2330">
        <v>8.61</v>
      </c>
      <c r="M2330" t="s">
        <v>164</v>
      </c>
      <c r="N2330">
        <v>0</v>
      </c>
      <c r="R2330">
        <v>4.58</v>
      </c>
      <c r="S2330">
        <v>4.47</v>
      </c>
      <c r="AA2330">
        <v>-0.49</v>
      </c>
      <c r="AB2330" t="s">
        <v>14157</v>
      </c>
      <c r="AC2330" t="s">
        <v>8290</v>
      </c>
      <c r="AE2330" t="s">
        <v>2826</v>
      </c>
      <c r="AF2330" t="s">
        <v>5315</v>
      </c>
      <c r="AH2330" t="s">
        <v>4521</v>
      </c>
      <c r="AI2330" t="s">
        <v>12827</v>
      </c>
      <c r="AJ2330" t="s">
        <v>164</v>
      </c>
      <c r="AK2330" t="s">
        <v>21006</v>
      </c>
      <c r="AL2330">
        <v>4</v>
      </c>
      <c r="AM2330">
        <v>3.58</v>
      </c>
      <c r="AN2330">
        <v>0.04</v>
      </c>
      <c r="AO2330" t="s">
        <v>22824</v>
      </c>
      <c r="AP2330" t="s">
        <v>22825</v>
      </c>
      <c r="AQ2330" t="s">
        <v>2068</v>
      </c>
      <c r="AR2330" t="s">
        <v>2880</v>
      </c>
      <c r="AS2330" t="s">
        <v>1083</v>
      </c>
      <c r="AT2330" t="s">
        <v>306</v>
      </c>
      <c r="AU2330" t="s">
        <v>78</v>
      </c>
      <c r="AV2330" t="s">
        <v>5347</v>
      </c>
      <c r="AW2330" t="s">
        <v>164</v>
      </c>
      <c r="AX2330" t="s">
        <v>4350</v>
      </c>
      <c r="AY2330" t="s">
        <v>12037</v>
      </c>
      <c r="AZ2330" t="s">
        <v>22826</v>
      </c>
      <c r="BA2330">
        <v>2.8</v>
      </c>
      <c r="BB2330">
        <v>892.3</v>
      </c>
      <c r="BC2330">
        <v>0</v>
      </c>
      <c r="BD2330">
        <v>8.61</v>
      </c>
      <c r="BE2330">
        <v>8.61</v>
      </c>
      <c r="BF2330">
        <v>8.61</v>
      </c>
      <c r="BG2330" t="s">
        <v>22827</v>
      </c>
      <c r="BH2330" t="s">
        <v>3805</v>
      </c>
      <c r="BI2330" t="s">
        <v>22828</v>
      </c>
      <c r="BJ2330" t="s">
        <v>101</v>
      </c>
      <c r="BK2330" t="s">
        <v>9855</v>
      </c>
      <c r="BL2330" t="s">
        <v>11640</v>
      </c>
      <c r="BM2330" t="s">
        <v>22829</v>
      </c>
      <c r="BN2330" t="s">
        <v>14623</v>
      </c>
    </row>
    <row r="2331" spans="1:66" x14ac:dyDescent="0.25">
      <c r="A2331" t="str">
        <f>HYPERLINK("https://elite.finviz.com/quote.ashx?t=MFH&amp;ty=c&amp;p=d&amp;b=1", "MFH")</f>
        <v>MFH</v>
      </c>
      <c r="B2331">
        <v>6</v>
      </c>
      <c r="C2331">
        <v>127.03</v>
      </c>
      <c r="D2331">
        <v>81.680000000000007</v>
      </c>
      <c r="E2331" t="s">
        <v>22830</v>
      </c>
      <c r="F2331" t="s">
        <v>67</v>
      </c>
      <c r="G2331" t="s">
        <v>108</v>
      </c>
      <c r="H2331" t="s">
        <v>1322</v>
      </c>
      <c r="I2331" t="s">
        <v>70</v>
      </c>
      <c r="J2331" t="s">
        <v>321</v>
      </c>
      <c r="K2331">
        <v>1070.05</v>
      </c>
      <c r="L2331">
        <v>15.49</v>
      </c>
      <c r="M2331" t="s">
        <v>7978</v>
      </c>
      <c r="N2331">
        <v>107619</v>
      </c>
      <c r="R2331">
        <v>1059.45</v>
      </c>
      <c r="S2331">
        <v>40.06</v>
      </c>
      <c r="AA2331">
        <v>-0.09</v>
      </c>
      <c r="AB2331" t="s">
        <v>9338</v>
      </c>
      <c r="AC2331" t="s">
        <v>22831</v>
      </c>
      <c r="AE2331" t="s">
        <v>17190</v>
      </c>
      <c r="AF2331" t="s">
        <v>4666</v>
      </c>
      <c r="AG2331" t="s">
        <v>9261</v>
      </c>
      <c r="AH2331" t="s">
        <v>22832</v>
      </c>
      <c r="AJ2331" t="s">
        <v>164</v>
      </c>
      <c r="AK2331" t="s">
        <v>10971</v>
      </c>
      <c r="AL2331">
        <v>2.59</v>
      </c>
      <c r="AM2331">
        <v>2.59</v>
      </c>
      <c r="AN2331">
        <v>0.32</v>
      </c>
      <c r="AO2331" t="s">
        <v>14524</v>
      </c>
      <c r="AP2331" t="s">
        <v>22833</v>
      </c>
      <c r="AQ2331" t="s">
        <v>22834</v>
      </c>
      <c r="AR2331" t="s">
        <v>2441</v>
      </c>
      <c r="AS2331" t="s">
        <v>5046</v>
      </c>
      <c r="AT2331" t="s">
        <v>22835</v>
      </c>
      <c r="AU2331" t="s">
        <v>22836</v>
      </c>
      <c r="AV2331" t="s">
        <v>22837</v>
      </c>
      <c r="AW2331" t="s">
        <v>2317</v>
      </c>
      <c r="AX2331" t="s">
        <v>22838</v>
      </c>
      <c r="AY2331" t="s">
        <v>2317</v>
      </c>
      <c r="AZ2331" t="s">
        <v>22839</v>
      </c>
      <c r="BB2331">
        <v>771.81</v>
      </c>
      <c r="BC2331">
        <v>0.5</v>
      </c>
      <c r="BD2331">
        <v>14.76</v>
      </c>
      <c r="BE2331">
        <v>15.99</v>
      </c>
      <c r="BF2331">
        <v>14.76</v>
      </c>
      <c r="BG2331" t="s">
        <v>22840</v>
      </c>
      <c r="BH2331" t="s">
        <v>22841</v>
      </c>
      <c r="BI2331" t="s">
        <v>22842</v>
      </c>
      <c r="BJ2331" t="s">
        <v>101</v>
      </c>
      <c r="BK2331" t="s">
        <v>22843</v>
      </c>
      <c r="BL2331" t="s">
        <v>22844</v>
      </c>
      <c r="BM2331" t="s">
        <v>22845</v>
      </c>
      <c r="BN2331" t="s">
        <v>14623</v>
      </c>
    </row>
    <row r="2332" spans="1:66" x14ac:dyDescent="0.25">
      <c r="A2332" t="str">
        <f>HYPERLINK("https://elite.finviz.com/quote.ashx?t=PBPB&amp;ty=c&amp;p=d&amp;b=1", "PBPB")</f>
        <v>PBPB</v>
      </c>
      <c r="B2332">
        <v>6</v>
      </c>
      <c r="C2332">
        <v>127.03</v>
      </c>
      <c r="D2332">
        <v>82.54</v>
      </c>
      <c r="E2332" t="s">
        <v>22846</v>
      </c>
      <c r="F2332" t="s">
        <v>67</v>
      </c>
      <c r="G2332" t="s">
        <v>813</v>
      </c>
      <c r="H2332" t="s">
        <v>2285</v>
      </c>
      <c r="I2332" t="s">
        <v>70</v>
      </c>
      <c r="J2332" t="s">
        <v>321</v>
      </c>
      <c r="K2332">
        <v>515.49</v>
      </c>
      <c r="L2332">
        <v>17.03</v>
      </c>
      <c r="M2332" t="s">
        <v>5549</v>
      </c>
      <c r="N2332">
        <v>52786</v>
      </c>
      <c r="O2332">
        <v>47.85</v>
      </c>
      <c r="P2332">
        <v>46.84</v>
      </c>
      <c r="Q2332">
        <v>1.95</v>
      </c>
      <c r="R2332">
        <v>1.1000000000000001</v>
      </c>
      <c r="S2332">
        <v>8.4</v>
      </c>
      <c r="Z2332" t="s">
        <v>164</v>
      </c>
      <c r="AA2332">
        <v>0.36</v>
      </c>
      <c r="AD2332" t="s">
        <v>3297</v>
      </c>
      <c r="AE2332" t="s">
        <v>181</v>
      </c>
      <c r="AF2332" t="s">
        <v>954</v>
      </c>
      <c r="AG2332" t="s">
        <v>4547</v>
      </c>
      <c r="AH2332" t="s">
        <v>2522</v>
      </c>
      <c r="AI2332" t="s">
        <v>1453</v>
      </c>
      <c r="AJ2332" t="s">
        <v>2362</v>
      </c>
      <c r="AK2332" t="s">
        <v>12542</v>
      </c>
      <c r="AL2332">
        <v>0.5</v>
      </c>
      <c r="AM2332">
        <v>0.45</v>
      </c>
      <c r="AN2332">
        <v>2.41</v>
      </c>
      <c r="AO2332" t="s">
        <v>10541</v>
      </c>
      <c r="AP2332" t="s">
        <v>1768</v>
      </c>
      <c r="AQ2332" t="s">
        <v>7322</v>
      </c>
      <c r="AR2332" t="s">
        <v>183</v>
      </c>
      <c r="AS2332" t="s">
        <v>3550</v>
      </c>
      <c r="AT2332" t="s">
        <v>1066</v>
      </c>
      <c r="AU2332" t="s">
        <v>3034</v>
      </c>
      <c r="AV2332" t="s">
        <v>18518</v>
      </c>
      <c r="AW2332" t="s">
        <v>1998</v>
      </c>
      <c r="AX2332" t="s">
        <v>22847</v>
      </c>
      <c r="AY2332" t="s">
        <v>1998</v>
      </c>
      <c r="AZ2332" t="s">
        <v>22848</v>
      </c>
      <c r="BA2332">
        <v>3</v>
      </c>
      <c r="BB2332">
        <v>797</v>
      </c>
      <c r="BC2332">
        <v>0.23</v>
      </c>
      <c r="BD2332">
        <v>17.03</v>
      </c>
      <c r="BE2332">
        <v>17.05</v>
      </c>
      <c r="BF2332">
        <v>17.03</v>
      </c>
      <c r="BG2332" t="s">
        <v>22849</v>
      </c>
      <c r="BH2332" t="s">
        <v>11611</v>
      </c>
      <c r="BI2332" t="s">
        <v>22850</v>
      </c>
      <c r="BJ2332" t="s">
        <v>101</v>
      </c>
      <c r="BK2332" t="s">
        <v>13742</v>
      </c>
      <c r="BL2332" t="s">
        <v>15066</v>
      </c>
      <c r="BM2332" t="s">
        <v>22851</v>
      </c>
      <c r="BN2332" t="s">
        <v>14623</v>
      </c>
    </row>
    <row r="2333" spans="1:66" x14ac:dyDescent="0.25">
      <c r="A2333" t="str">
        <f>HYPERLINK("https://elite.finviz.com/quote.ashx?t=MBVIU&amp;ty=c&amp;p=d&amp;b=1", "MBVIU")</f>
        <v>MBVIU</v>
      </c>
      <c r="B2333">
        <v>6</v>
      </c>
      <c r="C2333">
        <v>127.03</v>
      </c>
      <c r="D2333">
        <v>82.73</v>
      </c>
      <c r="E2333" t="s">
        <v>22852</v>
      </c>
      <c r="F2333" t="s">
        <v>107</v>
      </c>
      <c r="G2333" t="s">
        <v>550</v>
      </c>
      <c r="H2333" t="s">
        <v>2120</v>
      </c>
      <c r="I2333" t="s">
        <v>70</v>
      </c>
      <c r="J2333" t="s">
        <v>321</v>
      </c>
      <c r="K2333">
        <v>348.98</v>
      </c>
      <c r="L2333">
        <v>10.119999999999999</v>
      </c>
      <c r="M2333" t="s">
        <v>164</v>
      </c>
      <c r="N2333">
        <v>17336</v>
      </c>
      <c r="S2333">
        <v>53238.95</v>
      </c>
      <c r="AJ2333" t="s">
        <v>164</v>
      </c>
      <c r="AK2333" t="s">
        <v>2215</v>
      </c>
      <c r="AL2333">
        <v>0.44</v>
      </c>
      <c r="AM2333">
        <v>0.44</v>
      </c>
      <c r="AN2333">
        <v>1</v>
      </c>
      <c r="AR2333" t="s">
        <v>4266</v>
      </c>
      <c r="AT2333" t="s">
        <v>3871</v>
      </c>
      <c r="AU2333" t="s">
        <v>6245</v>
      </c>
      <c r="AV2333" t="s">
        <v>6245</v>
      </c>
      <c r="AW2333" t="s">
        <v>4538</v>
      </c>
      <c r="AX2333" t="s">
        <v>1417</v>
      </c>
      <c r="AY2333" t="s">
        <v>4538</v>
      </c>
      <c r="AZ2333" t="s">
        <v>1417</v>
      </c>
      <c r="BB2333">
        <v>955.57</v>
      </c>
      <c r="BC2333">
        <v>0.06</v>
      </c>
      <c r="BD2333">
        <v>10.11</v>
      </c>
      <c r="BE2333">
        <v>10.130000000000001</v>
      </c>
      <c r="BF2333">
        <v>10.11</v>
      </c>
      <c r="BG2333" t="s">
        <v>22853</v>
      </c>
      <c r="BH2333" t="s">
        <v>4538</v>
      </c>
      <c r="BI2333" t="s">
        <v>1417</v>
      </c>
      <c r="BJ2333" t="s">
        <v>101</v>
      </c>
      <c r="BN2333" t="s">
        <v>14623</v>
      </c>
    </row>
    <row r="2334" spans="1:66" x14ac:dyDescent="0.25">
      <c r="A2334" t="str">
        <f>HYPERLINK("https://elite.finviz.com/quote.ashx?t=SVACU&amp;ty=c&amp;p=d&amp;b=1", "SVACU")</f>
        <v>SVACU</v>
      </c>
      <c r="B2334">
        <v>6</v>
      </c>
      <c r="C2334">
        <v>127.03</v>
      </c>
      <c r="D2334">
        <v>86.77</v>
      </c>
      <c r="E2334" t="s">
        <v>22854</v>
      </c>
      <c r="F2334" t="s">
        <v>107</v>
      </c>
      <c r="G2334" t="s">
        <v>550</v>
      </c>
      <c r="H2334" t="s">
        <v>2120</v>
      </c>
      <c r="I2334" t="s">
        <v>70</v>
      </c>
      <c r="J2334" t="s">
        <v>321</v>
      </c>
      <c r="K2334">
        <v>204.4</v>
      </c>
      <c r="L2334">
        <v>10.220000000000001</v>
      </c>
      <c r="M2334" t="s">
        <v>2646</v>
      </c>
      <c r="N2334">
        <v>18959</v>
      </c>
      <c r="S2334">
        <v>32967.74</v>
      </c>
      <c r="AL2334">
        <v>0.4</v>
      </c>
      <c r="AM2334">
        <v>0.4</v>
      </c>
      <c r="AN2334">
        <v>1</v>
      </c>
      <c r="AR2334" t="s">
        <v>3551</v>
      </c>
      <c r="AT2334" t="s">
        <v>3350</v>
      </c>
      <c r="AU2334" t="s">
        <v>3350</v>
      </c>
      <c r="AV2334" t="s">
        <v>3350</v>
      </c>
      <c r="AW2334" t="s">
        <v>2899</v>
      </c>
      <c r="AX2334" t="s">
        <v>2876</v>
      </c>
      <c r="AY2334" t="s">
        <v>2899</v>
      </c>
      <c r="AZ2334" t="s">
        <v>2876</v>
      </c>
      <c r="BB2334">
        <v>668.05</v>
      </c>
      <c r="BC2334">
        <v>0.1</v>
      </c>
      <c r="BD2334">
        <v>10.19</v>
      </c>
      <c r="BE2334">
        <v>10.3</v>
      </c>
      <c r="BF2334">
        <v>10.18</v>
      </c>
      <c r="BG2334" t="s">
        <v>22855</v>
      </c>
      <c r="BH2334" t="s">
        <v>2899</v>
      </c>
      <c r="BI2334" t="s">
        <v>2876</v>
      </c>
      <c r="BJ2334" t="s">
        <v>101</v>
      </c>
      <c r="BN2334" t="s">
        <v>14623</v>
      </c>
    </row>
    <row r="2335" spans="1:66" x14ac:dyDescent="0.25">
      <c r="A2335" t="str">
        <f>HYPERLINK("https://elite.finviz.com/quote.ashx?t=APLM&amp;ty=c&amp;p=d&amp;b=1", "APLM")</f>
        <v>APLM</v>
      </c>
      <c r="B2335">
        <v>6</v>
      </c>
      <c r="C2335">
        <v>127.03</v>
      </c>
      <c r="D2335">
        <v>90.29</v>
      </c>
      <c r="E2335" t="s">
        <v>22856</v>
      </c>
      <c r="F2335" t="s">
        <v>107</v>
      </c>
      <c r="G2335" t="s">
        <v>428</v>
      </c>
      <c r="H2335" t="s">
        <v>429</v>
      </c>
      <c r="I2335" t="s">
        <v>70</v>
      </c>
      <c r="J2335" t="s">
        <v>321</v>
      </c>
      <c r="K2335">
        <v>20.34</v>
      </c>
      <c r="L2335">
        <v>18.43</v>
      </c>
      <c r="M2335" t="s">
        <v>164</v>
      </c>
      <c r="N2335">
        <v>0</v>
      </c>
      <c r="S2335">
        <v>4.18</v>
      </c>
      <c r="AA2335">
        <v>-54.47</v>
      </c>
      <c r="AB2335" t="s">
        <v>22857</v>
      </c>
      <c r="AC2335" t="s">
        <v>6465</v>
      </c>
      <c r="AJ2335" t="s">
        <v>164</v>
      </c>
      <c r="AK2335" t="s">
        <v>4782</v>
      </c>
      <c r="AL2335">
        <v>1.39</v>
      </c>
      <c r="AM2335">
        <v>1.39</v>
      </c>
      <c r="AN2335">
        <v>0.2</v>
      </c>
      <c r="AR2335" t="s">
        <v>12481</v>
      </c>
      <c r="AS2335" t="s">
        <v>7711</v>
      </c>
      <c r="AT2335" t="s">
        <v>22858</v>
      </c>
      <c r="AU2335" t="s">
        <v>21704</v>
      </c>
      <c r="AV2335" t="s">
        <v>22859</v>
      </c>
      <c r="AW2335" t="s">
        <v>2272</v>
      </c>
      <c r="AX2335" t="s">
        <v>22860</v>
      </c>
      <c r="AY2335" t="s">
        <v>21173</v>
      </c>
      <c r="AZ2335" t="s">
        <v>22860</v>
      </c>
      <c r="BA2335">
        <v>1</v>
      </c>
      <c r="BB2335">
        <v>53.89</v>
      </c>
      <c r="BC2335">
        <v>0</v>
      </c>
      <c r="BD2335">
        <v>18.43</v>
      </c>
      <c r="BE2335">
        <v>18.43</v>
      </c>
      <c r="BF2335">
        <v>18.43</v>
      </c>
      <c r="BG2335" t="s">
        <v>22861</v>
      </c>
      <c r="BH2335" t="s">
        <v>8619</v>
      </c>
      <c r="BI2335" t="s">
        <v>22860</v>
      </c>
      <c r="BJ2335" t="s">
        <v>101</v>
      </c>
      <c r="BK2335" t="s">
        <v>22862</v>
      </c>
      <c r="BL2335" t="s">
        <v>22863</v>
      </c>
      <c r="BM2335" t="s">
        <v>13335</v>
      </c>
      <c r="BN2335" t="s">
        <v>14623</v>
      </c>
    </row>
    <row r="2336" spans="1:66" x14ac:dyDescent="0.25">
      <c r="A2336" t="str">
        <f>HYPERLINK("https://elite.finviz.com/quote.ashx?t=HCMA&amp;ty=c&amp;p=d&amp;b=1", "HCMA")</f>
        <v>HCMA</v>
      </c>
      <c r="B2336">
        <v>6</v>
      </c>
      <c r="C2336">
        <v>127.03</v>
      </c>
      <c r="E2336" t="s">
        <v>22805</v>
      </c>
      <c r="F2336" t="s">
        <v>107</v>
      </c>
      <c r="G2336" t="s">
        <v>550</v>
      </c>
      <c r="H2336" t="s">
        <v>2120</v>
      </c>
      <c r="I2336" t="s">
        <v>70</v>
      </c>
      <c r="J2336" t="s">
        <v>321</v>
      </c>
      <c r="K2336">
        <v>341.01</v>
      </c>
      <c r="L2336">
        <v>10.11</v>
      </c>
      <c r="M2336" t="s">
        <v>2757</v>
      </c>
      <c r="N2336">
        <v>14212</v>
      </c>
      <c r="AL2336">
        <v>0.09</v>
      </c>
      <c r="AM2336">
        <v>0.09</v>
      </c>
      <c r="AT2336" t="s">
        <v>2757</v>
      </c>
      <c r="AU2336" t="s">
        <v>2757</v>
      </c>
      <c r="AV2336" t="s">
        <v>2757</v>
      </c>
      <c r="AW2336" t="s">
        <v>3388</v>
      </c>
      <c r="AX2336" t="s">
        <v>1763</v>
      </c>
      <c r="AY2336" t="s">
        <v>3388</v>
      </c>
      <c r="AZ2336" t="s">
        <v>1763</v>
      </c>
      <c r="BB2336">
        <v>360.41</v>
      </c>
      <c r="BC2336">
        <v>0.14000000000000001</v>
      </c>
      <c r="BD2336">
        <v>10.1</v>
      </c>
      <c r="BE2336">
        <v>10.15</v>
      </c>
      <c r="BF2336">
        <v>10.11</v>
      </c>
      <c r="BG2336" t="s">
        <v>22864</v>
      </c>
      <c r="BH2336" t="s">
        <v>3388</v>
      </c>
      <c r="BI2336" t="s">
        <v>1763</v>
      </c>
      <c r="BJ2336" t="s">
        <v>101</v>
      </c>
      <c r="BN2336" t="s">
        <v>14623</v>
      </c>
    </row>
    <row r="2337" spans="1:66" x14ac:dyDescent="0.25">
      <c r="A2337" t="str">
        <f>HYPERLINK("https://elite.finviz.com/quote.ashx?t=PAII&amp;ty=c&amp;p=d&amp;b=1", "PAII")</f>
        <v>PAII</v>
      </c>
      <c r="B2337">
        <v>6</v>
      </c>
      <c r="C2337">
        <v>127.03</v>
      </c>
      <c r="E2337" t="s">
        <v>22689</v>
      </c>
      <c r="F2337" t="s">
        <v>107</v>
      </c>
      <c r="G2337" t="s">
        <v>550</v>
      </c>
      <c r="H2337" t="s">
        <v>2120</v>
      </c>
      <c r="I2337" t="s">
        <v>70</v>
      </c>
      <c r="J2337" t="s">
        <v>71</v>
      </c>
      <c r="L2337">
        <v>9.9600000000000009</v>
      </c>
      <c r="M2337" t="s">
        <v>1324</v>
      </c>
      <c r="N2337">
        <v>2</v>
      </c>
      <c r="AR2337" t="s">
        <v>2757</v>
      </c>
      <c r="AT2337" t="s">
        <v>6182</v>
      </c>
      <c r="AU2337" t="s">
        <v>6182</v>
      </c>
      <c r="AV2337" t="s">
        <v>6182</v>
      </c>
      <c r="AW2337" t="s">
        <v>4699</v>
      </c>
      <c r="AX2337" t="s">
        <v>6719</v>
      </c>
      <c r="AY2337" t="s">
        <v>4699</v>
      </c>
      <c r="AZ2337" t="s">
        <v>6719</v>
      </c>
      <c r="BB2337">
        <v>330.63</v>
      </c>
      <c r="BC2337">
        <v>0</v>
      </c>
      <c r="BD2337">
        <v>9.9499999999999993</v>
      </c>
      <c r="BE2337">
        <v>9.9600000000000009</v>
      </c>
      <c r="BF2337">
        <v>9.9600000000000009</v>
      </c>
      <c r="BG2337" t="s">
        <v>22865</v>
      </c>
      <c r="BH2337" t="s">
        <v>4699</v>
      </c>
      <c r="BI2337" t="s">
        <v>6719</v>
      </c>
      <c r="BJ2337" t="s">
        <v>101</v>
      </c>
      <c r="BN2337" t="s">
        <v>14623</v>
      </c>
    </row>
    <row r="2338" spans="1:66" x14ac:dyDescent="0.25">
      <c r="A2338" t="str">
        <f>HYPERLINK("https://elite.finviz.com/quote.ashx?t=SPEG&amp;ty=c&amp;p=d&amp;b=1", "SPEG")</f>
        <v>SPEG</v>
      </c>
      <c r="B2338">
        <v>6</v>
      </c>
      <c r="C2338">
        <v>127.03</v>
      </c>
      <c r="E2338" t="s">
        <v>22866</v>
      </c>
      <c r="F2338" t="s">
        <v>107</v>
      </c>
      <c r="G2338" t="s">
        <v>550</v>
      </c>
      <c r="H2338" t="s">
        <v>2120</v>
      </c>
      <c r="I2338" t="s">
        <v>70</v>
      </c>
      <c r="J2338" t="s">
        <v>321</v>
      </c>
      <c r="K2338">
        <v>152.69</v>
      </c>
      <c r="L2338">
        <v>9.9600000000000009</v>
      </c>
      <c r="M2338" t="s">
        <v>2638</v>
      </c>
      <c r="N2338">
        <v>1</v>
      </c>
      <c r="AJ2338" t="s">
        <v>164</v>
      </c>
      <c r="AK2338" t="s">
        <v>247</v>
      </c>
      <c r="AL2338">
        <v>0</v>
      </c>
      <c r="AM2338">
        <v>0</v>
      </c>
      <c r="AR2338" t="s">
        <v>2757</v>
      </c>
      <c r="AT2338" t="s">
        <v>164</v>
      </c>
      <c r="AU2338" t="s">
        <v>164</v>
      </c>
      <c r="AV2338" t="s">
        <v>164</v>
      </c>
      <c r="AW2338" t="s">
        <v>2213</v>
      </c>
      <c r="AX2338" t="s">
        <v>2757</v>
      </c>
      <c r="AY2338" t="s">
        <v>2213</v>
      </c>
      <c r="AZ2338" t="s">
        <v>2757</v>
      </c>
      <c r="BB2338">
        <v>173.89</v>
      </c>
      <c r="BC2338">
        <v>0</v>
      </c>
      <c r="BD2338">
        <v>9.9700000000000006</v>
      </c>
      <c r="BE2338">
        <v>9.9600000000000009</v>
      </c>
      <c r="BF2338">
        <v>9.9600000000000009</v>
      </c>
      <c r="BG2338" t="s">
        <v>22867</v>
      </c>
      <c r="BH2338" t="s">
        <v>2213</v>
      </c>
      <c r="BI2338" t="s">
        <v>2757</v>
      </c>
      <c r="BJ2338" t="s">
        <v>101</v>
      </c>
      <c r="BN2338" t="s">
        <v>14623</v>
      </c>
    </row>
    <row r="2339" spans="1:66" x14ac:dyDescent="0.25">
      <c r="A2339" t="str">
        <f>HYPERLINK("https://elite.finviz.com/quote.ashx?t=TLNCU&amp;ty=c&amp;p=d&amp;b=1", "TLNCU")</f>
        <v>TLNCU</v>
      </c>
      <c r="B2339">
        <v>6</v>
      </c>
      <c r="C2339">
        <v>127.03</v>
      </c>
      <c r="E2339" t="s">
        <v>22868</v>
      </c>
      <c r="F2339" t="s">
        <v>107</v>
      </c>
      <c r="G2339" t="s">
        <v>550</v>
      </c>
      <c r="H2339" t="s">
        <v>2120</v>
      </c>
      <c r="I2339" t="s">
        <v>70</v>
      </c>
      <c r="J2339" t="s">
        <v>321</v>
      </c>
      <c r="K2339">
        <v>233.71</v>
      </c>
      <c r="L2339">
        <v>10.050000000000001</v>
      </c>
      <c r="M2339" t="s">
        <v>164</v>
      </c>
      <c r="N2339">
        <v>0</v>
      </c>
      <c r="S2339">
        <v>35892.86</v>
      </c>
      <c r="AJ2339" t="s">
        <v>164</v>
      </c>
      <c r="AK2339" t="s">
        <v>3343</v>
      </c>
      <c r="AL2339">
        <v>0.31</v>
      </c>
      <c r="AM2339">
        <v>0.31</v>
      </c>
      <c r="AN2339">
        <v>0</v>
      </c>
      <c r="AR2339" t="s">
        <v>5188</v>
      </c>
      <c r="AT2339" t="s">
        <v>2641</v>
      </c>
      <c r="AU2339" t="s">
        <v>2641</v>
      </c>
      <c r="AV2339" t="s">
        <v>2641</v>
      </c>
      <c r="AW2339" t="s">
        <v>2836</v>
      </c>
      <c r="AX2339" t="s">
        <v>3047</v>
      </c>
      <c r="AY2339" t="s">
        <v>2836</v>
      </c>
      <c r="AZ2339" t="s">
        <v>3047</v>
      </c>
      <c r="BB2339">
        <v>699.94</v>
      </c>
      <c r="BC2339">
        <v>0</v>
      </c>
      <c r="BD2339">
        <v>10.050000000000001</v>
      </c>
      <c r="BE2339">
        <v>10.050000000000001</v>
      </c>
      <c r="BF2339">
        <v>10.050000000000001</v>
      </c>
      <c r="BG2339" t="s">
        <v>22869</v>
      </c>
      <c r="BH2339" t="s">
        <v>2836</v>
      </c>
      <c r="BI2339" t="s">
        <v>3047</v>
      </c>
      <c r="BJ2339" t="s">
        <v>101</v>
      </c>
      <c r="BN2339" t="s">
        <v>14623</v>
      </c>
    </row>
    <row r="2340" spans="1:66" x14ac:dyDescent="0.25">
      <c r="A2340" t="str">
        <f>HYPERLINK("https://elite.finviz.com/quote.ashx?t=ZGM&amp;ty=c&amp;p=d&amp;b=1", "ZGM")</f>
        <v>ZGM</v>
      </c>
      <c r="B2340">
        <v>6</v>
      </c>
      <c r="C2340">
        <v>127.03</v>
      </c>
      <c r="E2340" t="s">
        <v>22870</v>
      </c>
      <c r="F2340" t="s">
        <v>107</v>
      </c>
      <c r="G2340" t="s">
        <v>260</v>
      </c>
      <c r="H2340" t="s">
        <v>2879</v>
      </c>
      <c r="I2340" t="s">
        <v>70</v>
      </c>
      <c r="J2340" t="s">
        <v>321</v>
      </c>
      <c r="L2340">
        <v>3.86</v>
      </c>
      <c r="M2340" t="s">
        <v>1279</v>
      </c>
      <c r="N2340">
        <v>23069</v>
      </c>
      <c r="AR2340" t="s">
        <v>4409</v>
      </c>
      <c r="AT2340" t="s">
        <v>3948</v>
      </c>
      <c r="AU2340" t="s">
        <v>3948</v>
      </c>
      <c r="AV2340" t="s">
        <v>3948</v>
      </c>
      <c r="AW2340" t="s">
        <v>19304</v>
      </c>
      <c r="AX2340" t="s">
        <v>8137</v>
      </c>
      <c r="AY2340" t="s">
        <v>19304</v>
      </c>
      <c r="AZ2340" t="s">
        <v>8137</v>
      </c>
      <c r="BB2340">
        <v>553.39</v>
      </c>
      <c r="BC2340">
        <v>0.15</v>
      </c>
      <c r="BD2340">
        <v>3.81</v>
      </c>
      <c r="BE2340">
        <v>3.81</v>
      </c>
      <c r="BF2340">
        <v>3.76</v>
      </c>
      <c r="BG2340" t="s">
        <v>22871</v>
      </c>
      <c r="BH2340" t="s">
        <v>19304</v>
      </c>
      <c r="BI2340" t="s">
        <v>8137</v>
      </c>
      <c r="BJ2340" t="s">
        <v>101</v>
      </c>
      <c r="BN2340" t="s">
        <v>14623</v>
      </c>
    </row>
    <row r="2341" spans="1:66" x14ac:dyDescent="0.25">
      <c r="A2341" t="str">
        <f>HYPERLINK("https://elite.finviz.com/quote.ashx?t=BINI&amp;ty=c&amp;p=d&amp;b=1", "BINI")</f>
        <v>BINI</v>
      </c>
      <c r="B2341">
        <v>5</v>
      </c>
      <c r="C2341">
        <v>126.51</v>
      </c>
      <c r="D2341">
        <v>3.53</v>
      </c>
      <c r="E2341" t="s">
        <v>22872</v>
      </c>
      <c r="F2341" t="s">
        <v>107</v>
      </c>
      <c r="G2341" t="s">
        <v>813</v>
      </c>
      <c r="H2341" t="s">
        <v>890</v>
      </c>
      <c r="I2341" t="s">
        <v>70</v>
      </c>
      <c r="J2341" t="s">
        <v>321</v>
      </c>
      <c r="K2341">
        <v>0.06</v>
      </c>
      <c r="L2341">
        <v>3.7</v>
      </c>
      <c r="M2341" t="s">
        <v>4156</v>
      </c>
      <c r="N2341">
        <v>830265</v>
      </c>
      <c r="R2341">
        <v>0.01</v>
      </c>
      <c r="AA2341">
        <v>-7600422638.9700003</v>
      </c>
      <c r="AB2341" t="s">
        <v>12138</v>
      </c>
      <c r="AC2341" t="s">
        <v>22873</v>
      </c>
      <c r="AE2341" t="s">
        <v>22874</v>
      </c>
      <c r="AG2341" t="s">
        <v>22875</v>
      </c>
      <c r="AH2341" t="s">
        <v>22876</v>
      </c>
      <c r="AL2341">
        <v>0.23</v>
      </c>
      <c r="AM2341">
        <v>0.08</v>
      </c>
      <c r="AO2341" t="s">
        <v>22877</v>
      </c>
      <c r="AP2341" t="s">
        <v>22878</v>
      </c>
      <c r="AQ2341" t="s">
        <v>22879</v>
      </c>
      <c r="AR2341" t="s">
        <v>22248</v>
      </c>
      <c r="AS2341" t="s">
        <v>3750</v>
      </c>
      <c r="AT2341" t="s">
        <v>16651</v>
      </c>
      <c r="AU2341" t="s">
        <v>22880</v>
      </c>
      <c r="AV2341" t="s">
        <v>579</v>
      </c>
      <c r="AW2341" t="s">
        <v>14593</v>
      </c>
      <c r="AX2341" t="s">
        <v>13141</v>
      </c>
      <c r="AY2341" t="s">
        <v>579</v>
      </c>
      <c r="AZ2341" t="s">
        <v>13141</v>
      </c>
      <c r="BB2341">
        <v>153.16999999999999</v>
      </c>
      <c r="BC2341">
        <v>19.100000000000001</v>
      </c>
      <c r="BD2341">
        <v>5.14</v>
      </c>
      <c r="BE2341">
        <v>4.59</v>
      </c>
      <c r="BF2341">
        <v>3.55</v>
      </c>
      <c r="BG2341" t="s">
        <v>22881</v>
      </c>
      <c r="BH2341" t="s">
        <v>579</v>
      </c>
      <c r="BI2341" t="s">
        <v>13141</v>
      </c>
      <c r="BJ2341" t="s">
        <v>101</v>
      </c>
      <c r="BK2341" t="s">
        <v>3320</v>
      </c>
      <c r="BL2341" t="s">
        <v>579</v>
      </c>
      <c r="BM2341" t="s">
        <v>579</v>
      </c>
      <c r="BN2341" t="s">
        <v>22882</v>
      </c>
    </row>
    <row r="2342" spans="1:66" x14ac:dyDescent="0.25">
      <c r="A2342" t="str">
        <f>HYPERLINK("https://elite.finviz.com/quote.ashx?t=OXSQ&amp;ty=c&amp;p=d&amp;b=1", "OXSQ")</f>
        <v>OXSQ</v>
      </c>
      <c r="B2342">
        <v>5</v>
      </c>
      <c r="C2342">
        <v>126.51</v>
      </c>
      <c r="D2342">
        <v>13.12</v>
      </c>
      <c r="E2342" t="s">
        <v>22883</v>
      </c>
      <c r="F2342" t="s">
        <v>107</v>
      </c>
      <c r="G2342" t="s">
        <v>550</v>
      </c>
      <c r="H2342" t="s">
        <v>2597</v>
      </c>
      <c r="I2342" t="s">
        <v>70</v>
      </c>
      <c r="J2342" t="s">
        <v>321</v>
      </c>
      <c r="K2342">
        <v>132.27000000000001</v>
      </c>
      <c r="L2342">
        <v>1.7</v>
      </c>
      <c r="M2342" t="s">
        <v>2003</v>
      </c>
      <c r="N2342">
        <v>423104</v>
      </c>
      <c r="R2342">
        <v>3.29</v>
      </c>
      <c r="S2342">
        <v>0.82</v>
      </c>
      <c r="T2342" t="s">
        <v>4714</v>
      </c>
      <c r="U2342">
        <v>0.42</v>
      </c>
      <c r="V2342" t="s">
        <v>3662</v>
      </c>
      <c r="W2342" t="s">
        <v>2202</v>
      </c>
      <c r="X2342" t="s">
        <v>2630</v>
      </c>
      <c r="Y2342" t="s">
        <v>5123</v>
      </c>
      <c r="Z2342" t="s">
        <v>22884</v>
      </c>
      <c r="AA2342">
        <v>-0.02</v>
      </c>
      <c r="AH2342" t="s">
        <v>12000</v>
      </c>
      <c r="AI2342" t="s">
        <v>164</v>
      </c>
      <c r="AJ2342" t="s">
        <v>164</v>
      </c>
      <c r="AK2342" t="s">
        <v>2150</v>
      </c>
      <c r="AR2342" t="s">
        <v>2777</v>
      </c>
      <c r="AS2342" t="s">
        <v>465</v>
      </c>
      <c r="AT2342" t="s">
        <v>13554</v>
      </c>
      <c r="AU2342" t="s">
        <v>14118</v>
      </c>
      <c r="AV2342" t="s">
        <v>22885</v>
      </c>
      <c r="AW2342" t="s">
        <v>17950</v>
      </c>
      <c r="AX2342" t="s">
        <v>3119</v>
      </c>
      <c r="AY2342" t="s">
        <v>22886</v>
      </c>
      <c r="AZ2342" t="s">
        <v>3119</v>
      </c>
      <c r="BB2342">
        <v>778.25</v>
      </c>
      <c r="BC2342">
        <v>1.93</v>
      </c>
      <c r="BD2342">
        <v>1.7</v>
      </c>
      <c r="BE2342">
        <v>1.75</v>
      </c>
      <c r="BF2342">
        <v>1.69</v>
      </c>
      <c r="BG2342" t="s">
        <v>22887</v>
      </c>
      <c r="BH2342" t="s">
        <v>21287</v>
      </c>
      <c r="BI2342" t="s">
        <v>3119</v>
      </c>
      <c r="BJ2342" t="s">
        <v>101</v>
      </c>
      <c r="BK2342" t="s">
        <v>6658</v>
      </c>
      <c r="BL2342" t="s">
        <v>7765</v>
      </c>
      <c r="BM2342" t="s">
        <v>22888</v>
      </c>
      <c r="BN2342" t="s">
        <v>22882</v>
      </c>
    </row>
    <row r="2343" spans="1:66" x14ac:dyDescent="0.25">
      <c r="A2343" t="str">
        <f>HYPERLINK("https://elite.finviz.com/quote.ashx?t=KDK&amp;ty=c&amp;p=d&amp;b=1", "KDK")</f>
        <v>KDK</v>
      </c>
      <c r="B2343">
        <v>5</v>
      </c>
      <c r="C2343">
        <v>126.51</v>
      </c>
      <c r="D2343">
        <v>17.13</v>
      </c>
      <c r="E2343" t="s">
        <v>22889</v>
      </c>
      <c r="F2343" t="s">
        <v>107</v>
      </c>
      <c r="G2343" t="s">
        <v>108</v>
      </c>
      <c r="H2343" t="s">
        <v>136</v>
      </c>
      <c r="I2343" t="s">
        <v>70</v>
      </c>
      <c r="J2343" t="s">
        <v>321</v>
      </c>
      <c r="K2343">
        <v>475.39</v>
      </c>
      <c r="L2343">
        <v>7.68</v>
      </c>
      <c r="M2343" t="s">
        <v>2136</v>
      </c>
      <c r="N2343">
        <v>1249705</v>
      </c>
      <c r="O2343">
        <v>29.41</v>
      </c>
      <c r="S2343">
        <v>0.89</v>
      </c>
      <c r="Z2343" t="s">
        <v>164</v>
      </c>
      <c r="AA2343">
        <v>0.26</v>
      </c>
      <c r="AK2343" t="s">
        <v>5631</v>
      </c>
      <c r="AL2343">
        <v>0.23</v>
      </c>
      <c r="AM2343">
        <v>0.23</v>
      </c>
      <c r="AN2343">
        <v>0.02</v>
      </c>
      <c r="AR2343" t="s">
        <v>13872</v>
      </c>
      <c r="AS2343" t="s">
        <v>3948</v>
      </c>
      <c r="AT2343" t="s">
        <v>8211</v>
      </c>
      <c r="AU2343" t="s">
        <v>21725</v>
      </c>
      <c r="AV2343" t="s">
        <v>22890</v>
      </c>
      <c r="AW2343" t="s">
        <v>10728</v>
      </c>
      <c r="AX2343" t="s">
        <v>4902</v>
      </c>
      <c r="AY2343" t="s">
        <v>4990</v>
      </c>
      <c r="AZ2343" t="s">
        <v>4902</v>
      </c>
      <c r="BB2343">
        <v>419.25</v>
      </c>
      <c r="BC2343">
        <v>10.5</v>
      </c>
      <c r="BD2343">
        <v>7.95</v>
      </c>
      <c r="BE2343">
        <v>8.2899999999999991</v>
      </c>
      <c r="BF2343">
        <v>7.52</v>
      </c>
      <c r="BG2343" t="s">
        <v>22891</v>
      </c>
      <c r="BH2343" t="s">
        <v>4990</v>
      </c>
      <c r="BI2343" t="s">
        <v>4902</v>
      </c>
      <c r="BJ2343" t="s">
        <v>101</v>
      </c>
      <c r="BK2343" t="s">
        <v>22892</v>
      </c>
      <c r="BL2343" t="s">
        <v>22132</v>
      </c>
      <c r="BM2343" t="s">
        <v>8857</v>
      </c>
      <c r="BN2343" t="s">
        <v>22882</v>
      </c>
    </row>
    <row r="2344" spans="1:66" x14ac:dyDescent="0.25">
      <c r="A2344" t="str">
        <f>HYPERLINK("https://elite.finviz.com/quote.ashx?t=ELUT&amp;ty=c&amp;p=d&amp;b=1", "ELUT")</f>
        <v>ELUT</v>
      </c>
      <c r="B2344">
        <v>5</v>
      </c>
      <c r="C2344">
        <v>126.51</v>
      </c>
      <c r="D2344">
        <v>21.49</v>
      </c>
      <c r="E2344" t="s">
        <v>22893</v>
      </c>
      <c r="F2344" t="s">
        <v>107</v>
      </c>
      <c r="G2344" t="s">
        <v>428</v>
      </c>
      <c r="H2344" t="s">
        <v>2051</v>
      </c>
      <c r="I2344" t="s">
        <v>70</v>
      </c>
      <c r="J2344" t="s">
        <v>321</v>
      </c>
      <c r="K2344">
        <v>41.97</v>
      </c>
      <c r="L2344">
        <v>0.99</v>
      </c>
      <c r="M2344" t="s">
        <v>4645</v>
      </c>
      <c r="N2344">
        <v>86375</v>
      </c>
      <c r="R2344">
        <v>1.77</v>
      </c>
      <c r="AA2344">
        <v>-1.06</v>
      </c>
      <c r="AB2344" t="s">
        <v>4437</v>
      </c>
      <c r="AC2344" t="s">
        <v>8722</v>
      </c>
      <c r="AE2344" t="s">
        <v>3321</v>
      </c>
      <c r="AF2344" t="s">
        <v>15979</v>
      </c>
      <c r="AG2344" t="s">
        <v>3995</v>
      </c>
      <c r="AH2344" t="s">
        <v>2203</v>
      </c>
      <c r="AI2344" t="s">
        <v>22894</v>
      </c>
      <c r="AJ2344" t="s">
        <v>164</v>
      </c>
      <c r="AK2344" t="s">
        <v>4556</v>
      </c>
      <c r="AL2344">
        <v>0.59</v>
      </c>
      <c r="AM2344">
        <v>0.45</v>
      </c>
      <c r="AO2344" t="s">
        <v>14879</v>
      </c>
      <c r="AP2344" t="s">
        <v>22895</v>
      </c>
      <c r="AQ2344" t="s">
        <v>22896</v>
      </c>
      <c r="AR2344" t="s">
        <v>7566</v>
      </c>
      <c r="AS2344" t="s">
        <v>3368</v>
      </c>
      <c r="AT2344" t="s">
        <v>22897</v>
      </c>
      <c r="AU2344" t="s">
        <v>22898</v>
      </c>
      <c r="AV2344" t="s">
        <v>22899</v>
      </c>
      <c r="AW2344" t="s">
        <v>8903</v>
      </c>
      <c r="AX2344" t="s">
        <v>5577</v>
      </c>
      <c r="AY2344" t="s">
        <v>4482</v>
      </c>
      <c r="AZ2344" t="s">
        <v>5577</v>
      </c>
      <c r="BA2344">
        <v>1</v>
      </c>
      <c r="BB2344">
        <v>114.33</v>
      </c>
      <c r="BC2344">
        <v>2.66</v>
      </c>
      <c r="BD2344">
        <v>1.03</v>
      </c>
      <c r="BE2344">
        <v>1.04</v>
      </c>
      <c r="BF2344">
        <v>0.98</v>
      </c>
      <c r="BG2344" t="s">
        <v>22900</v>
      </c>
      <c r="BH2344" t="s">
        <v>19520</v>
      </c>
      <c r="BI2344" t="s">
        <v>5577</v>
      </c>
      <c r="BJ2344" t="s">
        <v>101</v>
      </c>
      <c r="BK2344" t="s">
        <v>22901</v>
      </c>
      <c r="BL2344" t="s">
        <v>22902</v>
      </c>
      <c r="BM2344" t="s">
        <v>22903</v>
      </c>
      <c r="BN2344" t="s">
        <v>22882</v>
      </c>
    </row>
    <row r="2345" spans="1:66" x14ac:dyDescent="0.25">
      <c r="A2345" t="str">
        <f>HYPERLINK("https://elite.finviz.com/quote.ashx?t=VIVK&amp;ty=c&amp;p=d&amp;b=1", "VIVK")</f>
        <v>VIVK</v>
      </c>
      <c r="B2345">
        <v>5</v>
      </c>
      <c r="C2345">
        <v>126.51</v>
      </c>
      <c r="D2345">
        <v>22.51</v>
      </c>
      <c r="E2345" t="s">
        <v>22904</v>
      </c>
      <c r="F2345" t="s">
        <v>107</v>
      </c>
      <c r="G2345" t="s">
        <v>1048</v>
      </c>
      <c r="H2345" t="s">
        <v>10235</v>
      </c>
      <c r="I2345" t="s">
        <v>70</v>
      </c>
      <c r="J2345" t="s">
        <v>321</v>
      </c>
      <c r="K2345">
        <v>17.77</v>
      </c>
      <c r="L2345">
        <v>0.37</v>
      </c>
      <c r="M2345" t="s">
        <v>6182</v>
      </c>
      <c r="N2345">
        <v>114422</v>
      </c>
      <c r="R2345">
        <v>0.14000000000000001</v>
      </c>
      <c r="S2345">
        <v>0.18</v>
      </c>
      <c r="AA2345">
        <v>-0.94</v>
      </c>
      <c r="AB2345" t="s">
        <v>15929</v>
      </c>
      <c r="AC2345" t="s">
        <v>22905</v>
      </c>
      <c r="AE2345" t="s">
        <v>22906</v>
      </c>
      <c r="AF2345" t="s">
        <v>22907</v>
      </c>
      <c r="AH2345" t="s">
        <v>22908</v>
      </c>
      <c r="AI2345" t="s">
        <v>9374</v>
      </c>
      <c r="AJ2345" t="s">
        <v>164</v>
      </c>
      <c r="AK2345" t="s">
        <v>3368</v>
      </c>
      <c r="AL2345">
        <v>0.22</v>
      </c>
      <c r="AM2345">
        <v>0.22</v>
      </c>
      <c r="AN2345">
        <v>0.84</v>
      </c>
      <c r="AO2345" t="s">
        <v>4704</v>
      </c>
      <c r="AP2345" t="s">
        <v>19104</v>
      </c>
      <c r="AQ2345" t="s">
        <v>7171</v>
      </c>
      <c r="AR2345" t="s">
        <v>12178</v>
      </c>
      <c r="AS2345" t="s">
        <v>5458</v>
      </c>
      <c r="AT2345" t="s">
        <v>13268</v>
      </c>
      <c r="AU2345" t="s">
        <v>15057</v>
      </c>
      <c r="AV2345" t="s">
        <v>22909</v>
      </c>
      <c r="AW2345" t="s">
        <v>9969</v>
      </c>
      <c r="AX2345" t="s">
        <v>4332</v>
      </c>
      <c r="AY2345" t="s">
        <v>6187</v>
      </c>
      <c r="AZ2345" t="s">
        <v>4332</v>
      </c>
      <c r="BB2345">
        <v>276.01</v>
      </c>
      <c r="BC2345">
        <v>1.46</v>
      </c>
      <c r="BD2345">
        <v>0.37</v>
      </c>
      <c r="BE2345">
        <v>0.41</v>
      </c>
      <c r="BF2345">
        <v>0.35</v>
      </c>
      <c r="BG2345" t="s">
        <v>22910</v>
      </c>
      <c r="BH2345" t="s">
        <v>4459</v>
      </c>
      <c r="BI2345" t="s">
        <v>4332</v>
      </c>
      <c r="BJ2345" t="s">
        <v>101</v>
      </c>
      <c r="BK2345" t="s">
        <v>22911</v>
      </c>
      <c r="BL2345" t="s">
        <v>6103</v>
      </c>
      <c r="BM2345" t="s">
        <v>17585</v>
      </c>
      <c r="BN2345" t="s">
        <v>22882</v>
      </c>
    </row>
    <row r="2346" spans="1:66" x14ac:dyDescent="0.25">
      <c r="A2346" t="str">
        <f>HYPERLINK("https://elite.finviz.com/quote.ashx?t=WOR&amp;ty=c&amp;p=d&amp;b=1", "WOR")</f>
        <v>WOR</v>
      </c>
      <c r="B2346">
        <v>5</v>
      </c>
      <c r="C2346">
        <v>126.51</v>
      </c>
      <c r="D2346">
        <v>24.19</v>
      </c>
      <c r="E2346" t="s">
        <v>22912</v>
      </c>
      <c r="F2346" t="s">
        <v>67</v>
      </c>
      <c r="G2346" t="s">
        <v>260</v>
      </c>
      <c r="H2346" t="s">
        <v>2223</v>
      </c>
      <c r="I2346" t="s">
        <v>70</v>
      </c>
      <c r="J2346" t="s">
        <v>71</v>
      </c>
      <c r="K2346">
        <v>2645.78</v>
      </c>
      <c r="L2346">
        <v>53.13</v>
      </c>
      <c r="M2346" t="s">
        <v>227</v>
      </c>
      <c r="N2346">
        <v>64408</v>
      </c>
      <c r="O2346">
        <v>24.89</v>
      </c>
      <c r="P2346">
        <v>13.36</v>
      </c>
      <c r="Q2346">
        <v>2.0699999999999998</v>
      </c>
      <c r="R2346">
        <v>2.2000000000000002</v>
      </c>
      <c r="S2346">
        <v>2.79</v>
      </c>
      <c r="T2346" t="s">
        <v>5058</v>
      </c>
      <c r="U2346">
        <v>0.7</v>
      </c>
      <c r="V2346" t="s">
        <v>22913</v>
      </c>
      <c r="W2346" t="s">
        <v>15129</v>
      </c>
      <c r="X2346" t="s">
        <v>8624</v>
      </c>
      <c r="Y2346" t="s">
        <v>217</v>
      </c>
      <c r="Z2346" t="s">
        <v>129</v>
      </c>
      <c r="AA2346">
        <v>2.13</v>
      </c>
      <c r="AB2346" t="s">
        <v>22914</v>
      </c>
      <c r="AC2346" t="s">
        <v>3777</v>
      </c>
      <c r="AD2346" t="s">
        <v>1603</v>
      </c>
      <c r="AE2346" t="s">
        <v>22915</v>
      </c>
      <c r="AF2346" t="s">
        <v>19026</v>
      </c>
      <c r="AG2346" t="s">
        <v>22916</v>
      </c>
      <c r="AH2346" t="s">
        <v>5063</v>
      </c>
      <c r="AI2346" t="s">
        <v>3054</v>
      </c>
      <c r="AJ2346" t="s">
        <v>164</v>
      </c>
      <c r="AK2346" t="s">
        <v>22917</v>
      </c>
      <c r="AL2346">
        <v>3.3</v>
      </c>
      <c r="AM2346">
        <v>2.2400000000000002</v>
      </c>
      <c r="AN2346">
        <v>0.36</v>
      </c>
      <c r="AO2346" t="s">
        <v>9474</v>
      </c>
      <c r="AP2346" t="s">
        <v>3602</v>
      </c>
      <c r="AQ2346" t="s">
        <v>3245</v>
      </c>
      <c r="AR2346" t="s">
        <v>5672</v>
      </c>
      <c r="AS2346" t="s">
        <v>3173</v>
      </c>
      <c r="AT2346" t="s">
        <v>117</v>
      </c>
      <c r="AU2346" t="s">
        <v>6591</v>
      </c>
      <c r="AV2346" t="s">
        <v>458</v>
      </c>
      <c r="AW2346" t="s">
        <v>22918</v>
      </c>
      <c r="AX2346" t="s">
        <v>7453</v>
      </c>
      <c r="AY2346" t="s">
        <v>19955</v>
      </c>
      <c r="AZ2346" t="s">
        <v>6135</v>
      </c>
      <c r="BA2346">
        <v>2</v>
      </c>
      <c r="BB2346">
        <v>277.14999999999998</v>
      </c>
      <c r="BC2346">
        <v>0.82</v>
      </c>
      <c r="BD2346">
        <v>52.79</v>
      </c>
      <c r="BE2346">
        <v>53.39</v>
      </c>
      <c r="BF2346">
        <v>52.57</v>
      </c>
      <c r="BG2346" t="s">
        <v>22919</v>
      </c>
      <c r="BH2346" t="s">
        <v>19955</v>
      </c>
      <c r="BI2346" t="s">
        <v>22920</v>
      </c>
      <c r="BJ2346" t="s">
        <v>101</v>
      </c>
      <c r="BK2346" t="s">
        <v>22921</v>
      </c>
      <c r="BL2346" t="s">
        <v>2383</v>
      </c>
      <c r="BM2346" t="s">
        <v>420</v>
      </c>
      <c r="BN2346" t="s">
        <v>22882</v>
      </c>
    </row>
    <row r="2347" spans="1:66" x14ac:dyDescent="0.25">
      <c r="A2347" t="str">
        <f>HYPERLINK("https://elite.finviz.com/quote.ashx?t=MSPR&amp;ty=c&amp;p=d&amp;b=1", "MSPR")</f>
        <v>MSPR</v>
      </c>
      <c r="B2347">
        <v>5</v>
      </c>
      <c r="C2347">
        <v>126.51</v>
      </c>
      <c r="D2347">
        <v>25.72</v>
      </c>
      <c r="E2347" t="s">
        <v>22922</v>
      </c>
      <c r="F2347" t="s">
        <v>107</v>
      </c>
      <c r="G2347" t="s">
        <v>428</v>
      </c>
      <c r="H2347" t="s">
        <v>2075</v>
      </c>
      <c r="I2347" t="s">
        <v>70</v>
      </c>
      <c r="J2347" t="s">
        <v>321</v>
      </c>
      <c r="K2347">
        <v>1.89</v>
      </c>
      <c r="L2347">
        <v>1.26</v>
      </c>
      <c r="M2347" t="s">
        <v>9998</v>
      </c>
      <c r="N2347">
        <v>296283</v>
      </c>
      <c r="R2347">
        <v>0.14000000000000001</v>
      </c>
      <c r="AA2347">
        <v>-1578.02</v>
      </c>
      <c r="AB2347" t="s">
        <v>12163</v>
      </c>
      <c r="AC2347" t="s">
        <v>22923</v>
      </c>
      <c r="AE2347" t="s">
        <v>3330</v>
      </c>
      <c r="AF2347" t="s">
        <v>1207</v>
      </c>
      <c r="AH2347" t="s">
        <v>12294</v>
      </c>
      <c r="AJ2347" t="s">
        <v>164</v>
      </c>
      <c r="AK2347" t="s">
        <v>3566</v>
      </c>
      <c r="AL2347">
        <v>0.01</v>
      </c>
      <c r="AM2347">
        <v>0.01</v>
      </c>
      <c r="AO2347" t="s">
        <v>22924</v>
      </c>
      <c r="AP2347" t="s">
        <v>22925</v>
      </c>
      <c r="AQ2347" t="s">
        <v>22926</v>
      </c>
      <c r="AR2347" t="s">
        <v>3368</v>
      </c>
      <c r="AS2347" t="s">
        <v>5886</v>
      </c>
      <c r="AT2347" t="s">
        <v>22927</v>
      </c>
      <c r="AU2347" t="s">
        <v>22928</v>
      </c>
      <c r="AV2347" t="s">
        <v>22929</v>
      </c>
      <c r="AW2347" t="s">
        <v>22930</v>
      </c>
      <c r="AX2347" t="s">
        <v>5467</v>
      </c>
      <c r="AY2347" t="s">
        <v>5956</v>
      </c>
      <c r="AZ2347" t="s">
        <v>5467</v>
      </c>
      <c r="BA2347">
        <v>1</v>
      </c>
      <c r="BB2347">
        <v>573.63</v>
      </c>
      <c r="BC2347">
        <v>1.84</v>
      </c>
      <c r="BD2347">
        <v>1.38</v>
      </c>
      <c r="BE2347">
        <v>1.34</v>
      </c>
      <c r="BF2347">
        <v>1.21</v>
      </c>
      <c r="BG2347" t="s">
        <v>22931</v>
      </c>
      <c r="BH2347" t="s">
        <v>579</v>
      </c>
      <c r="BI2347" t="s">
        <v>5467</v>
      </c>
      <c r="BJ2347" t="s">
        <v>101</v>
      </c>
      <c r="BK2347" t="s">
        <v>22932</v>
      </c>
      <c r="BL2347" t="s">
        <v>22933</v>
      </c>
      <c r="BM2347" t="s">
        <v>10183</v>
      </c>
      <c r="BN2347" t="s">
        <v>22882</v>
      </c>
    </row>
    <row r="2348" spans="1:66" x14ac:dyDescent="0.25">
      <c r="A2348" t="str">
        <f>HYPERLINK("https://elite.finviz.com/quote.ashx?t=AYTU&amp;ty=c&amp;p=d&amp;b=1", "AYTU")</f>
        <v>AYTU</v>
      </c>
      <c r="B2348">
        <v>5</v>
      </c>
      <c r="C2348">
        <v>126.51</v>
      </c>
      <c r="D2348">
        <v>26.8</v>
      </c>
      <c r="E2348" t="s">
        <v>22934</v>
      </c>
      <c r="F2348" t="s">
        <v>107</v>
      </c>
      <c r="G2348" t="s">
        <v>428</v>
      </c>
      <c r="H2348" t="s">
        <v>1296</v>
      </c>
      <c r="I2348" t="s">
        <v>70</v>
      </c>
      <c r="J2348" t="s">
        <v>321</v>
      </c>
      <c r="K2348">
        <v>17.600000000000001</v>
      </c>
      <c r="L2348">
        <v>1.77</v>
      </c>
      <c r="M2348" t="s">
        <v>7392</v>
      </c>
      <c r="N2348">
        <v>224677</v>
      </c>
      <c r="R2348">
        <v>0.27</v>
      </c>
      <c r="S2348">
        <v>0.84</v>
      </c>
      <c r="AA2348">
        <v>-2.81</v>
      </c>
      <c r="AB2348" t="s">
        <v>21172</v>
      </c>
      <c r="AC2348" t="s">
        <v>22935</v>
      </c>
      <c r="AE2348" t="s">
        <v>13451</v>
      </c>
      <c r="AF2348" t="s">
        <v>9594</v>
      </c>
      <c r="AG2348" t="s">
        <v>1645</v>
      </c>
      <c r="AH2348" t="s">
        <v>15702</v>
      </c>
      <c r="AI2348" t="s">
        <v>22936</v>
      </c>
      <c r="AJ2348" t="s">
        <v>1507</v>
      </c>
      <c r="AK2348" t="s">
        <v>22585</v>
      </c>
      <c r="AL2348">
        <v>1.26</v>
      </c>
      <c r="AM2348">
        <v>1.07</v>
      </c>
      <c r="AN2348">
        <v>1.21</v>
      </c>
      <c r="AO2348" t="s">
        <v>20334</v>
      </c>
      <c r="AP2348" t="s">
        <v>3481</v>
      </c>
      <c r="AQ2348" t="s">
        <v>11061</v>
      </c>
      <c r="AR2348" t="s">
        <v>10714</v>
      </c>
      <c r="AS2348" t="s">
        <v>2386</v>
      </c>
      <c r="AT2348" t="s">
        <v>22937</v>
      </c>
      <c r="AU2348" t="s">
        <v>22938</v>
      </c>
      <c r="AV2348" t="s">
        <v>3013</v>
      </c>
      <c r="AW2348" t="s">
        <v>22939</v>
      </c>
      <c r="AX2348" t="s">
        <v>14462</v>
      </c>
      <c r="AY2348" t="s">
        <v>22940</v>
      </c>
      <c r="AZ2348" t="s">
        <v>22941</v>
      </c>
      <c r="BA2348">
        <v>1</v>
      </c>
      <c r="BB2348">
        <v>185.59</v>
      </c>
      <c r="BC2348">
        <v>4.2699999999999996</v>
      </c>
      <c r="BD2348">
        <v>1.86</v>
      </c>
      <c r="BE2348">
        <v>1.88</v>
      </c>
      <c r="BF2348">
        <v>1.7</v>
      </c>
      <c r="BG2348" t="s">
        <v>22942</v>
      </c>
      <c r="BH2348" t="s">
        <v>579</v>
      </c>
      <c r="BI2348" t="s">
        <v>22941</v>
      </c>
      <c r="BJ2348" t="s">
        <v>101</v>
      </c>
      <c r="BK2348" t="s">
        <v>5980</v>
      </c>
      <c r="BL2348" t="s">
        <v>17600</v>
      </c>
      <c r="BM2348" t="s">
        <v>22943</v>
      </c>
      <c r="BN2348" t="s">
        <v>22882</v>
      </c>
    </row>
    <row r="2349" spans="1:66" x14ac:dyDescent="0.25">
      <c r="A2349" t="str">
        <f>HYPERLINK("https://elite.finviz.com/quote.ashx?t=ZSPC&amp;ty=c&amp;p=d&amp;b=1", "ZSPC")</f>
        <v>ZSPC</v>
      </c>
      <c r="B2349">
        <v>5</v>
      </c>
      <c r="C2349">
        <v>126.51</v>
      </c>
      <c r="D2349">
        <v>27.25</v>
      </c>
      <c r="E2349" t="s">
        <v>22944</v>
      </c>
      <c r="F2349" t="s">
        <v>67</v>
      </c>
      <c r="G2349" t="s">
        <v>108</v>
      </c>
      <c r="H2349" t="s">
        <v>496</v>
      </c>
      <c r="I2349" t="s">
        <v>70</v>
      </c>
      <c r="J2349" t="s">
        <v>321</v>
      </c>
      <c r="K2349">
        <v>25.72</v>
      </c>
      <c r="L2349">
        <v>1.07</v>
      </c>
      <c r="M2349" t="s">
        <v>12259</v>
      </c>
      <c r="N2349">
        <v>408946</v>
      </c>
      <c r="R2349">
        <v>0.7</v>
      </c>
      <c r="Z2349" t="s">
        <v>164</v>
      </c>
      <c r="AA2349">
        <v>-0.69</v>
      </c>
      <c r="AD2349" t="s">
        <v>9554</v>
      </c>
      <c r="AE2349" t="s">
        <v>13208</v>
      </c>
      <c r="AF2349" t="s">
        <v>4204</v>
      </c>
      <c r="AH2349" t="s">
        <v>8979</v>
      </c>
      <c r="AI2349" t="s">
        <v>22945</v>
      </c>
      <c r="AJ2349" t="s">
        <v>1842</v>
      </c>
      <c r="AK2349" t="s">
        <v>7854</v>
      </c>
      <c r="AL2349">
        <v>0.55000000000000004</v>
      </c>
      <c r="AM2349">
        <v>0.38</v>
      </c>
      <c r="AO2349" t="s">
        <v>1230</v>
      </c>
      <c r="AP2349" t="s">
        <v>22946</v>
      </c>
      <c r="AQ2349" t="s">
        <v>15827</v>
      </c>
      <c r="AR2349" t="s">
        <v>8959</v>
      </c>
      <c r="AS2349" t="s">
        <v>13015</v>
      </c>
      <c r="AT2349" t="s">
        <v>22947</v>
      </c>
      <c r="AU2349" t="s">
        <v>22948</v>
      </c>
      <c r="AV2349" t="s">
        <v>22949</v>
      </c>
      <c r="AW2349" t="s">
        <v>22950</v>
      </c>
      <c r="AX2349" t="s">
        <v>164</v>
      </c>
      <c r="AY2349" t="s">
        <v>22951</v>
      </c>
      <c r="AZ2349" t="s">
        <v>164</v>
      </c>
      <c r="BA2349">
        <v>1</v>
      </c>
      <c r="BB2349">
        <v>433.58</v>
      </c>
      <c r="BC2349">
        <v>3.32</v>
      </c>
      <c r="BD2349">
        <v>1.1299999999999999</v>
      </c>
      <c r="BE2349">
        <v>1.1599999999999999</v>
      </c>
      <c r="BF2349">
        <v>1.05</v>
      </c>
      <c r="BG2349" t="s">
        <v>22952</v>
      </c>
      <c r="BH2349" t="s">
        <v>22951</v>
      </c>
      <c r="BI2349" t="s">
        <v>164</v>
      </c>
      <c r="BJ2349" t="s">
        <v>101</v>
      </c>
      <c r="BK2349" t="s">
        <v>22953</v>
      </c>
      <c r="BL2349" t="s">
        <v>22954</v>
      </c>
      <c r="BN2349" t="s">
        <v>22882</v>
      </c>
    </row>
    <row r="2350" spans="1:66" x14ac:dyDescent="0.25">
      <c r="A2350" t="str">
        <f>HYPERLINK("https://elite.finviz.com/quote.ashx?t=OFS&amp;ty=c&amp;p=d&amp;b=1", "OFS")</f>
        <v>OFS</v>
      </c>
      <c r="B2350">
        <v>5</v>
      </c>
      <c r="C2350">
        <v>126.51</v>
      </c>
      <c r="D2350">
        <v>27.27</v>
      </c>
      <c r="E2350" t="s">
        <v>22955</v>
      </c>
      <c r="F2350" t="s">
        <v>107</v>
      </c>
      <c r="G2350" t="s">
        <v>550</v>
      </c>
      <c r="H2350" t="s">
        <v>2597</v>
      </c>
      <c r="I2350" t="s">
        <v>70</v>
      </c>
      <c r="J2350" t="s">
        <v>321</v>
      </c>
      <c r="K2350">
        <v>105.58</v>
      </c>
      <c r="L2350">
        <v>7.88</v>
      </c>
      <c r="M2350" t="s">
        <v>2906</v>
      </c>
      <c r="N2350">
        <v>6236</v>
      </c>
      <c r="O2350">
        <v>10.37</v>
      </c>
      <c r="P2350">
        <v>10.1</v>
      </c>
      <c r="R2350">
        <v>2.44</v>
      </c>
      <c r="S2350">
        <v>0.72</v>
      </c>
      <c r="T2350" t="s">
        <v>3348</v>
      </c>
      <c r="U2350">
        <v>1.36</v>
      </c>
      <c r="V2350" t="s">
        <v>7552</v>
      </c>
      <c r="W2350" t="s">
        <v>3550</v>
      </c>
      <c r="X2350" t="s">
        <v>2660</v>
      </c>
      <c r="Y2350" t="s">
        <v>164</v>
      </c>
      <c r="Z2350" t="s">
        <v>5516</v>
      </c>
      <c r="AA2350">
        <v>0.76</v>
      </c>
      <c r="AH2350" t="s">
        <v>10713</v>
      </c>
      <c r="AI2350" t="s">
        <v>2841</v>
      </c>
      <c r="AJ2350" t="s">
        <v>164</v>
      </c>
      <c r="AK2350" t="s">
        <v>902</v>
      </c>
      <c r="AR2350" t="s">
        <v>89</v>
      </c>
      <c r="AS2350" t="s">
        <v>3487</v>
      </c>
      <c r="AT2350" t="s">
        <v>1529</v>
      </c>
      <c r="AU2350" t="s">
        <v>5137</v>
      </c>
      <c r="AV2350" t="s">
        <v>184</v>
      </c>
      <c r="AW2350" t="s">
        <v>3838</v>
      </c>
      <c r="AX2350" t="s">
        <v>4266</v>
      </c>
      <c r="AY2350" t="s">
        <v>3386</v>
      </c>
      <c r="AZ2350" t="s">
        <v>3493</v>
      </c>
      <c r="BB2350">
        <v>45.25</v>
      </c>
      <c r="BC2350">
        <v>0.49</v>
      </c>
      <c r="BD2350">
        <v>7.89</v>
      </c>
      <c r="BE2350">
        <v>8</v>
      </c>
      <c r="BF2350">
        <v>7.88</v>
      </c>
      <c r="BG2350" t="s">
        <v>22956</v>
      </c>
      <c r="BH2350" t="s">
        <v>22957</v>
      </c>
      <c r="BI2350" t="s">
        <v>22958</v>
      </c>
      <c r="BJ2350" t="s">
        <v>101</v>
      </c>
      <c r="BK2350" t="s">
        <v>2252</v>
      </c>
      <c r="BL2350" t="s">
        <v>15169</v>
      </c>
      <c r="BM2350" t="s">
        <v>13734</v>
      </c>
      <c r="BN2350" t="s">
        <v>22882</v>
      </c>
    </row>
    <row r="2351" spans="1:66" x14ac:dyDescent="0.25">
      <c r="A2351" t="str">
        <f>HYPERLINK("https://elite.finviz.com/quote.ashx?t=KITT&amp;ty=c&amp;p=d&amp;b=1", "KITT")</f>
        <v>KITT</v>
      </c>
      <c r="B2351">
        <v>5</v>
      </c>
      <c r="C2351">
        <v>126.51</v>
      </c>
      <c r="D2351">
        <v>27.94</v>
      </c>
      <c r="E2351" t="s">
        <v>22959</v>
      </c>
      <c r="F2351" t="s">
        <v>107</v>
      </c>
      <c r="G2351" t="s">
        <v>260</v>
      </c>
      <c r="H2351" t="s">
        <v>4779</v>
      </c>
      <c r="I2351" t="s">
        <v>70</v>
      </c>
      <c r="J2351" t="s">
        <v>321</v>
      </c>
      <c r="K2351">
        <v>15.94</v>
      </c>
      <c r="L2351">
        <v>3.2</v>
      </c>
      <c r="M2351" t="s">
        <v>9085</v>
      </c>
      <c r="N2351">
        <v>191472</v>
      </c>
      <c r="R2351">
        <v>5.18</v>
      </c>
      <c r="S2351">
        <v>8.2100000000000009</v>
      </c>
      <c r="AA2351">
        <v>-237.3</v>
      </c>
      <c r="AB2351" t="s">
        <v>22960</v>
      </c>
      <c r="AC2351" t="s">
        <v>22961</v>
      </c>
      <c r="AE2351" t="s">
        <v>9095</v>
      </c>
      <c r="AH2351" t="s">
        <v>22962</v>
      </c>
      <c r="AJ2351" t="s">
        <v>164</v>
      </c>
      <c r="AK2351" t="s">
        <v>1751</v>
      </c>
      <c r="AL2351">
        <v>0.44</v>
      </c>
      <c r="AM2351">
        <v>0.39</v>
      </c>
      <c r="AO2351" t="s">
        <v>22963</v>
      </c>
      <c r="AP2351" t="s">
        <v>22964</v>
      </c>
      <c r="AQ2351" t="s">
        <v>22965</v>
      </c>
      <c r="AR2351" t="s">
        <v>604</v>
      </c>
      <c r="AS2351" t="s">
        <v>4109</v>
      </c>
      <c r="AT2351" t="s">
        <v>3165</v>
      </c>
      <c r="AU2351" t="s">
        <v>22966</v>
      </c>
      <c r="AV2351" t="s">
        <v>22967</v>
      </c>
      <c r="AW2351" t="s">
        <v>22968</v>
      </c>
      <c r="AX2351" t="s">
        <v>2449</v>
      </c>
      <c r="AY2351" t="s">
        <v>22969</v>
      </c>
      <c r="AZ2351" t="s">
        <v>2449</v>
      </c>
      <c r="BA2351">
        <v>1</v>
      </c>
      <c r="BB2351">
        <v>366.73</v>
      </c>
      <c r="BC2351">
        <v>1.84</v>
      </c>
      <c r="BD2351">
        <v>3.29</v>
      </c>
      <c r="BE2351">
        <v>3.36</v>
      </c>
      <c r="BF2351">
        <v>3.18</v>
      </c>
      <c r="BG2351" t="s">
        <v>22970</v>
      </c>
      <c r="BH2351" t="s">
        <v>3107</v>
      </c>
      <c r="BI2351" t="s">
        <v>2449</v>
      </c>
      <c r="BJ2351" t="s">
        <v>101</v>
      </c>
      <c r="BK2351" t="s">
        <v>22971</v>
      </c>
      <c r="BL2351" t="s">
        <v>22972</v>
      </c>
      <c r="BM2351" t="s">
        <v>4993</v>
      </c>
      <c r="BN2351" t="s">
        <v>22882</v>
      </c>
    </row>
    <row r="2352" spans="1:66" x14ac:dyDescent="0.25">
      <c r="A2352" t="str">
        <f>HYPERLINK("https://elite.finviz.com/quote.ashx?t=IVDA&amp;ty=c&amp;p=d&amp;b=1", "IVDA")</f>
        <v>IVDA</v>
      </c>
      <c r="B2352">
        <v>5</v>
      </c>
      <c r="C2352">
        <v>126.51</v>
      </c>
      <c r="D2352">
        <v>28.1</v>
      </c>
      <c r="E2352" t="s">
        <v>22973</v>
      </c>
      <c r="F2352" t="s">
        <v>107</v>
      </c>
      <c r="G2352" t="s">
        <v>260</v>
      </c>
      <c r="H2352" t="s">
        <v>4162</v>
      </c>
      <c r="I2352" t="s">
        <v>70</v>
      </c>
      <c r="J2352" t="s">
        <v>321</v>
      </c>
      <c r="K2352">
        <v>3.61</v>
      </c>
      <c r="L2352">
        <v>1.24</v>
      </c>
      <c r="M2352" t="s">
        <v>1892</v>
      </c>
      <c r="N2352">
        <v>194524</v>
      </c>
      <c r="R2352">
        <v>0.51</v>
      </c>
      <c r="S2352">
        <v>2.4300000000000002</v>
      </c>
      <c r="AA2352">
        <v>-1.38</v>
      </c>
      <c r="AB2352" t="s">
        <v>10577</v>
      </c>
      <c r="AC2352" t="s">
        <v>11932</v>
      </c>
      <c r="AE2352" t="s">
        <v>22974</v>
      </c>
      <c r="AF2352" t="s">
        <v>17706</v>
      </c>
      <c r="AG2352" t="s">
        <v>1491</v>
      </c>
      <c r="AH2352" t="s">
        <v>2486</v>
      </c>
      <c r="AI2352" t="s">
        <v>164</v>
      </c>
      <c r="AJ2352" t="s">
        <v>164</v>
      </c>
      <c r="AK2352" t="s">
        <v>2735</v>
      </c>
      <c r="AL2352">
        <v>1.5</v>
      </c>
      <c r="AM2352">
        <v>1.38</v>
      </c>
      <c r="AN2352">
        <v>0.81</v>
      </c>
      <c r="AO2352" t="s">
        <v>15593</v>
      </c>
      <c r="AP2352" t="s">
        <v>22975</v>
      </c>
      <c r="AQ2352" t="s">
        <v>22425</v>
      </c>
      <c r="AR2352" t="s">
        <v>1822</v>
      </c>
      <c r="AS2352" t="s">
        <v>1207</v>
      </c>
      <c r="AT2352" t="s">
        <v>6688</v>
      </c>
      <c r="AU2352" t="s">
        <v>17044</v>
      </c>
      <c r="AV2352" t="s">
        <v>17252</v>
      </c>
      <c r="AW2352" t="s">
        <v>22976</v>
      </c>
      <c r="AX2352" t="s">
        <v>3635</v>
      </c>
      <c r="AY2352" t="s">
        <v>22977</v>
      </c>
      <c r="AZ2352" t="s">
        <v>3635</v>
      </c>
      <c r="BA2352">
        <v>1</v>
      </c>
      <c r="BB2352">
        <v>326.64</v>
      </c>
      <c r="BC2352">
        <v>2.1</v>
      </c>
      <c r="BD2352">
        <v>1.32</v>
      </c>
      <c r="BE2352">
        <v>1.3</v>
      </c>
      <c r="BF2352">
        <v>1.21</v>
      </c>
      <c r="BG2352" t="s">
        <v>22978</v>
      </c>
      <c r="BH2352" t="s">
        <v>22979</v>
      </c>
      <c r="BI2352" t="s">
        <v>22980</v>
      </c>
      <c r="BJ2352" t="s">
        <v>101</v>
      </c>
      <c r="BK2352" t="s">
        <v>423</v>
      </c>
      <c r="BL2352" t="s">
        <v>10457</v>
      </c>
      <c r="BM2352" t="s">
        <v>8887</v>
      </c>
      <c r="BN2352" t="s">
        <v>22882</v>
      </c>
    </row>
    <row r="2353" spans="1:66" x14ac:dyDescent="0.25">
      <c r="A2353" t="str">
        <f>HYPERLINK("https://elite.finviz.com/quote.ashx?t=SDOT&amp;ty=c&amp;p=d&amp;b=1", "SDOT")</f>
        <v>SDOT</v>
      </c>
      <c r="B2353">
        <v>5</v>
      </c>
      <c r="C2353">
        <v>126.51</v>
      </c>
      <c r="D2353">
        <v>29.03</v>
      </c>
      <c r="E2353" t="s">
        <v>22981</v>
      </c>
      <c r="F2353" t="s">
        <v>107</v>
      </c>
      <c r="G2353" t="s">
        <v>2244</v>
      </c>
      <c r="H2353" t="s">
        <v>5735</v>
      </c>
      <c r="I2353" t="s">
        <v>70</v>
      </c>
      <c r="J2353" t="s">
        <v>321</v>
      </c>
      <c r="K2353">
        <v>5.74</v>
      </c>
      <c r="L2353">
        <v>5.57</v>
      </c>
      <c r="M2353" t="s">
        <v>2642</v>
      </c>
      <c r="N2353">
        <v>31589</v>
      </c>
      <c r="O2353">
        <v>0.9</v>
      </c>
      <c r="R2353">
        <v>0.01</v>
      </c>
      <c r="S2353">
        <v>0.12</v>
      </c>
      <c r="Z2353" t="s">
        <v>164</v>
      </c>
      <c r="AA2353">
        <v>6.16</v>
      </c>
      <c r="AE2353" t="s">
        <v>2472</v>
      </c>
      <c r="AF2353" t="s">
        <v>22982</v>
      </c>
      <c r="AG2353" t="s">
        <v>22983</v>
      </c>
      <c r="AH2353" t="s">
        <v>22984</v>
      </c>
      <c r="AJ2353" t="s">
        <v>9083</v>
      </c>
      <c r="AK2353" t="s">
        <v>3793</v>
      </c>
      <c r="AL2353">
        <v>1.26</v>
      </c>
      <c r="AM2353">
        <v>1.26</v>
      </c>
      <c r="AN2353">
        <v>0.35</v>
      </c>
      <c r="AO2353" t="s">
        <v>969</v>
      </c>
      <c r="AP2353" t="s">
        <v>181</v>
      </c>
      <c r="AQ2353" t="s">
        <v>4801</v>
      </c>
      <c r="AR2353" t="s">
        <v>605</v>
      </c>
      <c r="AS2353" t="s">
        <v>2783</v>
      </c>
      <c r="AT2353" t="s">
        <v>6643</v>
      </c>
      <c r="AU2353" t="s">
        <v>22226</v>
      </c>
      <c r="AV2353" t="s">
        <v>22985</v>
      </c>
      <c r="AW2353" t="s">
        <v>3284</v>
      </c>
      <c r="AX2353" t="s">
        <v>5859</v>
      </c>
      <c r="AY2353" t="s">
        <v>22986</v>
      </c>
      <c r="AZ2353" t="s">
        <v>5859</v>
      </c>
      <c r="BA2353">
        <v>3</v>
      </c>
      <c r="BB2353">
        <v>40.56</v>
      </c>
      <c r="BC2353">
        <v>2.77</v>
      </c>
      <c r="BD2353">
        <v>5.55</v>
      </c>
      <c r="BE2353">
        <v>5.79</v>
      </c>
      <c r="BF2353">
        <v>5.38</v>
      </c>
      <c r="BG2353" t="s">
        <v>22987</v>
      </c>
      <c r="BH2353" t="s">
        <v>13395</v>
      </c>
      <c r="BI2353" t="s">
        <v>5859</v>
      </c>
      <c r="BJ2353" t="s">
        <v>101</v>
      </c>
      <c r="BK2353" t="s">
        <v>22988</v>
      </c>
      <c r="BL2353" t="s">
        <v>22989</v>
      </c>
      <c r="BM2353" t="s">
        <v>22990</v>
      </c>
      <c r="BN2353" t="s">
        <v>22882</v>
      </c>
    </row>
    <row r="2354" spans="1:66" x14ac:dyDescent="0.25">
      <c r="A2354" t="str">
        <f>HYPERLINK("https://elite.finviz.com/quote.ashx?t=BTX&amp;ty=c&amp;p=d&amp;b=1", "BTX")</f>
        <v>BTX</v>
      </c>
      <c r="B2354">
        <v>5</v>
      </c>
      <c r="C2354">
        <v>126.51</v>
      </c>
      <c r="D2354">
        <v>29.3</v>
      </c>
      <c r="E2354" t="s">
        <v>22991</v>
      </c>
      <c r="F2354" t="s">
        <v>107</v>
      </c>
      <c r="G2354" t="s">
        <v>550</v>
      </c>
      <c r="H2354" t="s">
        <v>2597</v>
      </c>
      <c r="I2354" t="s">
        <v>70</v>
      </c>
      <c r="J2354" t="s">
        <v>71</v>
      </c>
      <c r="K2354">
        <v>1417.91</v>
      </c>
      <c r="L2354">
        <v>6.65</v>
      </c>
      <c r="M2354" t="s">
        <v>5388</v>
      </c>
      <c r="N2354">
        <v>410810</v>
      </c>
      <c r="O2354">
        <v>55.39</v>
      </c>
      <c r="T2354" t="s">
        <v>8078</v>
      </c>
      <c r="U2354">
        <v>1</v>
      </c>
      <c r="V2354" t="s">
        <v>7373</v>
      </c>
      <c r="W2354" t="s">
        <v>4554</v>
      </c>
      <c r="X2354" t="s">
        <v>6684</v>
      </c>
      <c r="AA2354">
        <v>0.12</v>
      </c>
      <c r="AK2354" t="s">
        <v>955</v>
      </c>
      <c r="AR2354" t="s">
        <v>6990</v>
      </c>
      <c r="AS2354" t="s">
        <v>7780</v>
      </c>
      <c r="AT2354" t="s">
        <v>5639</v>
      </c>
      <c r="AU2354" t="s">
        <v>5612</v>
      </c>
      <c r="AV2354" t="s">
        <v>137</v>
      </c>
      <c r="AW2354" t="s">
        <v>8974</v>
      </c>
      <c r="AX2354" t="s">
        <v>1324</v>
      </c>
      <c r="AY2354" t="s">
        <v>2914</v>
      </c>
      <c r="AZ2354" t="s">
        <v>5348</v>
      </c>
      <c r="BB2354">
        <v>688.5</v>
      </c>
      <c r="BC2354">
        <v>2.1</v>
      </c>
      <c r="BD2354">
        <v>6.71</v>
      </c>
      <c r="BE2354">
        <v>6.72</v>
      </c>
      <c r="BF2354">
        <v>6.63</v>
      </c>
      <c r="BG2354" t="s">
        <v>22992</v>
      </c>
      <c r="BH2354" t="s">
        <v>22993</v>
      </c>
      <c r="BI2354" t="s">
        <v>5348</v>
      </c>
      <c r="BJ2354" t="s">
        <v>101</v>
      </c>
      <c r="BK2354" t="s">
        <v>15553</v>
      </c>
      <c r="BL2354" t="s">
        <v>170</v>
      </c>
      <c r="BM2354" t="s">
        <v>840</v>
      </c>
      <c r="BN2354" t="s">
        <v>22882</v>
      </c>
    </row>
    <row r="2355" spans="1:66" x14ac:dyDescent="0.25">
      <c r="A2355" t="str">
        <f>HYPERLINK("https://elite.finviz.com/quote.ashx?t=TIPT&amp;ty=c&amp;p=d&amp;b=1", "TIPT")</f>
        <v>TIPT</v>
      </c>
      <c r="B2355">
        <v>5</v>
      </c>
      <c r="C2355">
        <v>126.51</v>
      </c>
      <c r="D2355">
        <v>29.92</v>
      </c>
      <c r="E2355" t="s">
        <v>22994</v>
      </c>
      <c r="F2355" t="s">
        <v>67</v>
      </c>
      <c r="G2355" t="s">
        <v>550</v>
      </c>
      <c r="H2355" t="s">
        <v>4675</v>
      </c>
      <c r="I2355" t="s">
        <v>70</v>
      </c>
      <c r="J2355" t="s">
        <v>321</v>
      </c>
      <c r="K2355">
        <v>679.93</v>
      </c>
      <c r="L2355">
        <v>18.13</v>
      </c>
      <c r="M2355" t="s">
        <v>11042</v>
      </c>
      <c r="N2355">
        <v>626464</v>
      </c>
      <c r="O2355">
        <v>13.99</v>
      </c>
      <c r="R2355">
        <v>0.34</v>
      </c>
      <c r="S2355">
        <v>1.36</v>
      </c>
      <c r="T2355" t="s">
        <v>4881</v>
      </c>
      <c r="U2355">
        <v>0.24</v>
      </c>
      <c r="V2355" t="s">
        <v>1440</v>
      </c>
      <c r="W2355" t="s">
        <v>1746</v>
      </c>
      <c r="X2355" t="s">
        <v>5699</v>
      </c>
      <c r="Y2355" t="s">
        <v>1066</v>
      </c>
      <c r="Z2355" t="s">
        <v>4904</v>
      </c>
      <c r="AA2355">
        <v>1.3</v>
      </c>
      <c r="AB2355" t="s">
        <v>3343</v>
      </c>
      <c r="AC2355" t="s">
        <v>8087</v>
      </c>
      <c r="AE2355" t="s">
        <v>7767</v>
      </c>
      <c r="AF2355" t="s">
        <v>10499</v>
      </c>
      <c r="AG2355" t="s">
        <v>12927</v>
      </c>
      <c r="AH2355" t="s">
        <v>1175</v>
      </c>
      <c r="AJ2355" t="s">
        <v>2638</v>
      </c>
      <c r="AK2355" t="s">
        <v>5029</v>
      </c>
      <c r="AL2355">
        <v>1.04</v>
      </c>
      <c r="AN2355">
        <v>1.1599999999999999</v>
      </c>
      <c r="AP2355" t="s">
        <v>4965</v>
      </c>
      <c r="AQ2355" t="s">
        <v>5256</v>
      </c>
      <c r="AR2355" t="s">
        <v>3532</v>
      </c>
      <c r="AS2355" t="s">
        <v>2777</v>
      </c>
      <c r="AT2355" t="s">
        <v>1039</v>
      </c>
      <c r="AU2355" t="s">
        <v>22995</v>
      </c>
      <c r="AV2355" t="s">
        <v>6727</v>
      </c>
      <c r="AW2355" t="s">
        <v>8204</v>
      </c>
      <c r="AX2355" t="s">
        <v>5359</v>
      </c>
      <c r="AY2355" t="s">
        <v>8204</v>
      </c>
      <c r="AZ2355" t="s">
        <v>2059</v>
      </c>
      <c r="BB2355">
        <v>201.45</v>
      </c>
      <c r="BC2355">
        <v>10.96</v>
      </c>
      <c r="BD2355">
        <v>20.18</v>
      </c>
      <c r="BE2355">
        <v>20.03</v>
      </c>
      <c r="BF2355">
        <v>17.920000000000002</v>
      </c>
      <c r="BG2355" t="s">
        <v>22996</v>
      </c>
      <c r="BH2355" t="s">
        <v>8204</v>
      </c>
      <c r="BI2355" t="s">
        <v>22997</v>
      </c>
      <c r="BJ2355" t="s">
        <v>101</v>
      </c>
      <c r="BK2355" t="s">
        <v>22998</v>
      </c>
      <c r="BL2355" t="s">
        <v>22575</v>
      </c>
      <c r="BM2355" t="s">
        <v>4274</v>
      </c>
      <c r="BN2355" t="s">
        <v>22882</v>
      </c>
    </row>
    <row r="2356" spans="1:66" x14ac:dyDescent="0.25">
      <c r="A2356" t="str">
        <f>HYPERLINK("https://elite.finviz.com/quote.ashx?t=BTOC&amp;ty=c&amp;p=d&amp;b=1", "BTOC")</f>
        <v>BTOC</v>
      </c>
      <c r="B2356">
        <v>5</v>
      </c>
      <c r="C2356">
        <v>126.51</v>
      </c>
      <c r="D2356">
        <v>30.46</v>
      </c>
      <c r="E2356" t="s">
        <v>22999</v>
      </c>
      <c r="F2356" t="s">
        <v>107</v>
      </c>
      <c r="G2356" t="s">
        <v>260</v>
      </c>
      <c r="H2356" t="s">
        <v>7853</v>
      </c>
      <c r="I2356" t="s">
        <v>70</v>
      </c>
      <c r="J2356" t="s">
        <v>321</v>
      </c>
      <c r="K2356">
        <v>41.49</v>
      </c>
      <c r="L2356">
        <v>0.99</v>
      </c>
      <c r="M2356" t="s">
        <v>2088</v>
      </c>
      <c r="N2356">
        <v>760272</v>
      </c>
      <c r="R2356">
        <v>0.22</v>
      </c>
      <c r="S2356">
        <v>1.66</v>
      </c>
      <c r="Z2356" t="s">
        <v>164</v>
      </c>
      <c r="AA2356">
        <v>-0.37</v>
      </c>
      <c r="AE2356" t="s">
        <v>6413</v>
      </c>
      <c r="AF2356" t="s">
        <v>23000</v>
      </c>
      <c r="AH2356" t="s">
        <v>4462</v>
      </c>
      <c r="AJ2356" t="s">
        <v>164</v>
      </c>
      <c r="AK2356" t="s">
        <v>1417</v>
      </c>
      <c r="AL2356">
        <v>0.82</v>
      </c>
      <c r="AM2356">
        <v>0.93</v>
      </c>
      <c r="AN2356">
        <v>5.35</v>
      </c>
      <c r="AO2356" t="s">
        <v>2372</v>
      </c>
      <c r="AP2356" t="s">
        <v>18824</v>
      </c>
      <c r="AQ2356" t="s">
        <v>4875</v>
      </c>
      <c r="AR2356" t="s">
        <v>4914</v>
      </c>
      <c r="AS2356" t="s">
        <v>2517</v>
      </c>
      <c r="AT2356" t="s">
        <v>9917</v>
      </c>
      <c r="AU2356" t="s">
        <v>23001</v>
      </c>
      <c r="AV2356" t="s">
        <v>23002</v>
      </c>
      <c r="AW2356" t="s">
        <v>16566</v>
      </c>
      <c r="AX2356" t="s">
        <v>902</v>
      </c>
      <c r="AY2356" t="s">
        <v>23003</v>
      </c>
      <c r="AZ2356" t="s">
        <v>16116</v>
      </c>
      <c r="BA2356">
        <v>3</v>
      </c>
      <c r="BB2356">
        <v>569</v>
      </c>
      <c r="BC2356">
        <v>4.71</v>
      </c>
      <c r="BD2356">
        <v>1.1499999999999999</v>
      </c>
      <c r="BE2356">
        <v>1.05</v>
      </c>
      <c r="BF2356">
        <v>0.92</v>
      </c>
      <c r="BG2356" t="s">
        <v>23004</v>
      </c>
      <c r="BH2356" t="s">
        <v>23003</v>
      </c>
      <c r="BI2356" t="s">
        <v>16116</v>
      </c>
      <c r="BJ2356" t="s">
        <v>101</v>
      </c>
      <c r="BK2356" t="s">
        <v>23005</v>
      </c>
      <c r="BL2356" t="s">
        <v>4801</v>
      </c>
      <c r="BM2356" t="s">
        <v>23006</v>
      </c>
      <c r="BN2356" t="s">
        <v>22882</v>
      </c>
    </row>
    <row r="2357" spans="1:66" x14ac:dyDescent="0.25">
      <c r="A2357" t="str">
        <f>HYPERLINK("https://elite.finviz.com/quote.ashx?t=ANVS&amp;ty=c&amp;p=d&amp;b=1", "ANVS")</f>
        <v>ANVS</v>
      </c>
      <c r="B2357">
        <v>5</v>
      </c>
      <c r="C2357">
        <v>126.51</v>
      </c>
      <c r="D2357">
        <v>31.21</v>
      </c>
      <c r="E2357" t="s">
        <v>23007</v>
      </c>
      <c r="F2357" t="s">
        <v>107</v>
      </c>
      <c r="G2357" t="s">
        <v>428</v>
      </c>
      <c r="H2357" t="s">
        <v>429</v>
      </c>
      <c r="I2357" t="s">
        <v>70</v>
      </c>
      <c r="J2357" t="s">
        <v>71</v>
      </c>
      <c r="K2357">
        <v>40.07</v>
      </c>
      <c r="L2357">
        <v>2.06</v>
      </c>
      <c r="M2357" t="s">
        <v>7959</v>
      </c>
      <c r="N2357">
        <v>162182</v>
      </c>
      <c r="S2357">
        <v>2.19</v>
      </c>
      <c r="AA2357">
        <v>-2.09</v>
      </c>
      <c r="AB2357" t="s">
        <v>19459</v>
      </c>
      <c r="AC2357" t="s">
        <v>23008</v>
      </c>
      <c r="AD2357" t="s">
        <v>1883</v>
      </c>
      <c r="AI2357" t="s">
        <v>19879</v>
      </c>
      <c r="AJ2357" t="s">
        <v>164</v>
      </c>
      <c r="AK2357" t="s">
        <v>10254</v>
      </c>
      <c r="AL2357">
        <v>7.65</v>
      </c>
      <c r="AM2357">
        <v>7.65</v>
      </c>
      <c r="AN2357">
        <v>0</v>
      </c>
      <c r="AR2357" t="s">
        <v>2429</v>
      </c>
      <c r="AS2357" t="s">
        <v>5370</v>
      </c>
      <c r="AT2357" t="s">
        <v>8722</v>
      </c>
      <c r="AU2357" t="s">
        <v>6320</v>
      </c>
      <c r="AV2357" t="s">
        <v>1301</v>
      </c>
      <c r="AW2357" t="s">
        <v>23009</v>
      </c>
      <c r="AX2357" t="s">
        <v>609</v>
      </c>
      <c r="AY2357" t="s">
        <v>23010</v>
      </c>
      <c r="AZ2357" t="s">
        <v>23011</v>
      </c>
      <c r="BA2357">
        <v>1.4</v>
      </c>
      <c r="BB2357">
        <v>263.68</v>
      </c>
      <c r="BC2357">
        <v>2.17</v>
      </c>
      <c r="BD2357">
        <v>2.13</v>
      </c>
      <c r="BE2357">
        <v>2.17</v>
      </c>
      <c r="BF2357">
        <v>2.04</v>
      </c>
      <c r="BG2357" t="s">
        <v>23012</v>
      </c>
      <c r="BH2357" t="s">
        <v>23013</v>
      </c>
      <c r="BI2357" t="s">
        <v>23011</v>
      </c>
      <c r="BJ2357" t="s">
        <v>101</v>
      </c>
      <c r="BK2357" t="s">
        <v>2646</v>
      </c>
      <c r="BL2357" t="s">
        <v>8691</v>
      </c>
      <c r="BM2357" t="s">
        <v>14351</v>
      </c>
      <c r="BN2357" t="s">
        <v>22882</v>
      </c>
    </row>
    <row r="2358" spans="1:66" x14ac:dyDescent="0.25">
      <c r="A2358" t="str">
        <f>HYPERLINK("https://elite.finviz.com/quote.ashx?t=ABL&amp;ty=c&amp;p=d&amp;b=1", "ABL")</f>
        <v>ABL</v>
      </c>
      <c r="B2358">
        <v>5</v>
      </c>
      <c r="C2358">
        <v>126.51</v>
      </c>
      <c r="D2358">
        <v>31.46</v>
      </c>
      <c r="E2358" t="s">
        <v>23014</v>
      </c>
      <c r="F2358" t="s">
        <v>67</v>
      </c>
      <c r="G2358" t="s">
        <v>550</v>
      </c>
      <c r="H2358" t="s">
        <v>5652</v>
      </c>
      <c r="I2358" t="s">
        <v>70</v>
      </c>
      <c r="J2358" t="s">
        <v>321</v>
      </c>
      <c r="K2358">
        <v>549.62</v>
      </c>
      <c r="L2358">
        <v>5.68</v>
      </c>
      <c r="M2358" t="s">
        <v>6137</v>
      </c>
      <c r="N2358">
        <v>459892</v>
      </c>
      <c r="P2358">
        <v>5.77</v>
      </c>
      <c r="R2358">
        <v>3.37</v>
      </c>
      <c r="S2358">
        <v>1.25</v>
      </c>
      <c r="AA2358">
        <v>-0.06</v>
      </c>
      <c r="AC2358" t="s">
        <v>2086</v>
      </c>
      <c r="AD2358" t="s">
        <v>13872</v>
      </c>
      <c r="AE2358" t="s">
        <v>13209</v>
      </c>
      <c r="AH2358" t="s">
        <v>8243</v>
      </c>
      <c r="AI2358" t="s">
        <v>3684</v>
      </c>
      <c r="AJ2358" t="s">
        <v>3736</v>
      </c>
      <c r="AK2358" t="s">
        <v>18357</v>
      </c>
      <c r="AL2358">
        <v>0.76</v>
      </c>
      <c r="AM2358">
        <v>0.76</v>
      </c>
      <c r="AN2358">
        <v>0.86</v>
      </c>
      <c r="AO2358" t="s">
        <v>5496</v>
      </c>
      <c r="AP2358" t="s">
        <v>3457</v>
      </c>
      <c r="AQ2358" t="s">
        <v>4203</v>
      </c>
      <c r="AR2358" t="s">
        <v>2580</v>
      </c>
      <c r="AS2358" t="s">
        <v>3524</v>
      </c>
      <c r="AT2358" t="s">
        <v>18364</v>
      </c>
      <c r="AU2358" t="s">
        <v>3266</v>
      </c>
      <c r="AV2358" t="s">
        <v>12861</v>
      </c>
      <c r="AW2358" t="s">
        <v>16092</v>
      </c>
      <c r="AX2358" t="s">
        <v>11292</v>
      </c>
      <c r="AY2358" t="s">
        <v>21445</v>
      </c>
      <c r="AZ2358" t="s">
        <v>13068</v>
      </c>
      <c r="BA2358">
        <v>1</v>
      </c>
      <c r="BB2358">
        <v>779.31</v>
      </c>
      <c r="BC2358">
        <v>2.08</v>
      </c>
      <c r="BD2358">
        <v>5.82</v>
      </c>
      <c r="BE2358">
        <v>5.8</v>
      </c>
      <c r="BF2358">
        <v>5.52</v>
      </c>
      <c r="BG2358" t="s">
        <v>23015</v>
      </c>
      <c r="BH2358" t="s">
        <v>23016</v>
      </c>
      <c r="BI2358" t="s">
        <v>13068</v>
      </c>
      <c r="BJ2358" t="s">
        <v>101</v>
      </c>
      <c r="BK2358" t="s">
        <v>9960</v>
      </c>
      <c r="BL2358" t="s">
        <v>14347</v>
      </c>
      <c r="BM2358" t="s">
        <v>21648</v>
      </c>
      <c r="BN2358" t="s">
        <v>22882</v>
      </c>
    </row>
    <row r="2359" spans="1:66" x14ac:dyDescent="0.25">
      <c r="A2359" t="str">
        <f>HYPERLINK("https://elite.finviz.com/quote.ashx?t=LGCY&amp;ty=c&amp;p=d&amp;b=1", "LGCY")</f>
        <v>LGCY</v>
      </c>
      <c r="B2359">
        <v>5</v>
      </c>
      <c r="C2359">
        <v>126.51</v>
      </c>
      <c r="D2359">
        <v>31.99</v>
      </c>
      <c r="E2359" t="s">
        <v>23017</v>
      </c>
      <c r="F2359" t="s">
        <v>107</v>
      </c>
      <c r="G2359" t="s">
        <v>2244</v>
      </c>
      <c r="H2359" t="s">
        <v>2483</v>
      </c>
      <c r="I2359" t="s">
        <v>70</v>
      </c>
      <c r="J2359" t="s">
        <v>383</v>
      </c>
      <c r="K2359">
        <v>126.4</v>
      </c>
      <c r="L2359">
        <v>10.210000000000001</v>
      </c>
      <c r="M2359" t="s">
        <v>4368</v>
      </c>
      <c r="N2359">
        <v>139699</v>
      </c>
      <c r="O2359">
        <v>17.64</v>
      </c>
      <c r="R2359">
        <v>1.97</v>
      </c>
      <c r="S2359">
        <v>3.1</v>
      </c>
      <c r="Z2359" t="s">
        <v>164</v>
      </c>
      <c r="AA2359">
        <v>0.57999999999999996</v>
      </c>
      <c r="AB2359" t="s">
        <v>19467</v>
      </c>
      <c r="AE2359" t="s">
        <v>13221</v>
      </c>
      <c r="AF2359" t="s">
        <v>17270</v>
      </c>
      <c r="AG2359" t="s">
        <v>4279</v>
      </c>
      <c r="AH2359" t="s">
        <v>22510</v>
      </c>
      <c r="AI2359" t="s">
        <v>14347</v>
      </c>
      <c r="AJ2359" t="s">
        <v>4703</v>
      </c>
      <c r="AK2359" t="s">
        <v>8505</v>
      </c>
      <c r="AL2359">
        <v>2.69</v>
      </c>
      <c r="AM2359">
        <v>2.69</v>
      </c>
      <c r="AN2359">
        <v>0.43</v>
      </c>
      <c r="AO2359" t="s">
        <v>6052</v>
      </c>
      <c r="AP2359" t="s">
        <v>328</v>
      </c>
      <c r="AQ2359" t="s">
        <v>11337</v>
      </c>
      <c r="AR2359" t="s">
        <v>7978</v>
      </c>
      <c r="AS2359" t="s">
        <v>1496</v>
      </c>
      <c r="AT2359" t="s">
        <v>1094</v>
      </c>
      <c r="AU2359" t="s">
        <v>19619</v>
      </c>
      <c r="AV2359" t="s">
        <v>8188</v>
      </c>
      <c r="AW2359" t="s">
        <v>23018</v>
      </c>
      <c r="AX2359" t="s">
        <v>10403</v>
      </c>
      <c r="AY2359" t="s">
        <v>23018</v>
      </c>
      <c r="AZ2359" t="s">
        <v>23019</v>
      </c>
      <c r="BA2359">
        <v>1</v>
      </c>
      <c r="BB2359">
        <v>88.26</v>
      </c>
      <c r="BC2359">
        <v>5.62</v>
      </c>
      <c r="BD2359">
        <v>12.32</v>
      </c>
      <c r="BE2359">
        <v>10.81</v>
      </c>
      <c r="BF2359">
        <v>9.85</v>
      </c>
      <c r="BG2359" t="s">
        <v>23020</v>
      </c>
      <c r="BH2359" t="s">
        <v>23018</v>
      </c>
      <c r="BI2359" t="s">
        <v>23019</v>
      </c>
      <c r="BJ2359" t="s">
        <v>101</v>
      </c>
      <c r="BK2359" t="s">
        <v>11824</v>
      </c>
      <c r="BL2359" t="s">
        <v>6631</v>
      </c>
      <c r="BN2359" t="s">
        <v>22882</v>
      </c>
    </row>
    <row r="2360" spans="1:66" x14ac:dyDescent="0.25">
      <c r="A2360" t="str">
        <f>HYPERLINK("https://elite.finviz.com/quote.ashx?t=ANGX&amp;ty=c&amp;p=d&amp;b=1", "ANGX")</f>
        <v>ANGX</v>
      </c>
      <c r="B2360">
        <v>5</v>
      </c>
      <c r="C2360">
        <v>126.51</v>
      </c>
      <c r="D2360">
        <v>32.17</v>
      </c>
      <c r="E2360" t="s">
        <v>23021</v>
      </c>
      <c r="F2360" t="s">
        <v>107</v>
      </c>
      <c r="G2360" t="s">
        <v>598</v>
      </c>
      <c r="H2360" t="s">
        <v>4247</v>
      </c>
      <c r="I2360" t="s">
        <v>70</v>
      </c>
      <c r="J2360" t="s">
        <v>71</v>
      </c>
      <c r="K2360">
        <v>383.65</v>
      </c>
      <c r="L2360">
        <v>3.84</v>
      </c>
      <c r="M2360" t="s">
        <v>2998</v>
      </c>
      <c r="N2360">
        <v>417990</v>
      </c>
      <c r="AA2360">
        <v>-1.08</v>
      </c>
      <c r="AK2360" t="s">
        <v>183</v>
      </c>
      <c r="AL2360">
        <v>0.09</v>
      </c>
      <c r="AM2360">
        <v>0.09</v>
      </c>
      <c r="AR2360" t="s">
        <v>8365</v>
      </c>
      <c r="AS2360" t="s">
        <v>23022</v>
      </c>
      <c r="AT2360" t="s">
        <v>11485</v>
      </c>
      <c r="AU2360" t="s">
        <v>3104</v>
      </c>
      <c r="AV2360" t="s">
        <v>16901</v>
      </c>
      <c r="AW2360" t="s">
        <v>18513</v>
      </c>
      <c r="AX2360" t="s">
        <v>9254</v>
      </c>
      <c r="AY2360" t="s">
        <v>18513</v>
      </c>
      <c r="AZ2360" t="s">
        <v>9254</v>
      </c>
      <c r="BA2360">
        <v>1</v>
      </c>
      <c r="BB2360">
        <v>372.66</v>
      </c>
      <c r="BC2360">
        <v>3.95</v>
      </c>
      <c r="BD2360">
        <v>4</v>
      </c>
      <c r="BE2360">
        <v>4.16</v>
      </c>
      <c r="BF2360">
        <v>3.77</v>
      </c>
      <c r="BG2360" t="s">
        <v>23023</v>
      </c>
      <c r="BH2360" t="s">
        <v>18513</v>
      </c>
      <c r="BI2360" t="s">
        <v>9254</v>
      </c>
      <c r="BJ2360" t="s">
        <v>101</v>
      </c>
      <c r="BK2360" t="s">
        <v>23024</v>
      </c>
      <c r="BL2360" t="s">
        <v>23025</v>
      </c>
      <c r="BM2360" t="s">
        <v>14491</v>
      </c>
      <c r="BN2360" t="s">
        <v>22882</v>
      </c>
    </row>
    <row r="2361" spans="1:66" x14ac:dyDescent="0.25">
      <c r="A2361" t="str">
        <f>HYPERLINK("https://elite.finviz.com/quote.ashx?t=INBS&amp;ty=c&amp;p=d&amp;b=1", "INBS")</f>
        <v>INBS</v>
      </c>
      <c r="B2361">
        <v>5</v>
      </c>
      <c r="C2361">
        <v>126.51</v>
      </c>
      <c r="D2361">
        <v>32.32</v>
      </c>
      <c r="E2361" t="s">
        <v>23026</v>
      </c>
      <c r="F2361" t="s">
        <v>107</v>
      </c>
      <c r="G2361" t="s">
        <v>428</v>
      </c>
      <c r="H2361" t="s">
        <v>2051</v>
      </c>
      <c r="I2361" t="s">
        <v>70</v>
      </c>
      <c r="J2361" t="s">
        <v>321</v>
      </c>
      <c r="K2361">
        <v>10.119999999999999</v>
      </c>
      <c r="L2361">
        <v>1.1200000000000001</v>
      </c>
      <c r="M2361" t="s">
        <v>4214</v>
      </c>
      <c r="N2361">
        <v>395352</v>
      </c>
      <c r="R2361">
        <v>3.32</v>
      </c>
      <c r="S2361">
        <v>2.73</v>
      </c>
      <c r="AA2361">
        <v>-2.06</v>
      </c>
      <c r="AB2361" t="s">
        <v>12586</v>
      </c>
      <c r="AC2361" t="s">
        <v>19190</v>
      </c>
      <c r="AE2361" t="s">
        <v>5365</v>
      </c>
      <c r="AH2361" t="s">
        <v>11239</v>
      </c>
      <c r="AJ2361" t="s">
        <v>164</v>
      </c>
      <c r="AK2361" t="s">
        <v>8535</v>
      </c>
      <c r="AL2361">
        <v>0.76</v>
      </c>
      <c r="AM2361">
        <v>0.64</v>
      </c>
      <c r="AN2361">
        <v>0.09</v>
      </c>
      <c r="AO2361" t="s">
        <v>5158</v>
      </c>
      <c r="AP2361" t="s">
        <v>23027</v>
      </c>
      <c r="AQ2361" t="s">
        <v>23028</v>
      </c>
      <c r="AR2361" t="s">
        <v>1771</v>
      </c>
      <c r="AS2361" t="s">
        <v>6225</v>
      </c>
      <c r="AT2361" t="s">
        <v>15227</v>
      </c>
      <c r="AU2361" t="s">
        <v>19714</v>
      </c>
      <c r="AV2361" t="s">
        <v>21982</v>
      </c>
      <c r="AW2361" t="s">
        <v>23029</v>
      </c>
      <c r="AX2361" t="s">
        <v>7794</v>
      </c>
      <c r="AY2361" t="s">
        <v>6103</v>
      </c>
      <c r="AZ2361" t="s">
        <v>4280</v>
      </c>
      <c r="BA2361">
        <v>1</v>
      </c>
      <c r="BB2361">
        <v>208.6</v>
      </c>
      <c r="BC2361">
        <v>6.73</v>
      </c>
      <c r="BD2361">
        <v>1.28</v>
      </c>
      <c r="BE2361">
        <v>1.21</v>
      </c>
      <c r="BF2361">
        <v>1.1200000000000001</v>
      </c>
      <c r="BG2361" t="s">
        <v>23030</v>
      </c>
      <c r="BH2361" t="s">
        <v>5233</v>
      </c>
      <c r="BI2361" t="s">
        <v>1492</v>
      </c>
      <c r="BJ2361" t="s">
        <v>101</v>
      </c>
      <c r="BK2361" t="s">
        <v>20431</v>
      </c>
      <c r="BL2361" t="s">
        <v>23031</v>
      </c>
      <c r="BM2361" t="s">
        <v>23032</v>
      </c>
      <c r="BN2361" t="s">
        <v>22882</v>
      </c>
    </row>
    <row r="2362" spans="1:66" x14ac:dyDescent="0.25">
      <c r="A2362" t="str">
        <f>HYPERLINK("https://elite.finviz.com/quote.ashx?t=DRCT&amp;ty=c&amp;p=d&amp;b=1", "DRCT")</f>
        <v>DRCT</v>
      </c>
      <c r="B2362">
        <v>5</v>
      </c>
      <c r="C2362">
        <v>126.51</v>
      </c>
      <c r="D2362">
        <v>32.44</v>
      </c>
      <c r="E2362" t="s">
        <v>23033</v>
      </c>
      <c r="F2362" t="s">
        <v>107</v>
      </c>
      <c r="G2362" t="s">
        <v>598</v>
      </c>
      <c r="H2362" t="s">
        <v>1020</v>
      </c>
      <c r="I2362" t="s">
        <v>70</v>
      </c>
      <c r="J2362" t="s">
        <v>321</v>
      </c>
      <c r="K2362">
        <v>7.43</v>
      </c>
      <c r="L2362">
        <v>0.33</v>
      </c>
      <c r="M2362" t="s">
        <v>3869</v>
      </c>
      <c r="N2362">
        <v>748293</v>
      </c>
      <c r="R2362">
        <v>0.2</v>
      </c>
      <c r="AA2362">
        <v>-1.83</v>
      </c>
      <c r="AB2362" t="s">
        <v>11618</v>
      </c>
      <c r="AC2362" t="s">
        <v>23034</v>
      </c>
      <c r="AE2362" t="s">
        <v>23035</v>
      </c>
      <c r="AF2362" t="s">
        <v>7255</v>
      </c>
      <c r="AG2362" t="s">
        <v>23036</v>
      </c>
      <c r="AH2362" t="s">
        <v>23037</v>
      </c>
      <c r="AI2362" t="s">
        <v>23038</v>
      </c>
      <c r="AJ2362" t="s">
        <v>18193</v>
      </c>
      <c r="AK2362" t="s">
        <v>5111</v>
      </c>
      <c r="AL2362">
        <v>0.49</v>
      </c>
      <c r="AM2362">
        <v>0.49</v>
      </c>
      <c r="AO2362" t="s">
        <v>8294</v>
      </c>
      <c r="AP2362" t="s">
        <v>23039</v>
      </c>
      <c r="AQ2362" t="s">
        <v>11769</v>
      </c>
      <c r="AR2362" t="s">
        <v>16344</v>
      </c>
      <c r="AS2362" t="s">
        <v>13358</v>
      </c>
      <c r="AT2362" t="s">
        <v>9068</v>
      </c>
      <c r="AU2362" t="s">
        <v>12198</v>
      </c>
      <c r="AV2362" t="s">
        <v>23040</v>
      </c>
      <c r="AW2362" t="s">
        <v>23041</v>
      </c>
      <c r="AX2362" t="s">
        <v>3638</v>
      </c>
      <c r="AY2362" t="s">
        <v>23042</v>
      </c>
      <c r="AZ2362" t="s">
        <v>3638</v>
      </c>
      <c r="BA2362">
        <v>2</v>
      </c>
      <c r="BB2362">
        <v>557.38</v>
      </c>
      <c r="BC2362">
        <v>4.7699999999999996</v>
      </c>
      <c r="BD2362">
        <v>0.36</v>
      </c>
      <c r="BE2362">
        <v>0.37</v>
      </c>
      <c r="BF2362">
        <v>0.32</v>
      </c>
      <c r="BG2362" t="s">
        <v>23043</v>
      </c>
      <c r="BH2362" t="s">
        <v>23044</v>
      </c>
      <c r="BI2362" t="s">
        <v>3638</v>
      </c>
      <c r="BJ2362" t="s">
        <v>101</v>
      </c>
      <c r="BK2362" t="s">
        <v>20729</v>
      </c>
      <c r="BL2362" t="s">
        <v>23045</v>
      </c>
      <c r="BM2362" t="s">
        <v>23046</v>
      </c>
      <c r="BN2362" t="s">
        <v>22882</v>
      </c>
    </row>
    <row r="2363" spans="1:66" x14ac:dyDescent="0.25">
      <c r="A2363" t="str">
        <f>HYPERLINK("https://elite.finviz.com/quote.ashx?t=BNC&amp;ty=c&amp;p=d&amp;b=1", "BNC")</f>
        <v>BNC</v>
      </c>
      <c r="B2363">
        <v>5</v>
      </c>
      <c r="C2363">
        <v>126.51</v>
      </c>
      <c r="D2363">
        <v>32.51</v>
      </c>
      <c r="E2363" t="s">
        <v>23047</v>
      </c>
      <c r="F2363" t="s">
        <v>107</v>
      </c>
      <c r="G2363" t="s">
        <v>260</v>
      </c>
      <c r="H2363" t="s">
        <v>320</v>
      </c>
      <c r="I2363" t="s">
        <v>70</v>
      </c>
      <c r="J2363" t="s">
        <v>321</v>
      </c>
      <c r="K2363">
        <v>331.74</v>
      </c>
      <c r="L2363">
        <v>7.7</v>
      </c>
      <c r="M2363" t="s">
        <v>4494</v>
      </c>
      <c r="N2363">
        <v>316526</v>
      </c>
      <c r="R2363">
        <v>32.909999999999997</v>
      </c>
      <c r="S2363">
        <v>0.96</v>
      </c>
      <c r="AA2363">
        <v>-9.66</v>
      </c>
      <c r="AB2363" t="s">
        <v>17591</v>
      </c>
      <c r="AC2363" t="s">
        <v>2379</v>
      </c>
      <c r="AE2363" t="s">
        <v>2403</v>
      </c>
      <c r="AF2363" t="s">
        <v>17878</v>
      </c>
      <c r="AG2363" t="s">
        <v>11213</v>
      </c>
      <c r="AH2363" t="s">
        <v>2678</v>
      </c>
      <c r="AJ2363" t="s">
        <v>164</v>
      </c>
      <c r="AK2363" t="s">
        <v>8274</v>
      </c>
      <c r="AL2363">
        <v>0.88</v>
      </c>
      <c r="AM2363">
        <v>0.44</v>
      </c>
      <c r="AN2363">
        <v>1.0900000000000001</v>
      </c>
      <c r="AO2363" t="s">
        <v>5050</v>
      </c>
      <c r="AP2363" t="s">
        <v>9616</v>
      </c>
      <c r="AQ2363" t="s">
        <v>23048</v>
      </c>
      <c r="AR2363" t="s">
        <v>5265</v>
      </c>
      <c r="AS2363" t="s">
        <v>10918</v>
      </c>
      <c r="AT2363" t="s">
        <v>23049</v>
      </c>
      <c r="AU2363" t="s">
        <v>23050</v>
      </c>
      <c r="AV2363" t="s">
        <v>15919</v>
      </c>
      <c r="AW2363" t="s">
        <v>23051</v>
      </c>
      <c r="AX2363" t="s">
        <v>3469</v>
      </c>
      <c r="AY2363" t="s">
        <v>23051</v>
      </c>
      <c r="AZ2363" t="s">
        <v>23052</v>
      </c>
      <c r="BA2363">
        <v>1</v>
      </c>
      <c r="BB2363">
        <v>686.14</v>
      </c>
      <c r="BC2363">
        <v>1.63</v>
      </c>
      <c r="BD2363">
        <v>7.69</v>
      </c>
      <c r="BE2363">
        <v>7.99</v>
      </c>
      <c r="BF2363">
        <v>7.6</v>
      </c>
      <c r="BG2363" t="s">
        <v>23053</v>
      </c>
      <c r="BH2363" t="s">
        <v>14593</v>
      </c>
      <c r="BI2363" t="s">
        <v>23054</v>
      </c>
      <c r="BJ2363" t="s">
        <v>101</v>
      </c>
      <c r="BK2363" t="s">
        <v>3162</v>
      </c>
      <c r="BL2363" t="s">
        <v>3315</v>
      </c>
      <c r="BM2363" t="s">
        <v>8015</v>
      </c>
      <c r="BN2363" t="s">
        <v>22882</v>
      </c>
    </row>
    <row r="2364" spans="1:66" x14ac:dyDescent="0.25">
      <c r="A2364" t="str">
        <f>HYPERLINK("https://elite.finviz.com/quote.ashx?t=ESP&amp;ty=c&amp;p=d&amp;b=1", "ESP")</f>
        <v>ESP</v>
      </c>
      <c r="B2364">
        <v>5</v>
      </c>
      <c r="C2364">
        <v>126.51</v>
      </c>
      <c r="D2364">
        <v>33.49</v>
      </c>
      <c r="E2364" t="s">
        <v>23055</v>
      </c>
      <c r="F2364" t="s">
        <v>107</v>
      </c>
      <c r="G2364" t="s">
        <v>260</v>
      </c>
      <c r="H2364" t="s">
        <v>1128</v>
      </c>
      <c r="I2364" t="s">
        <v>70</v>
      </c>
      <c r="J2364" t="s">
        <v>383</v>
      </c>
      <c r="K2364">
        <v>113.12</v>
      </c>
      <c r="L2364">
        <v>38.68</v>
      </c>
      <c r="M2364" t="s">
        <v>149</v>
      </c>
      <c r="N2364">
        <v>22756</v>
      </c>
      <c r="O2364">
        <v>12.89</v>
      </c>
      <c r="R2364">
        <v>2.57</v>
      </c>
      <c r="S2364">
        <v>2.06</v>
      </c>
      <c r="T2364" t="s">
        <v>1560</v>
      </c>
      <c r="U2364">
        <v>0.99</v>
      </c>
      <c r="V2364" t="s">
        <v>7552</v>
      </c>
      <c r="W2364" t="s">
        <v>5784</v>
      </c>
      <c r="Y2364" t="s">
        <v>164</v>
      </c>
      <c r="Z2364" t="s">
        <v>9252</v>
      </c>
      <c r="AA2364">
        <v>3</v>
      </c>
      <c r="AB2364" t="s">
        <v>23056</v>
      </c>
      <c r="AC2364" t="s">
        <v>22737</v>
      </c>
      <c r="AE2364" t="s">
        <v>4390</v>
      </c>
      <c r="AF2364" t="s">
        <v>1652</v>
      </c>
      <c r="AG2364" t="s">
        <v>3566</v>
      </c>
      <c r="AH2364" t="s">
        <v>1622</v>
      </c>
      <c r="AJ2364" t="s">
        <v>7742</v>
      </c>
      <c r="AK2364" t="s">
        <v>9440</v>
      </c>
      <c r="AL2364">
        <v>2.66</v>
      </c>
      <c r="AM2364">
        <v>2.0299999999999998</v>
      </c>
      <c r="AN2364">
        <v>0</v>
      </c>
      <c r="AO2364" t="s">
        <v>19969</v>
      </c>
      <c r="AP2364" t="s">
        <v>15111</v>
      </c>
      <c r="AQ2364" t="s">
        <v>1227</v>
      </c>
      <c r="AR2364" t="s">
        <v>2698</v>
      </c>
      <c r="AS2364" t="s">
        <v>8460</v>
      </c>
      <c r="AT2364" t="s">
        <v>19824</v>
      </c>
      <c r="AU2364" t="s">
        <v>19245</v>
      </c>
      <c r="AV2364" t="s">
        <v>3776</v>
      </c>
      <c r="AW2364" t="s">
        <v>8948</v>
      </c>
      <c r="AX2364" t="s">
        <v>1764</v>
      </c>
      <c r="AY2364" t="s">
        <v>8948</v>
      </c>
      <c r="AZ2364" t="s">
        <v>23057</v>
      </c>
      <c r="BA2364">
        <v>3</v>
      </c>
      <c r="BB2364">
        <v>33.630000000000003</v>
      </c>
      <c r="BC2364">
        <v>2.38</v>
      </c>
      <c r="BD2364">
        <v>38.5</v>
      </c>
      <c r="BE2364">
        <v>39.29</v>
      </c>
      <c r="BF2364">
        <v>37.909999999999997</v>
      </c>
      <c r="BG2364" t="s">
        <v>23058</v>
      </c>
      <c r="BH2364" t="s">
        <v>8948</v>
      </c>
      <c r="BI2364" t="s">
        <v>23059</v>
      </c>
      <c r="BJ2364" t="s">
        <v>101</v>
      </c>
      <c r="BK2364" t="s">
        <v>19919</v>
      </c>
      <c r="BL2364" t="s">
        <v>17181</v>
      </c>
      <c r="BM2364" t="s">
        <v>23060</v>
      </c>
      <c r="BN2364" t="s">
        <v>22882</v>
      </c>
    </row>
    <row r="2365" spans="1:66" x14ac:dyDescent="0.25">
      <c r="A2365" t="str">
        <f>HYPERLINK("https://elite.finviz.com/quote.ashx?t=HFFG&amp;ty=c&amp;p=d&amp;b=1", "HFFG")</f>
        <v>HFFG</v>
      </c>
      <c r="B2365">
        <v>5</v>
      </c>
      <c r="C2365">
        <v>126.51</v>
      </c>
      <c r="D2365">
        <v>33.58</v>
      </c>
      <c r="E2365" t="s">
        <v>23061</v>
      </c>
      <c r="F2365" t="s">
        <v>67</v>
      </c>
      <c r="G2365" t="s">
        <v>2244</v>
      </c>
      <c r="H2365" t="s">
        <v>6825</v>
      </c>
      <c r="I2365" t="s">
        <v>70</v>
      </c>
      <c r="J2365" t="s">
        <v>321</v>
      </c>
      <c r="K2365">
        <v>155.41</v>
      </c>
      <c r="L2365">
        <v>2.83</v>
      </c>
      <c r="M2365" t="s">
        <v>17450</v>
      </c>
      <c r="N2365">
        <v>167659</v>
      </c>
      <c r="P2365">
        <v>7.15</v>
      </c>
      <c r="R2365">
        <v>0.13</v>
      </c>
      <c r="S2365">
        <v>0.62</v>
      </c>
      <c r="AA2365">
        <v>-0.92</v>
      </c>
      <c r="AE2365" t="s">
        <v>2107</v>
      </c>
      <c r="AF2365" t="s">
        <v>4108</v>
      </c>
      <c r="AG2365" t="s">
        <v>927</v>
      </c>
      <c r="AH2365" t="s">
        <v>2484</v>
      </c>
      <c r="AI2365" t="s">
        <v>20131</v>
      </c>
      <c r="AJ2365" t="s">
        <v>629</v>
      </c>
      <c r="AK2365" t="s">
        <v>6316</v>
      </c>
      <c r="AL2365">
        <v>1.19</v>
      </c>
      <c r="AM2365">
        <v>0.42</v>
      </c>
      <c r="AN2365">
        <v>0.99</v>
      </c>
      <c r="AO2365" t="s">
        <v>1561</v>
      </c>
      <c r="AP2365" t="s">
        <v>3761</v>
      </c>
      <c r="AQ2365" t="s">
        <v>3665</v>
      </c>
      <c r="AR2365" t="s">
        <v>5620</v>
      </c>
      <c r="AS2365" t="s">
        <v>2523</v>
      </c>
      <c r="AT2365" t="s">
        <v>779</v>
      </c>
      <c r="AU2365" t="s">
        <v>508</v>
      </c>
      <c r="AV2365" t="s">
        <v>16941</v>
      </c>
      <c r="AW2365" t="s">
        <v>23062</v>
      </c>
      <c r="AX2365" t="s">
        <v>3141</v>
      </c>
      <c r="AY2365" t="s">
        <v>10974</v>
      </c>
      <c r="AZ2365" t="s">
        <v>20339</v>
      </c>
      <c r="BA2365">
        <v>1</v>
      </c>
      <c r="BB2365">
        <v>78.41</v>
      </c>
      <c r="BC2365">
        <v>7.6</v>
      </c>
      <c r="BD2365">
        <v>3.38</v>
      </c>
      <c r="BE2365">
        <v>3.11</v>
      </c>
      <c r="BF2365">
        <v>2.8</v>
      </c>
      <c r="BG2365" t="s">
        <v>23063</v>
      </c>
      <c r="BH2365" t="s">
        <v>23064</v>
      </c>
      <c r="BI2365" t="s">
        <v>20339</v>
      </c>
      <c r="BJ2365" t="s">
        <v>101</v>
      </c>
      <c r="BK2365" t="s">
        <v>15299</v>
      </c>
      <c r="BL2365" t="s">
        <v>23065</v>
      </c>
      <c r="BM2365" t="s">
        <v>12528</v>
      </c>
      <c r="BN2365" t="s">
        <v>22882</v>
      </c>
    </row>
    <row r="2366" spans="1:66" x14ac:dyDescent="0.25">
      <c r="A2366" t="str">
        <f>HYPERLINK("https://elite.finviz.com/quote.ashx?t=SLRC&amp;ty=c&amp;p=d&amp;b=1", "SLRC")</f>
        <v>SLRC</v>
      </c>
      <c r="B2366">
        <v>5</v>
      </c>
      <c r="C2366">
        <v>126.51</v>
      </c>
      <c r="D2366">
        <v>33.6</v>
      </c>
      <c r="E2366" t="s">
        <v>23066</v>
      </c>
      <c r="F2366" t="s">
        <v>107</v>
      </c>
      <c r="G2366" t="s">
        <v>550</v>
      </c>
      <c r="H2366" t="s">
        <v>2597</v>
      </c>
      <c r="I2366" t="s">
        <v>70</v>
      </c>
      <c r="J2366" t="s">
        <v>321</v>
      </c>
      <c r="K2366">
        <v>848.86</v>
      </c>
      <c r="L2366">
        <v>15.56</v>
      </c>
      <c r="M2366" t="s">
        <v>4494</v>
      </c>
      <c r="N2366">
        <v>99070</v>
      </c>
      <c r="O2366">
        <v>9.5500000000000007</v>
      </c>
      <c r="P2366">
        <v>9.5299999999999994</v>
      </c>
      <c r="R2366">
        <v>3.82</v>
      </c>
      <c r="S2366">
        <v>0.86</v>
      </c>
      <c r="T2366" t="s">
        <v>2376</v>
      </c>
      <c r="U2366">
        <v>1.64</v>
      </c>
      <c r="V2366" t="s">
        <v>2620</v>
      </c>
      <c r="W2366" t="s">
        <v>2906</v>
      </c>
      <c r="X2366" t="s">
        <v>164</v>
      </c>
      <c r="Y2366" t="s">
        <v>164</v>
      </c>
      <c r="Z2366" t="s">
        <v>23067</v>
      </c>
      <c r="AA2366">
        <v>1.63</v>
      </c>
      <c r="AH2366" t="s">
        <v>5205</v>
      </c>
      <c r="AI2366" t="s">
        <v>4436</v>
      </c>
      <c r="AJ2366" t="s">
        <v>1657</v>
      </c>
      <c r="AK2366" t="s">
        <v>10507</v>
      </c>
      <c r="AR2366" t="s">
        <v>2424</v>
      </c>
      <c r="AS2366" t="s">
        <v>1025</v>
      </c>
      <c r="AT2366" t="s">
        <v>5273</v>
      </c>
      <c r="AU2366" t="s">
        <v>2827</v>
      </c>
      <c r="AV2366" t="s">
        <v>786</v>
      </c>
      <c r="AW2366" t="s">
        <v>14355</v>
      </c>
      <c r="AX2366" t="s">
        <v>6117</v>
      </c>
      <c r="AY2366" t="s">
        <v>8333</v>
      </c>
      <c r="AZ2366" t="s">
        <v>2711</v>
      </c>
      <c r="BB2366">
        <v>188.49</v>
      </c>
      <c r="BC2366">
        <v>1.85</v>
      </c>
      <c r="BD2366">
        <v>15.54</v>
      </c>
      <c r="BE2366">
        <v>15.67</v>
      </c>
      <c r="BF2366">
        <v>15.47</v>
      </c>
      <c r="BG2366" t="s">
        <v>23068</v>
      </c>
      <c r="BH2366" t="s">
        <v>23069</v>
      </c>
      <c r="BI2366" t="s">
        <v>23070</v>
      </c>
      <c r="BJ2366" t="s">
        <v>101</v>
      </c>
      <c r="BK2366" t="s">
        <v>5928</v>
      </c>
      <c r="BL2366" t="s">
        <v>19766</v>
      </c>
      <c r="BM2366" t="s">
        <v>4956</v>
      </c>
      <c r="BN2366" t="s">
        <v>22882</v>
      </c>
    </row>
    <row r="2367" spans="1:66" x14ac:dyDescent="0.25">
      <c r="A2367" t="str">
        <f>HYPERLINK("https://elite.finviz.com/quote.ashx?t=PETS&amp;ty=c&amp;p=d&amp;b=1", "PETS")</f>
        <v>PETS</v>
      </c>
      <c r="B2367">
        <v>5</v>
      </c>
      <c r="C2367">
        <v>126.51</v>
      </c>
      <c r="D2367">
        <v>33.72</v>
      </c>
      <c r="E2367" t="s">
        <v>23071</v>
      </c>
      <c r="F2367" t="s">
        <v>107</v>
      </c>
      <c r="G2367" t="s">
        <v>428</v>
      </c>
      <c r="H2367" t="s">
        <v>12332</v>
      </c>
      <c r="I2367" t="s">
        <v>70</v>
      </c>
      <c r="J2367" t="s">
        <v>321</v>
      </c>
      <c r="K2367">
        <v>54.74</v>
      </c>
      <c r="L2367">
        <v>2.65</v>
      </c>
      <c r="M2367" t="s">
        <v>164</v>
      </c>
      <c r="N2367">
        <v>175361</v>
      </c>
      <c r="O2367">
        <v>247.66</v>
      </c>
      <c r="R2367">
        <v>0.22</v>
      </c>
      <c r="S2367">
        <v>0.56999999999999995</v>
      </c>
      <c r="V2367" t="s">
        <v>23072</v>
      </c>
      <c r="AA2367">
        <v>0.01</v>
      </c>
      <c r="AE2367" t="s">
        <v>6205</v>
      </c>
      <c r="AF2367" t="s">
        <v>7907</v>
      </c>
      <c r="AG2367" t="s">
        <v>1554</v>
      </c>
      <c r="AH2367" t="s">
        <v>18228</v>
      </c>
      <c r="AI2367" t="s">
        <v>23073</v>
      </c>
      <c r="AJ2367" t="s">
        <v>215</v>
      </c>
      <c r="AK2367" t="s">
        <v>5156</v>
      </c>
      <c r="AL2367">
        <v>1.43</v>
      </c>
      <c r="AM2367">
        <v>1.18</v>
      </c>
      <c r="AN2367">
        <v>0.01</v>
      </c>
      <c r="AO2367" t="s">
        <v>2970</v>
      </c>
      <c r="AP2367" t="s">
        <v>822</v>
      </c>
      <c r="AQ2367" t="s">
        <v>3358</v>
      </c>
      <c r="AR2367" t="s">
        <v>4892</v>
      </c>
      <c r="AS2367" t="s">
        <v>2233</v>
      </c>
      <c r="AT2367" t="s">
        <v>9412</v>
      </c>
      <c r="AU2367" t="s">
        <v>19383</v>
      </c>
      <c r="AV2367" t="s">
        <v>6279</v>
      </c>
      <c r="AW2367" t="s">
        <v>14856</v>
      </c>
      <c r="AX2367" t="s">
        <v>1488</v>
      </c>
      <c r="AY2367" t="s">
        <v>23074</v>
      </c>
      <c r="AZ2367" t="s">
        <v>1488</v>
      </c>
      <c r="BA2367">
        <v>5</v>
      </c>
      <c r="BB2367">
        <v>136.32</v>
      </c>
      <c r="BC2367">
        <v>4.57</v>
      </c>
      <c r="BD2367">
        <v>2.65</v>
      </c>
      <c r="BE2367">
        <v>2.66</v>
      </c>
      <c r="BF2367">
        <v>2.62</v>
      </c>
      <c r="BG2367" t="s">
        <v>23075</v>
      </c>
      <c r="BH2367" t="s">
        <v>23076</v>
      </c>
      <c r="BI2367" t="s">
        <v>23077</v>
      </c>
      <c r="BJ2367" t="s">
        <v>101</v>
      </c>
      <c r="BK2367" t="s">
        <v>19672</v>
      </c>
      <c r="BL2367" t="s">
        <v>11041</v>
      </c>
      <c r="BM2367" t="s">
        <v>16656</v>
      </c>
      <c r="BN2367" t="s">
        <v>22882</v>
      </c>
    </row>
    <row r="2368" spans="1:66" x14ac:dyDescent="0.25">
      <c r="A2368" t="str">
        <f>HYPERLINK("https://elite.finviz.com/quote.ashx?t=CELU&amp;ty=c&amp;p=d&amp;b=1", "CELU")</f>
        <v>CELU</v>
      </c>
      <c r="B2368">
        <v>5</v>
      </c>
      <c r="C2368">
        <v>126.51</v>
      </c>
      <c r="D2368">
        <v>34.200000000000003</v>
      </c>
      <c r="E2368" t="s">
        <v>23078</v>
      </c>
      <c r="F2368" t="s">
        <v>107</v>
      </c>
      <c r="G2368" t="s">
        <v>428</v>
      </c>
      <c r="H2368" t="s">
        <v>429</v>
      </c>
      <c r="I2368" t="s">
        <v>70</v>
      </c>
      <c r="J2368" t="s">
        <v>321</v>
      </c>
      <c r="K2368">
        <v>54.45</v>
      </c>
      <c r="L2368">
        <v>2.04</v>
      </c>
      <c r="M2368" t="s">
        <v>164</v>
      </c>
      <c r="N2368">
        <v>756729</v>
      </c>
      <c r="R2368">
        <v>1.22</v>
      </c>
      <c r="AA2368">
        <v>-3.19</v>
      </c>
      <c r="AB2368" t="s">
        <v>1230</v>
      </c>
      <c r="AE2368" t="s">
        <v>3480</v>
      </c>
      <c r="AF2368" t="s">
        <v>7053</v>
      </c>
      <c r="AH2368" t="s">
        <v>23079</v>
      </c>
      <c r="AI2368" t="s">
        <v>18204</v>
      </c>
      <c r="AJ2368" t="s">
        <v>164</v>
      </c>
      <c r="AK2368" t="s">
        <v>9864</v>
      </c>
      <c r="AL2368">
        <v>0.25</v>
      </c>
      <c r="AM2368">
        <v>0.19</v>
      </c>
      <c r="AO2368" t="s">
        <v>17176</v>
      </c>
      <c r="AP2368" t="s">
        <v>23080</v>
      </c>
      <c r="AQ2368" t="s">
        <v>23081</v>
      </c>
      <c r="AR2368" t="s">
        <v>6421</v>
      </c>
      <c r="AS2368" t="s">
        <v>9187</v>
      </c>
      <c r="AT2368" t="s">
        <v>10227</v>
      </c>
      <c r="AU2368" t="s">
        <v>23082</v>
      </c>
      <c r="AV2368" t="s">
        <v>10586</v>
      </c>
      <c r="AW2368" t="s">
        <v>22480</v>
      </c>
      <c r="AX2368" t="s">
        <v>4956</v>
      </c>
      <c r="AY2368" t="s">
        <v>23083</v>
      </c>
      <c r="AZ2368" t="s">
        <v>23084</v>
      </c>
      <c r="BA2368">
        <v>2</v>
      </c>
      <c r="BB2368">
        <v>261.56</v>
      </c>
      <c r="BC2368">
        <v>10.19</v>
      </c>
      <c r="BD2368">
        <v>2.04</v>
      </c>
      <c r="BE2368">
        <v>2.0699999999999998</v>
      </c>
      <c r="BF2368">
        <v>1.97</v>
      </c>
      <c r="BG2368" t="s">
        <v>23085</v>
      </c>
      <c r="BH2368" t="s">
        <v>18692</v>
      </c>
      <c r="BI2368" t="s">
        <v>23084</v>
      </c>
      <c r="BJ2368" t="s">
        <v>101</v>
      </c>
      <c r="BK2368" t="s">
        <v>4409</v>
      </c>
      <c r="BL2368" t="s">
        <v>1736</v>
      </c>
      <c r="BM2368" t="s">
        <v>15564</v>
      </c>
      <c r="BN2368" t="s">
        <v>22882</v>
      </c>
    </row>
    <row r="2369" spans="1:66" x14ac:dyDescent="0.25">
      <c r="A2369" t="str">
        <f>HYPERLINK("https://elite.finviz.com/quote.ashx?t=FGNX&amp;ty=c&amp;p=d&amp;b=1", "FGNX")</f>
        <v>FGNX</v>
      </c>
      <c r="B2369">
        <v>5</v>
      </c>
      <c r="C2369">
        <v>126.51</v>
      </c>
      <c r="D2369">
        <v>34.29</v>
      </c>
      <c r="E2369" t="s">
        <v>23086</v>
      </c>
      <c r="F2369" t="s">
        <v>107</v>
      </c>
      <c r="G2369" t="s">
        <v>550</v>
      </c>
      <c r="H2369" t="s">
        <v>2597</v>
      </c>
      <c r="I2369" t="s">
        <v>70</v>
      </c>
      <c r="J2369" t="s">
        <v>321</v>
      </c>
      <c r="K2369">
        <v>214.25</v>
      </c>
      <c r="L2369">
        <v>6.06</v>
      </c>
      <c r="M2369" t="s">
        <v>16666</v>
      </c>
      <c r="N2369">
        <v>302165</v>
      </c>
      <c r="O2369">
        <v>1.59</v>
      </c>
      <c r="R2369">
        <v>5.68</v>
      </c>
      <c r="S2369">
        <v>0.17</v>
      </c>
      <c r="AA2369">
        <v>3.8</v>
      </c>
      <c r="AB2369" t="s">
        <v>23087</v>
      </c>
      <c r="AC2369" t="s">
        <v>12019</v>
      </c>
      <c r="AE2369" t="s">
        <v>7512</v>
      </c>
      <c r="AF2369" t="s">
        <v>23088</v>
      </c>
      <c r="AG2369" t="s">
        <v>5502</v>
      </c>
      <c r="AH2369" t="s">
        <v>3173</v>
      </c>
      <c r="AJ2369" t="s">
        <v>4437</v>
      </c>
      <c r="AL2369">
        <v>6.12</v>
      </c>
      <c r="AN2369">
        <v>0.05</v>
      </c>
      <c r="AP2369" t="s">
        <v>19919</v>
      </c>
      <c r="AQ2369" t="s">
        <v>3687</v>
      </c>
      <c r="AR2369" t="s">
        <v>14309</v>
      </c>
      <c r="AS2369" t="s">
        <v>2948</v>
      </c>
      <c r="AT2369" t="s">
        <v>19054</v>
      </c>
      <c r="AU2369" t="s">
        <v>23089</v>
      </c>
      <c r="AV2369" t="s">
        <v>23090</v>
      </c>
      <c r="AW2369" t="s">
        <v>8223</v>
      </c>
      <c r="AX2369" t="s">
        <v>2331</v>
      </c>
      <c r="AY2369" t="s">
        <v>8223</v>
      </c>
      <c r="AZ2369" t="s">
        <v>2331</v>
      </c>
      <c r="BA2369">
        <v>1</v>
      </c>
      <c r="BB2369">
        <v>347.47</v>
      </c>
      <c r="BC2369">
        <v>3.06</v>
      </c>
      <c r="BD2369">
        <v>6.65</v>
      </c>
      <c r="BE2369">
        <v>6.07</v>
      </c>
      <c r="BF2369">
        <v>5.75</v>
      </c>
      <c r="BG2369" t="s">
        <v>23091</v>
      </c>
      <c r="BH2369" t="s">
        <v>23092</v>
      </c>
      <c r="BI2369" t="s">
        <v>2331</v>
      </c>
      <c r="BJ2369" t="s">
        <v>101</v>
      </c>
      <c r="BK2369" t="s">
        <v>17534</v>
      </c>
      <c r="BL2369" t="s">
        <v>23093</v>
      </c>
      <c r="BM2369" t="s">
        <v>23094</v>
      </c>
      <c r="BN2369" t="s">
        <v>22882</v>
      </c>
    </row>
    <row r="2370" spans="1:66" x14ac:dyDescent="0.25">
      <c r="A2370" t="str">
        <f>HYPERLINK("https://elite.finviz.com/quote.ashx?t=GLSI&amp;ty=c&amp;p=d&amp;b=1", "GLSI")</f>
        <v>GLSI</v>
      </c>
      <c r="B2370">
        <v>5</v>
      </c>
      <c r="C2370">
        <v>126.51</v>
      </c>
      <c r="D2370">
        <v>34.65</v>
      </c>
      <c r="E2370" t="s">
        <v>23095</v>
      </c>
      <c r="F2370" t="s">
        <v>67</v>
      </c>
      <c r="G2370" t="s">
        <v>428</v>
      </c>
      <c r="H2370" t="s">
        <v>429</v>
      </c>
      <c r="I2370" t="s">
        <v>70</v>
      </c>
      <c r="J2370" t="s">
        <v>321</v>
      </c>
      <c r="K2370">
        <v>136.58000000000001</v>
      </c>
      <c r="L2370">
        <v>10.02</v>
      </c>
      <c r="M2370" t="s">
        <v>308</v>
      </c>
      <c r="N2370">
        <v>59850</v>
      </c>
      <c r="S2370">
        <v>93.79</v>
      </c>
      <c r="AA2370">
        <v>-1.36</v>
      </c>
      <c r="AB2370" t="s">
        <v>22948</v>
      </c>
      <c r="AC2370" t="s">
        <v>23096</v>
      </c>
      <c r="AD2370" t="s">
        <v>134</v>
      </c>
      <c r="AI2370" t="s">
        <v>1427</v>
      </c>
      <c r="AJ2370" t="s">
        <v>6182</v>
      </c>
      <c r="AK2370" t="s">
        <v>1228</v>
      </c>
      <c r="AL2370">
        <v>1.85</v>
      </c>
      <c r="AM2370">
        <v>1.85</v>
      </c>
      <c r="AN2370">
        <v>0</v>
      </c>
      <c r="AR2370" t="s">
        <v>5527</v>
      </c>
      <c r="AS2370" t="s">
        <v>4907</v>
      </c>
      <c r="AT2370" t="s">
        <v>13438</v>
      </c>
      <c r="AU2370" t="s">
        <v>303</v>
      </c>
      <c r="AV2370" t="s">
        <v>613</v>
      </c>
      <c r="AW2370" t="s">
        <v>6144</v>
      </c>
      <c r="AX2370" t="s">
        <v>5686</v>
      </c>
      <c r="AY2370" t="s">
        <v>17220</v>
      </c>
      <c r="AZ2370" t="s">
        <v>16827</v>
      </c>
      <c r="BA2370">
        <v>1</v>
      </c>
      <c r="BB2370">
        <v>68.319999999999993</v>
      </c>
      <c r="BC2370">
        <v>3.09</v>
      </c>
      <c r="BD2370">
        <v>10.42</v>
      </c>
      <c r="BE2370">
        <v>10.3</v>
      </c>
      <c r="BF2370">
        <v>9.76</v>
      </c>
      <c r="BG2370" t="s">
        <v>23097</v>
      </c>
      <c r="BH2370" t="s">
        <v>2852</v>
      </c>
      <c r="BI2370" t="s">
        <v>23098</v>
      </c>
      <c r="BJ2370" t="s">
        <v>101</v>
      </c>
      <c r="BK2370" t="s">
        <v>292</v>
      </c>
      <c r="BL2370" t="s">
        <v>7383</v>
      </c>
      <c r="BM2370" t="s">
        <v>23099</v>
      </c>
      <c r="BN2370" t="s">
        <v>22882</v>
      </c>
    </row>
    <row r="2371" spans="1:66" x14ac:dyDescent="0.25">
      <c r="A2371" t="str">
        <f>HYPERLINK("https://elite.finviz.com/quote.ashx?t=FCNCA&amp;ty=c&amp;p=d&amp;b=1", "FCNCA")</f>
        <v>FCNCA</v>
      </c>
      <c r="B2371">
        <v>5</v>
      </c>
      <c r="C2371">
        <v>126.51</v>
      </c>
      <c r="D2371">
        <v>35.1</v>
      </c>
      <c r="E2371" t="s">
        <v>23100</v>
      </c>
      <c r="F2371" t="s">
        <v>107</v>
      </c>
      <c r="G2371" t="s">
        <v>550</v>
      </c>
      <c r="H2371" t="s">
        <v>697</v>
      </c>
      <c r="I2371" t="s">
        <v>70</v>
      </c>
      <c r="J2371" t="s">
        <v>321</v>
      </c>
      <c r="K2371">
        <v>23140.49</v>
      </c>
      <c r="L2371">
        <v>1808.01</v>
      </c>
      <c r="M2371" t="s">
        <v>10774</v>
      </c>
      <c r="N2371">
        <v>129121</v>
      </c>
      <c r="O2371">
        <v>10.67</v>
      </c>
      <c r="P2371">
        <v>9.65</v>
      </c>
      <c r="Q2371">
        <v>3.42</v>
      </c>
      <c r="R2371">
        <v>1.58</v>
      </c>
      <c r="S2371">
        <v>1.1000000000000001</v>
      </c>
      <c r="T2371" t="s">
        <v>8228</v>
      </c>
      <c r="U2371">
        <v>7.8</v>
      </c>
      <c r="V2371" t="s">
        <v>4882</v>
      </c>
      <c r="W2371" t="s">
        <v>23101</v>
      </c>
      <c r="X2371" t="s">
        <v>8828</v>
      </c>
      <c r="Y2371" t="s">
        <v>13504</v>
      </c>
      <c r="Z2371" t="s">
        <v>3613</v>
      </c>
      <c r="AA2371">
        <v>169.44</v>
      </c>
      <c r="AB2371" t="s">
        <v>4260</v>
      </c>
      <c r="AC2371" t="s">
        <v>23102</v>
      </c>
      <c r="AD2371" t="s">
        <v>6104</v>
      </c>
      <c r="AE2371" t="s">
        <v>6838</v>
      </c>
      <c r="AF2371" t="s">
        <v>13009</v>
      </c>
      <c r="AG2371" t="s">
        <v>20988</v>
      </c>
      <c r="AH2371" t="s">
        <v>5650</v>
      </c>
      <c r="AI2371" t="s">
        <v>2291</v>
      </c>
      <c r="AJ2371" t="s">
        <v>4237</v>
      </c>
      <c r="AK2371" t="s">
        <v>8173</v>
      </c>
      <c r="AL2371">
        <v>0.25</v>
      </c>
      <c r="AN2371">
        <v>1.73</v>
      </c>
      <c r="AP2371" t="s">
        <v>4693</v>
      </c>
      <c r="AQ2371" t="s">
        <v>10359</v>
      </c>
      <c r="AR2371" t="s">
        <v>295</v>
      </c>
      <c r="AS2371" t="s">
        <v>2361</v>
      </c>
      <c r="AT2371" t="s">
        <v>701</v>
      </c>
      <c r="AU2371" t="s">
        <v>3408</v>
      </c>
      <c r="AV2371" t="s">
        <v>5138</v>
      </c>
      <c r="AW2371" t="s">
        <v>1056</v>
      </c>
      <c r="AX2371" t="s">
        <v>5577</v>
      </c>
      <c r="AY2371" t="s">
        <v>19955</v>
      </c>
      <c r="AZ2371" t="s">
        <v>9051</v>
      </c>
      <c r="BA2371">
        <v>1.94</v>
      </c>
      <c r="BB2371">
        <v>130.81</v>
      </c>
      <c r="BC2371">
        <v>3.48</v>
      </c>
      <c r="BD2371">
        <v>1864.3</v>
      </c>
      <c r="BE2371">
        <v>1879.41</v>
      </c>
      <c r="BF2371">
        <v>1816.3</v>
      </c>
      <c r="BG2371" t="s">
        <v>23103</v>
      </c>
      <c r="BH2371" t="s">
        <v>19955</v>
      </c>
      <c r="BI2371" t="s">
        <v>23104</v>
      </c>
      <c r="BJ2371" t="s">
        <v>101</v>
      </c>
      <c r="BK2371" t="s">
        <v>16867</v>
      </c>
      <c r="BL2371" t="s">
        <v>2870</v>
      </c>
      <c r="BM2371" t="s">
        <v>3328</v>
      </c>
      <c r="BN2371" t="s">
        <v>22882</v>
      </c>
    </row>
    <row r="2372" spans="1:66" x14ac:dyDescent="0.25">
      <c r="A2372" t="str">
        <f>HYPERLINK("https://elite.finviz.com/quote.ashx?t=JYNT&amp;ty=c&amp;p=d&amp;b=1", "JYNT")</f>
        <v>JYNT</v>
      </c>
      <c r="B2372">
        <v>5</v>
      </c>
      <c r="C2372">
        <v>126.51</v>
      </c>
      <c r="D2372">
        <v>36.119999999999997</v>
      </c>
      <c r="E2372" t="s">
        <v>23105</v>
      </c>
      <c r="F2372" t="s">
        <v>67</v>
      </c>
      <c r="G2372" t="s">
        <v>428</v>
      </c>
      <c r="H2372" t="s">
        <v>3160</v>
      </c>
      <c r="I2372" t="s">
        <v>70</v>
      </c>
      <c r="J2372" t="s">
        <v>321</v>
      </c>
      <c r="K2372">
        <v>150.13</v>
      </c>
      <c r="L2372">
        <v>9.7799999999999994</v>
      </c>
      <c r="M2372" t="s">
        <v>2331</v>
      </c>
      <c r="N2372">
        <v>38292</v>
      </c>
      <c r="P2372">
        <v>27.18</v>
      </c>
      <c r="R2372">
        <v>2.11</v>
      </c>
      <c r="S2372">
        <v>6.46</v>
      </c>
      <c r="AA2372">
        <v>-0.14000000000000001</v>
      </c>
      <c r="AE2372" t="s">
        <v>6580</v>
      </c>
      <c r="AF2372" t="s">
        <v>17165</v>
      </c>
      <c r="AG2372" t="s">
        <v>3550</v>
      </c>
      <c r="AH2372" t="s">
        <v>23106</v>
      </c>
      <c r="AI2372" t="s">
        <v>14477</v>
      </c>
      <c r="AJ2372" t="s">
        <v>1599</v>
      </c>
      <c r="AK2372" t="s">
        <v>23107</v>
      </c>
      <c r="AL2372">
        <v>1.77</v>
      </c>
      <c r="AM2372">
        <v>1.77</v>
      </c>
      <c r="AN2372">
        <v>0.09</v>
      </c>
      <c r="AO2372" t="s">
        <v>23108</v>
      </c>
      <c r="AP2372" t="s">
        <v>2290</v>
      </c>
      <c r="AQ2372" t="s">
        <v>3640</v>
      </c>
      <c r="AR2372" t="s">
        <v>975</v>
      </c>
      <c r="AS2372" t="s">
        <v>4547</v>
      </c>
      <c r="AT2372" t="s">
        <v>8358</v>
      </c>
      <c r="AU2372" t="s">
        <v>8970</v>
      </c>
      <c r="AV2372" t="s">
        <v>7543</v>
      </c>
      <c r="AW2372" t="s">
        <v>19748</v>
      </c>
      <c r="AX2372" t="s">
        <v>698</v>
      </c>
      <c r="AY2372" t="s">
        <v>7482</v>
      </c>
      <c r="AZ2372" t="s">
        <v>4891</v>
      </c>
      <c r="BA2372">
        <v>1.8</v>
      </c>
      <c r="BB2372">
        <v>71.02</v>
      </c>
      <c r="BC2372">
        <v>1.9</v>
      </c>
      <c r="BD2372">
        <v>9.85</v>
      </c>
      <c r="BE2372">
        <v>9.91</v>
      </c>
      <c r="BF2372">
        <v>9.76</v>
      </c>
      <c r="BG2372" t="s">
        <v>23109</v>
      </c>
      <c r="BH2372" t="s">
        <v>23110</v>
      </c>
      <c r="BI2372" t="s">
        <v>23111</v>
      </c>
      <c r="BJ2372" t="s">
        <v>101</v>
      </c>
      <c r="BK2372" t="s">
        <v>2088</v>
      </c>
      <c r="BL2372" t="s">
        <v>23112</v>
      </c>
      <c r="BM2372" t="s">
        <v>6191</v>
      </c>
      <c r="BN2372" t="s">
        <v>22882</v>
      </c>
    </row>
    <row r="2373" spans="1:66" x14ac:dyDescent="0.25">
      <c r="A2373" t="str">
        <f>HYPERLINK("https://elite.finviz.com/quote.ashx?t=GPI&amp;ty=c&amp;p=d&amp;b=1", "GPI")</f>
        <v>GPI</v>
      </c>
      <c r="B2373">
        <v>5</v>
      </c>
      <c r="C2373">
        <v>126.51</v>
      </c>
      <c r="D2373">
        <v>36.99</v>
      </c>
      <c r="E2373" t="s">
        <v>23113</v>
      </c>
      <c r="F2373" t="s">
        <v>67</v>
      </c>
      <c r="G2373" t="s">
        <v>813</v>
      </c>
      <c r="H2373" t="s">
        <v>5888</v>
      </c>
      <c r="I2373" t="s">
        <v>70</v>
      </c>
      <c r="J2373" t="s">
        <v>71</v>
      </c>
      <c r="K2373">
        <v>5627.2</v>
      </c>
      <c r="L2373">
        <v>434.88</v>
      </c>
      <c r="M2373" t="s">
        <v>4191</v>
      </c>
      <c r="N2373">
        <v>96895</v>
      </c>
      <c r="O2373">
        <v>12.05</v>
      </c>
      <c r="P2373">
        <v>9.61</v>
      </c>
      <c r="Q2373">
        <v>1.73</v>
      </c>
      <c r="R2373">
        <v>0.26</v>
      </c>
      <c r="S2373">
        <v>1.79</v>
      </c>
      <c r="T2373" t="s">
        <v>8228</v>
      </c>
      <c r="U2373">
        <v>1.97</v>
      </c>
      <c r="V2373" t="s">
        <v>2187</v>
      </c>
      <c r="W2373" t="s">
        <v>2810</v>
      </c>
      <c r="X2373" t="s">
        <v>13830</v>
      </c>
      <c r="Y2373" t="s">
        <v>330</v>
      </c>
      <c r="Z2373" t="s">
        <v>7453</v>
      </c>
      <c r="AA2373">
        <v>36.1</v>
      </c>
      <c r="AB2373" t="s">
        <v>1215</v>
      </c>
      <c r="AC2373" t="s">
        <v>23114</v>
      </c>
      <c r="AD2373" t="s">
        <v>2585</v>
      </c>
      <c r="AE2373" t="s">
        <v>3413</v>
      </c>
      <c r="AF2373" t="s">
        <v>10380</v>
      </c>
      <c r="AG2373" t="s">
        <v>6315</v>
      </c>
      <c r="AH2373" t="s">
        <v>3858</v>
      </c>
      <c r="AI2373" t="s">
        <v>10793</v>
      </c>
      <c r="AJ2373" t="s">
        <v>3114</v>
      </c>
      <c r="AK2373" t="s">
        <v>23115</v>
      </c>
      <c r="AL2373">
        <v>1.05</v>
      </c>
      <c r="AM2373">
        <v>0.24</v>
      </c>
      <c r="AN2373">
        <v>1.74</v>
      </c>
      <c r="AO2373" t="s">
        <v>1552</v>
      </c>
      <c r="AP2373" t="s">
        <v>2842</v>
      </c>
      <c r="AQ2373" t="s">
        <v>2430</v>
      </c>
      <c r="AR2373" t="s">
        <v>451</v>
      </c>
      <c r="AS2373" t="s">
        <v>4216</v>
      </c>
      <c r="AT2373" t="s">
        <v>14744</v>
      </c>
      <c r="AU2373" t="s">
        <v>4367</v>
      </c>
      <c r="AV2373" t="s">
        <v>4539</v>
      </c>
      <c r="AW2373" t="s">
        <v>16522</v>
      </c>
      <c r="AX2373" t="s">
        <v>11639</v>
      </c>
      <c r="AY2373" t="s">
        <v>6266</v>
      </c>
      <c r="AZ2373" t="s">
        <v>19673</v>
      </c>
      <c r="BA2373">
        <v>2.1800000000000002</v>
      </c>
      <c r="BB2373">
        <v>176.23</v>
      </c>
      <c r="BC2373">
        <v>1.94</v>
      </c>
      <c r="BD2373">
        <v>435.83</v>
      </c>
      <c r="BE2373">
        <v>439.07</v>
      </c>
      <c r="BF2373">
        <v>433.2</v>
      </c>
      <c r="BG2373" t="s">
        <v>23116</v>
      </c>
      <c r="BH2373" t="s">
        <v>6266</v>
      </c>
      <c r="BI2373" t="s">
        <v>23117</v>
      </c>
      <c r="BJ2373" t="s">
        <v>101</v>
      </c>
      <c r="BK2373" t="s">
        <v>2899</v>
      </c>
      <c r="BL2373" t="s">
        <v>5227</v>
      </c>
      <c r="BM2373" t="s">
        <v>8059</v>
      </c>
      <c r="BN2373" t="s">
        <v>22882</v>
      </c>
    </row>
    <row r="2374" spans="1:66" x14ac:dyDescent="0.25">
      <c r="A2374" t="str">
        <f>HYPERLINK("https://elite.finviz.com/quote.ashx?t=LPCN&amp;ty=c&amp;p=d&amp;b=1", "LPCN")</f>
        <v>LPCN</v>
      </c>
      <c r="B2374">
        <v>5</v>
      </c>
      <c r="C2374">
        <v>126.51</v>
      </c>
      <c r="D2374">
        <v>37.04</v>
      </c>
      <c r="E2374" t="s">
        <v>23118</v>
      </c>
      <c r="F2374" t="s">
        <v>107</v>
      </c>
      <c r="G2374" t="s">
        <v>428</v>
      </c>
      <c r="H2374" t="s">
        <v>429</v>
      </c>
      <c r="I2374" t="s">
        <v>70</v>
      </c>
      <c r="J2374" t="s">
        <v>321</v>
      </c>
      <c r="K2374">
        <v>14.78</v>
      </c>
      <c r="L2374">
        <v>2.73</v>
      </c>
      <c r="M2374" t="s">
        <v>1303</v>
      </c>
      <c r="N2374">
        <v>13809</v>
      </c>
      <c r="R2374">
        <v>3.51</v>
      </c>
      <c r="S2374">
        <v>0.86</v>
      </c>
      <c r="AA2374">
        <v>-0.84</v>
      </c>
      <c r="AB2374" t="s">
        <v>11436</v>
      </c>
      <c r="AC2374" t="s">
        <v>13253</v>
      </c>
      <c r="AE2374" t="s">
        <v>9769</v>
      </c>
      <c r="AF2374" t="s">
        <v>2375</v>
      </c>
      <c r="AG2374" t="s">
        <v>22958</v>
      </c>
      <c r="AH2374" t="s">
        <v>23119</v>
      </c>
      <c r="AI2374" t="s">
        <v>6464</v>
      </c>
      <c r="AJ2374" t="s">
        <v>164</v>
      </c>
      <c r="AK2374" t="s">
        <v>4965</v>
      </c>
      <c r="AL2374">
        <v>12.71</v>
      </c>
      <c r="AM2374">
        <v>12.71</v>
      </c>
      <c r="AN2374">
        <v>0</v>
      </c>
      <c r="AO2374" t="s">
        <v>23120</v>
      </c>
      <c r="AP2374" t="s">
        <v>23121</v>
      </c>
      <c r="AQ2374" t="s">
        <v>23122</v>
      </c>
      <c r="AR2374" t="s">
        <v>8625</v>
      </c>
      <c r="AS2374" t="s">
        <v>2821</v>
      </c>
      <c r="AT2374" t="s">
        <v>4126</v>
      </c>
      <c r="AU2374" t="s">
        <v>8238</v>
      </c>
      <c r="AV2374" t="s">
        <v>23123</v>
      </c>
      <c r="AW2374" t="s">
        <v>23124</v>
      </c>
      <c r="AX2374" t="s">
        <v>304</v>
      </c>
      <c r="AY2374" t="s">
        <v>8947</v>
      </c>
      <c r="AZ2374" t="s">
        <v>304</v>
      </c>
      <c r="BA2374">
        <v>1</v>
      </c>
      <c r="BB2374">
        <v>26.66</v>
      </c>
      <c r="BC2374">
        <v>1.84</v>
      </c>
      <c r="BD2374">
        <v>2.68</v>
      </c>
      <c r="BE2374">
        <v>2.82</v>
      </c>
      <c r="BF2374">
        <v>2.7</v>
      </c>
      <c r="BG2374" t="s">
        <v>23125</v>
      </c>
      <c r="BH2374" t="s">
        <v>961</v>
      </c>
      <c r="BI2374" t="s">
        <v>10695</v>
      </c>
      <c r="BJ2374" t="s">
        <v>101</v>
      </c>
      <c r="BK2374" t="s">
        <v>9698</v>
      </c>
      <c r="BL2374" t="s">
        <v>349</v>
      </c>
      <c r="BM2374" t="s">
        <v>23126</v>
      </c>
      <c r="BN2374" t="s">
        <v>22882</v>
      </c>
    </row>
    <row r="2375" spans="1:66" x14ac:dyDescent="0.25">
      <c r="A2375" t="str">
        <f>HYPERLINK("https://elite.finviz.com/quote.ashx?t=FRME&amp;ty=c&amp;p=d&amp;b=1", "FRME")</f>
        <v>FRME</v>
      </c>
      <c r="B2375">
        <v>5</v>
      </c>
      <c r="C2375">
        <v>126.51</v>
      </c>
      <c r="D2375">
        <v>37.119999999999997</v>
      </c>
      <c r="E2375" t="s">
        <v>23127</v>
      </c>
      <c r="F2375" t="s">
        <v>67</v>
      </c>
      <c r="G2375" t="s">
        <v>550</v>
      </c>
      <c r="H2375" t="s">
        <v>697</v>
      </c>
      <c r="I2375" t="s">
        <v>70</v>
      </c>
      <c r="J2375" t="s">
        <v>321</v>
      </c>
      <c r="K2375">
        <v>2219.2399999999998</v>
      </c>
      <c r="L2375">
        <v>38.44</v>
      </c>
      <c r="M2375" t="s">
        <v>10852</v>
      </c>
      <c r="N2375">
        <v>179254</v>
      </c>
      <c r="O2375">
        <v>9.98</v>
      </c>
      <c r="P2375">
        <v>9.59</v>
      </c>
      <c r="Q2375">
        <v>0.93</v>
      </c>
      <c r="R2375">
        <v>2.14</v>
      </c>
      <c r="S2375">
        <v>0.95</v>
      </c>
      <c r="T2375" t="s">
        <v>3482</v>
      </c>
      <c r="U2375">
        <v>1.42</v>
      </c>
      <c r="V2375" t="s">
        <v>4548</v>
      </c>
      <c r="W2375" t="s">
        <v>8818</v>
      </c>
      <c r="X2375" t="s">
        <v>1767</v>
      </c>
      <c r="Y2375" t="s">
        <v>5642</v>
      </c>
      <c r="Z2375" t="s">
        <v>6784</v>
      </c>
      <c r="AA2375">
        <v>3.85</v>
      </c>
      <c r="AB2375" t="s">
        <v>5725</v>
      </c>
      <c r="AC2375" t="s">
        <v>2185</v>
      </c>
      <c r="AD2375" t="s">
        <v>249</v>
      </c>
      <c r="AE2375" t="s">
        <v>6407</v>
      </c>
      <c r="AF2375" t="s">
        <v>17645</v>
      </c>
      <c r="AG2375" t="s">
        <v>340</v>
      </c>
      <c r="AH2375" t="s">
        <v>5661</v>
      </c>
      <c r="AI2375" t="s">
        <v>4765</v>
      </c>
      <c r="AJ2375" t="s">
        <v>164</v>
      </c>
      <c r="AK2375" t="s">
        <v>23128</v>
      </c>
      <c r="AL2375">
        <v>0.12</v>
      </c>
      <c r="AN2375">
        <v>0.49</v>
      </c>
      <c r="AP2375" t="s">
        <v>8462</v>
      </c>
      <c r="AQ2375" t="s">
        <v>11368</v>
      </c>
      <c r="AR2375" t="s">
        <v>4547</v>
      </c>
      <c r="AS2375" t="s">
        <v>4891</v>
      </c>
      <c r="AT2375" t="s">
        <v>5639</v>
      </c>
      <c r="AU2375" t="s">
        <v>2357</v>
      </c>
      <c r="AV2375" t="s">
        <v>6058</v>
      </c>
      <c r="AW2375" t="s">
        <v>9998</v>
      </c>
      <c r="AX2375" t="s">
        <v>4269</v>
      </c>
      <c r="AY2375" t="s">
        <v>8084</v>
      </c>
      <c r="AZ2375" t="s">
        <v>16733</v>
      </c>
      <c r="BA2375">
        <v>1.67</v>
      </c>
      <c r="BB2375">
        <v>301.38</v>
      </c>
      <c r="BC2375">
        <v>2.1</v>
      </c>
      <c r="BD2375">
        <v>38.96</v>
      </c>
      <c r="BE2375">
        <v>39.159999999999997</v>
      </c>
      <c r="BF2375">
        <v>38.43</v>
      </c>
      <c r="BG2375" t="s">
        <v>23129</v>
      </c>
      <c r="BH2375" t="s">
        <v>999</v>
      </c>
      <c r="BI2375" t="s">
        <v>23130</v>
      </c>
      <c r="BJ2375" t="s">
        <v>101</v>
      </c>
      <c r="BK2375" t="s">
        <v>1938</v>
      </c>
      <c r="BL2375" t="s">
        <v>2354</v>
      </c>
      <c r="BM2375" t="s">
        <v>4323</v>
      </c>
      <c r="BN2375" t="s">
        <v>22882</v>
      </c>
    </row>
    <row r="2376" spans="1:66" x14ac:dyDescent="0.25">
      <c r="A2376" t="str">
        <f>HYPERLINK("https://elite.finviz.com/quote.ashx?t=AURA&amp;ty=c&amp;p=d&amp;b=1", "AURA")</f>
        <v>AURA</v>
      </c>
      <c r="B2376">
        <v>5</v>
      </c>
      <c r="C2376">
        <v>126.51</v>
      </c>
      <c r="D2376">
        <v>38.700000000000003</v>
      </c>
      <c r="E2376" t="s">
        <v>23131</v>
      </c>
      <c r="F2376" t="s">
        <v>67</v>
      </c>
      <c r="G2376" t="s">
        <v>428</v>
      </c>
      <c r="H2376" t="s">
        <v>429</v>
      </c>
      <c r="I2376" t="s">
        <v>70</v>
      </c>
      <c r="J2376" t="s">
        <v>321</v>
      </c>
      <c r="K2376">
        <v>365.88</v>
      </c>
      <c r="L2376">
        <v>5.89</v>
      </c>
      <c r="M2376" t="s">
        <v>2560</v>
      </c>
      <c r="N2376">
        <v>131793</v>
      </c>
      <c r="S2376">
        <v>2.09</v>
      </c>
      <c r="AA2376">
        <v>-1.96</v>
      </c>
      <c r="AB2376" t="s">
        <v>1779</v>
      </c>
      <c r="AC2376" t="s">
        <v>15281</v>
      </c>
      <c r="AD2376" t="s">
        <v>1180</v>
      </c>
      <c r="AI2376" t="s">
        <v>2082</v>
      </c>
      <c r="AJ2376" t="s">
        <v>182</v>
      </c>
      <c r="AK2376" t="s">
        <v>23132</v>
      </c>
      <c r="AL2376">
        <v>12.39</v>
      </c>
      <c r="AM2376">
        <v>12.39</v>
      </c>
      <c r="AN2376">
        <v>0.1</v>
      </c>
      <c r="AR2376" t="s">
        <v>6404</v>
      </c>
      <c r="AS2376" t="s">
        <v>2429</v>
      </c>
      <c r="AT2376" t="s">
        <v>1258</v>
      </c>
      <c r="AU2376" t="s">
        <v>7054</v>
      </c>
      <c r="AV2376" t="s">
        <v>851</v>
      </c>
      <c r="AW2376" t="s">
        <v>14451</v>
      </c>
      <c r="AX2376" t="s">
        <v>1763</v>
      </c>
      <c r="AY2376" t="s">
        <v>13556</v>
      </c>
      <c r="AZ2376" t="s">
        <v>15059</v>
      </c>
      <c r="BA2376">
        <v>1</v>
      </c>
      <c r="BB2376">
        <v>208.86</v>
      </c>
      <c r="BC2376">
        <v>2.2200000000000002</v>
      </c>
      <c r="BD2376">
        <v>5.88</v>
      </c>
      <c r="BE2376">
        <v>5.95</v>
      </c>
      <c r="BF2376">
        <v>5.81</v>
      </c>
      <c r="BG2376" t="s">
        <v>23133</v>
      </c>
      <c r="BH2376" t="s">
        <v>23134</v>
      </c>
      <c r="BI2376" t="s">
        <v>15059</v>
      </c>
      <c r="BJ2376" t="s">
        <v>101</v>
      </c>
      <c r="BK2376" t="s">
        <v>4101</v>
      </c>
      <c r="BL2376" t="s">
        <v>5424</v>
      </c>
      <c r="BM2376" t="s">
        <v>2964</v>
      </c>
      <c r="BN2376" t="s">
        <v>22882</v>
      </c>
    </row>
    <row r="2377" spans="1:66" x14ac:dyDescent="0.25">
      <c r="A2377" t="str">
        <f>HYPERLINK("https://elite.finviz.com/quote.ashx?t=CNXC&amp;ty=c&amp;p=d&amp;b=1", "CNXC")</f>
        <v>CNXC</v>
      </c>
      <c r="B2377">
        <v>5</v>
      </c>
      <c r="C2377">
        <v>126.51</v>
      </c>
      <c r="D2377">
        <v>39.1</v>
      </c>
      <c r="E2377" t="s">
        <v>23135</v>
      </c>
      <c r="F2377" t="s">
        <v>107</v>
      </c>
      <c r="G2377" t="s">
        <v>108</v>
      </c>
      <c r="H2377" t="s">
        <v>1322</v>
      </c>
      <c r="I2377" t="s">
        <v>70</v>
      </c>
      <c r="J2377" t="s">
        <v>321</v>
      </c>
      <c r="K2377">
        <v>3142.75</v>
      </c>
      <c r="L2377">
        <v>49.87</v>
      </c>
      <c r="M2377" t="s">
        <v>967</v>
      </c>
      <c r="N2377">
        <v>2795788</v>
      </c>
      <c r="O2377">
        <v>10.53</v>
      </c>
      <c r="P2377">
        <v>4.03</v>
      </c>
      <c r="Q2377">
        <v>1.73</v>
      </c>
      <c r="R2377">
        <v>0.32</v>
      </c>
      <c r="S2377">
        <v>0.71</v>
      </c>
      <c r="T2377" t="s">
        <v>2496</v>
      </c>
      <c r="U2377">
        <v>1.33</v>
      </c>
      <c r="V2377" t="s">
        <v>20796</v>
      </c>
      <c r="W2377" t="s">
        <v>2400</v>
      </c>
      <c r="X2377" t="s">
        <v>23136</v>
      </c>
      <c r="Z2377" t="s">
        <v>947</v>
      </c>
      <c r="AA2377">
        <v>4.7300000000000004</v>
      </c>
      <c r="AB2377" t="s">
        <v>23137</v>
      </c>
      <c r="AC2377" t="s">
        <v>10247</v>
      </c>
      <c r="AD2377" t="s">
        <v>6183</v>
      </c>
      <c r="AE2377" t="s">
        <v>6121</v>
      </c>
      <c r="AF2377" t="s">
        <v>3596</v>
      </c>
      <c r="AG2377" t="s">
        <v>8837</v>
      </c>
      <c r="AH2377" t="s">
        <v>2821</v>
      </c>
      <c r="AI2377" t="s">
        <v>7429</v>
      </c>
      <c r="AJ2377" t="s">
        <v>7270</v>
      </c>
      <c r="AK2377" t="s">
        <v>8387</v>
      </c>
      <c r="AL2377">
        <v>1.56</v>
      </c>
      <c r="AM2377">
        <v>1.61</v>
      </c>
      <c r="AN2377">
        <v>1.1100000000000001</v>
      </c>
      <c r="AO2377" t="s">
        <v>8003</v>
      </c>
      <c r="AP2377" t="s">
        <v>5151</v>
      </c>
      <c r="AQ2377" t="s">
        <v>1932</v>
      </c>
      <c r="AR2377" t="s">
        <v>5369</v>
      </c>
      <c r="AS2377" t="s">
        <v>5111</v>
      </c>
      <c r="AT2377" t="s">
        <v>11163</v>
      </c>
      <c r="AU2377" t="s">
        <v>7621</v>
      </c>
      <c r="AV2377" t="s">
        <v>6533</v>
      </c>
      <c r="AW2377" t="s">
        <v>7009</v>
      </c>
      <c r="AX2377" t="s">
        <v>7232</v>
      </c>
      <c r="AY2377" t="s">
        <v>18342</v>
      </c>
      <c r="AZ2377" t="s">
        <v>12887</v>
      </c>
      <c r="BA2377">
        <v>1.71</v>
      </c>
      <c r="BB2377">
        <v>737.7</v>
      </c>
      <c r="BC2377">
        <v>13.35</v>
      </c>
      <c r="BD2377">
        <v>54.99</v>
      </c>
      <c r="BE2377">
        <v>51.46</v>
      </c>
      <c r="BF2377">
        <v>42.99</v>
      </c>
      <c r="BG2377" t="s">
        <v>23138</v>
      </c>
      <c r="BH2377" t="s">
        <v>23139</v>
      </c>
      <c r="BI2377" t="s">
        <v>12887</v>
      </c>
      <c r="BJ2377" t="s">
        <v>101</v>
      </c>
      <c r="BK2377" t="s">
        <v>11513</v>
      </c>
      <c r="BL2377" t="s">
        <v>18407</v>
      </c>
      <c r="BM2377" t="s">
        <v>5613</v>
      </c>
      <c r="BN2377" t="s">
        <v>22882</v>
      </c>
    </row>
    <row r="2378" spans="1:66" x14ac:dyDescent="0.25">
      <c r="A2378" t="str">
        <f>HYPERLINK("https://elite.finviz.com/quote.ashx?t=LVO&amp;ty=c&amp;p=d&amp;b=1", "LVO")</f>
        <v>LVO</v>
      </c>
      <c r="B2378">
        <v>5</v>
      </c>
      <c r="C2378">
        <v>126.51</v>
      </c>
      <c r="D2378">
        <v>39.549999999999997</v>
      </c>
      <c r="E2378" t="s">
        <v>23140</v>
      </c>
      <c r="F2378" t="s">
        <v>107</v>
      </c>
      <c r="G2378" t="s">
        <v>598</v>
      </c>
      <c r="H2378" t="s">
        <v>4247</v>
      </c>
      <c r="I2378" t="s">
        <v>70</v>
      </c>
      <c r="J2378" t="s">
        <v>321</v>
      </c>
      <c r="K2378">
        <v>53.62</v>
      </c>
      <c r="L2378">
        <v>4.6500000000000004</v>
      </c>
      <c r="M2378" t="s">
        <v>2789</v>
      </c>
      <c r="N2378">
        <v>100159</v>
      </c>
      <c r="R2378">
        <v>0.53</v>
      </c>
      <c r="AA2378">
        <v>-2.08</v>
      </c>
      <c r="AB2378" t="s">
        <v>8797</v>
      </c>
      <c r="AC2378" t="s">
        <v>1035</v>
      </c>
      <c r="AD2378" t="s">
        <v>9870</v>
      </c>
      <c r="AE2378" t="s">
        <v>17172</v>
      </c>
      <c r="AF2378" t="s">
        <v>240</v>
      </c>
      <c r="AG2378" t="s">
        <v>15691</v>
      </c>
      <c r="AH2378" t="s">
        <v>23141</v>
      </c>
      <c r="AI2378" t="s">
        <v>8887</v>
      </c>
      <c r="AJ2378" t="s">
        <v>164</v>
      </c>
      <c r="AK2378" t="s">
        <v>9325</v>
      </c>
      <c r="AL2378">
        <v>0.68</v>
      </c>
      <c r="AM2378">
        <v>0.64</v>
      </c>
      <c r="AO2378" t="s">
        <v>12631</v>
      </c>
      <c r="AP2378" t="s">
        <v>13780</v>
      </c>
      <c r="AQ2378" t="s">
        <v>9825</v>
      </c>
      <c r="AR2378" t="s">
        <v>7566</v>
      </c>
      <c r="AS2378" t="s">
        <v>827</v>
      </c>
      <c r="AT2378" t="s">
        <v>217</v>
      </c>
      <c r="AU2378" t="s">
        <v>18294</v>
      </c>
      <c r="AV2378" t="s">
        <v>23142</v>
      </c>
      <c r="AW2378" t="s">
        <v>23143</v>
      </c>
      <c r="AX2378" t="s">
        <v>15964</v>
      </c>
      <c r="AY2378" t="s">
        <v>19287</v>
      </c>
      <c r="AZ2378" t="s">
        <v>15964</v>
      </c>
      <c r="BA2378">
        <v>1</v>
      </c>
      <c r="BB2378">
        <v>86.52</v>
      </c>
      <c r="BC2378">
        <v>4.1100000000000003</v>
      </c>
      <c r="BD2378">
        <v>4.53</v>
      </c>
      <c r="BE2378">
        <v>5</v>
      </c>
      <c r="BF2378">
        <v>4.51</v>
      </c>
      <c r="BG2378" t="s">
        <v>23144</v>
      </c>
      <c r="BH2378" t="s">
        <v>11217</v>
      </c>
      <c r="BI2378" t="s">
        <v>15964</v>
      </c>
      <c r="BJ2378" t="s">
        <v>101</v>
      </c>
      <c r="BK2378" t="s">
        <v>14392</v>
      </c>
      <c r="BL2378" t="s">
        <v>12772</v>
      </c>
      <c r="BM2378" t="s">
        <v>13453</v>
      </c>
      <c r="BN2378" t="s">
        <v>22882</v>
      </c>
    </row>
    <row r="2379" spans="1:66" x14ac:dyDescent="0.25">
      <c r="A2379" t="str">
        <f>HYPERLINK("https://elite.finviz.com/quote.ashx?t=WLFC&amp;ty=c&amp;p=d&amp;b=1", "WLFC")</f>
        <v>WLFC</v>
      </c>
      <c r="B2379">
        <v>5</v>
      </c>
      <c r="C2379">
        <v>126.51</v>
      </c>
      <c r="D2379">
        <v>39.79</v>
      </c>
      <c r="E2379" t="s">
        <v>23145</v>
      </c>
      <c r="F2379" t="s">
        <v>67</v>
      </c>
      <c r="G2379" t="s">
        <v>260</v>
      </c>
      <c r="H2379" t="s">
        <v>7905</v>
      </c>
      <c r="I2379" t="s">
        <v>70</v>
      </c>
      <c r="J2379" t="s">
        <v>321</v>
      </c>
      <c r="K2379">
        <v>957.56</v>
      </c>
      <c r="L2379">
        <v>140.62</v>
      </c>
      <c r="M2379" t="s">
        <v>4801</v>
      </c>
      <c r="N2379">
        <v>51779</v>
      </c>
      <c r="O2379">
        <v>8.36</v>
      </c>
      <c r="P2379">
        <v>10.57</v>
      </c>
      <c r="R2379">
        <v>1.6</v>
      </c>
      <c r="S2379">
        <v>1.74</v>
      </c>
      <c r="T2379" t="s">
        <v>4865</v>
      </c>
      <c r="U2379">
        <v>1</v>
      </c>
      <c r="V2379" t="s">
        <v>7906</v>
      </c>
      <c r="Z2379" t="s">
        <v>4499</v>
      </c>
      <c r="AA2379">
        <v>16.829999999999998</v>
      </c>
      <c r="AB2379" t="s">
        <v>23146</v>
      </c>
      <c r="AC2379" t="s">
        <v>265</v>
      </c>
      <c r="AD2379" t="s">
        <v>2694</v>
      </c>
      <c r="AE2379" t="s">
        <v>17838</v>
      </c>
      <c r="AF2379" t="s">
        <v>11467</v>
      </c>
      <c r="AG2379" t="s">
        <v>3855</v>
      </c>
      <c r="AH2379" t="s">
        <v>3997</v>
      </c>
      <c r="AI2379" t="s">
        <v>23147</v>
      </c>
      <c r="AJ2379" t="s">
        <v>4646</v>
      </c>
      <c r="AK2379" t="s">
        <v>1079</v>
      </c>
      <c r="AL2379">
        <v>3.04</v>
      </c>
      <c r="AM2379">
        <v>2.82</v>
      </c>
      <c r="AN2379">
        <v>4.1100000000000003</v>
      </c>
      <c r="AO2379" t="s">
        <v>23148</v>
      </c>
      <c r="AP2379" t="s">
        <v>9057</v>
      </c>
      <c r="AQ2379" t="s">
        <v>12410</v>
      </c>
      <c r="AR2379" t="s">
        <v>2941</v>
      </c>
      <c r="AS2379" t="s">
        <v>1932</v>
      </c>
      <c r="AT2379" t="s">
        <v>11675</v>
      </c>
      <c r="AU2379" t="s">
        <v>5264</v>
      </c>
      <c r="AV2379" t="s">
        <v>4791</v>
      </c>
      <c r="AW2379" t="s">
        <v>23149</v>
      </c>
      <c r="AX2379" t="s">
        <v>283</v>
      </c>
      <c r="AY2379" t="s">
        <v>23065</v>
      </c>
      <c r="AZ2379" t="s">
        <v>3921</v>
      </c>
      <c r="BA2379">
        <v>1</v>
      </c>
      <c r="BB2379">
        <v>85.42</v>
      </c>
      <c r="BC2379">
        <v>2.15</v>
      </c>
      <c r="BD2379">
        <v>139.94</v>
      </c>
      <c r="BE2379">
        <v>141.75</v>
      </c>
      <c r="BF2379">
        <v>139</v>
      </c>
      <c r="BG2379" t="s">
        <v>23150</v>
      </c>
      <c r="BH2379" t="s">
        <v>23065</v>
      </c>
      <c r="BI2379" t="s">
        <v>23151</v>
      </c>
      <c r="BJ2379" t="s">
        <v>101</v>
      </c>
      <c r="BK2379" t="s">
        <v>8346</v>
      </c>
      <c r="BL2379" t="s">
        <v>4894</v>
      </c>
      <c r="BM2379" t="s">
        <v>3480</v>
      </c>
      <c r="BN2379" t="s">
        <v>22882</v>
      </c>
    </row>
    <row r="2380" spans="1:66" x14ac:dyDescent="0.25">
      <c r="A2380" t="str">
        <f>HYPERLINK("https://elite.finviz.com/quote.ashx?t=CALM&amp;ty=c&amp;p=d&amp;b=1", "CALM")</f>
        <v>CALM</v>
      </c>
      <c r="B2380">
        <v>5</v>
      </c>
      <c r="C2380">
        <v>126.51</v>
      </c>
      <c r="D2380">
        <v>40.090000000000003</v>
      </c>
      <c r="E2380" t="s">
        <v>23152</v>
      </c>
      <c r="F2380" t="s">
        <v>67</v>
      </c>
      <c r="G2380" t="s">
        <v>2244</v>
      </c>
      <c r="H2380" t="s">
        <v>5735</v>
      </c>
      <c r="I2380" t="s">
        <v>70</v>
      </c>
      <c r="J2380" t="s">
        <v>321</v>
      </c>
      <c r="K2380">
        <v>4884.5200000000004</v>
      </c>
      <c r="L2380">
        <v>100.72</v>
      </c>
      <c r="M2380" t="s">
        <v>6770</v>
      </c>
      <c r="N2380">
        <v>435888</v>
      </c>
      <c r="O2380">
        <v>4.04</v>
      </c>
      <c r="P2380">
        <v>15.04</v>
      </c>
      <c r="R2380">
        <v>1.1499999999999999</v>
      </c>
      <c r="S2380">
        <v>1.91</v>
      </c>
      <c r="T2380" t="s">
        <v>5527</v>
      </c>
      <c r="U2380">
        <v>8.36</v>
      </c>
      <c r="V2380" t="s">
        <v>4827</v>
      </c>
      <c r="W2380" t="s">
        <v>23153</v>
      </c>
      <c r="X2380" t="s">
        <v>23154</v>
      </c>
      <c r="Z2380" t="s">
        <v>16431</v>
      </c>
      <c r="AA2380">
        <v>24.96</v>
      </c>
      <c r="AB2380" t="s">
        <v>13997</v>
      </c>
      <c r="AC2380" t="s">
        <v>23155</v>
      </c>
      <c r="AE2380" t="s">
        <v>23156</v>
      </c>
      <c r="AF2380" t="s">
        <v>2546</v>
      </c>
      <c r="AG2380" t="s">
        <v>13325</v>
      </c>
      <c r="AH2380" t="s">
        <v>23157</v>
      </c>
      <c r="AI2380" t="s">
        <v>7221</v>
      </c>
      <c r="AJ2380" t="s">
        <v>10979</v>
      </c>
      <c r="AK2380" t="s">
        <v>23158</v>
      </c>
      <c r="AL2380">
        <v>6.38</v>
      </c>
      <c r="AM2380">
        <v>5.42</v>
      </c>
      <c r="AN2380">
        <v>0</v>
      </c>
      <c r="AO2380" t="s">
        <v>11952</v>
      </c>
      <c r="AP2380" t="s">
        <v>13115</v>
      </c>
      <c r="AQ2380" t="s">
        <v>1257</v>
      </c>
      <c r="AR2380" t="s">
        <v>3454</v>
      </c>
      <c r="AS2380" t="s">
        <v>6937</v>
      </c>
      <c r="AT2380" t="s">
        <v>7532</v>
      </c>
      <c r="AU2380" t="s">
        <v>15209</v>
      </c>
      <c r="AV2380" t="s">
        <v>6192</v>
      </c>
      <c r="AW2380" t="s">
        <v>15261</v>
      </c>
      <c r="AX2380" t="s">
        <v>3429</v>
      </c>
      <c r="AY2380" t="s">
        <v>15261</v>
      </c>
      <c r="AZ2380" t="s">
        <v>19364</v>
      </c>
      <c r="BA2380">
        <v>3</v>
      </c>
      <c r="BB2380">
        <v>892.19</v>
      </c>
      <c r="BC2380">
        <v>1.72</v>
      </c>
      <c r="BD2380">
        <v>97.49</v>
      </c>
      <c r="BE2380">
        <v>101.5</v>
      </c>
      <c r="BF2380">
        <v>98.05</v>
      </c>
      <c r="BG2380" t="s">
        <v>23159</v>
      </c>
      <c r="BH2380" t="s">
        <v>15261</v>
      </c>
      <c r="BI2380" t="s">
        <v>23160</v>
      </c>
      <c r="BJ2380" t="s">
        <v>101</v>
      </c>
      <c r="BK2380" t="s">
        <v>2720</v>
      </c>
      <c r="BL2380" t="s">
        <v>2237</v>
      </c>
      <c r="BM2380" t="s">
        <v>11986</v>
      </c>
      <c r="BN2380" t="s">
        <v>22882</v>
      </c>
    </row>
    <row r="2381" spans="1:66" x14ac:dyDescent="0.25">
      <c r="A2381" t="str">
        <f>HYPERLINK("https://elite.finviz.com/quote.ashx?t=CVU&amp;ty=c&amp;p=d&amp;b=1", "CVU")</f>
        <v>CVU</v>
      </c>
      <c r="B2381">
        <v>5</v>
      </c>
      <c r="C2381">
        <v>126.51</v>
      </c>
      <c r="D2381">
        <v>40.270000000000003</v>
      </c>
      <c r="E2381" t="s">
        <v>23161</v>
      </c>
      <c r="F2381" t="s">
        <v>107</v>
      </c>
      <c r="G2381" t="s">
        <v>260</v>
      </c>
      <c r="H2381" t="s">
        <v>4779</v>
      </c>
      <c r="I2381" t="s">
        <v>70</v>
      </c>
      <c r="J2381" t="s">
        <v>383</v>
      </c>
      <c r="K2381">
        <v>32.71</v>
      </c>
      <c r="L2381">
        <v>2.5099999999999998</v>
      </c>
      <c r="M2381" t="s">
        <v>2423</v>
      </c>
      <c r="N2381">
        <v>29905</v>
      </c>
      <c r="R2381">
        <v>0.46</v>
      </c>
      <c r="S2381">
        <v>1.37</v>
      </c>
      <c r="Z2381" t="s">
        <v>164</v>
      </c>
      <c r="AA2381">
        <v>-7.0000000000000007E-2</v>
      </c>
      <c r="AB2381" t="s">
        <v>9211</v>
      </c>
      <c r="AE2381" t="s">
        <v>4301</v>
      </c>
      <c r="AF2381" t="s">
        <v>2393</v>
      </c>
      <c r="AG2381" t="s">
        <v>5879</v>
      </c>
      <c r="AH2381" t="s">
        <v>7358</v>
      </c>
      <c r="AJ2381" t="s">
        <v>182</v>
      </c>
      <c r="AK2381" t="s">
        <v>5262</v>
      </c>
      <c r="AL2381">
        <v>1.5</v>
      </c>
      <c r="AM2381">
        <v>1.46</v>
      </c>
      <c r="AN2381">
        <v>1.1200000000000001</v>
      </c>
      <c r="AO2381" t="s">
        <v>8456</v>
      </c>
      <c r="AP2381" t="s">
        <v>4271</v>
      </c>
      <c r="AQ2381" t="s">
        <v>1783</v>
      </c>
      <c r="AR2381" t="s">
        <v>911</v>
      </c>
      <c r="AS2381" t="s">
        <v>4690</v>
      </c>
      <c r="AT2381" t="s">
        <v>182</v>
      </c>
      <c r="AU2381" t="s">
        <v>5596</v>
      </c>
      <c r="AV2381" t="s">
        <v>23162</v>
      </c>
      <c r="AW2381" t="s">
        <v>23163</v>
      </c>
      <c r="AX2381" t="s">
        <v>11629</v>
      </c>
      <c r="AY2381" t="s">
        <v>23164</v>
      </c>
      <c r="AZ2381" t="s">
        <v>11629</v>
      </c>
      <c r="BA2381">
        <v>3</v>
      </c>
      <c r="BB2381">
        <v>35</v>
      </c>
      <c r="BC2381">
        <v>3.04</v>
      </c>
      <c r="BD2381">
        <v>2.5</v>
      </c>
      <c r="BE2381">
        <v>2.5499999999999998</v>
      </c>
      <c r="BF2381">
        <v>2.5</v>
      </c>
      <c r="BG2381" t="s">
        <v>23165</v>
      </c>
      <c r="BH2381" t="s">
        <v>23166</v>
      </c>
      <c r="BI2381" t="s">
        <v>23167</v>
      </c>
      <c r="BJ2381" t="s">
        <v>101</v>
      </c>
      <c r="BK2381" t="s">
        <v>10285</v>
      </c>
      <c r="BL2381" t="s">
        <v>21210</v>
      </c>
      <c r="BM2381" t="s">
        <v>11596</v>
      </c>
      <c r="BN2381" t="s">
        <v>22882</v>
      </c>
    </row>
    <row r="2382" spans="1:66" x14ac:dyDescent="0.25">
      <c r="A2382" t="str">
        <f>HYPERLINK("https://elite.finviz.com/quote.ashx?t=RSF&amp;ty=c&amp;p=d&amp;b=1", "RSF")</f>
        <v>RSF</v>
      </c>
      <c r="B2382">
        <v>5</v>
      </c>
      <c r="C2382">
        <v>126.51</v>
      </c>
      <c r="D2382">
        <v>41.21</v>
      </c>
      <c r="E2382" t="s">
        <v>23168</v>
      </c>
      <c r="F2382" t="s">
        <v>107</v>
      </c>
      <c r="G2382" t="s">
        <v>550</v>
      </c>
      <c r="H2382" t="s">
        <v>2597</v>
      </c>
      <c r="I2382" t="s">
        <v>70</v>
      </c>
      <c r="J2382" t="s">
        <v>71</v>
      </c>
      <c r="K2382">
        <v>41.85</v>
      </c>
      <c r="L2382">
        <v>14.65</v>
      </c>
      <c r="M2382" t="s">
        <v>337</v>
      </c>
      <c r="N2382">
        <v>44823</v>
      </c>
      <c r="O2382">
        <v>15.42</v>
      </c>
      <c r="P2382">
        <v>7.59</v>
      </c>
      <c r="T2382" t="s">
        <v>2740</v>
      </c>
      <c r="U2382">
        <v>1.64</v>
      </c>
      <c r="V2382" t="s">
        <v>3833</v>
      </c>
      <c r="W2382" t="s">
        <v>1445</v>
      </c>
      <c r="X2382" t="s">
        <v>1119</v>
      </c>
      <c r="Y2382" t="s">
        <v>3723</v>
      </c>
      <c r="AA2382">
        <v>0.95</v>
      </c>
      <c r="AJ2382" t="s">
        <v>5253</v>
      </c>
      <c r="AK2382" t="s">
        <v>13643</v>
      </c>
      <c r="AR2382" t="s">
        <v>3226</v>
      </c>
      <c r="AS2382" t="s">
        <v>6719</v>
      </c>
      <c r="AT2382" t="s">
        <v>8374</v>
      </c>
      <c r="AU2382" t="s">
        <v>6871</v>
      </c>
      <c r="AV2382" t="s">
        <v>8763</v>
      </c>
      <c r="AW2382" t="s">
        <v>2741</v>
      </c>
      <c r="AX2382" t="s">
        <v>2082</v>
      </c>
      <c r="AY2382" t="s">
        <v>8970</v>
      </c>
      <c r="AZ2382" t="s">
        <v>2087</v>
      </c>
      <c r="BB2382">
        <v>24.62</v>
      </c>
      <c r="BC2382">
        <v>6.47</v>
      </c>
      <c r="BD2382">
        <v>14.71</v>
      </c>
      <c r="BE2382">
        <v>14.71</v>
      </c>
      <c r="BF2382">
        <v>14.62</v>
      </c>
      <c r="BG2382" t="s">
        <v>23169</v>
      </c>
      <c r="BH2382" t="s">
        <v>23170</v>
      </c>
      <c r="BI2382" t="s">
        <v>1771</v>
      </c>
      <c r="BJ2382" t="s">
        <v>101</v>
      </c>
      <c r="BK2382" t="s">
        <v>580</v>
      </c>
      <c r="BL2382" t="s">
        <v>3814</v>
      </c>
      <c r="BM2382" t="s">
        <v>9279</v>
      </c>
      <c r="BN2382" t="s">
        <v>22882</v>
      </c>
    </row>
    <row r="2383" spans="1:66" x14ac:dyDescent="0.25">
      <c r="A2383" t="str">
        <f>HYPERLINK("https://elite.finviz.com/quote.ashx?t=PRTS&amp;ty=c&amp;p=d&amp;b=1", "PRTS")</f>
        <v>PRTS</v>
      </c>
      <c r="B2383">
        <v>5</v>
      </c>
      <c r="C2383">
        <v>126.51</v>
      </c>
      <c r="D2383">
        <v>41.38</v>
      </c>
      <c r="E2383" t="s">
        <v>23171</v>
      </c>
      <c r="F2383" t="s">
        <v>107</v>
      </c>
      <c r="G2383" t="s">
        <v>813</v>
      </c>
      <c r="H2383" t="s">
        <v>814</v>
      </c>
      <c r="I2383" t="s">
        <v>70</v>
      </c>
      <c r="J2383" t="s">
        <v>321</v>
      </c>
      <c r="K2383">
        <v>42.22</v>
      </c>
      <c r="L2383">
        <v>0.72</v>
      </c>
      <c r="M2383" t="s">
        <v>9927</v>
      </c>
      <c r="N2383">
        <v>747371</v>
      </c>
      <c r="R2383">
        <v>7.0000000000000007E-2</v>
      </c>
      <c r="S2383">
        <v>0.63</v>
      </c>
      <c r="AA2383">
        <v>-0.96</v>
      </c>
      <c r="AB2383" t="s">
        <v>23172</v>
      </c>
      <c r="AC2383" t="s">
        <v>3443</v>
      </c>
      <c r="AE2383" t="s">
        <v>16666</v>
      </c>
      <c r="AF2383" t="s">
        <v>3000</v>
      </c>
      <c r="AG2383" t="s">
        <v>3797</v>
      </c>
      <c r="AH2383" t="s">
        <v>3054</v>
      </c>
      <c r="AI2383" t="s">
        <v>23173</v>
      </c>
      <c r="AJ2383" t="s">
        <v>164</v>
      </c>
      <c r="AK2383" t="s">
        <v>23174</v>
      </c>
      <c r="AL2383">
        <v>1.47</v>
      </c>
      <c r="AM2383">
        <v>0.38</v>
      </c>
      <c r="AN2383">
        <v>0.75</v>
      </c>
      <c r="AO2383" t="s">
        <v>1424</v>
      </c>
      <c r="AP2383" t="s">
        <v>1027</v>
      </c>
      <c r="AQ2383" t="s">
        <v>9731</v>
      </c>
      <c r="AR2383" t="s">
        <v>605</v>
      </c>
      <c r="AS2383" t="s">
        <v>2911</v>
      </c>
      <c r="AT2383" t="s">
        <v>3922</v>
      </c>
      <c r="AU2383" t="s">
        <v>4148</v>
      </c>
      <c r="AV2383" t="s">
        <v>5447</v>
      </c>
      <c r="AW2383" t="s">
        <v>23175</v>
      </c>
      <c r="AX2383" t="s">
        <v>7322</v>
      </c>
      <c r="AY2383" t="s">
        <v>23176</v>
      </c>
      <c r="AZ2383" t="s">
        <v>5611</v>
      </c>
      <c r="BA2383">
        <v>2</v>
      </c>
      <c r="BB2383">
        <v>853.54</v>
      </c>
      <c r="BC2383">
        <v>3.08</v>
      </c>
      <c r="BD2383">
        <v>0.76</v>
      </c>
      <c r="BE2383">
        <v>0.77</v>
      </c>
      <c r="BF2383">
        <v>0.71</v>
      </c>
      <c r="BG2383" t="s">
        <v>23177</v>
      </c>
      <c r="BH2383" t="s">
        <v>8603</v>
      </c>
      <c r="BI2383" t="s">
        <v>5611</v>
      </c>
      <c r="BJ2383" t="s">
        <v>101</v>
      </c>
      <c r="BK2383" t="s">
        <v>5639</v>
      </c>
      <c r="BL2383" t="s">
        <v>20313</v>
      </c>
      <c r="BM2383" t="s">
        <v>4805</v>
      </c>
      <c r="BN2383" t="s">
        <v>22882</v>
      </c>
    </row>
    <row r="2384" spans="1:66" x14ac:dyDescent="0.25">
      <c r="A2384" t="str">
        <f>HYPERLINK("https://elite.finviz.com/quote.ashx?t=DRMA&amp;ty=c&amp;p=d&amp;b=1", "DRMA")</f>
        <v>DRMA</v>
      </c>
      <c r="B2384">
        <v>5</v>
      </c>
      <c r="C2384">
        <v>126.51</v>
      </c>
      <c r="D2384">
        <v>41.43</v>
      </c>
      <c r="E2384" t="s">
        <v>23178</v>
      </c>
      <c r="F2384" t="s">
        <v>107</v>
      </c>
      <c r="G2384" t="s">
        <v>428</v>
      </c>
      <c r="H2384" t="s">
        <v>429</v>
      </c>
      <c r="I2384" t="s">
        <v>70</v>
      </c>
      <c r="J2384" t="s">
        <v>321</v>
      </c>
      <c r="K2384">
        <v>3.41</v>
      </c>
      <c r="L2384">
        <v>5</v>
      </c>
      <c r="M2384" t="s">
        <v>6392</v>
      </c>
      <c r="N2384">
        <v>37047</v>
      </c>
      <c r="S2384">
        <v>0.56999999999999995</v>
      </c>
      <c r="AA2384">
        <v>-39.049999999999997</v>
      </c>
      <c r="AB2384" t="s">
        <v>13346</v>
      </c>
      <c r="AC2384" t="s">
        <v>6742</v>
      </c>
      <c r="AI2384" t="s">
        <v>6565</v>
      </c>
      <c r="AJ2384" t="s">
        <v>164</v>
      </c>
      <c r="AK2384" t="s">
        <v>7236</v>
      </c>
      <c r="AL2384">
        <v>6.47</v>
      </c>
      <c r="AM2384">
        <v>6.47</v>
      </c>
      <c r="AN2384">
        <v>0</v>
      </c>
      <c r="AR2384" t="s">
        <v>5847</v>
      </c>
      <c r="AS2384" t="s">
        <v>2351</v>
      </c>
      <c r="AT2384" t="s">
        <v>14355</v>
      </c>
      <c r="AU2384" t="s">
        <v>18853</v>
      </c>
      <c r="AV2384" t="s">
        <v>8142</v>
      </c>
      <c r="AW2384" t="s">
        <v>8887</v>
      </c>
      <c r="AX2384" t="s">
        <v>4193</v>
      </c>
      <c r="AY2384" t="s">
        <v>15620</v>
      </c>
      <c r="AZ2384" t="s">
        <v>4193</v>
      </c>
      <c r="BA2384">
        <v>1</v>
      </c>
      <c r="BB2384">
        <v>28.19</v>
      </c>
      <c r="BC2384">
        <v>4.67</v>
      </c>
      <c r="BD2384">
        <v>4.6500000000000004</v>
      </c>
      <c r="BE2384">
        <v>5.24</v>
      </c>
      <c r="BF2384">
        <v>4.6500000000000004</v>
      </c>
      <c r="BG2384" t="s">
        <v>23179</v>
      </c>
      <c r="BH2384" t="s">
        <v>5233</v>
      </c>
      <c r="BI2384" t="s">
        <v>4193</v>
      </c>
      <c r="BJ2384" t="s">
        <v>101</v>
      </c>
      <c r="BK2384" t="s">
        <v>19530</v>
      </c>
      <c r="BL2384" t="s">
        <v>23180</v>
      </c>
      <c r="BM2384" t="s">
        <v>867</v>
      </c>
      <c r="BN2384" t="s">
        <v>22882</v>
      </c>
    </row>
    <row r="2385" spans="1:66" x14ac:dyDescent="0.25">
      <c r="A2385" t="str">
        <f>HYPERLINK("https://elite.finviz.com/quote.ashx?t=INDP&amp;ty=c&amp;p=d&amp;b=1", "INDP")</f>
        <v>INDP</v>
      </c>
      <c r="B2385">
        <v>5</v>
      </c>
      <c r="C2385">
        <v>126.51</v>
      </c>
      <c r="D2385">
        <v>41.99</v>
      </c>
      <c r="E2385" t="s">
        <v>23181</v>
      </c>
      <c r="F2385" t="s">
        <v>107</v>
      </c>
      <c r="G2385" t="s">
        <v>428</v>
      </c>
      <c r="H2385" t="s">
        <v>429</v>
      </c>
      <c r="I2385" t="s">
        <v>70</v>
      </c>
      <c r="J2385" t="s">
        <v>321</v>
      </c>
      <c r="K2385">
        <v>3.98</v>
      </c>
      <c r="L2385">
        <v>3.6</v>
      </c>
      <c r="M2385" t="s">
        <v>3776</v>
      </c>
      <c r="N2385">
        <v>129107</v>
      </c>
      <c r="AA2385">
        <v>-37.56</v>
      </c>
      <c r="AB2385" t="s">
        <v>2542</v>
      </c>
      <c r="AC2385" t="s">
        <v>22057</v>
      </c>
      <c r="AD2385" t="s">
        <v>2576</v>
      </c>
      <c r="AI2385" t="s">
        <v>2186</v>
      </c>
      <c r="AJ2385" t="s">
        <v>164</v>
      </c>
      <c r="AK2385" t="s">
        <v>4052</v>
      </c>
      <c r="AL2385">
        <v>0.75</v>
      </c>
      <c r="AM2385">
        <v>0.75</v>
      </c>
      <c r="AR2385" t="s">
        <v>6497</v>
      </c>
      <c r="AS2385" t="s">
        <v>15014</v>
      </c>
      <c r="AT2385" t="s">
        <v>3148</v>
      </c>
      <c r="AU2385" t="s">
        <v>23142</v>
      </c>
      <c r="AV2385" t="s">
        <v>21751</v>
      </c>
      <c r="AW2385" t="s">
        <v>23182</v>
      </c>
      <c r="AX2385" t="s">
        <v>19167</v>
      </c>
      <c r="AY2385" t="s">
        <v>17202</v>
      </c>
      <c r="AZ2385" t="s">
        <v>19167</v>
      </c>
      <c r="BA2385">
        <v>1</v>
      </c>
      <c r="BB2385">
        <v>118.98</v>
      </c>
      <c r="BC2385">
        <v>3.86</v>
      </c>
      <c r="BD2385">
        <v>3.28</v>
      </c>
      <c r="BE2385">
        <v>3.67</v>
      </c>
      <c r="BF2385">
        <v>3.25</v>
      </c>
      <c r="BG2385" t="s">
        <v>23183</v>
      </c>
      <c r="BH2385" t="s">
        <v>3320</v>
      </c>
      <c r="BI2385" t="s">
        <v>19167</v>
      </c>
      <c r="BJ2385" t="s">
        <v>101</v>
      </c>
      <c r="BK2385" t="s">
        <v>23184</v>
      </c>
      <c r="BL2385" t="s">
        <v>13430</v>
      </c>
      <c r="BM2385" t="s">
        <v>23185</v>
      </c>
      <c r="BN2385" t="s">
        <v>22882</v>
      </c>
    </row>
    <row r="2386" spans="1:66" x14ac:dyDescent="0.25">
      <c r="A2386" t="str">
        <f>HYPERLINK("https://elite.finviz.com/quote.ashx?t=PVL&amp;ty=c&amp;p=d&amp;b=1", "PVL")</f>
        <v>PVL</v>
      </c>
      <c r="B2386">
        <v>5</v>
      </c>
      <c r="C2386">
        <v>126.51</v>
      </c>
      <c r="D2386">
        <v>42.3</v>
      </c>
      <c r="E2386" t="s">
        <v>23186</v>
      </c>
      <c r="F2386" t="s">
        <v>107</v>
      </c>
      <c r="G2386" t="s">
        <v>1048</v>
      </c>
      <c r="H2386" t="s">
        <v>1049</v>
      </c>
      <c r="I2386" t="s">
        <v>70</v>
      </c>
      <c r="J2386" t="s">
        <v>71</v>
      </c>
      <c r="K2386">
        <v>61.4</v>
      </c>
      <c r="L2386">
        <v>1.86</v>
      </c>
      <c r="M2386" t="s">
        <v>7137</v>
      </c>
      <c r="N2386">
        <v>48743</v>
      </c>
      <c r="O2386">
        <v>19.79</v>
      </c>
      <c r="R2386">
        <v>13.35</v>
      </c>
      <c r="S2386">
        <v>1.49</v>
      </c>
      <c r="T2386" t="s">
        <v>7154</v>
      </c>
      <c r="U2386">
        <v>0.06</v>
      </c>
      <c r="V2386" t="s">
        <v>198</v>
      </c>
      <c r="W2386" t="s">
        <v>23187</v>
      </c>
      <c r="X2386" t="s">
        <v>2364</v>
      </c>
      <c r="Y2386" t="s">
        <v>3565</v>
      </c>
      <c r="Z2386" t="s">
        <v>1647</v>
      </c>
      <c r="AA2386">
        <v>0.09</v>
      </c>
      <c r="AB2386" t="s">
        <v>4281</v>
      </c>
      <c r="AC2386" t="s">
        <v>23188</v>
      </c>
      <c r="AE2386" t="s">
        <v>21946</v>
      </c>
      <c r="AF2386" t="s">
        <v>4902</v>
      </c>
      <c r="AG2386" t="s">
        <v>16239</v>
      </c>
      <c r="AH2386" t="s">
        <v>23189</v>
      </c>
      <c r="AI2386" t="s">
        <v>3433</v>
      </c>
      <c r="AJ2386" t="s">
        <v>164</v>
      </c>
      <c r="AK2386" t="s">
        <v>4258</v>
      </c>
      <c r="AL2386">
        <v>4.07</v>
      </c>
      <c r="AM2386">
        <v>4.07</v>
      </c>
      <c r="AN2386">
        <v>0</v>
      </c>
      <c r="AO2386" t="s">
        <v>13898</v>
      </c>
      <c r="AP2386" t="s">
        <v>23190</v>
      </c>
      <c r="AQ2386" t="s">
        <v>15348</v>
      </c>
      <c r="AR2386" t="s">
        <v>5685</v>
      </c>
      <c r="AS2386" t="s">
        <v>90</v>
      </c>
      <c r="AT2386" t="s">
        <v>309</v>
      </c>
      <c r="AU2386" t="s">
        <v>1119</v>
      </c>
      <c r="AV2386" t="s">
        <v>4961</v>
      </c>
      <c r="AW2386" t="s">
        <v>20212</v>
      </c>
      <c r="AX2386" t="s">
        <v>177</v>
      </c>
      <c r="AY2386" t="s">
        <v>20212</v>
      </c>
      <c r="AZ2386" t="s">
        <v>12159</v>
      </c>
      <c r="BA2386">
        <v>3</v>
      </c>
      <c r="BB2386">
        <v>62.73</v>
      </c>
      <c r="BC2386">
        <v>2.76</v>
      </c>
      <c r="BD2386">
        <v>1.88</v>
      </c>
      <c r="BE2386">
        <v>1.89</v>
      </c>
      <c r="BF2386">
        <v>1.81</v>
      </c>
      <c r="BG2386" t="s">
        <v>23191</v>
      </c>
      <c r="BH2386" t="s">
        <v>23192</v>
      </c>
      <c r="BI2386" t="s">
        <v>23193</v>
      </c>
      <c r="BJ2386" t="s">
        <v>101</v>
      </c>
      <c r="BK2386" t="s">
        <v>2868</v>
      </c>
      <c r="BL2386" t="s">
        <v>17808</v>
      </c>
      <c r="BM2386" t="s">
        <v>2685</v>
      </c>
      <c r="BN2386" t="s">
        <v>22882</v>
      </c>
    </row>
    <row r="2387" spans="1:66" x14ac:dyDescent="0.25">
      <c r="A2387" t="str">
        <f>HYPERLINK("https://elite.finviz.com/quote.ashx?t=SMLR&amp;ty=c&amp;p=d&amp;b=1", "SMLR")</f>
        <v>SMLR</v>
      </c>
      <c r="B2387">
        <v>5</v>
      </c>
      <c r="C2387">
        <v>126.51</v>
      </c>
      <c r="D2387">
        <v>43.02</v>
      </c>
      <c r="E2387" t="s">
        <v>23194</v>
      </c>
      <c r="F2387" t="s">
        <v>67</v>
      </c>
      <c r="G2387" t="s">
        <v>428</v>
      </c>
      <c r="H2387" t="s">
        <v>2051</v>
      </c>
      <c r="I2387" t="s">
        <v>70</v>
      </c>
      <c r="J2387" t="s">
        <v>321</v>
      </c>
      <c r="K2387">
        <v>436.33</v>
      </c>
      <c r="L2387">
        <v>28.82</v>
      </c>
      <c r="M2387" t="s">
        <v>77</v>
      </c>
      <c r="N2387">
        <v>354436</v>
      </c>
      <c r="O2387">
        <v>11.87</v>
      </c>
      <c r="R2387">
        <v>10.15</v>
      </c>
      <c r="S2387">
        <v>1.03</v>
      </c>
      <c r="Z2387" t="s">
        <v>164</v>
      </c>
      <c r="AA2387">
        <v>2.4300000000000002</v>
      </c>
      <c r="AB2387" t="s">
        <v>14905</v>
      </c>
      <c r="AC2387" t="s">
        <v>5614</v>
      </c>
      <c r="AE2387" t="s">
        <v>23001</v>
      </c>
      <c r="AF2387" t="s">
        <v>2307</v>
      </c>
      <c r="AG2387" t="s">
        <v>6331</v>
      </c>
      <c r="AH2387" t="s">
        <v>23195</v>
      </c>
      <c r="AI2387" t="s">
        <v>23196</v>
      </c>
      <c r="AJ2387" t="s">
        <v>7243</v>
      </c>
      <c r="AK2387" t="s">
        <v>14150</v>
      </c>
      <c r="AL2387">
        <v>0.6</v>
      </c>
      <c r="AM2387">
        <v>0.57999999999999996</v>
      </c>
      <c r="AN2387">
        <v>0</v>
      </c>
      <c r="AO2387" t="s">
        <v>21487</v>
      </c>
      <c r="AP2387" t="s">
        <v>231</v>
      </c>
      <c r="AQ2387" t="s">
        <v>23197</v>
      </c>
      <c r="AR2387" t="s">
        <v>6532</v>
      </c>
      <c r="AS2387" t="s">
        <v>216</v>
      </c>
      <c r="AT2387" t="s">
        <v>6265</v>
      </c>
      <c r="AU2387" t="s">
        <v>1862</v>
      </c>
      <c r="AV2387" t="s">
        <v>5562</v>
      </c>
      <c r="AW2387" t="s">
        <v>23198</v>
      </c>
      <c r="AX2387" t="s">
        <v>2232</v>
      </c>
      <c r="AY2387" t="s">
        <v>12934</v>
      </c>
      <c r="AZ2387" t="s">
        <v>16376</v>
      </c>
      <c r="BA2387">
        <v>1</v>
      </c>
      <c r="BB2387">
        <v>870.35</v>
      </c>
      <c r="BC2387">
        <v>1.43</v>
      </c>
      <c r="BD2387">
        <v>30.21</v>
      </c>
      <c r="BE2387">
        <v>29.96</v>
      </c>
      <c r="BF2387">
        <v>28.7</v>
      </c>
      <c r="BG2387" t="s">
        <v>23199</v>
      </c>
      <c r="BH2387" t="s">
        <v>23200</v>
      </c>
      <c r="BI2387" t="s">
        <v>23201</v>
      </c>
      <c r="BJ2387" t="s">
        <v>101</v>
      </c>
      <c r="BK2387" t="s">
        <v>6617</v>
      </c>
      <c r="BL2387" t="s">
        <v>4357</v>
      </c>
      <c r="BM2387" t="s">
        <v>6651</v>
      </c>
      <c r="BN2387" t="s">
        <v>22882</v>
      </c>
    </row>
    <row r="2388" spans="1:66" x14ac:dyDescent="0.25">
      <c r="A2388" t="str">
        <f>HYPERLINK("https://elite.finviz.com/quote.ashx?t=GDC&amp;ty=c&amp;p=d&amp;b=1", "GDC")</f>
        <v>GDC</v>
      </c>
      <c r="B2388">
        <v>5</v>
      </c>
      <c r="C2388">
        <v>126.51</v>
      </c>
      <c r="D2388">
        <v>43.74</v>
      </c>
      <c r="E2388" t="s">
        <v>23202</v>
      </c>
      <c r="F2388" t="s">
        <v>107</v>
      </c>
      <c r="G2388" t="s">
        <v>598</v>
      </c>
      <c r="H2388" t="s">
        <v>7474</v>
      </c>
      <c r="I2388" t="s">
        <v>70</v>
      </c>
      <c r="J2388" t="s">
        <v>321</v>
      </c>
      <c r="K2388">
        <v>74.819999999999993</v>
      </c>
      <c r="L2388">
        <v>4.45</v>
      </c>
      <c r="M2388" t="s">
        <v>3975</v>
      </c>
      <c r="N2388">
        <v>105179</v>
      </c>
      <c r="S2388">
        <v>9.02</v>
      </c>
      <c r="AA2388">
        <v>-0.77</v>
      </c>
      <c r="AB2388" t="s">
        <v>19447</v>
      </c>
      <c r="AK2388" t="s">
        <v>4840</v>
      </c>
      <c r="AL2388">
        <v>2.37</v>
      </c>
      <c r="AM2388">
        <v>2.37</v>
      </c>
      <c r="AN2388">
        <v>0.15</v>
      </c>
      <c r="AR2388" t="s">
        <v>9225</v>
      </c>
      <c r="AS2388" t="s">
        <v>23203</v>
      </c>
      <c r="AT2388" t="s">
        <v>23204</v>
      </c>
      <c r="AU2388" t="s">
        <v>304</v>
      </c>
      <c r="AV2388" t="s">
        <v>23205</v>
      </c>
      <c r="AW2388" t="s">
        <v>4614</v>
      </c>
      <c r="AX2388" t="s">
        <v>23206</v>
      </c>
      <c r="AY2388" t="s">
        <v>4614</v>
      </c>
      <c r="AZ2388" t="s">
        <v>23207</v>
      </c>
      <c r="BB2388">
        <v>124.56</v>
      </c>
      <c r="BC2388">
        <v>2.97</v>
      </c>
      <c r="BD2388">
        <v>4.97</v>
      </c>
      <c r="BE2388">
        <v>5.17</v>
      </c>
      <c r="BF2388">
        <v>4.4000000000000004</v>
      </c>
      <c r="BG2388" t="s">
        <v>23208</v>
      </c>
      <c r="BH2388" t="s">
        <v>6038</v>
      </c>
      <c r="BI2388" t="s">
        <v>23209</v>
      </c>
      <c r="BJ2388" t="s">
        <v>101</v>
      </c>
      <c r="BK2388" t="s">
        <v>13363</v>
      </c>
      <c r="BL2388" t="s">
        <v>17117</v>
      </c>
      <c r="BM2388" t="s">
        <v>5465</v>
      </c>
      <c r="BN2388" t="s">
        <v>22882</v>
      </c>
    </row>
    <row r="2389" spans="1:66" x14ac:dyDescent="0.25">
      <c r="A2389" t="str">
        <f>HYPERLINK("https://elite.finviz.com/quote.ashx?t=DIT&amp;ty=c&amp;p=d&amp;b=1", "DIT")</f>
        <v>DIT</v>
      </c>
      <c r="B2389">
        <v>5</v>
      </c>
      <c r="C2389">
        <v>126.51</v>
      </c>
      <c r="D2389">
        <v>44.27</v>
      </c>
      <c r="E2389" t="s">
        <v>23210</v>
      </c>
      <c r="F2389" t="s">
        <v>107</v>
      </c>
      <c r="G2389" t="s">
        <v>2244</v>
      </c>
      <c r="H2389" t="s">
        <v>6825</v>
      </c>
      <c r="I2389" t="s">
        <v>70</v>
      </c>
      <c r="J2389" t="s">
        <v>383</v>
      </c>
      <c r="K2389">
        <v>71.81</v>
      </c>
      <c r="L2389">
        <v>111.25</v>
      </c>
      <c r="M2389" t="s">
        <v>7165</v>
      </c>
      <c r="N2389">
        <v>227</v>
      </c>
      <c r="O2389">
        <v>53.49</v>
      </c>
      <c r="R2389">
        <v>0.03</v>
      </c>
      <c r="S2389">
        <v>0.63</v>
      </c>
      <c r="T2389" t="s">
        <v>227</v>
      </c>
      <c r="U2389">
        <v>0.72</v>
      </c>
      <c r="V2389" t="s">
        <v>1762</v>
      </c>
      <c r="W2389" t="s">
        <v>164</v>
      </c>
      <c r="X2389" t="s">
        <v>164</v>
      </c>
      <c r="Y2389" t="s">
        <v>164</v>
      </c>
      <c r="Z2389" t="s">
        <v>8441</v>
      </c>
      <c r="AA2389">
        <v>2.08</v>
      </c>
      <c r="AB2389" t="s">
        <v>6319</v>
      </c>
      <c r="AC2389" t="s">
        <v>713</v>
      </c>
      <c r="AE2389" t="s">
        <v>3601</v>
      </c>
      <c r="AF2389" t="s">
        <v>7866</v>
      </c>
      <c r="AG2389" t="s">
        <v>15187</v>
      </c>
      <c r="AH2389" t="s">
        <v>2735</v>
      </c>
      <c r="AJ2389" t="s">
        <v>164</v>
      </c>
      <c r="AK2389" t="s">
        <v>6408</v>
      </c>
      <c r="AL2389">
        <v>2.74</v>
      </c>
      <c r="AM2389">
        <v>1.06</v>
      </c>
      <c r="AN2389">
        <v>1.77</v>
      </c>
      <c r="AO2389" t="s">
        <v>6684</v>
      </c>
      <c r="AP2389" t="s">
        <v>914</v>
      </c>
      <c r="AQ2389" t="s">
        <v>4237</v>
      </c>
      <c r="AR2389" t="s">
        <v>2217</v>
      </c>
      <c r="AS2389" t="s">
        <v>4216</v>
      </c>
      <c r="AT2389" t="s">
        <v>13232</v>
      </c>
      <c r="AU2389" t="s">
        <v>81</v>
      </c>
      <c r="AV2389" t="s">
        <v>10375</v>
      </c>
      <c r="AW2389" t="s">
        <v>968</v>
      </c>
      <c r="AX2389" t="s">
        <v>12450</v>
      </c>
      <c r="AY2389" t="s">
        <v>23211</v>
      </c>
      <c r="AZ2389" t="s">
        <v>10508</v>
      </c>
      <c r="BB2389">
        <v>0.45</v>
      </c>
      <c r="BC2389">
        <v>1.78</v>
      </c>
      <c r="BD2389">
        <v>117.2</v>
      </c>
      <c r="BE2389">
        <v>116.51</v>
      </c>
      <c r="BF2389">
        <v>116.51</v>
      </c>
      <c r="BG2389" t="s">
        <v>23212</v>
      </c>
      <c r="BH2389" t="s">
        <v>23213</v>
      </c>
      <c r="BI2389" t="s">
        <v>23214</v>
      </c>
      <c r="BJ2389" t="s">
        <v>101</v>
      </c>
      <c r="BK2389" t="s">
        <v>7847</v>
      </c>
      <c r="BL2389" t="s">
        <v>19857</v>
      </c>
      <c r="BM2389" t="s">
        <v>157</v>
      </c>
      <c r="BN2389" t="s">
        <v>22882</v>
      </c>
    </row>
    <row r="2390" spans="1:66" x14ac:dyDescent="0.25">
      <c r="A2390" t="str">
        <f>HYPERLINK("https://elite.finviz.com/quote.ashx?t=BNAI&amp;ty=c&amp;p=d&amp;b=1", "BNAI")</f>
        <v>BNAI</v>
      </c>
      <c r="B2390">
        <v>5</v>
      </c>
      <c r="C2390">
        <v>126.51</v>
      </c>
      <c r="D2390">
        <v>44.53</v>
      </c>
      <c r="E2390" t="s">
        <v>23215</v>
      </c>
      <c r="F2390" t="s">
        <v>107</v>
      </c>
      <c r="G2390" t="s">
        <v>108</v>
      </c>
      <c r="H2390" t="s">
        <v>109</v>
      </c>
      <c r="I2390" t="s">
        <v>70</v>
      </c>
      <c r="J2390" t="s">
        <v>321</v>
      </c>
      <c r="K2390">
        <v>12.85</v>
      </c>
      <c r="L2390">
        <v>0.3</v>
      </c>
      <c r="M2390" t="s">
        <v>2421</v>
      </c>
      <c r="N2390">
        <v>566704</v>
      </c>
      <c r="R2390">
        <v>214.2</v>
      </c>
      <c r="S2390">
        <v>3.88</v>
      </c>
      <c r="AA2390">
        <v>-0.8</v>
      </c>
      <c r="AE2390" t="s">
        <v>2871</v>
      </c>
      <c r="AH2390" t="s">
        <v>23216</v>
      </c>
      <c r="AI2390" t="s">
        <v>6398</v>
      </c>
      <c r="AJ2390" t="s">
        <v>164</v>
      </c>
      <c r="AK2390" t="s">
        <v>11629</v>
      </c>
      <c r="AL2390">
        <v>0.13</v>
      </c>
      <c r="AM2390">
        <v>0.13</v>
      </c>
      <c r="AN2390">
        <v>0.75</v>
      </c>
      <c r="AO2390" t="s">
        <v>23217</v>
      </c>
      <c r="AP2390" t="s">
        <v>23218</v>
      </c>
      <c r="AQ2390" t="s">
        <v>23219</v>
      </c>
      <c r="AR2390" t="s">
        <v>2174</v>
      </c>
      <c r="AS2390" t="s">
        <v>3053</v>
      </c>
      <c r="AT2390" t="s">
        <v>6359</v>
      </c>
      <c r="AU2390" t="s">
        <v>3232</v>
      </c>
      <c r="AV2390" t="s">
        <v>17569</v>
      </c>
      <c r="AW2390" t="s">
        <v>12330</v>
      </c>
      <c r="AX2390" t="s">
        <v>7484</v>
      </c>
      <c r="AY2390" t="s">
        <v>23220</v>
      </c>
      <c r="AZ2390" t="s">
        <v>3043</v>
      </c>
      <c r="BA2390">
        <v>1</v>
      </c>
      <c r="BB2390">
        <v>495.99</v>
      </c>
      <c r="BC2390">
        <v>4.03</v>
      </c>
      <c r="BD2390">
        <v>0.28999999999999998</v>
      </c>
      <c r="BE2390">
        <v>0.31</v>
      </c>
      <c r="BF2390">
        <v>0.28999999999999998</v>
      </c>
      <c r="BG2390" t="s">
        <v>23221</v>
      </c>
      <c r="BH2390" t="s">
        <v>23222</v>
      </c>
      <c r="BI2390" t="s">
        <v>3043</v>
      </c>
      <c r="BJ2390" t="s">
        <v>101</v>
      </c>
      <c r="BK2390" t="s">
        <v>23223</v>
      </c>
      <c r="BL2390" t="s">
        <v>6709</v>
      </c>
      <c r="BM2390" t="s">
        <v>23224</v>
      </c>
      <c r="BN2390" t="s">
        <v>22882</v>
      </c>
    </row>
    <row r="2391" spans="1:66" x14ac:dyDescent="0.25">
      <c r="A2391" t="str">
        <f>HYPERLINK("https://elite.finviz.com/quote.ashx?t=BCIC&amp;ty=c&amp;p=d&amp;b=1", "BCIC")</f>
        <v>BCIC</v>
      </c>
      <c r="B2391">
        <v>5</v>
      </c>
      <c r="C2391">
        <v>126.51</v>
      </c>
      <c r="D2391">
        <v>44.64</v>
      </c>
      <c r="E2391" t="s">
        <v>23225</v>
      </c>
      <c r="F2391" t="s">
        <v>107</v>
      </c>
      <c r="G2391" t="s">
        <v>550</v>
      </c>
      <c r="H2391" t="s">
        <v>2597</v>
      </c>
      <c r="I2391" t="s">
        <v>70</v>
      </c>
      <c r="J2391" t="s">
        <v>321</v>
      </c>
      <c r="K2391">
        <v>158.86000000000001</v>
      </c>
      <c r="L2391">
        <v>12.04</v>
      </c>
      <c r="M2391" t="s">
        <v>2745</v>
      </c>
      <c r="N2391">
        <v>42369</v>
      </c>
      <c r="P2391">
        <v>6.04</v>
      </c>
      <c r="R2391">
        <v>2.92</v>
      </c>
      <c r="S2391">
        <v>0.67</v>
      </c>
      <c r="T2391" t="s">
        <v>6462</v>
      </c>
      <c r="U2391">
        <v>2.09</v>
      </c>
      <c r="W2391" t="s">
        <v>3000</v>
      </c>
      <c r="X2391" t="s">
        <v>1091</v>
      </c>
      <c r="Y2391" t="s">
        <v>6659</v>
      </c>
      <c r="AA2391">
        <v>-0.94</v>
      </c>
      <c r="AH2391" t="s">
        <v>6673</v>
      </c>
      <c r="AI2391" t="s">
        <v>10449</v>
      </c>
      <c r="AJ2391" t="s">
        <v>4687</v>
      </c>
      <c r="AK2391" t="s">
        <v>1199</v>
      </c>
      <c r="AR2391" t="s">
        <v>5968</v>
      </c>
      <c r="AS2391" t="s">
        <v>6493</v>
      </c>
      <c r="AT2391" t="s">
        <v>10808</v>
      </c>
      <c r="AU2391" t="s">
        <v>2372</v>
      </c>
      <c r="AV2391" t="s">
        <v>12843</v>
      </c>
      <c r="AW2391" t="s">
        <v>137</v>
      </c>
      <c r="AX2391" t="s">
        <v>3018</v>
      </c>
      <c r="AY2391" t="s">
        <v>10044</v>
      </c>
      <c r="AZ2391" t="s">
        <v>3887</v>
      </c>
      <c r="BB2391">
        <v>53.66</v>
      </c>
      <c r="BC2391">
        <v>2.78</v>
      </c>
      <c r="BD2391">
        <v>12.05</v>
      </c>
      <c r="BE2391">
        <v>12.09</v>
      </c>
      <c r="BF2391">
        <v>12.01</v>
      </c>
      <c r="BG2391" t="s">
        <v>23226</v>
      </c>
      <c r="BH2391" t="s">
        <v>23227</v>
      </c>
      <c r="BI2391" t="s">
        <v>20706</v>
      </c>
      <c r="BJ2391" t="s">
        <v>101</v>
      </c>
      <c r="BK2391" t="s">
        <v>4281</v>
      </c>
      <c r="BL2391" t="s">
        <v>9188</v>
      </c>
      <c r="BM2391" t="s">
        <v>23228</v>
      </c>
      <c r="BN2391" t="s">
        <v>22882</v>
      </c>
    </row>
    <row r="2392" spans="1:66" x14ac:dyDescent="0.25">
      <c r="A2392" t="str">
        <f>HYPERLINK("https://elite.finviz.com/quote.ashx?t=ESTA&amp;ty=c&amp;p=d&amp;b=1", "ESTA")</f>
        <v>ESTA</v>
      </c>
      <c r="B2392">
        <v>5</v>
      </c>
      <c r="C2392">
        <v>126.51</v>
      </c>
      <c r="D2392">
        <v>44.74</v>
      </c>
      <c r="E2392" t="s">
        <v>23229</v>
      </c>
      <c r="F2392" t="s">
        <v>107</v>
      </c>
      <c r="G2392" t="s">
        <v>428</v>
      </c>
      <c r="H2392" t="s">
        <v>2051</v>
      </c>
      <c r="I2392" t="s">
        <v>70</v>
      </c>
      <c r="J2392" t="s">
        <v>321</v>
      </c>
      <c r="K2392">
        <v>1101.47</v>
      </c>
      <c r="L2392">
        <v>38.020000000000003</v>
      </c>
      <c r="M2392" t="s">
        <v>9854</v>
      </c>
      <c r="N2392">
        <v>109246</v>
      </c>
      <c r="R2392">
        <v>6.21</v>
      </c>
      <c r="S2392">
        <v>48.39</v>
      </c>
      <c r="AA2392">
        <v>-3.06</v>
      </c>
      <c r="AB2392" t="s">
        <v>7205</v>
      </c>
      <c r="AC2392" t="s">
        <v>4048</v>
      </c>
      <c r="AD2392" t="s">
        <v>7538</v>
      </c>
      <c r="AE2392" t="s">
        <v>8735</v>
      </c>
      <c r="AF2392" t="s">
        <v>10114</v>
      </c>
      <c r="AG2392" t="s">
        <v>9864</v>
      </c>
      <c r="AH2392" t="s">
        <v>3939</v>
      </c>
      <c r="AI2392" t="s">
        <v>11795</v>
      </c>
      <c r="AJ2392" t="s">
        <v>171</v>
      </c>
      <c r="AK2392" t="s">
        <v>13671</v>
      </c>
      <c r="AL2392">
        <v>2.84</v>
      </c>
      <c r="AM2392">
        <v>1.66</v>
      </c>
      <c r="AN2392">
        <v>10.15</v>
      </c>
      <c r="AO2392" t="s">
        <v>7660</v>
      </c>
      <c r="AP2392" t="s">
        <v>7537</v>
      </c>
      <c r="AQ2392" t="s">
        <v>7456</v>
      </c>
      <c r="AR2392" t="s">
        <v>7767</v>
      </c>
      <c r="AS2392" t="s">
        <v>4824</v>
      </c>
      <c r="AT2392" t="s">
        <v>2149</v>
      </c>
      <c r="AU2392" t="s">
        <v>5246</v>
      </c>
      <c r="AV2392" t="s">
        <v>7346</v>
      </c>
      <c r="AW2392" t="s">
        <v>20586</v>
      </c>
      <c r="AX2392" t="s">
        <v>1360</v>
      </c>
      <c r="AY2392" t="s">
        <v>23230</v>
      </c>
      <c r="AZ2392" t="s">
        <v>1668</v>
      </c>
      <c r="BA2392">
        <v>1.22</v>
      </c>
      <c r="BB2392">
        <v>359.15</v>
      </c>
      <c r="BC2392">
        <v>1.07</v>
      </c>
      <c r="BD2392">
        <v>39.11</v>
      </c>
      <c r="BE2392">
        <v>39.14</v>
      </c>
      <c r="BF2392">
        <v>37.65</v>
      </c>
      <c r="BG2392" t="s">
        <v>23231</v>
      </c>
      <c r="BH2392" t="s">
        <v>853</v>
      </c>
      <c r="BI2392" t="s">
        <v>23232</v>
      </c>
      <c r="BJ2392" t="s">
        <v>101</v>
      </c>
      <c r="BK2392" t="s">
        <v>3164</v>
      </c>
      <c r="BL2392" t="s">
        <v>2355</v>
      </c>
      <c r="BM2392" t="s">
        <v>8058</v>
      </c>
      <c r="BN2392" t="s">
        <v>22882</v>
      </c>
    </row>
    <row r="2393" spans="1:66" x14ac:dyDescent="0.25">
      <c r="A2393" t="str">
        <f>HYPERLINK("https://elite.finviz.com/quote.ashx?t=LFCR&amp;ty=c&amp;p=d&amp;b=1", "LFCR")</f>
        <v>LFCR</v>
      </c>
      <c r="B2393">
        <v>5</v>
      </c>
      <c r="C2393">
        <v>126.51</v>
      </c>
      <c r="D2393">
        <v>44.92</v>
      </c>
      <c r="E2393" t="s">
        <v>23233</v>
      </c>
      <c r="F2393" t="s">
        <v>67</v>
      </c>
      <c r="G2393" t="s">
        <v>428</v>
      </c>
      <c r="H2393" t="s">
        <v>1296</v>
      </c>
      <c r="I2393" t="s">
        <v>70</v>
      </c>
      <c r="J2393" t="s">
        <v>321</v>
      </c>
      <c r="K2393">
        <v>269.76</v>
      </c>
      <c r="L2393">
        <v>7.2</v>
      </c>
      <c r="M2393" t="s">
        <v>4641</v>
      </c>
      <c r="N2393">
        <v>116159</v>
      </c>
      <c r="R2393">
        <v>2.09</v>
      </c>
      <c r="S2393">
        <v>199.56</v>
      </c>
      <c r="AA2393">
        <v>-1.3</v>
      </c>
      <c r="AB2393" t="s">
        <v>23114</v>
      </c>
      <c r="AC2393" t="s">
        <v>2418</v>
      </c>
      <c r="AE2393" t="s">
        <v>149</v>
      </c>
      <c r="AF2393" t="s">
        <v>754</v>
      </c>
      <c r="AG2393" t="s">
        <v>23234</v>
      </c>
      <c r="AH2393" t="s">
        <v>82</v>
      </c>
      <c r="AI2393" t="s">
        <v>4080</v>
      </c>
      <c r="AJ2393" t="s">
        <v>17044</v>
      </c>
      <c r="AK2393" t="s">
        <v>22067</v>
      </c>
      <c r="AL2393">
        <v>2.84</v>
      </c>
      <c r="AM2393">
        <v>1.77</v>
      </c>
      <c r="AN2393">
        <v>2.79</v>
      </c>
      <c r="AO2393" t="s">
        <v>12768</v>
      </c>
      <c r="AP2393" t="s">
        <v>19376</v>
      </c>
      <c r="AQ2393" t="s">
        <v>18568</v>
      </c>
      <c r="AR2393" t="s">
        <v>274</v>
      </c>
      <c r="AS2393" t="s">
        <v>276</v>
      </c>
      <c r="AT2393" t="s">
        <v>4430</v>
      </c>
      <c r="AU2393" t="s">
        <v>5763</v>
      </c>
      <c r="AV2393" t="s">
        <v>5885</v>
      </c>
      <c r="AW2393" t="s">
        <v>17073</v>
      </c>
      <c r="AX2393" t="s">
        <v>8727</v>
      </c>
      <c r="AY2393" t="s">
        <v>23235</v>
      </c>
      <c r="AZ2393" t="s">
        <v>4709</v>
      </c>
      <c r="BA2393">
        <v>2</v>
      </c>
      <c r="BB2393">
        <v>158.52000000000001</v>
      </c>
      <c r="BC2393">
        <v>2.58</v>
      </c>
      <c r="BD2393">
        <v>6.81</v>
      </c>
      <c r="BE2393">
        <v>7.26</v>
      </c>
      <c r="BF2393">
        <v>6.85</v>
      </c>
      <c r="BG2393" t="s">
        <v>23236</v>
      </c>
      <c r="BH2393" t="s">
        <v>14839</v>
      </c>
      <c r="BI2393" t="s">
        <v>23237</v>
      </c>
      <c r="BJ2393" t="s">
        <v>101</v>
      </c>
      <c r="BK2393" t="s">
        <v>9083</v>
      </c>
      <c r="BL2393" t="s">
        <v>6956</v>
      </c>
      <c r="BM2393" t="s">
        <v>23238</v>
      </c>
      <c r="BN2393" t="s">
        <v>22882</v>
      </c>
    </row>
    <row r="2394" spans="1:66" x14ac:dyDescent="0.25">
      <c r="A2394" t="str">
        <f>HYPERLINK("https://elite.finviz.com/quote.ashx?t=JRSH&amp;ty=c&amp;p=d&amp;b=1", "JRSH")</f>
        <v>JRSH</v>
      </c>
      <c r="B2394">
        <v>5</v>
      </c>
      <c r="C2394">
        <v>126.51</v>
      </c>
      <c r="D2394">
        <v>45.08</v>
      </c>
      <c r="E2394" t="s">
        <v>23239</v>
      </c>
      <c r="F2394" t="s">
        <v>107</v>
      </c>
      <c r="G2394" t="s">
        <v>813</v>
      </c>
      <c r="H2394" t="s">
        <v>7446</v>
      </c>
      <c r="I2394" t="s">
        <v>70</v>
      </c>
      <c r="J2394" t="s">
        <v>321</v>
      </c>
      <c r="K2394">
        <v>42.48</v>
      </c>
      <c r="L2394">
        <v>3.35</v>
      </c>
      <c r="M2394" t="s">
        <v>2082</v>
      </c>
      <c r="N2394">
        <v>17575</v>
      </c>
      <c r="O2394">
        <v>51.54</v>
      </c>
      <c r="P2394">
        <v>9.16</v>
      </c>
      <c r="R2394">
        <v>0.28999999999999998</v>
      </c>
      <c r="S2394">
        <v>0.68</v>
      </c>
      <c r="T2394" t="s">
        <v>5152</v>
      </c>
      <c r="U2394">
        <v>0.2</v>
      </c>
      <c r="V2394" t="s">
        <v>4186</v>
      </c>
      <c r="W2394" t="s">
        <v>164</v>
      </c>
      <c r="X2394" t="s">
        <v>164</v>
      </c>
      <c r="Y2394" t="s">
        <v>164</v>
      </c>
      <c r="AA2394">
        <v>0.06</v>
      </c>
      <c r="AE2394" t="s">
        <v>8302</v>
      </c>
      <c r="AF2394" t="s">
        <v>2216</v>
      </c>
      <c r="AG2394" t="s">
        <v>3147</v>
      </c>
      <c r="AH2394" t="s">
        <v>3554</v>
      </c>
      <c r="AI2394" t="s">
        <v>8192</v>
      </c>
      <c r="AJ2394" t="s">
        <v>164</v>
      </c>
      <c r="AK2394" t="s">
        <v>3181</v>
      </c>
      <c r="AL2394">
        <v>2.85</v>
      </c>
      <c r="AM2394">
        <v>1.02</v>
      </c>
      <c r="AN2394">
        <v>0.08</v>
      </c>
      <c r="AO2394" t="s">
        <v>8781</v>
      </c>
      <c r="AP2394" t="s">
        <v>3842</v>
      </c>
      <c r="AQ2394" t="s">
        <v>6842</v>
      </c>
      <c r="AR2394" t="s">
        <v>2316</v>
      </c>
      <c r="AS2394" t="s">
        <v>170</v>
      </c>
      <c r="AT2394" t="s">
        <v>4149</v>
      </c>
      <c r="AU2394" t="s">
        <v>3113</v>
      </c>
      <c r="AV2394" t="s">
        <v>2486</v>
      </c>
      <c r="AW2394" t="s">
        <v>6060</v>
      </c>
      <c r="AX2394" t="s">
        <v>169</v>
      </c>
      <c r="AY2394" t="s">
        <v>4389</v>
      </c>
      <c r="AZ2394" t="s">
        <v>6393</v>
      </c>
      <c r="BA2394">
        <v>1</v>
      </c>
      <c r="BB2394">
        <v>43.67</v>
      </c>
      <c r="BC2394">
        <v>1.43</v>
      </c>
      <c r="BD2394">
        <v>3.29</v>
      </c>
      <c r="BE2394">
        <v>3.35</v>
      </c>
      <c r="BF2394">
        <v>3.3</v>
      </c>
      <c r="BG2394" t="s">
        <v>23240</v>
      </c>
      <c r="BH2394" t="s">
        <v>23241</v>
      </c>
      <c r="BI2394" t="s">
        <v>12507</v>
      </c>
      <c r="BJ2394" t="s">
        <v>101</v>
      </c>
      <c r="BK2394" t="s">
        <v>5258</v>
      </c>
      <c r="BL2394" t="s">
        <v>15052</v>
      </c>
      <c r="BM2394" t="s">
        <v>2912</v>
      </c>
      <c r="BN2394" t="s">
        <v>22882</v>
      </c>
    </row>
    <row r="2395" spans="1:66" x14ac:dyDescent="0.25">
      <c r="A2395" t="str">
        <f>HYPERLINK("https://elite.finviz.com/quote.ashx?t=BIAF&amp;ty=c&amp;p=d&amp;b=1", "BIAF")</f>
        <v>BIAF</v>
      </c>
      <c r="B2395">
        <v>5</v>
      </c>
      <c r="C2395">
        <v>126.51</v>
      </c>
      <c r="D2395">
        <v>45.16</v>
      </c>
      <c r="E2395" t="s">
        <v>23242</v>
      </c>
      <c r="F2395" t="s">
        <v>107</v>
      </c>
      <c r="G2395" t="s">
        <v>428</v>
      </c>
      <c r="H2395" t="s">
        <v>4202</v>
      </c>
      <c r="I2395" t="s">
        <v>70</v>
      </c>
      <c r="J2395" t="s">
        <v>321</v>
      </c>
      <c r="K2395">
        <v>7.6</v>
      </c>
      <c r="L2395">
        <v>5.68</v>
      </c>
      <c r="M2395" t="s">
        <v>23243</v>
      </c>
      <c r="N2395">
        <v>75368251</v>
      </c>
      <c r="R2395">
        <v>0.99</v>
      </c>
      <c r="AA2395">
        <v>-20.98</v>
      </c>
      <c r="AB2395" t="s">
        <v>371</v>
      </c>
      <c r="AC2395" t="s">
        <v>21990</v>
      </c>
      <c r="AE2395" t="s">
        <v>275</v>
      </c>
      <c r="AH2395" t="s">
        <v>23244</v>
      </c>
      <c r="AI2395" t="s">
        <v>23245</v>
      </c>
      <c r="AJ2395" t="s">
        <v>164</v>
      </c>
      <c r="AK2395" t="s">
        <v>2610</v>
      </c>
      <c r="AL2395">
        <v>0.64</v>
      </c>
      <c r="AM2395">
        <v>0.63</v>
      </c>
      <c r="AO2395" t="s">
        <v>9960</v>
      </c>
      <c r="AP2395" t="s">
        <v>23246</v>
      </c>
      <c r="AQ2395" t="s">
        <v>23247</v>
      </c>
      <c r="AR2395" t="s">
        <v>4621</v>
      </c>
      <c r="AS2395" t="s">
        <v>11319</v>
      </c>
      <c r="AT2395" t="s">
        <v>15759</v>
      </c>
      <c r="AU2395" t="s">
        <v>12065</v>
      </c>
      <c r="AV2395" t="s">
        <v>20575</v>
      </c>
      <c r="AW2395" t="s">
        <v>23248</v>
      </c>
      <c r="AX2395" t="s">
        <v>23249</v>
      </c>
      <c r="AY2395" t="s">
        <v>23250</v>
      </c>
      <c r="AZ2395" t="s">
        <v>23249</v>
      </c>
      <c r="BA2395">
        <v>1</v>
      </c>
      <c r="BB2395">
        <v>285.39</v>
      </c>
      <c r="BC2395">
        <v>930.38</v>
      </c>
      <c r="BD2395">
        <v>3.41</v>
      </c>
      <c r="BE2395">
        <v>7.25</v>
      </c>
      <c r="BF2395">
        <v>5.08</v>
      </c>
      <c r="BG2395" t="s">
        <v>23251</v>
      </c>
      <c r="BH2395" t="s">
        <v>17713</v>
      </c>
      <c r="BI2395" t="s">
        <v>23249</v>
      </c>
      <c r="BJ2395" t="s">
        <v>101</v>
      </c>
      <c r="BK2395" t="s">
        <v>18351</v>
      </c>
      <c r="BL2395" t="s">
        <v>14237</v>
      </c>
      <c r="BM2395" t="s">
        <v>17607</v>
      </c>
      <c r="BN2395" t="s">
        <v>22882</v>
      </c>
    </row>
    <row r="2396" spans="1:66" x14ac:dyDescent="0.25">
      <c r="A2396" t="str">
        <f>HYPERLINK("https://elite.finviz.com/quote.ashx?t=DBGI&amp;ty=c&amp;p=d&amp;b=1", "DBGI")</f>
        <v>DBGI</v>
      </c>
      <c r="B2396">
        <v>5</v>
      </c>
      <c r="C2396">
        <v>126.51</v>
      </c>
      <c r="D2396">
        <v>45.28</v>
      </c>
      <c r="E2396" t="s">
        <v>23252</v>
      </c>
      <c r="F2396" t="s">
        <v>107</v>
      </c>
      <c r="G2396" t="s">
        <v>813</v>
      </c>
      <c r="H2396" t="s">
        <v>4488</v>
      </c>
      <c r="I2396" t="s">
        <v>70</v>
      </c>
      <c r="J2396" t="s">
        <v>321</v>
      </c>
      <c r="K2396">
        <v>34.22</v>
      </c>
      <c r="L2396">
        <v>7.62</v>
      </c>
      <c r="M2396" t="s">
        <v>6388</v>
      </c>
      <c r="N2396">
        <v>195988</v>
      </c>
      <c r="R2396">
        <v>3.93</v>
      </c>
      <c r="S2396">
        <v>4.82</v>
      </c>
      <c r="AA2396">
        <v>-89.66</v>
      </c>
      <c r="AB2396" t="s">
        <v>23253</v>
      </c>
      <c r="AC2396" t="s">
        <v>23254</v>
      </c>
      <c r="AE2396" t="s">
        <v>2342</v>
      </c>
      <c r="AF2396" t="s">
        <v>7735</v>
      </c>
      <c r="AG2396" t="s">
        <v>12733</v>
      </c>
      <c r="AH2396" t="s">
        <v>2246</v>
      </c>
      <c r="AK2396" t="s">
        <v>5549</v>
      </c>
      <c r="AL2396">
        <v>0.33</v>
      </c>
      <c r="AM2396">
        <v>0.12</v>
      </c>
      <c r="AN2396">
        <v>0.9</v>
      </c>
      <c r="AO2396" t="s">
        <v>2362</v>
      </c>
      <c r="AP2396" t="s">
        <v>23255</v>
      </c>
      <c r="AQ2396" t="s">
        <v>23256</v>
      </c>
      <c r="AR2396" t="s">
        <v>1911</v>
      </c>
      <c r="AS2396" t="s">
        <v>1458</v>
      </c>
      <c r="AT2396" t="s">
        <v>1024</v>
      </c>
      <c r="AU2396" t="s">
        <v>23257</v>
      </c>
      <c r="AV2396" t="s">
        <v>6449</v>
      </c>
      <c r="AW2396" t="s">
        <v>21616</v>
      </c>
      <c r="AX2396" t="s">
        <v>5608</v>
      </c>
      <c r="AY2396" t="s">
        <v>18763</v>
      </c>
      <c r="AZ2396" t="s">
        <v>23258</v>
      </c>
      <c r="BB2396">
        <v>211.24</v>
      </c>
      <c r="BC2396">
        <v>3.27</v>
      </c>
      <c r="BD2396">
        <v>6.8</v>
      </c>
      <c r="BE2396">
        <v>7.77</v>
      </c>
      <c r="BF2396">
        <v>6.53</v>
      </c>
      <c r="BG2396" t="s">
        <v>23259</v>
      </c>
      <c r="BH2396" t="s">
        <v>579</v>
      </c>
      <c r="BI2396" t="s">
        <v>23258</v>
      </c>
      <c r="BJ2396" t="s">
        <v>101</v>
      </c>
      <c r="BK2396" t="s">
        <v>14628</v>
      </c>
      <c r="BL2396" t="s">
        <v>5718</v>
      </c>
      <c r="BM2396" t="s">
        <v>23260</v>
      </c>
      <c r="BN2396" t="s">
        <v>22882</v>
      </c>
    </row>
    <row r="2397" spans="1:66" x14ac:dyDescent="0.25">
      <c r="A2397" t="str">
        <f>HYPERLINK("https://elite.finviz.com/quote.ashx?t=JFB&amp;ty=c&amp;p=d&amp;b=1", "JFB")</f>
        <v>JFB</v>
      </c>
      <c r="B2397">
        <v>5</v>
      </c>
      <c r="C2397">
        <v>126.51</v>
      </c>
      <c r="D2397">
        <v>46.17</v>
      </c>
      <c r="E2397" t="s">
        <v>23261</v>
      </c>
      <c r="F2397" t="s">
        <v>107</v>
      </c>
      <c r="G2397" t="s">
        <v>68</v>
      </c>
      <c r="H2397" t="s">
        <v>11109</v>
      </c>
      <c r="I2397" t="s">
        <v>70</v>
      </c>
      <c r="J2397" t="s">
        <v>321</v>
      </c>
      <c r="K2397">
        <v>55.38</v>
      </c>
      <c r="L2397">
        <v>5.83</v>
      </c>
      <c r="M2397" t="s">
        <v>2459</v>
      </c>
      <c r="N2397">
        <v>12329</v>
      </c>
      <c r="R2397">
        <v>2.25</v>
      </c>
      <c r="S2397">
        <v>5.47</v>
      </c>
      <c r="AA2397">
        <v>-0.25</v>
      </c>
      <c r="AB2397" t="s">
        <v>23006</v>
      </c>
      <c r="AE2397" t="s">
        <v>1449</v>
      </c>
      <c r="AF2397" t="s">
        <v>7176</v>
      </c>
      <c r="AH2397" t="s">
        <v>23262</v>
      </c>
      <c r="AJ2397" t="s">
        <v>164</v>
      </c>
      <c r="AK2397" t="s">
        <v>1022</v>
      </c>
      <c r="AL2397">
        <v>4.96</v>
      </c>
      <c r="AM2397">
        <v>4.96</v>
      </c>
      <c r="AN2397">
        <v>7.0000000000000007E-2</v>
      </c>
      <c r="AO2397" t="s">
        <v>4331</v>
      </c>
      <c r="AP2397" t="s">
        <v>23263</v>
      </c>
      <c r="AQ2397" t="s">
        <v>19766</v>
      </c>
      <c r="AR2397" t="s">
        <v>11641</v>
      </c>
      <c r="AS2397" t="s">
        <v>4258</v>
      </c>
      <c r="AT2397" t="s">
        <v>91</v>
      </c>
      <c r="AU2397" t="s">
        <v>11437</v>
      </c>
      <c r="AV2397" t="s">
        <v>5132</v>
      </c>
      <c r="AW2397" t="s">
        <v>23264</v>
      </c>
      <c r="AX2397" t="s">
        <v>1284</v>
      </c>
      <c r="AY2397" t="s">
        <v>23264</v>
      </c>
      <c r="AZ2397" t="s">
        <v>1312</v>
      </c>
      <c r="BB2397">
        <v>38.049999999999997</v>
      </c>
      <c r="BC2397">
        <v>1.1399999999999999</v>
      </c>
      <c r="BD2397">
        <v>5.32</v>
      </c>
      <c r="BE2397">
        <v>5.75</v>
      </c>
      <c r="BF2397">
        <v>5.35</v>
      </c>
      <c r="BG2397" t="s">
        <v>23265</v>
      </c>
      <c r="BH2397" t="s">
        <v>23264</v>
      </c>
      <c r="BI2397" t="s">
        <v>1312</v>
      </c>
      <c r="BJ2397" t="s">
        <v>101</v>
      </c>
      <c r="BK2397" t="s">
        <v>12282</v>
      </c>
      <c r="BL2397" t="s">
        <v>6959</v>
      </c>
      <c r="BN2397" t="s">
        <v>22882</v>
      </c>
    </row>
    <row r="2398" spans="1:66" x14ac:dyDescent="0.25">
      <c r="A2398" t="str">
        <f>HYPERLINK("https://elite.finviz.com/quote.ashx?t=ENTA&amp;ty=c&amp;p=d&amp;b=1", "ENTA")</f>
        <v>ENTA</v>
      </c>
      <c r="B2398">
        <v>5</v>
      </c>
      <c r="C2398">
        <v>126.51</v>
      </c>
      <c r="D2398">
        <v>46.4</v>
      </c>
      <c r="E2398" t="s">
        <v>23266</v>
      </c>
      <c r="F2398" t="s">
        <v>67</v>
      </c>
      <c r="G2398" t="s">
        <v>428</v>
      </c>
      <c r="H2398" t="s">
        <v>429</v>
      </c>
      <c r="I2398" t="s">
        <v>70</v>
      </c>
      <c r="J2398" t="s">
        <v>321</v>
      </c>
      <c r="K2398">
        <v>165.04</v>
      </c>
      <c r="L2398">
        <v>7.72</v>
      </c>
      <c r="M2398" t="s">
        <v>3388</v>
      </c>
      <c r="N2398">
        <v>148280</v>
      </c>
      <c r="R2398">
        <v>2.5499999999999998</v>
      </c>
      <c r="S2398">
        <v>2.08</v>
      </c>
      <c r="AA2398">
        <v>-4.32</v>
      </c>
      <c r="AB2398" t="s">
        <v>11638</v>
      </c>
      <c r="AD2398" t="s">
        <v>4876</v>
      </c>
      <c r="AE2398" t="s">
        <v>11990</v>
      </c>
      <c r="AF2398" t="s">
        <v>10687</v>
      </c>
      <c r="AG2398" t="s">
        <v>23267</v>
      </c>
      <c r="AH2398" t="s">
        <v>909</v>
      </c>
      <c r="AI2398" t="s">
        <v>892</v>
      </c>
      <c r="AJ2398" t="s">
        <v>164</v>
      </c>
      <c r="AK2398" t="s">
        <v>23268</v>
      </c>
      <c r="AL2398">
        <v>5</v>
      </c>
      <c r="AM2398">
        <v>5</v>
      </c>
      <c r="AN2398">
        <v>2.61</v>
      </c>
      <c r="AO2398" t="s">
        <v>8104</v>
      </c>
      <c r="AP2398" t="s">
        <v>23269</v>
      </c>
      <c r="AQ2398" t="s">
        <v>23270</v>
      </c>
      <c r="AR2398" t="s">
        <v>9936</v>
      </c>
      <c r="AS2398" t="s">
        <v>3229</v>
      </c>
      <c r="AT2398" t="s">
        <v>1929</v>
      </c>
      <c r="AU2398" t="s">
        <v>7262</v>
      </c>
      <c r="AV2398" t="s">
        <v>9096</v>
      </c>
      <c r="AW2398" t="s">
        <v>16527</v>
      </c>
      <c r="AX2398" t="s">
        <v>2636</v>
      </c>
      <c r="AY2398" t="s">
        <v>23271</v>
      </c>
      <c r="AZ2398" t="s">
        <v>10757</v>
      </c>
      <c r="BA2398">
        <v>1.71</v>
      </c>
      <c r="BB2398">
        <v>184.67</v>
      </c>
      <c r="BC2398">
        <v>2.85</v>
      </c>
      <c r="BD2398">
        <v>7.75</v>
      </c>
      <c r="BE2398">
        <v>7.93</v>
      </c>
      <c r="BF2398">
        <v>7.52</v>
      </c>
      <c r="BG2398" t="s">
        <v>23272</v>
      </c>
      <c r="BH2398" t="s">
        <v>23273</v>
      </c>
      <c r="BI2398" t="s">
        <v>10757</v>
      </c>
      <c r="BJ2398" t="s">
        <v>101</v>
      </c>
      <c r="BK2398" t="s">
        <v>307</v>
      </c>
      <c r="BL2398" t="s">
        <v>16538</v>
      </c>
      <c r="BM2398" t="s">
        <v>15129</v>
      </c>
      <c r="BN2398" t="s">
        <v>22882</v>
      </c>
    </row>
    <row r="2399" spans="1:66" x14ac:dyDescent="0.25">
      <c r="A2399" t="str">
        <f>HYPERLINK("https://elite.finviz.com/quote.ashx?t=NYC&amp;ty=c&amp;p=d&amp;b=1", "NYC")</f>
        <v>NYC</v>
      </c>
      <c r="B2399">
        <v>5</v>
      </c>
      <c r="C2399">
        <v>126.51</v>
      </c>
      <c r="D2399">
        <v>46.45</v>
      </c>
      <c r="E2399" t="s">
        <v>23274</v>
      </c>
      <c r="F2399" t="s">
        <v>107</v>
      </c>
      <c r="G2399" t="s">
        <v>68</v>
      </c>
      <c r="H2399" t="s">
        <v>7494</v>
      </c>
      <c r="I2399" t="s">
        <v>70</v>
      </c>
      <c r="J2399" t="s">
        <v>71</v>
      </c>
      <c r="K2399">
        <v>26.74</v>
      </c>
      <c r="L2399">
        <v>10.16</v>
      </c>
      <c r="M2399" t="s">
        <v>714</v>
      </c>
      <c r="N2399">
        <v>1319</v>
      </c>
      <c r="R2399">
        <v>0.48</v>
      </c>
      <c r="S2399">
        <v>0.75</v>
      </c>
      <c r="V2399" t="s">
        <v>23275</v>
      </c>
      <c r="AA2399">
        <v>-35.9</v>
      </c>
      <c r="AB2399" t="s">
        <v>22927</v>
      </c>
      <c r="AC2399" t="s">
        <v>657</v>
      </c>
      <c r="AE2399" t="s">
        <v>23276</v>
      </c>
      <c r="AF2399" t="s">
        <v>629</v>
      </c>
      <c r="AG2399" t="s">
        <v>3811</v>
      </c>
      <c r="AH2399" t="s">
        <v>11868</v>
      </c>
      <c r="AJ2399" t="s">
        <v>3035</v>
      </c>
      <c r="AK2399" t="s">
        <v>4189</v>
      </c>
      <c r="AL2399">
        <v>0.36</v>
      </c>
      <c r="AM2399">
        <v>0.36</v>
      </c>
      <c r="AN2399">
        <v>11.36</v>
      </c>
      <c r="AO2399" t="s">
        <v>4879</v>
      </c>
      <c r="AP2399" t="s">
        <v>19672</v>
      </c>
      <c r="AQ2399" t="s">
        <v>23277</v>
      </c>
      <c r="AR2399" t="s">
        <v>863</v>
      </c>
      <c r="AS2399" t="s">
        <v>3050</v>
      </c>
      <c r="AT2399" t="s">
        <v>4256</v>
      </c>
      <c r="AU2399" t="s">
        <v>2901</v>
      </c>
      <c r="AV2399" t="s">
        <v>12333</v>
      </c>
      <c r="AW2399" t="s">
        <v>23278</v>
      </c>
      <c r="AX2399" t="s">
        <v>4110</v>
      </c>
      <c r="AY2399" t="s">
        <v>23279</v>
      </c>
      <c r="AZ2399" t="s">
        <v>18724</v>
      </c>
      <c r="BA2399">
        <v>3</v>
      </c>
      <c r="BB2399">
        <v>4.49</v>
      </c>
      <c r="BC2399">
        <v>1.04</v>
      </c>
      <c r="BD2399">
        <v>9.9499999999999993</v>
      </c>
      <c r="BE2399">
        <v>10.199999999999999</v>
      </c>
      <c r="BF2399">
        <v>9.9700000000000006</v>
      </c>
      <c r="BG2399" t="s">
        <v>23280</v>
      </c>
      <c r="BH2399" t="s">
        <v>23281</v>
      </c>
      <c r="BI2399" t="s">
        <v>23282</v>
      </c>
      <c r="BJ2399" t="s">
        <v>101</v>
      </c>
      <c r="BK2399" t="s">
        <v>5781</v>
      </c>
      <c r="BL2399" t="s">
        <v>4149</v>
      </c>
      <c r="BM2399" t="s">
        <v>5699</v>
      </c>
      <c r="BN2399" t="s">
        <v>22882</v>
      </c>
    </row>
    <row r="2400" spans="1:66" x14ac:dyDescent="0.25">
      <c r="A2400" t="str">
        <f>HYPERLINK("https://elite.finviz.com/quote.ashx?t=SOL&amp;ty=c&amp;p=d&amp;b=1", "SOL")</f>
        <v>SOL</v>
      </c>
      <c r="B2400">
        <v>5</v>
      </c>
      <c r="C2400">
        <v>126.51</v>
      </c>
      <c r="D2400">
        <v>46.47</v>
      </c>
      <c r="E2400" t="s">
        <v>23283</v>
      </c>
      <c r="F2400" t="s">
        <v>107</v>
      </c>
      <c r="G2400" t="s">
        <v>108</v>
      </c>
      <c r="H2400" t="s">
        <v>2924</v>
      </c>
      <c r="I2400" t="s">
        <v>70</v>
      </c>
      <c r="J2400" t="s">
        <v>71</v>
      </c>
      <c r="K2400">
        <v>95.72</v>
      </c>
      <c r="L2400">
        <v>1.87</v>
      </c>
      <c r="M2400" t="s">
        <v>1067</v>
      </c>
      <c r="N2400">
        <v>419520</v>
      </c>
      <c r="R2400">
        <v>1.4</v>
      </c>
      <c r="S2400">
        <v>0.31</v>
      </c>
      <c r="AA2400">
        <v>-0.08</v>
      </c>
      <c r="AC2400" t="s">
        <v>1180</v>
      </c>
      <c r="AE2400" t="s">
        <v>23284</v>
      </c>
      <c r="AF2400" t="s">
        <v>912</v>
      </c>
      <c r="AG2400" t="s">
        <v>5558</v>
      </c>
      <c r="AH2400" t="s">
        <v>23285</v>
      </c>
      <c r="AI2400" t="s">
        <v>23286</v>
      </c>
      <c r="AJ2400" t="s">
        <v>164</v>
      </c>
      <c r="AK2400" t="s">
        <v>7932</v>
      </c>
      <c r="AL2400">
        <v>3.18</v>
      </c>
      <c r="AM2400">
        <v>3.18</v>
      </c>
      <c r="AN2400">
        <v>0.27</v>
      </c>
      <c r="AO2400" t="s">
        <v>3043</v>
      </c>
      <c r="AP2400" t="s">
        <v>5059</v>
      </c>
      <c r="AQ2400" t="s">
        <v>7402</v>
      </c>
      <c r="AR2400" t="s">
        <v>102</v>
      </c>
      <c r="AS2400" t="s">
        <v>4856</v>
      </c>
      <c r="AT2400" t="s">
        <v>2197</v>
      </c>
      <c r="AU2400" t="s">
        <v>1574</v>
      </c>
      <c r="AV2400" t="s">
        <v>5025</v>
      </c>
      <c r="AW2400" t="s">
        <v>7689</v>
      </c>
      <c r="AX2400" t="s">
        <v>2543</v>
      </c>
      <c r="AY2400" t="s">
        <v>18167</v>
      </c>
      <c r="AZ2400" t="s">
        <v>7163</v>
      </c>
      <c r="BA2400">
        <v>1</v>
      </c>
      <c r="BB2400">
        <v>185.26</v>
      </c>
      <c r="BC2400">
        <v>8.0500000000000007</v>
      </c>
      <c r="BD2400">
        <v>1.88</v>
      </c>
      <c r="BE2400">
        <v>1.88</v>
      </c>
      <c r="BF2400">
        <v>1.85</v>
      </c>
      <c r="BG2400" t="s">
        <v>23287</v>
      </c>
      <c r="BH2400" t="s">
        <v>23288</v>
      </c>
      <c r="BI2400" t="s">
        <v>23289</v>
      </c>
      <c r="BJ2400" t="s">
        <v>101</v>
      </c>
      <c r="BK2400" t="s">
        <v>4280</v>
      </c>
      <c r="BL2400" t="s">
        <v>9681</v>
      </c>
      <c r="BM2400" t="s">
        <v>11311</v>
      </c>
      <c r="BN2400" t="s">
        <v>22882</v>
      </c>
    </row>
    <row r="2401" spans="1:66" x14ac:dyDescent="0.25">
      <c r="A2401" t="str">
        <f>HYPERLINK("https://elite.finviz.com/quote.ashx?t=INUV&amp;ty=c&amp;p=d&amp;b=1", "INUV")</f>
        <v>INUV</v>
      </c>
      <c r="B2401">
        <v>5</v>
      </c>
      <c r="C2401">
        <v>126.51</v>
      </c>
      <c r="D2401">
        <v>46.68</v>
      </c>
      <c r="E2401" t="s">
        <v>23290</v>
      </c>
      <c r="F2401" t="s">
        <v>107</v>
      </c>
      <c r="G2401" t="s">
        <v>108</v>
      </c>
      <c r="H2401" t="s">
        <v>136</v>
      </c>
      <c r="I2401" t="s">
        <v>70</v>
      </c>
      <c r="J2401" t="s">
        <v>383</v>
      </c>
      <c r="K2401">
        <v>52.98</v>
      </c>
      <c r="L2401">
        <v>3.63</v>
      </c>
      <c r="M2401" t="s">
        <v>5085</v>
      </c>
      <c r="N2401">
        <v>212944</v>
      </c>
      <c r="P2401">
        <v>1452</v>
      </c>
      <c r="R2401">
        <v>0.54</v>
      </c>
      <c r="S2401">
        <v>4.3499999999999996</v>
      </c>
      <c r="AA2401">
        <v>-0.33</v>
      </c>
      <c r="AB2401" t="s">
        <v>73</v>
      </c>
      <c r="AC2401" t="s">
        <v>10809</v>
      </c>
      <c r="AE2401" t="s">
        <v>12886</v>
      </c>
      <c r="AF2401" t="s">
        <v>904</v>
      </c>
      <c r="AG2401" t="s">
        <v>463</v>
      </c>
      <c r="AH2401" t="s">
        <v>15950</v>
      </c>
      <c r="AI2401" t="s">
        <v>791</v>
      </c>
      <c r="AJ2401" t="s">
        <v>6842</v>
      </c>
      <c r="AK2401" t="s">
        <v>2862</v>
      </c>
      <c r="AL2401">
        <v>0.79</v>
      </c>
      <c r="AM2401">
        <v>0.79</v>
      </c>
      <c r="AN2401">
        <v>7.0000000000000007E-2</v>
      </c>
      <c r="AO2401" t="s">
        <v>7583</v>
      </c>
      <c r="AP2401" t="s">
        <v>2586</v>
      </c>
      <c r="AQ2401" t="s">
        <v>5294</v>
      </c>
      <c r="AR2401" t="s">
        <v>11159</v>
      </c>
      <c r="AS2401" t="s">
        <v>4760</v>
      </c>
      <c r="AT2401" t="s">
        <v>273</v>
      </c>
      <c r="AU2401" t="s">
        <v>15315</v>
      </c>
      <c r="AV2401" t="s">
        <v>11557</v>
      </c>
      <c r="AW2401" t="s">
        <v>2302</v>
      </c>
      <c r="AX2401" t="s">
        <v>1297</v>
      </c>
      <c r="AY2401" t="s">
        <v>23291</v>
      </c>
      <c r="AZ2401" t="s">
        <v>23292</v>
      </c>
      <c r="BA2401">
        <v>1</v>
      </c>
      <c r="BB2401">
        <v>125.2</v>
      </c>
      <c r="BC2401">
        <v>6.04</v>
      </c>
      <c r="BD2401">
        <v>3.96</v>
      </c>
      <c r="BE2401">
        <v>4.16</v>
      </c>
      <c r="BF2401">
        <v>3.56</v>
      </c>
      <c r="BG2401" t="s">
        <v>23293</v>
      </c>
      <c r="BH2401" t="s">
        <v>7802</v>
      </c>
      <c r="BI2401" t="s">
        <v>23294</v>
      </c>
      <c r="BJ2401" t="s">
        <v>101</v>
      </c>
      <c r="BK2401" t="s">
        <v>19999</v>
      </c>
      <c r="BL2401" t="s">
        <v>6303</v>
      </c>
      <c r="BM2401" t="s">
        <v>13135</v>
      </c>
      <c r="BN2401" t="s">
        <v>22882</v>
      </c>
    </row>
    <row r="2402" spans="1:66" x14ac:dyDescent="0.25">
      <c r="A2402" t="str">
        <f>HYPERLINK("https://elite.finviz.com/quote.ashx?t=TZUP&amp;ty=c&amp;p=d&amp;b=1", "TZUP")</f>
        <v>TZUP</v>
      </c>
      <c r="B2402">
        <v>5</v>
      </c>
      <c r="C2402">
        <v>126.51</v>
      </c>
      <c r="D2402">
        <v>47.27</v>
      </c>
      <c r="E2402" t="s">
        <v>23295</v>
      </c>
      <c r="F2402" t="s">
        <v>107</v>
      </c>
      <c r="G2402" t="s">
        <v>598</v>
      </c>
      <c r="H2402" t="s">
        <v>1020</v>
      </c>
      <c r="I2402" t="s">
        <v>70</v>
      </c>
      <c r="J2402" t="s">
        <v>321</v>
      </c>
      <c r="K2402">
        <v>92.28</v>
      </c>
      <c r="L2402">
        <v>5.67</v>
      </c>
      <c r="M2402" t="s">
        <v>341</v>
      </c>
      <c r="N2402">
        <v>601881</v>
      </c>
      <c r="S2402">
        <v>29.85</v>
      </c>
      <c r="AA2402">
        <v>-0.74</v>
      </c>
      <c r="AB2402" t="s">
        <v>5871</v>
      </c>
      <c r="AC2402" t="s">
        <v>23296</v>
      </c>
      <c r="AF2402" t="s">
        <v>14292</v>
      </c>
      <c r="AH2402" t="s">
        <v>7242</v>
      </c>
      <c r="AJ2402" t="s">
        <v>23297</v>
      </c>
      <c r="AK2402" t="s">
        <v>2650</v>
      </c>
      <c r="AL2402">
        <v>0.27</v>
      </c>
      <c r="AM2402">
        <v>0.27</v>
      </c>
      <c r="AN2402">
        <v>0</v>
      </c>
      <c r="AO2402" t="s">
        <v>23298</v>
      </c>
      <c r="AR2402" t="s">
        <v>4965</v>
      </c>
      <c r="AS2402" t="s">
        <v>6587</v>
      </c>
      <c r="AT2402" t="s">
        <v>5912</v>
      </c>
      <c r="AU2402" t="s">
        <v>15523</v>
      </c>
      <c r="AV2402" t="s">
        <v>137</v>
      </c>
      <c r="AW2402" t="s">
        <v>5495</v>
      </c>
      <c r="AX2402" t="s">
        <v>18873</v>
      </c>
      <c r="AY2402" t="s">
        <v>5495</v>
      </c>
      <c r="AZ2402" t="s">
        <v>23299</v>
      </c>
      <c r="BB2402">
        <v>710.92</v>
      </c>
      <c r="BC2402">
        <v>2.98</v>
      </c>
      <c r="BD2402">
        <v>5.16</v>
      </c>
      <c r="BE2402">
        <v>5.94</v>
      </c>
      <c r="BF2402">
        <v>5.39</v>
      </c>
      <c r="BG2402" t="s">
        <v>23300</v>
      </c>
      <c r="BH2402" t="s">
        <v>5495</v>
      </c>
      <c r="BI2402" t="s">
        <v>23299</v>
      </c>
      <c r="BJ2402" t="s">
        <v>101</v>
      </c>
      <c r="BK2402" t="s">
        <v>14951</v>
      </c>
      <c r="BL2402" t="s">
        <v>19969</v>
      </c>
      <c r="BM2402" t="s">
        <v>6276</v>
      </c>
      <c r="BN2402" t="s">
        <v>22882</v>
      </c>
    </row>
    <row r="2403" spans="1:66" x14ac:dyDescent="0.25">
      <c r="A2403" t="str">
        <f>HYPERLINK("https://elite.finviz.com/quote.ashx?t=ASTC&amp;ty=c&amp;p=d&amp;b=1", "ASTC")</f>
        <v>ASTC</v>
      </c>
      <c r="B2403">
        <v>5</v>
      </c>
      <c r="C2403">
        <v>126.51</v>
      </c>
      <c r="D2403">
        <v>47.33</v>
      </c>
      <c r="E2403" t="s">
        <v>23301</v>
      </c>
      <c r="F2403" t="s">
        <v>107</v>
      </c>
      <c r="G2403" t="s">
        <v>108</v>
      </c>
      <c r="H2403" t="s">
        <v>9222</v>
      </c>
      <c r="I2403" t="s">
        <v>70</v>
      </c>
      <c r="J2403" t="s">
        <v>321</v>
      </c>
      <c r="K2403">
        <v>8.42</v>
      </c>
      <c r="L2403">
        <v>4.97</v>
      </c>
      <c r="M2403" t="s">
        <v>6829</v>
      </c>
      <c r="N2403">
        <v>6387</v>
      </c>
      <c r="R2403">
        <v>8.02</v>
      </c>
      <c r="S2403">
        <v>0.4</v>
      </c>
      <c r="AA2403">
        <v>-8.39</v>
      </c>
      <c r="AB2403" t="s">
        <v>5866</v>
      </c>
      <c r="AC2403" t="s">
        <v>5207</v>
      </c>
      <c r="AE2403" t="s">
        <v>9760</v>
      </c>
      <c r="AF2403" t="s">
        <v>2398</v>
      </c>
      <c r="AG2403" t="s">
        <v>949</v>
      </c>
      <c r="AH2403" t="s">
        <v>23302</v>
      </c>
      <c r="AJ2403" t="s">
        <v>164</v>
      </c>
      <c r="AK2403" t="s">
        <v>5792</v>
      </c>
      <c r="AL2403">
        <v>8.9700000000000006</v>
      </c>
      <c r="AM2403">
        <v>7.77</v>
      </c>
      <c r="AN2403">
        <v>0.12</v>
      </c>
      <c r="AO2403" t="s">
        <v>734</v>
      </c>
      <c r="AP2403" t="s">
        <v>23303</v>
      </c>
      <c r="AQ2403" t="s">
        <v>23304</v>
      </c>
      <c r="AR2403" t="s">
        <v>4678</v>
      </c>
      <c r="AS2403" t="s">
        <v>2838</v>
      </c>
      <c r="AT2403" t="s">
        <v>3027</v>
      </c>
      <c r="AU2403" t="s">
        <v>7468</v>
      </c>
      <c r="AV2403" t="s">
        <v>11181</v>
      </c>
      <c r="AW2403" t="s">
        <v>8993</v>
      </c>
      <c r="AX2403" t="s">
        <v>4995</v>
      </c>
      <c r="AY2403" t="s">
        <v>4349</v>
      </c>
      <c r="AZ2403" t="s">
        <v>4995</v>
      </c>
      <c r="BA2403">
        <v>1</v>
      </c>
      <c r="BB2403">
        <v>6.95</v>
      </c>
      <c r="BC2403">
        <v>3.27</v>
      </c>
      <c r="BD2403">
        <v>4.9000000000000004</v>
      </c>
      <c r="BE2403">
        <v>4.8899999999999997</v>
      </c>
      <c r="BF2403">
        <v>4.8600000000000003</v>
      </c>
      <c r="BG2403" t="s">
        <v>23305</v>
      </c>
      <c r="BH2403" t="s">
        <v>3265</v>
      </c>
      <c r="BI2403" t="s">
        <v>4995</v>
      </c>
      <c r="BJ2403" t="s">
        <v>101</v>
      </c>
      <c r="BK2403" t="s">
        <v>20037</v>
      </c>
      <c r="BL2403" t="s">
        <v>9565</v>
      </c>
      <c r="BM2403" t="s">
        <v>2874</v>
      </c>
      <c r="BN2403" t="s">
        <v>22882</v>
      </c>
    </row>
    <row r="2404" spans="1:66" x14ac:dyDescent="0.25">
      <c r="A2404" t="str">
        <f>HYPERLINK("https://elite.finviz.com/quote.ashx?t=FUSB&amp;ty=c&amp;p=d&amp;b=1", "FUSB")</f>
        <v>FUSB</v>
      </c>
      <c r="B2404">
        <v>5</v>
      </c>
      <c r="C2404">
        <v>126.51</v>
      </c>
      <c r="D2404">
        <v>48.1</v>
      </c>
      <c r="E2404" t="s">
        <v>23306</v>
      </c>
      <c r="F2404" t="s">
        <v>107</v>
      </c>
      <c r="G2404" t="s">
        <v>550</v>
      </c>
      <c r="H2404" t="s">
        <v>697</v>
      </c>
      <c r="I2404" t="s">
        <v>70</v>
      </c>
      <c r="J2404" t="s">
        <v>321</v>
      </c>
      <c r="K2404">
        <v>69.290000000000006</v>
      </c>
      <c r="L2404">
        <v>12.03</v>
      </c>
      <c r="M2404" t="s">
        <v>4266</v>
      </c>
      <c r="N2404">
        <v>9543</v>
      </c>
      <c r="O2404">
        <v>12.42</v>
      </c>
      <c r="R2404">
        <v>1.1200000000000001</v>
      </c>
      <c r="S2404">
        <v>0.68</v>
      </c>
      <c r="T2404" t="s">
        <v>180</v>
      </c>
      <c r="U2404">
        <v>0.28000000000000003</v>
      </c>
      <c r="V2404" t="s">
        <v>2620</v>
      </c>
      <c r="W2404" t="s">
        <v>3962</v>
      </c>
      <c r="X2404" t="s">
        <v>1819</v>
      </c>
      <c r="Y2404" t="s">
        <v>12410</v>
      </c>
      <c r="Z2404" t="s">
        <v>5976</v>
      </c>
      <c r="AA2404">
        <v>0.97</v>
      </c>
      <c r="AB2404" t="s">
        <v>6446</v>
      </c>
      <c r="AC2404" t="s">
        <v>2612</v>
      </c>
      <c r="AE2404" t="s">
        <v>2080</v>
      </c>
      <c r="AF2404" t="s">
        <v>953</v>
      </c>
      <c r="AG2404" t="s">
        <v>372</v>
      </c>
      <c r="AH2404" t="s">
        <v>4891</v>
      </c>
      <c r="AJ2404" t="s">
        <v>2880</v>
      </c>
      <c r="AK2404" t="s">
        <v>5473</v>
      </c>
      <c r="AL2404">
        <v>0.17</v>
      </c>
      <c r="AN2404">
        <v>0.47</v>
      </c>
      <c r="AP2404" t="s">
        <v>7068</v>
      </c>
      <c r="AQ2404" t="s">
        <v>3141</v>
      </c>
      <c r="AR2404" t="s">
        <v>322</v>
      </c>
      <c r="AS2404" t="s">
        <v>7978</v>
      </c>
      <c r="AT2404" t="s">
        <v>6194</v>
      </c>
      <c r="AU2404" t="s">
        <v>6464</v>
      </c>
      <c r="AV2404" t="s">
        <v>12466</v>
      </c>
      <c r="AW2404" t="s">
        <v>13083</v>
      </c>
      <c r="AX2404" t="s">
        <v>16032</v>
      </c>
      <c r="AY2404" t="s">
        <v>20477</v>
      </c>
      <c r="AZ2404" t="s">
        <v>16032</v>
      </c>
      <c r="BA2404">
        <v>3</v>
      </c>
      <c r="BB2404">
        <v>3.58</v>
      </c>
      <c r="BC2404">
        <v>9.48</v>
      </c>
      <c r="BD2404">
        <v>12</v>
      </c>
      <c r="BE2404">
        <v>12.01</v>
      </c>
      <c r="BF2404">
        <v>12</v>
      </c>
      <c r="BG2404" t="s">
        <v>23307</v>
      </c>
      <c r="BH2404" t="s">
        <v>23308</v>
      </c>
      <c r="BI2404" t="s">
        <v>23309</v>
      </c>
      <c r="BJ2404" t="s">
        <v>101</v>
      </c>
      <c r="BK2404" t="s">
        <v>8190</v>
      </c>
      <c r="BL2404" t="s">
        <v>2052</v>
      </c>
      <c r="BM2404" t="s">
        <v>1533</v>
      </c>
      <c r="BN2404" t="s">
        <v>22882</v>
      </c>
    </row>
    <row r="2405" spans="1:66" x14ac:dyDescent="0.25">
      <c r="A2405" t="str">
        <f>HYPERLINK("https://elite.finviz.com/quote.ashx?t=BNZI&amp;ty=c&amp;p=d&amp;b=1", "BNZI")</f>
        <v>BNZI</v>
      </c>
      <c r="B2405">
        <v>5</v>
      </c>
      <c r="C2405">
        <v>126.51</v>
      </c>
      <c r="D2405">
        <v>48.33</v>
      </c>
      <c r="E2405" t="s">
        <v>23310</v>
      </c>
      <c r="F2405" t="s">
        <v>107</v>
      </c>
      <c r="G2405" t="s">
        <v>108</v>
      </c>
      <c r="H2405" t="s">
        <v>136</v>
      </c>
      <c r="I2405" t="s">
        <v>70</v>
      </c>
      <c r="J2405" t="s">
        <v>321</v>
      </c>
      <c r="K2405">
        <v>12.53</v>
      </c>
      <c r="L2405">
        <v>2.74</v>
      </c>
      <c r="M2405" t="s">
        <v>10170</v>
      </c>
      <c r="N2405">
        <v>252153</v>
      </c>
      <c r="R2405">
        <v>1.39</v>
      </c>
      <c r="S2405">
        <v>2.15</v>
      </c>
      <c r="AA2405">
        <v>-63.4</v>
      </c>
      <c r="AC2405" t="s">
        <v>8650</v>
      </c>
      <c r="AE2405" t="s">
        <v>17107</v>
      </c>
      <c r="AH2405" t="s">
        <v>23311</v>
      </c>
      <c r="AI2405" t="s">
        <v>23312</v>
      </c>
      <c r="AJ2405" t="s">
        <v>8238</v>
      </c>
      <c r="AK2405" t="s">
        <v>2424</v>
      </c>
      <c r="AL2405">
        <v>0.13</v>
      </c>
      <c r="AM2405">
        <v>0.13</v>
      </c>
      <c r="AN2405">
        <v>5.01</v>
      </c>
      <c r="AO2405" t="s">
        <v>23313</v>
      </c>
      <c r="AP2405" t="s">
        <v>23314</v>
      </c>
      <c r="AQ2405" t="s">
        <v>23315</v>
      </c>
      <c r="AR2405" t="s">
        <v>2877</v>
      </c>
      <c r="AS2405" t="s">
        <v>2849</v>
      </c>
      <c r="AT2405" t="s">
        <v>7210</v>
      </c>
      <c r="AU2405" t="s">
        <v>14774</v>
      </c>
      <c r="AV2405" t="s">
        <v>23316</v>
      </c>
      <c r="AW2405" t="s">
        <v>621</v>
      </c>
      <c r="AX2405" t="s">
        <v>6044</v>
      </c>
      <c r="AY2405" t="s">
        <v>15370</v>
      </c>
      <c r="AZ2405" t="s">
        <v>6044</v>
      </c>
      <c r="BA2405">
        <v>1</v>
      </c>
      <c r="BB2405">
        <v>362.26</v>
      </c>
      <c r="BC2405">
        <v>2.4500000000000002</v>
      </c>
      <c r="BD2405">
        <v>3.02</v>
      </c>
      <c r="BE2405">
        <v>3.04</v>
      </c>
      <c r="BF2405">
        <v>2.73</v>
      </c>
      <c r="BG2405" t="s">
        <v>23317</v>
      </c>
      <c r="BH2405" t="s">
        <v>5233</v>
      </c>
      <c r="BI2405" t="s">
        <v>6044</v>
      </c>
      <c r="BJ2405" t="s">
        <v>101</v>
      </c>
      <c r="BK2405" t="s">
        <v>23318</v>
      </c>
      <c r="BL2405" t="s">
        <v>23319</v>
      </c>
      <c r="BM2405" t="s">
        <v>23320</v>
      </c>
      <c r="BN2405" t="s">
        <v>22882</v>
      </c>
    </row>
    <row r="2406" spans="1:66" x14ac:dyDescent="0.25">
      <c r="A2406" t="str">
        <f>HYPERLINK("https://elite.finviz.com/quote.ashx?t=HUSA&amp;ty=c&amp;p=d&amp;b=1", "HUSA")</f>
        <v>HUSA</v>
      </c>
      <c r="B2406">
        <v>5</v>
      </c>
      <c r="C2406">
        <v>126.51</v>
      </c>
      <c r="D2406">
        <v>48.54</v>
      </c>
      <c r="E2406" t="s">
        <v>23321</v>
      </c>
      <c r="F2406" t="s">
        <v>107</v>
      </c>
      <c r="G2406" t="s">
        <v>1048</v>
      </c>
      <c r="H2406" t="s">
        <v>1049</v>
      </c>
      <c r="I2406" t="s">
        <v>70</v>
      </c>
      <c r="J2406" t="s">
        <v>383</v>
      </c>
      <c r="K2406">
        <v>254.85</v>
      </c>
      <c r="L2406">
        <v>7.47</v>
      </c>
      <c r="M2406" t="s">
        <v>1243</v>
      </c>
      <c r="N2406">
        <v>307181</v>
      </c>
      <c r="R2406">
        <v>499.7</v>
      </c>
      <c r="S2406">
        <v>1.69</v>
      </c>
      <c r="V2406" t="s">
        <v>23322</v>
      </c>
      <c r="AA2406">
        <v>-8.9700000000000006</v>
      </c>
      <c r="AB2406" t="s">
        <v>14385</v>
      </c>
      <c r="AC2406" t="s">
        <v>17624</v>
      </c>
      <c r="AE2406" t="s">
        <v>16798</v>
      </c>
      <c r="AF2406" t="s">
        <v>23323</v>
      </c>
      <c r="AG2406" t="s">
        <v>6107</v>
      </c>
      <c r="AH2406" t="s">
        <v>4653</v>
      </c>
      <c r="AJ2406" t="s">
        <v>164</v>
      </c>
      <c r="AK2406" t="s">
        <v>7322</v>
      </c>
      <c r="AL2406">
        <v>30.84</v>
      </c>
      <c r="AM2406">
        <v>30.84</v>
      </c>
      <c r="AN2406">
        <v>0</v>
      </c>
      <c r="AO2406" t="s">
        <v>13230</v>
      </c>
      <c r="AP2406" t="s">
        <v>23324</v>
      </c>
      <c r="AQ2406" t="s">
        <v>23325</v>
      </c>
      <c r="AR2406" t="s">
        <v>3372</v>
      </c>
      <c r="AS2406" t="s">
        <v>418</v>
      </c>
      <c r="AT2406" t="s">
        <v>4659</v>
      </c>
      <c r="AU2406" t="s">
        <v>17129</v>
      </c>
      <c r="AV2406" t="s">
        <v>17418</v>
      </c>
      <c r="AW2406" t="s">
        <v>9760</v>
      </c>
      <c r="AX2406" t="s">
        <v>14779</v>
      </c>
      <c r="AY2406" t="s">
        <v>10606</v>
      </c>
      <c r="AZ2406" t="s">
        <v>23326</v>
      </c>
      <c r="BB2406">
        <v>218.69</v>
      </c>
      <c r="BC2406">
        <v>4.95</v>
      </c>
      <c r="BD2406">
        <v>6.98</v>
      </c>
      <c r="BE2406">
        <v>7.5</v>
      </c>
      <c r="BF2406">
        <v>6.91</v>
      </c>
      <c r="BG2406" t="s">
        <v>23327</v>
      </c>
      <c r="BH2406" t="s">
        <v>7427</v>
      </c>
      <c r="BI2406" t="s">
        <v>23326</v>
      </c>
      <c r="BJ2406" t="s">
        <v>101</v>
      </c>
      <c r="BK2406" t="s">
        <v>7034</v>
      </c>
      <c r="BL2406" t="s">
        <v>5650</v>
      </c>
      <c r="BM2406" t="s">
        <v>17932</v>
      </c>
      <c r="BN2406" t="s">
        <v>22882</v>
      </c>
    </row>
    <row r="2407" spans="1:66" x14ac:dyDescent="0.25">
      <c r="A2407" t="str">
        <f>HYPERLINK("https://elite.finviz.com/quote.ashx?t=NSPR&amp;ty=c&amp;p=d&amp;b=1", "NSPR")</f>
        <v>NSPR</v>
      </c>
      <c r="B2407">
        <v>5</v>
      </c>
      <c r="C2407">
        <v>126.51</v>
      </c>
      <c r="D2407">
        <v>48.67</v>
      </c>
      <c r="E2407" t="s">
        <v>23328</v>
      </c>
      <c r="F2407" t="s">
        <v>107</v>
      </c>
      <c r="G2407" t="s">
        <v>428</v>
      </c>
      <c r="H2407" t="s">
        <v>2051</v>
      </c>
      <c r="I2407" t="s">
        <v>70</v>
      </c>
      <c r="J2407" t="s">
        <v>321</v>
      </c>
      <c r="K2407">
        <v>100.55</v>
      </c>
      <c r="L2407">
        <v>2.41</v>
      </c>
      <c r="M2407" t="s">
        <v>2274</v>
      </c>
      <c r="N2407">
        <v>128288</v>
      </c>
      <c r="R2407">
        <v>14.22</v>
      </c>
      <c r="S2407">
        <v>3.88</v>
      </c>
      <c r="AA2407">
        <v>-0.83</v>
      </c>
      <c r="AB2407" t="s">
        <v>12178</v>
      </c>
      <c r="AC2407" t="s">
        <v>4572</v>
      </c>
      <c r="AD2407" t="s">
        <v>5227</v>
      </c>
      <c r="AE2407" t="s">
        <v>929</v>
      </c>
      <c r="AF2407" t="s">
        <v>4188</v>
      </c>
      <c r="AG2407" t="s">
        <v>7775</v>
      </c>
      <c r="AH2407" t="s">
        <v>3842</v>
      </c>
      <c r="AI2407" t="s">
        <v>164</v>
      </c>
      <c r="AJ2407" t="s">
        <v>4782</v>
      </c>
      <c r="AK2407" t="s">
        <v>6794</v>
      </c>
      <c r="AL2407">
        <v>2.81</v>
      </c>
      <c r="AM2407">
        <v>2.4700000000000002</v>
      </c>
      <c r="AN2407">
        <v>0.17</v>
      </c>
      <c r="AO2407" t="s">
        <v>729</v>
      </c>
      <c r="AP2407" t="s">
        <v>23329</v>
      </c>
      <c r="AQ2407" t="s">
        <v>23330</v>
      </c>
      <c r="AR2407" t="s">
        <v>7437</v>
      </c>
      <c r="AS2407" t="s">
        <v>4873</v>
      </c>
      <c r="AT2407" t="s">
        <v>4538</v>
      </c>
      <c r="AU2407" t="s">
        <v>789</v>
      </c>
      <c r="AV2407" t="s">
        <v>76</v>
      </c>
      <c r="AW2407" t="s">
        <v>8527</v>
      </c>
      <c r="AX2407" t="s">
        <v>2351</v>
      </c>
      <c r="AY2407" t="s">
        <v>17408</v>
      </c>
      <c r="AZ2407" t="s">
        <v>711</v>
      </c>
      <c r="BA2407">
        <v>1</v>
      </c>
      <c r="BB2407">
        <v>101.53</v>
      </c>
      <c r="BC2407">
        <v>4.45</v>
      </c>
      <c r="BD2407">
        <v>2.37</v>
      </c>
      <c r="BE2407">
        <v>2.4700000000000002</v>
      </c>
      <c r="BF2407">
        <v>2.37</v>
      </c>
      <c r="BG2407" t="s">
        <v>23331</v>
      </c>
      <c r="BH2407" t="s">
        <v>579</v>
      </c>
      <c r="BI2407" t="s">
        <v>23332</v>
      </c>
      <c r="BJ2407" t="s">
        <v>101</v>
      </c>
      <c r="BK2407" t="s">
        <v>2293</v>
      </c>
      <c r="BL2407" t="s">
        <v>4284</v>
      </c>
      <c r="BM2407" t="s">
        <v>10983</v>
      </c>
      <c r="BN2407" t="s">
        <v>22882</v>
      </c>
    </row>
    <row r="2408" spans="1:66" x14ac:dyDescent="0.25">
      <c r="A2408" t="str">
        <f>HYPERLINK("https://elite.finviz.com/quote.ashx?t=JCTC&amp;ty=c&amp;p=d&amp;b=1", "JCTC")</f>
        <v>JCTC</v>
      </c>
      <c r="B2408">
        <v>5</v>
      </c>
      <c r="C2408">
        <v>126.51</v>
      </c>
      <c r="D2408">
        <v>48.69</v>
      </c>
      <c r="E2408" t="s">
        <v>23333</v>
      </c>
      <c r="F2408" t="s">
        <v>107</v>
      </c>
      <c r="G2408" t="s">
        <v>355</v>
      </c>
      <c r="H2408" t="s">
        <v>23334</v>
      </c>
      <c r="I2408" t="s">
        <v>70</v>
      </c>
      <c r="J2408" t="s">
        <v>321</v>
      </c>
      <c r="K2408">
        <v>12.53</v>
      </c>
      <c r="L2408">
        <v>3.56</v>
      </c>
      <c r="M2408" t="s">
        <v>754</v>
      </c>
      <c r="N2408">
        <v>4092</v>
      </c>
      <c r="R2408">
        <v>0.28000000000000003</v>
      </c>
      <c r="S2408">
        <v>0.54</v>
      </c>
      <c r="Z2408" t="s">
        <v>164</v>
      </c>
      <c r="AA2408">
        <v>-0.59</v>
      </c>
      <c r="AB2408" t="s">
        <v>18485</v>
      </c>
      <c r="AC2408" t="s">
        <v>23335</v>
      </c>
      <c r="AE2408" t="s">
        <v>2632</v>
      </c>
      <c r="AF2408" t="s">
        <v>9629</v>
      </c>
      <c r="AG2408" t="s">
        <v>1764</v>
      </c>
      <c r="AH2408" t="s">
        <v>10627</v>
      </c>
      <c r="AJ2408" t="s">
        <v>15172</v>
      </c>
      <c r="AK2408" t="s">
        <v>9151</v>
      </c>
      <c r="AL2408">
        <v>3.95</v>
      </c>
      <c r="AM2408">
        <v>1.49</v>
      </c>
      <c r="AN2408">
        <v>0.11</v>
      </c>
      <c r="AO2408" t="s">
        <v>4800</v>
      </c>
      <c r="AP2408" t="s">
        <v>8929</v>
      </c>
      <c r="AQ2408" t="s">
        <v>5742</v>
      </c>
      <c r="AR2408" t="s">
        <v>3671</v>
      </c>
      <c r="AS2408" t="s">
        <v>4255</v>
      </c>
      <c r="AT2408" t="s">
        <v>4191</v>
      </c>
      <c r="AU2408" t="s">
        <v>3967</v>
      </c>
      <c r="AV2408" t="s">
        <v>15466</v>
      </c>
      <c r="AW2408" t="s">
        <v>7279</v>
      </c>
      <c r="AX2408" t="s">
        <v>297</v>
      </c>
      <c r="AY2408" t="s">
        <v>23336</v>
      </c>
      <c r="AZ2408" t="s">
        <v>605</v>
      </c>
      <c r="BB2408">
        <v>16.52</v>
      </c>
      <c r="BC2408">
        <v>0.88</v>
      </c>
      <c r="BD2408">
        <v>3.39</v>
      </c>
      <c r="BE2408">
        <v>3.39</v>
      </c>
      <c r="BF2408">
        <v>3.45</v>
      </c>
      <c r="BG2408" t="s">
        <v>23337</v>
      </c>
      <c r="BH2408" t="s">
        <v>23338</v>
      </c>
      <c r="BI2408" t="s">
        <v>23339</v>
      </c>
      <c r="BJ2408" t="s">
        <v>101</v>
      </c>
      <c r="BK2408" t="s">
        <v>184</v>
      </c>
      <c r="BL2408" t="s">
        <v>9915</v>
      </c>
      <c r="BM2408" t="s">
        <v>15165</v>
      </c>
      <c r="BN2408" t="s">
        <v>22882</v>
      </c>
    </row>
    <row r="2409" spans="1:66" x14ac:dyDescent="0.25">
      <c r="A2409" t="str">
        <f>HYPERLINK("https://elite.finviz.com/quote.ashx?t=GSRT&amp;ty=c&amp;p=d&amp;b=1", "GSRT")</f>
        <v>GSRT</v>
      </c>
      <c r="B2409">
        <v>5</v>
      </c>
      <c r="C2409">
        <v>126.51</v>
      </c>
      <c r="D2409">
        <v>48.7</v>
      </c>
      <c r="E2409" t="s">
        <v>23340</v>
      </c>
      <c r="F2409" t="s">
        <v>107</v>
      </c>
      <c r="G2409" t="s">
        <v>550</v>
      </c>
      <c r="H2409" t="s">
        <v>2120</v>
      </c>
      <c r="I2409" t="s">
        <v>70</v>
      </c>
      <c r="J2409" t="s">
        <v>321</v>
      </c>
      <c r="K2409">
        <v>294.8</v>
      </c>
      <c r="L2409">
        <v>10.47</v>
      </c>
      <c r="M2409" t="s">
        <v>4436</v>
      </c>
      <c r="N2409">
        <v>952542</v>
      </c>
      <c r="O2409">
        <v>75.45</v>
      </c>
      <c r="S2409">
        <v>1.34</v>
      </c>
      <c r="Z2409" t="s">
        <v>164</v>
      </c>
      <c r="AA2409">
        <v>0.14000000000000001</v>
      </c>
      <c r="AI2409" t="s">
        <v>6396</v>
      </c>
      <c r="AJ2409" t="s">
        <v>164</v>
      </c>
      <c r="AK2409" t="s">
        <v>4576</v>
      </c>
      <c r="AL2409">
        <v>1.1000000000000001</v>
      </c>
      <c r="AM2409">
        <v>1.1000000000000001</v>
      </c>
      <c r="AN2409">
        <v>0</v>
      </c>
      <c r="AR2409" t="s">
        <v>6104</v>
      </c>
      <c r="AS2409" t="s">
        <v>581</v>
      </c>
      <c r="AT2409" t="s">
        <v>2560</v>
      </c>
      <c r="AU2409" t="s">
        <v>3890</v>
      </c>
      <c r="AV2409" t="s">
        <v>6056</v>
      </c>
      <c r="AW2409" t="s">
        <v>1092</v>
      </c>
      <c r="AX2409" t="s">
        <v>1760</v>
      </c>
      <c r="AY2409" t="s">
        <v>11264</v>
      </c>
      <c r="AZ2409" t="s">
        <v>2985</v>
      </c>
      <c r="BA2409">
        <v>1</v>
      </c>
      <c r="BB2409">
        <v>924.71</v>
      </c>
      <c r="BC2409">
        <v>3.63</v>
      </c>
      <c r="BD2409">
        <v>10.58</v>
      </c>
      <c r="BE2409">
        <v>10.65</v>
      </c>
      <c r="BF2409">
        <v>10.35</v>
      </c>
      <c r="BG2409" t="s">
        <v>23341</v>
      </c>
      <c r="BH2409" t="s">
        <v>11264</v>
      </c>
      <c r="BI2409" t="s">
        <v>2985</v>
      </c>
      <c r="BJ2409" t="s">
        <v>101</v>
      </c>
      <c r="BK2409" t="s">
        <v>5309</v>
      </c>
      <c r="BL2409" t="s">
        <v>2809</v>
      </c>
      <c r="BN2409" t="s">
        <v>22882</v>
      </c>
    </row>
    <row r="2410" spans="1:66" x14ac:dyDescent="0.25">
      <c r="A2410" t="str">
        <f>HYPERLINK("https://elite.finviz.com/quote.ashx?t=MMLP&amp;ty=c&amp;p=d&amp;b=1", "MMLP")</f>
        <v>MMLP</v>
      </c>
      <c r="B2410">
        <v>5</v>
      </c>
      <c r="C2410">
        <v>126.51</v>
      </c>
      <c r="D2410">
        <v>49.28</v>
      </c>
      <c r="E2410" t="s">
        <v>23342</v>
      </c>
      <c r="F2410" t="s">
        <v>107</v>
      </c>
      <c r="G2410" t="s">
        <v>1048</v>
      </c>
      <c r="H2410" t="s">
        <v>3915</v>
      </c>
      <c r="I2410" t="s">
        <v>70</v>
      </c>
      <c r="J2410" t="s">
        <v>321</v>
      </c>
      <c r="K2410">
        <v>122.63</v>
      </c>
      <c r="L2410">
        <v>3.14</v>
      </c>
      <c r="M2410" t="s">
        <v>4394</v>
      </c>
      <c r="N2410">
        <v>6859</v>
      </c>
      <c r="R2410">
        <v>0.17</v>
      </c>
      <c r="T2410" t="s">
        <v>3463</v>
      </c>
      <c r="U2410">
        <v>0.02</v>
      </c>
      <c r="V2410" t="s">
        <v>2420</v>
      </c>
      <c r="W2410" t="s">
        <v>164</v>
      </c>
      <c r="X2410" t="s">
        <v>164</v>
      </c>
      <c r="Y2410" t="s">
        <v>23343</v>
      </c>
      <c r="AA2410">
        <v>-0.39</v>
      </c>
      <c r="AB2410" t="s">
        <v>23344</v>
      </c>
      <c r="AC2410" t="s">
        <v>23345</v>
      </c>
      <c r="AE2410" t="s">
        <v>7646</v>
      </c>
      <c r="AF2410" t="s">
        <v>440</v>
      </c>
      <c r="AG2410" t="s">
        <v>5606</v>
      </c>
      <c r="AH2410" t="s">
        <v>6838</v>
      </c>
      <c r="AJ2410" t="s">
        <v>3526</v>
      </c>
      <c r="AK2410" t="s">
        <v>3235</v>
      </c>
      <c r="AL2410">
        <v>1.1299999999999999</v>
      </c>
      <c r="AM2410">
        <v>0.7</v>
      </c>
      <c r="AO2410" t="s">
        <v>6689</v>
      </c>
      <c r="AP2410" t="s">
        <v>1254</v>
      </c>
      <c r="AQ2410" t="s">
        <v>9500</v>
      </c>
      <c r="AR2410" t="s">
        <v>3958</v>
      </c>
      <c r="AS2410" t="s">
        <v>4795</v>
      </c>
      <c r="AT2410" t="s">
        <v>1938</v>
      </c>
      <c r="AU2410" t="s">
        <v>15000</v>
      </c>
      <c r="AV2410" t="s">
        <v>2431</v>
      </c>
      <c r="AW2410" t="s">
        <v>3070</v>
      </c>
      <c r="AX2410" t="s">
        <v>2949</v>
      </c>
      <c r="AY2410" t="s">
        <v>5613</v>
      </c>
      <c r="AZ2410" t="s">
        <v>361</v>
      </c>
      <c r="BA2410">
        <v>3</v>
      </c>
      <c r="BB2410">
        <v>16.64</v>
      </c>
      <c r="BC2410">
        <v>1.45</v>
      </c>
      <c r="BD2410">
        <v>3.04</v>
      </c>
      <c r="BE2410">
        <v>3.14</v>
      </c>
      <c r="BF2410">
        <v>3.08</v>
      </c>
      <c r="BG2410" t="s">
        <v>23346</v>
      </c>
      <c r="BH2410" t="s">
        <v>23347</v>
      </c>
      <c r="BI2410" t="s">
        <v>23348</v>
      </c>
      <c r="BJ2410" t="s">
        <v>101</v>
      </c>
      <c r="BK2410" t="s">
        <v>10926</v>
      </c>
      <c r="BL2410" t="s">
        <v>18777</v>
      </c>
      <c r="BM2410" t="s">
        <v>23349</v>
      </c>
      <c r="BN2410" t="s">
        <v>22882</v>
      </c>
    </row>
    <row r="2411" spans="1:66" x14ac:dyDescent="0.25">
      <c r="A2411" t="str">
        <f>HYPERLINK("https://elite.finviz.com/quote.ashx?t=AUID&amp;ty=c&amp;p=d&amp;b=1", "AUID")</f>
        <v>AUID</v>
      </c>
      <c r="B2411">
        <v>5</v>
      </c>
      <c r="C2411">
        <v>126.51</v>
      </c>
      <c r="D2411">
        <v>49.58</v>
      </c>
      <c r="E2411" t="s">
        <v>23350</v>
      </c>
      <c r="F2411" t="s">
        <v>107</v>
      </c>
      <c r="G2411" t="s">
        <v>108</v>
      </c>
      <c r="H2411" t="s">
        <v>109</v>
      </c>
      <c r="I2411" t="s">
        <v>70</v>
      </c>
      <c r="J2411" t="s">
        <v>321</v>
      </c>
      <c r="K2411">
        <v>44.9</v>
      </c>
      <c r="L2411">
        <v>3.34</v>
      </c>
      <c r="M2411" t="s">
        <v>7139</v>
      </c>
      <c r="N2411">
        <v>500697</v>
      </c>
      <c r="R2411">
        <v>20.5</v>
      </c>
      <c r="S2411">
        <v>3.46</v>
      </c>
      <c r="AA2411">
        <v>-1.52</v>
      </c>
      <c r="AB2411" t="s">
        <v>23351</v>
      </c>
      <c r="AC2411" t="s">
        <v>5160</v>
      </c>
      <c r="AE2411" t="s">
        <v>23352</v>
      </c>
      <c r="AF2411" t="s">
        <v>7883</v>
      </c>
      <c r="AG2411" t="s">
        <v>17301</v>
      </c>
      <c r="AH2411" t="s">
        <v>23353</v>
      </c>
      <c r="AJ2411" t="s">
        <v>4886</v>
      </c>
      <c r="AK2411" t="s">
        <v>2381</v>
      </c>
      <c r="AL2411">
        <v>3.82</v>
      </c>
      <c r="AM2411">
        <v>3.82</v>
      </c>
      <c r="AN2411">
        <v>0</v>
      </c>
      <c r="AO2411" t="s">
        <v>5678</v>
      </c>
      <c r="AP2411" t="s">
        <v>23354</v>
      </c>
      <c r="AQ2411" t="s">
        <v>23355</v>
      </c>
      <c r="AR2411" t="s">
        <v>3238</v>
      </c>
      <c r="AS2411" t="s">
        <v>1603</v>
      </c>
      <c r="AT2411" t="s">
        <v>5055</v>
      </c>
      <c r="AU2411" t="s">
        <v>13982</v>
      </c>
      <c r="AV2411" t="s">
        <v>23356</v>
      </c>
      <c r="AW2411" t="s">
        <v>15780</v>
      </c>
      <c r="AX2411" t="s">
        <v>23357</v>
      </c>
      <c r="AY2411" t="s">
        <v>23358</v>
      </c>
      <c r="AZ2411" t="s">
        <v>23357</v>
      </c>
      <c r="BB2411">
        <v>77.83</v>
      </c>
      <c r="BC2411">
        <v>22.66</v>
      </c>
      <c r="BD2411">
        <v>2.7</v>
      </c>
      <c r="BE2411">
        <v>3.5</v>
      </c>
      <c r="BF2411">
        <v>2.7</v>
      </c>
      <c r="BG2411" t="s">
        <v>23359</v>
      </c>
      <c r="BH2411" t="s">
        <v>23360</v>
      </c>
      <c r="BI2411" t="s">
        <v>8992</v>
      </c>
      <c r="BJ2411" t="s">
        <v>101</v>
      </c>
      <c r="BK2411" t="s">
        <v>23361</v>
      </c>
      <c r="BL2411" t="s">
        <v>1012</v>
      </c>
      <c r="BM2411" t="s">
        <v>23029</v>
      </c>
      <c r="BN2411" t="s">
        <v>22882</v>
      </c>
    </row>
    <row r="2412" spans="1:66" x14ac:dyDescent="0.25">
      <c r="A2412" t="str">
        <f>HYPERLINK("https://elite.finviz.com/quote.ashx?t=AMTX&amp;ty=c&amp;p=d&amp;b=1", "AMTX")</f>
        <v>AMTX</v>
      </c>
      <c r="B2412">
        <v>5</v>
      </c>
      <c r="C2412">
        <v>126.51</v>
      </c>
      <c r="D2412">
        <v>50.39</v>
      </c>
      <c r="E2412" t="s">
        <v>23362</v>
      </c>
      <c r="F2412" t="s">
        <v>107</v>
      </c>
      <c r="G2412" t="s">
        <v>355</v>
      </c>
      <c r="H2412" t="s">
        <v>1147</v>
      </c>
      <c r="I2412" t="s">
        <v>70</v>
      </c>
      <c r="J2412" t="s">
        <v>321</v>
      </c>
      <c r="K2412">
        <v>152.72999999999999</v>
      </c>
      <c r="L2412">
        <v>2.41</v>
      </c>
      <c r="M2412" t="s">
        <v>891</v>
      </c>
      <c r="N2412">
        <v>619667</v>
      </c>
      <c r="P2412">
        <v>222.58</v>
      </c>
      <c r="R2412">
        <v>0.68</v>
      </c>
      <c r="AA2412">
        <v>-1.61</v>
      </c>
      <c r="AB2412" t="s">
        <v>10518</v>
      </c>
      <c r="AC2412" t="s">
        <v>4149</v>
      </c>
      <c r="AE2412" t="s">
        <v>3316</v>
      </c>
      <c r="AF2412" t="s">
        <v>3818</v>
      </c>
      <c r="AG2412" t="s">
        <v>2932</v>
      </c>
      <c r="AH2412" t="s">
        <v>23363</v>
      </c>
      <c r="AI2412" t="s">
        <v>22525</v>
      </c>
      <c r="AJ2412" t="s">
        <v>1358</v>
      </c>
      <c r="AK2412" t="s">
        <v>5408</v>
      </c>
      <c r="AL2412">
        <v>0.06</v>
      </c>
      <c r="AM2412">
        <v>0.02</v>
      </c>
      <c r="AO2412" t="s">
        <v>10469</v>
      </c>
      <c r="AP2412" t="s">
        <v>11237</v>
      </c>
      <c r="AQ2412" t="s">
        <v>10346</v>
      </c>
      <c r="AR2412" t="s">
        <v>2823</v>
      </c>
      <c r="AS2412" t="s">
        <v>3429</v>
      </c>
      <c r="AT2412" t="s">
        <v>2522</v>
      </c>
      <c r="AU2412" t="s">
        <v>10208</v>
      </c>
      <c r="AV2412" t="s">
        <v>5726</v>
      </c>
      <c r="AW2412" t="s">
        <v>21494</v>
      </c>
      <c r="AX2412" t="s">
        <v>11164</v>
      </c>
      <c r="AY2412" t="s">
        <v>23364</v>
      </c>
      <c r="AZ2412" t="s">
        <v>18464</v>
      </c>
      <c r="BA2412">
        <v>2</v>
      </c>
      <c r="BB2412">
        <v>968.52</v>
      </c>
      <c r="BC2412">
        <v>2.25</v>
      </c>
      <c r="BD2412">
        <v>2.33</v>
      </c>
      <c r="BE2412">
        <v>2.5499999999999998</v>
      </c>
      <c r="BF2412">
        <v>2.34</v>
      </c>
      <c r="BG2412" t="s">
        <v>23365</v>
      </c>
      <c r="BH2412" t="s">
        <v>19527</v>
      </c>
      <c r="BI2412" t="s">
        <v>23366</v>
      </c>
      <c r="BJ2412" t="s">
        <v>101</v>
      </c>
      <c r="BK2412" t="s">
        <v>5256</v>
      </c>
      <c r="BL2412" t="s">
        <v>9440</v>
      </c>
      <c r="BM2412" t="s">
        <v>6541</v>
      </c>
      <c r="BN2412" t="s">
        <v>22882</v>
      </c>
    </row>
    <row r="2413" spans="1:66" x14ac:dyDescent="0.25">
      <c r="A2413" t="str">
        <f>HYPERLINK("https://elite.finviz.com/quote.ashx?t=ELDN&amp;ty=c&amp;p=d&amp;b=1", "ELDN")</f>
        <v>ELDN</v>
      </c>
      <c r="B2413">
        <v>5</v>
      </c>
      <c r="C2413">
        <v>126.51</v>
      </c>
      <c r="D2413">
        <v>50.56</v>
      </c>
      <c r="E2413" t="s">
        <v>23367</v>
      </c>
      <c r="F2413" t="s">
        <v>67</v>
      </c>
      <c r="G2413" t="s">
        <v>428</v>
      </c>
      <c r="H2413" t="s">
        <v>429</v>
      </c>
      <c r="I2413" t="s">
        <v>70</v>
      </c>
      <c r="J2413" t="s">
        <v>321</v>
      </c>
      <c r="K2413">
        <v>156.29</v>
      </c>
      <c r="L2413">
        <v>2.61</v>
      </c>
      <c r="M2413" t="s">
        <v>7118</v>
      </c>
      <c r="N2413">
        <v>393122</v>
      </c>
      <c r="S2413">
        <v>3.11</v>
      </c>
      <c r="AA2413">
        <v>-1.29</v>
      </c>
      <c r="AB2413" t="s">
        <v>5115</v>
      </c>
      <c r="AC2413" t="s">
        <v>8369</v>
      </c>
      <c r="AD2413" t="s">
        <v>1323</v>
      </c>
      <c r="AI2413" t="s">
        <v>23368</v>
      </c>
      <c r="AJ2413" t="s">
        <v>164</v>
      </c>
      <c r="AK2413" t="s">
        <v>23369</v>
      </c>
      <c r="AL2413">
        <v>8.1199999999999992</v>
      </c>
      <c r="AM2413">
        <v>8.1199999999999992</v>
      </c>
      <c r="AN2413">
        <v>0.01</v>
      </c>
      <c r="AR2413" t="s">
        <v>351</v>
      </c>
      <c r="AS2413" t="s">
        <v>4697</v>
      </c>
      <c r="AT2413" t="s">
        <v>451</v>
      </c>
      <c r="AU2413" t="s">
        <v>11592</v>
      </c>
      <c r="AV2413" t="s">
        <v>11951</v>
      </c>
      <c r="AW2413" t="s">
        <v>23370</v>
      </c>
      <c r="AX2413" t="s">
        <v>8345</v>
      </c>
      <c r="AY2413" t="s">
        <v>22911</v>
      </c>
      <c r="AZ2413" t="s">
        <v>8345</v>
      </c>
      <c r="BA2413">
        <v>1</v>
      </c>
      <c r="BB2413">
        <v>889.89</v>
      </c>
      <c r="BC2413">
        <v>1.56</v>
      </c>
      <c r="BD2413">
        <v>2.4700000000000002</v>
      </c>
      <c r="BE2413">
        <v>2.61</v>
      </c>
      <c r="BF2413">
        <v>2.44</v>
      </c>
      <c r="BG2413" t="s">
        <v>23371</v>
      </c>
      <c r="BH2413" t="s">
        <v>14593</v>
      </c>
      <c r="BI2413" t="s">
        <v>3779</v>
      </c>
      <c r="BJ2413" t="s">
        <v>101</v>
      </c>
      <c r="BK2413" t="s">
        <v>4408</v>
      </c>
      <c r="BL2413" t="s">
        <v>23372</v>
      </c>
      <c r="BM2413" t="s">
        <v>975</v>
      </c>
      <c r="BN2413" t="s">
        <v>22882</v>
      </c>
    </row>
    <row r="2414" spans="1:66" x14ac:dyDescent="0.25">
      <c r="A2414" t="str">
        <f>HYPERLINK("https://elite.finviz.com/quote.ashx?t=SNWV&amp;ty=c&amp;p=d&amp;b=1", "SNWV")</f>
        <v>SNWV</v>
      </c>
      <c r="B2414">
        <v>5</v>
      </c>
      <c r="C2414">
        <v>126.51</v>
      </c>
      <c r="D2414">
        <v>50.84</v>
      </c>
      <c r="E2414" t="s">
        <v>23373</v>
      </c>
      <c r="F2414" t="s">
        <v>67</v>
      </c>
      <c r="G2414" t="s">
        <v>428</v>
      </c>
      <c r="H2414" t="s">
        <v>2051</v>
      </c>
      <c r="I2414" t="s">
        <v>70</v>
      </c>
      <c r="J2414" t="s">
        <v>321</v>
      </c>
      <c r="K2414">
        <v>317.11</v>
      </c>
      <c r="L2414">
        <v>37.01</v>
      </c>
      <c r="M2414" t="s">
        <v>3506</v>
      </c>
      <c r="N2414">
        <v>54334</v>
      </c>
      <c r="R2414">
        <v>8.09</v>
      </c>
      <c r="AA2414">
        <v>-8.64</v>
      </c>
      <c r="AB2414" t="s">
        <v>23374</v>
      </c>
      <c r="AC2414" t="s">
        <v>9460</v>
      </c>
      <c r="AE2414" t="s">
        <v>23375</v>
      </c>
      <c r="AF2414" t="s">
        <v>4869</v>
      </c>
      <c r="AG2414" t="s">
        <v>23376</v>
      </c>
      <c r="AH2414" t="s">
        <v>11984</v>
      </c>
      <c r="AI2414" t="s">
        <v>23377</v>
      </c>
      <c r="AJ2414" t="s">
        <v>4801</v>
      </c>
      <c r="AK2414" t="s">
        <v>19447</v>
      </c>
      <c r="AL2414">
        <v>0.43</v>
      </c>
      <c r="AM2414">
        <v>0.31</v>
      </c>
      <c r="AO2414" t="s">
        <v>19543</v>
      </c>
      <c r="AP2414" t="s">
        <v>3548</v>
      </c>
      <c r="AQ2414" t="s">
        <v>17466</v>
      </c>
      <c r="AR2414" t="s">
        <v>8164</v>
      </c>
      <c r="AS2414" t="s">
        <v>2386</v>
      </c>
      <c r="AT2414" t="s">
        <v>4280</v>
      </c>
      <c r="AU2414" t="s">
        <v>3559</v>
      </c>
      <c r="AV2414" t="s">
        <v>6834</v>
      </c>
      <c r="AW2414" t="s">
        <v>5629</v>
      </c>
      <c r="AX2414" t="s">
        <v>8848</v>
      </c>
      <c r="AY2414" t="s">
        <v>5629</v>
      </c>
      <c r="AZ2414" t="s">
        <v>23378</v>
      </c>
      <c r="BA2414">
        <v>1</v>
      </c>
      <c r="BB2414">
        <v>65.11</v>
      </c>
      <c r="BC2414">
        <v>2.97</v>
      </c>
      <c r="BD2414">
        <v>34.83</v>
      </c>
      <c r="BE2414">
        <v>38.78</v>
      </c>
      <c r="BF2414">
        <v>36</v>
      </c>
      <c r="BG2414" t="s">
        <v>23379</v>
      </c>
      <c r="BH2414" t="s">
        <v>16342</v>
      </c>
      <c r="BI2414" t="s">
        <v>23380</v>
      </c>
      <c r="BJ2414" t="s">
        <v>101</v>
      </c>
      <c r="BK2414" t="s">
        <v>3926</v>
      </c>
      <c r="BL2414" t="s">
        <v>4086</v>
      </c>
      <c r="BM2414" t="s">
        <v>23381</v>
      </c>
      <c r="BN2414" t="s">
        <v>22882</v>
      </c>
    </row>
    <row r="2415" spans="1:66" x14ac:dyDescent="0.25">
      <c r="A2415" t="str">
        <f>HYPERLINK("https://elite.finviz.com/quote.ashx?t=CCIX&amp;ty=c&amp;p=d&amp;b=1", "CCIX")</f>
        <v>CCIX</v>
      </c>
      <c r="B2415">
        <v>5</v>
      </c>
      <c r="C2415">
        <v>126.51</v>
      </c>
      <c r="D2415">
        <v>50.88</v>
      </c>
      <c r="E2415" t="s">
        <v>23382</v>
      </c>
      <c r="F2415" t="s">
        <v>107</v>
      </c>
      <c r="G2415" t="s">
        <v>550</v>
      </c>
      <c r="H2415" t="s">
        <v>2120</v>
      </c>
      <c r="I2415" t="s">
        <v>70</v>
      </c>
      <c r="J2415" t="s">
        <v>321</v>
      </c>
      <c r="K2415">
        <v>386.21</v>
      </c>
      <c r="L2415">
        <v>10.53</v>
      </c>
      <c r="M2415" t="s">
        <v>2760</v>
      </c>
      <c r="N2415">
        <v>95921</v>
      </c>
      <c r="O2415">
        <v>37.11</v>
      </c>
      <c r="S2415">
        <v>1.32</v>
      </c>
      <c r="Z2415" t="s">
        <v>164</v>
      </c>
      <c r="AA2415">
        <v>0.28000000000000003</v>
      </c>
      <c r="AJ2415" t="s">
        <v>164</v>
      </c>
      <c r="AK2415" t="s">
        <v>21032</v>
      </c>
      <c r="AL2415">
        <v>1.56</v>
      </c>
      <c r="AM2415">
        <v>1.56</v>
      </c>
      <c r="AN2415">
        <v>0</v>
      </c>
      <c r="AR2415" t="s">
        <v>1764</v>
      </c>
      <c r="AS2415" t="s">
        <v>6842</v>
      </c>
      <c r="AT2415" t="s">
        <v>2275</v>
      </c>
      <c r="AU2415" t="s">
        <v>5242</v>
      </c>
      <c r="AV2415" t="s">
        <v>4963</v>
      </c>
      <c r="AW2415" t="s">
        <v>1202</v>
      </c>
      <c r="AX2415" t="s">
        <v>747</v>
      </c>
      <c r="AY2415" t="s">
        <v>6798</v>
      </c>
      <c r="AZ2415" t="s">
        <v>2293</v>
      </c>
      <c r="BB2415">
        <v>78.44</v>
      </c>
      <c r="BC2415">
        <v>4.3499999999999996</v>
      </c>
      <c r="BD2415">
        <v>10.56</v>
      </c>
      <c r="BE2415">
        <v>10.53</v>
      </c>
      <c r="BF2415">
        <v>10.5</v>
      </c>
      <c r="BG2415" t="s">
        <v>23383</v>
      </c>
      <c r="BH2415" t="s">
        <v>6798</v>
      </c>
      <c r="BI2415" t="s">
        <v>4957</v>
      </c>
      <c r="BJ2415" t="s">
        <v>101</v>
      </c>
      <c r="BK2415" t="s">
        <v>6182</v>
      </c>
      <c r="BL2415" t="s">
        <v>5153</v>
      </c>
      <c r="BM2415" t="s">
        <v>2316</v>
      </c>
      <c r="BN2415" t="s">
        <v>22882</v>
      </c>
    </row>
    <row r="2416" spans="1:66" x14ac:dyDescent="0.25">
      <c r="A2416" t="str">
        <f>HYPERLINK("https://elite.finviz.com/quote.ashx?t=ATER&amp;ty=c&amp;p=d&amp;b=1", "ATER")</f>
        <v>ATER</v>
      </c>
      <c r="B2416">
        <v>5</v>
      </c>
      <c r="C2416">
        <v>126.51</v>
      </c>
      <c r="D2416">
        <v>50.89</v>
      </c>
      <c r="E2416" t="s">
        <v>23384</v>
      </c>
      <c r="F2416" t="s">
        <v>107</v>
      </c>
      <c r="G2416" t="s">
        <v>813</v>
      </c>
      <c r="H2416" t="s">
        <v>3866</v>
      </c>
      <c r="I2416" t="s">
        <v>70</v>
      </c>
      <c r="J2416" t="s">
        <v>321</v>
      </c>
      <c r="K2416">
        <v>10.33</v>
      </c>
      <c r="L2416">
        <v>1.03</v>
      </c>
      <c r="M2416" t="s">
        <v>3937</v>
      </c>
      <c r="N2416">
        <v>24999</v>
      </c>
      <c r="R2416">
        <v>0.12</v>
      </c>
      <c r="S2416">
        <v>0.43</v>
      </c>
      <c r="AA2416">
        <v>-1.58</v>
      </c>
      <c r="AB2416" t="s">
        <v>8261</v>
      </c>
      <c r="AC2416" t="s">
        <v>23385</v>
      </c>
      <c r="AE2416" t="s">
        <v>10937</v>
      </c>
      <c r="AF2416" t="s">
        <v>11966</v>
      </c>
      <c r="AG2416" t="s">
        <v>14569</v>
      </c>
      <c r="AH2416" t="s">
        <v>23386</v>
      </c>
      <c r="AI2416" t="s">
        <v>8084</v>
      </c>
      <c r="AJ2416" t="s">
        <v>13734</v>
      </c>
      <c r="AK2416" t="s">
        <v>1474</v>
      </c>
      <c r="AL2416">
        <v>1.69</v>
      </c>
      <c r="AM2416">
        <v>0.81</v>
      </c>
      <c r="AN2416">
        <v>0.31</v>
      </c>
      <c r="AO2416" t="s">
        <v>10565</v>
      </c>
      <c r="AP2416" t="s">
        <v>8974</v>
      </c>
      <c r="AQ2416" t="s">
        <v>7634</v>
      </c>
      <c r="AR2416" t="s">
        <v>5611</v>
      </c>
      <c r="AS2416" t="s">
        <v>2810</v>
      </c>
      <c r="AT2416" t="s">
        <v>7978</v>
      </c>
      <c r="AU2416" t="s">
        <v>8654</v>
      </c>
      <c r="AV2416" t="s">
        <v>4179</v>
      </c>
      <c r="AW2416" t="s">
        <v>9874</v>
      </c>
      <c r="AX2416" t="s">
        <v>3270</v>
      </c>
      <c r="AY2416" t="s">
        <v>23387</v>
      </c>
      <c r="AZ2416" t="s">
        <v>3270</v>
      </c>
      <c r="BA2416">
        <v>2</v>
      </c>
      <c r="BB2416">
        <v>120.42</v>
      </c>
      <c r="BC2416">
        <v>0.73</v>
      </c>
      <c r="BD2416">
        <v>1.05</v>
      </c>
      <c r="BE2416">
        <v>1.05</v>
      </c>
      <c r="BF2416">
        <v>1.02</v>
      </c>
      <c r="BG2416" t="s">
        <v>23388</v>
      </c>
      <c r="BH2416" t="s">
        <v>18753</v>
      </c>
      <c r="BI2416" t="s">
        <v>3270</v>
      </c>
      <c r="BJ2416" t="s">
        <v>101</v>
      </c>
      <c r="BK2416" t="s">
        <v>23389</v>
      </c>
      <c r="BL2416" t="s">
        <v>23390</v>
      </c>
      <c r="BM2416" t="s">
        <v>23391</v>
      </c>
      <c r="BN2416" t="s">
        <v>22882</v>
      </c>
    </row>
    <row r="2417" spans="1:66" x14ac:dyDescent="0.25">
      <c r="A2417" t="str">
        <f>HYPERLINK("https://elite.finviz.com/quote.ashx?t=UEIC&amp;ty=c&amp;p=d&amp;b=1", "UEIC")</f>
        <v>UEIC</v>
      </c>
      <c r="B2417">
        <v>5</v>
      </c>
      <c r="C2417">
        <v>126.51</v>
      </c>
      <c r="D2417">
        <v>51.15</v>
      </c>
      <c r="E2417" t="s">
        <v>23392</v>
      </c>
      <c r="F2417" t="s">
        <v>107</v>
      </c>
      <c r="G2417" t="s">
        <v>108</v>
      </c>
      <c r="H2417" t="s">
        <v>994</v>
      </c>
      <c r="I2417" t="s">
        <v>70</v>
      </c>
      <c r="J2417" t="s">
        <v>321</v>
      </c>
      <c r="K2417">
        <v>65.09</v>
      </c>
      <c r="L2417">
        <v>4.88</v>
      </c>
      <c r="M2417" t="s">
        <v>1765</v>
      </c>
      <c r="N2417">
        <v>24534</v>
      </c>
      <c r="P2417">
        <v>14.21</v>
      </c>
      <c r="R2417">
        <v>0.16</v>
      </c>
      <c r="S2417">
        <v>0.43</v>
      </c>
      <c r="AA2417">
        <v>-1.25</v>
      </c>
      <c r="AE2417" t="s">
        <v>3433</v>
      </c>
      <c r="AF2417" t="s">
        <v>8048</v>
      </c>
      <c r="AG2417" t="s">
        <v>6977</v>
      </c>
      <c r="AH2417" t="s">
        <v>7854</v>
      </c>
      <c r="AI2417" t="s">
        <v>23393</v>
      </c>
      <c r="AJ2417" t="s">
        <v>2640</v>
      </c>
      <c r="AK2417" t="s">
        <v>6642</v>
      </c>
      <c r="AL2417">
        <v>1.62</v>
      </c>
      <c r="AM2417">
        <v>1.05</v>
      </c>
      <c r="AN2417">
        <v>0.28000000000000003</v>
      </c>
      <c r="AO2417" t="s">
        <v>5694</v>
      </c>
      <c r="AP2417" t="s">
        <v>1564</v>
      </c>
      <c r="AQ2417" t="s">
        <v>5621</v>
      </c>
      <c r="AR2417" t="s">
        <v>8164</v>
      </c>
      <c r="AS2417" t="s">
        <v>1104</v>
      </c>
      <c r="AT2417" t="s">
        <v>2495</v>
      </c>
      <c r="AU2417" t="s">
        <v>6253</v>
      </c>
      <c r="AV2417" t="s">
        <v>23394</v>
      </c>
      <c r="AW2417" t="s">
        <v>23395</v>
      </c>
      <c r="AX2417" t="s">
        <v>683</v>
      </c>
      <c r="AY2417" t="s">
        <v>19208</v>
      </c>
      <c r="AZ2417" t="s">
        <v>683</v>
      </c>
      <c r="BA2417">
        <v>3</v>
      </c>
      <c r="BB2417">
        <v>65.739999999999995</v>
      </c>
      <c r="BC2417">
        <v>1.31</v>
      </c>
      <c r="BD2417">
        <v>4.8600000000000003</v>
      </c>
      <c r="BE2417">
        <v>4.95</v>
      </c>
      <c r="BF2417">
        <v>4.78</v>
      </c>
      <c r="BG2417" t="s">
        <v>23396</v>
      </c>
      <c r="BH2417" t="s">
        <v>23397</v>
      </c>
      <c r="BI2417" t="s">
        <v>23398</v>
      </c>
      <c r="BJ2417" t="s">
        <v>101</v>
      </c>
      <c r="BK2417" t="s">
        <v>8746</v>
      </c>
      <c r="BL2417" t="s">
        <v>15027</v>
      </c>
      <c r="BM2417" t="s">
        <v>23399</v>
      </c>
      <c r="BN2417" t="s">
        <v>22882</v>
      </c>
    </row>
    <row r="2418" spans="1:66" x14ac:dyDescent="0.25">
      <c r="A2418" t="str">
        <f>HYPERLINK("https://elite.finviz.com/quote.ashx?t=ONCO&amp;ty=c&amp;p=d&amp;b=1", "ONCO")</f>
        <v>ONCO</v>
      </c>
      <c r="B2418">
        <v>5</v>
      </c>
      <c r="C2418">
        <v>126.51</v>
      </c>
      <c r="D2418">
        <v>51.77</v>
      </c>
      <c r="E2418" t="s">
        <v>23400</v>
      </c>
      <c r="F2418" t="s">
        <v>107</v>
      </c>
      <c r="G2418" t="s">
        <v>428</v>
      </c>
      <c r="H2418" t="s">
        <v>429</v>
      </c>
      <c r="I2418" t="s">
        <v>70</v>
      </c>
      <c r="J2418" t="s">
        <v>321</v>
      </c>
      <c r="K2418">
        <v>4.84</v>
      </c>
      <c r="L2418">
        <v>3.13</v>
      </c>
      <c r="M2418" t="s">
        <v>9498</v>
      </c>
      <c r="N2418">
        <v>1228750</v>
      </c>
      <c r="R2418">
        <v>3.64</v>
      </c>
      <c r="S2418">
        <v>0.53</v>
      </c>
      <c r="AA2418">
        <v>-513.64</v>
      </c>
      <c r="AB2418" t="s">
        <v>18365</v>
      </c>
      <c r="AC2418" t="s">
        <v>22226</v>
      </c>
      <c r="AE2418" t="s">
        <v>7049</v>
      </c>
      <c r="AH2418" t="s">
        <v>23401</v>
      </c>
      <c r="AI2418" t="s">
        <v>7242</v>
      </c>
      <c r="AJ2418" t="s">
        <v>164</v>
      </c>
      <c r="AK2418" t="s">
        <v>2571</v>
      </c>
      <c r="AL2418">
        <v>7.0000000000000007E-2</v>
      </c>
      <c r="AM2418">
        <v>0.06</v>
      </c>
      <c r="AN2418">
        <v>1.38</v>
      </c>
      <c r="AO2418" t="s">
        <v>23402</v>
      </c>
      <c r="AP2418" t="s">
        <v>23403</v>
      </c>
      <c r="AQ2418" t="s">
        <v>23404</v>
      </c>
      <c r="AR2418" t="s">
        <v>5976</v>
      </c>
      <c r="AS2418" t="s">
        <v>6859</v>
      </c>
      <c r="AT2418" t="s">
        <v>4104</v>
      </c>
      <c r="AU2418" t="s">
        <v>8228</v>
      </c>
      <c r="AV2418" t="s">
        <v>20929</v>
      </c>
      <c r="AW2418" t="s">
        <v>23405</v>
      </c>
      <c r="AX2418" t="s">
        <v>5931</v>
      </c>
      <c r="AY2418" t="s">
        <v>22385</v>
      </c>
      <c r="AZ2418" t="s">
        <v>5931</v>
      </c>
      <c r="BA2418">
        <v>1</v>
      </c>
      <c r="BB2418">
        <v>644.74</v>
      </c>
      <c r="BC2418">
        <v>6.71</v>
      </c>
      <c r="BD2418">
        <v>3.19</v>
      </c>
      <c r="BE2418">
        <v>3.15</v>
      </c>
      <c r="BF2418">
        <v>2.88</v>
      </c>
      <c r="BG2418" t="s">
        <v>23406</v>
      </c>
      <c r="BH2418" t="s">
        <v>579</v>
      </c>
      <c r="BI2418" t="s">
        <v>5931</v>
      </c>
      <c r="BJ2418" t="s">
        <v>101</v>
      </c>
      <c r="BK2418" t="s">
        <v>9795</v>
      </c>
      <c r="BL2418" t="s">
        <v>12174</v>
      </c>
      <c r="BM2418" t="s">
        <v>23407</v>
      </c>
      <c r="BN2418" t="s">
        <v>22882</v>
      </c>
    </row>
    <row r="2419" spans="1:66" x14ac:dyDescent="0.25">
      <c r="A2419" t="str">
        <f>HYPERLINK("https://elite.finviz.com/quote.ashx?t=QNCX&amp;ty=c&amp;p=d&amp;b=1", "QNCX")</f>
        <v>QNCX</v>
      </c>
      <c r="B2419">
        <v>5</v>
      </c>
      <c r="C2419">
        <v>126.51</v>
      </c>
      <c r="D2419">
        <v>53.31</v>
      </c>
      <c r="E2419" t="s">
        <v>23408</v>
      </c>
      <c r="F2419" t="s">
        <v>107</v>
      </c>
      <c r="G2419" t="s">
        <v>428</v>
      </c>
      <c r="H2419" t="s">
        <v>429</v>
      </c>
      <c r="I2419" t="s">
        <v>70</v>
      </c>
      <c r="J2419" t="s">
        <v>321</v>
      </c>
      <c r="K2419">
        <v>87.82</v>
      </c>
      <c r="L2419">
        <v>1.63</v>
      </c>
      <c r="M2419" t="s">
        <v>698</v>
      </c>
      <c r="N2419">
        <v>72382</v>
      </c>
      <c r="S2419">
        <v>7.47</v>
      </c>
      <c r="AA2419">
        <v>-1.1000000000000001</v>
      </c>
      <c r="AB2419" t="s">
        <v>15109</v>
      </c>
      <c r="AC2419" t="s">
        <v>6392</v>
      </c>
      <c r="AD2419" t="s">
        <v>7834</v>
      </c>
      <c r="AI2419" t="s">
        <v>23409</v>
      </c>
      <c r="AJ2419" t="s">
        <v>164</v>
      </c>
      <c r="AK2419" t="s">
        <v>5479</v>
      </c>
      <c r="AL2419">
        <v>5</v>
      </c>
      <c r="AM2419">
        <v>5</v>
      </c>
      <c r="AN2419">
        <v>1.49</v>
      </c>
      <c r="AR2419" t="s">
        <v>749</v>
      </c>
      <c r="AS2419" t="s">
        <v>6378</v>
      </c>
      <c r="AT2419" t="s">
        <v>6493</v>
      </c>
      <c r="AU2419" t="s">
        <v>3967</v>
      </c>
      <c r="AV2419" t="s">
        <v>7106</v>
      </c>
      <c r="AW2419" t="s">
        <v>23410</v>
      </c>
      <c r="AX2419" t="s">
        <v>1935</v>
      </c>
      <c r="AY2419" t="s">
        <v>5407</v>
      </c>
      <c r="AZ2419" t="s">
        <v>23411</v>
      </c>
      <c r="BA2419">
        <v>1</v>
      </c>
      <c r="BB2419">
        <v>201.06</v>
      </c>
      <c r="BC2419">
        <v>1.28</v>
      </c>
      <c r="BD2419">
        <v>1.63</v>
      </c>
      <c r="BE2419">
        <v>1.67</v>
      </c>
      <c r="BF2419">
        <v>1.62</v>
      </c>
      <c r="BG2419" t="s">
        <v>23412</v>
      </c>
      <c r="BH2419" t="s">
        <v>1237</v>
      </c>
      <c r="BI2419" t="s">
        <v>23413</v>
      </c>
      <c r="BJ2419" t="s">
        <v>101</v>
      </c>
      <c r="BK2419" t="s">
        <v>7682</v>
      </c>
      <c r="BL2419" t="s">
        <v>639</v>
      </c>
      <c r="BM2419" t="s">
        <v>23414</v>
      </c>
      <c r="BN2419" t="s">
        <v>22882</v>
      </c>
    </row>
    <row r="2420" spans="1:66" x14ac:dyDescent="0.25">
      <c r="A2420" t="str">
        <f>HYPERLINK("https://elite.finviz.com/quote.ashx?t=SYRE&amp;ty=c&amp;p=d&amp;b=1", "SYRE")</f>
        <v>SYRE</v>
      </c>
      <c r="B2420">
        <v>5</v>
      </c>
      <c r="C2420">
        <v>126.51</v>
      </c>
      <c r="D2420">
        <v>54.25</v>
      </c>
      <c r="E2420" t="s">
        <v>23415</v>
      </c>
      <c r="F2420" t="s">
        <v>67</v>
      </c>
      <c r="G2420" t="s">
        <v>428</v>
      </c>
      <c r="H2420" t="s">
        <v>429</v>
      </c>
      <c r="I2420" t="s">
        <v>70</v>
      </c>
      <c r="J2420" t="s">
        <v>321</v>
      </c>
      <c r="K2420">
        <v>1007.24</v>
      </c>
      <c r="L2420">
        <v>16.68</v>
      </c>
      <c r="M2420" t="s">
        <v>7150</v>
      </c>
      <c r="N2420">
        <v>452446</v>
      </c>
      <c r="S2420">
        <v>2.2200000000000002</v>
      </c>
      <c r="AA2420">
        <v>-3.05</v>
      </c>
      <c r="AB2420" t="s">
        <v>23385</v>
      </c>
      <c r="AC2420" t="s">
        <v>14417</v>
      </c>
      <c r="AD2420" t="s">
        <v>17603</v>
      </c>
      <c r="AE2420" t="s">
        <v>579</v>
      </c>
      <c r="AI2420" t="s">
        <v>3185</v>
      </c>
      <c r="AJ2420" t="s">
        <v>2213</v>
      </c>
      <c r="AK2420" t="s">
        <v>23416</v>
      </c>
      <c r="AL2420">
        <v>6.49</v>
      </c>
      <c r="AM2420">
        <v>6.49</v>
      </c>
      <c r="AN2420">
        <v>0</v>
      </c>
      <c r="AR2420" t="s">
        <v>1507</v>
      </c>
      <c r="AS2420" t="s">
        <v>6527</v>
      </c>
      <c r="AT2420" t="s">
        <v>6475</v>
      </c>
      <c r="AU2420" t="s">
        <v>2175</v>
      </c>
      <c r="AV2420" t="s">
        <v>7383</v>
      </c>
      <c r="AW2420" t="s">
        <v>9417</v>
      </c>
      <c r="AX2420" t="s">
        <v>3734</v>
      </c>
      <c r="AY2420" t="s">
        <v>8113</v>
      </c>
      <c r="AZ2420" t="s">
        <v>7042</v>
      </c>
      <c r="BA2420">
        <v>1.23</v>
      </c>
      <c r="BB2420">
        <v>573.52</v>
      </c>
      <c r="BC2420">
        <v>2.78</v>
      </c>
      <c r="BD2420">
        <v>15.61</v>
      </c>
      <c r="BE2420">
        <v>16.670000000000002</v>
      </c>
      <c r="BF2420">
        <v>15.7</v>
      </c>
      <c r="BG2420" t="s">
        <v>23417</v>
      </c>
      <c r="BH2420" t="s">
        <v>23418</v>
      </c>
      <c r="BI2420" t="s">
        <v>23419</v>
      </c>
      <c r="BJ2420" t="s">
        <v>101</v>
      </c>
      <c r="BK2420" t="s">
        <v>4223</v>
      </c>
      <c r="BL2420" t="s">
        <v>8710</v>
      </c>
      <c r="BM2420" t="s">
        <v>18216</v>
      </c>
      <c r="BN2420" t="s">
        <v>22882</v>
      </c>
    </row>
    <row r="2421" spans="1:66" x14ac:dyDescent="0.25">
      <c r="A2421" t="str">
        <f>HYPERLINK("https://elite.finviz.com/quote.ashx?t=INAB&amp;ty=c&amp;p=d&amp;b=1", "INAB")</f>
        <v>INAB</v>
      </c>
      <c r="B2421">
        <v>5</v>
      </c>
      <c r="C2421">
        <v>126.51</v>
      </c>
      <c r="D2421">
        <v>55.02</v>
      </c>
      <c r="E2421" t="s">
        <v>23420</v>
      </c>
      <c r="F2421" t="s">
        <v>107</v>
      </c>
      <c r="G2421" t="s">
        <v>428</v>
      </c>
      <c r="H2421" t="s">
        <v>429</v>
      </c>
      <c r="I2421" t="s">
        <v>70</v>
      </c>
      <c r="J2421" t="s">
        <v>321</v>
      </c>
      <c r="K2421">
        <v>10.029999999999999</v>
      </c>
      <c r="L2421">
        <v>2.21</v>
      </c>
      <c r="M2421" t="s">
        <v>3088</v>
      </c>
      <c r="N2421">
        <v>104590</v>
      </c>
      <c r="S2421">
        <v>0.59</v>
      </c>
      <c r="AA2421">
        <v>-10.27</v>
      </c>
      <c r="AB2421" t="s">
        <v>2019</v>
      </c>
      <c r="AC2421" t="s">
        <v>18148</v>
      </c>
      <c r="AD2421" t="s">
        <v>23421</v>
      </c>
      <c r="AI2421" t="s">
        <v>9317</v>
      </c>
      <c r="AJ2421" t="s">
        <v>164</v>
      </c>
      <c r="AK2421" t="s">
        <v>2470</v>
      </c>
      <c r="AL2421">
        <v>7.03</v>
      </c>
      <c r="AM2421">
        <v>7.03</v>
      </c>
      <c r="AN2421">
        <v>0.2</v>
      </c>
      <c r="AR2421" t="s">
        <v>5659</v>
      </c>
      <c r="AS2421" t="s">
        <v>6956</v>
      </c>
      <c r="AT2421" t="s">
        <v>5336</v>
      </c>
      <c r="AU2421" t="s">
        <v>4865</v>
      </c>
      <c r="AV2421" t="s">
        <v>23422</v>
      </c>
      <c r="AW2421" t="s">
        <v>3977</v>
      </c>
      <c r="AX2421" t="s">
        <v>1497</v>
      </c>
      <c r="AY2421" t="s">
        <v>12224</v>
      </c>
      <c r="AZ2421" t="s">
        <v>1497</v>
      </c>
      <c r="BA2421">
        <v>1</v>
      </c>
      <c r="BB2421">
        <v>94.61</v>
      </c>
      <c r="BC2421">
        <v>3.93</v>
      </c>
      <c r="BD2421">
        <v>2.09</v>
      </c>
      <c r="BE2421">
        <v>2.2400000000000002</v>
      </c>
      <c r="BF2421">
        <v>2.13</v>
      </c>
      <c r="BG2421" t="s">
        <v>23423</v>
      </c>
      <c r="BH2421" t="s">
        <v>13235</v>
      </c>
      <c r="BI2421" t="s">
        <v>1497</v>
      </c>
      <c r="BJ2421" t="s">
        <v>101</v>
      </c>
      <c r="BK2421" t="s">
        <v>3670</v>
      </c>
      <c r="BL2421" t="s">
        <v>23424</v>
      </c>
      <c r="BM2421" t="s">
        <v>23425</v>
      </c>
      <c r="BN2421" t="s">
        <v>22882</v>
      </c>
    </row>
    <row r="2422" spans="1:66" x14ac:dyDescent="0.25">
      <c r="A2422" t="str">
        <f>HYPERLINK("https://elite.finviz.com/quote.ashx?t=BDL&amp;ty=c&amp;p=d&amp;b=1", "BDL")</f>
        <v>BDL</v>
      </c>
      <c r="B2422">
        <v>5</v>
      </c>
      <c r="C2422">
        <v>126.51</v>
      </c>
      <c r="D2422">
        <v>55.83</v>
      </c>
      <c r="E2422" t="s">
        <v>23426</v>
      </c>
      <c r="F2422" t="s">
        <v>107</v>
      </c>
      <c r="G2422" t="s">
        <v>813</v>
      </c>
      <c r="H2422" t="s">
        <v>2285</v>
      </c>
      <c r="I2422" t="s">
        <v>70</v>
      </c>
      <c r="J2422" t="s">
        <v>383</v>
      </c>
      <c r="K2422">
        <v>56.15</v>
      </c>
      <c r="L2422">
        <v>31.56</v>
      </c>
      <c r="M2422" t="s">
        <v>2317</v>
      </c>
      <c r="N2422">
        <v>1702</v>
      </c>
      <c r="O2422">
        <v>13.58</v>
      </c>
      <c r="R2422">
        <v>0.28000000000000003</v>
      </c>
      <c r="S2422">
        <v>0.91</v>
      </c>
      <c r="T2422" t="s">
        <v>2195</v>
      </c>
      <c r="U2422">
        <v>0.55000000000000004</v>
      </c>
      <c r="V2422" t="s">
        <v>23427</v>
      </c>
      <c r="W2422" t="s">
        <v>821</v>
      </c>
      <c r="X2422" t="s">
        <v>1197</v>
      </c>
      <c r="Y2422" t="s">
        <v>10393</v>
      </c>
      <c r="Z2422" t="s">
        <v>9081</v>
      </c>
      <c r="AA2422">
        <v>2.3199999999999998</v>
      </c>
      <c r="AB2422" t="s">
        <v>10838</v>
      </c>
      <c r="AC2422" t="s">
        <v>14607</v>
      </c>
      <c r="AE2422" t="s">
        <v>11728</v>
      </c>
      <c r="AF2422" t="s">
        <v>821</v>
      </c>
      <c r="AG2422" t="s">
        <v>4852</v>
      </c>
      <c r="AH2422" t="s">
        <v>5944</v>
      </c>
      <c r="AJ2422" t="s">
        <v>2144</v>
      </c>
      <c r="AK2422" t="s">
        <v>330</v>
      </c>
      <c r="AL2422">
        <v>1.66</v>
      </c>
      <c r="AM2422">
        <v>1.27</v>
      </c>
      <c r="AN2422">
        <v>0.74</v>
      </c>
      <c r="AO2422" t="s">
        <v>7287</v>
      </c>
      <c r="AP2422" t="s">
        <v>2821</v>
      </c>
      <c r="AQ2422" t="s">
        <v>4891</v>
      </c>
      <c r="AR2422" t="s">
        <v>4839</v>
      </c>
      <c r="AS2422" t="s">
        <v>1932</v>
      </c>
      <c r="AT2422" t="s">
        <v>8727</v>
      </c>
      <c r="AU2422" t="s">
        <v>4276</v>
      </c>
      <c r="AV2422" t="s">
        <v>14743</v>
      </c>
      <c r="AW2422" t="s">
        <v>16279</v>
      </c>
      <c r="AX2422" t="s">
        <v>21085</v>
      </c>
      <c r="AY2422" t="s">
        <v>11846</v>
      </c>
      <c r="AZ2422" t="s">
        <v>8912</v>
      </c>
      <c r="BB2422">
        <v>1.64</v>
      </c>
      <c r="BC2422">
        <v>3.7</v>
      </c>
      <c r="BD2422">
        <v>30.56</v>
      </c>
      <c r="BE2422">
        <v>29.4</v>
      </c>
      <c r="BF2422">
        <v>29.85</v>
      </c>
      <c r="BG2422" t="s">
        <v>23428</v>
      </c>
      <c r="BH2422" t="s">
        <v>21170</v>
      </c>
      <c r="BI2422" t="s">
        <v>23429</v>
      </c>
      <c r="BJ2422" t="s">
        <v>101</v>
      </c>
      <c r="BK2422" t="s">
        <v>4849</v>
      </c>
      <c r="BL2422" t="s">
        <v>17060</v>
      </c>
      <c r="BM2422" t="s">
        <v>6834</v>
      </c>
      <c r="BN2422" t="s">
        <v>22882</v>
      </c>
    </row>
    <row r="2423" spans="1:66" x14ac:dyDescent="0.25">
      <c r="A2423" t="str">
        <f>HYPERLINK("https://elite.finviz.com/quote.ashx?t=RTAC&amp;ty=c&amp;p=d&amp;b=1", "RTAC")</f>
        <v>RTAC</v>
      </c>
      <c r="B2423">
        <v>5</v>
      </c>
      <c r="C2423">
        <v>126.51</v>
      </c>
      <c r="D2423">
        <v>56.56</v>
      </c>
      <c r="E2423" t="s">
        <v>23430</v>
      </c>
      <c r="F2423" t="s">
        <v>107</v>
      </c>
      <c r="G2423" t="s">
        <v>550</v>
      </c>
      <c r="H2423" t="s">
        <v>2120</v>
      </c>
      <c r="I2423" t="s">
        <v>70</v>
      </c>
      <c r="J2423" t="s">
        <v>321</v>
      </c>
      <c r="K2423">
        <v>342.76</v>
      </c>
      <c r="L2423">
        <v>11</v>
      </c>
      <c r="M2423" t="s">
        <v>5116</v>
      </c>
      <c r="N2423">
        <v>191358</v>
      </c>
      <c r="S2423">
        <v>1.47</v>
      </c>
      <c r="AJ2423" t="s">
        <v>164</v>
      </c>
      <c r="AK2423" t="s">
        <v>7749</v>
      </c>
      <c r="AL2423">
        <v>1.99</v>
      </c>
      <c r="AM2423">
        <v>1.99</v>
      </c>
      <c r="AN2423">
        <v>0</v>
      </c>
      <c r="AR2423" t="s">
        <v>4275</v>
      </c>
      <c r="AS2423" t="s">
        <v>2195</v>
      </c>
      <c r="AT2423" t="s">
        <v>248</v>
      </c>
      <c r="AU2423" t="s">
        <v>4065</v>
      </c>
      <c r="AV2423" t="s">
        <v>5120</v>
      </c>
      <c r="AW2423" t="s">
        <v>14902</v>
      </c>
      <c r="AX2423" t="s">
        <v>3981</v>
      </c>
      <c r="AY2423" t="s">
        <v>23431</v>
      </c>
      <c r="AZ2423" t="s">
        <v>3981</v>
      </c>
      <c r="BB2423">
        <v>366.51</v>
      </c>
      <c r="BC2423">
        <v>1.86</v>
      </c>
      <c r="BD2423">
        <v>10.84</v>
      </c>
      <c r="BE2423">
        <v>11.02</v>
      </c>
      <c r="BF2423">
        <v>10.91</v>
      </c>
      <c r="BG2423" t="s">
        <v>23432</v>
      </c>
      <c r="BH2423" t="s">
        <v>23431</v>
      </c>
      <c r="BI2423" t="s">
        <v>3981</v>
      </c>
      <c r="BJ2423" t="s">
        <v>101</v>
      </c>
      <c r="BK2423" t="s">
        <v>6469</v>
      </c>
      <c r="BN2423" t="s">
        <v>22882</v>
      </c>
    </row>
    <row r="2424" spans="1:66" x14ac:dyDescent="0.25">
      <c r="A2424" t="str">
        <f>HYPERLINK("https://elite.finviz.com/quote.ashx?t=USBC&amp;ty=c&amp;p=d&amp;b=1", "USBC")</f>
        <v>USBC</v>
      </c>
      <c r="B2424">
        <v>5</v>
      </c>
      <c r="C2424">
        <v>126.51</v>
      </c>
      <c r="D2424">
        <v>57.71</v>
      </c>
      <c r="E2424" t="s">
        <v>23433</v>
      </c>
      <c r="F2424" t="s">
        <v>107</v>
      </c>
      <c r="G2424" t="s">
        <v>108</v>
      </c>
      <c r="H2424" t="s">
        <v>9222</v>
      </c>
      <c r="I2424" t="s">
        <v>70</v>
      </c>
      <c r="J2424" t="s">
        <v>383</v>
      </c>
      <c r="K2424">
        <v>504.82</v>
      </c>
      <c r="L2424">
        <v>1.3</v>
      </c>
      <c r="M2424" t="s">
        <v>969</v>
      </c>
      <c r="N2424">
        <v>429381</v>
      </c>
      <c r="AA2424">
        <v>-4.97</v>
      </c>
      <c r="AB2424" t="s">
        <v>23434</v>
      </c>
      <c r="AC2424" t="s">
        <v>9700</v>
      </c>
      <c r="AJ2424" t="s">
        <v>164</v>
      </c>
      <c r="AK2424" t="s">
        <v>580</v>
      </c>
      <c r="AL2424">
        <v>0.03</v>
      </c>
      <c r="AM2424">
        <v>0.03</v>
      </c>
      <c r="AR2424" t="s">
        <v>8437</v>
      </c>
      <c r="AS2424" t="s">
        <v>12975</v>
      </c>
      <c r="AT2424" t="s">
        <v>6252</v>
      </c>
      <c r="AU2424" t="s">
        <v>10979</v>
      </c>
      <c r="AV2424" t="s">
        <v>11917</v>
      </c>
      <c r="AW2424" t="s">
        <v>14525</v>
      </c>
      <c r="AX2424" t="s">
        <v>10720</v>
      </c>
      <c r="AY2424" t="s">
        <v>23435</v>
      </c>
      <c r="AZ2424" t="s">
        <v>23436</v>
      </c>
      <c r="BA2424">
        <v>1</v>
      </c>
      <c r="BB2424">
        <v>809.15</v>
      </c>
      <c r="BC2424">
        <v>1.89</v>
      </c>
      <c r="BD2424">
        <v>1.29</v>
      </c>
      <c r="BE2424">
        <v>1.34</v>
      </c>
      <c r="BF2424">
        <v>1.3</v>
      </c>
      <c r="BG2424" t="s">
        <v>23437</v>
      </c>
      <c r="BH2424" t="s">
        <v>3265</v>
      </c>
      <c r="BI2424" t="s">
        <v>23436</v>
      </c>
      <c r="BJ2424" t="s">
        <v>101</v>
      </c>
      <c r="BK2424" t="s">
        <v>1174</v>
      </c>
      <c r="BL2424" t="s">
        <v>14388</v>
      </c>
      <c r="BM2424" t="s">
        <v>23438</v>
      </c>
      <c r="BN2424" t="s">
        <v>22882</v>
      </c>
    </row>
    <row r="2425" spans="1:66" x14ac:dyDescent="0.25">
      <c r="A2425" t="str">
        <f>HYPERLINK("https://elite.finviz.com/quote.ashx?t=GUTS&amp;ty=c&amp;p=d&amp;b=1", "GUTS")</f>
        <v>GUTS</v>
      </c>
      <c r="B2425">
        <v>5</v>
      </c>
      <c r="C2425">
        <v>126.51</v>
      </c>
      <c r="D2425">
        <v>60.9</v>
      </c>
      <c r="E2425" t="s">
        <v>23439</v>
      </c>
      <c r="F2425" t="s">
        <v>107</v>
      </c>
      <c r="G2425" t="s">
        <v>428</v>
      </c>
      <c r="H2425" t="s">
        <v>429</v>
      </c>
      <c r="I2425" t="s">
        <v>70</v>
      </c>
      <c r="J2425" t="s">
        <v>321</v>
      </c>
      <c r="K2425">
        <v>82.05</v>
      </c>
      <c r="L2425">
        <v>1.1399999999999999</v>
      </c>
      <c r="M2425" t="s">
        <v>11867</v>
      </c>
      <c r="N2425">
        <v>52022292</v>
      </c>
      <c r="R2425">
        <v>4102.29</v>
      </c>
      <c r="AA2425">
        <v>-2.0499999999999998</v>
      </c>
      <c r="AB2425" t="s">
        <v>11264</v>
      </c>
      <c r="AC2425" t="s">
        <v>11904</v>
      </c>
      <c r="AD2425" t="s">
        <v>1116</v>
      </c>
      <c r="AE2425" t="s">
        <v>18285</v>
      </c>
      <c r="AH2425" t="s">
        <v>579</v>
      </c>
      <c r="AI2425" t="s">
        <v>23440</v>
      </c>
      <c r="AJ2425" t="s">
        <v>164</v>
      </c>
      <c r="AK2425" t="s">
        <v>13660</v>
      </c>
      <c r="AL2425">
        <v>1.22</v>
      </c>
      <c r="AM2425">
        <v>1.22</v>
      </c>
      <c r="AO2425" t="s">
        <v>23441</v>
      </c>
      <c r="AP2425" t="s">
        <v>23442</v>
      </c>
      <c r="AQ2425" t="s">
        <v>23443</v>
      </c>
      <c r="AR2425" t="s">
        <v>1981</v>
      </c>
      <c r="AS2425" t="s">
        <v>2205</v>
      </c>
      <c r="AT2425" t="s">
        <v>6497</v>
      </c>
      <c r="AU2425" t="s">
        <v>2336</v>
      </c>
      <c r="AV2425" t="s">
        <v>15828</v>
      </c>
      <c r="AW2425" t="s">
        <v>23444</v>
      </c>
      <c r="AX2425" t="s">
        <v>8570</v>
      </c>
      <c r="AY2425" t="s">
        <v>7814</v>
      </c>
      <c r="AZ2425" t="s">
        <v>8570</v>
      </c>
      <c r="BA2425">
        <v>1</v>
      </c>
      <c r="BB2425">
        <v>878.67</v>
      </c>
      <c r="BC2425">
        <v>208.58</v>
      </c>
      <c r="BD2425">
        <v>1.01</v>
      </c>
      <c r="BE2425">
        <v>1.25</v>
      </c>
      <c r="BF2425">
        <v>1.06</v>
      </c>
      <c r="BG2425" t="s">
        <v>23445</v>
      </c>
      <c r="BH2425" t="s">
        <v>23446</v>
      </c>
      <c r="BI2425" t="s">
        <v>8570</v>
      </c>
      <c r="BJ2425" t="s">
        <v>101</v>
      </c>
      <c r="BK2425" t="s">
        <v>15019</v>
      </c>
      <c r="BL2425" t="s">
        <v>8343</v>
      </c>
      <c r="BM2425" t="s">
        <v>23447</v>
      </c>
      <c r="BN2425" t="s">
        <v>22882</v>
      </c>
    </row>
    <row r="2426" spans="1:66" x14ac:dyDescent="0.25">
      <c r="A2426" t="str">
        <f>HYPERLINK("https://elite.finviz.com/quote.ashx?t=ONCH&amp;ty=c&amp;p=d&amp;b=1", "ONCH")</f>
        <v>ONCH</v>
      </c>
      <c r="B2426">
        <v>5</v>
      </c>
      <c r="C2426">
        <v>126.51</v>
      </c>
      <c r="E2426" t="s">
        <v>23448</v>
      </c>
      <c r="F2426" t="s">
        <v>107</v>
      </c>
      <c r="G2426" t="s">
        <v>550</v>
      </c>
      <c r="H2426" t="s">
        <v>2120</v>
      </c>
      <c r="I2426" t="s">
        <v>70</v>
      </c>
      <c r="J2426" t="s">
        <v>321</v>
      </c>
      <c r="K2426">
        <v>220.99</v>
      </c>
      <c r="L2426">
        <v>10.25</v>
      </c>
      <c r="M2426" t="s">
        <v>2899</v>
      </c>
      <c r="N2426">
        <v>15178</v>
      </c>
      <c r="AJ2426" t="s">
        <v>164</v>
      </c>
      <c r="AL2426">
        <v>0</v>
      </c>
      <c r="AM2426">
        <v>0</v>
      </c>
      <c r="AR2426" t="s">
        <v>2610</v>
      </c>
      <c r="AT2426" t="s">
        <v>2717</v>
      </c>
      <c r="AU2426" t="s">
        <v>2717</v>
      </c>
      <c r="AV2426" t="s">
        <v>2717</v>
      </c>
      <c r="AW2426" t="s">
        <v>7582</v>
      </c>
      <c r="AX2426" t="s">
        <v>8179</v>
      </c>
      <c r="AY2426" t="s">
        <v>7582</v>
      </c>
      <c r="AZ2426" t="s">
        <v>8179</v>
      </c>
      <c r="BB2426">
        <v>33.72</v>
      </c>
      <c r="BC2426">
        <v>1.59</v>
      </c>
      <c r="BD2426">
        <v>10.34</v>
      </c>
      <c r="BE2426">
        <v>10.29</v>
      </c>
      <c r="BF2426">
        <v>10.25</v>
      </c>
      <c r="BG2426" t="s">
        <v>23449</v>
      </c>
      <c r="BH2426" t="s">
        <v>7582</v>
      </c>
      <c r="BI2426" t="s">
        <v>8179</v>
      </c>
      <c r="BJ2426" t="s">
        <v>101</v>
      </c>
      <c r="BN2426" t="s">
        <v>22882</v>
      </c>
    </row>
    <row r="2427" spans="1:66" x14ac:dyDescent="0.25">
      <c r="A2427" t="str">
        <f>HYPERLINK("https://elite.finviz.com/quote.ashx?t=SFM&amp;ty=c&amp;p=d&amp;b=1", "SFM")</f>
        <v>SFM</v>
      </c>
      <c r="B2427">
        <v>5</v>
      </c>
      <c r="C2427">
        <v>116.22</v>
      </c>
      <c r="D2427">
        <v>15.08</v>
      </c>
      <c r="E2427" t="s">
        <v>23450</v>
      </c>
      <c r="F2427" t="s">
        <v>107</v>
      </c>
      <c r="G2427" t="s">
        <v>2244</v>
      </c>
      <c r="H2427" t="s">
        <v>14712</v>
      </c>
      <c r="I2427" t="s">
        <v>70</v>
      </c>
      <c r="J2427" t="s">
        <v>321</v>
      </c>
      <c r="K2427">
        <v>10879.29</v>
      </c>
      <c r="L2427">
        <v>111.32</v>
      </c>
      <c r="M2427" t="s">
        <v>3598</v>
      </c>
      <c r="N2427">
        <v>506068</v>
      </c>
      <c r="O2427">
        <v>22.94</v>
      </c>
      <c r="P2427">
        <v>18.16</v>
      </c>
      <c r="Q2427">
        <v>1</v>
      </c>
      <c r="R2427">
        <v>1.3</v>
      </c>
      <c r="S2427">
        <v>8.02</v>
      </c>
      <c r="Z2427" t="s">
        <v>164</v>
      </c>
      <c r="AA2427">
        <v>4.8499999999999996</v>
      </c>
      <c r="AB2427" t="s">
        <v>12021</v>
      </c>
      <c r="AC2427" t="s">
        <v>19198</v>
      </c>
      <c r="AD2427" t="s">
        <v>1065</v>
      </c>
      <c r="AE2427" t="s">
        <v>4601</v>
      </c>
      <c r="AF2427" t="s">
        <v>1282</v>
      </c>
      <c r="AG2427" t="s">
        <v>2772</v>
      </c>
      <c r="AH2427" t="s">
        <v>3103</v>
      </c>
      <c r="AI2427" t="s">
        <v>1133</v>
      </c>
      <c r="AJ2427" t="s">
        <v>9116</v>
      </c>
      <c r="AK2427" t="s">
        <v>23451</v>
      </c>
      <c r="AL2427">
        <v>0.98</v>
      </c>
      <c r="AM2427">
        <v>0.5</v>
      </c>
      <c r="AN2427">
        <v>1.29</v>
      </c>
      <c r="AO2427" t="s">
        <v>12857</v>
      </c>
      <c r="AP2427" t="s">
        <v>2698</v>
      </c>
      <c r="AQ2427" t="s">
        <v>1576</v>
      </c>
      <c r="AR2427" t="s">
        <v>5780</v>
      </c>
      <c r="AS2427" t="s">
        <v>89</v>
      </c>
      <c r="AT2427" t="s">
        <v>18890</v>
      </c>
      <c r="AU2427" t="s">
        <v>18917</v>
      </c>
      <c r="AV2427" t="s">
        <v>9074</v>
      </c>
      <c r="AW2427" t="s">
        <v>4329</v>
      </c>
      <c r="AX2427" t="s">
        <v>6182</v>
      </c>
      <c r="AY2427" t="s">
        <v>18898</v>
      </c>
      <c r="AZ2427" t="s">
        <v>1453</v>
      </c>
      <c r="BA2427">
        <v>2.06</v>
      </c>
      <c r="BB2427">
        <v>1960.27</v>
      </c>
      <c r="BC2427">
        <v>0.91</v>
      </c>
      <c r="BD2427">
        <v>111.36</v>
      </c>
      <c r="BE2427">
        <v>112.48</v>
      </c>
      <c r="BF2427">
        <v>110</v>
      </c>
      <c r="BG2427" t="s">
        <v>23452</v>
      </c>
      <c r="BH2427" t="s">
        <v>18898</v>
      </c>
      <c r="BI2427" t="s">
        <v>23453</v>
      </c>
      <c r="BJ2427" t="s">
        <v>101</v>
      </c>
      <c r="BK2427" t="s">
        <v>2112</v>
      </c>
      <c r="BL2427" t="s">
        <v>21016</v>
      </c>
      <c r="BM2427" t="s">
        <v>2582</v>
      </c>
      <c r="BN2427" t="s">
        <v>23454</v>
      </c>
    </row>
    <row r="2428" spans="1:66" x14ac:dyDescent="0.25">
      <c r="A2428" t="str">
        <f>HYPERLINK("https://elite.finviz.com/quote.ashx?t=ETS&amp;ty=c&amp;p=d&amp;b=1", "ETS")</f>
        <v>ETS</v>
      </c>
      <c r="B2428">
        <v>5</v>
      </c>
      <c r="C2428">
        <v>116.22</v>
      </c>
      <c r="D2428">
        <v>15.14</v>
      </c>
      <c r="E2428" t="s">
        <v>23455</v>
      </c>
      <c r="F2428" t="s">
        <v>107</v>
      </c>
      <c r="G2428" t="s">
        <v>260</v>
      </c>
      <c r="H2428" t="s">
        <v>6190</v>
      </c>
      <c r="I2428" t="s">
        <v>70</v>
      </c>
      <c r="J2428" t="s">
        <v>321</v>
      </c>
      <c r="L2428">
        <v>0.9</v>
      </c>
      <c r="M2428" t="s">
        <v>5660</v>
      </c>
      <c r="N2428">
        <v>53058</v>
      </c>
      <c r="AR2428" t="s">
        <v>2407</v>
      </c>
      <c r="AS2428" t="s">
        <v>1532</v>
      </c>
      <c r="AT2428" t="s">
        <v>9240</v>
      </c>
      <c r="AU2428" t="s">
        <v>17470</v>
      </c>
      <c r="AV2428" t="s">
        <v>17470</v>
      </c>
      <c r="AW2428" t="s">
        <v>16991</v>
      </c>
      <c r="AX2428" t="s">
        <v>5700</v>
      </c>
      <c r="AY2428" t="s">
        <v>16991</v>
      </c>
      <c r="AZ2428" t="s">
        <v>5700</v>
      </c>
      <c r="BB2428">
        <v>1424.13</v>
      </c>
      <c r="BC2428">
        <v>0.13</v>
      </c>
      <c r="BD2428">
        <v>0.88</v>
      </c>
      <c r="BE2428">
        <v>0.91</v>
      </c>
      <c r="BF2428">
        <v>0.88</v>
      </c>
      <c r="BG2428" t="s">
        <v>23456</v>
      </c>
      <c r="BH2428" t="s">
        <v>16991</v>
      </c>
      <c r="BI2428" t="s">
        <v>5700</v>
      </c>
      <c r="BJ2428" t="s">
        <v>101</v>
      </c>
      <c r="BN2428" t="s">
        <v>23454</v>
      </c>
    </row>
    <row r="2429" spans="1:66" x14ac:dyDescent="0.25">
      <c r="A2429" t="str">
        <f>HYPERLINK("https://elite.finviz.com/quote.ashx?t=FSK&amp;ty=c&amp;p=d&amp;b=1", "FSK")</f>
        <v>FSK</v>
      </c>
      <c r="B2429">
        <v>5</v>
      </c>
      <c r="C2429">
        <v>116.22</v>
      </c>
      <c r="D2429">
        <v>16.16</v>
      </c>
      <c r="E2429" t="s">
        <v>23457</v>
      </c>
      <c r="F2429" t="s">
        <v>107</v>
      </c>
      <c r="G2429" t="s">
        <v>550</v>
      </c>
      <c r="H2429" t="s">
        <v>2597</v>
      </c>
      <c r="I2429" t="s">
        <v>70</v>
      </c>
      <c r="J2429" t="s">
        <v>71</v>
      </c>
      <c r="K2429">
        <v>4250.6499999999996</v>
      </c>
      <c r="L2429">
        <v>15.18</v>
      </c>
      <c r="M2429" t="s">
        <v>7709</v>
      </c>
      <c r="N2429">
        <v>515814</v>
      </c>
      <c r="O2429">
        <v>19.46</v>
      </c>
      <c r="P2429">
        <v>6.93</v>
      </c>
      <c r="R2429">
        <v>2.58</v>
      </c>
      <c r="S2429">
        <v>0.69</v>
      </c>
      <c r="T2429" t="s">
        <v>7486</v>
      </c>
      <c r="U2429">
        <v>2.61</v>
      </c>
      <c r="V2429" t="s">
        <v>5673</v>
      </c>
      <c r="W2429" t="s">
        <v>6692</v>
      </c>
      <c r="X2429" t="s">
        <v>2333</v>
      </c>
      <c r="Y2429" t="s">
        <v>2617</v>
      </c>
      <c r="Z2429" t="s">
        <v>7712</v>
      </c>
      <c r="AA2429">
        <v>0.78</v>
      </c>
      <c r="AH2429" t="s">
        <v>2753</v>
      </c>
      <c r="AI2429" t="s">
        <v>5101</v>
      </c>
      <c r="AJ2429" t="s">
        <v>2881</v>
      </c>
      <c r="AK2429" t="s">
        <v>22655</v>
      </c>
      <c r="AR2429" t="s">
        <v>89</v>
      </c>
      <c r="AS2429" t="s">
        <v>4493</v>
      </c>
      <c r="AT2429" t="s">
        <v>16396</v>
      </c>
      <c r="AU2429" t="s">
        <v>16923</v>
      </c>
      <c r="AV2429" t="s">
        <v>12829</v>
      </c>
      <c r="AW2429" t="s">
        <v>14292</v>
      </c>
      <c r="AX2429" t="s">
        <v>2219</v>
      </c>
      <c r="AY2429" t="s">
        <v>23458</v>
      </c>
      <c r="AZ2429" t="s">
        <v>2219</v>
      </c>
      <c r="BA2429">
        <v>3</v>
      </c>
      <c r="BB2429">
        <v>2156.61</v>
      </c>
      <c r="BC2429">
        <v>0.84</v>
      </c>
      <c r="BD2429">
        <v>15.18</v>
      </c>
      <c r="BE2429">
        <v>15.29</v>
      </c>
      <c r="BF2429">
        <v>15.16</v>
      </c>
      <c r="BG2429" t="s">
        <v>23459</v>
      </c>
      <c r="BH2429" t="s">
        <v>23460</v>
      </c>
      <c r="BI2429" t="s">
        <v>23461</v>
      </c>
      <c r="BJ2429" t="s">
        <v>101</v>
      </c>
      <c r="BK2429" t="s">
        <v>20756</v>
      </c>
      <c r="BL2429" t="s">
        <v>2541</v>
      </c>
      <c r="BM2429" t="s">
        <v>5616</v>
      </c>
      <c r="BN2429" t="s">
        <v>23454</v>
      </c>
    </row>
    <row r="2430" spans="1:66" x14ac:dyDescent="0.25">
      <c r="A2430" t="str">
        <f>HYPERLINK("https://elite.finviz.com/quote.ashx?t=FLO&amp;ty=c&amp;p=d&amp;b=1", "FLO")</f>
        <v>FLO</v>
      </c>
      <c r="B2430">
        <v>5</v>
      </c>
      <c r="C2430">
        <v>116.22</v>
      </c>
      <c r="D2430">
        <v>22.61</v>
      </c>
      <c r="E2430" t="s">
        <v>23462</v>
      </c>
      <c r="F2430" t="s">
        <v>107</v>
      </c>
      <c r="G2430" t="s">
        <v>2244</v>
      </c>
      <c r="H2430" t="s">
        <v>3269</v>
      </c>
      <c r="I2430" t="s">
        <v>70</v>
      </c>
      <c r="J2430" t="s">
        <v>71</v>
      </c>
      <c r="K2430">
        <v>2699.06</v>
      </c>
      <c r="L2430">
        <v>12.78</v>
      </c>
      <c r="M2430" t="s">
        <v>6156</v>
      </c>
      <c r="N2430">
        <v>529486</v>
      </c>
      <c r="O2430">
        <v>12.35</v>
      </c>
      <c r="P2430">
        <v>11.96</v>
      </c>
      <c r="R2430">
        <v>0.53</v>
      </c>
      <c r="S2430">
        <v>1.89</v>
      </c>
      <c r="T2430" t="s">
        <v>2406</v>
      </c>
      <c r="U2430">
        <v>0.98</v>
      </c>
      <c r="V2430" t="s">
        <v>4548</v>
      </c>
      <c r="W2430" t="s">
        <v>615</v>
      </c>
      <c r="X2430" t="s">
        <v>4269</v>
      </c>
      <c r="Y2430" t="s">
        <v>5969</v>
      </c>
      <c r="Z2430" t="s">
        <v>23463</v>
      </c>
      <c r="AA2430">
        <v>1.03</v>
      </c>
      <c r="AB2430" t="s">
        <v>291</v>
      </c>
      <c r="AC2430" t="s">
        <v>637</v>
      </c>
      <c r="AD2430" t="s">
        <v>3595</v>
      </c>
      <c r="AE2430" t="s">
        <v>1202</v>
      </c>
      <c r="AF2430" t="s">
        <v>3983</v>
      </c>
      <c r="AG2430" t="s">
        <v>3520</v>
      </c>
      <c r="AH2430" t="s">
        <v>3024</v>
      </c>
      <c r="AI2430" t="s">
        <v>3349</v>
      </c>
      <c r="AJ2430" t="s">
        <v>4507</v>
      </c>
      <c r="AK2430" t="s">
        <v>8964</v>
      </c>
      <c r="AL2430">
        <v>1.26</v>
      </c>
      <c r="AM2430">
        <v>0.74</v>
      </c>
      <c r="AN2430">
        <v>1.46</v>
      </c>
      <c r="AO2430" t="s">
        <v>9894</v>
      </c>
      <c r="AP2430" t="s">
        <v>5151</v>
      </c>
      <c r="AQ2430" t="s">
        <v>3025</v>
      </c>
      <c r="AR2430" t="s">
        <v>3544</v>
      </c>
      <c r="AS2430" t="s">
        <v>4710</v>
      </c>
      <c r="AT2430" t="s">
        <v>6783</v>
      </c>
      <c r="AU2430" t="s">
        <v>16302</v>
      </c>
      <c r="AV2430" t="s">
        <v>23464</v>
      </c>
      <c r="AW2430" t="s">
        <v>14891</v>
      </c>
      <c r="AX2430" t="s">
        <v>5253</v>
      </c>
      <c r="AY2430" t="s">
        <v>16565</v>
      </c>
      <c r="AZ2430" t="s">
        <v>5253</v>
      </c>
      <c r="BA2430">
        <v>3.12</v>
      </c>
      <c r="BB2430">
        <v>3416.28</v>
      </c>
      <c r="BC2430">
        <v>0.55000000000000004</v>
      </c>
      <c r="BD2430">
        <v>12.76</v>
      </c>
      <c r="BE2430">
        <v>12.94</v>
      </c>
      <c r="BF2430">
        <v>12.78</v>
      </c>
      <c r="BG2430" t="s">
        <v>23465</v>
      </c>
      <c r="BH2430" t="s">
        <v>6857</v>
      </c>
      <c r="BI2430" t="s">
        <v>23466</v>
      </c>
      <c r="BJ2430" t="s">
        <v>101</v>
      </c>
      <c r="BK2430" t="s">
        <v>15862</v>
      </c>
      <c r="BL2430" t="s">
        <v>23467</v>
      </c>
      <c r="BM2430" t="s">
        <v>18122</v>
      </c>
      <c r="BN2430" t="s">
        <v>23454</v>
      </c>
    </row>
    <row r="2431" spans="1:66" x14ac:dyDescent="0.25">
      <c r="A2431" t="str">
        <f>HYPERLINK("https://elite.finviz.com/quote.ashx?t=DV&amp;ty=c&amp;p=d&amp;b=1", "DV")</f>
        <v>DV</v>
      </c>
      <c r="B2431">
        <v>5</v>
      </c>
      <c r="C2431">
        <v>116.22</v>
      </c>
      <c r="D2431">
        <v>23.08</v>
      </c>
      <c r="E2431" t="s">
        <v>23468</v>
      </c>
      <c r="F2431" t="s">
        <v>107</v>
      </c>
      <c r="G2431" t="s">
        <v>108</v>
      </c>
      <c r="H2431" t="s">
        <v>136</v>
      </c>
      <c r="I2431" t="s">
        <v>70</v>
      </c>
      <c r="J2431" t="s">
        <v>71</v>
      </c>
      <c r="K2431">
        <v>1931.79</v>
      </c>
      <c r="L2431">
        <v>11.81</v>
      </c>
      <c r="M2431" t="s">
        <v>1358</v>
      </c>
      <c r="N2431">
        <v>427520</v>
      </c>
      <c r="O2431">
        <v>38.49</v>
      </c>
      <c r="P2431">
        <v>25.23</v>
      </c>
      <c r="Q2431">
        <v>2</v>
      </c>
      <c r="R2431">
        <v>2.7</v>
      </c>
      <c r="S2431">
        <v>1.77</v>
      </c>
      <c r="Z2431" t="s">
        <v>164</v>
      </c>
      <c r="AA2431">
        <v>0.31</v>
      </c>
      <c r="AB2431" t="s">
        <v>2441</v>
      </c>
      <c r="AC2431" t="s">
        <v>6694</v>
      </c>
      <c r="AD2431" t="s">
        <v>6558</v>
      </c>
      <c r="AE2431" t="s">
        <v>949</v>
      </c>
      <c r="AF2431" t="s">
        <v>2832</v>
      </c>
      <c r="AG2431" t="s">
        <v>5429</v>
      </c>
      <c r="AH2431" t="s">
        <v>315</v>
      </c>
      <c r="AI2431" t="s">
        <v>15022</v>
      </c>
      <c r="AJ2431" t="s">
        <v>4538</v>
      </c>
      <c r="AK2431" t="s">
        <v>3912</v>
      </c>
      <c r="AL2431">
        <v>4.41</v>
      </c>
      <c r="AM2431">
        <v>4.41</v>
      </c>
      <c r="AN2431">
        <v>0.1</v>
      </c>
      <c r="AO2431" t="s">
        <v>23469</v>
      </c>
      <c r="AP2431" t="s">
        <v>6068</v>
      </c>
      <c r="AQ2431" t="s">
        <v>4377</v>
      </c>
      <c r="AR2431" t="s">
        <v>2842</v>
      </c>
      <c r="AS2431" t="s">
        <v>1934</v>
      </c>
      <c r="AT2431" t="s">
        <v>18956</v>
      </c>
      <c r="AU2431" t="s">
        <v>19031</v>
      </c>
      <c r="AV2431" t="s">
        <v>23470</v>
      </c>
      <c r="AW2431" t="s">
        <v>23471</v>
      </c>
      <c r="AX2431" t="s">
        <v>6732</v>
      </c>
      <c r="AY2431" t="s">
        <v>16610</v>
      </c>
      <c r="AZ2431" t="s">
        <v>3635</v>
      </c>
      <c r="BA2431">
        <v>2.14</v>
      </c>
      <c r="BB2431">
        <v>2761.44</v>
      </c>
      <c r="BC2431">
        <v>0.55000000000000004</v>
      </c>
      <c r="BD2431">
        <v>11.86</v>
      </c>
      <c r="BE2431">
        <v>11.97</v>
      </c>
      <c r="BF2431">
        <v>11.73</v>
      </c>
      <c r="BG2431" t="s">
        <v>23472</v>
      </c>
      <c r="BH2431" t="s">
        <v>17867</v>
      </c>
      <c r="BI2431" t="s">
        <v>3635</v>
      </c>
      <c r="BJ2431" t="s">
        <v>101</v>
      </c>
      <c r="BK2431" t="s">
        <v>8088</v>
      </c>
      <c r="BL2431" t="s">
        <v>6247</v>
      </c>
      <c r="BM2431" t="s">
        <v>14292</v>
      </c>
      <c r="BN2431" t="s">
        <v>23454</v>
      </c>
    </row>
    <row r="2432" spans="1:66" x14ac:dyDescent="0.25">
      <c r="A2432" t="str">
        <f>HYPERLINK("https://elite.finviz.com/quote.ashx?t=STZ&amp;ty=c&amp;p=d&amp;b=1", "STZ")</f>
        <v>STZ</v>
      </c>
      <c r="B2432">
        <v>5</v>
      </c>
      <c r="C2432">
        <v>116.22</v>
      </c>
      <c r="D2432">
        <v>23.94</v>
      </c>
      <c r="E2432" t="s">
        <v>23473</v>
      </c>
      <c r="F2432" t="s">
        <v>195</v>
      </c>
      <c r="G2432" t="s">
        <v>2244</v>
      </c>
      <c r="H2432" t="s">
        <v>15848</v>
      </c>
      <c r="I2432" t="s">
        <v>70</v>
      </c>
      <c r="J2432" t="s">
        <v>71</v>
      </c>
      <c r="K2432">
        <v>23285.360000000001</v>
      </c>
      <c r="L2432">
        <v>132.09</v>
      </c>
      <c r="M2432" t="s">
        <v>7346</v>
      </c>
      <c r="N2432">
        <v>306301</v>
      </c>
      <c r="P2432">
        <v>10.48</v>
      </c>
      <c r="R2432">
        <v>2.31</v>
      </c>
      <c r="S2432">
        <v>3.21</v>
      </c>
      <c r="T2432" t="s">
        <v>1769</v>
      </c>
      <c r="U2432">
        <v>4.0599999999999996</v>
      </c>
      <c r="V2432" t="s">
        <v>10483</v>
      </c>
      <c r="W2432" t="s">
        <v>6608</v>
      </c>
      <c r="X2432" t="s">
        <v>12974</v>
      </c>
      <c r="Y2432" t="s">
        <v>283</v>
      </c>
      <c r="AA2432">
        <v>-2.39</v>
      </c>
      <c r="AB2432" t="s">
        <v>23162</v>
      </c>
      <c r="AC2432" t="s">
        <v>23474</v>
      </c>
      <c r="AE2432" t="s">
        <v>2426</v>
      </c>
      <c r="AF2432" t="s">
        <v>4824</v>
      </c>
      <c r="AG2432" t="s">
        <v>2170</v>
      </c>
      <c r="AH2432" t="s">
        <v>8346</v>
      </c>
      <c r="AI2432" t="s">
        <v>4516</v>
      </c>
      <c r="AJ2432" t="s">
        <v>1249</v>
      </c>
      <c r="AK2432" t="s">
        <v>23475</v>
      </c>
      <c r="AL2432">
        <v>1.07</v>
      </c>
      <c r="AM2432">
        <v>0.68</v>
      </c>
      <c r="AN2432">
        <v>1.59</v>
      </c>
      <c r="AO2432" t="s">
        <v>14366</v>
      </c>
      <c r="AP2432" t="s">
        <v>643</v>
      </c>
      <c r="AQ2432" t="s">
        <v>8058</v>
      </c>
      <c r="AR2432" t="s">
        <v>6151</v>
      </c>
      <c r="AS2432" t="s">
        <v>1599</v>
      </c>
      <c r="AT2432" t="s">
        <v>2934</v>
      </c>
      <c r="AU2432" t="s">
        <v>489</v>
      </c>
      <c r="AV2432" t="s">
        <v>19054</v>
      </c>
      <c r="AW2432" t="s">
        <v>9740</v>
      </c>
      <c r="AX2432" t="s">
        <v>4782</v>
      </c>
      <c r="AY2432" t="s">
        <v>17468</v>
      </c>
      <c r="AZ2432" t="s">
        <v>4782</v>
      </c>
      <c r="BA2432">
        <v>2.04</v>
      </c>
      <c r="BB2432">
        <v>2459.44</v>
      </c>
      <c r="BC2432">
        <v>0.44</v>
      </c>
      <c r="BD2432">
        <v>132.65</v>
      </c>
      <c r="BE2432">
        <v>133</v>
      </c>
      <c r="BF2432">
        <v>131.71</v>
      </c>
      <c r="BG2432" t="s">
        <v>23476</v>
      </c>
      <c r="BH2432" t="s">
        <v>23477</v>
      </c>
      <c r="BI2432" t="s">
        <v>23478</v>
      </c>
      <c r="BJ2432" t="s">
        <v>101</v>
      </c>
      <c r="BK2432" t="s">
        <v>23479</v>
      </c>
      <c r="BL2432" t="s">
        <v>23395</v>
      </c>
      <c r="BM2432" t="s">
        <v>23480</v>
      </c>
      <c r="BN2432" t="s">
        <v>23454</v>
      </c>
    </row>
    <row r="2433" spans="1:66" x14ac:dyDescent="0.25">
      <c r="A2433" t="str">
        <f>HYPERLINK("https://elite.finviz.com/quote.ashx?t=SPGI&amp;ty=c&amp;p=d&amp;b=1", "SPGI")</f>
        <v>SPGI</v>
      </c>
      <c r="B2433">
        <v>5</v>
      </c>
      <c r="C2433">
        <v>116.22</v>
      </c>
      <c r="D2433">
        <v>24.2</v>
      </c>
      <c r="E2433" t="s">
        <v>23481</v>
      </c>
      <c r="F2433" t="s">
        <v>195</v>
      </c>
      <c r="G2433" t="s">
        <v>550</v>
      </c>
      <c r="H2433" t="s">
        <v>16129</v>
      </c>
      <c r="I2433" t="s">
        <v>70</v>
      </c>
      <c r="J2433" t="s">
        <v>71</v>
      </c>
      <c r="K2433">
        <v>148856.65</v>
      </c>
      <c r="L2433">
        <v>487.58</v>
      </c>
      <c r="M2433" t="s">
        <v>4901</v>
      </c>
      <c r="N2433">
        <v>428097</v>
      </c>
      <c r="O2433">
        <v>37.479999999999997</v>
      </c>
      <c r="P2433">
        <v>25.3</v>
      </c>
      <c r="Q2433">
        <v>3.38</v>
      </c>
      <c r="R2433">
        <v>10.130000000000001</v>
      </c>
      <c r="S2433">
        <v>4.46</v>
      </c>
      <c r="T2433" t="s">
        <v>3013</v>
      </c>
      <c r="U2433">
        <v>3.79</v>
      </c>
      <c r="V2433" t="s">
        <v>23482</v>
      </c>
      <c r="W2433" t="s">
        <v>3018</v>
      </c>
      <c r="X2433" t="s">
        <v>4641</v>
      </c>
      <c r="Y2433" t="s">
        <v>9342</v>
      </c>
      <c r="Z2433" t="s">
        <v>5251</v>
      </c>
      <c r="AA2433">
        <v>13.01</v>
      </c>
      <c r="AB2433" t="s">
        <v>15000</v>
      </c>
      <c r="AC2433" t="s">
        <v>262</v>
      </c>
      <c r="AD2433" t="s">
        <v>1935</v>
      </c>
      <c r="AE2433" t="s">
        <v>5841</v>
      </c>
      <c r="AF2433" t="s">
        <v>4876</v>
      </c>
      <c r="AG2433" t="s">
        <v>3840</v>
      </c>
      <c r="AH2433" t="s">
        <v>3036</v>
      </c>
      <c r="AI2433" t="s">
        <v>1063</v>
      </c>
      <c r="AJ2433" t="s">
        <v>17477</v>
      </c>
      <c r="AK2433" t="s">
        <v>21437</v>
      </c>
      <c r="AL2433">
        <v>0.98</v>
      </c>
      <c r="AM2433">
        <v>0.98</v>
      </c>
      <c r="AN2433">
        <v>0.36</v>
      </c>
      <c r="AO2433" t="s">
        <v>2693</v>
      </c>
      <c r="AP2433" t="s">
        <v>13662</v>
      </c>
      <c r="AQ2433" t="s">
        <v>4490</v>
      </c>
      <c r="AR2433" t="s">
        <v>910</v>
      </c>
      <c r="AS2433" t="s">
        <v>1952</v>
      </c>
      <c r="AT2433" t="s">
        <v>5138</v>
      </c>
      <c r="AU2433" t="s">
        <v>9710</v>
      </c>
      <c r="AV2433" t="s">
        <v>786</v>
      </c>
      <c r="AW2433" t="s">
        <v>15702</v>
      </c>
      <c r="AX2433" t="s">
        <v>344</v>
      </c>
      <c r="AY2433" t="s">
        <v>15702</v>
      </c>
      <c r="AZ2433" t="s">
        <v>11027</v>
      </c>
      <c r="BA2433">
        <v>1.43</v>
      </c>
      <c r="BB2433">
        <v>1234.9000000000001</v>
      </c>
      <c r="BC2433">
        <v>1.22</v>
      </c>
      <c r="BD2433">
        <v>484.94</v>
      </c>
      <c r="BE2433">
        <v>489.35</v>
      </c>
      <c r="BF2433">
        <v>485.37</v>
      </c>
      <c r="BG2433" t="s">
        <v>23483</v>
      </c>
      <c r="BH2433" t="s">
        <v>15702</v>
      </c>
      <c r="BI2433" t="s">
        <v>23484</v>
      </c>
      <c r="BJ2433" t="s">
        <v>101</v>
      </c>
      <c r="BK2433" t="s">
        <v>2593</v>
      </c>
      <c r="BL2433" t="s">
        <v>6074</v>
      </c>
      <c r="BM2433" t="s">
        <v>402</v>
      </c>
      <c r="BN2433" t="s">
        <v>23454</v>
      </c>
    </row>
    <row r="2434" spans="1:66" x14ac:dyDescent="0.25">
      <c r="A2434" t="str">
        <f>HYPERLINK("https://elite.finviz.com/quote.ashx?t=KDP&amp;ty=c&amp;p=d&amp;b=1", "KDP")</f>
        <v>KDP</v>
      </c>
      <c r="B2434">
        <v>5</v>
      </c>
      <c r="C2434">
        <v>116.22</v>
      </c>
      <c r="D2434">
        <v>24.33</v>
      </c>
      <c r="E2434" t="s">
        <v>23485</v>
      </c>
      <c r="F2434" t="s">
        <v>319</v>
      </c>
      <c r="G2434" t="s">
        <v>2244</v>
      </c>
      <c r="H2434" t="s">
        <v>4568</v>
      </c>
      <c r="I2434" t="s">
        <v>70</v>
      </c>
      <c r="J2434" t="s">
        <v>321</v>
      </c>
      <c r="K2434">
        <v>34715.22</v>
      </c>
      <c r="L2434">
        <v>25.56</v>
      </c>
      <c r="M2434" t="s">
        <v>10808</v>
      </c>
      <c r="N2434">
        <v>3575960</v>
      </c>
      <c r="O2434">
        <v>22.67</v>
      </c>
      <c r="P2434">
        <v>11.74</v>
      </c>
      <c r="Q2434">
        <v>3.15</v>
      </c>
      <c r="R2434">
        <v>2.2000000000000002</v>
      </c>
      <c r="S2434">
        <v>1.39</v>
      </c>
      <c r="T2434" t="s">
        <v>891</v>
      </c>
      <c r="U2434">
        <v>0.92</v>
      </c>
      <c r="V2434" t="s">
        <v>4741</v>
      </c>
      <c r="W2434" t="s">
        <v>297</v>
      </c>
      <c r="X2434" t="s">
        <v>4437</v>
      </c>
      <c r="Y2434" t="s">
        <v>6348</v>
      </c>
      <c r="Z2434" t="s">
        <v>23486</v>
      </c>
      <c r="AA2434">
        <v>1.1299999999999999</v>
      </c>
      <c r="AB2434" t="s">
        <v>9100</v>
      </c>
      <c r="AC2434" t="s">
        <v>975</v>
      </c>
      <c r="AD2434" t="s">
        <v>3432</v>
      </c>
      <c r="AE2434" t="s">
        <v>3119</v>
      </c>
      <c r="AF2434" t="s">
        <v>8960</v>
      </c>
      <c r="AG2434" t="s">
        <v>8593</v>
      </c>
      <c r="AH2434" t="s">
        <v>2985</v>
      </c>
      <c r="AI2434" t="s">
        <v>2630</v>
      </c>
      <c r="AJ2434" t="s">
        <v>196</v>
      </c>
      <c r="AK2434" t="s">
        <v>23487</v>
      </c>
      <c r="AL2434">
        <v>0.64</v>
      </c>
      <c r="AM2434">
        <v>0.38</v>
      </c>
      <c r="AN2434">
        <v>0.71</v>
      </c>
      <c r="AO2434" t="s">
        <v>23488</v>
      </c>
      <c r="AP2434" t="s">
        <v>3052</v>
      </c>
      <c r="AQ2434" t="s">
        <v>4965</v>
      </c>
      <c r="AR2434" t="s">
        <v>1599</v>
      </c>
      <c r="AS2434" t="s">
        <v>7322</v>
      </c>
      <c r="AT2434" t="s">
        <v>15150</v>
      </c>
      <c r="AU2434" t="s">
        <v>4960</v>
      </c>
      <c r="AV2434" t="s">
        <v>7259</v>
      </c>
      <c r="AW2434" t="s">
        <v>23489</v>
      </c>
      <c r="AX2434" t="s">
        <v>2203</v>
      </c>
      <c r="AY2434" t="s">
        <v>5190</v>
      </c>
      <c r="AZ2434" t="s">
        <v>2203</v>
      </c>
      <c r="BA2434">
        <v>2</v>
      </c>
      <c r="BB2434">
        <v>15633.06</v>
      </c>
      <c r="BC2434">
        <v>0.81</v>
      </c>
      <c r="BD2434">
        <v>25.75</v>
      </c>
      <c r="BE2434">
        <v>25.72</v>
      </c>
      <c r="BF2434">
        <v>25.4</v>
      </c>
      <c r="BG2434" t="s">
        <v>23490</v>
      </c>
      <c r="BH2434" t="s">
        <v>9597</v>
      </c>
      <c r="BI2434" t="s">
        <v>23491</v>
      </c>
      <c r="BJ2434" t="s">
        <v>101</v>
      </c>
      <c r="BK2434" t="s">
        <v>5616</v>
      </c>
      <c r="BL2434" t="s">
        <v>7396</v>
      </c>
      <c r="BM2434" t="s">
        <v>17878</v>
      </c>
      <c r="BN2434" t="s">
        <v>23454</v>
      </c>
    </row>
    <row r="2435" spans="1:66" x14ac:dyDescent="0.25">
      <c r="A2435" t="str">
        <f>HYPERLINK("https://elite.finviz.com/quote.ashx?t=SNGX&amp;ty=c&amp;p=d&amp;b=1", "SNGX")</f>
        <v>SNGX</v>
      </c>
      <c r="B2435">
        <v>5</v>
      </c>
      <c r="C2435">
        <v>116.22</v>
      </c>
      <c r="D2435">
        <v>24.37</v>
      </c>
      <c r="E2435" t="s">
        <v>23492</v>
      </c>
      <c r="F2435" t="s">
        <v>107</v>
      </c>
      <c r="G2435" t="s">
        <v>428</v>
      </c>
      <c r="H2435" t="s">
        <v>429</v>
      </c>
      <c r="I2435" t="s">
        <v>70</v>
      </c>
      <c r="J2435" t="s">
        <v>321</v>
      </c>
      <c r="K2435">
        <v>5.12</v>
      </c>
      <c r="L2435">
        <v>1.2</v>
      </c>
      <c r="M2435" t="s">
        <v>17386</v>
      </c>
      <c r="N2435">
        <v>4663090</v>
      </c>
      <c r="S2435">
        <v>2.29</v>
      </c>
      <c r="AA2435">
        <v>-3.85</v>
      </c>
      <c r="AB2435" t="s">
        <v>14954</v>
      </c>
      <c r="AC2435" t="s">
        <v>19076</v>
      </c>
      <c r="AD2435" t="s">
        <v>23493</v>
      </c>
      <c r="AE2435" t="s">
        <v>579</v>
      </c>
      <c r="AI2435" t="s">
        <v>7777</v>
      </c>
      <c r="AJ2435" t="s">
        <v>164</v>
      </c>
      <c r="AK2435" t="s">
        <v>5885</v>
      </c>
      <c r="AL2435">
        <v>1.46</v>
      </c>
      <c r="AM2435">
        <v>1.46</v>
      </c>
      <c r="AN2435">
        <v>0.22</v>
      </c>
      <c r="AR2435" t="s">
        <v>5127</v>
      </c>
      <c r="AS2435" t="s">
        <v>1090</v>
      </c>
      <c r="AT2435" t="s">
        <v>12932</v>
      </c>
      <c r="AU2435" t="s">
        <v>23494</v>
      </c>
      <c r="AV2435" t="s">
        <v>23495</v>
      </c>
      <c r="AW2435" t="s">
        <v>23496</v>
      </c>
      <c r="AX2435" t="s">
        <v>5745</v>
      </c>
      <c r="AY2435" t="s">
        <v>23496</v>
      </c>
      <c r="AZ2435" t="s">
        <v>3230</v>
      </c>
      <c r="BA2435">
        <v>1</v>
      </c>
      <c r="BB2435">
        <v>11097.06</v>
      </c>
      <c r="BC2435">
        <v>1.48</v>
      </c>
      <c r="BD2435">
        <v>1.62</v>
      </c>
      <c r="BE2435">
        <v>1.29</v>
      </c>
      <c r="BF2435">
        <v>1.1599999999999999</v>
      </c>
      <c r="BG2435" t="s">
        <v>23497</v>
      </c>
      <c r="BH2435" t="s">
        <v>579</v>
      </c>
      <c r="BI2435" t="s">
        <v>3230</v>
      </c>
      <c r="BJ2435" t="s">
        <v>101</v>
      </c>
      <c r="BK2435" t="s">
        <v>13083</v>
      </c>
      <c r="BL2435" t="s">
        <v>14721</v>
      </c>
      <c r="BM2435" t="s">
        <v>23498</v>
      </c>
      <c r="BN2435" t="s">
        <v>23454</v>
      </c>
    </row>
    <row r="2436" spans="1:66" x14ac:dyDescent="0.25">
      <c r="A2436" t="str">
        <f>HYPERLINK("https://elite.finviz.com/quote.ashx?t=HESM&amp;ty=c&amp;p=d&amp;b=1", "HESM")</f>
        <v>HESM</v>
      </c>
      <c r="B2436">
        <v>5</v>
      </c>
      <c r="C2436">
        <v>116.22</v>
      </c>
      <c r="D2436">
        <v>25.14</v>
      </c>
      <c r="E2436" t="s">
        <v>23499</v>
      </c>
      <c r="F2436" t="s">
        <v>107</v>
      </c>
      <c r="G2436" t="s">
        <v>1048</v>
      </c>
      <c r="H2436" t="s">
        <v>3915</v>
      </c>
      <c r="I2436" t="s">
        <v>70</v>
      </c>
      <c r="J2436" t="s">
        <v>71</v>
      </c>
      <c r="K2436">
        <v>7373.23</v>
      </c>
      <c r="L2436">
        <v>35.1</v>
      </c>
      <c r="M2436" t="s">
        <v>8179</v>
      </c>
      <c r="N2436">
        <v>192167</v>
      </c>
      <c r="O2436">
        <v>13.03</v>
      </c>
      <c r="P2436">
        <v>12.06</v>
      </c>
      <c r="Q2436">
        <v>1.62</v>
      </c>
      <c r="R2436">
        <v>4.6900000000000004</v>
      </c>
      <c r="S2436">
        <v>7.25</v>
      </c>
      <c r="T2436" t="s">
        <v>10714</v>
      </c>
      <c r="U2436">
        <v>2.83</v>
      </c>
      <c r="V2436" t="s">
        <v>2420</v>
      </c>
      <c r="W2436" t="s">
        <v>6923</v>
      </c>
      <c r="X2436" t="s">
        <v>6923</v>
      </c>
      <c r="Y2436" t="s">
        <v>1935</v>
      </c>
      <c r="Z2436" t="s">
        <v>23500</v>
      </c>
      <c r="AA2436">
        <v>2.69</v>
      </c>
      <c r="AB2436" t="s">
        <v>7976</v>
      </c>
      <c r="AC2436" t="s">
        <v>5138</v>
      </c>
      <c r="AD2436" t="s">
        <v>707</v>
      </c>
      <c r="AE2436" t="s">
        <v>3648</v>
      </c>
      <c r="AF2436" t="s">
        <v>2967</v>
      </c>
      <c r="AG2436" t="s">
        <v>5127</v>
      </c>
      <c r="AH2436" t="s">
        <v>3186</v>
      </c>
      <c r="AI2436" t="s">
        <v>4258</v>
      </c>
      <c r="AJ2436" t="s">
        <v>23501</v>
      </c>
      <c r="AK2436" t="s">
        <v>6090</v>
      </c>
      <c r="AL2436">
        <v>0.71</v>
      </c>
      <c r="AM2436">
        <v>0.71</v>
      </c>
      <c r="AN2436">
        <v>5.85</v>
      </c>
      <c r="AO2436" t="s">
        <v>19822</v>
      </c>
      <c r="AP2436" t="s">
        <v>10245</v>
      </c>
      <c r="AQ2436" t="s">
        <v>11559</v>
      </c>
      <c r="AR2436" t="s">
        <v>8016</v>
      </c>
      <c r="AS2436" t="s">
        <v>2424</v>
      </c>
      <c r="AT2436" t="s">
        <v>1027</v>
      </c>
      <c r="AU2436" t="s">
        <v>16721</v>
      </c>
      <c r="AV2436" t="s">
        <v>618</v>
      </c>
      <c r="AW2436" t="s">
        <v>10531</v>
      </c>
      <c r="AX2436" t="s">
        <v>581</v>
      </c>
      <c r="AY2436" t="s">
        <v>10531</v>
      </c>
      <c r="AZ2436" t="s">
        <v>8229</v>
      </c>
      <c r="BA2436">
        <v>2.83</v>
      </c>
      <c r="BB2436">
        <v>1653.2</v>
      </c>
      <c r="BC2436">
        <v>0.41</v>
      </c>
      <c r="BD2436">
        <v>34.86</v>
      </c>
      <c r="BE2436">
        <v>35.159999999999997</v>
      </c>
      <c r="BF2436">
        <v>34.82</v>
      </c>
      <c r="BG2436" t="s">
        <v>23502</v>
      </c>
      <c r="BH2436" t="s">
        <v>10531</v>
      </c>
      <c r="BI2436" t="s">
        <v>23503</v>
      </c>
      <c r="BJ2436" t="s">
        <v>101</v>
      </c>
      <c r="BK2436" t="s">
        <v>2836</v>
      </c>
      <c r="BL2436" t="s">
        <v>410</v>
      </c>
      <c r="BM2436" t="s">
        <v>7598</v>
      </c>
      <c r="BN2436" t="s">
        <v>23454</v>
      </c>
    </row>
    <row r="2437" spans="1:66" x14ac:dyDescent="0.25">
      <c r="A2437" t="str">
        <f>HYPERLINK("https://elite.finviz.com/quote.ashx?t=ZNB&amp;ty=c&amp;p=d&amp;b=1", "ZNB")</f>
        <v>ZNB</v>
      </c>
      <c r="B2437">
        <v>5</v>
      </c>
      <c r="C2437">
        <v>116.22</v>
      </c>
      <c r="D2437">
        <v>25.35</v>
      </c>
      <c r="E2437" t="s">
        <v>23504</v>
      </c>
      <c r="F2437" t="s">
        <v>107</v>
      </c>
      <c r="G2437" t="s">
        <v>598</v>
      </c>
      <c r="H2437" t="s">
        <v>4247</v>
      </c>
      <c r="I2437" t="s">
        <v>70</v>
      </c>
      <c r="J2437" t="s">
        <v>321</v>
      </c>
      <c r="K2437">
        <v>0.94</v>
      </c>
      <c r="L2437">
        <v>1.61</v>
      </c>
      <c r="M2437" t="s">
        <v>4634</v>
      </c>
      <c r="N2437">
        <v>143594</v>
      </c>
      <c r="R2437">
        <v>0.53</v>
      </c>
      <c r="S2437">
        <v>0.04</v>
      </c>
      <c r="AA2437">
        <v>-889.68</v>
      </c>
      <c r="AB2437" t="s">
        <v>23505</v>
      </c>
      <c r="AC2437" t="s">
        <v>23506</v>
      </c>
      <c r="AE2437" t="s">
        <v>23507</v>
      </c>
      <c r="AF2437" t="s">
        <v>23508</v>
      </c>
      <c r="AH2437" t="s">
        <v>8851</v>
      </c>
      <c r="AJ2437" t="s">
        <v>164</v>
      </c>
      <c r="AK2437" t="s">
        <v>3921</v>
      </c>
      <c r="AL2437">
        <v>1.61</v>
      </c>
      <c r="AM2437">
        <v>1.61</v>
      </c>
      <c r="AN2437">
        <v>0.39</v>
      </c>
      <c r="AO2437" t="s">
        <v>23509</v>
      </c>
      <c r="AP2437" t="s">
        <v>23510</v>
      </c>
      <c r="AQ2437" t="s">
        <v>23511</v>
      </c>
      <c r="AR2437" t="s">
        <v>5656</v>
      </c>
      <c r="AS2437" t="s">
        <v>1059</v>
      </c>
      <c r="AT2437" t="s">
        <v>6533</v>
      </c>
      <c r="AU2437" t="s">
        <v>23512</v>
      </c>
      <c r="AV2437" t="s">
        <v>23513</v>
      </c>
      <c r="AW2437" t="s">
        <v>18814</v>
      </c>
      <c r="AX2437" t="s">
        <v>474</v>
      </c>
      <c r="AY2437" t="s">
        <v>14593</v>
      </c>
      <c r="AZ2437" t="s">
        <v>474</v>
      </c>
      <c r="BB2437">
        <v>5074.24</v>
      </c>
      <c r="BC2437">
        <v>0.1</v>
      </c>
      <c r="BD2437">
        <v>1.63</v>
      </c>
      <c r="BE2437">
        <v>1.65</v>
      </c>
      <c r="BF2437">
        <v>1.6</v>
      </c>
      <c r="BG2437" t="s">
        <v>23514</v>
      </c>
      <c r="BH2437" t="s">
        <v>579</v>
      </c>
      <c r="BI2437" t="s">
        <v>474</v>
      </c>
      <c r="BJ2437" t="s">
        <v>101</v>
      </c>
      <c r="BK2437" t="s">
        <v>23515</v>
      </c>
      <c r="BL2437" t="s">
        <v>23516</v>
      </c>
      <c r="BM2437" t="s">
        <v>14593</v>
      </c>
      <c r="BN2437" t="s">
        <v>23454</v>
      </c>
    </row>
    <row r="2438" spans="1:66" x14ac:dyDescent="0.25">
      <c r="A2438" t="str">
        <f>HYPERLINK("https://elite.finviz.com/quote.ashx?t=TW&amp;ty=c&amp;p=d&amp;b=1", "TW")</f>
        <v>TW</v>
      </c>
      <c r="B2438">
        <v>5</v>
      </c>
      <c r="C2438">
        <v>116.22</v>
      </c>
      <c r="D2438">
        <v>25.49</v>
      </c>
      <c r="E2438" t="s">
        <v>23517</v>
      </c>
      <c r="F2438" t="s">
        <v>107</v>
      </c>
      <c r="G2438" t="s">
        <v>550</v>
      </c>
      <c r="H2438" t="s">
        <v>551</v>
      </c>
      <c r="I2438" t="s">
        <v>70</v>
      </c>
      <c r="J2438" t="s">
        <v>321</v>
      </c>
      <c r="K2438">
        <v>26338.15</v>
      </c>
      <c r="L2438">
        <v>111.39</v>
      </c>
      <c r="M2438" t="s">
        <v>747</v>
      </c>
      <c r="N2438">
        <v>600171</v>
      </c>
      <c r="O2438">
        <v>42.93</v>
      </c>
      <c r="P2438">
        <v>28.87</v>
      </c>
      <c r="Q2438">
        <v>3.15</v>
      </c>
      <c r="R2438">
        <v>13.61</v>
      </c>
      <c r="S2438">
        <v>3.9</v>
      </c>
      <c r="T2438" t="s">
        <v>7464</v>
      </c>
      <c r="U2438">
        <v>0.46</v>
      </c>
      <c r="V2438" t="s">
        <v>2187</v>
      </c>
      <c r="W2438" t="s">
        <v>821</v>
      </c>
      <c r="X2438" t="s">
        <v>4512</v>
      </c>
      <c r="Y2438" t="s">
        <v>10073</v>
      </c>
      <c r="Z2438" t="s">
        <v>4116</v>
      </c>
      <c r="AA2438">
        <v>2.59</v>
      </c>
      <c r="AB2438" t="s">
        <v>11804</v>
      </c>
      <c r="AC2438" t="s">
        <v>16853</v>
      </c>
      <c r="AD2438" t="s">
        <v>5539</v>
      </c>
      <c r="AE2438" t="s">
        <v>10345</v>
      </c>
      <c r="AF2438" t="s">
        <v>4096</v>
      </c>
      <c r="AG2438" t="s">
        <v>12515</v>
      </c>
      <c r="AH2438" t="s">
        <v>17259</v>
      </c>
      <c r="AI2438" t="s">
        <v>4552</v>
      </c>
      <c r="AJ2438" t="s">
        <v>5242</v>
      </c>
      <c r="AK2438" t="s">
        <v>23518</v>
      </c>
      <c r="AL2438">
        <v>2.77</v>
      </c>
      <c r="AM2438">
        <v>2.77</v>
      </c>
      <c r="AN2438">
        <v>0.01</v>
      </c>
      <c r="AO2438" t="s">
        <v>23519</v>
      </c>
      <c r="AP2438" t="s">
        <v>4419</v>
      </c>
      <c r="AQ2438" t="s">
        <v>18724</v>
      </c>
      <c r="AR2438" t="s">
        <v>3487</v>
      </c>
      <c r="AS2438" t="s">
        <v>206</v>
      </c>
      <c r="AT2438" t="s">
        <v>4553</v>
      </c>
      <c r="AU2438" t="s">
        <v>2705</v>
      </c>
      <c r="AV2438" t="s">
        <v>23520</v>
      </c>
      <c r="AW2438" t="s">
        <v>18962</v>
      </c>
      <c r="AX2438" t="s">
        <v>6829</v>
      </c>
      <c r="AY2438" t="s">
        <v>23521</v>
      </c>
      <c r="AZ2438" t="s">
        <v>6829</v>
      </c>
      <c r="BA2438">
        <v>1.94</v>
      </c>
      <c r="BB2438">
        <v>1435.58</v>
      </c>
      <c r="BC2438">
        <v>1.47</v>
      </c>
      <c r="BD2438">
        <v>110.5</v>
      </c>
      <c r="BE2438">
        <v>111.1</v>
      </c>
      <c r="BF2438">
        <v>110.58</v>
      </c>
      <c r="BG2438" t="s">
        <v>23522</v>
      </c>
      <c r="BH2438" t="s">
        <v>23521</v>
      </c>
      <c r="BI2438" t="s">
        <v>23523</v>
      </c>
      <c r="BJ2438" t="s">
        <v>101</v>
      </c>
      <c r="BK2438" t="s">
        <v>14090</v>
      </c>
      <c r="BL2438" t="s">
        <v>6958</v>
      </c>
      <c r="BM2438" t="s">
        <v>4712</v>
      </c>
      <c r="BN2438" t="s">
        <v>23454</v>
      </c>
    </row>
    <row r="2439" spans="1:66" x14ac:dyDescent="0.25">
      <c r="A2439" t="str">
        <f>HYPERLINK("https://elite.finviz.com/quote.ashx?t=EAT&amp;ty=c&amp;p=d&amp;b=1", "EAT")</f>
        <v>EAT</v>
      </c>
      <c r="B2439">
        <v>5</v>
      </c>
      <c r="C2439">
        <v>116.22</v>
      </c>
      <c r="D2439">
        <v>25.53</v>
      </c>
      <c r="E2439" t="s">
        <v>23524</v>
      </c>
      <c r="F2439" t="s">
        <v>67</v>
      </c>
      <c r="G2439" t="s">
        <v>813</v>
      </c>
      <c r="H2439" t="s">
        <v>2285</v>
      </c>
      <c r="I2439" t="s">
        <v>70</v>
      </c>
      <c r="J2439" t="s">
        <v>71</v>
      </c>
      <c r="K2439">
        <v>5825.1</v>
      </c>
      <c r="L2439">
        <v>130.91</v>
      </c>
      <c r="M2439" t="s">
        <v>2950</v>
      </c>
      <c r="N2439">
        <v>207000</v>
      </c>
      <c r="O2439">
        <v>15.75</v>
      </c>
      <c r="P2439">
        <v>11.08</v>
      </c>
      <c r="Q2439">
        <v>1.2</v>
      </c>
      <c r="R2439">
        <v>1.08</v>
      </c>
      <c r="S2439">
        <v>15.71</v>
      </c>
      <c r="V2439" t="s">
        <v>2765</v>
      </c>
      <c r="Z2439" t="s">
        <v>164</v>
      </c>
      <c r="AA2439">
        <v>8.31</v>
      </c>
      <c r="AB2439" t="s">
        <v>23525</v>
      </c>
      <c r="AC2439" t="s">
        <v>23526</v>
      </c>
      <c r="AD2439" t="s">
        <v>9864</v>
      </c>
      <c r="AE2439" t="s">
        <v>480</v>
      </c>
      <c r="AF2439" t="s">
        <v>7221</v>
      </c>
      <c r="AG2439" t="s">
        <v>6466</v>
      </c>
      <c r="AH2439" t="s">
        <v>20144</v>
      </c>
      <c r="AI2439" t="s">
        <v>1409</v>
      </c>
      <c r="AJ2439" t="s">
        <v>5423</v>
      </c>
      <c r="AK2439" t="s">
        <v>20399</v>
      </c>
      <c r="AL2439">
        <v>0.31</v>
      </c>
      <c r="AM2439">
        <v>0.17</v>
      </c>
      <c r="AN2439">
        <v>4.57</v>
      </c>
      <c r="AO2439" t="s">
        <v>8526</v>
      </c>
      <c r="AP2439" t="s">
        <v>2627</v>
      </c>
      <c r="AQ2439" t="s">
        <v>661</v>
      </c>
      <c r="AR2439" t="s">
        <v>4093</v>
      </c>
      <c r="AS2439" t="s">
        <v>3482</v>
      </c>
      <c r="AT2439" t="s">
        <v>8184</v>
      </c>
      <c r="AU2439" t="s">
        <v>9709</v>
      </c>
      <c r="AV2439" t="s">
        <v>4213</v>
      </c>
      <c r="AW2439" t="s">
        <v>9245</v>
      </c>
      <c r="AX2439" t="s">
        <v>2176</v>
      </c>
      <c r="AY2439" t="s">
        <v>19920</v>
      </c>
      <c r="AZ2439" t="s">
        <v>23527</v>
      </c>
      <c r="BA2439">
        <v>2.2999999999999998</v>
      </c>
      <c r="BB2439">
        <v>1342.93</v>
      </c>
      <c r="BC2439">
        <v>0.54</v>
      </c>
      <c r="BD2439">
        <v>133.03</v>
      </c>
      <c r="BE2439">
        <v>134</v>
      </c>
      <c r="BF2439">
        <v>130.80000000000001</v>
      </c>
      <c r="BG2439" t="s">
        <v>23528</v>
      </c>
      <c r="BH2439" t="s">
        <v>19920</v>
      </c>
      <c r="BI2439" t="s">
        <v>23529</v>
      </c>
      <c r="BJ2439" t="s">
        <v>101</v>
      </c>
      <c r="BK2439" t="s">
        <v>3072</v>
      </c>
      <c r="BL2439" t="s">
        <v>8993</v>
      </c>
      <c r="BM2439" t="s">
        <v>23530</v>
      </c>
      <c r="BN2439" t="s">
        <v>23454</v>
      </c>
    </row>
    <row r="2440" spans="1:66" x14ac:dyDescent="0.25">
      <c r="A2440" t="str">
        <f>HYPERLINK("https://elite.finviz.com/quote.ashx?t=EOLS&amp;ty=c&amp;p=d&amp;b=1", "EOLS")</f>
        <v>EOLS</v>
      </c>
      <c r="B2440">
        <v>5</v>
      </c>
      <c r="C2440">
        <v>116.22</v>
      </c>
      <c r="D2440">
        <v>25.56</v>
      </c>
      <c r="E2440" t="s">
        <v>23531</v>
      </c>
      <c r="F2440" t="s">
        <v>67</v>
      </c>
      <c r="G2440" t="s">
        <v>428</v>
      </c>
      <c r="H2440" t="s">
        <v>1296</v>
      </c>
      <c r="I2440" t="s">
        <v>70</v>
      </c>
      <c r="J2440" t="s">
        <v>321</v>
      </c>
      <c r="K2440">
        <v>380.67</v>
      </c>
      <c r="L2440">
        <v>5.89</v>
      </c>
      <c r="M2440" t="s">
        <v>6127</v>
      </c>
      <c r="N2440">
        <v>220717</v>
      </c>
      <c r="P2440">
        <v>20.69</v>
      </c>
      <c r="R2440">
        <v>1.37</v>
      </c>
      <c r="AA2440">
        <v>-0.97</v>
      </c>
      <c r="AB2440" t="s">
        <v>215</v>
      </c>
      <c r="AC2440" t="s">
        <v>8943</v>
      </c>
      <c r="AE2440" t="s">
        <v>3428</v>
      </c>
      <c r="AF2440" t="s">
        <v>1931</v>
      </c>
      <c r="AG2440" t="s">
        <v>23532</v>
      </c>
      <c r="AH2440" t="s">
        <v>4765</v>
      </c>
      <c r="AI2440" t="s">
        <v>23533</v>
      </c>
      <c r="AJ2440" t="s">
        <v>8357</v>
      </c>
      <c r="AK2440" t="s">
        <v>8597</v>
      </c>
      <c r="AL2440">
        <v>2.27</v>
      </c>
      <c r="AM2440">
        <v>1.86</v>
      </c>
      <c r="AO2440" t="s">
        <v>11003</v>
      </c>
      <c r="AP2440" t="s">
        <v>3728</v>
      </c>
      <c r="AQ2440" t="s">
        <v>7173</v>
      </c>
      <c r="AR2440" t="s">
        <v>2662</v>
      </c>
      <c r="AS2440" t="s">
        <v>2419</v>
      </c>
      <c r="AT2440" t="s">
        <v>2110</v>
      </c>
      <c r="AU2440" t="s">
        <v>2588</v>
      </c>
      <c r="AV2440" t="s">
        <v>22047</v>
      </c>
      <c r="AW2440" t="s">
        <v>23534</v>
      </c>
      <c r="AX2440" t="s">
        <v>2473</v>
      </c>
      <c r="AY2440" t="s">
        <v>23535</v>
      </c>
      <c r="AZ2440" t="s">
        <v>2473</v>
      </c>
      <c r="BA2440">
        <v>1.29</v>
      </c>
      <c r="BB2440">
        <v>1353.37</v>
      </c>
      <c r="BC2440">
        <v>0.56999999999999995</v>
      </c>
      <c r="BD2440">
        <v>5.98</v>
      </c>
      <c r="BE2440">
        <v>6.04</v>
      </c>
      <c r="BF2440">
        <v>5.82</v>
      </c>
      <c r="BG2440" t="s">
        <v>23536</v>
      </c>
      <c r="BH2440" t="s">
        <v>16651</v>
      </c>
      <c r="BI2440" t="s">
        <v>23537</v>
      </c>
      <c r="BJ2440" t="s">
        <v>101</v>
      </c>
      <c r="BK2440" t="s">
        <v>23538</v>
      </c>
      <c r="BL2440" t="s">
        <v>23539</v>
      </c>
      <c r="BM2440" t="s">
        <v>14338</v>
      </c>
      <c r="BN2440" t="s">
        <v>23454</v>
      </c>
    </row>
    <row r="2441" spans="1:66" x14ac:dyDescent="0.25">
      <c r="A2441" t="str">
        <f>HYPERLINK("https://elite.finviz.com/quote.ashx?t=WSC&amp;ty=c&amp;p=d&amp;b=1", "WSC")</f>
        <v>WSC</v>
      </c>
      <c r="B2441">
        <v>5</v>
      </c>
      <c r="C2441">
        <v>116.22</v>
      </c>
      <c r="D2441">
        <v>25.87</v>
      </c>
      <c r="E2441" t="s">
        <v>23540</v>
      </c>
      <c r="F2441" t="s">
        <v>107</v>
      </c>
      <c r="G2441" t="s">
        <v>260</v>
      </c>
      <c r="H2441" t="s">
        <v>7905</v>
      </c>
      <c r="I2441" t="s">
        <v>70</v>
      </c>
      <c r="J2441" t="s">
        <v>321</v>
      </c>
      <c r="K2441">
        <v>3789.89</v>
      </c>
      <c r="L2441">
        <v>20.82</v>
      </c>
      <c r="M2441" t="s">
        <v>171</v>
      </c>
      <c r="N2441">
        <v>569328</v>
      </c>
      <c r="O2441">
        <v>34.78</v>
      </c>
      <c r="P2441">
        <v>13.88</v>
      </c>
      <c r="Q2441">
        <v>7.92</v>
      </c>
      <c r="R2441">
        <v>1.61</v>
      </c>
      <c r="S2441">
        <v>3.67</v>
      </c>
      <c r="T2441" t="s">
        <v>3493</v>
      </c>
      <c r="U2441">
        <v>0.21</v>
      </c>
      <c r="V2441" t="s">
        <v>7315</v>
      </c>
      <c r="Z2441" t="s">
        <v>164</v>
      </c>
      <c r="AA2441">
        <v>0.6</v>
      </c>
      <c r="AB2441" t="s">
        <v>21614</v>
      </c>
      <c r="AD2441" t="s">
        <v>5026</v>
      </c>
      <c r="AE2441" t="s">
        <v>5809</v>
      </c>
      <c r="AF2441" t="s">
        <v>5837</v>
      </c>
      <c r="AG2441" t="s">
        <v>7406</v>
      </c>
      <c r="AH2441" t="s">
        <v>4531</v>
      </c>
      <c r="AI2441" t="s">
        <v>23541</v>
      </c>
      <c r="AJ2441" t="s">
        <v>4507</v>
      </c>
      <c r="AK2441" t="s">
        <v>11284</v>
      </c>
      <c r="AL2441">
        <v>0.81</v>
      </c>
      <c r="AM2441">
        <v>0.74</v>
      </c>
      <c r="AN2441">
        <v>3.83</v>
      </c>
      <c r="AO2441" t="s">
        <v>16355</v>
      </c>
      <c r="AP2441" t="s">
        <v>3996</v>
      </c>
      <c r="AQ2441" t="s">
        <v>3874</v>
      </c>
      <c r="AR2441" t="s">
        <v>3173</v>
      </c>
      <c r="AS2441" t="s">
        <v>304</v>
      </c>
      <c r="AT2441" t="s">
        <v>5409</v>
      </c>
      <c r="AU2441" t="s">
        <v>23410</v>
      </c>
      <c r="AV2441" t="s">
        <v>6708</v>
      </c>
      <c r="AW2441" t="s">
        <v>8414</v>
      </c>
      <c r="AX2441" t="s">
        <v>580</v>
      </c>
      <c r="AY2441" t="s">
        <v>23542</v>
      </c>
      <c r="AZ2441" t="s">
        <v>580</v>
      </c>
      <c r="BA2441">
        <v>2.11</v>
      </c>
      <c r="BB2441">
        <v>2182.89</v>
      </c>
      <c r="BC2441">
        <v>0.92</v>
      </c>
      <c r="BD2441">
        <v>20.83</v>
      </c>
      <c r="BE2441">
        <v>20.85</v>
      </c>
      <c r="BF2441">
        <v>20.52</v>
      </c>
      <c r="BG2441" t="s">
        <v>23543</v>
      </c>
      <c r="BH2441" t="s">
        <v>23544</v>
      </c>
      <c r="BI2441" t="s">
        <v>23545</v>
      </c>
      <c r="BJ2441" t="s">
        <v>101</v>
      </c>
      <c r="BK2441" t="s">
        <v>1442</v>
      </c>
      <c r="BL2441" t="s">
        <v>10937</v>
      </c>
      <c r="BM2441" t="s">
        <v>23546</v>
      </c>
      <c r="BN2441" t="s">
        <v>23454</v>
      </c>
    </row>
    <row r="2442" spans="1:66" x14ac:dyDescent="0.25">
      <c r="A2442" t="str">
        <f>HYPERLINK("https://elite.finviz.com/quote.ashx?t=FOUR&amp;ty=c&amp;p=d&amp;b=1", "FOUR")</f>
        <v>FOUR</v>
      </c>
      <c r="B2442">
        <v>5</v>
      </c>
      <c r="C2442">
        <v>116.22</v>
      </c>
      <c r="D2442">
        <v>25.96</v>
      </c>
      <c r="E2442" t="s">
        <v>23547</v>
      </c>
      <c r="F2442" t="s">
        <v>107</v>
      </c>
      <c r="G2442" t="s">
        <v>108</v>
      </c>
      <c r="H2442" t="s">
        <v>109</v>
      </c>
      <c r="I2442" t="s">
        <v>70</v>
      </c>
      <c r="J2442" t="s">
        <v>71</v>
      </c>
      <c r="K2442">
        <v>7016.12</v>
      </c>
      <c r="L2442">
        <v>79.34</v>
      </c>
      <c r="M2442" t="s">
        <v>1714</v>
      </c>
      <c r="N2442">
        <v>515478</v>
      </c>
      <c r="O2442">
        <v>29.4</v>
      </c>
      <c r="P2442">
        <v>11.63</v>
      </c>
      <c r="Q2442">
        <v>1.06</v>
      </c>
      <c r="R2442">
        <v>1.94</v>
      </c>
      <c r="S2442">
        <v>8.68</v>
      </c>
      <c r="Z2442" t="s">
        <v>164</v>
      </c>
      <c r="AA2442">
        <v>2.7</v>
      </c>
      <c r="AD2442" t="s">
        <v>7177</v>
      </c>
      <c r="AE2442" t="s">
        <v>2567</v>
      </c>
      <c r="AF2442" t="s">
        <v>11392</v>
      </c>
      <c r="AG2442" t="s">
        <v>870</v>
      </c>
      <c r="AH2442" t="s">
        <v>4601</v>
      </c>
      <c r="AI2442" t="s">
        <v>2086</v>
      </c>
      <c r="AJ2442" t="s">
        <v>1981</v>
      </c>
      <c r="AK2442" t="s">
        <v>23548</v>
      </c>
      <c r="AL2442">
        <v>2.5299999999999998</v>
      </c>
      <c r="AM2442">
        <v>2.5299999999999998</v>
      </c>
      <c r="AN2442">
        <v>2.37</v>
      </c>
      <c r="AO2442" t="s">
        <v>5113</v>
      </c>
      <c r="AP2442" t="s">
        <v>2559</v>
      </c>
      <c r="AQ2442" t="s">
        <v>1576</v>
      </c>
      <c r="AR2442" t="s">
        <v>3469</v>
      </c>
      <c r="AS2442" t="s">
        <v>2080</v>
      </c>
      <c r="AT2442" t="s">
        <v>18212</v>
      </c>
      <c r="AU2442" t="s">
        <v>16620</v>
      </c>
      <c r="AV2442" t="s">
        <v>9220</v>
      </c>
      <c r="AW2442" t="s">
        <v>7824</v>
      </c>
      <c r="AX2442" t="s">
        <v>6572</v>
      </c>
      <c r="AY2442" t="s">
        <v>11008</v>
      </c>
      <c r="AZ2442" t="s">
        <v>16280</v>
      </c>
      <c r="BA2442">
        <v>1.65</v>
      </c>
      <c r="BB2442">
        <v>1737.19</v>
      </c>
      <c r="BC2442">
        <v>1.05</v>
      </c>
      <c r="BD2442">
        <v>79.78</v>
      </c>
      <c r="BE2442">
        <v>80.099999999999994</v>
      </c>
      <c r="BF2442">
        <v>78.55</v>
      </c>
      <c r="BG2442" t="s">
        <v>23549</v>
      </c>
      <c r="BH2442" t="s">
        <v>11008</v>
      </c>
      <c r="BI2442" t="s">
        <v>23550</v>
      </c>
      <c r="BJ2442" t="s">
        <v>101</v>
      </c>
      <c r="BK2442" t="s">
        <v>23551</v>
      </c>
      <c r="BL2442" t="s">
        <v>9537</v>
      </c>
      <c r="BM2442" t="s">
        <v>20212</v>
      </c>
      <c r="BN2442" t="s">
        <v>23454</v>
      </c>
    </row>
    <row r="2443" spans="1:66" x14ac:dyDescent="0.25">
      <c r="A2443" t="str">
        <f>HYPERLINK("https://elite.finviz.com/quote.ashx?t=MQ&amp;ty=c&amp;p=d&amp;b=1", "MQ")</f>
        <v>MQ</v>
      </c>
      <c r="B2443">
        <v>5</v>
      </c>
      <c r="C2443">
        <v>116.22</v>
      </c>
      <c r="D2443">
        <v>26.41</v>
      </c>
      <c r="E2443" t="s">
        <v>23552</v>
      </c>
      <c r="F2443" t="s">
        <v>67</v>
      </c>
      <c r="G2443" t="s">
        <v>108</v>
      </c>
      <c r="H2443" t="s">
        <v>109</v>
      </c>
      <c r="I2443" t="s">
        <v>70</v>
      </c>
      <c r="J2443" t="s">
        <v>321</v>
      </c>
      <c r="K2443">
        <v>2380.12</v>
      </c>
      <c r="L2443">
        <v>5.31</v>
      </c>
      <c r="M2443" t="s">
        <v>240</v>
      </c>
      <c r="N2443">
        <v>228725</v>
      </c>
      <c r="P2443">
        <v>2034.48</v>
      </c>
      <c r="R2443">
        <v>4.3</v>
      </c>
      <c r="S2443">
        <v>2.83</v>
      </c>
      <c r="Z2443" t="s">
        <v>164</v>
      </c>
      <c r="AA2443">
        <v>-0.13</v>
      </c>
      <c r="AD2443" t="s">
        <v>13040</v>
      </c>
      <c r="AE2443" t="s">
        <v>7866</v>
      </c>
      <c r="AF2443" t="s">
        <v>2331</v>
      </c>
      <c r="AG2443" t="s">
        <v>2972</v>
      </c>
      <c r="AH2443" t="s">
        <v>5719</v>
      </c>
      <c r="AI2443" t="s">
        <v>1647</v>
      </c>
      <c r="AJ2443" t="s">
        <v>6105</v>
      </c>
      <c r="AK2443" t="s">
        <v>8410</v>
      </c>
      <c r="AL2443">
        <v>2.74</v>
      </c>
      <c r="AM2443">
        <v>2.74</v>
      </c>
      <c r="AN2443">
        <v>0.02</v>
      </c>
      <c r="AO2443" t="s">
        <v>2423</v>
      </c>
      <c r="AP2443" t="s">
        <v>14764</v>
      </c>
      <c r="AQ2443" t="s">
        <v>23553</v>
      </c>
      <c r="AR2443" t="s">
        <v>305</v>
      </c>
      <c r="AS2443" t="s">
        <v>2619</v>
      </c>
      <c r="AT2443" t="s">
        <v>2753</v>
      </c>
      <c r="AU2443" t="s">
        <v>15690</v>
      </c>
      <c r="AV2443" t="s">
        <v>2786</v>
      </c>
      <c r="AW2443" t="s">
        <v>4814</v>
      </c>
      <c r="AX2443" t="s">
        <v>1564</v>
      </c>
      <c r="AY2443" t="s">
        <v>4814</v>
      </c>
      <c r="AZ2443" t="s">
        <v>10515</v>
      </c>
      <c r="BA2443">
        <v>2.4300000000000002</v>
      </c>
      <c r="BB2443">
        <v>4718.42</v>
      </c>
      <c r="BC2443">
        <v>0.17</v>
      </c>
      <c r="BD2443">
        <v>5.35</v>
      </c>
      <c r="BE2443">
        <v>5.35</v>
      </c>
      <c r="BF2443">
        <v>5.28</v>
      </c>
      <c r="BG2443" t="s">
        <v>23554</v>
      </c>
      <c r="BH2443" t="s">
        <v>23555</v>
      </c>
      <c r="BI2443" t="s">
        <v>10515</v>
      </c>
      <c r="BJ2443" t="s">
        <v>101</v>
      </c>
      <c r="BK2443" t="s">
        <v>613</v>
      </c>
      <c r="BL2443" t="s">
        <v>8957</v>
      </c>
      <c r="BM2443" t="s">
        <v>316</v>
      </c>
      <c r="BN2443" t="s">
        <v>23454</v>
      </c>
    </row>
    <row r="2444" spans="1:66" x14ac:dyDescent="0.25">
      <c r="A2444" t="str">
        <f>HYPERLINK("https://elite.finviz.com/quote.ashx?t=ARCC&amp;ty=c&amp;p=d&amp;b=1", "ARCC")</f>
        <v>ARCC</v>
      </c>
      <c r="B2444">
        <v>5</v>
      </c>
      <c r="C2444">
        <v>116.22</v>
      </c>
      <c r="D2444">
        <v>26.72</v>
      </c>
      <c r="E2444" t="s">
        <v>23556</v>
      </c>
      <c r="F2444" t="s">
        <v>107</v>
      </c>
      <c r="G2444" t="s">
        <v>550</v>
      </c>
      <c r="H2444" t="s">
        <v>2597</v>
      </c>
      <c r="I2444" t="s">
        <v>70</v>
      </c>
      <c r="J2444" t="s">
        <v>321</v>
      </c>
      <c r="K2444">
        <v>14393.02</v>
      </c>
      <c r="L2444">
        <v>20.41</v>
      </c>
      <c r="M2444" t="s">
        <v>240</v>
      </c>
      <c r="N2444">
        <v>1238073</v>
      </c>
      <c r="O2444">
        <v>10</v>
      </c>
      <c r="P2444">
        <v>10.34</v>
      </c>
      <c r="R2444">
        <v>4.78</v>
      </c>
      <c r="S2444">
        <v>1.03</v>
      </c>
      <c r="T2444" t="s">
        <v>3147</v>
      </c>
      <c r="U2444">
        <v>1.92</v>
      </c>
      <c r="V2444" t="s">
        <v>3833</v>
      </c>
      <c r="W2444" t="s">
        <v>164</v>
      </c>
      <c r="X2444" t="s">
        <v>8460</v>
      </c>
      <c r="Y2444" t="s">
        <v>3170</v>
      </c>
      <c r="Z2444" t="s">
        <v>23557</v>
      </c>
      <c r="AA2444">
        <v>2.04</v>
      </c>
      <c r="AE2444" t="s">
        <v>1551</v>
      </c>
      <c r="AH2444" t="s">
        <v>4953</v>
      </c>
      <c r="AI2444" t="s">
        <v>6449</v>
      </c>
      <c r="AJ2444" t="s">
        <v>164</v>
      </c>
      <c r="AK2444" t="s">
        <v>12603</v>
      </c>
      <c r="AR2444" t="s">
        <v>2307</v>
      </c>
      <c r="AS2444" t="s">
        <v>7780</v>
      </c>
      <c r="AT2444" t="s">
        <v>7074</v>
      </c>
      <c r="AU2444" t="s">
        <v>8507</v>
      </c>
      <c r="AV2444" t="s">
        <v>7557</v>
      </c>
      <c r="AW2444" t="s">
        <v>15316</v>
      </c>
      <c r="AX2444" t="s">
        <v>2216</v>
      </c>
      <c r="AY2444" t="s">
        <v>6373</v>
      </c>
      <c r="AZ2444" t="s">
        <v>8041</v>
      </c>
      <c r="BA2444">
        <v>1.57</v>
      </c>
      <c r="BB2444">
        <v>3760.72</v>
      </c>
      <c r="BC2444">
        <v>1.1599999999999999</v>
      </c>
      <c r="BD2444">
        <v>20.56</v>
      </c>
      <c r="BE2444">
        <v>20.7</v>
      </c>
      <c r="BF2444">
        <v>20.399999999999999</v>
      </c>
      <c r="BG2444" t="s">
        <v>23558</v>
      </c>
      <c r="BH2444" t="s">
        <v>6373</v>
      </c>
      <c r="BI2444" t="s">
        <v>23559</v>
      </c>
      <c r="BJ2444" t="s">
        <v>101</v>
      </c>
      <c r="BK2444" t="s">
        <v>972</v>
      </c>
      <c r="BL2444" t="s">
        <v>2236</v>
      </c>
      <c r="BM2444" t="s">
        <v>525</v>
      </c>
      <c r="BN2444" t="s">
        <v>23454</v>
      </c>
    </row>
    <row r="2445" spans="1:66" x14ac:dyDescent="0.25">
      <c r="A2445" t="str">
        <f>HYPERLINK("https://elite.finviz.com/quote.ashx?t=GT&amp;ty=c&amp;p=d&amp;b=1", "GT")</f>
        <v>GT</v>
      </c>
      <c r="B2445">
        <v>5</v>
      </c>
      <c r="C2445">
        <v>116.22</v>
      </c>
      <c r="D2445">
        <v>26.76</v>
      </c>
      <c r="E2445" t="s">
        <v>23560</v>
      </c>
      <c r="F2445" t="s">
        <v>67</v>
      </c>
      <c r="G2445" t="s">
        <v>813</v>
      </c>
      <c r="H2445" t="s">
        <v>814</v>
      </c>
      <c r="I2445" t="s">
        <v>70</v>
      </c>
      <c r="J2445" t="s">
        <v>321</v>
      </c>
      <c r="K2445">
        <v>2258.63</v>
      </c>
      <c r="L2445">
        <v>7.9</v>
      </c>
      <c r="M2445" t="s">
        <v>1083</v>
      </c>
      <c r="N2445">
        <v>1620894</v>
      </c>
      <c r="O2445">
        <v>5.56</v>
      </c>
      <c r="P2445">
        <v>5.89</v>
      </c>
      <c r="Q2445">
        <v>0.38</v>
      </c>
      <c r="R2445">
        <v>0.12</v>
      </c>
      <c r="S2445">
        <v>0.44</v>
      </c>
      <c r="V2445" t="s">
        <v>23561</v>
      </c>
      <c r="Z2445" t="s">
        <v>164</v>
      </c>
      <c r="AA2445">
        <v>1.42</v>
      </c>
      <c r="AB2445" t="s">
        <v>1482</v>
      </c>
      <c r="AD2445" t="s">
        <v>5082</v>
      </c>
      <c r="AE2445" t="s">
        <v>5639</v>
      </c>
      <c r="AF2445" t="s">
        <v>2742</v>
      </c>
      <c r="AG2445" t="s">
        <v>3887</v>
      </c>
      <c r="AH2445" t="s">
        <v>3466</v>
      </c>
      <c r="AI2445" t="s">
        <v>23562</v>
      </c>
      <c r="AJ2445" t="s">
        <v>164</v>
      </c>
      <c r="AK2445" t="s">
        <v>20455</v>
      </c>
      <c r="AL2445">
        <v>1.1499999999999999</v>
      </c>
      <c r="AM2445">
        <v>0.63</v>
      </c>
      <c r="AN2445">
        <v>1.75</v>
      </c>
      <c r="AO2445" t="s">
        <v>731</v>
      </c>
      <c r="AP2445" t="s">
        <v>4323</v>
      </c>
      <c r="AQ2445" t="s">
        <v>5660</v>
      </c>
      <c r="AR2445" t="s">
        <v>2624</v>
      </c>
      <c r="AS2445" t="s">
        <v>2333</v>
      </c>
      <c r="AT2445" t="s">
        <v>8626</v>
      </c>
      <c r="AU2445" t="s">
        <v>9202</v>
      </c>
      <c r="AV2445" t="s">
        <v>14006</v>
      </c>
      <c r="AW2445" t="s">
        <v>23563</v>
      </c>
      <c r="AX2445" t="s">
        <v>343</v>
      </c>
      <c r="AY2445" t="s">
        <v>11461</v>
      </c>
      <c r="AZ2445" t="s">
        <v>343</v>
      </c>
      <c r="BA2445">
        <v>2.08</v>
      </c>
      <c r="BB2445">
        <v>7633.85</v>
      </c>
      <c r="BC2445">
        <v>0.75</v>
      </c>
      <c r="BD2445">
        <v>7.88</v>
      </c>
      <c r="BE2445">
        <v>7.95</v>
      </c>
      <c r="BF2445">
        <v>7.82</v>
      </c>
      <c r="BG2445" t="s">
        <v>23564</v>
      </c>
      <c r="BH2445" t="s">
        <v>23565</v>
      </c>
      <c r="BI2445" t="s">
        <v>23566</v>
      </c>
      <c r="BJ2445" t="s">
        <v>101</v>
      </c>
      <c r="BK2445" t="s">
        <v>20551</v>
      </c>
      <c r="BL2445" t="s">
        <v>12001</v>
      </c>
      <c r="BM2445" t="s">
        <v>14499</v>
      </c>
      <c r="BN2445" t="s">
        <v>23454</v>
      </c>
    </row>
    <row r="2446" spans="1:66" x14ac:dyDescent="0.25">
      <c r="A2446" t="str">
        <f>HYPERLINK("https://elite.finviz.com/quote.ashx?t=NKE&amp;ty=c&amp;p=d&amp;b=1", "NKE")</f>
        <v>NKE</v>
      </c>
      <c r="B2446">
        <v>5</v>
      </c>
      <c r="C2446">
        <v>116.22</v>
      </c>
      <c r="D2446">
        <v>26.8</v>
      </c>
      <c r="E2446" t="s">
        <v>23567</v>
      </c>
      <c r="F2446" t="s">
        <v>1759</v>
      </c>
      <c r="G2446" t="s">
        <v>813</v>
      </c>
      <c r="H2446" t="s">
        <v>4043</v>
      </c>
      <c r="I2446" t="s">
        <v>70</v>
      </c>
      <c r="J2446" t="s">
        <v>71</v>
      </c>
      <c r="K2446">
        <v>100931.59</v>
      </c>
      <c r="L2446">
        <v>68.34</v>
      </c>
      <c r="M2446" t="s">
        <v>4953</v>
      </c>
      <c r="N2446">
        <v>3892339</v>
      </c>
      <c r="O2446">
        <v>31.65</v>
      </c>
      <c r="P2446">
        <v>27.85</v>
      </c>
      <c r="Q2446">
        <v>3.21</v>
      </c>
      <c r="R2446">
        <v>2.1800000000000002</v>
      </c>
      <c r="S2446">
        <v>7.63</v>
      </c>
      <c r="T2446" t="s">
        <v>6003</v>
      </c>
      <c r="U2446">
        <v>1.6</v>
      </c>
      <c r="V2446" t="s">
        <v>2187</v>
      </c>
      <c r="W2446" t="s">
        <v>5389</v>
      </c>
      <c r="X2446" t="s">
        <v>2438</v>
      </c>
      <c r="Y2446" t="s">
        <v>326</v>
      </c>
      <c r="Z2446" t="s">
        <v>14861</v>
      </c>
      <c r="AA2446">
        <v>2.16</v>
      </c>
      <c r="AB2446" t="s">
        <v>14415</v>
      </c>
      <c r="AC2446" t="s">
        <v>336</v>
      </c>
      <c r="AD2446" t="s">
        <v>2877</v>
      </c>
      <c r="AE2446" t="s">
        <v>10421</v>
      </c>
      <c r="AF2446" t="s">
        <v>4703</v>
      </c>
      <c r="AG2446" t="s">
        <v>615</v>
      </c>
      <c r="AH2446" t="s">
        <v>23568</v>
      </c>
      <c r="AI2446" t="s">
        <v>3746</v>
      </c>
      <c r="AJ2446" t="s">
        <v>4699</v>
      </c>
      <c r="AK2446" t="s">
        <v>475</v>
      </c>
      <c r="AL2446">
        <v>2.21</v>
      </c>
      <c r="AM2446">
        <v>1.5</v>
      </c>
      <c r="AN2446">
        <v>0.83</v>
      </c>
      <c r="AO2446" t="s">
        <v>3287</v>
      </c>
      <c r="AP2446" t="s">
        <v>1495</v>
      </c>
      <c r="AQ2446" t="s">
        <v>1955</v>
      </c>
      <c r="AR2446" t="s">
        <v>92</v>
      </c>
      <c r="AS2446" t="s">
        <v>2876</v>
      </c>
      <c r="AT2446" t="s">
        <v>10713</v>
      </c>
      <c r="AU2446" t="s">
        <v>5677</v>
      </c>
      <c r="AV2446" t="s">
        <v>8937</v>
      </c>
      <c r="AW2446" t="s">
        <v>17461</v>
      </c>
      <c r="AX2446" t="s">
        <v>7137</v>
      </c>
      <c r="AY2446" t="s">
        <v>15433</v>
      </c>
      <c r="AZ2446" t="s">
        <v>9331</v>
      </c>
      <c r="BA2446">
        <v>2.19</v>
      </c>
      <c r="BB2446">
        <v>14519.63</v>
      </c>
      <c r="BC2446">
        <v>0.94</v>
      </c>
      <c r="BD2446">
        <v>69.239999999999995</v>
      </c>
      <c r="BE2446">
        <v>69.44</v>
      </c>
      <c r="BF2446">
        <v>68.22</v>
      </c>
      <c r="BG2446" t="s">
        <v>23569</v>
      </c>
      <c r="BH2446" t="s">
        <v>23570</v>
      </c>
      <c r="BI2446" t="s">
        <v>23571</v>
      </c>
      <c r="BJ2446" t="s">
        <v>101</v>
      </c>
      <c r="BK2446" t="s">
        <v>11567</v>
      </c>
      <c r="BL2446" t="s">
        <v>7117</v>
      </c>
      <c r="BM2446" t="s">
        <v>5398</v>
      </c>
      <c r="BN2446" t="s">
        <v>23454</v>
      </c>
    </row>
    <row r="2447" spans="1:66" x14ac:dyDescent="0.25">
      <c r="A2447" t="str">
        <f>HYPERLINK("https://elite.finviz.com/quote.ashx?t=SMPL&amp;ty=c&amp;p=d&amp;b=1", "SMPL")</f>
        <v>SMPL</v>
      </c>
      <c r="B2447">
        <v>5</v>
      </c>
      <c r="C2447">
        <v>116.22</v>
      </c>
      <c r="D2447">
        <v>26.88</v>
      </c>
      <c r="E2447" t="s">
        <v>23572</v>
      </c>
      <c r="F2447" t="s">
        <v>67</v>
      </c>
      <c r="G2447" t="s">
        <v>2244</v>
      </c>
      <c r="H2447" t="s">
        <v>3269</v>
      </c>
      <c r="I2447" t="s">
        <v>70</v>
      </c>
      <c r="J2447" t="s">
        <v>321</v>
      </c>
      <c r="K2447">
        <v>2492.9299999999998</v>
      </c>
      <c r="L2447">
        <v>24.8</v>
      </c>
      <c r="M2447" t="s">
        <v>4507</v>
      </c>
      <c r="N2447">
        <v>108600</v>
      </c>
      <c r="O2447">
        <v>17.34</v>
      </c>
      <c r="P2447">
        <v>12.33</v>
      </c>
      <c r="Q2447">
        <v>3.06</v>
      </c>
      <c r="R2447">
        <v>1.71</v>
      </c>
      <c r="S2447">
        <v>1.35</v>
      </c>
      <c r="Z2447" t="s">
        <v>164</v>
      </c>
      <c r="AA2447">
        <v>1.43</v>
      </c>
      <c r="AB2447" t="s">
        <v>16113</v>
      </c>
      <c r="AD2447" t="s">
        <v>7118</v>
      </c>
      <c r="AE2447" t="s">
        <v>2137</v>
      </c>
      <c r="AF2447" t="s">
        <v>7407</v>
      </c>
      <c r="AG2447" t="s">
        <v>2871</v>
      </c>
      <c r="AH2447" t="s">
        <v>981</v>
      </c>
      <c r="AI2447" t="s">
        <v>2421</v>
      </c>
      <c r="AJ2447" t="s">
        <v>406</v>
      </c>
      <c r="AK2447" t="s">
        <v>10884</v>
      </c>
      <c r="AL2447">
        <v>3.95</v>
      </c>
      <c r="AM2447">
        <v>2.46</v>
      </c>
      <c r="AN2447">
        <v>0.17</v>
      </c>
      <c r="AO2447" t="s">
        <v>13115</v>
      </c>
      <c r="AP2447" t="s">
        <v>5893</v>
      </c>
      <c r="AQ2447" t="s">
        <v>2127</v>
      </c>
      <c r="AR2447" t="s">
        <v>4839</v>
      </c>
      <c r="AS2447" t="s">
        <v>4710</v>
      </c>
      <c r="AT2447" t="s">
        <v>11528</v>
      </c>
      <c r="AU2447" t="s">
        <v>335</v>
      </c>
      <c r="AV2447" t="s">
        <v>23573</v>
      </c>
      <c r="AW2447" t="s">
        <v>23574</v>
      </c>
      <c r="AX2447" t="s">
        <v>4782</v>
      </c>
      <c r="AY2447" t="s">
        <v>23575</v>
      </c>
      <c r="AZ2447" t="s">
        <v>4782</v>
      </c>
      <c r="BA2447">
        <v>2.23</v>
      </c>
      <c r="BB2447">
        <v>1384.19</v>
      </c>
      <c r="BC2447">
        <v>0.28000000000000003</v>
      </c>
      <c r="BD2447">
        <v>24.78</v>
      </c>
      <c r="BE2447">
        <v>24.79</v>
      </c>
      <c r="BF2447">
        <v>24.63</v>
      </c>
      <c r="BG2447" t="s">
        <v>23576</v>
      </c>
      <c r="BH2447" t="s">
        <v>23577</v>
      </c>
      <c r="BI2447" t="s">
        <v>23578</v>
      </c>
      <c r="BJ2447" t="s">
        <v>101</v>
      </c>
      <c r="BK2447" t="s">
        <v>9172</v>
      </c>
      <c r="BL2447" t="s">
        <v>23579</v>
      </c>
      <c r="BM2447" t="s">
        <v>23580</v>
      </c>
      <c r="BN2447" t="s">
        <v>23454</v>
      </c>
    </row>
    <row r="2448" spans="1:66" x14ac:dyDescent="0.25">
      <c r="A2448" t="str">
        <f>HYPERLINK("https://elite.finviz.com/quote.ashx?t=ALIT&amp;ty=c&amp;p=d&amp;b=1", "ALIT")</f>
        <v>ALIT</v>
      </c>
      <c r="B2448">
        <v>5</v>
      </c>
      <c r="C2448">
        <v>116.22</v>
      </c>
      <c r="D2448">
        <v>27.02</v>
      </c>
      <c r="E2448" t="s">
        <v>23581</v>
      </c>
      <c r="F2448" t="s">
        <v>67</v>
      </c>
      <c r="G2448" t="s">
        <v>108</v>
      </c>
      <c r="H2448" t="s">
        <v>136</v>
      </c>
      <c r="I2448" t="s">
        <v>70</v>
      </c>
      <c r="J2448" t="s">
        <v>71</v>
      </c>
      <c r="K2448">
        <v>1696.07</v>
      </c>
      <c r="L2448">
        <v>3.14</v>
      </c>
      <c r="M2448" t="s">
        <v>4800</v>
      </c>
      <c r="N2448">
        <v>1657113</v>
      </c>
      <c r="P2448">
        <v>4.95</v>
      </c>
      <c r="R2448">
        <v>0.73</v>
      </c>
      <c r="S2448">
        <v>0.53</v>
      </c>
      <c r="T2448" t="s">
        <v>6419</v>
      </c>
      <c r="U2448">
        <v>0.16</v>
      </c>
      <c r="V2448" t="s">
        <v>2187</v>
      </c>
      <c r="AA2448">
        <v>-2.16</v>
      </c>
      <c r="AB2448" t="s">
        <v>18163</v>
      </c>
      <c r="AC2448" t="s">
        <v>4930</v>
      </c>
      <c r="AD2448" t="s">
        <v>6106</v>
      </c>
      <c r="AE2448" t="s">
        <v>7793</v>
      </c>
      <c r="AF2448" t="s">
        <v>4317</v>
      </c>
      <c r="AG2448" t="s">
        <v>156</v>
      </c>
      <c r="AH2448" t="s">
        <v>4501</v>
      </c>
      <c r="AI2448" t="s">
        <v>8225</v>
      </c>
      <c r="AJ2448" t="s">
        <v>1324</v>
      </c>
      <c r="AK2448" t="s">
        <v>15544</v>
      </c>
      <c r="AL2448">
        <v>1.1399999999999999</v>
      </c>
      <c r="AM2448">
        <v>1.1399999999999999</v>
      </c>
      <c r="AN2448">
        <v>0.69</v>
      </c>
      <c r="AO2448" t="s">
        <v>5230</v>
      </c>
      <c r="AP2448" t="s">
        <v>4125</v>
      </c>
      <c r="AQ2448" t="s">
        <v>23582</v>
      </c>
      <c r="AR2448" t="s">
        <v>122</v>
      </c>
      <c r="AS2448" t="s">
        <v>2811</v>
      </c>
      <c r="AT2448" t="s">
        <v>14896</v>
      </c>
      <c r="AU2448" t="s">
        <v>20046</v>
      </c>
      <c r="AV2448" t="s">
        <v>23583</v>
      </c>
      <c r="AW2448" t="s">
        <v>9769</v>
      </c>
      <c r="AX2448" t="s">
        <v>3500</v>
      </c>
      <c r="AY2448" t="s">
        <v>23584</v>
      </c>
      <c r="AZ2448" t="s">
        <v>3500</v>
      </c>
      <c r="BA2448">
        <v>1.33</v>
      </c>
      <c r="BB2448">
        <v>8101.06</v>
      </c>
      <c r="BC2448">
        <v>0.72</v>
      </c>
      <c r="BD2448">
        <v>3.07</v>
      </c>
      <c r="BE2448">
        <v>3.15</v>
      </c>
      <c r="BF2448">
        <v>3.07</v>
      </c>
      <c r="BG2448" t="s">
        <v>23585</v>
      </c>
      <c r="BH2448" t="s">
        <v>10215</v>
      </c>
      <c r="BI2448" t="s">
        <v>3500</v>
      </c>
      <c r="BJ2448" t="s">
        <v>101</v>
      </c>
      <c r="BK2448" t="s">
        <v>23586</v>
      </c>
      <c r="BL2448" t="s">
        <v>5440</v>
      </c>
      <c r="BM2448" t="s">
        <v>23587</v>
      </c>
      <c r="BN2448" t="s">
        <v>23454</v>
      </c>
    </row>
    <row r="2449" spans="1:66" x14ac:dyDescent="0.25">
      <c r="A2449" t="str">
        <f>HYPERLINK("https://elite.finviz.com/quote.ashx?t=TRON&amp;ty=c&amp;p=d&amp;b=1", "TRON")</f>
        <v>TRON</v>
      </c>
      <c r="B2449">
        <v>5</v>
      </c>
      <c r="C2449">
        <v>116.22</v>
      </c>
      <c r="D2449">
        <v>27.05</v>
      </c>
      <c r="E2449" t="s">
        <v>23588</v>
      </c>
      <c r="F2449" t="s">
        <v>107</v>
      </c>
      <c r="G2449" t="s">
        <v>813</v>
      </c>
      <c r="H2449" t="s">
        <v>5941</v>
      </c>
      <c r="I2449" t="s">
        <v>70</v>
      </c>
      <c r="J2449" t="s">
        <v>321</v>
      </c>
      <c r="K2449">
        <v>537.80999999999995</v>
      </c>
      <c r="L2449">
        <v>2.12</v>
      </c>
      <c r="M2449" t="s">
        <v>2329</v>
      </c>
      <c r="N2449">
        <v>544088</v>
      </c>
      <c r="R2449">
        <v>127.14</v>
      </c>
      <c r="S2449">
        <v>0.52</v>
      </c>
      <c r="AA2449">
        <v>-0.2</v>
      </c>
      <c r="AE2449" t="s">
        <v>16721</v>
      </c>
      <c r="AF2449" t="s">
        <v>6591</v>
      </c>
      <c r="AH2449" t="s">
        <v>5491</v>
      </c>
      <c r="AJ2449" t="s">
        <v>2760</v>
      </c>
      <c r="AK2449" t="s">
        <v>5166</v>
      </c>
      <c r="AL2449">
        <v>9.7100000000000009</v>
      </c>
      <c r="AM2449">
        <v>8.73</v>
      </c>
      <c r="AN2449">
        <v>0</v>
      </c>
      <c r="AO2449" t="s">
        <v>4075</v>
      </c>
      <c r="AP2449" t="s">
        <v>6219</v>
      </c>
      <c r="AQ2449" t="s">
        <v>17278</v>
      </c>
      <c r="AR2449" t="s">
        <v>2625</v>
      </c>
      <c r="AS2449" t="s">
        <v>4648</v>
      </c>
      <c r="AT2449" t="s">
        <v>23589</v>
      </c>
      <c r="AU2449" t="s">
        <v>23590</v>
      </c>
      <c r="AV2449" t="s">
        <v>12861</v>
      </c>
      <c r="AW2449" t="s">
        <v>20029</v>
      </c>
      <c r="AX2449" t="s">
        <v>575</v>
      </c>
      <c r="AY2449" t="s">
        <v>20029</v>
      </c>
      <c r="AZ2449" t="s">
        <v>23591</v>
      </c>
      <c r="BB2449">
        <v>3792.72</v>
      </c>
      <c r="BC2449">
        <v>0.51</v>
      </c>
      <c r="BD2449">
        <v>2.23</v>
      </c>
      <c r="BE2449">
        <v>2.25</v>
      </c>
      <c r="BF2449">
        <v>2.11</v>
      </c>
      <c r="BG2449" t="s">
        <v>23592</v>
      </c>
      <c r="BH2449" t="s">
        <v>20029</v>
      </c>
      <c r="BI2449" t="s">
        <v>23591</v>
      </c>
      <c r="BJ2449" t="s">
        <v>101</v>
      </c>
      <c r="BK2449" t="s">
        <v>23593</v>
      </c>
      <c r="BL2449" t="s">
        <v>23594</v>
      </c>
      <c r="BM2449" t="s">
        <v>23595</v>
      </c>
      <c r="BN2449" t="s">
        <v>23454</v>
      </c>
    </row>
    <row r="2450" spans="1:66" x14ac:dyDescent="0.25">
      <c r="A2450" t="str">
        <f>HYPERLINK("https://elite.finviz.com/quote.ashx?t=CTLP&amp;ty=c&amp;p=d&amp;b=1", "CTLP")</f>
        <v>CTLP</v>
      </c>
      <c r="B2450">
        <v>5</v>
      </c>
      <c r="C2450">
        <v>116.22</v>
      </c>
      <c r="D2450">
        <v>27.17</v>
      </c>
      <c r="E2450" t="s">
        <v>23596</v>
      </c>
      <c r="F2450" t="s">
        <v>67</v>
      </c>
      <c r="G2450" t="s">
        <v>108</v>
      </c>
      <c r="H2450" t="s">
        <v>109</v>
      </c>
      <c r="I2450" t="s">
        <v>70</v>
      </c>
      <c r="J2450" t="s">
        <v>321</v>
      </c>
      <c r="K2450">
        <v>774.16</v>
      </c>
      <c r="L2450">
        <v>10.55</v>
      </c>
      <c r="M2450" t="s">
        <v>2215</v>
      </c>
      <c r="N2450">
        <v>349510</v>
      </c>
      <c r="O2450">
        <v>12.3</v>
      </c>
      <c r="P2450">
        <v>23.77</v>
      </c>
      <c r="Q2450">
        <v>0.24</v>
      </c>
      <c r="R2450">
        <v>2.56</v>
      </c>
      <c r="S2450">
        <v>3.08</v>
      </c>
      <c r="Z2450" t="s">
        <v>164</v>
      </c>
      <c r="AA2450">
        <v>0.86</v>
      </c>
      <c r="AD2450" t="s">
        <v>15482</v>
      </c>
      <c r="AE2450" t="s">
        <v>1609</v>
      </c>
      <c r="AF2450" t="s">
        <v>4961</v>
      </c>
      <c r="AG2450" t="s">
        <v>6723</v>
      </c>
      <c r="AH2450" t="s">
        <v>6087</v>
      </c>
      <c r="AI2450" t="s">
        <v>23597</v>
      </c>
      <c r="AJ2450" t="s">
        <v>2870</v>
      </c>
      <c r="AK2450" t="s">
        <v>12047</v>
      </c>
      <c r="AL2450">
        <v>1.84</v>
      </c>
      <c r="AM2450">
        <v>1.29</v>
      </c>
      <c r="AN2450">
        <v>0.19</v>
      </c>
      <c r="AO2450" t="s">
        <v>649</v>
      </c>
      <c r="AP2450" t="s">
        <v>4512</v>
      </c>
      <c r="AQ2450" t="s">
        <v>10165</v>
      </c>
      <c r="AR2450" t="s">
        <v>306</v>
      </c>
      <c r="AS2450" t="s">
        <v>2571</v>
      </c>
      <c r="AT2450" t="s">
        <v>789</v>
      </c>
      <c r="AU2450" t="s">
        <v>7884</v>
      </c>
      <c r="AV2450" t="s">
        <v>1395</v>
      </c>
      <c r="AW2450" t="s">
        <v>9738</v>
      </c>
      <c r="AX2450" t="s">
        <v>2215</v>
      </c>
      <c r="AY2450" t="s">
        <v>3792</v>
      </c>
      <c r="AZ2450" t="s">
        <v>11074</v>
      </c>
      <c r="BA2450">
        <v>3.33</v>
      </c>
      <c r="BB2450">
        <v>1973.05</v>
      </c>
      <c r="BC2450">
        <v>0.62</v>
      </c>
      <c r="BD2450">
        <v>10.55</v>
      </c>
      <c r="BE2450">
        <v>10.57</v>
      </c>
      <c r="BF2450">
        <v>10.54</v>
      </c>
      <c r="BG2450" t="s">
        <v>23598</v>
      </c>
      <c r="BH2450" t="s">
        <v>23599</v>
      </c>
      <c r="BI2450" t="s">
        <v>23600</v>
      </c>
      <c r="BJ2450" t="s">
        <v>101</v>
      </c>
      <c r="BK2450" t="s">
        <v>4078</v>
      </c>
      <c r="BL2450" t="s">
        <v>992</v>
      </c>
      <c r="BM2450" t="s">
        <v>15243</v>
      </c>
      <c r="BN2450" t="s">
        <v>23454</v>
      </c>
    </row>
    <row r="2451" spans="1:66" x14ac:dyDescent="0.25">
      <c r="A2451" t="str">
        <f>HYPERLINK("https://elite.finviz.com/quote.ashx?t=BXSL&amp;ty=c&amp;p=d&amp;b=1", "BXSL")</f>
        <v>BXSL</v>
      </c>
      <c r="B2451">
        <v>5</v>
      </c>
      <c r="C2451">
        <v>116.22</v>
      </c>
      <c r="D2451">
        <v>27.3</v>
      </c>
      <c r="E2451" t="s">
        <v>23601</v>
      </c>
      <c r="F2451" t="s">
        <v>107</v>
      </c>
      <c r="G2451" t="s">
        <v>550</v>
      </c>
      <c r="H2451" t="s">
        <v>2597</v>
      </c>
      <c r="I2451" t="s">
        <v>70</v>
      </c>
      <c r="J2451" t="s">
        <v>71</v>
      </c>
      <c r="K2451">
        <v>6248.52</v>
      </c>
      <c r="L2451">
        <v>27.14</v>
      </c>
      <c r="M2451" t="s">
        <v>8932</v>
      </c>
      <c r="N2451">
        <v>468088</v>
      </c>
      <c r="O2451">
        <v>9.66</v>
      </c>
      <c r="P2451">
        <v>9.25</v>
      </c>
      <c r="R2451">
        <v>4.47</v>
      </c>
      <c r="S2451">
        <v>0.99</v>
      </c>
      <c r="T2451" t="s">
        <v>6528</v>
      </c>
      <c r="U2451">
        <v>3.08</v>
      </c>
      <c r="V2451" t="s">
        <v>198</v>
      </c>
      <c r="W2451" t="s">
        <v>995</v>
      </c>
      <c r="X2451" t="s">
        <v>23602</v>
      </c>
      <c r="Z2451" t="s">
        <v>13582</v>
      </c>
      <c r="AA2451">
        <v>2.81</v>
      </c>
      <c r="AH2451" t="s">
        <v>4957</v>
      </c>
      <c r="AI2451" t="s">
        <v>3328</v>
      </c>
      <c r="AJ2451" t="s">
        <v>406</v>
      </c>
      <c r="AK2451" t="s">
        <v>14688</v>
      </c>
      <c r="AR2451" t="s">
        <v>3832</v>
      </c>
      <c r="AS2451" t="s">
        <v>4275</v>
      </c>
      <c r="AT2451" t="s">
        <v>5368</v>
      </c>
      <c r="AU2451" t="s">
        <v>2227</v>
      </c>
      <c r="AV2451" t="s">
        <v>18148</v>
      </c>
      <c r="AW2451" t="s">
        <v>2747</v>
      </c>
      <c r="AX2451" t="s">
        <v>2630</v>
      </c>
      <c r="AY2451" t="s">
        <v>3836</v>
      </c>
      <c r="AZ2451" t="s">
        <v>3545</v>
      </c>
      <c r="BA2451">
        <v>1.91</v>
      </c>
      <c r="BB2451">
        <v>1326.68</v>
      </c>
      <c r="BC2451">
        <v>1.24</v>
      </c>
      <c r="BD2451">
        <v>27.31</v>
      </c>
      <c r="BE2451">
        <v>27.61</v>
      </c>
      <c r="BF2451">
        <v>27.13</v>
      </c>
      <c r="BG2451" t="s">
        <v>23603</v>
      </c>
      <c r="BH2451" t="s">
        <v>21993</v>
      </c>
      <c r="BI2451" t="s">
        <v>6169</v>
      </c>
      <c r="BJ2451" t="s">
        <v>101</v>
      </c>
      <c r="BK2451" t="s">
        <v>9414</v>
      </c>
      <c r="BL2451" t="s">
        <v>15230</v>
      </c>
      <c r="BM2451" t="s">
        <v>9198</v>
      </c>
      <c r="BN2451" t="s">
        <v>23454</v>
      </c>
    </row>
    <row r="2452" spans="1:66" x14ac:dyDescent="0.25">
      <c r="A2452" t="str">
        <f>HYPERLINK("https://elite.finviz.com/quote.ashx?t=AXTA&amp;ty=c&amp;p=d&amp;b=1", "AXTA")</f>
        <v>AXTA</v>
      </c>
      <c r="B2452">
        <v>5</v>
      </c>
      <c r="C2452">
        <v>116.22</v>
      </c>
      <c r="D2452">
        <v>27.36</v>
      </c>
      <c r="E2452" t="s">
        <v>23604</v>
      </c>
      <c r="F2452" t="s">
        <v>107</v>
      </c>
      <c r="G2452" t="s">
        <v>355</v>
      </c>
      <c r="H2452" t="s">
        <v>1147</v>
      </c>
      <c r="I2452" t="s">
        <v>70</v>
      </c>
      <c r="J2452" t="s">
        <v>71</v>
      </c>
      <c r="K2452">
        <v>5931.97</v>
      </c>
      <c r="L2452">
        <v>27.39</v>
      </c>
      <c r="M2452" t="s">
        <v>9075</v>
      </c>
      <c r="N2452">
        <v>779336</v>
      </c>
      <c r="O2452">
        <v>13.46</v>
      </c>
      <c r="P2452">
        <v>10.02</v>
      </c>
      <c r="Q2452">
        <v>1.61</v>
      </c>
      <c r="R2452">
        <v>1.1399999999999999</v>
      </c>
      <c r="S2452">
        <v>2.62</v>
      </c>
      <c r="Z2452" t="s">
        <v>164</v>
      </c>
      <c r="AA2452">
        <v>2.0299999999999998</v>
      </c>
      <c r="AB2452" t="s">
        <v>11239</v>
      </c>
      <c r="AC2452" t="s">
        <v>9108</v>
      </c>
      <c r="AD2452" t="s">
        <v>8050</v>
      </c>
      <c r="AE2452" t="s">
        <v>3113</v>
      </c>
      <c r="AF2452" t="s">
        <v>5455</v>
      </c>
      <c r="AG2452" t="s">
        <v>6770</v>
      </c>
      <c r="AH2452" t="s">
        <v>4529</v>
      </c>
      <c r="AI2452" t="s">
        <v>5026</v>
      </c>
      <c r="AJ2452" t="s">
        <v>2003</v>
      </c>
      <c r="AK2452" t="s">
        <v>23605</v>
      </c>
      <c r="AL2452">
        <v>2.12</v>
      </c>
      <c r="AM2452">
        <v>1.53</v>
      </c>
      <c r="AN2452">
        <v>1.51</v>
      </c>
      <c r="AO2452" t="s">
        <v>16790</v>
      </c>
      <c r="AP2452" t="s">
        <v>1342</v>
      </c>
      <c r="AQ2452" t="s">
        <v>6607</v>
      </c>
      <c r="AR2452" t="s">
        <v>1933</v>
      </c>
      <c r="AS2452" t="s">
        <v>180</v>
      </c>
      <c r="AT2452" t="s">
        <v>3048</v>
      </c>
      <c r="AU2452" t="s">
        <v>4692</v>
      </c>
      <c r="AV2452" t="s">
        <v>19245</v>
      </c>
      <c r="AW2452" t="s">
        <v>23606</v>
      </c>
      <c r="AX2452" t="s">
        <v>6298</v>
      </c>
      <c r="AY2452" t="s">
        <v>96</v>
      </c>
      <c r="AZ2452" t="s">
        <v>6298</v>
      </c>
      <c r="BA2452">
        <v>1.9</v>
      </c>
      <c r="BB2452">
        <v>2871.62</v>
      </c>
      <c r="BC2452">
        <v>0.96</v>
      </c>
      <c r="BD2452">
        <v>27.79</v>
      </c>
      <c r="BE2452">
        <v>28.01</v>
      </c>
      <c r="BF2452">
        <v>27.38</v>
      </c>
      <c r="BG2452" t="s">
        <v>23607</v>
      </c>
      <c r="BH2452" t="s">
        <v>96</v>
      </c>
      <c r="BI2452" t="s">
        <v>23608</v>
      </c>
      <c r="BJ2452" t="s">
        <v>101</v>
      </c>
      <c r="BK2452" t="s">
        <v>3729</v>
      </c>
      <c r="BL2452" t="s">
        <v>2747</v>
      </c>
      <c r="BM2452" t="s">
        <v>514</v>
      </c>
      <c r="BN2452" t="s">
        <v>23454</v>
      </c>
    </row>
    <row r="2453" spans="1:66" x14ac:dyDescent="0.25">
      <c r="A2453" t="str">
        <f>HYPERLINK("https://elite.finviz.com/quote.ashx?t=LPSN&amp;ty=c&amp;p=d&amp;b=1", "LPSN")</f>
        <v>LPSN</v>
      </c>
      <c r="B2453">
        <v>5</v>
      </c>
      <c r="C2453">
        <v>116.22</v>
      </c>
      <c r="D2453">
        <v>27.36</v>
      </c>
      <c r="E2453" t="s">
        <v>23609</v>
      </c>
      <c r="F2453" t="s">
        <v>107</v>
      </c>
      <c r="G2453" t="s">
        <v>108</v>
      </c>
      <c r="H2453" t="s">
        <v>136</v>
      </c>
      <c r="I2453" t="s">
        <v>70</v>
      </c>
      <c r="J2453" t="s">
        <v>321</v>
      </c>
      <c r="K2453">
        <v>92.32</v>
      </c>
      <c r="L2453">
        <v>0.61</v>
      </c>
      <c r="M2453" t="s">
        <v>4828</v>
      </c>
      <c r="N2453">
        <v>689915</v>
      </c>
      <c r="R2453">
        <v>0.34</v>
      </c>
      <c r="AA2453">
        <v>-1.99</v>
      </c>
      <c r="AB2453" t="s">
        <v>5336</v>
      </c>
      <c r="AC2453" t="s">
        <v>193</v>
      </c>
      <c r="AE2453" t="s">
        <v>23610</v>
      </c>
      <c r="AF2453" t="s">
        <v>7526</v>
      </c>
      <c r="AG2453" t="s">
        <v>5058</v>
      </c>
      <c r="AH2453" t="s">
        <v>23611</v>
      </c>
      <c r="AI2453" t="s">
        <v>12022</v>
      </c>
      <c r="AJ2453" t="s">
        <v>5640</v>
      </c>
      <c r="AK2453" t="s">
        <v>4250</v>
      </c>
      <c r="AL2453">
        <v>1.64</v>
      </c>
      <c r="AM2453">
        <v>1.64</v>
      </c>
      <c r="AO2453" t="s">
        <v>23612</v>
      </c>
      <c r="AP2453" t="s">
        <v>9095</v>
      </c>
      <c r="AQ2453" t="s">
        <v>23613</v>
      </c>
      <c r="AR2453" t="s">
        <v>3432</v>
      </c>
      <c r="AS2453" t="s">
        <v>1396</v>
      </c>
      <c r="AT2453" t="s">
        <v>19605</v>
      </c>
      <c r="AU2453" t="s">
        <v>23614</v>
      </c>
      <c r="AV2453" t="s">
        <v>23615</v>
      </c>
      <c r="AW2453" t="s">
        <v>23616</v>
      </c>
      <c r="AX2453" t="s">
        <v>4885</v>
      </c>
      <c r="AY2453" t="s">
        <v>23617</v>
      </c>
      <c r="AZ2453" t="s">
        <v>4885</v>
      </c>
      <c r="BA2453">
        <v>3</v>
      </c>
      <c r="BB2453">
        <v>4499.6499999999996</v>
      </c>
      <c r="BC2453">
        <v>0.54</v>
      </c>
      <c r="BD2453">
        <v>0.62</v>
      </c>
      <c r="BE2453">
        <v>0.63</v>
      </c>
      <c r="BF2453">
        <v>0.61</v>
      </c>
      <c r="BG2453" t="s">
        <v>23618</v>
      </c>
      <c r="BH2453" t="s">
        <v>23619</v>
      </c>
      <c r="BI2453" t="s">
        <v>23620</v>
      </c>
      <c r="BJ2453" t="s">
        <v>101</v>
      </c>
      <c r="BK2453" t="s">
        <v>23621</v>
      </c>
      <c r="BL2453" t="s">
        <v>23622</v>
      </c>
      <c r="BM2453" t="s">
        <v>23623</v>
      </c>
      <c r="BN2453" t="s">
        <v>23454</v>
      </c>
    </row>
    <row r="2454" spans="1:66" x14ac:dyDescent="0.25">
      <c r="A2454" t="str">
        <f>HYPERLINK("https://elite.finviz.com/quote.ashx?t=JEM&amp;ty=c&amp;p=d&amp;b=1", "JEM")</f>
        <v>JEM</v>
      </c>
      <c r="B2454">
        <v>5</v>
      </c>
      <c r="C2454">
        <v>116.22</v>
      </c>
      <c r="D2454">
        <v>27.58</v>
      </c>
      <c r="E2454" t="s">
        <v>23624</v>
      </c>
      <c r="F2454" t="s">
        <v>107</v>
      </c>
      <c r="G2454" t="s">
        <v>813</v>
      </c>
      <c r="H2454" t="s">
        <v>4488</v>
      </c>
      <c r="I2454" t="s">
        <v>70</v>
      </c>
      <c r="J2454" t="s">
        <v>321</v>
      </c>
      <c r="L2454">
        <v>0.42</v>
      </c>
      <c r="M2454" t="s">
        <v>1465</v>
      </c>
      <c r="N2454">
        <v>317426</v>
      </c>
      <c r="AR2454" t="s">
        <v>267</v>
      </c>
      <c r="AS2454" t="s">
        <v>23625</v>
      </c>
      <c r="AT2454" t="s">
        <v>9277</v>
      </c>
      <c r="AU2454" t="s">
        <v>23626</v>
      </c>
      <c r="AV2454" t="s">
        <v>23627</v>
      </c>
      <c r="AW2454" t="s">
        <v>23628</v>
      </c>
      <c r="AX2454" t="s">
        <v>8321</v>
      </c>
      <c r="AY2454" t="s">
        <v>23629</v>
      </c>
      <c r="AZ2454" t="s">
        <v>8321</v>
      </c>
      <c r="BB2454">
        <v>5433.83</v>
      </c>
      <c r="BC2454">
        <v>0.21</v>
      </c>
      <c r="BD2454">
        <v>0.44</v>
      </c>
      <c r="BE2454">
        <v>0.44</v>
      </c>
      <c r="BF2454">
        <v>0.41</v>
      </c>
      <c r="BG2454" t="s">
        <v>23630</v>
      </c>
      <c r="BH2454" t="s">
        <v>23629</v>
      </c>
      <c r="BI2454" t="s">
        <v>8321</v>
      </c>
      <c r="BJ2454" t="s">
        <v>101</v>
      </c>
      <c r="BK2454" t="s">
        <v>23631</v>
      </c>
      <c r="BN2454" t="s">
        <v>23454</v>
      </c>
    </row>
    <row r="2455" spans="1:66" x14ac:dyDescent="0.25">
      <c r="A2455" t="str">
        <f>HYPERLINK("https://elite.finviz.com/quote.ashx?t=XRAY&amp;ty=c&amp;p=d&amp;b=1", "XRAY")</f>
        <v>XRAY</v>
      </c>
      <c r="B2455">
        <v>5</v>
      </c>
      <c r="C2455">
        <v>116.22</v>
      </c>
      <c r="D2455">
        <v>27.62</v>
      </c>
      <c r="E2455" t="s">
        <v>23632</v>
      </c>
      <c r="F2455" t="s">
        <v>107</v>
      </c>
      <c r="G2455" t="s">
        <v>428</v>
      </c>
      <c r="H2455" t="s">
        <v>2161</v>
      </c>
      <c r="I2455" t="s">
        <v>70</v>
      </c>
      <c r="J2455" t="s">
        <v>321</v>
      </c>
      <c r="K2455">
        <v>2448.67</v>
      </c>
      <c r="L2455">
        <v>12.27</v>
      </c>
      <c r="M2455" t="s">
        <v>1226</v>
      </c>
      <c r="N2455">
        <v>932785</v>
      </c>
      <c r="P2455">
        <v>6.06</v>
      </c>
      <c r="R2455">
        <v>0.67</v>
      </c>
      <c r="S2455">
        <v>1.25</v>
      </c>
      <c r="T2455" t="s">
        <v>3602</v>
      </c>
      <c r="U2455">
        <v>0.64</v>
      </c>
      <c r="V2455" t="s">
        <v>4741</v>
      </c>
      <c r="W2455" t="s">
        <v>2169</v>
      </c>
      <c r="X2455" t="s">
        <v>3789</v>
      </c>
      <c r="Y2455" t="s">
        <v>7556</v>
      </c>
      <c r="AA2455">
        <v>-4.75</v>
      </c>
      <c r="AD2455" t="s">
        <v>9515</v>
      </c>
      <c r="AE2455" t="s">
        <v>1258</v>
      </c>
      <c r="AF2455" t="s">
        <v>4927</v>
      </c>
      <c r="AG2455" t="s">
        <v>609</v>
      </c>
      <c r="AH2455" t="s">
        <v>6480</v>
      </c>
      <c r="AI2455" t="s">
        <v>4216</v>
      </c>
      <c r="AJ2455" t="s">
        <v>164</v>
      </c>
      <c r="AK2455" t="s">
        <v>12338</v>
      </c>
      <c r="AL2455">
        <v>1.69</v>
      </c>
      <c r="AM2455">
        <v>1.1100000000000001</v>
      </c>
      <c r="AN2455">
        <v>1.27</v>
      </c>
      <c r="AO2455" t="s">
        <v>6844</v>
      </c>
      <c r="AP2455" t="s">
        <v>1114</v>
      </c>
      <c r="AQ2455" t="s">
        <v>9740</v>
      </c>
      <c r="AR2455" t="s">
        <v>295</v>
      </c>
      <c r="AS2455" t="s">
        <v>6937</v>
      </c>
      <c r="AT2455" t="s">
        <v>1766</v>
      </c>
      <c r="AU2455" t="s">
        <v>12901</v>
      </c>
      <c r="AV2455" t="s">
        <v>11657</v>
      </c>
      <c r="AW2455" t="s">
        <v>23633</v>
      </c>
      <c r="AX2455" t="s">
        <v>164</v>
      </c>
      <c r="AY2455" t="s">
        <v>10905</v>
      </c>
      <c r="AZ2455" t="s">
        <v>2881</v>
      </c>
      <c r="BA2455">
        <v>2.61</v>
      </c>
      <c r="BB2455">
        <v>3254.24</v>
      </c>
      <c r="BC2455">
        <v>1.01</v>
      </c>
      <c r="BD2455">
        <v>12.37</v>
      </c>
      <c r="BE2455">
        <v>12.4</v>
      </c>
      <c r="BF2455">
        <v>12.14</v>
      </c>
      <c r="BG2455" t="s">
        <v>23634</v>
      </c>
      <c r="BH2455" t="s">
        <v>2147</v>
      </c>
      <c r="BI2455" t="s">
        <v>23635</v>
      </c>
      <c r="BJ2455" t="s">
        <v>101</v>
      </c>
      <c r="BK2455" t="s">
        <v>23636</v>
      </c>
      <c r="BL2455" t="s">
        <v>4470</v>
      </c>
      <c r="BM2455" t="s">
        <v>23637</v>
      </c>
      <c r="BN2455" t="s">
        <v>23454</v>
      </c>
    </row>
    <row r="2456" spans="1:66" x14ac:dyDescent="0.25">
      <c r="A2456" t="str">
        <f>HYPERLINK("https://elite.finviz.com/quote.ashx?t=ACI&amp;ty=c&amp;p=d&amp;b=1", "ACI")</f>
        <v>ACI</v>
      </c>
      <c r="B2456">
        <v>5</v>
      </c>
      <c r="C2456">
        <v>116.22</v>
      </c>
      <c r="D2456">
        <v>27.9</v>
      </c>
      <c r="E2456" t="s">
        <v>23638</v>
      </c>
      <c r="F2456" t="s">
        <v>107</v>
      </c>
      <c r="G2456" t="s">
        <v>2244</v>
      </c>
      <c r="H2456" t="s">
        <v>14712</v>
      </c>
      <c r="I2456" t="s">
        <v>70</v>
      </c>
      <c r="J2456" t="s">
        <v>71</v>
      </c>
      <c r="K2456">
        <v>9802.74</v>
      </c>
      <c r="L2456">
        <v>17.510000000000002</v>
      </c>
      <c r="M2456" t="s">
        <v>3736</v>
      </c>
      <c r="N2456">
        <v>850040</v>
      </c>
      <c r="O2456">
        <v>10.68</v>
      </c>
      <c r="P2456">
        <v>7.76</v>
      </c>
      <c r="R2456">
        <v>0.12</v>
      </c>
      <c r="S2456">
        <v>3.06</v>
      </c>
      <c r="T2456" t="s">
        <v>2736</v>
      </c>
      <c r="U2456">
        <v>0.56999999999999995</v>
      </c>
      <c r="V2456" t="s">
        <v>12255</v>
      </c>
      <c r="W2456" t="s">
        <v>229</v>
      </c>
      <c r="X2456" t="s">
        <v>2429</v>
      </c>
      <c r="Y2456" t="s">
        <v>9737</v>
      </c>
      <c r="Z2456" t="s">
        <v>4047</v>
      </c>
      <c r="AA2456">
        <v>1.64</v>
      </c>
      <c r="AB2456" t="s">
        <v>10847</v>
      </c>
      <c r="AC2456" t="s">
        <v>847</v>
      </c>
      <c r="AE2456" t="s">
        <v>1129</v>
      </c>
      <c r="AF2456" t="s">
        <v>756</v>
      </c>
      <c r="AG2456" t="s">
        <v>3303</v>
      </c>
      <c r="AH2456" t="s">
        <v>387</v>
      </c>
      <c r="AI2456" t="s">
        <v>6003</v>
      </c>
      <c r="AJ2456" t="s">
        <v>3598</v>
      </c>
      <c r="AK2456" t="s">
        <v>2607</v>
      </c>
      <c r="AL2456">
        <v>0.82</v>
      </c>
      <c r="AM2456">
        <v>0.18</v>
      </c>
      <c r="AN2456">
        <v>4.4400000000000004</v>
      </c>
      <c r="AO2456" t="s">
        <v>2832</v>
      </c>
      <c r="AP2456" t="s">
        <v>4600</v>
      </c>
      <c r="AQ2456" t="s">
        <v>102</v>
      </c>
      <c r="AR2456" t="s">
        <v>6151</v>
      </c>
      <c r="AS2456" t="s">
        <v>2201</v>
      </c>
      <c r="AT2456" t="s">
        <v>786</v>
      </c>
      <c r="AU2456" t="s">
        <v>6139</v>
      </c>
      <c r="AV2456" t="s">
        <v>14455</v>
      </c>
      <c r="AW2456" t="s">
        <v>3988</v>
      </c>
      <c r="AX2456" t="s">
        <v>2125</v>
      </c>
      <c r="AY2456" t="s">
        <v>20709</v>
      </c>
      <c r="AZ2456" t="s">
        <v>305</v>
      </c>
      <c r="BA2456">
        <v>2</v>
      </c>
      <c r="BB2456">
        <v>6109.61</v>
      </c>
      <c r="BC2456">
        <v>0.49</v>
      </c>
      <c r="BD2456">
        <v>17.45</v>
      </c>
      <c r="BE2456">
        <v>17.59</v>
      </c>
      <c r="BF2456">
        <v>17.34</v>
      </c>
      <c r="BG2456" t="s">
        <v>23639</v>
      </c>
      <c r="BH2456" t="s">
        <v>23640</v>
      </c>
      <c r="BI2456" t="s">
        <v>23641</v>
      </c>
      <c r="BJ2456" t="s">
        <v>101</v>
      </c>
      <c r="BK2456" t="s">
        <v>6924</v>
      </c>
      <c r="BL2456" t="s">
        <v>4318</v>
      </c>
      <c r="BM2456" t="s">
        <v>8470</v>
      </c>
      <c r="BN2456" t="s">
        <v>23454</v>
      </c>
    </row>
    <row r="2457" spans="1:66" x14ac:dyDescent="0.25">
      <c r="A2457" t="str">
        <f>HYPERLINK("https://elite.finviz.com/quote.ashx?t=FLY&amp;ty=c&amp;p=d&amp;b=1", "FLY")</f>
        <v>FLY</v>
      </c>
      <c r="B2457">
        <v>5</v>
      </c>
      <c r="C2457">
        <v>116.22</v>
      </c>
      <c r="D2457">
        <v>28.04</v>
      </c>
      <c r="E2457" t="s">
        <v>23642</v>
      </c>
      <c r="F2457" t="s">
        <v>107</v>
      </c>
      <c r="G2457" t="s">
        <v>260</v>
      </c>
      <c r="H2457" t="s">
        <v>4779</v>
      </c>
      <c r="I2457" t="s">
        <v>70</v>
      </c>
      <c r="J2457" t="s">
        <v>321</v>
      </c>
      <c r="K2457">
        <v>5189.3599999999997</v>
      </c>
      <c r="L2457">
        <v>35.409999999999997</v>
      </c>
      <c r="M2457" t="s">
        <v>11313</v>
      </c>
      <c r="N2457">
        <v>477004</v>
      </c>
      <c r="AI2457" t="s">
        <v>23643</v>
      </c>
      <c r="AJ2457" t="s">
        <v>5549</v>
      </c>
      <c r="AK2457" t="s">
        <v>164</v>
      </c>
      <c r="AL2457">
        <v>1.5</v>
      </c>
      <c r="AM2457">
        <v>1.5</v>
      </c>
      <c r="AN2457">
        <v>3.03</v>
      </c>
      <c r="AR2457" t="s">
        <v>3688</v>
      </c>
      <c r="AS2457" t="s">
        <v>754</v>
      </c>
      <c r="AT2457" t="s">
        <v>20462</v>
      </c>
      <c r="AU2457" t="s">
        <v>23644</v>
      </c>
      <c r="AV2457" t="s">
        <v>23644</v>
      </c>
      <c r="AW2457" t="s">
        <v>17369</v>
      </c>
      <c r="AX2457" t="s">
        <v>7959</v>
      </c>
      <c r="AY2457" t="s">
        <v>17369</v>
      </c>
      <c r="AZ2457" t="s">
        <v>7959</v>
      </c>
      <c r="BA2457">
        <v>1.86</v>
      </c>
      <c r="BB2457">
        <v>2206.92</v>
      </c>
      <c r="BC2457">
        <v>0.76</v>
      </c>
      <c r="BD2457">
        <v>37.659999999999997</v>
      </c>
      <c r="BE2457">
        <v>37.619999999999997</v>
      </c>
      <c r="BF2457">
        <v>35.200000000000003</v>
      </c>
      <c r="BG2457" t="s">
        <v>23645</v>
      </c>
      <c r="BH2457" t="s">
        <v>17369</v>
      </c>
      <c r="BI2457" t="s">
        <v>7959</v>
      </c>
      <c r="BJ2457" t="s">
        <v>101</v>
      </c>
      <c r="BN2457" t="s">
        <v>23454</v>
      </c>
    </row>
    <row r="2458" spans="1:66" x14ac:dyDescent="0.25">
      <c r="A2458" t="str">
        <f>HYPERLINK("https://elite.finviz.com/quote.ashx?t=OBDC&amp;ty=c&amp;p=d&amp;b=1", "OBDC")</f>
        <v>OBDC</v>
      </c>
      <c r="B2458">
        <v>5</v>
      </c>
      <c r="C2458">
        <v>116.22</v>
      </c>
      <c r="D2458">
        <v>28.1</v>
      </c>
      <c r="E2458" t="s">
        <v>23646</v>
      </c>
      <c r="F2458" t="s">
        <v>107</v>
      </c>
      <c r="G2458" t="s">
        <v>550</v>
      </c>
      <c r="H2458" t="s">
        <v>2597</v>
      </c>
      <c r="I2458" t="s">
        <v>70</v>
      </c>
      <c r="J2458" t="s">
        <v>71</v>
      </c>
      <c r="K2458">
        <v>6756.52</v>
      </c>
      <c r="L2458">
        <v>13.22</v>
      </c>
      <c r="M2458" t="s">
        <v>4328</v>
      </c>
      <c r="N2458">
        <v>730066</v>
      </c>
      <c r="O2458">
        <v>8.8000000000000007</v>
      </c>
      <c r="P2458">
        <v>8.83</v>
      </c>
      <c r="R2458">
        <v>4.3899999999999997</v>
      </c>
      <c r="S2458">
        <v>0.88</v>
      </c>
      <c r="T2458" t="s">
        <v>3920</v>
      </c>
      <c r="U2458">
        <v>1.47</v>
      </c>
      <c r="V2458" t="s">
        <v>198</v>
      </c>
      <c r="W2458" t="s">
        <v>1110</v>
      </c>
      <c r="X2458" t="s">
        <v>1204</v>
      </c>
      <c r="Y2458" t="s">
        <v>4641</v>
      </c>
      <c r="Z2458" t="s">
        <v>23647</v>
      </c>
      <c r="AA2458">
        <v>1.5</v>
      </c>
      <c r="AB2458" t="s">
        <v>9075</v>
      </c>
      <c r="AC2458" t="s">
        <v>4699</v>
      </c>
      <c r="AD2458" t="s">
        <v>15002</v>
      </c>
      <c r="AE2458" t="s">
        <v>4673</v>
      </c>
      <c r="AF2458" t="s">
        <v>11116</v>
      </c>
      <c r="AG2458" t="s">
        <v>11239</v>
      </c>
      <c r="AH2458" t="s">
        <v>12397</v>
      </c>
      <c r="AI2458" t="s">
        <v>4133</v>
      </c>
      <c r="AJ2458" t="s">
        <v>149</v>
      </c>
      <c r="AK2458" t="s">
        <v>12457</v>
      </c>
      <c r="AL2458">
        <v>2.5099999999999998</v>
      </c>
      <c r="AM2458">
        <v>2.5099999999999998</v>
      </c>
      <c r="AN2458">
        <v>1.2</v>
      </c>
      <c r="AO2458" t="s">
        <v>1627</v>
      </c>
      <c r="AP2458" t="s">
        <v>8642</v>
      </c>
      <c r="AQ2458" t="s">
        <v>17374</v>
      </c>
      <c r="AR2458" t="s">
        <v>2087</v>
      </c>
      <c r="AS2458" t="s">
        <v>3550</v>
      </c>
      <c r="AT2458" t="s">
        <v>4540</v>
      </c>
      <c r="AU2458" t="s">
        <v>9018</v>
      </c>
      <c r="AV2458" t="s">
        <v>5939</v>
      </c>
      <c r="AW2458" t="s">
        <v>817</v>
      </c>
      <c r="AX2458" t="s">
        <v>2003</v>
      </c>
      <c r="AY2458" t="s">
        <v>14610</v>
      </c>
      <c r="AZ2458" t="s">
        <v>684</v>
      </c>
      <c r="BA2458">
        <v>1.46</v>
      </c>
      <c r="BB2458">
        <v>2863.78</v>
      </c>
      <c r="BC2458">
        <v>0.9</v>
      </c>
      <c r="BD2458">
        <v>13.37</v>
      </c>
      <c r="BE2458">
        <v>13.43</v>
      </c>
      <c r="BF2458">
        <v>13.22</v>
      </c>
      <c r="BG2458" t="s">
        <v>23648</v>
      </c>
      <c r="BH2458" t="s">
        <v>21209</v>
      </c>
      <c r="BI2458" t="s">
        <v>18273</v>
      </c>
      <c r="BJ2458" t="s">
        <v>101</v>
      </c>
      <c r="BK2458" t="s">
        <v>4929</v>
      </c>
      <c r="BL2458" t="s">
        <v>10383</v>
      </c>
      <c r="BM2458" t="s">
        <v>7543</v>
      </c>
      <c r="BN2458" t="s">
        <v>23454</v>
      </c>
    </row>
    <row r="2459" spans="1:66" x14ac:dyDescent="0.25">
      <c r="A2459" t="str">
        <f>HYPERLINK("https://elite.finviz.com/quote.ashx?t=WHR&amp;ty=c&amp;p=d&amp;b=1", "WHR")</f>
        <v>WHR</v>
      </c>
      <c r="B2459">
        <v>5</v>
      </c>
      <c r="C2459">
        <v>116.22</v>
      </c>
      <c r="D2459">
        <v>28.13</v>
      </c>
      <c r="E2459" t="s">
        <v>23649</v>
      </c>
      <c r="F2459" t="s">
        <v>107</v>
      </c>
      <c r="G2459" t="s">
        <v>813</v>
      </c>
      <c r="H2459" t="s">
        <v>3866</v>
      </c>
      <c r="I2459" t="s">
        <v>70</v>
      </c>
      <c r="J2459" t="s">
        <v>71</v>
      </c>
      <c r="K2459">
        <v>4353.26</v>
      </c>
      <c r="L2459">
        <v>77.88</v>
      </c>
      <c r="M2459" t="s">
        <v>2362</v>
      </c>
      <c r="N2459">
        <v>238579</v>
      </c>
      <c r="P2459">
        <v>9.44</v>
      </c>
      <c r="R2459">
        <v>0.28000000000000003</v>
      </c>
      <c r="S2459">
        <v>1.85</v>
      </c>
      <c r="T2459" t="s">
        <v>506</v>
      </c>
      <c r="U2459">
        <v>6.15</v>
      </c>
      <c r="V2459" t="s">
        <v>4882</v>
      </c>
      <c r="W2459" t="s">
        <v>164</v>
      </c>
      <c r="X2459" t="s">
        <v>9159</v>
      </c>
      <c r="Y2459" t="s">
        <v>9478</v>
      </c>
      <c r="AA2459">
        <v>-2.69</v>
      </c>
      <c r="AD2459" t="s">
        <v>13734</v>
      </c>
      <c r="AE2459" t="s">
        <v>3922</v>
      </c>
      <c r="AF2459" t="s">
        <v>12181</v>
      </c>
      <c r="AG2459" t="s">
        <v>1770</v>
      </c>
      <c r="AH2459" t="s">
        <v>9927</v>
      </c>
      <c r="AI2459" t="s">
        <v>23650</v>
      </c>
      <c r="AJ2459" t="s">
        <v>164</v>
      </c>
      <c r="AK2459" t="s">
        <v>23651</v>
      </c>
      <c r="AL2459">
        <v>0.85</v>
      </c>
      <c r="AM2459">
        <v>0.46</v>
      </c>
      <c r="AN2459">
        <v>3.59</v>
      </c>
      <c r="AO2459" t="s">
        <v>1305</v>
      </c>
      <c r="AP2459" t="s">
        <v>7971</v>
      </c>
      <c r="AQ2459" t="s">
        <v>5388</v>
      </c>
      <c r="AR2459" t="s">
        <v>715</v>
      </c>
      <c r="AS2459" t="s">
        <v>4892</v>
      </c>
      <c r="AT2459" t="s">
        <v>4784</v>
      </c>
      <c r="AU2459" t="s">
        <v>23652</v>
      </c>
      <c r="AV2459" t="s">
        <v>23653</v>
      </c>
      <c r="AW2459" t="s">
        <v>5915</v>
      </c>
      <c r="AX2459" t="s">
        <v>458</v>
      </c>
      <c r="AY2459" t="s">
        <v>21475</v>
      </c>
      <c r="AZ2459" t="s">
        <v>204</v>
      </c>
      <c r="BA2459">
        <v>3</v>
      </c>
      <c r="BB2459">
        <v>1572.94</v>
      </c>
      <c r="BC2459">
        <v>0.53</v>
      </c>
      <c r="BD2459">
        <v>77.47</v>
      </c>
      <c r="BE2459">
        <v>78.349999999999994</v>
      </c>
      <c r="BF2459">
        <v>77.3</v>
      </c>
      <c r="BG2459" t="s">
        <v>23654</v>
      </c>
      <c r="BH2459" t="s">
        <v>23655</v>
      </c>
      <c r="BI2459" t="s">
        <v>14314</v>
      </c>
      <c r="BJ2459" t="s">
        <v>101</v>
      </c>
      <c r="BK2459" t="s">
        <v>17649</v>
      </c>
      <c r="BL2459" t="s">
        <v>16448</v>
      </c>
      <c r="BM2459" t="s">
        <v>12393</v>
      </c>
      <c r="BN2459" t="s">
        <v>23454</v>
      </c>
    </row>
    <row r="2460" spans="1:66" x14ac:dyDescent="0.25">
      <c r="A2460" t="str">
        <f>HYPERLINK("https://elite.finviz.com/quote.ashx?t=IRDM&amp;ty=c&amp;p=d&amp;b=1", "IRDM")</f>
        <v>IRDM</v>
      </c>
      <c r="B2460">
        <v>5</v>
      </c>
      <c r="C2460">
        <v>116.22</v>
      </c>
      <c r="D2460">
        <v>28.14</v>
      </c>
      <c r="E2460" t="s">
        <v>23656</v>
      </c>
      <c r="F2460" t="s">
        <v>107</v>
      </c>
      <c r="G2460" t="s">
        <v>598</v>
      </c>
      <c r="H2460" t="s">
        <v>6147</v>
      </c>
      <c r="I2460" t="s">
        <v>70</v>
      </c>
      <c r="J2460" t="s">
        <v>321</v>
      </c>
      <c r="K2460">
        <v>1881.4</v>
      </c>
      <c r="L2460">
        <v>17.73</v>
      </c>
      <c r="M2460" t="s">
        <v>3257</v>
      </c>
      <c r="N2460">
        <v>595621</v>
      </c>
      <c r="O2460">
        <v>17.71</v>
      </c>
      <c r="P2460">
        <v>15.03</v>
      </c>
      <c r="Q2460">
        <v>1.06</v>
      </c>
      <c r="R2460">
        <v>2.19</v>
      </c>
      <c r="S2460">
        <v>3.98</v>
      </c>
      <c r="T2460" t="s">
        <v>2317</v>
      </c>
      <c r="U2460">
        <v>0.56999999999999995</v>
      </c>
      <c r="V2460" t="s">
        <v>3833</v>
      </c>
      <c r="W2460" t="s">
        <v>1576</v>
      </c>
      <c r="Z2460" t="s">
        <v>20579</v>
      </c>
      <c r="AA2460">
        <v>1</v>
      </c>
      <c r="AD2460" t="s">
        <v>1562</v>
      </c>
      <c r="AE2460" t="s">
        <v>2796</v>
      </c>
      <c r="AF2460" t="s">
        <v>326</v>
      </c>
      <c r="AG2460" t="s">
        <v>3672</v>
      </c>
      <c r="AH2460" t="s">
        <v>265</v>
      </c>
      <c r="AI2460" t="s">
        <v>8084</v>
      </c>
      <c r="AJ2460" t="s">
        <v>1249</v>
      </c>
      <c r="AK2460" t="s">
        <v>23657</v>
      </c>
      <c r="AL2460">
        <v>2.5099999999999998</v>
      </c>
      <c r="AM2460">
        <v>1.75</v>
      </c>
      <c r="AN2460">
        <v>3.82</v>
      </c>
      <c r="AO2460" t="s">
        <v>21696</v>
      </c>
      <c r="AP2460" t="s">
        <v>23658</v>
      </c>
      <c r="AQ2460" t="s">
        <v>3077</v>
      </c>
      <c r="AR2460" t="s">
        <v>1902</v>
      </c>
      <c r="AS2460" t="s">
        <v>372</v>
      </c>
      <c r="AT2460" t="s">
        <v>528</v>
      </c>
      <c r="AU2460" t="s">
        <v>23659</v>
      </c>
      <c r="AV2460" t="s">
        <v>23660</v>
      </c>
      <c r="AW2460" t="s">
        <v>10023</v>
      </c>
      <c r="AX2460" t="s">
        <v>2493</v>
      </c>
      <c r="AY2460" t="s">
        <v>23661</v>
      </c>
      <c r="AZ2460" t="s">
        <v>2493</v>
      </c>
      <c r="BA2460">
        <v>1.8</v>
      </c>
      <c r="BB2460">
        <v>2416.61</v>
      </c>
      <c r="BC2460">
        <v>0.87</v>
      </c>
      <c r="BD2460">
        <v>17.43</v>
      </c>
      <c r="BE2460">
        <v>17.8</v>
      </c>
      <c r="BF2460">
        <v>17.38</v>
      </c>
      <c r="BG2460" t="s">
        <v>23662</v>
      </c>
      <c r="BH2460" t="s">
        <v>23663</v>
      </c>
      <c r="BI2460" t="s">
        <v>23664</v>
      </c>
      <c r="BJ2460" t="s">
        <v>101</v>
      </c>
      <c r="BK2460" t="s">
        <v>17660</v>
      </c>
      <c r="BL2460" t="s">
        <v>23665</v>
      </c>
      <c r="BM2460" t="s">
        <v>4348</v>
      </c>
      <c r="BN2460" t="s">
        <v>23454</v>
      </c>
    </row>
    <row r="2461" spans="1:66" x14ac:dyDescent="0.25">
      <c r="A2461" t="str">
        <f>HYPERLINK("https://elite.finviz.com/quote.ashx?t=SPRY&amp;ty=c&amp;p=d&amp;b=1", "SPRY")</f>
        <v>SPRY</v>
      </c>
      <c r="B2461">
        <v>5</v>
      </c>
      <c r="C2461">
        <v>116.22</v>
      </c>
      <c r="D2461">
        <v>28.18</v>
      </c>
      <c r="E2461" t="s">
        <v>23666</v>
      </c>
      <c r="F2461" t="s">
        <v>67</v>
      </c>
      <c r="G2461" t="s">
        <v>428</v>
      </c>
      <c r="H2461" t="s">
        <v>429</v>
      </c>
      <c r="I2461" t="s">
        <v>70</v>
      </c>
      <c r="J2461" t="s">
        <v>321</v>
      </c>
      <c r="K2461">
        <v>933.91</v>
      </c>
      <c r="L2461">
        <v>9.4499999999999993</v>
      </c>
      <c r="M2461" t="s">
        <v>5721</v>
      </c>
      <c r="N2461">
        <v>436550</v>
      </c>
      <c r="R2461">
        <v>8.31</v>
      </c>
      <c r="S2461">
        <v>4.8499999999999996</v>
      </c>
      <c r="Z2461" t="s">
        <v>164</v>
      </c>
      <c r="AA2461">
        <v>-0.49</v>
      </c>
      <c r="AD2461" t="s">
        <v>22127</v>
      </c>
      <c r="AE2461" t="s">
        <v>23667</v>
      </c>
      <c r="AF2461" t="s">
        <v>23668</v>
      </c>
      <c r="AH2461" t="s">
        <v>23669</v>
      </c>
      <c r="AI2461" t="s">
        <v>337</v>
      </c>
      <c r="AJ2461" t="s">
        <v>7948</v>
      </c>
      <c r="AK2461" t="s">
        <v>22162</v>
      </c>
      <c r="AL2461">
        <v>6.17</v>
      </c>
      <c r="AM2461">
        <v>5.98</v>
      </c>
      <c r="AN2461">
        <v>0.01</v>
      </c>
      <c r="AO2461" t="s">
        <v>8391</v>
      </c>
      <c r="AP2461" t="s">
        <v>23670</v>
      </c>
      <c r="AQ2461" t="s">
        <v>10603</v>
      </c>
      <c r="AR2461" t="s">
        <v>912</v>
      </c>
      <c r="AS2461" t="s">
        <v>1026</v>
      </c>
      <c r="AT2461" t="s">
        <v>17624</v>
      </c>
      <c r="AU2461" t="s">
        <v>4102</v>
      </c>
      <c r="AV2461" t="s">
        <v>4333</v>
      </c>
      <c r="AW2461" t="s">
        <v>23671</v>
      </c>
      <c r="AX2461" t="s">
        <v>343</v>
      </c>
      <c r="AY2461" t="s">
        <v>7242</v>
      </c>
      <c r="AZ2461" t="s">
        <v>343</v>
      </c>
      <c r="BA2461">
        <v>1</v>
      </c>
      <c r="BB2461">
        <v>2176.9899999999998</v>
      </c>
      <c r="BC2461">
        <v>0.71</v>
      </c>
      <c r="BD2461">
        <v>9.5399999999999991</v>
      </c>
      <c r="BE2461">
        <v>9.6300000000000008</v>
      </c>
      <c r="BF2461">
        <v>9.42</v>
      </c>
      <c r="BG2461" t="s">
        <v>23672</v>
      </c>
      <c r="BH2461" t="s">
        <v>16651</v>
      </c>
      <c r="BI2461" t="s">
        <v>23673</v>
      </c>
      <c r="BJ2461" t="s">
        <v>101</v>
      </c>
      <c r="BK2461" t="s">
        <v>23674</v>
      </c>
      <c r="BL2461" t="s">
        <v>4502</v>
      </c>
      <c r="BM2461" t="s">
        <v>9743</v>
      </c>
      <c r="BN2461" t="s">
        <v>23454</v>
      </c>
    </row>
    <row r="2462" spans="1:66" x14ac:dyDescent="0.25">
      <c r="A2462" t="str">
        <f>HYPERLINK("https://elite.finviz.com/quote.ashx?t=DRI&amp;ty=c&amp;p=d&amp;b=1", "DRI")</f>
        <v>DRI</v>
      </c>
      <c r="B2462">
        <v>5</v>
      </c>
      <c r="C2462">
        <v>116.22</v>
      </c>
      <c r="D2462">
        <v>28.3</v>
      </c>
      <c r="E2462" t="s">
        <v>23675</v>
      </c>
      <c r="F2462" t="s">
        <v>195</v>
      </c>
      <c r="G2462" t="s">
        <v>813</v>
      </c>
      <c r="H2462" t="s">
        <v>2285</v>
      </c>
      <c r="I2462" t="s">
        <v>70</v>
      </c>
      <c r="J2462" t="s">
        <v>71</v>
      </c>
      <c r="K2462">
        <v>21975.91</v>
      </c>
      <c r="L2462">
        <v>188.48</v>
      </c>
      <c r="M2462" t="s">
        <v>3169</v>
      </c>
      <c r="N2462">
        <v>215268</v>
      </c>
      <c r="O2462">
        <v>20.21</v>
      </c>
      <c r="P2462">
        <v>16.54</v>
      </c>
      <c r="Q2462">
        <v>2.15</v>
      </c>
      <c r="R2462">
        <v>1.78</v>
      </c>
      <c r="S2462">
        <v>9.5399999999999991</v>
      </c>
      <c r="T2462" t="s">
        <v>4294</v>
      </c>
      <c r="U2462">
        <v>5.7</v>
      </c>
      <c r="V2462" t="s">
        <v>5056</v>
      </c>
      <c r="W2462" t="s">
        <v>3566</v>
      </c>
      <c r="X2462" t="s">
        <v>5700</v>
      </c>
      <c r="Y2462" t="s">
        <v>3840</v>
      </c>
      <c r="Z2462" t="s">
        <v>23676</v>
      </c>
      <c r="AA2462">
        <v>9.33</v>
      </c>
      <c r="AB2462" t="s">
        <v>6593</v>
      </c>
      <c r="AD2462" t="s">
        <v>2210</v>
      </c>
      <c r="AE2462" t="s">
        <v>6421</v>
      </c>
      <c r="AF2462" t="s">
        <v>10610</v>
      </c>
      <c r="AG2462" t="s">
        <v>416</v>
      </c>
      <c r="AH2462" t="s">
        <v>9841</v>
      </c>
      <c r="AI2462" t="s">
        <v>3967</v>
      </c>
      <c r="AJ2462" t="s">
        <v>12623</v>
      </c>
      <c r="AK2462" t="s">
        <v>23677</v>
      </c>
      <c r="AL2462">
        <v>0.4</v>
      </c>
      <c r="AM2462">
        <v>0.27</v>
      </c>
      <c r="AN2462">
        <v>2.77</v>
      </c>
      <c r="AO2462" t="s">
        <v>15372</v>
      </c>
      <c r="AP2462" t="s">
        <v>1089</v>
      </c>
      <c r="AQ2462" t="s">
        <v>4718</v>
      </c>
      <c r="AR2462" t="s">
        <v>342</v>
      </c>
      <c r="AS2462" t="s">
        <v>7338</v>
      </c>
      <c r="AT2462" t="s">
        <v>13822</v>
      </c>
      <c r="AU2462" t="s">
        <v>18212</v>
      </c>
      <c r="AV2462" t="s">
        <v>5623</v>
      </c>
      <c r="AW2462" t="s">
        <v>5596</v>
      </c>
      <c r="AX2462" t="s">
        <v>7088</v>
      </c>
      <c r="AY2462" t="s">
        <v>9566</v>
      </c>
      <c r="AZ2462" t="s">
        <v>11870</v>
      </c>
      <c r="BA2462">
        <v>2</v>
      </c>
      <c r="BB2462">
        <v>1245.5899999999999</v>
      </c>
      <c r="BC2462">
        <v>0.61</v>
      </c>
      <c r="BD2462">
        <v>187.02</v>
      </c>
      <c r="BE2462">
        <v>188.97</v>
      </c>
      <c r="BF2462">
        <v>187.01</v>
      </c>
      <c r="BG2462" t="s">
        <v>23678</v>
      </c>
      <c r="BH2462" t="s">
        <v>9566</v>
      </c>
      <c r="BI2462" t="s">
        <v>23679</v>
      </c>
      <c r="BJ2462" t="s">
        <v>101</v>
      </c>
      <c r="BK2462" t="s">
        <v>13240</v>
      </c>
      <c r="BL2462" t="s">
        <v>11932</v>
      </c>
      <c r="BM2462" t="s">
        <v>10793</v>
      </c>
      <c r="BN2462" t="s">
        <v>23454</v>
      </c>
    </row>
    <row r="2463" spans="1:66" x14ac:dyDescent="0.25">
      <c r="A2463" t="str">
        <f>HYPERLINK("https://elite.finviz.com/quote.ashx?t=BMY&amp;ty=c&amp;p=d&amp;b=1", "BMY")</f>
        <v>BMY</v>
      </c>
      <c r="B2463">
        <v>5</v>
      </c>
      <c r="C2463">
        <v>116.22</v>
      </c>
      <c r="D2463">
        <v>28.33</v>
      </c>
      <c r="E2463" t="s">
        <v>23680</v>
      </c>
      <c r="F2463" t="s">
        <v>195</v>
      </c>
      <c r="G2463" t="s">
        <v>428</v>
      </c>
      <c r="H2463" t="s">
        <v>4701</v>
      </c>
      <c r="I2463" t="s">
        <v>70</v>
      </c>
      <c r="J2463" t="s">
        <v>71</v>
      </c>
      <c r="K2463">
        <v>88571.99</v>
      </c>
      <c r="L2463">
        <v>43.51</v>
      </c>
      <c r="M2463" t="s">
        <v>6182</v>
      </c>
      <c r="N2463">
        <v>2924581</v>
      </c>
      <c r="O2463">
        <v>17.559999999999999</v>
      </c>
      <c r="P2463">
        <v>7.21</v>
      </c>
      <c r="Q2463">
        <v>0.24</v>
      </c>
      <c r="R2463">
        <v>1.86</v>
      </c>
      <c r="S2463">
        <v>5.08</v>
      </c>
      <c r="T2463" t="s">
        <v>2205</v>
      </c>
      <c r="U2463">
        <v>2.46</v>
      </c>
      <c r="V2463" t="s">
        <v>4105</v>
      </c>
      <c r="W2463" t="s">
        <v>995</v>
      </c>
      <c r="X2463" t="s">
        <v>4476</v>
      </c>
      <c r="Y2463" t="s">
        <v>2521</v>
      </c>
      <c r="AA2463">
        <v>2.48</v>
      </c>
      <c r="AD2463" t="s">
        <v>21843</v>
      </c>
      <c r="AE2463" t="s">
        <v>248</v>
      </c>
      <c r="AF2463" t="s">
        <v>4280</v>
      </c>
      <c r="AG2463" t="s">
        <v>3449</v>
      </c>
      <c r="AH2463" t="s">
        <v>6842</v>
      </c>
      <c r="AI2463" t="s">
        <v>2379</v>
      </c>
      <c r="AJ2463" t="s">
        <v>3853</v>
      </c>
      <c r="AK2463" t="s">
        <v>11522</v>
      </c>
      <c r="AL2463">
        <v>1.21</v>
      </c>
      <c r="AM2463">
        <v>1.1100000000000001</v>
      </c>
      <c r="AN2463">
        <v>2.92</v>
      </c>
      <c r="AO2463" t="s">
        <v>23681</v>
      </c>
      <c r="AP2463" t="s">
        <v>7282</v>
      </c>
      <c r="AQ2463" t="s">
        <v>2786</v>
      </c>
      <c r="AR2463" t="s">
        <v>6692</v>
      </c>
      <c r="AS2463" t="s">
        <v>1129</v>
      </c>
      <c r="AT2463" t="s">
        <v>8346</v>
      </c>
      <c r="AU2463" t="s">
        <v>19459</v>
      </c>
      <c r="AV2463" t="s">
        <v>4238</v>
      </c>
      <c r="AW2463" t="s">
        <v>8487</v>
      </c>
      <c r="AX2463" t="s">
        <v>6478</v>
      </c>
      <c r="AY2463" t="s">
        <v>1189</v>
      </c>
      <c r="AZ2463" t="s">
        <v>6478</v>
      </c>
      <c r="BA2463">
        <v>2.66</v>
      </c>
      <c r="BB2463">
        <v>12505.68</v>
      </c>
      <c r="BC2463">
        <v>0.82</v>
      </c>
      <c r="BD2463">
        <v>43.41</v>
      </c>
      <c r="BE2463">
        <v>44.02</v>
      </c>
      <c r="BF2463">
        <v>43.3</v>
      </c>
      <c r="BG2463" t="s">
        <v>23682</v>
      </c>
      <c r="BH2463" t="s">
        <v>4447</v>
      </c>
      <c r="BI2463" t="s">
        <v>23683</v>
      </c>
      <c r="BJ2463" t="s">
        <v>101</v>
      </c>
      <c r="BK2463" t="s">
        <v>2538</v>
      </c>
      <c r="BL2463" t="s">
        <v>19678</v>
      </c>
      <c r="BM2463" t="s">
        <v>3917</v>
      </c>
      <c r="BN2463" t="s">
        <v>23454</v>
      </c>
    </row>
    <row r="2464" spans="1:66" x14ac:dyDescent="0.25">
      <c r="A2464" t="str">
        <f>HYPERLINK("https://elite.finviz.com/quote.ashx?t=FMC&amp;ty=c&amp;p=d&amp;b=1", "FMC")</f>
        <v>FMC</v>
      </c>
      <c r="B2464">
        <v>5</v>
      </c>
      <c r="C2464">
        <v>116.22</v>
      </c>
      <c r="D2464">
        <v>28.51</v>
      </c>
      <c r="E2464" t="s">
        <v>23684</v>
      </c>
      <c r="F2464" t="s">
        <v>107</v>
      </c>
      <c r="G2464" t="s">
        <v>355</v>
      </c>
      <c r="H2464" t="s">
        <v>9610</v>
      </c>
      <c r="I2464" t="s">
        <v>70</v>
      </c>
      <c r="J2464" t="s">
        <v>71</v>
      </c>
      <c r="K2464">
        <v>4177.04</v>
      </c>
      <c r="L2464">
        <v>33.44</v>
      </c>
      <c r="M2464" t="s">
        <v>6117</v>
      </c>
      <c r="N2464">
        <v>371045</v>
      </c>
      <c r="O2464">
        <v>42.45</v>
      </c>
      <c r="P2464">
        <v>8.43</v>
      </c>
      <c r="Q2464">
        <v>4.54</v>
      </c>
      <c r="R2464">
        <v>1.01</v>
      </c>
      <c r="S2464">
        <v>0.95</v>
      </c>
      <c r="T2464" t="s">
        <v>2585</v>
      </c>
      <c r="U2464">
        <v>2.3199999999999998</v>
      </c>
      <c r="V2464" t="s">
        <v>198</v>
      </c>
      <c r="W2464" t="s">
        <v>164</v>
      </c>
      <c r="X2464" t="s">
        <v>334</v>
      </c>
      <c r="Y2464" t="s">
        <v>3121</v>
      </c>
      <c r="Z2464" t="s">
        <v>4909</v>
      </c>
      <c r="AA2464">
        <v>0.79</v>
      </c>
      <c r="AB2464" t="s">
        <v>15822</v>
      </c>
      <c r="AC2464" t="s">
        <v>8346</v>
      </c>
      <c r="AD2464" t="s">
        <v>3189</v>
      </c>
      <c r="AE2464" t="s">
        <v>5166</v>
      </c>
      <c r="AF2464" t="s">
        <v>701</v>
      </c>
      <c r="AG2464" t="s">
        <v>9511</v>
      </c>
      <c r="AH2464" t="s">
        <v>6732</v>
      </c>
      <c r="AI2464" t="s">
        <v>2371</v>
      </c>
      <c r="AJ2464" t="s">
        <v>1998</v>
      </c>
      <c r="AK2464" t="s">
        <v>1251</v>
      </c>
      <c r="AL2464">
        <v>1.53</v>
      </c>
      <c r="AM2464">
        <v>1.1399999999999999</v>
      </c>
      <c r="AN2464">
        <v>0.97</v>
      </c>
      <c r="AO2464" t="s">
        <v>7025</v>
      </c>
      <c r="AP2464" t="s">
        <v>5119</v>
      </c>
      <c r="AQ2464" t="s">
        <v>4710</v>
      </c>
      <c r="AR2464" t="s">
        <v>8013</v>
      </c>
      <c r="AS2464" t="s">
        <v>2473</v>
      </c>
      <c r="AT2464" t="s">
        <v>12282</v>
      </c>
      <c r="AU2464" t="s">
        <v>7526</v>
      </c>
      <c r="AV2464" t="s">
        <v>7430</v>
      </c>
      <c r="AW2464" t="s">
        <v>23685</v>
      </c>
      <c r="AX2464" t="s">
        <v>1025</v>
      </c>
      <c r="AY2464" t="s">
        <v>11834</v>
      </c>
      <c r="AZ2464" t="s">
        <v>2219</v>
      </c>
      <c r="BA2464">
        <v>2.2999999999999998</v>
      </c>
      <c r="BB2464">
        <v>1765.77</v>
      </c>
      <c r="BC2464">
        <v>0.74</v>
      </c>
      <c r="BD2464">
        <v>33.15</v>
      </c>
      <c r="BE2464">
        <v>33.770000000000003</v>
      </c>
      <c r="BF2464">
        <v>33.29</v>
      </c>
      <c r="BG2464" t="s">
        <v>23686</v>
      </c>
      <c r="BH2464" t="s">
        <v>23687</v>
      </c>
      <c r="BI2464" t="s">
        <v>23688</v>
      </c>
      <c r="BJ2464" t="s">
        <v>101</v>
      </c>
      <c r="BK2464" t="s">
        <v>18917</v>
      </c>
      <c r="BL2464" t="s">
        <v>866</v>
      </c>
      <c r="BM2464" t="s">
        <v>11883</v>
      </c>
      <c r="BN2464" t="s">
        <v>23454</v>
      </c>
    </row>
    <row r="2465" spans="1:66" x14ac:dyDescent="0.25">
      <c r="A2465" t="str">
        <f>HYPERLINK("https://elite.finviz.com/quote.ashx?t=KD&amp;ty=c&amp;p=d&amp;b=1", "KD")</f>
        <v>KD</v>
      </c>
      <c r="B2465">
        <v>5</v>
      </c>
      <c r="C2465">
        <v>116.22</v>
      </c>
      <c r="D2465">
        <v>28.59</v>
      </c>
      <c r="E2465" t="s">
        <v>23689</v>
      </c>
      <c r="F2465" t="s">
        <v>107</v>
      </c>
      <c r="G2465" t="s">
        <v>108</v>
      </c>
      <c r="H2465" t="s">
        <v>1322</v>
      </c>
      <c r="I2465" t="s">
        <v>70</v>
      </c>
      <c r="J2465" t="s">
        <v>71</v>
      </c>
      <c r="K2465">
        <v>6750.24</v>
      </c>
      <c r="L2465">
        <v>29.2</v>
      </c>
      <c r="M2465" t="s">
        <v>4430</v>
      </c>
      <c r="N2465">
        <v>1027296</v>
      </c>
      <c r="O2465">
        <v>23.88</v>
      </c>
      <c r="P2465">
        <v>8.49</v>
      </c>
      <c r="Q2465">
        <v>0.46</v>
      </c>
      <c r="R2465">
        <v>0.45</v>
      </c>
      <c r="S2465">
        <v>5.47</v>
      </c>
      <c r="Z2465" t="s">
        <v>164</v>
      </c>
      <c r="AA2465">
        <v>1.22</v>
      </c>
      <c r="AD2465" t="s">
        <v>5042</v>
      </c>
      <c r="AE2465" t="s">
        <v>9087</v>
      </c>
      <c r="AF2465" t="s">
        <v>1092</v>
      </c>
      <c r="AG2465" t="s">
        <v>1258</v>
      </c>
      <c r="AH2465" t="s">
        <v>211</v>
      </c>
      <c r="AI2465" t="s">
        <v>2201</v>
      </c>
      <c r="AJ2465" t="s">
        <v>3896</v>
      </c>
      <c r="AK2465" t="s">
        <v>23690</v>
      </c>
      <c r="AL2465">
        <v>0.78</v>
      </c>
      <c r="AM2465">
        <v>0.78</v>
      </c>
      <c r="AN2465">
        <v>3.27</v>
      </c>
      <c r="AO2465" t="s">
        <v>711</v>
      </c>
      <c r="AP2465" t="s">
        <v>4142</v>
      </c>
      <c r="AQ2465" t="s">
        <v>4256</v>
      </c>
      <c r="AR2465" t="s">
        <v>715</v>
      </c>
      <c r="AS2465" t="s">
        <v>90</v>
      </c>
      <c r="AT2465" t="s">
        <v>10612</v>
      </c>
      <c r="AU2465" t="s">
        <v>12908</v>
      </c>
      <c r="AV2465" t="s">
        <v>9364</v>
      </c>
      <c r="AW2465" t="s">
        <v>22943</v>
      </c>
      <c r="AX2465" t="s">
        <v>2219</v>
      </c>
      <c r="AY2465" t="s">
        <v>16630</v>
      </c>
      <c r="AZ2465" t="s">
        <v>11033</v>
      </c>
      <c r="BA2465">
        <v>1.4</v>
      </c>
      <c r="BB2465">
        <v>2562.6799999999998</v>
      </c>
      <c r="BC2465">
        <v>1.41</v>
      </c>
      <c r="BD2465">
        <v>30.62</v>
      </c>
      <c r="BE2465">
        <v>30.21</v>
      </c>
      <c r="BF2465">
        <v>28.97</v>
      </c>
      <c r="BG2465" t="s">
        <v>23691</v>
      </c>
      <c r="BH2465" t="s">
        <v>18089</v>
      </c>
      <c r="BI2465" t="s">
        <v>23692</v>
      </c>
      <c r="BJ2465" t="s">
        <v>101</v>
      </c>
      <c r="BK2465" t="s">
        <v>4231</v>
      </c>
      <c r="BL2465" t="s">
        <v>12163</v>
      </c>
      <c r="BM2465" t="s">
        <v>15917</v>
      </c>
      <c r="BN2465" t="s">
        <v>23454</v>
      </c>
    </row>
    <row r="2466" spans="1:66" x14ac:dyDescent="0.25">
      <c r="A2466" t="str">
        <f>HYPERLINK("https://elite.finviz.com/quote.ashx?t=TREX&amp;ty=c&amp;p=d&amp;b=1", "TREX")</f>
        <v>TREX</v>
      </c>
      <c r="B2466">
        <v>5</v>
      </c>
      <c r="C2466">
        <v>116.22</v>
      </c>
      <c r="D2466">
        <v>28.65</v>
      </c>
      <c r="E2466" t="s">
        <v>23693</v>
      </c>
      <c r="F2466" t="s">
        <v>107</v>
      </c>
      <c r="G2466" t="s">
        <v>260</v>
      </c>
      <c r="H2466" t="s">
        <v>3225</v>
      </c>
      <c r="I2466" t="s">
        <v>70</v>
      </c>
      <c r="J2466" t="s">
        <v>71</v>
      </c>
      <c r="K2466">
        <v>5423.38</v>
      </c>
      <c r="L2466">
        <v>50.58</v>
      </c>
      <c r="M2466" t="s">
        <v>2880</v>
      </c>
      <c r="N2466">
        <v>224724</v>
      </c>
      <c r="O2466">
        <v>29.13</v>
      </c>
      <c r="P2466">
        <v>20.100000000000001</v>
      </c>
      <c r="Q2466">
        <v>2.86</v>
      </c>
      <c r="R2466">
        <v>4.8</v>
      </c>
      <c r="S2466">
        <v>5.48</v>
      </c>
      <c r="Z2466" t="s">
        <v>164</v>
      </c>
      <c r="AA2466">
        <v>1.74</v>
      </c>
      <c r="AB2466" t="s">
        <v>6525</v>
      </c>
      <c r="AC2466" t="s">
        <v>6408</v>
      </c>
      <c r="AD2466" t="s">
        <v>3468</v>
      </c>
      <c r="AE2466" t="s">
        <v>6798</v>
      </c>
      <c r="AF2466" t="s">
        <v>6449</v>
      </c>
      <c r="AG2466" t="s">
        <v>290</v>
      </c>
      <c r="AH2466" t="s">
        <v>295</v>
      </c>
      <c r="AI2466" t="s">
        <v>465</v>
      </c>
      <c r="AJ2466" t="s">
        <v>1574</v>
      </c>
      <c r="AK2466" t="s">
        <v>23694</v>
      </c>
      <c r="AL2466">
        <v>1.08</v>
      </c>
      <c r="AM2466">
        <v>0.74</v>
      </c>
      <c r="AN2466">
        <v>0.3</v>
      </c>
      <c r="AO2466" t="s">
        <v>7697</v>
      </c>
      <c r="AP2466" t="s">
        <v>2134</v>
      </c>
      <c r="AQ2466" t="s">
        <v>6860</v>
      </c>
      <c r="AR2466" t="s">
        <v>5929</v>
      </c>
      <c r="AS2466" t="s">
        <v>4569</v>
      </c>
      <c r="AT2466" t="s">
        <v>23695</v>
      </c>
      <c r="AU2466" t="s">
        <v>23696</v>
      </c>
      <c r="AV2466" t="s">
        <v>6606</v>
      </c>
      <c r="AW2466" t="s">
        <v>8145</v>
      </c>
      <c r="AX2466" t="s">
        <v>4276</v>
      </c>
      <c r="AY2466" t="s">
        <v>522</v>
      </c>
      <c r="AZ2466" t="s">
        <v>1391</v>
      </c>
      <c r="BA2466">
        <v>2.29</v>
      </c>
      <c r="BB2466">
        <v>1787.84</v>
      </c>
      <c r="BC2466">
        <v>0.44</v>
      </c>
      <c r="BD2466">
        <v>50.48</v>
      </c>
      <c r="BE2466">
        <v>50.72</v>
      </c>
      <c r="BF2466">
        <v>50.26</v>
      </c>
      <c r="BG2466" t="s">
        <v>23697</v>
      </c>
      <c r="BH2466" t="s">
        <v>23698</v>
      </c>
      <c r="BI2466" t="s">
        <v>23699</v>
      </c>
      <c r="BJ2466" t="s">
        <v>101</v>
      </c>
      <c r="BK2466" t="s">
        <v>12610</v>
      </c>
      <c r="BL2466" t="s">
        <v>487</v>
      </c>
      <c r="BM2466" t="s">
        <v>21292</v>
      </c>
      <c r="BN2466" t="s">
        <v>23454</v>
      </c>
    </row>
    <row r="2467" spans="1:66" x14ac:dyDescent="0.25">
      <c r="A2467" t="str">
        <f>HYPERLINK("https://elite.finviz.com/quote.ashx?t=BROS&amp;ty=c&amp;p=d&amp;b=1", "BROS")</f>
        <v>BROS</v>
      </c>
      <c r="B2467">
        <v>5</v>
      </c>
      <c r="C2467">
        <v>116.22</v>
      </c>
      <c r="D2467">
        <v>28.65</v>
      </c>
      <c r="E2467" t="s">
        <v>23700</v>
      </c>
      <c r="F2467" t="s">
        <v>107</v>
      </c>
      <c r="G2467" t="s">
        <v>813</v>
      </c>
      <c r="H2467" t="s">
        <v>2285</v>
      </c>
      <c r="I2467" t="s">
        <v>70</v>
      </c>
      <c r="J2467" t="s">
        <v>71</v>
      </c>
      <c r="K2467">
        <v>8693.36</v>
      </c>
      <c r="L2467">
        <v>52.84</v>
      </c>
      <c r="M2467" t="s">
        <v>11369</v>
      </c>
      <c r="N2467">
        <v>987792</v>
      </c>
      <c r="O2467">
        <v>112.21</v>
      </c>
      <c r="P2467">
        <v>59.54</v>
      </c>
      <c r="Q2467">
        <v>3.48</v>
      </c>
      <c r="R2467">
        <v>5.99</v>
      </c>
      <c r="S2467">
        <v>10.54</v>
      </c>
      <c r="Z2467" t="s">
        <v>164</v>
      </c>
      <c r="AA2467">
        <v>0.47</v>
      </c>
      <c r="AC2467" t="s">
        <v>13982</v>
      </c>
      <c r="AD2467" t="s">
        <v>2039</v>
      </c>
      <c r="AE2467" t="s">
        <v>6996</v>
      </c>
      <c r="AF2467" t="s">
        <v>3932</v>
      </c>
      <c r="AG2467" t="s">
        <v>16893</v>
      </c>
      <c r="AH2467" t="s">
        <v>10345</v>
      </c>
      <c r="AI2467" t="s">
        <v>17539</v>
      </c>
      <c r="AJ2467" t="s">
        <v>14294</v>
      </c>
      <c r="AK2467" t="s">
        <v>23701</v>
      </c>
      <c r="AL2467">
        <v>1.64</v>
      </c>
      <c r="AM2467">
        <v>1.42</v>
      </c>
      <c r="AN2467">
        <v>1.54</v>
      </c>
      <c r="AO2467" t="s">
        <v>4934</v>
      </c>
      <c r="AP2467" t="s">
        <v>2237</v>
      </c>
      <c r="AQ2467" t="s">
        <v>4125</v>
      </c>
      <c r="AR2467" t="s">
        <v>2419</v>
      </c>
      <c r="AS2467" t="s">
        <v>3521</v>
      </c>
      <c r="AT2467" t="s">
        <v>9638</v>
      </c>
      <c r="AU2467" t="s">
        <v>5002</v>
      </c>
      <c r="AV2467" t="s">
        <v>1622</v>
      </c>
      <c r="AW2467" t="s">
        <v>2547</v>
      </c>
      <c r="AX2467" t="s">
        <v>2275</v>
      </c>
      <c r="AY2467" t="s">
        <v>23702</v>
      </c>
      <c r="AZ2467" t="s">
        <v>23703</v>
      </c>
      <c r="BA2467">
        <v>1.32</v>
      </c>
      <c r="BB2467">
        <v>3429.52</v>
      </c>
      <c r="BC2467">
        <v>1.01</v>
      </c>
      <c r="BD2467">
        <v>53.36</v>
      </c>
      <c r="BE2467">
        <v>53.67</v>
      </c>
      <c r="BF2467">
        <v>52.18</v>
      </c>
      <c r="BG2467" t="s">
        <v>23704</v>
      </c>
      <c r="BH2467" t="s">
        <v>23702</v>
      </c>
      <c r="BI2467" t="s">
        <v>23705</v>
      </c>
      <c r="BJ2467" t="s">
        <v>101</v>
      </c>
      <c r="BK2467" t="s">
        <v>12623</v>
      </c>
      <c r="BL2467" t="s">
        <v>1527</v>
      </c>
      <c r="BM2467" t="s">
        <v>8544</v>
      </c>
      <c r="BN2467" t="s">
        <v>23454</v>
      </c>
    </row>
    <row r="2468" spans="1:66" x14ac:dyDescent="0.25">
      <c r="A2468" t="str">
        <f>HYPERLINK("https://elite.finviz.com/quote.ashx?t=CARR&amp;ty=c&amp;p=d&amp;b=1", "CARR")</f>
        <v>CARR</v>
      </c>
      <c r="B2468">
        <v>5</v>
      </c>
      <c r="C2468">
        <v>116.22</v>
      </c>
      <c r="D2468">
        <v>28.71</v>
      </c>
      <c r="E2468" t="s">
        <v>23706</v>
      </c>
      <c r="F2468" t="s">
        <v>195</v>
      </c>
      <c r="G2468" t="s">
        <v>260</v>
      </c>
      <c r="H2468" t="s">
        <v>3225</v>
      </c>
      <c r="I2468" t="s">
        <v>70</v>
      </c>
      <c r="J2468" t="s">
        <v>71</v>
      </c>
      <c r="K2468">
        <v>50010.35</v>
      </c>
      <c r="L2468">
        <v>58.76</v>
      </c>
      <c r="M2468" t="s">
        <v>5549</v>
      </c>
      <c r="N2468">
        <v>1461015</v>
      </c>
      <c r="O2468">
        <v>23.45</v>
      </c>
      <c r="P2468">
        <v>17.96</v>
      </c>
      <c r="Q2468">
        <v>1.89</v>
      </c>
      <c r="R2468">
        <v>2.23</v>
      </c>
      <c r="S2468">
        <v>3.4</v>
      </c>
      <c r="T2468" t="s">
        <v>2449</v>
      </c>
      <c r="U2468">
        <v>0.86</v>
      </c>
      <c r="V2468" t="s">
        <v>6164</v>
      </c>
      <c r="W2468" t="s">
        <v>1515</v>
      </c>
      <c r="X2468" t="s">
        <v>6501</v>
      </c>
      <c r="Z2468" t="s">
        <v>23707</v>
      </c>
      <c r="AA2468">
        <v>2.5099999999999998</v>
      </c>
      <c r="AB2468" t="s">
        <v>17876</v>
      </c>
      <c r="AC2468" t="s">
        <v>23708</v>
      </c>
      <c r="AD2468" t="s">
        <v>2946</v>
      </c>
      <c r="AE2468" t="s">
        <v>10228</v>
      </c>
      <c r="AF2468" t="s">
        <v>4873</v>
      </c>
      <c r="AG2468" t="s">
        <v>7117</v>
      </c>
      <c r="AH2468" t="s">
        <v>4325</v>
      </c>
      <c r="AI2468" t="s">
        <v>2145</v>
      </c>
      <c r="AJ2468" t="s">
        <v>3051</v>
      </c>
      <c r="AK2468" t="s">
        <v>13485</v>
      </c>
      <c r="AL2468">
        <v>1.17</v>
      </c>
      <c r="AM2468">
        <v>0.8</v>
      </c>
      <c r="AN2468">
        <v>0.81</v>
      </c>
      <c r="AO2468" t="s">
        <v>10623</v>
      </c>
      <c r="AP2468" t="s">
        <v>2709</v>
      </c>
      <c r="AQ2468" t="s">
        <v>6122</v>
      </c>
      <c r="AR2468" t="s">
        <v>2195</v>
      </c>
      <c r="AS2468" t="s">
        <v>1933</v>
      </c>
      <c r="AT2468" t="s">
        <v>4553</v>
      </c>
      <c r="AU2468" t="s">
        <v>22707</v>
      </c>
      <c r="AV2468" t="s">
        <v>8838</v>
      </c>
      <c r="AW2468" t="s">
        <v>16708</v>
      </c>
      <c r="AX2468" t="s">
        <v>6245</v>
      </c>
      <c r="AY2468" t="s">
        <v>23709</v>
      </c>
      <c r="AZ2468" t="s">
        <v>8050</v>
      </c>
      <c r="BA2468">
        <v>1.96</v>
      </c>
      <c r="BB2468">
        <v>5218.2299999999996</v>
      </c>
      <c r="BC2468">
        <v>0.99</v>
      </c>
      <c r="BD2468">
        <v>58.75</v>
      </c>
      <c r="BE2468">
        <v>59.28</v>
      </c>
      <c r="BF2468">
        <v>58.65</v>
      </c>
      <c r="BG2468" t="s">
        <v>23710</v>
      </c>
      <c r="BH2468" t="s">
        <v>23709</v>
      </c>
      <c r="BI2468" t="s">
        <v>23711</v>
      </c>
      <c r="BJ2468" t="s">
        <v>101</v>
      </c>
      <c r="BK2468" t="s">
        <v>4209</v>
      </c>
      <c r="BL2468" t="s">
        <v>17719</v>
      </c>
      <c r="BM2468" t="s">
        <v>12884</v>
      </c>
      <c r="BN2468" t="s">
        <v>23454</v>
      </c>
    </row>
    <row r="2469" spans="1:66" x14ac:dyDescent="0.25">
      <c r="A2469" t="str">
        <f>HYPERLINK("https://elite.finviz.com/quote.ashx?t=TTEK&amp;ty=c&amp;p=d&amp;b=1", "TTEK")</f>
        <v>TTEK</v>
      </c>
      <c r="B2469">
        <v>5</v>
      </c>
      <c r="C2469">
        <v>116.22</v>
      </c>
      <c r="D2469">
        <v>28.73</v>
      </c>
      <c r="E2469" t="s">
        <v>23712</v>
      </c>
      <c r="F2469" t="s">
        <v>107</v>
      </c>
      <c r="G2469" t="s">
        <v>260</v>
      </c>
      <c r="H2469" t="s">
        <v>2944</v>
      </c>
      <c r="I2469" t="s">
        <v>70</v>
      </c>
      <c r="J2469" t="s">
        <v>321</v>
      </c>
      <c r="K2469">
        <v>8710.94</v>
      </c>
      <c r="L2469">
        <v>33.15</v>
      </c>
      <c r="M2469" t="s">
        <v>183</v>
      </c>
      <c r="N2469">
        <v>330878</v>
      </c>
      <c r="O2469">
        <v>41.09</v>
      </c>
      <c r="P2469">
        <v>22.15</v>
      </c>
      <c r="Q2469">
        <v>3.8</v>
      </c>
      <c r="R2469">
        <v>1.59</v>
      </c>
      <c r="S2469">
        <v>5</v>
      </c>
      <c r="T2469" t="s">
        <v>1764</v>
      </c>
      <c r="U2469">
        <v>0.25</v>
      </c>
      <c r="V2469" t="s">
        <v>3046</v>
      </c>
      <c r="W2469" t="s">
        <v>3962</v>
      </c>
      <c r="X2469" t="s">
        <v>7727</v>
      </c>
      <c r="Y2469" t="s">
        <v>1561</v>
      </c>
      <c r="Z2469" t="s">
        <v>1325</v>
      </c>
      <c r="AA2469">
        <v>0.81</v>
      </c>
      <c r="AB2469" t="s">
        <v>604</v>
      </c>
      <c r="AC2469" t="s">
        <v>4601</v>
      </c>
      <c r="AD2469" t="s">
        <v>7512</v>
      </c>
      <c r="AE2469" t="s">
        <v>3687</v>
      </c>
      <c r="AF2469" t="s">
        <v>6462</v>
      </c>
      <c r="AG2469" t="s">
        <v>6928</v>
      </c>
      <c r="AH2469" t="s">
        <v>4493</v>
      </c>
      <c r="AI2469" t="s">
        <v>2403</v>
      </c>
      <c r="AJ2469" t="s">
        <v>2906</v>
      </c>
      <c r="AK2469" t="s">
        <v>23713</v>
      </c>
      <c r="AL2469">
        <v>1.18</v>
      </c>
      <c r="AM2469">
        <v>1.18</v>
      </c>
      <c r="AN2469">
        <v>0.62</v>
      </c>
      <c r="AO2469" t="s">
        <v>13470</v>
      </c>
      <c r="AP2469" t="s">
        <v>7419</v>
      </c>
      <c r="AQ2469" t="s">
        <v>4125</v>
      </c>
      <c r="AR2469" t="s">
        <v>1769</v>
      </c>
      <c r="AS2469" t="s">
        <v>4255</v>
      </c>
      <c r="AT2469" t="s">
        <v>10586</v>
      </c>
      <c r="AU2469" t="s">
        <v>4692</v>
      </c>
      <c r="AV2469" t="s">
        <v>6494</v>
      </c>
      <c r="AW2469" t="s">
        <v>15561</v>
      </c>
      <c r="AX2469" t="s">
        <v>306</v>
      </c>
      <c r="AY2469" t="s">
        <v>7744</v>
      </c>
      <c r="AZ2469" t="s">
        <v>23714</v>
      </c>
      <c r="BA2469">
        <v>2</v>
      </c>
      <c r="BB2469">
        <v>1976.52</v>
      </c>
      <c r="BC2469">
        <v>0.59</v>
      </c>
      <c r="BD2469">
        <v>33.1</v>
      </c>
      <c r="BE2469">
        <v>33.450000000000003</v>
      </c>
      <c r="BF2469">
        <v>32.909999999999997</v>
      </c>
      <c r="BG2469" t="s">
        <v>23715</v>
      </c>
      <c r="BH2469" t="s">
        <v>7744</v>
      </c>
      <c r="BI2469" t="s">
        <v>23716</v>
      </c>
      <c r="BJ2469" t="s">
        <v>101</v>
      </c>
      <c r="BK2469" t="s">
        <v>269</v>
      </c>
      <c r="BL2469" t="s">
        <v>3857</v>
      </c>
      <c r="BM2469" t="s">
        <v>21855</v>
      </c>
      <c r="BN2469" t="s">
        <v>23454</v>
      </c>
    </row>
    <row r="2470" spans="1:66" x14ac:dyDescent="0.25">
      <c r="A2470" t="str">
        <f>HYPERLINK("https://elite.finviz.com/quote.ashx?t=ALK&amp;ty=c&amp;p=d&amp;b=1", "ALK")</f>
        <v>ALK</v>
      </c>
      <c r="B2470">
        <v>5</v>
      </c>
      <c r="C2470">
        <v>116.22</v>
      </c>
      <c r="D2470">
        <v>28.92</v>
      </c>
      <c r="E2470" t="s">
        <v>23717</v>
      </c>
      <c r="F2470" t="s">
        <v>107</v>
      </c>
      <c r="G2470" t="s">
        <v>260</v>
      </c>
      <c r="H2470" t="s">
        <v>5362</v>
      </c>
      <c r="I2470" t="s">
        <v>70</v>
      </c>
      <c r="J2470" t="s">
        <v>71</v>
      </c>
      <c r="K2470">
        <v>5910.81</v>
      </c>
      <c r="L2470">
        <v>51.26</v>
      </c>
      <c r="M2470" t="s">
        <v>2745</v>
      </c>
      <c r="N2470">
        <v>377828</v>
      </c>
      <c r="O2470">
        <v>20.84</v>
      </c>
      <c r="P2470">
        <v>8.18</v>
      </c>
      <c r="Q2470">
        <v>0.94</v>
      </c>
      <c r="R2470">
        <v>0.44</v>
      </c>
      <c r="S2470">
        <v>1.5</v>
      </c>
      <c r="V2470" t="s">
        <v>23718</v>
      </c>
      <c r="Z2470" t="s">
        <v>164</v>
      </c>
      <c r="AA2470">
        <v>2.46</v>
      </c>
      <c r="AB2470" t="s">
        <v>16868</v>
      </c>
      <c r="AC2470" t="s">
        <v>14902</v>
      </c>
      <c r="AD2470" t="s">
        <v>10649</v>
      </c>
      <c r="AE2470" t="s">
        <v>7177</v>
      </c>
      <c r="AF2470" t="s">
        <v>2567</v>
      </c>
      <c r="AG2470" t="s">
        <v>8164</v>
      </c>
      <c r="AH2470" t="s">
        <v>2935</v>
      </c>
      <c r="AI2470" t="s">
        <v>15391</v>
      </c>
      <c r="AJ2470" t="s">
        <v>7468</v>
      </c>
      <c r="AK2470" t="s">
        <v>5243</v>
      </c>
      <c r="AL2470">
        <v>0.52</v>
      </c>
      <c r="AM2470">
        <v>0.49</v>
      </c>
      <c r="AN2470">
        <v>1.62</v>
      </c>
      <c r="AO2470" t="s">
        <v>5239</v>
      </c>
      <c r="AP2470" t="s">
        <v>7231</v>
      </c>
      <c r="AQ2470" t="s">
        <v>180</v>
      </c>
      <c r="AR2470" t="s">
        <v>3542</v>
      </c>
      <c r="AS2470" t="s">
        <v>3205</v>
      </c>
      <c r="AT2470" t="s">
        <v>1951</v>
      </c>
      <c r="AU2470" t="s">
        <v>8831</v>
      </c>
      <c r="AV2470" t="s">
        <v>21638</v>
      </c>
      <c r="AW2470" t="s">
        <v>19069</v>
      </c>
      <c r="AX2470" t="s">
        <v>6430</v>
      </c>
      <c r="AY2470" t="s">
        <v>23719</v>
      </c>
      <c r="AZ2470" t="s">
        <v>18724</v>
      </c>
      <c r="BA2470">
        <v>1.35</v>
      </c>
      <c r="BB2470">
        <v>2689.32</v>
      </c>
      <c r="BC2470">
        <v>0.49</v>
      </c>
      <c r="BD2470">
        <v>51.29</v>
      </c>
      <c r="BE2470">
        <v>52.13</v>
      </c>
      <c r="BF2470">
        <v>50.86</v>
      </c>
      <c r="BG2470" t="s">
        <v>23720</v>
      </c>
      <c r="BH2470" t="s">
        <v>14457</v>
      </c>
      <c r="BI2470" t="s">
        <v>23721</v>
      </c>
      <c r="BJ2470" t="s">
        <v>101</v>
      </c>
      <c r="BK2470" t="s">
        <v>323</v>
      </c>
      <c r="BL2470" t="s">
        <v>5661</v>
      </c>
      <c r="BM2470" t="s">
        <v>9722</v>
      </c>
      <c r="BN2470" t="s">
        <v>23454</v>
      </c>
    </row>
    <row r="2471" spans="1:66" x14ac:dyDescent="0.25">
      <c r="A2471" t="str">
        <f>HYPERLINK("https://elite.finviz.com/quote.ashx?t=PFSA&amp;ty=c&amp;p=d&amp;b=1", "PFSA")</f>
        <v>PFSA</v>
      </c>
      <c r="B2471">
        <v>5</v>
      </c>
      <c r="C2471">
        <v>116.22</v>
      </c>
      <c r="D2471">
        <v>29.18</v>
      </c>
      <c r="E2471" t="s">
        <v>23722</v>
      </c>
      <c r="F2471" t="s">
        <v>107</v>
      </c>
      <c r="G2471" t="s">
        <v>428</v>
      </c>
      <c r="H2471" t="s">
        <v>2051</v>
      </c>
      <c r="I2471" t="s">
        <v>70</v>
      </c>
      <c r="J2471" t="s">
        <v>321</v>
      </c>
      <c r="K2471">
        <v>10.83</v>
      </c>
      <c r="L2471">
        <v>0.3</v>
      </c>
      <c r="M2471" t="s">
        <v>2103</v>
      </c>
      <c r="N2471">
        <v>263443</v>
      </c>
      <c r="AA2471">
        <v>-3.07</v>
      </c>
      <c r="AJ2471" t="s">
        <v>164</v>
      </c>
      <c r="AK2471" t="s">
        <v>2641</v>
      </c>
      <c r="AL2471">
        <v>0.04</v>
      </c>
      <c r="AM2471">
        <v>0.04</v>
      </c>
      <c r="AR2471" t="s">
        <v>11336</v>
      </c>
      <c r="AS2471" t="s">
        <v>1436</v>
      </c>
      <c r="AT2471" t="s">
        <v>8184</v>
      </c>
      <c r="AU2471" t="s">
        <v>23723</v>
      </c>
      <c r="AV2471" t="s">
        <v>12716</v>
      </c>
      <c r="AW2471" t="s">
        <v>23724</v>
      </c>
      <c r="AX2471" t="s">
        <v>2948</v>
      </c>
      <c r="AY2471" t="s">
        <v>23725</v>
      </c>
      <c r="AZ2471" t="s">
        <v>2948</v>
      </c>
      <c r="BB2471">
        <v>11096.42</v>
      </c>
      <c r="BC2471">
        <v>0.08</v>
      </c>
      <c r="BD2471">
        <v>0.3</v>
      </c>
      <c r="BE2471">
        <v>0.31</v>
      </c>
      <c r="BF2471">
        <v>0.3</v>
      </c>
      <c r="BG2471" t="s">
        <v>23726</v>
      </c>
      <c r="BH2471" t="s">
        <v>23727</v>
      </c>
      <c r="BI2471" t="s">
        <v>2948</v>
      </c>
      <c r="BJ2471" t="s">
        <v>101</v>
      </c>
      <c r="BK2471" t="s">
        <v>23728</v>
      </c>
      <c r="BL2471" t="s">
        <v>23729</v>
      </c>
      <c r="BM2471" t="s">
        <v>23730</v>
      </c>
      <c r="BN2471" t="s">
        <v>23454</v>
      </c>
    </row>
    <row r="2472" spans="1:66" x14ac:dyDescent="0.25">
      <c r="A2472" t="str">
        <f>HYPERLINK("https://elite.finviz.com/quote.ashx?t=TOST&amp;ty=c&amp;p=d&amp;b=1", "TOST")</f>
        <v>TOST</v>
      </c>
      <c r="B2472">
        <v>5</v>
      </c>
      <c r="C2472">
        <v>116.22</v>
      </c>
      <c r="D2472">
        <v>29.18</v>
      </c>
      <c r="E2472" t="s">
        <v>23731</v>
      </c>
      <c r="F2472" t="s">
        <v>107</v>
      </c>
      <c r="G2472" t="s">
        <v>108</v>
      </c>
      <c r="H2472" t="s">
        <v>109</v>
      </c>
      <c r="I2472" t="s">
        <v>70</v>
      </c>
      <c r="J2472" t="s">
        <v>71</v>
      </c>
      <c r="K2472">
        <v>21503.95</v>
      </c>
      <c r="L2472">
        <v>36.880000000000003</v>
      </c>
      <c r="M2472" t="s">
        <v>1324</v>
      </c>
      <c r="N2472">
        <v>1281653</v>
      </c>
      <c r="O2472">
        <v>107.57</v>
      </c>
      <c r="P2472">
        <v>30.54</v>
      </c>
      <c r="Q2472">
        <v>2.52</v>
      </c>
      <c r="R2472">
        <v>3.89</v>
      </c>
      <c r="S2472">
        <v>11.79</v>
      </c>
      <c r="Z2472" t="s">
        <v>164</v>
      </c>
      <c r="AA2472">
        <v>0.34</v>
      </c>
      <c r="AD2472" t="s">
        <v>916</v>
      </c>
      <c r="AE2472" t="s">
        <v>7282</v>
      </c>
      <c r="AF2472" t="s">
        <v>13118</v>
      </c>
      <c r="AG2472" t="s">
        <v>13414</v>
      </c>
      <c r="AH2472" t="s">
        <v>5705</v>
      </c>
      <c r="AI2472" t="s">
        <v>4857</v>
      </c>
      <c r="AJ2472" t="s">
        <v>3937</v>
      </c>
      <c r="AK2472" t="s">
        <v>2980</v>
      </c>
      <c r="AL2472">
        <v>2.5</v>
      </c>
      <c r="AM2472">
        <v>2.38</v>
      </c>
      <c r="AN2472">
        <v>0.01</v>
      </c>
      <c r="AO2472" t="s">
        <v>6792</v>
      </c>
      <c r="AP2472" t="s">
        <v>3325</v>
      </c>
      <c r="AQ2472" t="s">
        <v>5164</v>
      </c>
      <c r="AR2472" t="s">
        <v>4299</v>
      </c>
      <c r="AS2472" t="s">
        <v>203</v>
      </c>
      <c r="AT2472" t="s">
        <v>9998</v>
      </c>
      <c r="AU2472" t="s">
        <v>6907</v>
      </c>
      <c r="AV2472" t="s">
        <v>1613</v>
      </c>
      <c r="AW2472" t="s">
        <v>7766</v>
      </c>
      <c r="AX2472" t="s">
        <v>6572</v>
      </c>
      <c r="AY2472" t="s">
        <v>7766</v>
      </c>
      <c r="AZ2472" t="s">
        <v>20875</v>
      </c>
      <c r="BA2472">
        <v>2.0299999999999998</v>
      </c>
      <c r="BB2472">
        <v>8686.9699999999993</v>
      </c>
      <c r="BC2472">
        <v>0.52</v>
      </c>
      <c r="BD2472">
        <v>36.85</v>
      </c>
      <c r="BE2472">
        <v>37.159999999999997</v>
      </c>
      <c r="BF2472">
        <v>36.69</v>
      </c>
      <c r="BG2472" t="s">
        <v>23732</v>
      </c>
      <c r="BH2472" t="s">
        <v>23733</v>
      </c>
      <c r="BI2472" t="s">
        <v>23734</v>
      </c>
      <c r="BJ2472" t="s">
        <v>101</v>
      </c>
      <c r="BK2472" t="s">
        <v>11427</v>
      </c>
      <c r="BL2472" t="s">
        <v>2811</v>
      </c>
      <c r="BM2472" t="s">
        <v>3778</v>
      </c>
      <c r="BN2472" t="s">
        <v>23454</v>
      </c>
    </row>
    <row r="2473" spans="1:66" x14ac:dyDescent="0.25">
      <c r="A2473" t="str">
        <f>HYPERLINK("https://elite.finviz.com/quote.ashx?t=AAL&amp;ty=c&amp;p=d&amp;b=1", "AAL")</f>
        <v>AAL</v>
      </c>
      <c r="B2473">
        <v>5</v>
      </c>
      <c r="C2473">
        <v>116.22</v>
      </c>
      <c r="D2473">
        <v>29.45</v>
      </c>
      <c r="E2473" t="s">
        <v>23735</v>
      </c>
      <c r="F2473" t="s">
        <v>107</v>
      </c>
      <c r="G2473" t="s">
        <v>260</v>
      </c>
      <c r="H2473" t="s">
        <v>5362</v>
      </c>
      <c r="I2473" t="s">
        <v>70</v>
      </c>
      <c r="J2473" t="s">
        <v>321</v>
      </c>
      <c r="K2473">
        <v>7469.26</v>
      </c>
      <c r="L2473">
        <v>11.32</v>
      </c>
      <c r="M2473" t="s">
        <v>1202</v>
      </c>
      <c r="N2473">
        <v>24782813</v>
      </c>
      <c r="O2473">
        <v>14.55</v>
      </c>
      <c r="P2473">
        <v>6.86</v>
      </c>
      <c r="Q2473">
        <v>2.42</v>
      </c>
      <c r="R2473">
        <v>0.14000000000000001</v>
      </c>
      <c r="V2473" t="s">
        <v>23736</v>
      </c>
      <c r="Z2473" t="s">
        <v>164</v>
      </c>
      <c r="AA2473">
        <v>0.78</v>
      </c>
      <c r="AC2473" t="s">
        <v>11631</v>
      </c>
      <c r="AD2473" t="s">
        <v>1826</v>
      </c>
      <c r="AE2473" t="s">
        <v>4780</v>
      </c>
      <c r="AF2473" t="s">
        <v>10516</v>
      </c>
      <c r="AG2473" t="s">
        <v>5736</v>
      </c>
      <c r="AH2473" t="s">
        <v>2423</v>
      </c>
      <c r="AI2473" t="s">
        <v>11963</v>
      </c>
      <c r="AJ2473" t="s">
        <v>164</v>
      </c>
      <c r="AK2473" t="s">
        <v>23737</v>
      </c>
      <c r="AL2473">
        <v>0.57999999999999996</v>
      </c>
      <c r="AM2473">
        <v>0.48</v>
      </c>
      <c r="AO2473" t="s">
        <v>15349</v>
      </c>
      <c r="AP2473" t="s">
        <v>2744</v>
      </c>
      <c r="AQ2473" t="s">
        <v>3447</v>
      </c>
      <c r="AR2473" t="s">
        <v>1932</v>
      </c>
      <c r="AS2473" t="s">
        <v>5593</v>
      </c>
      <c r="AT2473" t="s">
        <v>16855</v>
      </c>
      <c r="AU2473" t="s">
        <v>5939</v>
      </c>
      <c r="AV2473" t="s">
        <v>3096</v>
      </c>
      <c r="AW2473" t="s">
        <v>12861</v>
      </c>
      <c r="AX2473" t="s">
        <v>4324</v>
      </c>
      <c r="AY2473" t="s">
        <v>23738</v>
      </c>
      <c r="AZ2473" t="s">
        <v>18705</v>
      </c>
      <c r="BA2473">
        <v>2.2400000000000002</v>
      </c>
      <c r="BB2473">
        <v>72113.75</v>
      </c>
      <c r="BC2473">
        <v>1.21</v>
      </c>
      <c r="BD2473">
        <v>11.39</v>
      </c>
      <c r="BE2473">
        <v>11.51</v>
      </c>
      <c r="BF2473">
        <v>11.28</v>
      </c>
      <c r="BG2473" t="s">
        <v>23739</v>
      </c>
      <c r="BH2473" t="s">
        <v>23740</v>
      </c>
      <c r="BI2473" t="s">
        <v>9402</v>
      </c>
      <c r="BJ2473" t="s">
        <v>101</v>
      </c>
      <c r="BK2473" t="s">
        <v>141</v>
      </c>
      <c r="BL2473" t="s">
        <v>2186</v>
      </c>
      <c r="BM2473" t="s">
        <v>387</v>
      </c>
      <c r="BN2473" t="s">
        <v>23454</v>
      </c>
    </row>
    <row r="2474" spans="1:66" x14ac:dyDescent="0.25">
      <c r="A2474" t="str">
        <f>HYPERLINK("https://elite.finviz.com/quote.ashx?t=COLD&amp;ty=c&amp;p=d&amp;b=1", "COLD")</f>
        <v>COLD</v>
      </c>
      <c r="B2474">
        <v>5</v>
      </c>
      <c r="C2474">
        <v>116.22</v>
      </c>
      <c r="D2474">
        <v>29.53</v>
      </c>
      <c r="E2474" t="s">
        <v>23741</v>
      </c>
      <c r="F2474" t="s">
        <v>107</v>
      </c>
      <c r="G2474" t="s">
        <v>68</v>
      </c>
      <c r="H2474" t="s">
        <v>6342</v>
      </c>
      <c r="I2474" t="s">
        <v>70</v>
      </c>
      <c r="J2474" t="s">
        <v>71</v>
      </c>
      <c r="K2474">
        <v>3512.98</v>
      </c>
      <c r="L2474">
        <v>12.34</v>
      </c>
      <c r="M2474" t="s">
        <v>4280</v>
      </c>
      <c r="N2474">
        <v>986355</v>
      </c>
      <c r="P2474">
        <v>56.64</v>
      </c>
      <c r="R2474">
        <v>1.34</v>
      </c>
      <c r="S2474">
        <v>1.1299999999999999</v>
      </c>
      <c r="T2474" t="s">
        <v>3746</v>
      </c>
      <c r="U2474">
        <v>0.9</v>
      </c>
      <c r="V2474" t="s">
        <v>198</v>
      </c>
      <c r="W2474" t="s">
        <v>164</v>
      </c>
      <c r="X2474" t="s">
        <v>164</v>
      </c>
      <c r="Y2474" t="s">
        <v>3118</v>
      </c>
      <c r="AA2474">
        <v>-0.19</v>
      </c>
      <c r="AB2474" t="s">
        <v>23742</v>
      </c>
      <c r="AE2474" t="s">
        <v>5824</v>
      </c>
      <c r="AF2474" t="s">
        <v>7270</v>
      </c>
      <c r="AG2474" t="s">
        <v>5700</v>
      </c>
      <c r="AH2474" t="s">
        <v>3967</v>
      </c>
      <c r="AI2474" t="s">
        <v>20018</v>
      </c>
      <c r="AJ2474" t="s">
        <v>7710</v>
      </c>
      <c r="AK2474" t="s">
        <v>11284</v>
      </c>
      <c r="AL2474">
        <v>0.81</v>
      </c>
      <c r="AM2474">
        <v>0.81</v>
      </c>
      <c r="AN2474">
        <v>1.35</v>
      </c>
      <c r="AO2474" t="s">
        <v>10775</v>
      </c>
      <c r="AP2474" t="s">
        <v>7622</v>
      </c>
      <c r="AQ2474" t="s">
        <v>6838</v>
      </c>
      <c r="AR2474" t="s">
        <v>4658</v>
      </c>
      <c r="AS2474" t="s">
        <v>295</v>
      </c>
      <c r="AT2474" t="s">
        <v>1164</v>
      </c>
      <c r="AU2474" t="s">
        <v>4580</v>
      </c>
      <c r="AV2474" t="s">
        <v>17589</v>
      </c>
      <c r="AW2474" t="s">
        <v>17627</v>
      </c>
      <c r="AX2474" t="s">
        <v>2175</v>
      </c>
      <c r="AY2474" t="s">
        <v>8953</v>
      </c>
      <c r="AZ2474" t="s">
        <v>2175</v>
      </c>
      <c r="BA2474">
        <v>2</v>
      </c>
      <c r="BB2474">
        <v>4646.1499999999996</v>
      </c>
      <c r="BC2474">
        <v>0.75</v>
      </c>
      <c r="BD2474">
        <v>12.17</v>
      </c>
      <c r="BE2474">
        <v>12.47</v>
      </c>
      <c r="BF2474">
        <v>12.22</v>
      </c>
      <c r="BG2474" t="s">
        <v>23743</v>
      </c>
      <c r="BH2474" t="s">
        <v>23744</v>
      </c>
      <c r="BI2474" t="s">
        <v>2175</v>
      </c>
      <c r="BJ2474" t="s">
        <v>101</v>
      </c>
      <c r="BK2474" t="s">
        <v>7824</v>
      </c>
      <c r="BL2474" t="s">
        <v>23745</v>
      </c>
      <c r="BM2474" t="s">
        <v>23746</v>
      </c>
      <c r="BN2474" t="s">
        <v>23454</v>
      </c>
    </row>
    <row r="2475" spans="1:66" x14ac:dyDescent="0.25">
      <c r="A2475" t="str">
        <f>HYPERLINK("https://elite.finviz.com/quote.ashx?t=KMB&amp;ty=c&amp;p=d&amp;b=1", "KMB")</f>
        <v>KMB</v>
      </c>
      <c r="B2475">
        <v>5</v>
      </c>
      <c r="C2475">
        <v>116.22</v>
      </c>
      <c r="D2475">
        <v>29.59</v>
      </c>
      <c r="E2475" t="s">
        <v>23747</v>
      </c>
      <c r="F2475" t="s">
        <v>195</v>
      </c>
      <c r="G2475" t="s">
        <v>2244</v>
      </c>
      <c r="H2475" t="s">
        <v>5311</v>
      </c>
      <c r="I2475" t="s">
        <v>70</v>
      </c>
      <c r="J2475" t="s">
        <v>321</v>
      </c>
      <c r="K2475">
        <v>40442.31</v>
      </c>
      <c r="L2475">
        <v>121.89</v>
      </c>
      <c r="M2475" t="s">
        <v>3358</v>
      </c>
      <c r="N2475">
        <v>467317</v>
      </c>
      <c r="O2475">
        <v>16.8</v>
      </c>
      <c r="P2475">
        <v>15.94</v>
      </c>
      <c r="Q2475">
        <v>6.29</v>
      </c>
      <c r="R2475">
        <v>2.14</v>
      </c>
      <c r="S2475">
        <v>31.83</v>
      </c>
      <c r="T2475" t="s">
        <v>2170</v>
      </c>
      <c r="U2475">
        <v>6.26</v>
      </c>
      <c r="V2475" t="s">
        <v>4548</v>
      </c>
      <c r="W2475" t="s">
        <v>4569</v>
      </c>
      <c r="X2475" t="s">
        <v>679</v>
      </c>
      <c r="Y2475" t="s">
        <v>5736</v>
      </c>
      <c r="Z2475" t="s">
        <v>11071</v>
      </c>
      <c r="AA2475">
        <v>7.25</v>
      </c>
      <c r="AB2475" t="s">
        <v>5282</v>
      </c>
      <c r="AC2475" t="s">
        <v>162</v>
      </c>
      <c r="AD2475" t="s">
        <v>4216</v>
      </c>
      <c r="AE2475" t="s">
        <v>16199</v>
      </c>
      <c r="AF2475" t="s">
        <v>3447</v>
      </c>
      <c r="AG2475" t="s">
        <v>2274</v>
      </c>
      <c r="AH2475" t="s">
        <v>11328</v>
      </c>
      <c r="AI2475" t="s">
        <v>2415</v>
      </c>
      <c r="AJ2475" t="s">
        <v>72</v>
      </c>
      <c r="AK2475" t="s">
        <v>11936</v>
      </c>
      <c r="AL2475">
        <v>0.77</v>
      </c>
      <c r="AM2475">
        <v>0.56000000000000005</v>
      </c>
      <c r="AN2475">
        <v>5.7</v>
      </c>
      <c r="AO2475" t="s">
        <v>7323</v>
      </c>
      <c r="AP2475" t="s">
        <v>7847</v>
      </c>
      <c r="AQ2475" t="s">
        <v>2337</v>
      </c>
      <c r="AR2475" t="s">
        <v>6493</v>
      </c>
      <c r="AS2475" t="s">
        <v>2175</v>
      </c>
      <c r="AT2475" t="s">
        <v>1269</v>
      </c>
      <c r="AU2475" t="s">
        <v>3140</v>
      </c>
      <c r="AV2475" t="s">
        <v>23748</v>
      </c>
      <c r="AW2475" t="s">
        <v>3215</v>
      </c>
      <c r="AX2475" t="s">
        <v>3871</v>
      </c>
      <c r="AY2475" t="s">
        <v>19182</v>
      </c>
      <c r="AZ2475" t="s">
        <v>3871</v>
      </c>
      <c r="BA2475">
        <v>2.5</v>
      </c>
      <c r="BB2475">
        <v>2358.2199999999998</v>
      </c>
      <c r="BC2475">
        <v>0.7</v>
      </c>
      <c r="BD2475">
        <v>121.72</v>
      </c>
      <c r="BE2475">
        <v>122.91</v>
      </c>
      <c r="BF2475">
        <v>121.59</v>
      </c>
      <c r="BG2475" t="s">
        <v>23749</v>
      </c>
      <c r="BH2475" t="s">
        <v>18254</v>
      </c>
      <c r="BI2475" t="s">
        <v>23750</v>
      </c>
      <c r="BJ2475" t="s">
        <v>101</v>
      </c>
      <c r="BK2475" t="s">
        <v>5742</v>
      </c>
      <c r="BL2475" t="s">
        <v>3700</v>
      </c>
      <c r="BM2475" t="s">
        <v>7237</v>
      </c>
      <c r="BN2475" t="s">
        <v>23454</v>
      </c>
    </row>
    <row r="2476" spans="1:66" x14ac:dyDescent="0.25">
      <c r="A2476" t="str">
        <f>HYPERLINK("https://elite.finviz.com/quote.ashx?t=NVVE&amp;ty=c&amp;p=d&amp;b=1", "NVVE")</f>
        <v>NVVE</v>
      </c>
      <c r="B2476">
        <v>5</v>
      </c>
      <c r="C2476">
        <v>116.22</v>
      </c>
      <c r="D2476">
        <v>29.6</v>
      </c>
      <c r="E2476" t="s">
        <v>23751</v>
      </c>
      <c r="F2476" t="s">
        <v>107</v>
      </c>
      <c r="G2476" t="s">
        <v>813</v>
      </c>
      <c r="H2476" t="s">
        <v>2262</v>
      </c>
      <c r="I2476" t="s">
        <v>70</v>
      </c>
      <c r="J2476" t="s">
        <v>321</v>
      </c>
      <c r="K2476">
        <v>4.55</v>
      </c>
      <c r="L2476">
        <v>0.22</v>
      </c>
      <c r="M2476" t="s">
        <v>81</v>
      </c>
      <c r="N2476">
        <v>870514</v>
      </c>
      <c r="R2476">
        <v>0.92</v>
      </c>
      <c r="AA2476">
        <v>-14.08</v>
      </c>
      <c r="AB2476" t="s">
        <v>20155</v>
      </c>
      <c r="AC2476" t="s">
        <v>8086</v>
      </c>
      <c r="AE2476" t="s">
        <v>9585</v>
      </c>
      <c r="AF2476" t="s">
        <v>484</v>
      </c>
      <c r="AG2476" t="s">
        <v>9110</v>
      </c>
      <c r="AH2476" t="s">
        <v>17745</v>
      </c>
      <c r="AJ2476" t="s">
        <v>3307</v>
      </c>
      <c r="AK2476" t="s">
        <v>2339</v>
      </c>
      <c r="AL2476">
        <v>0.59</v>
      </c>
      <c r="AM2476">
        <v>0.27</v>
      </c>
      <c r="AO2476" t="s">
        <v>23752</v>
      </c>
      <c r="AP2476" t="s">
        <v>23753</v>
      </c>
      <c r="AQ2476" t="s">
        <v>23754</v>
      </c>
      <c r="AR2476" t="s">
        <v>290</v>
      </c>
      <c r="AS2476" t="s">
        <v>7273</v>
      </c>
      <c r="AT2476" t="s">
        <v>20586</v>
      </c>
      <c r="AU2476" t="s">
        <v>23755</v>
      </c>
      <c r="AV2476" t="s">
        <v>23756</v>
      </c>
      <c r="AW2476" t="s">
        <v>23757</v>
      </c>
      <c r="AX2476" t="s">
        <v>16083</v>
      </c>
      <c r="AY2476" t="s">
        <v>23758</v>
      </c>
      <c r="AZ2476" t="s">
        <v>16083</v>
      </c>
      <c r="BA2476">
        <v>1</v>
      </c>
      <c r="BB2476">
        <v>2595.7800000000002</v>
      </c>
      <c r="BC2476">
        <v>1.18</v>
      </c>
      <c r="BD2476">
        <v>0.23</v>
      </c>
      <c r="BE2476">
        <v>0.24</v>
      </c>
      <c r="BF2476">
        <v>0.22</v>
      </c>
      <c r="BG2476" t="s">
        <v>23759</v>
      </c>
      <c r="BH2476" t="s">
        <v>579</v>
      </c>
      <c r="BI2476" t="s">
        <v>16083</v>
      </c>
      <c r="BJ2476" t="s">
        <v>101</v>
      </c>
      <c r="BK2476" t="s">
        <v>23760</v>
      </c>
      <c r="BL2476" t="s">
        <v>20922</v>
      </c>
      <c r="BM2476" t="s">
        <v>23761</v>
      </c>
      <c r="BN2476" t="s">
        <v>23454</v>
      </c>
    </row>
    <row r="2477" spans="1:66" x14ac:dyDescent="0.25">
      <c r="A2477" t="str">
        <f>HYPERLINK("https://elite.finviz.com/quote.ashx?t=KLTO&amp;ty=c&amp;p=d&amp;b=1", "KLTO")</f>
        <v>KLTO</v>
      </c>
      <c r="B2477">
        <v>5</v>
      </c>
      <c r="C2477">
        <v>116.22</v>
      </c>
      <c r="D2477">
        <v>29.68</v>
      </c>
      <c r="E2477" t="s">
        <v>23762</v>
      </c>
      <c r="F2477" t="s">
        <v>107</v>
      </c>
      <c r="G2477" t="s">
        <v>428</v>
      </c>
      <c r="H2477" t="s">
        <v>429</v>
      </c>
      <c r="I2477" t="s">
        <v>70</v>
      </c>
      <c r="J2477" t="s">
        <v>321</v>
      </c>
      <c r="K2477">
        <v>27.78</v>
      </c>
      <c r="L2477">
        <v>0.45</v>
      </c>
      <c r="M2477" t="s">
        <v>11567</v>
      </c>
      <c r="N2477">
        <v>556679</v>
      </c>
      <c r="S2477">
        <v>2.2400000000000002</v>
      </c>
      <c r="AA2477">
        <v>-0.46</v>
      </c>
      <c r="AB2477" t="s">
        <v>23763</v>
      </c>
      <c r="AJ2477" t="s">
        <v>164</v>
      </c>
      <c r="AK2477" t="s">
        <v>6829</v>
      </c>
      <c r="AL2477">
        <v>135.74</v>
      </c>
      <c r="AM2477">
        <v>135.74</v>
      </c>
      <c r="AN2477">
        <v>0</v>
      </c>
      <c r="AR2477" t="s">
        <v>6584</v>
      </c>
      <c r="AS2477" t="s">
        <v>8086</v>
      </c>
      <c r="AT2477" t="s">
        <v>23764</v>
      </c>
      <c r="AU2477" t="s">
        <v>23765</v>
      </c>
      <c r="AV2477" t="s">
        <v>6500</v>
      </c>
      <c r="AW2477" t="s">
        <v>544</v>
      </c>
      <c r="AX2477" t="s">
        <v>2697</v>
      </c>
      <c r="AY2477" t="s">
        <v>20698</v>
      </c>
      <c r="AZ2477" t="s">
        <v>23766</v>
      </c>
      <c r="BB2477">
        <v>5711.46</v>
      </c>
      <c r="BC2477">
        <v>0.34</v>
      </c>
      <c r="BD2477">
        <v>0.48</v>
      </c>
      <c r="BE2477">
        <v>0.48</v>
      </c>
      <c r="BF2477">
        <v>0.45</v>
      </c>
      <c r="BG2477" t="s">
        <v>23767</v>
      </c>
      <c r="BH2477" t="s">
        <v>23761</v>
      </c>
      <c r="BI2477" t="s">
        <v>23766</v>
      </c>
      <c r="BJ2477" t="s">
        <v>101</v>
      </c>
      <c r="BK2477" t="s">
        <v>23768</v>
      </c>
      <c r="BL2477" t="s">
        <v>12958</v>
      </c>
      <c r="BM2477" t="s">
        <v>22898</v>
      </c>
      <c r="BN2477" t="s">
        <v>23454</v>
      </c>
    </row>
    <row r="2478" spans="1:66" x14ac:dyDescent="0.25">
      <c r="A2478" t="str">
        <f>HYPERLINK("https://elite.finviz.com/quote.ashx?t=IFF&amp;ty=c&amp;p=d&amp;b=1", "IFF")</f>
        <v>IFF</v>
      </c>
      <c r="B2478">
        <v>5</v>
      </c>
      <c r="C2478">
        <v>116.22</v>
      </c>
      <c r="D2478">
        <v>29.68</v>
      </c>
      <c r="E2478" t="s">
        <v>23769</v>
      </c>
      <c r="F2478" t="s">
        <v>195</v>
      </c>
      <c r="G2478" t="s">
        <v>355</v>
      </c>
      <c r="H2478" t="s">
        <v>1147</v>
      </c>
      <c r="I2478" t="s">
        <v>70</v>
      </c>
      <c r="J2478" t="s">
        <v>71</v>
      </c>
      <c r="K2478">
        <v>15529.3</v>
      </c>
      <c r="L2478">
        <v>60.59</v>
      </c>
      <c r="M2478" t="s">
        <v>1657</v>
      </c>
      <c r="N2478">
        <v>310170</v>
      </c>
      <c r="P2478">
        <v>13.39</v>
      </c>
      <c r="R2478">
        <v>1.37</v>
      </c>
      <c r="S2478">
        <v>1.08</v>
      </c>
      <c r="T2478" t="s">
        <v>648</v>
      </c>
      <c r="U2478">
        <v>1.6</v>
      </c>
      <c r="V2478" t="s">
        <v>2598</v>
      </c>
      <c r="W2478" t="s">
        <v>23542</v>
      </c>
      <c r="X2478" t="s">
        <v>10141</v>
      </c>
      <c r="Y2478" t="s">
        <v>7861</v>
      </c>
      <c r="Z2478" t="s">
        <v>23770</v>
      </c>
      <c r="AA2478">
        <v>-1.55</v>
      </c>
      <c r="AB2478" t="s">
        <v>6480</v>
      </c>
      <c r="AC2478" t="s">
        <v>6294</v>
      </c>
      <c r="AD2478" t="s">
        <v>1063</v>
      </c>
      <c r="AE2478" t="s">
        <v>171</v>
      </c>
      <c r="AF2478" t="s">
        <v>4273</v>
      </c>
      <c r="AG2478" t="s">
        <v>512</v>
      </c>
      <c r="AH2478" t="s">
        <v>9672</v>
      </c>
      <c r="AI2478" t="s">
        <v>1933</v>
      </c>
      <c r="AJ2478" t="s">
        <v>1303</v>
      </c>
      <c r="AK2478" t="s">
        <v>23771</v>
      </c>
      <c r="AL2478">
        <v>1.85</v>
      </c>
      <c r="AM2478">
        <v>1.1000000000000001</v>
      </c>
      <c r="AN2478">
        <v>0.48</v>
      </c>
      <c r="AO2478" t="s">
        <v>2131</v>
      </c>
      <c r="AP2478" t="s">
        <v>8441</v>
      </c>
      <c r="AQ2478" t="s">
        <v>7959</v>
      </c>
      <c r="AR2478" t="s">
        <v>2421</v>
      </c>
      <c r="AS2478" t="s">
        <v>5968</v>
      </c>
      <c r="AT2478" t="s">
        <v>7074</v>
      </c>
      <c r="AU2478" t="s">
        <v>6827</v>
      </c>
      <c r="AV2478" t="s">
        <v>10281</v>
      </c>
      <c r="AW2478" t="s">
        <v>7317</v>
      </c>
      <c r="AX2478" t="s">
        <v>84</v>
      </c>
      <c r="AY2478" t="s">
        <v>23772</v>
      </c>
      <c r="AZ2478" t="s">
        <v>84</v>
      </c>
      <c r="BA2478">
        <v>1.78</v>
      </c>
      <c r="BB2478">
        <v>2123.5100000000002</v>
      </c>
      <c r="BC2478">
        <v>0.51</v>
      </c>
      <c r="BD2478">
        <v>60.3</v>
      </c>
      <c r="BE2478">
        <v>60.95</v>
      </c>
      <c r="BF2478">
        <v>60.37</v>
      </c>
      <c r="BG2478" t="s">
        <v>23773</v>
      </c>
      <c r="BH2478" t="s">
        <v>23774</v>
      </c>
      <c r="BI2478" t="s">
        <v>23775</v>
      </c>
      <c r="BJ2478" t="s">
        <v>101</v>
      </c>
      <c r="BK2478" t="s">
        <v>1210</v>
      </c>
      <c r="BL2478" t="s">
        <v>5915</v>
      </c>
      <c r="BM2478" t="s">
        <v>17768</v>
      </c>
      <c r="BN2478" t="s">
        <v>23454</v>
      </c>
    </row>
    <row r="2479" spans="1:66" x14ac:dyDescent="0.25">
      <c r="A2479" t="str">
        <f>HYPERLINK("https://elite.finviz.com/quote.ashx?t=LITS&amp;ty=c&amp;p=d&amp;b=1", "LITS")</f>
        <v>LITS</v>
      </c>
      <c r="B2479">
        <v>5</v>
      </c>
      <c r="C2479">
        <v>116.22</v>
      </c>
      <c r="D2479">
        <v>29.78</v>
      </c>
      <c r="E2479" t="s">
        <v>23776</v>
      </c>
      <c r="F2479" t="s">
        <v>107</v>
      </c>
      <c r="G2479" t="s">
        <v>428</v>
      </c>
      <c r="H2479" t="s">
        <v>429</v>
      </c>
      <c r="I2479" t="s">
        <v>70</v>
      </c>
      <c r="J2479" t="s">
        <v>321</v>
      </c>
      <c r="K2479">
        <v>80.78</v>
      </c>
      <c r="L2479">
        <v>2.46</v>
      </c>
      <c r="M2479" t="s">
        <v>10958</v>
      </c>
      <c r="N2479">
        <v>183983</v>
      </c>
      <c r="S2479">
        <v>0.84</v>
      </c>
      <c r="V2479" t="s">
        <v>23777</v>
      </c>
      <c r="Z2479" t="s">
        <v>164</v>
      </c>
      <c r="AA2479">
        <v>-4.75</v>
      </c>
      <c r="AE2479" t="s">
        <v>579</v>
      </c>
      <c r="AF2479" t="s">
        <v>21071</v>
      </c>
      <c r="AG2479" t="s">
        <v>4391</v>
      </c>
      <c r="AJ2479" t="s">
        <v>164</v>
      </c>
      <c r="AK2479" t="s">
        <v>1676</v>
      </c>
      <c r="AL2479">
        <v>16.78</v>
      </c>
      <c r="AM2479">
        <v>16.78</v>
      </c>
      <c r="AN2479">
        <v>0</v>
      </c>
      <c r="AR2479" t="s">
        <v>297</v>
      </c>
      <c r="AS2479" t="s">
        <v>9342</v>
      </c>
      <c r="AT2479" t="s">
        <v>9245</v>
      </c>
      <c r="AU2479" t="s">
        <v>23778</v>
      </c>
      <c r="AV2479" t="s">
        <v>11532</v>
      </c>
      <c r="AW2479" t="s">
        <v>23779</v>
      </c>
      <c r="AX2479" t="s">
        <v>609</v>
      </c>
      <c r="AY2479" t="s">
        <v>23779</v>
      </c>
      <c r="AZ2479" t="s">
        <v>19799</v>
      </c>
      <c r="BA2479">
        <v>2.33</v>
      </c>
      <c r="BB2479">
        <v>1598.98</v>
      </c>
      <c r="BC2479">
        <v>0.41</v>
      </c>
      <c r="BD2479">
        <v>2.54</v>
      </c>
      <c r="BE2479">
        <v>2.59</v>
      </c>
      <c r="BF2479">
        <v>2.46</v>
      </c>
      <c r="BG2479" t="s">
        <v>23780</v>
      </c>
      <c r="BH2479" t="s">
        <v>3265</v>
      </c>
      <c r="BI2479" t="s">
        <v>19799</v>
      </c>
      <c r="BJ2479" t="s">
        <v>101</v>
      </c>
      <c r="BK2479" t="s">
        <v>2272</v>
      </c>
      <c r="BL2479" t="s">
        <v>6404</v>
      </c>
      <c r="BM2479" t="s">
        <v>9220</v>
      </c>
      <c r="BN2479" t="s">
        <v>23454</v>
      </c>
    </row>
    <row r="2480" spans="1:66" x14ac:dyDescent="0.25">
      <c r="A2480" t="str">
        <f>HYPERLINK("https://elite.finviz.com/quote.ashx?t=ACAD&amp;ty=c&amp;p=d&amp;b=1", "ACAD")</f>
        <v>ACAD</v>
      </c>
      <c r="B2480">
        <v>5</v>
      </c>
      <c r="C2480">
        <v>116.22</v>
      </c>
      <c r="D2480">
        <v>29.85</v>
      </c>
      <c r="E2480" t="s">
        <v>23781</v>
      </c>
      <c r="F2480" t="s">
        <v>67</v>
      </c>
      <c r="G2480" t="s">
        <v>428</v>
      </c>
      <c r="H2480" t="s">
        <v>429</v>
      </c>
      <c r="I2480" t="s">
        <v>70</v>
      </c>
      <c r="J2480" t="s">
        <v>321</v>
      </c>
      <c r="K2480">
        <v>3556.46</v>
      </c>
      <c r="L2480">
        <v>21.08</v>
      </c>
      <c r="M2480" t="s">
        <v>1202</v>
      </c>
      <c r="N2480">
        <v>565073</v>
      </c>
      <c r="O2480">
        <v>15.84</v>
      </c>
      <c r="P2480">
        <v>25.55</v>
      </c>
      <c r="Q2480">
        <v>68.87</v>
      </c>
      <c r="R2480">
        <v>3.49</v>
      </c>
      <c r="S2480">
        <v>4.32</v>
      </c>
      <c r="Z2480" t="s">
        <v>164</v>
      </c>
      <c r="AA2480">
        <v>1.33</v>
      </c>
      <c r="AD2480" t="s">
        <v>822</v>
      </c>
      <c r="AE2480" t="s">
        <v>8526</v>
      </c>
      <c r="AF2480" t="s">
        <v>7855</v>
      </c>
      <c r="AG2480" t="s">
        <v>4833</v>
      </c>
      <c r="AH2480" t="s">
        <v>9789</v>
      </c>
      <c r="AI2480" t="s">
        <v>11086</v>
      </c>
      <c r="AJ2480" t="s">
        <v>9672</v>
      </c>
      <c r="AK2480" t="s">
        <v>14916</v>
      </c>
      <c r="AL2480">
        <v>2.91</v>
      </c>
      <c r="AM2480">
        <v>2.83</v>
      </c>
      <c r="AN2480">
        <v>7.0000000000000007E-2</v>
      </c>
      <c r="AO2480" t="s">
        <v>23782</v>
      </c>
      <c r="AP2480" t="s">
        <v>716</v>
      </c>
      <c r="AQ2480" t="s">
        <v>7254</v>
      </c>
      <c r="AR2480" t="s">
        <v>122</v>
      </c>
      <c r="AS2480" t="s">
        <v>5736</v>
      </c>
      <c r="AT2480" t="s">
        <v>1024</v>
      </c>
      <c r="AU2480" t="s">
        <v>17257</v>
      </c>
      <c r="AV2480" t="s">
        <v>7971</v>
      </c>
      <c r="AW2480" t="s">
        <v>23783</v>
      </c>
      <c r="AX2480" t="s">
        <v>1452</v>
      </c>
      <c r="AY2480" t="s">
        <v>23783</v>
      </c>
      <c r="AZ2480" t="s">
        <v>8502</v>
      </c>
      <c r="BA2480">
        <v>1.89</v>
      </c>
      <c r="BB2480">
        <v>2020.25</v>
      </c>
      <c r="BC2480">
        <v>0.99</v>
      </c>
      <c r="BD2480">
        <v>21.21</v>
      </c>
      <c r="BE2480">
        <v>21.4</v>
      </c>
      <c r="BF2480">
        <v>21.03</v>
      </c>
      <c r="BG2480" t="s">
        <v>23784</v>
      </c>
      <c r="BH2480" t="s">
        <v>23785</v>
      </c>
      <c r="BI2480" t="s">
        <v>23786</v>
      </c>
      <c r="BJ2480" t="s">
        <v>101</v>
      </c>
      <c r="BK2480" t="s">
        <v>14635</v>
      </c>
      <c r="BL2480" t="s">
        <v>9157</v>
      </c>
      <c r="BM2480" t="s">
        <v>9692</v>
      </c>
      <c r="BN2480" t="s">
        <v>23454</v>
      </c>
    </row>
    <row r="2481" spans="1:66" x14ac:dyDescent="0.25">
      <c r="A2481" t="str">
        <f>HYPERLINK("https://elite.finviz.com/quote.ashx?t=ACVA&amp;ty=c&amp;p=d&amp;b=1", "ACVA")</f>
        <v>ACVA</v>
      </c>
      <c r="B2481">
        <v>5</v>
      </c>
      <c r="C2481">
        <v>116.22</v>
      </c>
      <c r="D2481">
        <v>30.1</v>
      </c>
      <c r="E2481" t="s">
        <v>23787</v>
      </c>
      <c r="F2481" t="s">
        <v>67</v>
      </c>
      <c r="G2481" t="s">
        <v>813</v>
      </c>
      <c r="H2481" t="s">
        <v>5888</v>
      </c>
      <c r="I2481" t="s">
        <v>70</v>
      </c>
      <c r="J2481" t="s">
        <v>71</v>
      </c>
      <c r="K2481">
        <v>1703</v>
      </c>
      <c r="L2481">
        <v>9.9</v>
      </c>
      <c r="M2481" t="s">
        <v>240</v>
      </c>
      <c r="N2481">
        <v>835772</v>
      </c>
      <c r="P2481">
        <v>20.27</v>
      </c>
      <c r="R2481">
        <v>2.41</v>
      </c>
      <c r="S2481">
        <v>3.78</v>
      </c>
      <c r="AA2481">
        <v>-0.38</v>
      </c>
      <c r="AB2481" t="s">
        <v>6732</v>
      </c>
      <c r="AC2481" t="s">
        <v>3047</v>
      </c>
      <c r="AD2481" t="s">
        <v>23788</v>
      </c>
      <c r="AE2481" t="s">
        <v>17838</v>
      </c>
      <c r="AF2481" t="s">
        <v>10165</v>
      </c>
      <c r="AG2481" t="s">
        <v>9986</v>
      </c>
      <c r="AH2481" t="s">
        <v>1531</v>
      </c>
      <c r="AI2481" t="s">
        <v>1690</v>
      </c>
      <c r="AJ2481" t="s">
        <v>2433</v>
      </c>
      <c r="AK2481" t="s">
        <v>23789</v>
      </c>
      <c r="AL2481">
        <v>1.59</v>
      </c>
      <c r="AM2481">
        <v>1.59</v>
      </c>
      <c r="AN2481">
        <v>0.42</v>
      </c>
      <c r="AO2481" t="s">
        <v>13167</v>
      </c>
      <c r="AP2481" t="s">
        <v>9271</v>
      </c>
      <c r="AQ2481" t="s">
        <v>2632</v>
      </c>
      <c r="AR2481" t="s">
        <v>2473</v>
      </c>
      <c r="AS2481" t="s">
        <v>4394</v>
      </c>
      <c r="AT2481" t="s">
        <v>3436</v>
      </c>
      <c r="AU2481" t="s">
        <v>16274</v>
      </c>
      <c r="AV2481" t="s">
        <v>3872</v>
      </c>
      <c r="AW2481" t="s">
        <v>6319</v>
      </c>
      <c r="AX2481" t="s">
        <v>4849</v>
      </c>
      <c r="AY2481" t="s">
        <v>23790</v>
      </c>
      <c r="AZ2481" t="s">
        <v>4849</v>
      </c>
      <c r="BA2481">
        <v>1.29</v>
      </c>
      <c r="BB2481">
        <v>2628.49</v>
      </c>
      <c r="BC2481">
        <v>1.1200000000000001</v>
      </c>
      <c r="BD2481">
        <v>9.9700000000000006</v>
      </c>
      <c r="BE2481">
        <v>10.14</v>
      </c>
      <c r="BF2481">
        <v>9.83</v>
      </c>
      <c r="BG2481" t="s">
        <v>23791</v>
      </c>
      <c r="BH2481" t="s">
        <v>8325</v>
      </c>
      <c r="BI2481" t="s">
        <v>23792</v>
      </c>
      <c r="BJ2481" t="s">
        <v>101</v>
      </c>
      <c r="BK2481" t="s">
        <v>140</v>
      </c>
      <c r="BL2481" t="s">
        <v>22382</v>
      </c>
      <c r="BM2481" t="s">
        <v>23793</v>
      </c>
      <c r="BN2481" t="s">
        <v>23454</v>
      </c>
    </row>
    <row r="2482" spans="1:66" x14ac:dyDescent="0.25">
      <c r="A2482" t="str">
        <f>HYPERLINK("https://elite.finviz.com/quote.ashx?t=NDAQ&amp;ty=c&amp;p=d&amp;b=1", "NDAQ")</f>
        <v>NDAQ</v>
      </c>
      <c r="B2482">
        <v>5</v>
      </c>
      <c r="C2482">
        <v>116.22</v>
      </c>
      <c r="D2482">
        <v>30.24</v>
      </c>
      <c r="E2482" t="s">
        <v>23794</v>
      </c>
      <c r="F2482" t="s">
        <v>195</v>
      </c>
      <c r="G2482" t="s">
        <v>550</v>
      </c>
      <c r="H2482" t="s">
        <v>16129</v>
      </c>
      <c r="I2482" t="s">
        <v>70</v>
      </c>
      <c r="J2482" t="s">
        <v>321</v>
      </c>
      <c r="K2482">
        <v>49954.61</v>
      </c>
      <c r="L2482">
        <v>87.06</v>
      </c>
      <c r="M2482" t="s">
        <v>3226</v>
      </c>
      <c r="N2482">
        <v>386731</v>
      </c>
      <c r="O2482">
        <v>33.450000000000003</v>
      </c>
      <c r="P2482">
        <v>23.45</v>
      </c>
      <c r="Q2482">
        <v>2.44</v>
      </c>
      <c r="R2482">
        <v>6.16</v>
      </c>
      <c r="S2482">
        <v>4.2300000000000004</v>
      </c>
      <c r="T2482" t="s">
        <v>6155</v>
      </c>
      <c r="U2482">
        <v>1.02</v>
      </c>
      <c r="V2482" t="s">
        <v>2620</v>
      </c>
      <c r="W2482" t="s">
        <v>2363</v>
      </c>
      <c r="X2482" t="s">
        <v>1396</v>
      </c>
      <c r="Y2482" t="s">
        <v>1388</v>
      </c>
      <c r="Z2482" t="s">
        <v>23795</v>
      </c>
      <c r="AA2482">
        <v>2.6</v>
      </c>
      <c r="AB2482" t="s">
        <v>4888</v>
      </c>
      <c r="AC2482" t="s">
        <v>169</v>
      </c>
      <c r="AD2482" t="s">
        <v>10137</v>
      </c>
      <c r="AE2482" t="s">
        <v>11152</v>
      </c>
      <c r="AF2482" t="s">
        <v>3837</v>
      </c>
      <c r="AG2482" t="s">
        <v>5010</v>
      </c>
      <c r="AH2482" t="s">
        <v>6064</v>
      </c>
      <c r="AI2482" t="s">
        <v>5045</v>
      </c>
      <c r="AJ2482" t="s">
        <v>3227</v>
      </c>
      <c r="AK2482" t="s">
        <v>16586</v>
      </c>
      <c r="AL2482">
        <v>0.96</v>
      </c>
      <c r="AM2482">
        <v>0.96</v>
      </c>
      <c r="AN2482">
        <v>0.82</v>
      </c>
      <c r="AO2482" t="s">
        <v>4854</v>
      </c>
      <c r="AP2482" t="s">
        <v>23796</v>
      </c>
      <c r="AQ2482" t="s">
        <v>705</v>
      </c>
      <c r="AR2482" t="s">
        <v>4267</v>
      </c>
      <c r="AS2482" t="s">
        <v>5084</v>
      </c>
      <c r="AT2482" t="s">
        <v>9927</v>
      </c>
      <c r="AU2482" t="s">
        <v>1092</v>
      </c>
      <c r="AV2482" t="s">
        <v>4530</v>
      </c>
      <c r="AW2482" t="s">
        <v>15690</v>
      </c>
      <c r="AX2482" t="s">
        <v>747</v>
      </c>
      <c r="AY2482" t="s">
        <v>15690</v>
      </c>
      <c r="AZ2482" t="s">
        <v>16681</v>
      </c>
      <c r="BA2482">
        <v>1.62</v>
      </c>
      <c r="BB2482">
        <v>3475.37</v>
      </c>
      <c r="BC2482">
        <v>0.39</v>
      </c>
      <c r="BD2482">
        <v>86.73</v>
      </c>
      <c r="BE2482">
        <v>87.45</v>
      </c>
      <c r="BF2482">
        <v>86.9</v>
      </c>
      <c r="BG2482" t="s">
        <v>23797</v>
      </c>
      <c r="BH2482" t="s">
        <v>15690</v>
      </c>
      <c r="BI2482" t="s">
        <v>23798</v>
      </c>
      <c r="BJ2482" t="s">
        <v>101</v>
      </c>
      <c r="BK2482" t="s">
        <v>10568</v>
      </c>
      <c r="BL2482" t="s">
        <v>3531</v>
      </c>
      <c r="BM2482" t="s">
        <v>4084</v>
      </c>
      <c r="BN2482" t="s">
        <v>23454</v>
      </c>
    </row>
    <row r="2483" spans="1:66" x14ac:dyDescent="0.25">
      <c r="A2483" t="str">
        <f>HYPERLINK("https://elite.finviz.com/quote.ashx?t=CAKE&amp;ty=c&amp;p=d&amp;b=1", "CAKE")</f>
        <v>CAKE</v>
      </c>
      <c r="B2483">
        <v>5</v>
      </c>
      <c r="C2483">
        <v>116.22</v>
      </c>
      <c r="D2483">
        <v>30.29</v>
      </c>
      <c r="E2483" t="s">
        <v>23799</v>
      </c>
      <c r="F2483" t="s">
        <v>67</v>
      </c>
      <c r="G2483" t="s">
        <v>813</v>
      </c>
      <c r="H2483" t="s">
        <v>2285</v>
      </c>
      <c r="I2483" t="s">
        <v>70</v>
      </c>
      <c r="J2483" t="s">
        <v>321</v>
      </c>
      <c r="K2483">
        <v>2708.73</v>
      </c>
      <c r="L2483">
        <v>54.38</v>
      </c>
      <c r="M2483" t="s">
        <v>183</v>
      </c>
      <c r="N2483">
        <v>251883</v>
      </c>
      <c r="O2483">
        <v>16.73</v>
      </c>
      <c r="P2483">
        <v>13.01</v>
      </c>
      <c r="Q2483">
        <v>1.52</v>
      </c>
      <c r="R2483">
        <v>0.74</v>
      </c>
      <c r="S2483">
        <v>6.75</v>
      </c>
      <c r="T2483" t="s">
        <v>2202</v>
      </c>
      <c r="U2483">
        <v>1.08</v>
      </c>
      <c r="V2483" t="s">
        <v>7906</v>
      </c>
      <c r="W2483" t="s">
        <v>164</v>
      </c>
      <c r="Y2483" t="s">
        <v>11628</v>
      </c>
      <c r="Z2483" t="s">
        <v>14907</v>
      </c>
      <c r="AA2483">
        <v>3.25</v>
      </c>
      <c r="AB2483" t="s">
        <v>3404</v>
      </c>
      <c r="AC2483" t="s">
        <v>7322</v>
      </c>
      <c r="AD2483" t="s">
        <v>8188</v>
      </c>
      <c r="AE2483" t="s">
        <v>161</v>
      </c>
      <c r="AF2483" t="s">
        <v>2585</v>
      </c>
      <c r="AG2483" t="s">
        <v>438</v>
      </c>
      <c r="AH2483" t="s">
        <v>4641</v>
      </c>
      <c r="AI2483" t="s">
        <v>8662</v>
      </c>
      <c r="AJ2483" t="s">
        <v>5137</v>
      </c>
      <c r="AK2483" t="s">
        <v>23800</v>
      </c>
      <c r="AL2483">
        <v>0.51</v>
      </c>
      <c r="AM2483">
        <v>0.42</v>
      </c>
      <c r="AN2483">
        <v>5.24</v>
      </c>
      <c r="AO2483" t="s">
        <v>1925</v>
      </c>
      <c r="AP2483" t="s">
        <v>7935</v>
      </c>
      <c r="AQ2483" t="s">
        <v>5497</v>
      </c>
      <c r="AR2483" t="s">
        <v>2307</v>
      </c>
      <c r="AS2483" t="s">
        <v>5660</v>
      </c>
      <c r="AT2483" t="s">
        <v>8830</v>
      </c>
      <c r="AU2483" t="s">
        <v>411</v>
      </c>
      <c r="AV2483" t="s">
        <v>10808</v>
      </c>
      <c r="AW2483" t="s">
        <v>23801</v>
      </c>
      <c r="AX2483" t="s">
        <v>5071</v>
      </c>
      <c r="AY2483" t="s">
        <v>23801</v>
      </c>
      <c r="AZ2483" t="s">
        <v>13969</v>
      </c>
      <c r="BA2483">
        <v>2.62</v>
      </c>
      <c r="BB2483">
        <v>1418.71</v>
      </c>
      <c r="BC2483">
        <v>0.63</v>
      </c>
      <c r="BD2483">
        <v>54.3</v>
      </c>
      <c r="BE2483">
        <v>55.03</v>
      </c>
      <c r="BF2483">
        <v>54.03</v>
      </c>
      <c r="BG2483" t="s">
        <v>23802</v>
      </c>
      <c r="BH2483" t="s">
        <v>23801</v>
      </c>
      <c r="BI2483" t="s">
        <v>23803</v>
      </c>
      <c r="BJ2483" t="s">
        <v>101</v>
      </c>
      <c r="BK2483" t="s">
        <v>15466</v>
      </c>
      <c r="BL2483" t="s">
        <v>1474</v>
      </c>
      <c r="BM2483" t="s">
        <v>15735</v>
      </c>
      <c r="BN2483" t="s">
        <v>23454</v>
      </c>
    </row>
    <row r="2484" spans="1:66" x14ac:dyDescent="0.25">
      <c r="A2484" t="str">
        <f>HYPERLINK("https://elite.finviz.com/quote.ashx?t=FEMY&amp;ty=c&amp;p=d&amp;b=1", "FEMY")</f>
        <v>FEMY</v>
      </c>
      <c r="B2484">
        <v>5</v>
      </c>
      <c r="C2484">
        <v>116.22</v>
      </c>
      <c r="D2484">
        <v>30.31</v>
      </c>
      <c r="E2484" t="s">
        <v>23804</v>
      </c>
      <c r="F2484" t="s">
        <v>107</v>
      </c>
      <c r="G2484" t="s">
        <v>428</v>
      </c>
      <c r="H2484" t="s">
        <v>2161</v>
      </c>
      <c r="I2484" t="s">
        <v>70</v>
      </c>
      <c r="J2484" t="s">
        <v>321</v>
      </c>
      <c r="K2484">
        <v>14.8</v>
      </c>
      <c r="L2484">
        <v>0.34</v>
      </c>
      <c r="M2484" t="s">
        <v>2402</v>
      </c>
      <c r="N2484">
        <v>251652</v>
      </c>
      <c r="R2484">
        <v>7.83</v>
      </c>
      <c r="S2484">
        <v>7.44</v>
      </c>
      <c r="AA2484">
        <v>-0.86</v>
      </c>
      <c r="AB2484" t="s">
        <v>15856</v>
      </c>
      <c r="AC2484" t="s">
        <v>2333</v>
      </c>
      <c r="AD2484" t="s">
        <v>23805</v>
      </c>
      <c r="AE2484" t="s">
        <v>8972</v>
      </c>
      <c r="AF2484" t="s">
        <v>4903</v>
      </c>
      <c r="AG2484" t="s">
        <v>2377</v>
      </c>
      <c r="AH2484" t="s">
        <v>23806</v>
      </c>
      <c r="AI2484" t="s">
        <v>6692</v>
      </c>
      <c r="AJ2484" t="s">
        <v>164</v>
      </c>
      <c r="AK2484" t="s">
        <v>5387</v>
      </c>
      <c r="AL2484">
        <v>0.89</v>
      </c>
      <c r="AM2484">
        <v>0.41</v>
      </c>
      <c r="AN2484">
        <v>5.2</v>
      </c>
      <c r="AO2484" t="s">
        <v>19410</v>
      </c>
      <c r="AP2484" t="s">
        <v>23807</v>
      </c>
      <c r="AQ2484" t="s">
        <v>23808</v>
      </c>
      <c r="AR2484" t="s">
        <v>1063</v>
      </c>
      <c r="AS2484" t="s">
        <v>10793</v>
      </c>
      <c r="AT2484" t="s">
        <v>1821</v>
      </c>
      <c r="AU2484" t="s">
        <v>23809</v>
      </c>
      <c r="AV2484" t="s">
        <v>23810</v>
      </c>
      <c r="AW2484" t="s">
        <v>7169</v>
      </c>
      <c r="AX2484" t="s">
        <v>2715</v>
      </c>
      <c r="AY2484" t="s">
        <v>23811</v>
      </c>
      <c r="AZ2484" t="s">
        <v>2715</v>
      </c>
      <c r="BA2484">
        <v>1</v>
      </c>
      <c r="BB2484">
        <v>1122.8599999999999</v>
      </c>
      <c r="BC2484">
        <v>0.79</v>
      </c>
      <c r="BD2484">
        <v>0.34</v>
      </c>
      <c r="BE2484">
        <v>0.36</v>
      </c>
      <c r="BF2484">
        <v>0.34</v>
      </c>
      <c r="BG2484" t="s">
        <v>23812</v>
      </c>
      <c r="BH2484" t="s">
        <v>23728</v>
      </c>
      <c r="BI2484" t="s">
        <v>7328</v>
      </c>
      <c r="BJ2484" t="s">
        <v>101</v>
      </c>
      <c r="BK2484" t="s">
        <v>23813</v>
      </c>
      <c r="BL2484" t="s">
        <v>16395</v>
      </c>
      <c r="BM2484" t="s">
        <v>23814</v>
      </c>
      <c r="BN2484" t="s">
        <v>23454</v>
      </c>
    </row>
    <row r="2485" spans="1:66" x14ac:dyDescent="0.25">
      <c r="A2485" t="str">
        <f>HYPERLINK("https://elite.finviz.com/quote.ashx?t=CHYM&amp;ty=c&amp;p=d&amp;b=1", "CHYM")</f>
        <v>CHYM</v>
      </c>
      <c r="B2485">
        <v>5</v>
      </c>
      <c r="C2485">
        <v>116.22</v>
      </c>
      <c r="D2485">
        <v>30.34</v>
      </c>
      <c r="E2485" t="s">
        <v>23815</v>
      </c>
      <c r="F2485" t="s">
        <v>107</v>
      </c>
      <c r="G2485" t="s">
        <v>108</v>
      </c>
      <c r="H2485" t="s">
        <v>136</v>
      </c>
      <c r="I2485" t="s">
        <v>70</v>
      </c>
      <c r="J2485" t="s">
        <v>321</v>
      </c>
      <c r="K2485">
        <v>7843.1</v>
      </c>
      <c r="L2485">
        <v>21.1</v>
      </c>
      <c r="M2485" t="s">
        <v>4155</v>
      </c>
      <c r="N2485">
        <v>842677</v>
      </c>
      <c r="R2485">
        <v>4.13</v>
      </c>
      <c r="S2485">
        <v>5.48</v>
      </c>
      <c r="AA2485">
        <v>-2.6</v>
      </c>
      <c r="AB2485" t="s">
        <v>23816</v>
      </c>
      <c r="AE2485" t="s">
        <v>5500</v>
      </c>
      <c r="AF2485" t="s">
        <v>13325</v>
      </c>
      <c r="AH2485" t="s">
        <v>23102</v>
      </c>
      <c r="AI2485" t="s">
        <v>9136</v>
      </c>
      <c r="AJ2485" t="s">
        <v>164</v>
      </c>
      <c r="AK2485" t="s">
        <v>22478</v>
      </c>
      <c r="AL2485">
        <v>4.83</v>
      </c>
      <c r="AM2485">
        <v>4.83</v>
      </c>
      <c r="AN2485">
        <v>0.06</v>
      </c>
      <c r="AO2485" t="s">
        <v>23817</v>
      </c>
      <c r="AP2485" t="s">
        <v>23818</v>
      </c>
      <c r="AQ2485" t="s">
        <v>5203</v>
      </c>
      <c r="AR2485" t="s">
        <v>229</v>
      </c>
      <c r="AS2485" t="s">
        <v>1950</v>
      </c>
      <c r="AT2485" t="s">
        <v>13219</v>
      </c>
      <c r="AU2485" t="s">
        <v>17246</v>
      </c>
      <c r="AV2485" t="s">
        <v>1878</v>
      </c>
      <c r="AW2485" t="s">
        <v>13843</v>
      </c>
      <c r="AX2485" t="s">
        <v>4501</v>
      </c>
      <c r="AY2485" t="s">
        <v>19479</v>
      </c>
      <c r="AZ2485" t="s">
        <v>4501</v>
      </c>
      <c r="BA2485">
        <v>1.86</v>
      </c>
      <c r="BB2485">
        <v>2755.06</v>
      </c>
      <c r="BC2485">
        <v>1.08</v>
      </c>
      <c r="BD2485">
        <v>21.56</v>
      </c>
      <c r="BE2485">
        <v>21.56</v>
      </c>
      <c r="BF2485">
        <v>21.02</v>
      </c>
      <c r="BG2485" t="s">
        <v>23819</v>
      </c>
      <c r="BH2485" t="s">
        <v>19479</v>
      </c>
      <c r="BI2485" t="s">
        <v>4501</v>
      </c>
      <c r="BJ2485" t="s">
        <v>101</v>
      </c>
      <c r="BK2485" t="s">
        <v>18577</v>
      </c>
      <c r="BN2485" t="s">
        <v>23454</v>
      </c>
    </row>
    <row r="2486" spans="1:66" x14ac:dyDescent="0.25">
      <c r="A2486" t="str">
        <f>HYPERLINK("https://elite.finviz.com/quote.ashx?t=SHAK&amp;ty=c&amp;p=d&amp;b=1", "SHAK")</f>
        <v>SHAK</v>
      </c>
      <c r="B2486">
        <v>5</v>
      </c>
      <c r="C2486">
        <v>116.22</v>
      </c>
      <c r="D2486">
        <v>30.42</v>
      </c>
      <c r="E2486" t="s">
        <v>23820</v>
      </c>
      <c r="F2486" t="s">
        <v>67</v>
      </c>
      <c r="G2486" t="s">
        <v>813</v>
      </c>
      <c r="H2486" t="s">
        <v>2285</v>
      </c>
      <c r="I2486" t="s">
        <v>70</v>
      </c>
      <c r="J2486" t="s">
        <v>71</v>
      </c>
      <c r="K2486">
        <v>3985.52</v>
      </c>
      <c r="L2486">
        <v>93.36</v>
      </c>
      <c r="M2486" t="s">
        <v>110</v>
      </c>
      <c r="N2486">
        <v>90521</v>
      </c>
      <c r="O2486">
        <v>201.09</v>
      </c>
      <c r="P2486">
        <v>53.99</v>
      </c>
      <c r="Q2486">
        <v>5.93</v>
      </c>
      <c r="R2486">
        <v>3.01</v>
      </c>
      <c r="S2486">
        <v>7.6</v>
      </c>
      <c r="Z2486" t="s">
        <v>164</v>
      </c>
      <c r="AA2486">
        <v>0.46</v>
      </c>
      <c r="AC2486" t="s">
        <v>3770</v>
      </c>
      <c r="AD2486" t="s">
        <v>725</v>
      </c>
      <c r="AE2486" t="s">
        <v>6598</v>
      </c>
      <c r="AF2486" t="s">
        <v>955</v>
      </c>
      <c r="AG2486" t="s">
        <v>6814</v>
      </c>
      <c r="AH2486" t="s">
        <v>11871</v>
      </c>
      <c r="AI2486" t="s">
        <v>12220</v>
      </c>
      <c r="AJ2486" t="s">
        <v>14948</v>
      </c>
      <c r="AK2486" t="s">
        <v>23821</v>
      </c>
      <c r="AL2486">
        <v>1.92</v>
      </c>
      <c r="AM2486">
        <v>1.89</v>
      </c>
      <c r="AN2486">
        <v>1.72</v>
      </c>
      <c r="AO2486" t="s">
        <v>6830</v>
      </c>
      <c r="AP2486" t="s">
        <v>6527</v>
      </c>
      <c r="AQ2486" t="s">
        <v>4780</v>
      </c>
      <c r="AR2486" t="s">
        <v>305</v>
      </c>
      <c r="AS2486" t="s">
        <v>2543</v>
      </c>
      <c r="AT2486" t="s">
        <v>2355</v>
      </c>
      <c r="AU2486" t="s">
        <v>1589</v>
      </c>
      <c r="AV2486" t="s">
        <v>4368</v>
      </c>
      <c r="AW2486" t="s">
        <v>23822</v>
      </c>
      <c r="AX2486" t="s">
        <v>6719</v>
      </c>
      <c r="AY2486" t="s">
        <v>23823</v>
      </c>
      <c r="AZ2486" t="s">
        <v>20479</v>
      </c>
      <c r="BA2486">
        <v>2.48</v>
      </c>
      <c r="BB2486">
        <v>1358.2</v>
      </c>
      <c r="BC2486">
        <v>0.23</v>
      </c>
      <c r="BD2486">
        <v>94.21</v>
      </c>
      <c r="BE2486">
        <v>94.52</v>
      </c>
      <c r="BF2486">
        <v>92.84</v>
      </c>
      <c r="BG2486" t="s">
        <v>23824</v>
      </c>
      <c r="BH2486" t="s">
        <v>23823</v>
      </c>
      <c r="BI2486" t="s">
        <v>23825</v>
      </c>
      <c r="BJ2486" t="s">
        <v>101</v>
      </c>
      <c r="BK2486" t="s">
        <v>9903</v>
      </c>
      <c r="BL2486" t="s">
        <v>8425</v>
      </c>
      <c r="BM2486" t="s">
        <v>3975</v>
      </c>
      <c r="BN2486" t="s">
        <v>23454</v>
      </c>
    </row>
    <row r="2487" spans="1:66" x14ac:dyDescent="0.25">
      <c r="A2487" t="str">
        <f>HYPERLINK("https://elite.finviz.com/quote.ashx?t=PRMB&amp;ty=c&amp;p=d&amp;b=1", "PRMB")</f>
        <v>PRMB</v>
      </c>
      <c r="B2487">
        <v>5</v>
      </c>
      <c r="C2487">
        <v>116.22</v>
      </c>
      <c r="D2487">
        <v>30.48</v>
      </c>
      <c r="E2487" t="s">
        <v>23826</v>
      </c>
      <c r="F2487" t="s">
        <v>107</v>
      </c>
      <c r="G2487" t="s">
        <v>2244</v>
      </c>
      <c r="H2487" t="s">
        <v>4568</v>
      </c>
      <c r="I2487" t="s">
        <v>70</v>
      </c>
      <c r="J2487" t="s">
        <v>71</v>
      </c>
      <c r="K2487">
        <v>8389.2800000000007</v>
      </c>
      <c r="L2487">
        <v>22.46</v>
      </c>
      <c r="M2487" t="s">
        <v>6192</v>
      </c>
      <c r="N2487">
        <v>677042</v>
      </c>
      <c r="P2487">
        <v>13.85</v>
      </c>
      <c r="R2487">
        <v>1.6</v>
      </c>
      <c r="S2487">
        <v>2.58</v>
      </c>
      <c r="T2487" t="s">
        <v>2201</v>
      </c>
      <c r="U2487">
        <v>0.39</v>
      </c>
      <c r="V2487" t="s">
        <v>5037</v>
      </c>
      <c r="W2487" t="s">
        <v>6206</v>
      </c>
      <c r="X2487" t="s">
        <v>5699</v>
      </c>
      <c r="Y2487" t="s">
        <v>712</v>
      </c>
      <c r="AA2487">
        <v>-0.12</v>
      </c>
      <c r="AB2487" t="s">
        <v>7836</v>
      </c>
      <c r="AD2487" t="s">
        <v>13611</v>
      </c>
      <c r="AE2487" t="s">
        <v>23827</v>
      </c>
      <c r="AF2487" t="s">
        <v>10664</v>
      </c>
      <c r="AG2487" t="s">
        <v>2117</v>
      </c>
      <c r="AH2487" t="s">
        <v>23828</v>
      </c>
      <c r="AI2487" t="s">
        <v>11786</v>
      </c>
      <c r="AJ2487" t="s">
        <v>23829</v>
      </c>
      <c r="AK2487" t="s">
        <v>12373</v>
      </c>
      <c r="AL2487">
        <v>1.06</v>
      </c>
      <c r="AM2487">
        <v>0.88</v>
      </c>
      <c r="AN2487">
        <v>1.76</v>
      </c>
      <c r="AO2487" t="s">
        <v>12481</v>
      </c>
      <c r="AP2487" t="s">
        <v>7698</v>
      </c>
      <c r="AQ2487" t="s">
        <v>1787</v>
      </c>
      <c r="AR2487" t="s">
        <v>4256</v>
      </c>
      <c r="AS2487" t="s">
        <v>2582</v>
      </c>
      <c r="AT2487" t="s">
        <v>77</v>
      </c>
      <c r="AU2487" t="s">
        <v>21990</v>
      </c>
      <c r="AV2487" t="s">
        <v>14268</v>
      </c>
      <c r="AW2487" t="s">
        <v>4805</v>
      </c>
      <c r="AX2487" t="s">
        <v>304</v>
      </c>
      <c r="AY2487" t="s">
        <v>23830</v>
      </c>
      <c r="AZ2487" t="s">
        <v>4323</v>
      </c>
      <c r="BA2487">
        <v>1.38</v>
      </c>
      <c r="BB2487">
        <v>6550.41</v>
      </c>
      <c r="BC2487">
        <v>0.36</v>
      </c>
      <c r="BD2487">
        <v>22.48</v>
      </c>
      <c r="BE2487">
        <v>22.59</v>
      </c>
      <c r="BF2487">
        <v>22.34</v>
      </c>
      <c r="BG2487" t="s">
        <v>23831</v>
      </c>
      <c r="BH2487" t="s">
        <v>23832</v>
      </c>
      <c r="BI2487" t="s">
        <v>23833</v>
      </c>
      <c r="BJ2487" t="s">
        <v>101</v>
      </c>
      <c r="BK2487" t="s">
        <v>23834</v>
      </c>
      <c r="BL2487" t="s">
        <v>3090</v>
      </c>
      <c r="BM2487" t="s">
        <v>2836</v>
      </c>
      <c r="BN2487" t="s">
        <v>23454</v>
      </c>
    </row>
    <row r="2488" spans="1:66" x14ac:dyDescent="0.25">
      <c r="A2488" t="str">
        <f>HYPERLINK("https://elite.finviz.com/quote.ashx?t=CHD&amp;ty=c&amp;p=d&amp;b=1", "CHD")</f>
        <v>CHD</v>
      </c>
      <c r="B2488">
        <v>5</v>
      </c>
      <c r="C2488">
        <v>116.22</v>
      </c>
      <c r="D2488">
        <v>30.62</v>
      </c>
      <c r="E2488" t="s">
        <v>23835</v>
      </c>
      <c r="F2488" t="s">
        <v>195</v>
      </c>
      <c r="G2488" t="s">
        <v>2244</v>
      </c>
      <c r="H2488" t="s">
        <v>5311</v>
      </c>
      <c r="I2488" t="s">
        <v>70</v>
      </c>
      <c r="J2488" t="s">
        <v>71</v>
      </c>
      <c r="K2488">
        <v>20999.07</v>
      </c>
      <c r="L2488">
        <v>86.2</v>
      </c>
      <c r="M2488" t="s">
        <v>1409</v>
      </c>
      <c r="N2488">
        <v>289583</v>
      </c>
      <c r="O2488">
        <v>40.659999999999997</v>
      </c>
      <c r="P2488">
        <v>23.09</v>
      </c>
      <c r="Q2488">
        <v>8.2799999999999994</v>
      </c>
      <c r="R2488">
        <v>3.46</v>
      </c>
      <c r="S2488">
        <v>4.78</v>
      </c>
      <c r="T2488" t="s">
        <v>4856</v>
      </c>
      <c r="U2488">
        <v>1.17</v>
      </c>
      <c r="V2488" t="s">
        <v>3046</v>
      </c>
      <c r="W2488" t="s">
        <v>4908</v>
      </c>
      <c r="X2488" t="s">
        <v>2170</v>
      </c>
      <c r="Y2488" t="s">
        <v>1872</v>
      </c>
      <c r="Z2488" t="s">
        <v>23836</v>
      </c>
      <c r="AA2488">
        <v>2.12</v>
      </c>
      <c r="AB2488" t="s">
        <v>8794</v>
      </c>
      <c r="AC2488" t="s">
        <v>7270</v>
      </c>
      <c r="AD2488" t="s">
        <v>5163</v>
      </c>
      <c r="AE2488" t="s">
        <v>273</v>
      </c>
      <c r="AF2488" t="s">
        <v>4697</v>
      </c>
      <c r="AG2488" t="s">
        <v>9751</v>
      </c>
      <c r="AH2488" t="s">
        <v>386</v>
      </c>
      <c r="AI2488" t="s">
        <v>3230</v>
      </c>
      <c r="AJ2488" t="s">
        <v>2870</v>
      </c>
      <c r="AK2488" t="s">
        <v>11028</v>
      </c>
      <c r="AL2488">
        <v>1.84</v>
      </c>
      <c r="AM2488">
        <v>1.33</v>
      </c>
      <c r="AN2488">
        <v>0.55000000000000004</v>
      </c>
      <c r="AO2488" t="s">
        <v>3902</v>
      </c>
      <c r="AP2488" t="s">
        <v>1844</v>
      </c>
      <c r="AQ2488" t="s">
        <v>191</v>
      </c>
      <c r="AR2488" t="s">
        <v>4800</v>
      </c>
      <c r="AS2488" t="s">
        <v>3757</v>
      </c>
      <c r="AT2488" t="s">
        <v>2593</v>
      </c>
      <c r="AU2488" t="s">
        <v>5134</v>
      </c>
      <c r="AV2488" t="s">
        <v>18084</v>
      </c>
      <c r="AW2488" t="s">
        <v>5934</v>
      </c>
      <c r="AX2488" t="s">
        <v>8179</v>
      </c>
      <c r="AY2488" t="s">
        <v>23837</v>
      </c>
      <c r="AZ2488" t="s">
        <v>8179</v>
      </c>
      <c r="BA2488">
        <v>2.67</v>
      </c>
      <c r="BB2488">
        <v>2152.52</v>
      </c>
      <c r="BC2488">
        <v>0.47</v>
      </c>
      <c r="BD2488">
        <v>85.84</v>
      </c>
      <c r="BE2488">
        <v>86.73</v>
      </c>
      <c r="BF2488">
        <v>85.92</v>
      </c>
      <c r="BG2488" t="s">
        <v>23838</v>
      </c>
      <c r="BH2488" t="s">
        <v>23837</v>
      </c>
      <c r="BI2488" t="s">
        <v>23839</v>
      </c>
      <c r="BJ2488" t="s">
        <v>101</v>
      </c>
      <c r="BK2488" t="s">
        <v>15153</v>
      </c>
      <c r="BL2488" t="s">
        <v>23840</v>
      </c>
      <c r="BM2488" t="s">
        <v>17450</v>
      </c>
      <c r="BN2488" t="s">
        <v>23454</v>
      </c>
    </row>
    <row r="2489" spans="1:66" x14ac:dyDescent="0.25">
      <c r="A2489" t="str">
        <f>HYPERLINK("https://elite.finviz.com/quote.ashx?t=FRPT&amp;ty=c&amp;p=d&amp;b=1", "FRPT")</f>
        <v>FRPT</v>
      </c>
      <c r="B2489">
        <v>5</v>
      </c>
      <c r="C2489">
        <v>116.22</v>
      </c>
      <c r="D2489">
        <v>30.71</v>
      </c>
      <c r="E2489" t="s">
        <v>23841</v>
      </c>
      <c r="F2489" t="s">
        <v>107</v>
      </c>
      <c r="G2489" t="s">
        <v>2244</v>
      </c>
      <c r="H2489" t="s">
        <v>3269</v>
      </c>
      <c r="I2489" t="s">
        <v>70</v>
      </c>
      <c r="J2489" t="s">
        <v>321</v>
      </c>
      <c r="K2489">
        <v>2379.4499999999998</v>
      </c>
      <c r="L2489">
        <v>48.78</v>
      </c>
      <c r="M2489" t="s">
        <v>3634</v>
      </c>
      <c r="N2489">
        <v>224248</v>
      </c>
      <c r="O2489">
        <v>73.75</v>
      </c>
      <c r="P2489">
        <v>24.66</v>
      </c>
      <c r="Q2489">
        <v>1.52</v>
      </c>
      <c r="R2489">
        <v>2.2799999999999998</v>
      </c>
      <c r="S2489">
        <v>2.2200000000000002</v>
      </c>
      <c r="Z2489" t="s">
        <v>164</v>
      </c>
      <c r="AA2489">
        <v>0.66</v>
      </c>
      <c r="AD2489" t="s">
        <v>23842</v>
      </c>
      <c r="AE2489" t="s">
        <v>758</v>
      </c>
      <c r="AF2489" t="s">
        <v>956</v>
      </c>
      <c r="AG2489" t="s">
        <v>4761</v>
      </c>
      <c r="AH2489" t="s">
        <v>11867</v>
      </c>
      <c r="AI2489" t="s">
        <v>23843</v>
      </c>
      <c r="AJ2489" t="s">
        <v>2216</v>
      </c>
      <c r="AK2489" t="s">
        <v>21775</v>
      </c>
      <c r="AL2489">
        <v>4.8099999999999996</v>
      </c>
      <c r="AM2489">
        <v>3.75</v>
      </c>
      <c r="AN2489">
        <v>0.46</v>
      </c>
      <c r="AO2489" t="s">
        <v>23805</v>
      </c>
      <c r="AP2489" t="s">
        <v>2580</v>
      </c>
      <c r="AQ2489" t="s">
        <v>5187</v>
      </c>
      <c r="AR2489" t="s">
        <v>6770</v>
      </c>
      <c r="AS2489" t="s">
        <v>3334</v>
      </c>
      <c r="AT2489" t="s">
        <v>8182</v>
      </c>
      <c r="AU2489" t="s">
        <v>17649</v>
      </c>
      <c r="AV2489" t="s">
        <v>13965</v>
      </c>
      <c r="AW2489" t="s">
        <v>17847</v>
      </c>
      <c r="AX2489" t="s">
        <v>6245</v>
      </c>
      <c r="AY2489" t="s">
        <v>5810</v>
      </c>
      <c r="AZ2489" t="s">
        <v>6245</v>
      </c>
      <c r="BA2489">
        <v>1.68</v>
      </c>
      <c r="BB2489">
        <v>1445.74</v>
      </c>
      <c r="BC2489">
        <v>0.55000000000000004</v>
      </c>
      <c r="BD2489">
        <v>49.25</v>
      </c>
      <c r="BE2489">
        <v>49.31</v>
      </c>
      <c r="BF2489">
        <v>48.45</v>
      </c>
      <c r="BG2489" t="s">
        <v>23844</v>
      </c>
      <c r="BH2489" t="s">
        <v>19653</v>
      </c>
      <c r="BI2489" t="s">
        <v>23845</v>
      </c>
      <c r="BJ2489" t="s">
        <v>101</v>
      </c>
      <c r="BK2489" t="s">
        <v>23846</v>
      </c>
      <c r="BL2489" t="s">
        <v>23847</v>
      </c>
      <c r="BM2489" t="s">
        <v>23848</v>
      </c>
      <c r="BN2489" t="s">
        <v>23454</v>
      </c>
    </row>
    <row r="2490" spans="1:66" x14ac:dyDescent="0.25">
      <c r="A2490" t="str">
        <f>HYPERLINK("https://elite.finviz.com/quote.ashx?t=FIS&amp;ty=c&amp;p=d&amp;b=1", "FIS")</f>
        <v>FIS</v>
      </c>
      <c r="B2490">
        <v>5</v>
      </c>
      <c r="C2490">
        <v>116.22</v>
      </c>
      <c r="D2490">
        <v>30.75</v>
      </c>
      <c r="E2490" t="s">
        <v>23849</v>
      </c>
      <c r="F2490" t="s">
        <v>195</v>
      </c>
      <c r="G2490" t="s">
        <v>108</v>
      </c>
      <c r="H2490" t="s">
        <v>1322</v>
      </c>
      <c r="I2490" t="s">
        <v>70</v>
      </c>
      <c r="J2490" t="s">
        <v>71</v>
      </c>
      <c r="K2490">
        <v>33364.32</v>
      </c>
      <c r="L2490">
        <v>63.87</v>
      </c>
      <c r="M2490" t="s">
        <v>4494</v>
      </c>
      <c r="N2490">
        <v>654326</v>
      </c>
      <c r="O2490">
        <v>239.12</v>
      </c>
      <c r="P2490">
        <v>10.18</v>
      </c>
      <c r="Q2490">
        <v>25.85</v>
      </c>
      <c r="R2490">
        <v>3.23</v>
      </c>
      <c r="S2490">
        <v>2.36</v>
      </c>
      <c r="T2490" t="s">
        <v>451</v>
      </c>
      <c r="U2490">
        <v>1.56</v>
      </c>
      <c r="V2490" t="s">
        <v>5717</v>
      </c>
      <c r="W2490" t="s">
        <v>4959</v>
      </c>
      <c r="X2490" t="s">
        <v>2617</v>
      </c>
      <c r="Y2490" t="s">
        <v>2216</v>
      </c>
      <c r="Z2490" t="s">
        <v>23850</v>
      </c>
      <c r="AA2490">
        <v>0.27</v>
      </c>
      <c r="AB2490" t="s">
        <v>9434</v>
      </c>
      <c r="AC2490" t="s">
        <v>2963</v>
      </c>
      <c r="AD2490" t="s">
        <v>9280</v>
      </c>
      <c r="AE2490" t="s">
        <v>5111</v>
      </c>
      <c r="AF2490" t="s">
        <v>2888</v>
      </c>
      <c r="AG2490" t="s">
        <v>2486</v>
      </c>
      <c r="AH2490" t="s">
        <v>1104</v>
      </c>
      <c r="AI2490" t="s">
        <v>3752</v>
      </c>
      <c r="AJ2490" t="s">
        <v>3598</v>
      </c>
      <c r="AK2490" t="s">
        <v>10088</v>
      </c>
      <c r="AL2490">
        <v>0.59</v>
      </c>
      <c r="AM2490">
        <v>0.59</v>
      </c>
      <c r="AN2490">
        <v>0.92</v>
      </c>
      <c r="AO2490" t="s">
        <v>13084</v>
      </c>
      <c r="AP2490" t="s">
        <v>1458</v>
      </c>
      <c r="AQ2490" t="s">
        <v>9136</v>
      </c>
      <c r="AR2490" t="s">
        <v>4891</v>
      </c>
      <c r="AS2490" t="s">
        <v>6975</v>
      </c>
      <c r="AT2490" t="s">
        <v>11675</v>
      </c>
      <c r="AU2490" t="s">
        <v>16226</v>
      </c>
      <c r="AV2490" t="s">
        <v>10962</v>
      </c>
      <c r="AW2490" t="s">
        <v>11193</v>
      </c>
      <c r="AX2490" t="s">
        <v>1025</v>
      </c>
      <c r="AY2490" t="s">
        <v>5030</v>
      </c>
      <c r="AZ2490" t="s">
        <v>1025</v>
      </c>
      <c r="BA2490">
        <v>2</v>
      </c>
      <c r="BB2490">
        <v>3650.73</v>
      </c>
      <c r="BC2490">
        <v>0.63</v>
      </c>
      <c r="BD2490">
        <v>63.79</v>
      </c>
      <c r="BE2490">
        <v>64.33</v>
      </c>
      <c r="BF2490">
        <v>63.72</v>
      </c>
      <c r="BG2490" t="s">
        <v>23851</v>
      </c>
      <c r="BH2490" t="s">
        <v>22340</v>
      </c>
      <c r="BI2490" t="s">
        <v>23852</v>
      </c>
      <c r="BJ2490" t="s">
        <v>101</v>
      </c>
      <c r="BK2490" t="s">
        <v>16826</v>
      </c>
      <c r="BL2490" t="s">
        <v>14455</v>
      </c>
      <c r="BM2490" t="s">
        <v>7158</v>
      </c>
      <c r="BN2490" t="s">
        <v>23454</v>
      </c>
    </row>
    <row r="2491" spans="1:66" x14ac:dyDescent="0.25">
      <c r="A2491" t="str">
        <f>HYPERLINK("https://elite.finviz.com/quote.ashx?t=RBA&amp;ty=c&amp;p=d&amp;b=1", "RBA")</f>
        <v>RBA</v>
      </c>
      <c r="B2491">
        <v>5</v>
      </c>
      <c r="C2491">
        <v>116.22</v>
      </c>
      <c r="D2491">
        <v>30.82</v>
      </c>
      <c r="E2491" t="s">
        <v>23853</v>
      </c>
      <c r="F2491" t="s">
        <v>107</v>
      </c>
      <c r="G2491" t="s">
        <v>260</v>
      </c>
      <c r="H2491" t="s">
        <v>1077</v>
      </c>
      <c r="I2491" t="s">
        <v>70</v>
      </c>
      <c r="J2491" t="s">
        <v>71</v>
      </c>
      <c r="K2491">
        <v>20035.52</v>
      </c>
      <c r="L2491">
        <v>107.95</v>
      </c>
      <c r="M2491" t="s">
        <v>1722</v>
      </c>
      <c r="N2491">
        <v>225639</v>
      </c>
      <c r="O2491">
        <v>53.3</v>
      </c>
      <c r="P2491">
        <v>25.65</v>
      </c>
      <c r="R2491">
        <v>4.53</v>
      </c>
      <c r="S2491">
        <v>3.67</v>
      </c>
      <c r="T2491" t="s">
        <v>273</v>
      </c>
      <c r="U2491">
        <v>1.18</v>
      </c>
      <c r="V2491" t="s">
        <v>6765</v>
      </c>
      <c r="W2491" t="s">
        <v>4765</v>
      </c>
      <c r="X2491" t="s">
        <v>370</v>
      </c>
      <c r="Y2491" t="s">
        <v>9478</v>
      </c>
      <c r="Z2491" t="s">
        <v>8060</v>
      </c>
      <c r="AA2491">
        <v>2.0299999999999998</v>
      </c>
      <c r="AB2491" t="s">
        <v>6608</v>
      </c>
      <c r="AC2491" t="s">
        <v>3837</v>
      </c>
      <c r="AE2491" t="s">
        <v>2809</v>
      </c>
      <c r="AF2491" t="s">
        <v>422</v>
      </c>
      <c r="AG2491" t="s">
        <v>8110</v>
      </c>
      <c r="AH2491" t="s">
        <v>2861</v>
      </c>
      <c r="AI2491" t="s">
        <v>1206</v>
      </c>
      <c r="AJ2491" t="s">
        <v>23854</v>
      </c>
      <c r="AK2491" t="s">
        <v>23855</v>
      </c>
      <c r="AL2491">
        <v>1.28</v>
      </c>
      <c r="AM2491">
        <v>1.22</v>
      </c>
      <c r="AN2491">
        <v>0.87</v>
      </c>
      <c r="AO2491" t="s">
        <v>870</v>
      </c>
      <c r="AP2491" t="s">
        <v>7379</v>
      </c>
      <c r="AQ2491" t="s">
        <v>5607</v>
      </c>
      <c r="AR2491" t="s">
        <v>1761</v>
      </c>
      <c r="AS2491" t="s">
        <v>2082</v>
      </c>
      <c r="AT2491" t="s">
        <v>12466</v>
      </c>
      <c r="AU2491" t="s">
        <v>11801</v>
      </c>
      <c r="AV2491" t="s">
        <v>5395</v>
      </c>
      <c r="AW2491" t="s">
        <v>5767</v>
      </c>
      <c r="AX2491" t="s">
        <v>6155</v>
      </c>
      <c r="AY2491" t="s">
        <v>5767</v>
      </c>
      <c r="AZ2491" t="s">
        <v>5029</v>
      </c>
      <c r="BA2491">
        <v>2.08</v>
      </c>
      <c r="BB2491">
        <v>1012.12</v>
      </c>
      <c r="BC2491">
        <v>0.79</v>
      </c>
      <c r="BD2491">
        <v>109.02</v>
      </c>
      <c r="BE2491">
        <v>109.46</v>
      </c>
      <c r="BF2491">
        <v>107.91</v>
      </c>
      <c r="BG2491" t="s">
        <v>23856</v>
      </c>
      <c r="BH2491" t="s">
        <v>5767</v>
      </c>
      <c r="BI2491" t="s">
        <v>23857</v>
      </c>
      <c r="BJ2491" t="s">
        <v>101</v>
      </c>
      <c r="BK2491" t="s">
        <v>3544</v>
      </c>
      <c r="BL2491" t="s">
        <v>2406</v>
      </c>
      <c r="BM2491" t="s">
        <v>14666</v>
      </c>
      <c r="BN2491" t="s">
        <v>23454</v>
      </c>
    </row>
    <row r="2492" spans="1:66" x14ac:dyDescent="0.25">
      <c r="A2492" t="str">
        <f>HYPERLINK("https://elite.finviz.com/quote.ashx?t=BEN&amp;ty=c&amp;p=d&amp;b=1", "BEN")</f>
        <v>BEN</v>
      </c>
      <c r="B2492">
        <v>5</v>
      </c>
      <c r="C2492">
        <v>116.22</v>
      </c>
      <c r="D2492">
        <v>30.85</v>
      </c>
      <c r="E2492" t="s">
        <v>23858</v>
      </c>
      <c r="F2492" t="s">
        <v>195</v>
      </c>
      <c r="G2492" t="s">
        <v>550</v>
      </c>
      <c r="H2492" t="s">
        <v>2597</v>
      </c>
      <c r="I2492" t="s">
        <v>70</v>
      </c>
      <c r="J2492" t="s">
        <v>71</v>
      </c>
      <c r="K2492">
        <v>12094.65</v>
      </c>
      <c r="L2492">
        <v>23.3</v>
      </c>
      <c r="M2492" t="s">
        <v>2203</v>
      </c>
      <c r="N2492">
        <v>546181</v>
      </c>
      <c r="O2492">
        <v>44.67</v>
      </c>
      <c r="P2492">
        <v>9.34</v>
      </c>
      <c r="Q2492">
        <v>7.58</v>
      </c>
      <c r="R2492">
        <v>1.4</v>
      </c>
      <c r="S2492">
        <v>0.99</v>
      </c>
      <c r="T2492" t="s">
        <v>7231</v>
      </c>
      <c r="U2492">
        <v>1.27</v>
      </c>
      <c r="V2492" t="s">
        <v>198</v>
      </c>
      <c r="W2492" t="s">
        <v>4189</v>
      </c>
      <c r="X2492" t="s">
        <v>6150</v>
      </c>
      <c r="Y2492" t="s">
        <v>3244</v>
      </c>
      <c r="Z2492" t="s">
        <v>23859</v>
      </c>
      <c r="AA2492">
        <v>0.52</v>
      </c>
      <c r="AB2492" t="s">
        <v>18219</v>
      </c>
      <c r="AC2492" t="s">
        <v>12247</v>
      </c>
      <c r="AD2492" t="s">
        <v>4551</v>
      </c>
      <c r="AE2492" t="s">
        <v>372</v>
      </c>
      <c r="AF2492" t="s">
        <v>4539</v>
      </c>
      <c r="AG2492" t="s">
        <v>466</v>
      </c>
      <c r="AH2492" t="s">
        <v>7413</v>
      </c>
      <c r="AI2492" t="s">
        <v>2145</v>
      </c>
      <c r="AJ2492" t="s">
        <v>164</v>
      </c>
      <c r="AK2492" t="s">
        <v>7812</v>
      </c>
      <c r="AL2492">
        <v>1.53</v>
      </c>
      <c r="AM2492">
        <v>1.53</v>
      </c>
      <c r="AN2492">
        <v>1.0900000000000001</v>
      </c>
      <c r="AO2492" t="s">
        <v>23860</v>
      </c>
      <c r="AP2492" t="s">
        <v>7655</v>
      </c>
      <c r="AQ2492" t="s">
        <v>911</v>
      </c>
      <c r="AR2492" t="s">
        <v>2186</v>
      </c>
      <c r="AS2492" t="s">
        <v>3925</v>
      </c>
      <c r="AT2492" t="s">
        <v>8830</v>
      </c>
      <c r="AU2492" t="s">
        <v>12333</v>
      </c>
      <c r="AV2492" t="s">
        <v>7942</v>
      </c>
      <c r="AW2492" t="s">
        <v>5846</v>
      </c>
      <c r="AX2492" t="s">
        <v>3856</v>
      </c>
      <c r="AY2492" t="s">
        <v>5846</v>
      </c>
      <c r="AZ2492" t="s">
        <v>21489</v>
      </c>
      <c r="BA2492">
        <v>3.42</v>
      </c>
      <c r="BB2492">
        <v>3832.77</v>
      </c>
      <c r="BC2492">
        <v>0.5</v>
      </c>
      <c r="BD2492">
        <v>23.4</v>
      </c>
      <c r="BE2492">
        <v>23.58</v>
      </c>
      <c r="BF2492">
        <v>23.28</v>
      </c>
      <c r="BG2492" t="s">
        <v>23861</v>
      </c>
      <c r="BH2492" t="s">
        <v>23862</v>
      </c>
      <c r="BI2492" t="s">
        <v>23863</v>
      </c>
      <c r="BJ2492" t="s">
        <v>101</v>
      </c>
      <c r="BK2492" t="s">
        <v>4595</v>
      </c>
      <c r="BL2492" t="s">
        <v>4314</v>
      </c>
      <c r="BM2492" t="s">
        <v>5841</v>
      </c>
      <c r="BN2492" t="s">
        <v>23454</v>
      </c>
    </row>
    <row r="2493" spans="1:66" x14ac:dyDescent="0.25">
      <c r="A2493" t="str">
        <f>HYPERLINK("https://elite.finviz.com/quote.ashx?t=BLDR&amp;ty=c&amp;p=d&amp;b=1", "BLDR")</f>
        <v>BLDR</v>
      </c>
      <c r="B2493">
        <v>5</v>
      </c>
      <c r="C2493">
        <v>116.22</v>
      </c>
      <c r="D2493">
        <v>31.31</v>
      </c>
      <c r="E2493" t="s">
        <v>23864</v>
      </c>
      <c r="F2493" t="s">
        <v>195</v>
      </c>
      <c r="G2493" t="s">
        <v>260</v>
      </c>
      <c r="H2493" t="s">
        <v>3225</v>
      </c>
      <c r="I2493" t="s">
        <v>70</v>
      </c>
      <c r="J2493" t="s">
        <v>71</v>
      </c>
      <c r="K2493">
        <v>12954.99</v>
      </c>
      <c r="L2493">
        <v>117.19</v>
      </c>
      <c r="M2493" t="s">
        <v>6182</v>
      </c>
      <c r="N2493">
        <v>303140</v>
      </c>
      <c r="O2493">
        <v>17.79</v>
      </c>
      <c r="P2493">
        <v>16.93</v>
      </c>
      <c r="R2493">
        <v>0.81</v>
      </c>
      <c r="S2493">
        <v>3.1</v>
      </c>
      <c r="Z2493" t="s">
        <v>164</v>
      </c>
      <c r="AA2493">
        <v>6.59</v>
      </c>
      <c r="AB2493" t="s">
        <v>2868</v>
      </c>
      <c r="AC2493" t="s">
        <v>11165</v>
      </c>
      <c r="AD2493" t="s">
        <v>4929</v>
      </c>
      <c r="AE2493" t="s">
        <v>677</v>
      </c>
      <c r="AF2493" t="s">
        <v>4517</v>
      </c>
      <c r="AG2493" t="s">
        <v>2733</v>
      </c>
      <c r="AH2493" t="s">
        <v>10175</v>
      </c>
      <c r="AI2493" t="s">
        <v>4498</v>
      </c>
      <c r="AJ2493" t="s">
        <v>9349</v>
      </c>
      <c r="AK2493" t="s">
        <v>23865</v>
      </c>
      <c r="AL2493">
        <v>1.79</v>
      </c>
      <c r="AM2493">
        <v>1.08</v>
      </c>
      <c r="AN2493">
        <v>1.27</v>
      </c>
      <c r="AO2493" t="s">
        <v>7626</v>
      </c>
      <c r="AP2493" t="s">
        <v>2450</v>
      </c>
      <c r="AQ2493" t="s">
        <v>215</v>
      </c>
      <c r="AR2493" t="s">
        <v>451</v>
      </c>
      <c r="AS2493" t="s">
        <v>2941</v>
      </c>
      <c r="AT2493" t="s">
        <v>1579</v>
      </c>
      <c r="AU2493" t="s">
        <v>10935</v>
      </c>
      <c r="AV2493" t="s">
        <v>19537</v>
      </c>
      <c r="AW2493" t="s">
        <v>14418</v>
      </c>
      <c r="AX2493" t="s">
        <v>141</v>
      </c>
      <c r="AY2493" t="s">
        <v>15609</v>
      </c>
      <c r="AZ2493" t="s">
        <v>2137</v>
      </c>
      <c r="BA2493">
        <v>2.14</v>
      </c>
      <c r="BB2493">
        <v>2144.48</v>
      </c>
      <c r="BC2493">
        <v>0.5</v>
      </c>
      <c r="BD2493">
        <v>116.91</v>
      </c>
      <c r="BE2493">
        <v>117.96</v>
      </c>
      <c r="BF2493">
        <v>116.38</v>
      </c>
      <c r="BG2493" t="s">
        <v>23866</v>
      </c>
      <c r="BH2493" t="s">
        <v>23867</v>
      </c>
      <c r="BI2493" t="s">
        <v>23868</v>
      </c>
      <c r="BJ2493" t="s">
        <v>101</v>
      </c>
      <c r="BK2493" t="s">
        <v>183</v>
      </c>
      <c r="BL2493" t="s">
        <v>5354</v>
      </c>
      <c r="BM2493" t="s">
        <v>23869</v>
      </c>
      <c r="BN2493" t="s">
        <v>23454</v>
      </c>
    </row>
    <row r="2494" spans="1:66" x14ac:dyDescent="0.25">
      <c r="A2494" t="str">
        <f>HYPERLINK("https://elite.finviz.com/quote.ashx?t=FFAI&amp;ty=c&amp;p=d&amp;b=1", "FFAI")</f>
        <v>FFAI</v>
      </c>
      <c r="B2494">
        <v>5</v>
      </c>
      <c r="C2494">
        <v>116.22</v>
      </c>
      <c r="D2494">
        <v>31.37</v>
      </c>
      <c r="E2494" t="s">
        <v>23870</v>
      </c>
      <c r="F2494" t="s">
        <v>67</v>
      </c>
      <c r="G2494" t="s">
        <v>813</v>
      </c>
      <c r="H2494" t="s">
        <v>890</v>
      </c>
      <c r="I2494" t="s">
        <v>70</v>
      </c>
      <c r="J2494" t="s">
        <v>321</v>
      </c>
      <c r="K2494">
        <v>203.89</v>
      </c>
      <c r="L2494">
        <v>1.38</v>
      </c>
      <c r="M2494" t="s">
        <v>3869</v>
      </c>
      <c r="N2494">
        <v>8399650</v>
      </c>
      <c r="R2494">
        <v>334.24</v>
      </c>
      <c r="S2494">
        <v>2.84</v>
      </c>
      <c r="AA2494">
        <v>-8.2799999999999994</v>
      </c>
      <c r="AB2494" t="s">
        <v>12650</v>
      </c>
      <c r="AC2494" t="s">
        <v>4748</v>
      </c>
      <c r="AE2494" t="s">
        <v>1109</v>
      </c>
      <c r="AH2494" t="s">
        <v>12409</v>
      </c>
      <c r="AJ2494" t="s">
        <v>5256</v>
      </c>
      <c r="AK2494" t="s">
        <v>8916</v>
      </c>
      <c r="AL2494">
        <v>0.34</v>
      </c>
      <c r="AM2494">
        <v>0.24</v>
      </c>
      <c r="AN2494">
        <v>1.46</v>
      </c>
      <c r="AO2494" t="s">
        <v>23871</v>
      </c>
      <c r="AP2494" t="s">
        <v>23872</v>
      </c>
      <c r="AQ2494" t="s">
        <v>23873</v>
      </c>
      <c r="AR2494" t="s">
        <v>6791</v>
      </c>
      <c r="AS2494" t="s">
        <v>2653</v>
      </c>
      <c r="AT2494" t="s">
        <v>9933</v>
      </c>
      <c r="AU2494" t="s">
        <v>23458</v>
      </c>
      <c r="AV2494" t="s">
        <v>1865</v>
      </c>
      <c r="AW2494" t="s">
        <v>23874</v>
      </c>
      <c r="AX2494" t="s">
        <v>9019</v>
      </c>
      <c r="AY2494" t="s">
        <v>23875</v>
      </c>
      <c r="AZ2494" t="s">
        <v>1057</v>
      </c>
      <c r="BB2494">
        <v>17557.009999999998</v>
      </c>
      <c r="BC2494">
        <v>1.69</v>
      </c>
      <c r="BD2494">
        <v>1.51</v>
      </c>
      <c r="BE2494">
        <v>1.54</v>
      </c>
      <c r="BF2494">
        <v>1.37</v>
      </c>
      <c r="BG2494" t="s">
        <v>23876</v>
      </c>
      <c r="BH2494" t="s">
        <v>579</v>
      </c>
      <c r="BI2494" t="s">
        <v>1057</v>
      </c>
      <c r="BJ2494" t="s">
        <v>101</v>
      </c>
      <c r="BK2494" t="s">
        <v>1258</v>
      </c>
      <c r="BL2494" t="s">
        <v>2861</v>
      </c>
      <c r="BM2494" t="s">
        <v>22911</v>
      </c>
      <c r="BN2494" t="s">
        <v>23454</v>
      </c>
    </row>
    <row r="2495" spans="1:66" x14ac:dyDescent="0.25">
      <c r="A2495" t="str">
        <f>HYPERLINK("https://elite.finviz.com/quote.ashx?t=PLAY&amp;ty=c&amp;p=d&amp;b=1", "PLAY")</f>
        <v>PLAY</v>
      </c>
      <c r="B2495">
        <v>5</v>
      </c>
      <c r="C2495">
        <v>116.22</v>
      </c>
      <c r="D2495">
        <v>31.48</v>
      </c>
      <c r="E2495" t="s">
        <v>23877</v>
      </c>
      <c r="F2495" t="s">
        <v>67</v>
      </c>
      <c r="G2495" t="s">
        <v>598</v>
      </c>
      <c r="H2495" t="s">
        <v>4247</v>
      </c>
      <c r="I2495" t="s">
        <v>70</v>
      </c>
      <c r="J2495" t="s">
        <v>321</v>
      </c>
      <c r="K2495">
        <v>663.17</v>
      </c>
      <c r="L2495">
        <v>19.13</v>
      </c>
      <c r="M2495" t="s">
        <v>4237</v>
      </c>
      <c r="N2495">
        <v>138902</v>
      </c>
      <c r="O2495">
        <v>54.88</v>
      </c>
      <c r="P2495">
        <v>13.38</v>
      </c>
      <c r="R2495">
        <v>0.31</v>
      </c>
      <c r="S2495">
        <v>3.99</v>
      </c>
      <c r="V2495" t="s">
        <v>23878</v>
      </c>
      <c r="Z2495" t="s">
        <v>164</v>
      </c>
      <c r="AA2495">
        <v>0.35</v>
      </c>
      <c r="AB2495" t="s">
        <v>9260</v>
      </c>
      <c r="AC2495" t="s">
        <v>16620</v>
      </c>
      <c r="AD2495" t="s">
        <v>3005</v>
      </c>
      <c r="AE2495" t="s">
        <v>3444</v>
      </c>
      <c r="AF2495" t="s">
        <v>1325</v>
      </c>
      <c r="AG2495" t="s">
        <v>3141</v>
      </c>
      <c r="AH2495" t="s">
        <v>4237</v>
      </c>
      <c r="AI2495" t="s">
        <v>21825</v>
      </c>
      <c r="AJ2495" t="s">
        <v>182</v>
      </c>
      <c r="AK2495" t="s">
        <v>23879</v>
      </c>
      <c r="AL2495">
        <v>0.33</v>
      </c>
      <c r="AM2495">
        <v>0.22</v>
      </c>
      <c r="AN2495">
        <v>21.33</v>
      </c>
      <c r="AO2495" t="s">
        <v>1625</v>
      </c>
      <c r="AP2495" t="s">
        <v>5193</v>
      </c>
      <c r="AQ2495" t="s">
        <v>8228</v>
      </c>
      <c r="AR2495" t="s">
        <v>2838</v>
      </c>
      <c r="AS2495" t="s">
        <v>7453</v>
      </c>
      <c r="AT2495" t="s">
        <v>5507</v>
      </c>
      <c r="AU2495" t="s">
        <v>999</v>
      </c>
      <c r="AV2495" t="s">
        <v>14418</v>
      </c>
      <c r="AW2495" t="s">
        <v>23880</v>
      </c>
      <c r="AX2495" t="s">
        <v>1409</v>
      </c>
      <c r="AY2495" t="s">
        <v>23881</v>
      </c>
      <c r="AZ2495" t="s">
        <v>2189</v>
      </c>
      <c r="BA2495">
        <v>2.27</v>
      </c>
      <c r="BB2495">
        <v>1157.83</v>
      </c>
      <c r="BC2495">
        <v>0.42</v>
      </c>
      <c r="BD2495">
        <v>19.12</v>
      </c>
      <c r="BE2495">
        <v>19.37</v>
      </c>
      <c r="BF2495">
        <v>19.059999999999999</v>
      </c>
      <c r="BG2495" t="s">
        <v>23882</v>
      </c>
      <c r="BH2495" t="s">
        <v>14199</v>
      </c>
      <c r="BI2495" t="s">
        <v>16074</v>
      </c>
      <c r="BJ2495" t="s">
        <v>101</v>
      </c>
      <c r="BK2495" t="s">
        <v>2157</v>
      </c>
      <c r="BL2495" t="s">
        <v>5606</v>
      </c>
      <c r="BM2495" t="s">
        <v>23883</v>
      </c>
      <c r="BN2495" t="s">
        <v>23454</v>
      </c>
    </row>
    <row r="2496" spans="1:66" x14ac:dyDescent="0.25">
      <c r="A2496" t="str">
        <f>HYPERLINK("https://elite.finviz.com/quote.ashx?t=SLGN&amp;ty=c&amp;p=d&amp;b=1", "SLGN")</f>
        <v>SLGN</v>
      </c>
      <c r="B2496">
        <v>5</v>
      </c>
      <c r="C2496">
        <v>116.22</v>
      </c>
      <c r="D2496">
        <v>31.6</v>
      </c>
      <c r="E2496" t="s">
        <v>23884</v>
      </c>
      <c r="F2496" t="s">
        <v>107</v>
      </c>
      <c r="G2496" t="s">
        <v>813</v>
      </c>
      <c r="H2496" t="s">
        <v>7355</v>
      </c>
      <c r="I2496" t="s">
        <v>70</v>
      </c>
      <c r="J2496" t="s">
        <v>71</v>
      </c>
      <c r="K2496">
        <v>4513.51</v>
      </c>
      <c r="L2496">
        <v>42.19</v>
      </c>
      <c r="M2496" t="s">
        <v>2175</v>
      </c>
      <c r="N2496">
        <v>106368</v>
      </c>
      <c r="O2496">
        <v>14.98</v>
      </c>
      <c r="P2496">
        <v>9.75</v>
      </c>
      <c r="Q2496">
        <v>1.68</v>
      </c>
      <c r="R2496">
        <v>0.73</v>
      </c>
      <c r="S2496">
        <v>2.0299999999999998</v>
      </c>
      <c r="T2496" t="s">
        <v>4493</v>
      </c>
      <c r="U2496">
        <v>0.79</v>
      </c>
      <c r="V2496" t="s">
        <v>2187</v>
      </c>
      <c r="W2496" t="s">
        <v>892</v>
      </c>
      <c r="X2496" t="s">
        <v>5841</v>
      </c>
      <c r="Y2496" t="s">
        <v>12555</v>
      </c>
      <c r="Z2496" t="s">
        <v>4609</v>
      </c>
      <c r="AA2496">
        <v>2.82</v>
      </c>
      <c r="AB2496" t="s">
        <v>6013</v>
      </c>
      <c r="AC2496" t="s">
        <v>2848</v>
      </c>
      <c r="AD2496" t="s">
        <v>4193</v>
      </c>
      <c r="AE2496" t="s">
        <v>5859</v>
      </c>
      <c r="AF2496" t="s">
        <v>2144</v>
      </c>
      <c r="AG2496" t="s">
        <v>3435</v>
      </c>
      <c r="AH2496" t="s">
        <v>1532</v>
      </c>
      <c r="AI2496" t="s">
        <v>4150</v>
      </c>
      <c r="AJ2496" t="s">
        <v>2103</v>
      </c>
      <c r="AK2496" t="s">
        <v>14367</v>
      </c>
      <c r="AL2496">
        <v>0.96</v>
      </c>
      <c r="AM2496">
        <v>0.56000000000000005</v>
      </c>
      <c r="AN2496">
        <v>2.27</v>
      </c>
      <c r="AO2496" t="s">
        <v>6722</v>
      </c>
      <c r="AP2496" t="s">
        <v>1396</v>
      </c>
      <c r="AQ2496" t="s">
        <v>246</v>
      </c>
      <c r="AR2496" t="s">
        <v>6336</v>
      </c>
      <c r="AS2496" t="s">
        <v>2217</v>
      </c>
      <c r="AT2496" t="s">
        <v>3114</v>
      </c>
      <c r="AU2496" t="s">
        <v>7811</v>
      </c>
      <c r="AV2496" t="s">
        <v>10385</v>
      </c>
      <c r="AW2496" t="s">
        <v>16898</v>
      </c>
      <c r="AX2496" t="s">
        <v>714</v>
      </c>
      <c r="AY2496" t="s">
        <v>23885</v>
      </c>
      <c r="AZ2496" t="s">
        <v>714</v>
      </c>
      <c r="BA2496">
        <v>1.46</v>
      </c>
      <c r="BB2496">
        <v>1073.3599999999999</v>
      </c>
      <c r="BC2496">
        <v>0.35</v>
      </c>
      <c r="BD2496">
        <v>41.5</v>
      </c>
      <c r="BE2496">
        <v>42.23</v>
      </c>
      <c r="BF2496">
        <v>41.54</v>
      </c>
      <c r="BG2496" t="s">
        <v>23886</v>
      </c>
      <c r="BH2496" t="s">
        <v>23885</v>
      </c>
      <c r="BI2496" t="s">
        <v>23887</v>
      </c>
      <c r="BJ2496" t="s">
        <v>101</v>
      </c>
      <c r="BK2496" t="s">
        <v>4456</v>
      </c>
      <c r="BL2496" t="s">
        <v>9911</v>
      </c>
      <c r="BM2496" t="s">
        <v>4960</v>
      </c>
      <c r="BN2496" t="s">
        <v>23454</v>
      </c>
    </row>
    <row r="2497" spans="1:66" x14ac:dyDescent="0.25">
      <c r="A2497" t="str">
        <f>HYPERLINK("https://elite.finviz.com/quote.ashx?t=CLDI&amp;ty=c&amp;p=d&amp;b=1", "CLDI")</f>
        <v>CLDI</v>
      </c>
      <c r="B2497">
        <v>5</v>
      </c>
      <c r="C2497">
        <v>116.22</v>
      </c>
      <c r="D2497">
        <v>31.7</v>
      </c>
      <c r="E2497" t="s">
        <v>23888</v>
      </c>
      <c r="F2497" t="s">
        <v>107</v>
      </c>
      <c r="G2497" t="s">
        <v>428</v>
      </c>
      <c r="H2497" t="s">
        <v>429</v>
      </c>
      <c r="I2497" t="s">
        <v>70</v>
      </c>
      <c r="J2497" t="s">
        <v>383</v>
      </c>
      <c r="K2497">
        <v>7.36</v>
      </c>
      <c r="L2497">
        <v>1.5</v>
      </c>
      <c r="M2497" t="s">
        <v>3613</v>
      </c>
      <c r="N2497">
        <v>52734</v>
      </c>
      <c r="S2497">
        <v>2.4500000000000002</v>
      </c>
      <c r="AA2497">
        <v>-7.34</v>
      </c>
      <c r="AD2497" t="s">
        <v>23795</v>
      </c>
      <c r="AI2497" t="s">
        <v>405</v>
      </c>
      <c r="AJ2497" t="s">
        <v>1791</v>
      </c>
      <c r="AK2497" t="s">
        <v>2035</v>
      </c>
      <c r="AL2497">
        <v>1.1299999999999999</v>
      </c>
      <c r="AM2497">
        <v>1.1299999999999999</v>
      </c>
      <c r="AN2497">
        <v>2.2799999999999998</v>
      </c>
      <c r="AR2497" t="s">
        <v>2472</v>
      </c>
      <c r="AS2497" t="s">
        <v>6226</v>
      </c>
      <c r="AT2497" t="s">
        <v>4234</v>
      </c>
      <c r="AU2497" t="s">
        <v>23889</v>
      </c>
      <c r="AV2497" t="s">
        <v>23890</v>
      </c>
      <c r="AW2497" t="s">
        <v>22949</v>
      </c>
      <c r="AX2497" t="s">
        <v>8960</v>
      </c>
      <c r="AY2497" t="s">
        <v>23891</v>
      </c>
      <c r="AZ2497" t="s">
        <v>8960</v>
      </c>
      <c r="BA2497">
        <v>1</v>
      </c>
      <c r="BB2497">
        <v>1546.46</v>
      </c>
      <c r="BC2497">
        <v>0.12</v>
      </c>
      <c r="BD2497">
        <v>1.45</v>
      </c>
      <c r="BE2497">
        <v>1.51</v>
      </c>
      <c r="BF2497">
        <v>1.45</v>
      </c>
      <c r="BG2497" t="s">
        <v>23892</v>
      </c>
      <c r="BH2497" t="s">
        <v>2855</v>
      </c>
      <c r="BI2497" t="s">
        <v>8960</v>
      </c>
      <c r="BJ2497" t="s">
        <v>101</v>
      </c>
      <c r="BK2497" t="s">
        <v>12185</v>
      </c>
      <c r="BL2497" t="s">
        <v>23893</v>
      </c>
      <c r="BM2497" t="s">
        <v>5016</v>
      </c>
      <c r="BN2497" t="s">
        <v>23454</v>
      </c>
    </row>
    <row r="2498" spans="1:66" x14ac:dyDescent="0.25">
      <c r="A2498" t="str">
        <f>HYPERLINK("https://elite.finviz.com/quote.ashx?t=AMH&amp;ty=c&amp;p=d&amp;b=1", "AMH")</f>
        <v>AMH</v>
      </c>
      <c r="B2498">
        <v>5</v>
      </c>
      <c r="C2498">
        <v>116.22</v>
      </c>
      <c r="D2498">
        <v>31.73</v>
      </c>
      <c r="E2498" t="s">
        <v>23894</v>
      </c>
      <c r="F2498" t="s">
        <v>107</v>
      </c>
      <c r="G2498" t="s">
        <v>68</v>
      </c>
      <c r="H2498" t="s">
        <v>5671</v>
      </c>
      <c r="I2498" t="s">
        <v>70</v>
      </c>
      <c r="J2498" t="s">
        <v>71</v>
      </c>
      <c r="K2498">
        <v>12110.23</v>
      </c>
      <c r="L2498">
        <v>32.65</v>
      </c>
      <c r="M2498" t="s">
        <v>2275</v>
      </c>
      <c r="N2498">
        <v>497918</v>
      </c>
      <c r="O2498">
        <v>29.38</v>
      </c>
      <c r="P2498">
        <v>40.79</v>
      </c>
      <c r="R2498">
        <v>6.67</v>
      </c>
      <c r="S2498">
        <v>1.69</v>
      </c>
      <c r="T2498" t="s">
        <v>891</v>
      </c>
      <c r="U2498">
        <v>1.05</v>
      </c>
      <c r="V2498" t="s">
        <v>3833</v>
      </c>
      <c r="W2498" t="s">
        <v>4084</v>
      </c>
      <c r="X2498" t="s">
        <v>23895</v>
      </c>
      <c r="Y2498" t="s">
        <v>3137</v>
      </c>
      <c r="Z2498" t="s">
        <v>23896</v>
      </c>
      <c r="AA2498">
        <v>1.1100000000000001</v>
      </c>
      <c r="AB2498" t="s">
        <v>13046</v>
      </c>
      <c r="AC2498" t="s">
        <v>4724</v>
      </c>
      <c r="AD2498" t="s">
        <v>601</v>
      </c>
      <c r="AE2498" t="s">
        <v>3432</v>
      </c>
      <c r="AF2498" t="s">
        <v>2605</v>
      </c>
      <c r="AG2498" t="s">
        <v>2428</v>
      </c>
      <c r="AH2498" t="s">
        <v>1114</v>
      </c>
      <c r="AI2498" t="s">
        <v>23249</v>
      </c>
      <c r="AJ2498" t="s">
        <v>4703</v>
      </c>
      <c r="AK2498" t="s">
        <v>18532</v>
      </c>
      <c r="AL2498">
        <v>1.29</v>
      </c>
      <c r="AM2498">
        <v>1.29</v>
      </c>
      <c r="AN2498">
        <v>0.72</v>
      </c>
      <c r="AO2498" t="s">
        <v>5538</v>
      </c>
      <c r="AP2498" t="s">
        <v>23897</v>
      </c>
      <c r="AQ2498" t="s">
        <v>5160</v>
      </c>
      <c r="AR2498" t="s">
        <v>4780</v>
      </c>
      <c r="AS2498" t="s">
        <v>3494</v>
      </c>
      <c r="AT2498" t="s">
        <v>4704</v>
      </c>
      <c r="AU2498" t="s">
        <v>12333</v>
      </c>
      <c r="AV2498" t="s">
        <v>7439</v>
      </c>
      <c r="AW2498" t="s">
        <v>2536</v>
      </c>
      <c r="AX2498" t="s">
        <v>8228</v>
      </c>
      <c r="AY2498" t="s">
        <v>3162</v>
      </c>
      <c r="AZ2498" t="s">
        <v>2473</v>
      </c>
      <c r="BA2498">
        <v>2</v>
      </c>
      <c r="BB2498">
        <v>2397.98</v>
      </c>
      <c r="BC2498">
        <v>0.73</v>
      </c>
      <c r="BD2498">
        <v>32.61</v>
      </c>
      <c r="BE2498">
        <v>32.85</v>
      </c>
      <c r="BF2498">
        <v>32.46</v>
      </c>
      <c r="BG2498" t="s">
        <v>23898</v>
      </c>
      <c r="BH2498" t="s">
        <v>23899</v>
      </c>
      <c r="BI2498" t="s">
        <v>23900</v>
      </c>
      <c r="BJ2498" t="s">
        <v>101</v>
      </c>
      <c r="BK2498" t="s">
        <v>1851</v>
      </c>
      <c r="BL2498" t="s">
        <v>4214</v>
      </c>
      <c r="BM2498" t="s">
        <v>11328</v>
      </c>
      <c r="BN2498" t="s">
        <v>23454</v>
      </c>
    </row>
    <row r="2499" spans="1:66" x14ac:dyDescent="0.25">
      <c r="A2499" t="str">
        <f>HYPERLINK("https://elite.finviz.com/quote.ashx?t=ARES&amp;ty=c&amp;p=d&amp;b=1", "ARES")</f>
        <v>ARES</v>
      </c>
      <c r="B2499">
        <v>5</v>
      </c>
      <c r="C2499">
        <v>116.22</v>
      </c>
      <c r="D2499">
        <v>31.76</v>
      </c>
      <c r="E2499" t="s">
        <v>23901</v>
      </c>
      <c r="F2499" t="s">
        <v>107</v>
      </c>
      <c r="G2499" t="s">
        <v>550</v>
      </c>
      <c r="H2499" t="s">
        <v>2597</v>
      </c>
      <c r="I2499" t="s">
        <v>70</v>
      </c>
      <c r="J2499" t="s">
        <v>71</v>
      </c>
      <c r="K2499">
        <v>53705.89</v>
      </c>
      <c r="L2499">
        <v>164.38</v>
      </c>
      <c r="M2499" t="s">
        <v>227</v>
      </c>
      <c r="N2499">
        <v>603402</v>
      </c>
      <c r="O2499">
        <v>94.04</v>
      </c>
      <c r="P2499">
        <v>25.71</v>
      </c>
      <c r="Q2499">
        <v>3.93</v>
      </c>
      <c r="R2499">
        <v>10.25</v>
      </c>
      <c r="S2499">
        <v>8.27</v>
      </c>
      <c r="T2499" t="s">
        <v>2743</v>
      </c>
      <c r="U2499">
        <v>4.29</v>
      </c>
      <c r="V2499" t="s">
        <v>5925</v>
      </c>
      <c r="W2499" t="s">
        <v>7123</v>
      </c>
      <c r="X2499" t="s">
        <v>7855</v>
      </c>
      <c r="Y2499" t="s">
        <v>8957</v>
      </c>
      <c r="Z2499" t="s">
        <v>23902</v>
      </c>
      <c r="AA2499">
        <v>1.75</v>
      </c>
      <c r="AB2499" t="s">
        <v>609</v>
      </c>
      <c r="AC2499" t="s">
        <v>15021</v>
      </c>
      <c r="AD2499" t="s">
        <v>12598</v>
      </c>
      <c r="AE2499" t="s">
        <v>23903</v>
      </c>
      <c r="AF2499" t="s">
        <v>9084</v>
      </c>
      <c r="AG2499" t="s">
        <v>4283</v>
      </c>
      <c r="AH2499" t="s">
        <v>23904</v>
      </c>
      <c r="AI2499" t="s">
        <v>2329</v>
      </c>
      <c r="AJ2499" t="s">
        <v>19176</v>
      </c>
      <c r="AK2499" t="s">
        <v>19214</v>
      </c>
      <c r="AL2499">
        <v>0.53</v>
      </c>
      <c r="AM2499">
        <v>0.53</v>
      </c>
      <c r="AN2499">
        <v>3.09</v>
      </c>
      <c r="AO2499" t="s">
        <v>23905</v>
      </c>
      <c r="AP2499" t="s">
        <v>8720</v>
      </c>
      <c r="AQ2499" t="s">
        <v>8852</v>
      </c>
      <c r="AR2499" t="s">
        <v>903</v>
      </c>
      <c r="AS2499" t="s">
        <v>4216</v>
      </c>
      <c r="AT2499" t="s">
        <v>5663</v>
      </c>
      <c r="AU2499" t="s">
        <v>481</v>
      </c>
      <c r="AV2499" t="s">
        <v>9160</v>
      </c>
      <c r="AW2499" t="s">
        <v>16527</v>
      </c>
      <c r="AX2499" t="s">
        <v>2759</v>
      </c>
      <c r="AY2499" t="s">
        <v>8918</v>
      </c>
      <c r="AZ2499" t="s">
        <v>14859</v>
      </c>
      <c r="BA2499">
        <v>1.94</v>
      </c>
      <c r="BB2499">
        <v>1383.94</v>
      </c>
      <c r="BC2499">
        <v>1.54</v>
      </c>
      <c r="BD2499">
        <v>163.32</v>
      </c>
      <c r="BE2499">
        <v>166.14</v>
      </c>
      <c r="BF2499">
        <v>163.69</v>
      </c>
      <c r="BG2499" t="s">
        <v>23906</v>
      </c>
      <c r="BH2499" t="s">
        <v>8918</v>
      </c>
      <c r="BI2499" t="s">
        <v>23907</v>
      </c>
      <c r="BJ2499" t="s">
        <v>101</v>
      </c>
      <c r="BK2499" t="s">
        <v>7165</v>
      </c>
      <c r="BL2499" t="s">
        <v>6810</v>
      </c>
      <c r="BM2499" t="s">
        <v>2842</v>
      </c>
      <c r="BN2499" t="s">
        <v>23454</v>
      </c>
    </row>
    <row r="2500" spans="1:66" x14ac:dyDescent="0.25">
      <c r="A2500" t="str">
        <f>HYPERLINK("https://elite.finviz.com/quote.ashx?t=IVF&amp;ty=c&amp;p=d&amp;b=1", "IVF")</f>
        <v>IVF</v>
      </c>
      <c r="B2500">
        <v>5</v>
      </c>
      <c r="C2500">
        <v>116.22</v>
      </c>
      <c r="D2500">
        <v>31.78</v>
      </c>
      <c r="E2500" t="s">
        <v>23908</v>
      </c>
      <c r="F2500" t="s">
        <v>107</v>
      </c>
      <c r="G2500" t="s">
        <v>428</v>
      </c>
      <c r="H2500" t="s">
        <v>2051</v>
      </c>
      <c r="I2500" t="s">
        <v>70</v>
      </c>
      <c r="J2500" t="s">
        <v>321</v>
      </c>
      <c r="K2500">
        <v>3.66</v>
      </c>
      <c r="L2500">
        <v>0.84</v>
      </c>
      <c r="M2500" t="s">
        <v>1313</v>
      </c>
      <c r="N2500">
        <v>28311</v>
      </c>
      <c r="R2500">
        <v>0.55000000000000004</v>
      </c>
      <c r="AA2500">
        <v>-93.83</v>
      </c>
      <c r="AB2500" t="s">
        <v>13270</v>
      </c>
      <c r="AC2500" t="s">
        <v>5794</v>
      </c>
      <c r="AE2500" t="s">
        <v>2612</v>
      </c>
      <c r="AF2500" t="s">
        <v>3840</v>
      </c>
      <c r="AG2500" t="s">
        <v>9468</v>
      </c>
      <c r="AH2500" t="s">
        <v>5610</v>
      </c>
      <c r="AJ2500" t="s">
        <v>164</v>
      </c>
      <c r="AK2500" t="s">
        <v>4759</v>
      </c>
      <c r="AL2500">
        <v>0.11</v>
      </c>
      <c r="AM2500">
        <v>0.1</v>
      </c>
      <c r="AN2500">
        <v>2.71</v>
      </c>
      <c r="AO2500" t="s">
        <v>23909</v>
      </c>
      <c r="AP2500" t="s">
        <v>23910</v>
      </c>
      <c r="AQ2500" t="s">
        <v>23911</v>
      </c>
      <c r="AR2500" t="s">
        <v>912</v>
      </c>
      <c r="AS2500" t="s">
        <v>1370</v>
      </c>
      <c r="AT2500" t="s">
        <v>9998</v>
      </c>
      <c r="AU2500" t="s">
        <v>3145</v>
      </c>
      <c r="AV2500" t="s">
        <v>23912</v>
      </c>
      <c r="AW2500" t="s">
        <v>23913</v>
      </c>
      <c r="AX2500" t="s">
        <v>7735</v>
      </c>
      <c r="AY2500" t="s">
        <v>16342</v>
      </c>
      <c r="AZ2500" t="s">
        <v>7735</v>
      </c>
      <c r="BA2500">
        <v>1</v>
      </c>
      <c r="BB2500">
        <v>1513.91</v>
      </c>
      <c r="BC2500">
        <v>7.0000000000000007E-2</v>
      </c>
      <c r="BD2500">
        <v>0.86</v>
      </c>
      <c r="BE2500">
        <v>0.85</v>
      </c>
      <c r="BF2500">
        <v>0.83</v>
      </c>
      <c r="BG2500" t="s">
        <v>23914</v>
      </c>
      <c r="BH2500" t="s">
        <v>579</v>
      </c>
      <c r="BI2500" t="s">
        <v>7735</v>
      </c>
      <c r="BJ2500" t="s">
        <v>101</v>
      </c>
      <c r="BK2500" t="s">
        <v>13052</v>
      </c>
      <c r="BL2500" t="s">
        <v>23915</v>
      </c>
      <c r="BM2500" t="s">
        <v>23916</v>
      </c>
      <c r="BN2500" t="s">
        <v>23454</v>
      </c>
    </row>
    <row r="2501" spans="1:66" x14ac:dyDescent="0.25">
      <c r="A2501" t="str">
        <f>HYPERLINK("https://elite.finviz.com/quote.ashx?t=APLS&amp;ty=c&amp;p=d&amp;b=1", "APLS")</f>
        <v>APLS</v>
      </c>
      <c r="B2501">
        <v>5</v>
      </c>
      <c r="C2501">
        <v>116.22</v>
      </c>
      <c r="D2501">
        <v>31.82</v>
      </c>
      <c r="E2501" t="s">
        <v>23917</v>
      </c>
      <c r="F2501" t="s">
        <v>107</v>
      </c>
      <c r="G2501" t="s">
        <v>428</v>
      </c>
      <c r="H2501" t="s">
        <v>429</v>
      </c>
      <c r="I2501" t="s">
        <v>70</v>
      </c>
      <c r="J2501" t="s">
        <v>321</v>
      </c>
      <c r="K2501">
        <v>2794.79</v>
      </c>
      <c r="L2501">
        <v>22.13</v>
      </c>
      <c r="M2501" t="s">
        <v>337</v>
      </c>
      <c r="N2501">
        <v>769165</v>
      </c>
      <c r="R2501">
        <v>3.7</v>
      </c>
      <c r="S2501">
        <v>17.87</v>
      </c>
      <c r="AA2501">
        <v>-1.82</v>
      </c>
      <c r="AB2501" t="s">
        <v>9314</v>
      </c>
      <c r="AC2501" t="s">
        <v>11778</v>
      </c>
      <c r="AE2501" t="s">
        <v>13600</v>
      </c>
      <c r="AF2501" t="s">
        <v>23918</v>
      </c>
      <c r="AH2501" t="s">
        <v>4045</v>
      </c>
      <c r="AI2501" t="s">
        <v>3275</v>
      </c>
      <c r="AJ2501" t="s">
        <v>5444</v>
      </c>
      <c r="AK2501" t="s">
        <v>23919</v>
      </c>
      <c r="AL2501">
        <v>3.77</v>
      </c>
      <c r="AM2501">
        <v>3.16</v>
      </c>
      <c r="AN2501">
        <v>3.01</v>
      </c>
      <c r="AO2501" t="s">
        <v>23920</v>
      </c>
      <c r="AP2501" t="s">
        <v>4502</v>
      </c>
      <c r="AQ2501" t="s">
        <v>17297</v>
      </c>
      <c r="AR2501" t="s">
        <v>4873</v>
      </c>
      <c r="AS2501" t="s">
        <v>3670</v>
      </c>
      <c r="AT2501" t="s">
        <v>10726</v>
      </c>
      <c r="AU2501" t="s">
        <v>19376</v>
      </c>
      <c r="AV2501" t="s">
        <v>6757</v>
      </c>
      <c r="AW2501" t="s">
        <v>23921</v>
      </c>
      <c r="AX2501" t="s">
        <v>3413</v>
      </c>
      <c r="AY2501" t="s">
        <v>23922</v>
      </c>
      <c r="AZ2501" t="s">
        <v>10365</v>
      </c>
      <c r="BA2501">
        <v>1.95</v>
      </c>
      <c r="BB2501">
        <v>2391.4299999999998</v>
      </c>
      <c r="BC2501">
        <v>1.1299999999999999</v>
      </c>
      <c r="BD2501">
        <v>22.22</v>
      </c>
      <c r="BE2501">
        <v>22.2</v>
      </c>
      <c r="BF2501">
        <v>21.07</v>
      </c>
      <c r="BG2501" t="s">
        <v>23923</v>
      </c>
      <c r="BH2501" t="s">
        <v>23924</v>
      </c>
      <c r="BI2501" t="s">
        <v>22253</v>
      </c>
      <c r="BJ2501" t="s">
        <v>101</v>
      </c>
      <c r="BK2501" t="s">
        <v>12489</v>
      </c>
      <c r="BL2501" t="s">
        <v>4692</v>
      </c>
      <c r="BM2501" t="s">
        <v>17720</v>
      </c>
      <c r="BN2501" t="s">
        <v>23454</v>
      </c>
    </row>
    <row r="2502" spans="1:66" x14ac:dyDescent="0.25">
      <c r="A2502" t="str">
        <f>HYPERLINK("https://elite.finviz.com/quote.ashx?t=AZTR&amp;ty=c&amp;p=d&amp;b=1", "AZTR")</f>
        <v>AZTR</v>
      </c>
      <c r="B2502">
        <v>5</v>
      </c>
      <c r="C2502">
        <v>116.22</v>
      </c>
      <c r="D2502">
        <v>31.91</v>
      </c>
      <c r="E2502" t="s">
        <v>23925</v>
      </c>
      <c r="F2502" t="s">
        <v>107</v>
      </c>
      <c r="G2502" t="s">
        <v>428</v>
      </c>
      <c r="H2502" t="s">
        <v>429</v>
      </c>
      <c r="I2502" t="s">
        <v>70</v>
      </c>
      <c r="J2502" t="s">
        <v>383</v>
      </c>
      <c r="K2502">
        <v>3.75</v>
      </c>
      <c r="L2502">
        <v>0.69</v>
      </c>
      <c r="M2502" t="s">
        <v>9087</v>
      </c>
      <c r="N2502">
        <v>79278</v>
      </c>
      <c r="S2502">
        <v>0.84</v>
      </c>
      <c r="AA2502">
        <v>-5.98</v>
      </c>
      <c r="AB2502" t="s">
        <v>3891</v>
      </c>
      <c r="AD2502" t="s">
        <v>8994</v>
      </c>
      <c r="AE2502" t="s">
        <v>579</v>
      </c>
      <c r="AF2502" t="s">
        <v>20575</v>
      </c>
      <c r="AH2502" t="s">
        <v>579</v>
      </c>
      <c r="AI2502" t="s">
        <v>2169</v>
      </c>
      <c r="AJ2502" t="s">
        <v>164</v>
      </c>
      <c r="AK2502" t="s">
        <v>4518</v>
      </c>
      <c r="AL2502">
        <v>1.24</v>
      </c>
      <c r="AM2502">
        <v>1.24</v>
      </c>
      <c r="AN2502">
        <v>0.26</v>
      </c>
      <c r="AR2502" t="s">
        <v>10226</v>
      </c>
      <c r="AS2502" t="s">
        <v>4378</v>
      </c>
      <c r="AT2502" t="s">
        <v>4729</v>
      </c>
      <c r="AU2502" t="s">
        <v>23589</v>
      </c>
      <c r="AV2502" t="s">
        <v>13024</v>
      </c>
      <c r="AW2502" t="s">
        <v>20288</v>
      </c>
      <c r="AX2502" t="s">
        <v>609</v>
      </c>
      <c r="AY2502" t="s">
        <v>8583</v>
      </c>
      <c r="AZ2502" t="s">
        <v>609</v>
      </c>
      <c r="BA2502">
        <v>1</v>
      </c>
      <c r="BB2502">
        <v>2589.16</v>
      </c>
      <c r="BC2502">
        <v>0.11</v>
      </c>
      <c r="BD2502">
        <v>0.72</v>
      </c>
      <c r="BE2502">
        <v>0.7</v>
      </c>
      <c r="BF2502">
        <v>0.69</v>
      </c>
      <c r="BG2502" t="s">
        <v>23926</v>
      </c>
      <c r="BH2502" t="s">
        <v>8952</v>
      </c>
      <c r="BI2502" t="s">
        <v>609</v>
      </c>
      <c r="BJ2502" t="s">
        <v>101</v>
      </c>
      <c r="BK2502" t="s">
        <v>23927</v>
      </c>
      <c r="BL2502" t="s">
        <v>23928</v>
      </c>
      <c r="BM2502" t="s">
        <v>9336</v>
      </c>
      <c r="BN2502" t="s">
        <v>23454</v>
      </c>
    </row>
    <row r="2503" spans="1:66" x14ac:dyDescent="0.25">
      <c r="A2503" t="str">
        <f>HYPERLINK("https://elite.finviz.com/quote.ashx?t=PPG&amp;ty=c&amp;p=d&amp;b=1", "PPG")</f>
        <v>PPG</v>
      </c>
      <c r="B2503">
        <v>5</v>
      </c>
      <c r="C2503">
        <v>116.22</v>
      </c>
      <c r="D2503">
        <v>32.17</v>
      </c>
      <c r="E2503" t="s">
        <v>23929</v>
      </c>
      <c r="F2503" t="s">
        <v>195</v>
      </c>
      <c r="G2503" t="s">
        <v>355</v>
      </c>
      <c r="H2503" t="s">
        <v>1147</v>
      </c>
      <c r="I2503" t="s">
        <v>70</v>
      </c>
      <c r="J2503" t="s">
        <v>71</v>
      </c>
      <c r="K2503">
        <v>23378</v>
      </c>
      <c r="L2503">
        <v>103.58</v>
      </c>
      <c r="M2503" t="s">
        <v>124</v>
      </c>
      <c r="N2503">
        <v>269684</v>
      </c>
      <c r="O2503">
        <v>18.37</v>
      </c>
      <c r="P2503">
        <v>12.1</v>
      </c>
      <c r="Q2503">
        <v>3.06</v>
      </c>
      <c r="R2503">
        <v>1.44</v>
      </c>
      <c r="S2503">
        <v>3.09</v>
      </c>
      <c r="T2503" t="s">
        <v>4976</v>
      </c>
      <c r="U2503">
        <v>2.75</v>
      </c>
      <c r="V2503" t="s">
        <v>893</v>
      </c>
      <c r="W2503" t="s">
        <v>372</v>
      </c>
      <c r="X2503" t="s">
        <v>3057</v>
      </c>
      <c r="Y2503" t="s">
        <v>1204</v>
      </c>
      <c r="Z2503" t="s">
        <v>422</v>
      </c>
      <c r="AA2503">
        <v>5.64</v>
      </c>
      <c r="AB2503" t="s">
        <v>2402</v>
      </c>
      <c r="AC2503" t="s">
        <v>2496</v>
      </c>
      <c r="AD2503" t="s">
        <v>370</v>
      </c>
      <c r="AE2503" t="s">
        <v>16226</v>
      </c>
      <c r="AF2503" t="s">
        <v>214</v>
      </c>
      <c r="AG2503" t="s">
        <v>3344</v>
      </c>
      <c r="AH2503" t="s">
        <v>11949</v>
      </c>
      <c r="AI2503" t="s">
        <v>4273</v>
      </c>
      <c r="AJ2503" t="s">
        <v>164</v>
      </c>
      <c r="AK2503" t="s">
        <v>1485</v>
      </c>
      <c r="AL2503">
        <v>1.42</v>
      </c>
      <c r="AM2503">
        <v>1.04</v>
      </c>
      <c r="AN2503">
        <v>1.05</v>
      </c>
      <c r="AO2503" t="s">
        <v>8367</v>
      </c>
      <c r="AP2503" t="s">
        <v>4390</v>
      </c>
      <c r="AQ2503" t="s">
        <v>7938</v>
      </c>
      <c r="AR2503" t="s">
        <v>3544</v>
      </c>
      <c r="AS2503" t="s">
        <v>2202</v>
      </c>
      <c r="AT2503" t="s">
        <v>2076</v>
      </c>
      <c r="AU2503" t="s">
        <v>3292</v>
      </c>
      <c r="AV2503" t="s">
        <v>2023</v>
      </c>
      <c r="AW2503" t="s">
        <v>23553</v>
      </c>
      <c r="AX2503" t="s">
        <v>3169</v>
      </c>
      <c r="AY2503" t="s">
        <v>20709</v>
      </c>
      <c r="AZ2503" t="s">
        <v>1216</v>
      </c>
      <c r="BA2503">
        <v>2.23</v>
      </c>
      <c r="BB2503">
        <v>1788.67</v>
      </c>
      <c r="BC2503">
        <v>0.53</v>
      </c>
      <c r="BD2503">
        <v>103.92</v>
      </c>
      <c r="BE2503">
        <v>105.02</v>
      </c>
      <c r="BF2503">
        <v>103.29</v>
      </c>
      <c r="BG2503" t="s">
        <v>23930</v>
      </c>
      <c r="BH2503" t="s">
        <v>23931</v>
      </c>
      <c r="BI2503" t="s">
        <v>23932</v>
      </c>
      <c r="BJ2503" t="s">
        <v>101</v>
      </c>
      <c r="BK2503" t="s">
        <v>7439</v>
      </c>
      <c r="BL2503" t="s">
        <v>2267</v>
      </c>
      <c r="BM2503" t="s">
        <v>557</v>
      </c>
      <c r="BN2503" t="s">
        <v>23454</v>
      </c>
    </row>
    <row r="2504" spans="1:66" x14ac:dyDescent="0.25">
      <c r="A2504" t="str">
        <f>HYPERLINK("https://elite.finviz.com/quote.ashx?t=CDT&amp;ty=c&amp;p=d&amp;b=1", "CDT")</f>
        <v>CDT</v>
      </c>
      <c r="B2504">
        <v>5</v>
      </c>
      <c r="C2504">
        <v>116.22</v>
      </c>
      <c r="D2504">
        <v>32.18</v>
      </c>
      <c r="E2504" t="s">
        <v>23933</v>
      </c>
      <c r="F2504" t="s">
        <v>107</v>
      </c>
      <c r="G2504" t="s">
        <v>428</v>
      </c>
      <c r="H2504" t="s">
        <v>429</v>
      </c>
      <c r="I2504" t="s">
        <v>70</v>
      </c>
      <c r="J2504" t="s">
        <v>321</v>
      </c>
      <c r="K2504">
        <v>2.09</v>
      </c>
      <c r="L2504">
        <v>0.68</v>
      </c>
      <c r="M2504" t="s">
        <v>6130</v>
      </c>
      <c r="N2504">
        <v>176501</v>
      </c>
      <c r="S2504">
        <v>0.46</v>
      </c>
      <c r="AA2504">
        <v>-161.06</v>
      </c>
      <c r="AB2504" t="s">
        <v>23934</v>
      </c>
      <c r="AJ2504" t="s">
        <v>164</v>
      </c>
      <c r="AK2504" t="s">
        <v>4782</v>
      </c>
      <c r="AL2504">
        <v>1.45</v>
      </c>
      <c r="AM2504">
        <v>1.45</v>
      </c>
      <c r="AN2504">
        <v>0.59</v>
      </c>
      <c r="AR2504" t="s">
        <v>6234</v>
      </c>
      <c r="AS2504" t="s">
        <v>9861</v>
      </c>
      <c r="AT2504" t="s">
        <v>13143</v>
      </c>
      <c r="AU2504" t="s">
        <v>23935</v>
      </c>
      <c r="AV2504" t="s">
        <v>23936</v>
      </c>
      <c r="AW2504" t="s">
        <v>15472</v>
      </c>
      <c r="AX2504" t="s">
        <v>8982</v>
      </c>
      <c r="AY2504" t="s">
        <v>18975</v>
      </c>
      <c r="AZ2504" t="s">
        <v>8982</v>
      </c>
      <c r="BB2504">
        <v>4123.03</v>
      </c>
      <c r="BC2504">
        <v>0.15</v>
      </c>
      <c r="BD2504">
        <v>0.7</v>
      </c>
      <c r="BE2504">
        <v>0.7</v>
      </c>
      <c r="BF2504">
        <v>0.68</v>
      </c>
      <c r="BG2504" t="s">
        <v>23937</v>
      </c>
      <c r="BH2504" t="s">
        <v>579</v>
      </c>
      <c r="BI2504" t="s">
        <v>8982</v>
      </c>
      <c r="BJ2504" t="s">
        <v>101</v>
      </c>
      <c r="BK2504" t="s">
        <v>23938</v>
      </c>
      <c r="BL2504" t="s">
        <v>23939</v>
      </c>
      <c r="BM2504" t="s">
        <v>22880</v>
      </c>
      <c r="BN2504" t="s">
        <v>23454</v>
      </c>
    </row>
    <row r="2505" spans="1:66" x14ac:dyDescent="0.25">
      <c r="A2505" t="str">
        <f>HYPERLINK("https://elite.finviz.com/quote.ashx?t=BTM&amp;ty=c&amp;p=d&amp;b=1", "BTM")</f>
        <v>BTM</v>
      </c>
      <c r="B2505">
        <v>5</v>
      </c>
      <c r="C2505">
        <v>116.22</v>
      </c>
      <c r="D2505">
        <v>32.18</v>
      </c>
      <c r="E2505" t="s">
        <v>23940</v>
      </c>
      <c r="F2505" t="s">
        <v>107</v>
      </c>
      <c r="G2505" t="s">
        <v>550</v>
      </c>
      <c r="H2505" t="s">
        <v>551</v>
      </c>
      <c r="I2505" t="s">
        <v>70</v>
      </c>
      <c r="J2505" t="s">
        <v>321</v>
      </c>
      <c r="K2505">
        <v>237.94</v>
      </c>
      <c r="L2505">
        <v>3.49</v>
      </c>
      <c r="M2505" t="s">
        <v>2132</v>
      </c>
      <c r="N2505">
        <v>136939</v>
      </c>
      <c r="P2505">
        <v>7.64</v>
      </c>
      <c r="R2505">
        <v>0.39</v>
      </c>
      <c r="S2505">
        <v>107.7</v>
      </c>
      <c r="AA2505">
        <v>-0.01</v>
      </c>
      <c r="AB2505" t="s">
        <v>23941</v>
      </c>
      <c r="AE2505" t="s">
        <v>5356</v>
      </c>
      <c r="AH2505" t="s">
        <v>1871</v>
      </c>
      <c r="AI2505" t="s">
        <v>2169</v>
      </c>
      <c r="AJ2505" t="s">
        <v>7598</v>
      </c>
      <c r="AK2505" t="s">
        <v>728</v>
      </c>
      <c r="AL2505">
        <v>1.41</v>
      </c>
      <c r="AM2505">
        <v>1.41</v>
      </c>
      <c r="AN2505">
        <v>33.25</v>
      </c>
      <c r="AO2505" t="s">
        <v>3710</v>
      </c>
      <c r="AP2505" t="s">
        <v>2000</v>
      </c>
      <c r="AQ2505" t="s">
        <v>3112</v>
      </c>
      <c r="AR2505" t="s">
        <v>2542</v>
      </c>
      <c r="AS2505" t="s">
        <v>3887</v>
      </c>
      <c r="AT2505" t="s">
        <v>3704</v>
      </c>
      <c r="AU2505" t="s">
        <v>23942</v>
      </c>
      <c r="AV2505" t="s">
        <v>21085</v>
      </c>
      <c r="AW2505" t="s">
        <v>23943</v>
      </c>
      <c r="AX2505" t="s">
        <v>2821</v>
      </c>
      <c r="AY2505" t="s">
        <v>23944</v>
      </c>
      <c r="AZ2505" t="s">
        <v>23945</v>
      </c>
      <c r="BA2505">
        <v>1</v>
      </c>
      <c r="BB2505">
        <v>1134.74</v>
      </c>
      <c r="BC2505">
        <v>0.43</v>
      </c>
      <c r="BD2505">
        <v>3.53</v>
      </c>
      <c r="BE2505">
        <v>3.53</v>
      </c>
      <c r="BF2505">
        <v>3.45</v>
      </c>
      <c r="BG2505" t="s">
        <v>23946</v>
      </c>
      <c r="BH2505" t="s">
        <v>15518</v>
      </c>
      <c r="BI2505" t="s">
        <v>23945</v>
      </c>
      <c r="BJ2505" t="s">
        <v>101</v>
      </c>
      <c r="BK2505" t="s">
        <v>8545</v>
      </c>
      <c r="BL2505" t="s">
        <v>23947</v>
      </c>
      <c r="BM2505" t="s">
        <v>23948</v>
      </c>
      <c r="BN2505" t="s">
        <v>23454</v>
      </c>
    </row>
    <row r="2506" spans="1:66" x14ac:dyDescent="0.25">
      <c r="A2506" t="str">
        <f>HYPERLINK("https://elite.finviz.com/quote.ashx?t=DLTR&amp;ty=c&amp;p=d&amp;b=1", "DLTR")</f>
        <v>DLTR</v>
      </c>
      <c r="B2506">
        <v>5</v>
      </c>
      <c r="C2506">
        <v>116.22</v>
      </c>
      <c r="D2506">
        <v>32.21</v>
      </c>
      <c r="E2506" t="s">
        <v>23949</v>
      </c>
      <c r="F2506" t="s">
        <v>195</v>
      </c>
      <c r="G2506" t="s">
        <v>2244</v>
      </c>
      <c r="H2506" t="s">
        <v>7615</v>
      </c>
      <c r="I2506" t="s">
        <v>70</v>
      </c>
      <c r="J2506" t="s">
        <v>321</v>
      </c>
      <c r="K2506">
        <v>19156.66</v>
      </c>
      <c r="L2506">
        <v>93.92</v>
      </c>
      <c r="M2506" t="s">
        <v>2717</v>
      </c>
      <c r="N2506">
        <v>863788</v>
      </c>
      <c r="P2506">
        <v>14.59</v>
      </c>
      <c r="R2506">
        <v>0.88</v>
      </c>
      <c r="S2506">
        <v>5.33</v>
      </c>
      <c r="AA2506">
        <v>-13.59</v>
      </c>
      <c r="AD2506" t="s">
        <v>12316</v>
      </c>
      <c r="AE2506" t="s">
        <v>23950</v>
      </c>
      <c r="AF2506" t="s">
        <v>10935</v>
      </c>
      <c r="AG2506" t="s">
        <v>8710</v>
      </c>
      <c r="AH2506" t="s">
        <v>23951</v>
      </c>
      <c r="AI2506" t="s">
        <v>3730</v>
      </c>
      <c r="AJ2506" t="s">
        <v>4856</v>
      </c>
      <c r="AK2506" t="s">
        <v>6328</v>
      </c>
      <c r="AL2506">
        <v>1.04</v>
      </c>
      <c r="AM2506">
        <v>0.27</v>
      </c>
      <c r="AN2506">
        <v>2.04</v>
      </c>
      <c r="AO2506" t="s">
        <v>4080</v>
      </c>
      <c r="AP2506" t="s">
        <v>954</v>
      </c>
      <c r="AQ2506" t="s">
        <v>10383</v>
      </c>
      <c r="AR2506" t="s">
        <v>1768</v>
      </c>
      <c r="AS2506" t="s">
        <v>4916</v>
      </c>
      <c r="AT2506" t="s">
        <v>5294</v>
      </c>
      <c r="AU2506" t="s">
        <v>9260</v>
      </c>
      <c r="AV2506" t="s">
        <v>2351</v>
      </c>
      <c r="AW2506" t="s">
        <v>19031</v>
      </c>
      <c r="AX2506" t="s">
        <v>497</v>
      </c>
      <c r="AY2506" t="s">
        <v>19031</v>
      </c>
      <c r="AZ2506" t="s">
        <v>13457</v>
      </c>
      <c r="BA2506">
        <v>2.2599999999999998</v>
      </c>
      <c r="BB2506">
        <v>3833.36</v>
      </c>
      <c r="BC2506">
        <v>0.79</v>
      </c>
      <c r="BD2506">
        <v>94.03</v>
      </c>
      <c r="BE2506">
        <v>94.94</v>
      </c>
      <c r="BF2506">
        <v>93.54</v>
      </c>
      <c r="BG2506" t="s">
        <v>23952</v>
      </c>
      <c r="BH2506" t="s">
        <v>9812</v>
      </c>
      <c r="BI2506" t="s">
        <v>23953</v>
      </c>
      <c r="BJ2506" t="s">
        <v>101</v>
      </c>
      <c r="BK2506" t="s">
        <v>18188</v>
      </c>
      <c r="BL2506" t="s">
        <v>5050</v>
      </c>
      <c r="BM2506" t="s">
        <v>16538</v>
      </c>
      <c r="BN2506" t="s">
        <v>23454</v>
      </c>
    </row>
    <row r="2507" spans="1:66" x14ac:dyDescent="0.25">
      <c r="A2507" t="str">
        <f>HYPERLINK("https://elite.finviz.com/quote.ashx?t=BJ&amp;ty=c&amp;p=d&amp;b=1", "BJ")</f>
        <v>BJ</v>
      </c>
      <c r="B2507">
        <v>5</v>
      </c>
      <c r="C2507">
        <v>116.22</v>
      </c>
      <c r="D2507">
        <v>32.25</v>
      </c>
      <c r="E2507" t="s">
        <v>23954</v>
      </c>
      <c r="F2507" t="s">
        <v>107</v>
      </c>
      <c r="G2507" t="s">
        <v>2244</v>
      </c>
      <c r="H2507" t="s">
        <v>7615</v>
      </c>
      <c r="I2507" t="s">
        <v>70</v>
      </c>
      <c r="J2507" t="s">
        <v>71</v>
      </c>
      <c r="K2507">
        <v>12264.02</v>
      </c>
      <c r="L2507">
        <v>93.08</v>
      </c>
      <c r="M2507" t="s">
        <v>5312</v>
      </c>
      <c r="N2507">
        <v>477681</v>
      </c>
      <c r="O2507">
        <v>21.37</v>
      </c>
      <c r="P2507">
        <v>19.829999999999998</v>
      </c>
      <c r="Q2507">
        <v>2.68</v>
      </c>
      <c r="R2507">
        <v>0.59</v>
      </c>
      <c r="S2507">
        <v>5.84</v>
      </c>
      <c r="Z2507" t="s">
        <v>164</v>
      </c>
      <c r="AA2507">
        <v>4.3499999999999996</v>
      </c>
      <c r="AB2507" t="s">
        <v>7567</v>
      </c>
      <c r="AC2507" t="s">
        <v>8082</v>
      </c>
      <c r="AD2507" t="s">
        <v>4293</v>
      </c>
      <c r="AE2507" t="s">
        <v>3635</v>
      </c>
      <c r="AF2507" t="s">
        <v>1767</v>
      </c>
      <c r="AG2507" t="s">
        <v>7019</v>
      </c>
      <c r="AH2507" t="s">
        <v>3542</v>
      </c>
      <c r="AI2507" t="s">
        <v>2810</v>
      </c>
      <c r="AJ2507" t="s">
        <v>23955</v>
      </c>
      <c r="AK2507" t="s">
        <v>23956</v>
      </c>
      <c r="AL2507">
        <v>0.79</v>
      </c>
      <c r="AM2507">
        <v>0.17</v>
      </c>
      <c r="AN2507">
        <v>1.26</v>
      </c>
      <c r="AO2507" t="s">
        <v>6834</v>
      </c>
      <c r="AP2507" t="s">
        <v>4526</v>
      </c>
      <c r="AQ2507" t="s">
        <v>5256</v>
      </c>
      <c r="AR2507" t="s">
        <v>342</v>
      </c>
      <c r="AS2507" t="s">
        <v>4256</v>
      </c>
      <c r="AT2507" t="s">
        <v>2304</v>
      </c>
      <c r="AU2507" t="s">
        <v>4868</v>
      </c>
      <c r="AV2507" t="s">
        <v>23276</v>
      </c>
      <c r="AW2507" t="s">
        <v>6136</v>
      </c>
      <c r="AX2507" t="s">
        <v>4191</v>
      </c>
      <c r="AY2507" t="s">
        <v>14090</v>
      </c>
      <c r="AZ2507" t="s">
        <v>1476</v>
      </c>
      <c r="BA2507">
        <v>1.91</v>
      </c>
      <c r="BB2507">
        <v>2126.14</v>
      </c>
      <c r="BC2507">
        <v>0.79</v>
      </c>
      <c r="BD2507">
        <v>93.84</v>
      </c>
      <c r="BE2507">
        <v>93.6</v>
      </c>
      <c r="BF2507">
        <v>91.61</v>
      </c>
      <c r="BG2507" t="s">
        <v>23957</v>
      </c>
      <c r="BH2507" t="s">
        <v>14090</v>
      </c>
      <c r="BI2507" t="s">
        <v>23958</v>
      </c>
      <c r="BJ2507" t="s">
        <v>101</v>
      </c>
      <c r="BK2507" t="s">
        <v>9578</v>
      </c>
      <c r="BL2507" t="s">
        <v>6727</v>
      </c>
      <c r="BM2507" t="s">
        <v>4390</v>
      </c>
      <c r="BN2507" t="s">
        <v>23454</v>
      </c>
    </row>
    <row r="2508" spans="1:66" x14ac:dyDescent="0.25">
      <c r="A2508" t="str">
        <f>HYPERLINK("https://elite.finviz.com/quote.ashx?t=GBDC&amp;ty=c&amp;p=d&amp;b=1", "GBDC")</f>
        <v>GBDC</v>
      </c>
      <c r="B2508">
        <v>5</v>
      </c>
      <c r="C2508">
        <v>116.22</v>
      </c>
      <c r="D2508">
        <v>32.32</v>
      </c>
      <c r="E2508" t="s">
        <v>23959</v>
      </c>
      <c r="F2508" t="s">
        <v>107</v>
      </c>
      <c r="G2508" t="s">
        <v>550</v>
      </c>
      <c r="H2508" t="s">
        <v>2597</v>
      </c>
      <c r="I2508" t="s">
        <v>70</v>
      </c>
      <c r="J2508" t="s">
        <v>321</v>
      </c>
      <c r="K2508">
        <v>3685.32</v>
      </c>
      <c r="L2508">
        <v>13.84</v>
      </c>
      <c r="M2508" t="s">
        <v>4308</v>
      </c>
      <c r="N2508">
        <v>498947</v>
      </c>
      <c r="O2508">
        <v>9.74</v>
      </c>
      <c r="P2508">
        <v>9.4499999999999993</v>
      </c>
      <c r="R2508">
        <v>4.2</v>
      </c>
      <c r="S2508">
        <v>0.92</v>
      </c>
      <c r="T2508" t="s">
        <v>12058</v>
      </c>
      <c r="U2508">
        <v>1.56</v>
      </c>
      <c r="V2508" t="s">
        <v>3833</v>
      </c>
      <c r="W2508" t="s">
        <v>5680</v>
      </c>
      <c r="X2508" t="s">
        <v>3614</v>
      </c>
      <c r="Y2508" t="s">
        <v>2035</v>
      </c>
      <c r="Z2508" t="s">
        <v>23960</v>
      </c>
      <c r="AA2508">
        <v>1.42</v>
      </c>
      <c r="AH2508" t="s">
        <v>18942</v>
      </c>
      <c r="AI2508" t="s">
        <v>4703</v>
      </c>
      <c r="AJ2508" t="s">
        <v>164</v>
      </c>
      <c r="AK2508" t="s">
        <v>14806</v>
      </c>
      <c r="AR2508" t="s">
        <v>4946</v>
      </c>
      <c r="AS2508" t="s">
        <v>2509</v>
      </c>
      <c r="AT2508" t="s">
        <v>156</v>
      </c>
      <c r="AU2508" t="s">
        <v>402</v>
      </c>
      <c r="AV2508" t="s">
        <v>1659</v>
      </c>
      <c r="AW2508" t="s">
        <v>9472</v>
      </c>
      <c r="AX2508" t="s">
        <v>6155</v>
      </c>
      <c r="AY2508" t="s">
        <v>23961</v>
      </c>
      <c r="AZ2508" t="s">
        <v>1775</v>
      </c>
      <c r="BB2508">
        <v>1214.4100000000001</v>
      </c>
      <c r="BC2508">
        <v>1.45</v>
      </c>
      <c r="BD2508">
        <v>13.75</v>
      </c>
      <c r="BE2508">
        <v>13.98</v>
      </c>
      <c r="BF2508">
        <v>13.82</v>
      </c>
      <c r="BG2508" t="s">
        <v>23962</v>
      </c>
      <c r="BH2508" t="s">
        <v>17044</v>
      </c>
      <c r="BI2508" t="s">
        <v>7249</v>
      </c>
      <c r="BJ2508" t="s">
        <v>101</v>
      </c>
      <c r="BK2508" t="s">
        <v>842</v>
      </c>
      <c r="BL2508" t="s">
        <v>7269</v>
      </c>
      <c r="BM2508" t="s">
        <v>5612</v>
      </c>
      <c r="BN2508" t="s">
        <v>23454</v>
      </c>
    </row>
    <row r="2509" spans="1:66" x14ac:dyDescent="0.25">
      <c r="A2509" t="str">
        <f>HYPERLINK("https://elite.finviz.com/quote.ashx?t=CWAN&amp;ty=c&amp;p=d&amp;b=1", "CWAN")</f>
        <v>CWAN</v>
      </c>
      <c r="B2509">
        <v>5</v>
      </c>
      <c r="C2509">
        <v>116.22</v>
      </c>
      <c r="D2509">
        <v>32.35</v>
      </c>
      <c r="E2509" t="s">
        <v>23963</v>
      </c>
      <c r="F2509" t="s">
        <v>67</v>
      </c>
      <c r="G2509" t="s">
        <v>108</v>
      </c>
      <c r="H2509" t="s">
        <v>136</v>
      </c>
      <c r="I2509" t="s">
        <v>70</v>
      </c>
      <c r="J2509" t="s">
        <v>71</v>
      </c>
      <c r="K2509">
        <v>5266.94</v>
      </c>
      <c r="L2509">
        <v>18.010000000000002</v>
      </c>
      <c r="M2509" t="s">
        <v>430</v>
      </c>
      <c r="N2509">
        <v>662289</v>
      </c>
      <c r="O2509">
        <v>11.39</v>
      </c>
      <c r="P2509">
        <v>24.77</v>
      </c>
      <c r="Q2509">
        <v>0.45</v>
      </c>
      <c r="R2509">
        <v>9.56</v>
      </c>
      <c r="S2509">
        <v>2.63</v>
      </c>
      <c r="Z2509" t="s">
        <v>164</v>
      </c>
      <c r="AA2509">
        <v>1.58</v>
      </c>
      <c r="AC2509" t="s">
        <v>23964</v>
      </c>
      <c r="AD2509" t="s">
        <v>15421</v>
      </c>
      <c r="AE2509" t="s">
        <v>11888</v>
      </c>
      <c r="AF2509" t="s">
        <v>5556</v>
      </c>
      <c r="AG2509" t="s">
        <v>2729</v>
      </c>
      <c r="AH2509" t="s">
        <v>23965</v>
      </c>
      <c r="AI2509" t="s">
        <v>6421</v>
      </c>
      <c r="AJ2509" t="s">
        <v>23966</v>
      </c>
      <c r="AK2509" t="s">
        <v>14642</v>
      </c>
      <c r="AL2509">
        <v>1.98</v>
      </c>
      <c r="AM2509">
        <v>1.98</v>
      </c>
      <c r="AN2509">
        <v>0.47</v>
      </c>
      <c r="AO2509" t="s">
        <v>23967</v>
      </c>
      <c r="AP2509" t="s">
        <v>1872</v>
      </c>
      <c r="AQ2509" t="s">
        <v>23968</v>
      </c>
      <c r="AR2509" t="s">
        <v>4125</v>
      </c>
      <c r="AS2509" t="s">
        <v>5425</v>
      </c>
      <c r="AT2509" t="s">
        <v>9240</v>
      </c>
      <c r="AU2509" t="s">
        <v>17437</v>
      </c>
      <c r="AV2509" t="s">
        <v>4244</v>
      </c>
      <c r="AW2509" t="s">
        <v>9207</v>
      </c>
      <c r="AX2509" t="s">
        <v>6478</v>
      </c>
      <c r="AY2509" t="s">
        <v>23176</v>
      </c>
      <c r="AZ2509" t="s">
        <v>6478</v>
      </c>
      <c r="BA2509">
        <v>1.08</v>
      </c>
      <c r="BB2509">
        <v>4520.1099999999997</v>
      </c>
      <c r="BC2509">
        <v>0.52</v>
      </c>
      <c r="BD2509">
        <v>17.97</v>
      </c>
      <c r="BE2509">
        <v>18.11</v>
      </c>
      <c r="BF2509">
        <v>17.989999999999998</v>
      </c>
      <c r="BG2509" t="s">
        <v>23969</v>
      </c>
      <c r="BH2509" t="s">
        <v>23176</v>
      </c>
      <c r="BI2509" t="s">
        <v>1498</v>
      </c>
      <c r="BJ2509" t="s">
        <v>101</v>
      </c>
      <c r="BK2509" t="s">
        <v>1094</v>
      </c>
      <c r="BL2509" t="s">
        <v>23970</v>
      </c>
      <c r="BM2509" t="s">
        <v>21652</v>
      </c>
      <c r="BN2509" t="s">
        <v>23454</v>
      </c>
    </row>
    <row r="2510" spans="1:66" x14ac:dyDescent="0.25">
      <c r="A2510" t="str">
        <f>HYPERLINK("https://elite.finviz.com/quote.ashx?t=MAT&amp;ty=c&amp;p=d&amp;b=1", "MAT")</f>
        <v>MAT</v>
      </c>
      <c r="B2510">
        <v>5</v>
      </c>
      <c r="C2510">
        <v>116.22</v>
      </c>
      <c r="D2510">
        <v>32.35</v>
      </c>
      <c r="E2510" t="s">
        <v>23971</v>
      </c>
      <c r="F2510" t="s">
        <v>107</v>
      </c>
      <c r="G2510" t="s">
        <v>813</v>
      </c>
      <c r="H2510" t="s">
        <v>5941</v>
      </c>
      <c r="I2510" t="s">
        <v>70</v>
      </c>
      <c r="J2510" t="s">
        <v>321</v>
      </c>
      <c r="K2510">
        <v>5395.24</v>
      </c>
      <c r="L2510">
        <v>16.75</v>
      </c>
      <c r="M2510" t="s">
        <v>4849</v>
      </c>
      <c r="N2510">
        <v>445568</v>
      </c>
      <c r="O2510">
        <v>10.8</v>
      </c>
      <c r="P2510">
        <v>9.42</v>
      </c>
      <c r="Q2510">
        <v>1.85</v>
      </c>
      <c r="R2510">
        <v>1.01</v>
      </c>
      <c r="S2510">
        <v>2.48</v>
      </c>
      <c r="V2510" t="s">
        <v>23972</v>
      </c>
      <c r="Z2510" t="s">
        <v>164</v>
      </c>
      <c r="AA2510">
        <v>1.55</v>
      </c>
      <c r="AB2510" t="s">
        <v>9829</v>
      </c>
      <c r="AD2510" t="s">
        <v>4133</v>
      </c>
      <c r="AE2510" t="s">
        <v>181</v>
      </c>
      <c r="AF2510" t="s">
        <v>4886</v>
      </c>
      <c r="AG2510" t="s">
        <v>1088</v>
      </c>
      <c r="AH2510" t="s">
        <v>8889</v>
      </c>
      <c r="AI2510" t="s">
        <v>7566</v>
      </c>
      <c r="AJ2510" t="s">
        <v>164</v>
      </c>
      <c r="AK2510" t="s">
        <v>23973</v>
      </c>
      <c r="AL2510">
        <v>1.62</v>
      </c>
      <c r="AM2510">
        <v>1.1200000000000001</v>
      </c>
      <c r="AN2510">
        <v>1.23</v>
      </c>
      <c r="AO2510" t="s">
        <v>5442</v>
      </c>
      <c r="AP2510" t="s">
        <v>5609</v>
      </c>
      <c r="AQ2510" t="s">
        <v>1066</v>
      </c>
      <c r="AR2510" t="s">
        <v>2307</v>
      </c>
      <c r="AS2510" t="s">
        <v>5420</v>
      </c>
      <c r="AT2510" t="s">
        <v>6345</v>
      </c>
      <c r="AU2510" t="s">
        <v>120</v>
      </c>
      <c r="AV2510" t="s">
        <v>7408</v>
      </c>
      <c r="AW2510" t="s">
        <v>172</v>
      </c>
      <c r="AX2510" t="s">
        <v>8179</v>
      </c>
      <c r="AY2510" t="s">
        <v>999</v>
      </c>
      <c r="AZ2510" t="s">
        <v>11778</v>
      </c>
      <c r="BA2510">
        <v>1.56</v>
      </c>
      <c r="BB2510">
        <v>3758.8</v>
      </c>
      <c r="BC2510">
        <v>0.42</v>
      </c>
      <c r="BD2510">
        <v>16.66</v>
      </c>
      <c r="BE2510">
        <v>16.79</v>
      </c>
      <c r="BF2510">
        <v>16.64</v>
      </c>
      <c r="BG2510" t="s">
        <v>23974</v>
      </c>
      <c r="BH2510" t="s">
        <v>23975</v>
      </c>
      <c r="BI2510" t="s">
        <v>23976</v>
      </c>
      <c r="BJ2510" t="s">
        <v>101</v>
      </c>
      <c r="BK2510" t="s">
        <v>7558</v>
      </c>
      <c r="BL2510" t="s">
        <v>22068</v>
      </c>
      <c r="BM2510" t="s">
        <v>11786</v>
      </c>
      <c r="BN2510" t="s">
        <v>23454</v>
      </c>
    </row>
    <row r="2511" spans="1:66" x14ac:dyDescent="0.25">
      <c r="A2511" t="str">
        <f>HYPERLINK("https://elite.finviz.com/quote.ashx?t=GPK&amp;ty=c&amp;p=d&amp;b=1", "GPK")</f>
        <v>GPK</v>
      </c>
      <c r="B2511">
        <v>5</v>
      </c>
      <c r="C2511">
        <v>116.22</v>
      </c>
      <c r="D2511">
        <v>32.369999999999997</v>
      </c>
      <c r="E2511" t="s">
        <v>23977</v>
      </c>
      <c r="F2511" t="s">
        <v>107</v>
      </c>
      <c r="G2511" t="s">
        <v>813</v>
      </c>
      <c r="H2511" t="s">
        <v>7355</v>
      </c>
      <c r="I2511" t="s">
        <v>70</v>
      </c>
      <c r="J2511" t="s">
        <v>71</v>
      </c>
      <c r="K2511">
        <v>5726.49</v>
      </c>
      <c r="L2511">
        <v>19.329999999999998</v>
      </c>
      <c r="M2511" t="s">
        <v>4308</v>
      </c>
      <c r="N2511">
        <v>830984</v>
      </c>
      <c r="O2511">
        <v>10.94</v>
      </c>
      <c r="P2511">
        <v>8.6</v>
      </c>
      <c r="Q2511">
        <v>13.19</v>
      </c>
      <c r="R2511">
        <v>0.66</v>
      </c>
      <c r="S2511">
        <v>1.78</v>
      </c>
      <c r="T2511" t="s">
        <v>2876</v>
      </c>
      <c r="U2511">
        <v>0.43</v>
      </c>
      <c r="V2511" t="s">
        <v>3833</v>
      </c>
      <c r="W2511" t="s">
        <v>164</v>
      </c>
      <c r="X2511" t="s">
        <v>1115</v>
      </c>
      <c r="Y2511" t="s">
        <v>351</v>
      </c>
      <c r="Z2511" t="s">
        <v>6574</v>
      </c>
      <c r="AA2511">
        <v>1.77</v>
      </c>
      <c r="AB2511" t="s">
        <v>16388</v>
      </c>
      <c r="AC2511" t="s">
        <v>2129</v>
      </c>
      <c r="AD2511" t="s">
        <v>2734</v>
      </c>
      <c r="AE2511" t="s">
        <v>3577</v>
      </c>
      <c r="AF2511" t="s">
        <v>6420</v>
      </c>
      <c r="AG2511" t="s">
        <v>2816</v>
      </c>
      <c r="AH2511" t="s">
        <v>3286</v>
      </c>
      <c r="AI2511" t="s">
        <v>1872</v>
      </c>
      <c r="AJ2511" t="s">
        <v>6838</v>
      </c>
      <c r="AK2511" t="s">
        <v>23978</v>
      </c>
      <c r="AL2511">
        <v>1.43</v>
      </c>
      <c r="AM2511">
        <v>0.56000000000000005</v>
      </c>
      <c r="AN2511">
        <v>1.81</v>
      </c>
      <c r="AO2511" t="s">
        <v>5492</v>
      </c>
      <c r="AP2511" t="s">
        <v>5387</v>
      </c>
      <c r="AQ2511" t="s">
        <v>2839</v>
      </c>
      <c r="AR2511" t="s">
        <v>212</v>
      </c>
      <c r="AS2511" t="s">
        <v>2582</v>
      </c>
      <c r="AT2511" t="s">
        <v>11445</v>
      </c>
      <c r="AU2511" t="s">
        <v>1828</v>
      </c>
      <c r="AV2511" t="s">
        <v>12406</v>
      </c>
      <c r="AW2511" t="s">
        <v>23235</v>
      </c>
      <c r="AX2511" t="s">
        <v>3551</v>
      </c>
      <c r="AY2511" t="s">
        <v>13306</v>
      </c>
      <c r="AZ2511" t="s">
        <v>3551</v>
      </c>
      <c r="BA2511">
        <v>2.29</v>
      </c>
      <c r="BB2511">
        <v>3738.53</v>
      </c>
      <c r="BC2511">
        <v>0.78</v>
      </c>
      <c r="BD2511">
        <v>19.21</v>
      </c>
      <c r="BE2511">
        <v>19.489999999999998</v>
      </c>
      <c r="BF2511">
        <v>19.11</v>
      </c>
      <c r="BG2511" t="s">
        <v>23979</v>
      </c>
      <c r="BH2511" t="s">
        <v>13306</v>
      </c>
      <c r="BI2511" t="s">
        <v>23980</v>
      </c>
      <c r="BJ2511" t="s">
        <v>101</v>
      </c>
      <c r="BK2511" t="s">
        <v>2265</v>
      </c>
      <c r="BL2511" t="s">
        <v>23981</v>
      </c>
      <c r="BM2511" t="s">
        <v>23982</v>
      </c>
      <c r="BN2511" t="s">
        <v>23454</v>
      </c>
    </row>
    <row r="2512" spans="1:66" x14ac:dyDescent="0.25">
      <c r="A2512" t="str">
        <f>HYPERLINK("https://elite.finviz.com/quote.ashx?t=MSTR&amp;ty=c&amp;p=d&amp;b=1", "MSTR")</f>
        <v>MSTR</v>
      </c>
      <c r="B2512">
        <v>5</v>
      </c>
      <c r="C2512">
        <v>116.22</v>
      </c>
      <c r="D2512">
        <v>32.4</v>
      </c>
      <c r="E2512" t="s">
        <v>23983</v>
      </c>
      <c r="F2512" t="s">
        <v>2731</v>
      </c>
      <c r="G2512" t="s">
        <v>108</v>
      </c>
      <c r="H2512" t="s">
        <v>136</v>
      </c>
      <c r="I2512" t="s">
        <v>70</v>
      </c>
      <c r="J2512" t="s">
        <v>321</v>
      </c>
      <c r="K2512">
        <v>85086.79</v>
      </c>
      <c r="L2512">
        <v>300.07</v>
      </c>
      <c r="M2512" t="s">
        <v>2468</v>
      </c>
      <c r="N2512">
        <v>3466538</v>
      </c>
      <c r="O2512">
        <v>26.42</v>
      </c>
      <c r="R2512">
        <v>184.04</v>
      </c>
      <c r="S2512">
        <v>1.78</v>
      </c>
      <c r="AA2512">
        <v>11.36</v>
      </c>
      <c r="AB2512" t="s">
        <v>8109</v>
      </c>
      <c r="AE2512" t="s">
        <v>82</v>
      </c>
      <c r="AF2512" t="s">
        <v>3554</v>
      </c>
      <c r="AG2512" t="s">
        <v>3634</v>
      </c>
      <c r="AH2512" t="s">
        <v>2361</v>
      </c>
      <c r="AI2512" t="s">
        <v>23984</v>
      </c>
      <c r="AJ2512" t="s">
        <v>629</v>
      </c>
      <c r="AK2512" t="s">
        <v>16856</v>
      </c>
      <c r="AL2512">
        <v>0.68</v>
      </c>
      <c r="AM2512">
        <v>0.68</v>
      </c>
      <c r="AN2512">
        <v>0.16</v>
      </c>
      <c r="AO2512" t="s">
        <v>10514</v>
      </c>
      <c r="AP2512" t="s">
        <v>11925</v>
      </c>
      <c r="AQ2512" t="s">
        <v>23985</v>
      </c>
      <c r="AR2512" t="s">
        <v>912</v>
      </c>
      <c r="AS2512" t="s">
        <v>6460</v>
      </c>
      <c r="AT2512" t="s">
        <v>13088</v>
      </c>
      <c r="AU2512" t="s">
        <v>4743</v>
      </c>
      <c r="AV2512" t="s">
        <v>8770</v>
      </c>
      <c r="AW2512" t="s">
        <v>10363</v>
      </c>
      <c r="AX2512" t="s">
        <v>4154</v>
      </c>
      <c r="AY2512" t="s">
        <v>9701</v>
      </c>
      <c r="AZ2512" t="s">
        <v>23986</v>
      </c>
      <c r="BA2512">
        <v>1.5</v>
      </c>
      <c r="BB2512">
        <v>11817.33</v>
      </c>
      <c r="BC2512">
        <v>1.03</v>
      </c>
      <c r="BD2512">
        <v>300.7</v>
      </c>
      <c r="BE2512">
        <v>303.67</v>
      </c>
      <c r="BF2512">
        <v>297.72000000000003</v>
      </c>
      <c r="BG2512" t="s">
        <v>23987</v>
      </c>
      <c r="BH2512" t="s">
        <v>9701</v>
      </c>
      <c r="BI2512" t="s">
        <v>23988</v>
      </c>
      <c r="BJ2512" t="s">
        <v>101</v>
      </c>
      <c r="BK2512" t="s">
        <v>23989</v>
      </c>
      <c r="BL2512" t="s">
        <v>14355</v>
      </c>
      <c r="BM2512" t="s">
        <v>13264</v>
      </c>
      <c r="BN2512" t="s">
        <v>23454</v>
      </c>
    </row>
    <row r="2513" spans="1:66" x14ac:dyDescent="0.25">
      <c r="A2513" t="str">
        <f>HYPERLINK("https://elite.finviz.com/quote.ashx?t=WEN&amp;ty=c&amp;p=d&amp;b=1", "WEN")</f>
        <v>WEN</v>
      </c>
      <c r="B2513">
        <v>5</v>
      </c>
      <c r="C2513">
        <v>116.22</v>
      </c>
      <c r="D2513">
        <v>32.42</v>
      </c>
      <c r="E2513" t="s">
        <v>23990</v>
      </c>
      <c r="F2513" t="s">
        <v>107</v>
      </c>
      <c r="G2513" t="s">
        <v>813</v>
      </c>
      <c r="H2513" t="s">
        <v>2285</v>
      </c>
      <c r="I2513" t="s">
        <v>70</v>
      </c>
      <c r="J2513" t="s">
        <v>321</v>
      </c>
      <c r="K2513">
        <v>1737</v>
      </c>
      <c r="L2513">
        <v>9.11</v>
      </c>
      <c r="M2513" t="s">
        <v>4273</v>
      </c>
      <c r="N2513">
        <v>996945</v>
      </c>
      <c r="O2513">
        <v>9.51</v>
      </c>
      <c r="P2513">
        <v>9.6999999999999993</v>
      </c>
      <c r="Q2513">
        <v>6.52</v>
      </c>
      <c r="R2513">
        <v>0.78</v>
      </c>
      <c r="S2513">
        <v>15.45</v>
      </c>
      <c r="T2513" t="s">
        <v>5999</v>
      </c>
      <c r="U2513">
        <v>0.78</v>
      </c>
      <c r="V2513" t="s">
        <v>2187</v>
      </c>
      <c r="W2513" t="s">
        <v>164</v>
      </c>
      <c r="X2513" t="s">
        <v>9608</v>
      </c>
      <c r="Y2513" t="s">
        <v>12736</v>
      </c>
      <c r="Z2513" t="s">
        <v>23991</v>
      </c>
      <c r="AA2513">
        <v>0.96</v>
      </c>
      <c r="AB2513" t="s">
        <v>161</v>
      </c>
      <c r="AC2513" t="s">
        <v>8928</v>
      </c>
      <c r="AD2513" t="s">
        <v>3024</v>
      </c>
      <c r="AE2513" t="s">
        <v>1559</v>
      </c>
      <c r="AF2513" t="s">
        <v>342</v>
      </c>
      <c r="AG2513" t="s">
        <v>3054</v>
      </c>
      <c r="AH2513" t="s">
        <v>181</v>
      </c>
      <c r="AI2513" t="s">
        <v>2711</v>
      </c>
      <c r="AJ2513" t="s">
        <v>4086</v>
      </c>
      <c r="AK2513" t="s">
        <v>20848</v>
      </c>
      <c r="AL2513">
        <v>1.45</v>
      </c>
      <c r="AM2513">
        <v>1.43</v>
      </c>
      <c r="AN2513">
        <v>36.21</v>
      </c>
      <c r="AO2513" t="s">
        <v>14240</v>
      </c>
      <c r="AP2513" t="s">
        <v>1205</v>
      </c>
      <c r="AQ2513" t="s">
        <v>5864</v>
      </c>
      <c r="AR2513" t="s">
        <v>1599</v>
      </c>
      <c r="AS2513" t="s">
        <v>248</v>
      </c>
      <c r="AT2513" t="s">
        <v>6741</v>
      </c>
      <c r="AU2513" t="s">
        <v>16396</v>
      </c>
      <c r="AV2513" t="s">
        <v>9076</v>
      </c>
      <c r="AW2513" t="s">
        <v>15106</v>
      </c>
      <c r="AX2513" t="s">
        <v>84</v>
      </c>
      <c r="AY2513" t="s">
        <v>23992</v>
      </c>
      <c r="AZ2513" t="s">
        <v>84</v>
      </c>
      <c r="BA2513">
        <v>2.69</v>
      </c>
      <c r="BB2513">
        <v>7359.15</v>
      </c>
      <c r="BC2513">
        <v>0.48</v>
      </c>
      <c r="BD2513">
        <v>9.16</v>
      </c>
      <c r="BE2513">
        <v>9.17</v>
      </c>
      <c r="BF2513">
        <v>9.0399999999999991</v>
      </c>
      <c r="BG2513" t="s">
        <v>23993</v>
      </c>
      <c r="BH2513" t="s">
        <v>7545</v>
      </c>
      <c r="BI2513" t="s">
        <v>23994</v>
      </c>
      <c r="BJ2513" t="s">
        <v>101</v>
      </c>
      <c r="BK2513" t="s">
        <v>186</v>
      </c>
      <c r="BL2513" t="s">
        <v>10092</v>
      </c>
      <c r="BM2513" t="s">
        <v>23995</v>
      </c>
      <c r="BN2513" t="s">
        <v>23454</v>
      </c>
    </row>
    <row r="2514" spans="1:66" x14ac:dyDescent="0.25">
      <c r="A2514" t="str">
        <f>HYPERLINK("https://elite.finviz.com/quote.ashx?t=AMTM&amp;ty=c&amp;p=d&amp;b=1", "AMTM")</f>
        <v>AMTM</v>
      </c>
      <c r="B2514">
        <v>5</v>
      </c>
      <c r="C2514">
        <v>116.22</v>
      </c>
      <c r="D2514">
        <v>32.49</v>
      </c>
      <c r="E2514" t="s">
        <v>23996</v>
      </c>
      <c r="F2514" t="s">
        <v>107</v>
      </c>
      <c r="G2514" t="s">
        <v>260</v>
      </c>
      <c r="H2514" t="s">
        <v>1077</v>
      </c>
      <c r="I2514" t="s">
        <v>70</v>
      </c>
      <c r="J2514" t="s">
        <v>71</v>
      </c>
      <c r="K2514">
        <v>5415.28</v>
      </c>
      <c r="L2514">
        <v>22.25</v>
      </c>
      <c r="M2514" t="s">
        <v>2426</v>
      </c>
      <c r="N2514">
        <v>217534</v>
      </c>
      <c r="O2514">
        <v>104.09</v>
      </c>
      <c r="P2514">
        <v>9.4499999999999993</v>
      </c>
      <c r="Q2514">
        <v>10.82</v>
      </c>
      <c r="R2514">
        <v>0.43</v>
      </c>
      <c r="S2514">
        <v>1.21</v>
      </c>
      <c r="AA2514">
        <v>0.21</v>
      </c>
      <c r="AD2514" t="s">
        <v>7209</v>
      </c>
      <c r="AF2514" t="s">
        <v>3918</v>
      </c>
      <c r="AH2514" t="s">
        <v>6522</v>
      </c>
      <c r="AI2514" t="s">
        <v>6525</v>
      </c>
      <c r="AJ2514" t="s">
        <v>164</v>
      </c>
      <c r="AK2514" t="s">
        <v>23997</v>
      </c>
      <c r="AL2514">
        <v>1.58</v>
      </c>
      <c r="AM2514">
        <v>1.58</v>
      </c>
      <c r="AN2514">
        <v>1.01</v>
      </c>
      <c r="AO2514" t="s">
        <v>1955</v>
      </c>
      <c r="AP2514" t="s">
        <v>5425</v>
      </c>
      <c r="AQ2514" t="s">
        <v>1765</v>
      </c>
      <c r="AR2514" t="s">
        <v>749</v>
      </c>
      <c r="AS2514" t="s">
        <v>3500</v>
      </c>
      <c r="AT2514" t="s">
        <v>2498</v>
      </c>
      <c r="AU2514" t="s">
        <v>11385</v>
      </c>
      <c r="AV2514" t="s">
        <v>2195</v>
      </c>
      <c r="AW2514" t="s">
        <v>2528</v>
      </c>
      <c r="AX2514" t="s">
        <v>179</v>
      </c>
      <c r="AY2514" t="s">
        <v>23998</v>
      </c>
      <c r="AZ2514" t="s">
        <v>12706</v>
      </c>
      <c r="BA2514">
        <v>2.2200000000000002</v>
      </c>
      <c r="BB2514">
        <v>1603.41</v>
      </c>
      <c r="BC2514">
        <v>0.48</v>
      </c>
      <c r="BD2514">
        <v>22.36</v>
      </c>
      <c r="BE2514">
        <v>22.59</v>
      </c>
      <c r="BF2514">
        <v>22.14</v>
      </c>
      <c r="BG2514" t="s">
        <v>23999</v>
      </c>
      <c r="BH2514" t="s">
        <v>21303</v>
      </c>
      <c r="BI2514" t="s">
        <v>12706</v>
      </c>
      <c r="BJ2514" t="s">
        <v>101</v>
      </c>
      <c r="BK2514" t="s">
        <v>19319</v>
      </c>
      <c r="BL2514" t="s">
        <v>9039</v>
      </c>
      <c r="BM2514" t="s">
        <v>12405</v>
      </c>
      <c r="BN2514" t="s">
        <v>23454</v>
      </c>
    </row>
    <row r="2515" spans="1:66" x14ac:dyDescent="0.25">
      <c r="A2515" t="str">
        <f>HYPERLINK("https://elite.finviz.com/quote.ashx?t=WKHS&amp;ty=c&amp;p=d&amp;b=1", "WKHS")</f>
        <v>WKHS</v>
      </c>
      <c r="B2515">
        <v>5</v>
      </c>
      <c r="C2515">
        <v>116.22</v>
      </c>
      <c r="D2515">
        <v>32.67</v>
      </c>
      <c r="E2515" t="s">
        <v>24000</v>
      </c>
      <c r="F2515" t="s">
        <v>107</v>
      </c>
      <c r="G2515" t="s">
        <v>813</v>
      </c>
      <c r="H2515" t="s">
        <v>890</v>
      </c>
      <c r="I2515" t="s">
        <v>70</v>
      </c>
      <c r="J2515" t="s">
        <v>321</v>
      </c>
      <c r="K2515">
        <v>16.53</v>
      </c>
      <c r="L2515">
        <v>1.08</v>
      </c>
      <c r="M2515" t="s">
        <v>149</v>
      </c>
      <c r="N2515">
        <v>263622</v>
      </c>
      <c r="R2515">
        <v>1.54</v>
      </c>
      <c r="S2515">
        <v>0.51</v>
      </c>
      <c r="AA2515">
        <v>-29.39</v>
      </c>
      <c r="AB2515" t="s">
        <v>8347</v>
      </c>
      <c r="AC2515" t="s">
        <v>13661</v>
      </c>
      <c r="AE2515" t="s">
        <v>1206</v>
      </c>
      <c r="AG2515" t="s">
        <v>5376</v>
      </c>
      <c r="AH2515" t="s">
        <v>24001</v>
      </c>
      <c r="AJ2515" t="s">
        <v>16666</v>
      </c>
      <c r="AK2515" t="s">
        <v>5593</v>
      </c>
      <c r="AL2515">
        <v>0.87</v>
      </c>
      <c r="AM2515">
        <v>0.42</v>
      </c>
      <c r="AN2515">
        <v>1.99</v>
      </c>
      <c r="AO2515" t="s">
        <v>24002</v>
      </c>
      <c r="AP2515" t="s">
        <v>24003</v>
      </c>
      <c r="AQ2515" t="s">
        <v>24004</v>
      </c>
      <c r="AR2515" t="s">
        <v>848</v>
      </c>
      <c r="AS2515" t="s">
        <v>4476</v>
      </c>
      <c r="AT2515" t="s">
        <v>6303</v>
      </c>
      <c r="AU2515" t="s">
        <v>16319</v>
      </c>
      <c r="AV2515" t="s">
        <v>24005</v>
      </c>
      <c r="AW2515" t="s">
        <v>23494</v>
      </c>
      <c r="AX2515" t="s">
        <v>4839</v>
      </c>
      <c r="AY2515" t="s">
        <v>24006</v>
      </c>
      <c r="AZ2515" t="s">
        <v>6495</v>
      </c>
      <c r="BA2515">
        <v>3</v>
      </c>
      <c r="BB2515">
        <v>3589.51</v>
      </c>
      <c r="BC2515">
        <v>0.26</v>
      </c>
      <c r="BD2515">
        <v>1.07</v>
      </c>
      <c r="BE2515">
        <v>1.1000000000000001</v>
      </c>
      <c r="BF2515">
        <v>1.06</v>
      </c>
      <c r="BG2515" t="s">
        <v>24007</v>
      </c>
      <c r="BH2515" t="s">
        <v>3320</v>
      </c>
      <c r="BI2515" t="s">
        <v>6495</v>
      </c>
      <c r="BJ2515" t="s">
        <v>101</v>
      </c>
      <c r="BK2515" t="s">
        <v>3859</v>
      </c>
      <c r="BL2515" t="s">
        <v>7665</v>
      </c>
      <c r="BM2515" t="s">
        <v>24008</v>
      </c>
      <c r="BN2515" t="s">
        <v>23454</v>
      </c>
    </row>
    <row r="2516" spans="1:66" x14ac:dyDescent="0.25">
      <c r="A2516" t="str">
        <f>HYPERLINK("https://elite.finviz.com/quote.ashx?t=TAP&amp;ty=c&amp;p=d&amp;b=1", "TAP")</f>
        <v>TAP</v>
      </c>
      <c r="B2516">
        <v>5</v>
      </c>
      <c r="C2516">
        <v>116.22</v>
      </c>
      <c r="D2516">
        <v>32.68</v>
      </c>
      <c r="E2516" t="s">
        <v>24009</v>
      </c>
      <c r="F2516" t="s">
        <v>195</v>
      </c>
      <c r="G2516" t="s">
        <v>2244</v>
      </c>
      <c r="H2516" t="s">
        <v>15848</v>
      </c>
      <c r="I2516" t="s">
        <v>70</v>
      </c>
      <c r="J2516" t="s">
        <v>71</v>
      </c>
      <c r="K2516">
        <v>8926.7000000000007</v>
      </c>
      <c r="L2516">
        <v>44.93</v>
      </c>
      <c r="M2516" t="s">
        <v>6732</v>
      </c>
      <c r="N2516">
        <v>339061</v>
      </c>
      <c r="O2516">
        <v>8.85</v>
      </c>
      <c r="P2516">
        <v>7.89</v>
      </c>
      <c r="Q2516">
        <v>126.4</v>
      </c>
      <c r="R2516">
        <v>0.79</v>
      </c>
      <c r="S2516">
        <v>0.63</v>
      </c>
      <c r="T2516" t="s">
        <v>2721</v>
      </c>
      <c r="U2516">
        <v>1.85</v>
      </c>
      <c r="V2516" t="s">
        <v>4548</v>
      </c>
      <c r="W2516" t="s">
        <v>5150</v>
      </c>
      <c r="X2516" t="s">
        <v>12624</v>
      </c>
      <c r="Y2516" t="s">
        <v>4155</v>
      </c>
      <c r="Z2516" t="s">
        <v>10113</v>
      </c>
      <c r="AA2516">
        <v>5.08</v>
      </c>
      <c r="AB2516" t="s">
        <v>4824</v>
      </c>
      <c r="AC2516" t="s">
        <v>4080</v>
      </c>
      <c r="AD2516" t="s">
        <v>580</v>
      </c>
      <c r="AE2516" t="s">
        <v>5628</v>
      </c>
      <c r="AF2516" t="s">
        <v>2721</v>
      </c>
      <c r="AG2516" t="s">
        <v>909</v>
      </c>
      <c r="AH2516" t="s">
        <v>6265</v>
      </c>
      <c r="AI2516" t="s">
        <v>2622</v>
      </c>
      <c r="AJ2516" t="s">
        <v>5242</v>
      </c>
      <c r="AK2516" t="s">
        <v>24010</v>
      </c>
      <c r="AL2516">
        <v>0.95</v>
      </c>
      <c r="AM2516">
        <v>0.67</v>
      </c>
      <c r="AN2516">
        <v>0.49</v>
      </c>
      <c r="AO2516" t="s">
        <v>3603</v>
      </c>
      <c r="AP2516" t="s">
        <v>5706</v>
      </c>
      <c r="AQ2516" t="s">
        <v>1006</v>
      </c>
      <c r="AR2516" t="s">
        <v>6937</v>
      </c>
      <c r="AS2516" t="s">
        <v>4891</v>
      </c>
      <c r="AT2516" t="s">
        <v>5880</v>
      </c>
      <c r="AU2516" t="s">
        <v>6326</v>
      </c>
      <c r="AV2516" t="s">
        <v>158</v>
      </c>
      <c r="AW2516" t="s">
        <v>9632</v>
      </c>
      <c r="AX2516" t="s">
        <v>248</v>
      </c>
      <c r="AY2516" t="s">
        <v>24011</v>
      </c>
      <c r="AZ2516" t="s">
        <v>248</v>
      </c>
      <c r="BA2516">
        <v>2.58</v>
      </c>
      <c r="BB2516">
        <v>2552.44</v>
      </c>
      <c r="BC2516">
        <v>0.47</v>
      </c>
      <c r="BD2516">
        <v>44.41</v>
      </c>
      <c r="BE2516">
        <v>44.97</v>
      </c>
      <c r="BF2516">
        <v>44.47</v>
      </c>
      <c r="BG2516" t="s">
        <v>24012</v>
      </c>
      <c r="BH2516" t="s">
        <v>2154</v>
      </c>
      <c r="BI2516" t="s">
        <v>24013</v>
      </c>
      <c r="BJ2516" t="s">
        <v>101</v>
      </c>
      <c r="BK2516" t="s">
        <v>3704</v>
      </c>
      <c r="BL2516" t="s">
        <v>21209</v>
      </c>
      <c r="BM2516" t="s">
        <v>3527</v>
      </c>
      <c r="BN2516" t="s">
        <v>23454</v>
      </c>
    </row>
    <row r="2517" spans="1:66" x14ac:dyDescent="0.25">
      <c r="A2517" t="str">
        <f>HYPERLINK("https://elite.finviz.com/quote.ashx?t=PPC&amp;ty=c&amp;p=d&amp;b=1", "PPC")</f>
        <v>PPC</v>
      </c>
      <c r="B2517">
        <v>5</v>
      </c>
      <c r="C2517">
        <v>116.22</v>
      </c>
      <c r="D2517">
        <v>32.81</v>
      </c>
      <c r="E2517" t="s">
        <v>24014</v>
      </c>
      <c r="F2517" t="s">
        <v>107</v>
      </c>
      <c r="G2517" t="s">
        <v>2244</v>
      </c>
      <c r="H2517" t="s">
        <v>3269</v>
      </c>
      <c r="I2517" t="s">
        <v>70</v>
      </c>
      <c r="J2517" t="s">
        <v>321</v>
      </c>
      <c r="K2517">
        <v>9595.73</v>
      </c>
      <c r="L2517">
        <v>40.4</v>
      </c>
      <c r="M2517" t="s">
        <v>4436</v>
      </c>
      <c r="N2517">
        <v>291773</v>
      </c>
      <c r="O2517">
        <v>7.78</v>
      </c>
      <c r="P2517">
        <v>8.99</v>
      </c>
      <c r="R2517">
        <v>0.53</v>
      </c>
      <c r="S2517">
        <v>2.57</v>
      </c>
      <c r="T2517" t="s">
        <v>3199</v>
      </c>
      <c r="V2517" t="s">
        <v>5737</v>
      </c>
      <c r="Z2517" t="s">
        <v>164</v>
      </c>
      <c r="AA2517">
        <v>5.19</v>
      </c>
      <c r="AB2517" t="s">
        <v>24015</v>
      </c>
      <c r="AC2517" t="s">
        <v>11608</v>
      </c>
      <c r="AD2517" t="s">
        <v>8058</v>
      </c>
      <c r="AE2517" t="s">
        <v>5263</v>
      </c>
      <c r="AF2517" t="s">
        <v>8125</v>
      </c>
      <c r="AG2517" t="s">
        <v>684</v>
      </c>
      <c r="AH2517" t="s">
        <v>7699</v>
      </c>
      <c r="AI2517" t="s">
        <v>1282</v>
      </c>
      <c r="AJ2517" t="s">
        <v>3227</v>
      </c>
      <c r="AK2517" t="s">
        <v>3437</v>
      </c>
      <c r="AL2517">
        <v>1.63</v>
      </c>
      <c r="AM2517">
        <v>0.88</v>
      </c>
      <c r="AN2517">
        <v>0.9</v>
      </c>
      <c r="AO2517" t="s">
        <v>5096</v>
      </c>
      <c r="AP2517" t="s">
        <v>3549</v>
      </c>
      <c r="AQ2517" t="s">
        <v>5642</v>
      </c>
      <c r="AR2517" t="s">
        <v>3208</v>
      </c>
      <c r="AS2517" t="s">
        <v>2789</v>
      </c>
      <c r="AT2517" t="s">
        <v>8470</v>
      </c>
      <c r="AU2517" t="s">
        <v>8238</v>
      </c>
      <c r="AV2517" t="s">
        <v>15469</v>
      </c>
      <c r="AW2517" t="s">
        <v>5002</v>
      </c>
      <c r="AX2517" t="s">
        <v>406</v>
      </c>
      <c r="AY2517" t="s">
        <v>1046</v>
      </c>
      <c r="AZ2517" t="s">
        <v>9097</v>
      </c>
      <c r="BA2517">
        <v>2.9</v>
      </c>
      <c r="BB2517">
        <v>1454.33</v>
      </c>
      <c r="BC2517">
        <v>0.71</v>
      </c>
      <c r="BD2517">
        <v>40.840000000000003</v>
      </c>
      <c r="BE2517">
        <v>41.1</v>
      </c>
      <c r="BF2517">
        <v>40.32</v>
      </c>
      <c r="BG2517" t="s">
        <v>24016</v>
      </c>
      <c r="BH2517" t="s">
        <v>1046</v>
      </c>
      <c r="BI2517" t="s">
        <v>24017</v>
      </c>
      <c r="BJ2517" t="s">
        <v>101</v>
      </c>
      <c r="BK2517" t="s">
        <v>16056</v>
      </c>
      <c r="BL2517" t="s">
        <v>23263</v>
      </c>
      <c r="BM2517" t="s">
        <v>902</v>
      </c>
      <c r="BN2517" t="s">
        <v>23454</v>
      </c>
    </row>
    <row r="2518" spans="1:66" x14ac:dyDescent="0.25">
      <c r="A2518" t="str">
        <f>HYPERLINK("https://elite.finviz.com/quote.ashx?t=PTLO&amp;ty=c&amp;p=d&amp;b=1", "PTLO")</f>
        <v>PTLO</v>
      </c>
      <c r="B2518">
        <v>5</v>
      </c>
      <c r="C2518">
        <v>116.22</v>
      </c>
      <c r="D2518">
        <v>32.85</v>
      </c>
      <c r="E2518" t="s">
        <v>24018</v>
      </c>
      <c r="F2518" t="s">
        <v>67</v>
      </c>
      <c r="G2518" t="s">
        <v>813</v>
      </c>
      <c r="H2518" t="s">
        <v>2285</v>
      </c>
      <c r="I2518" t="s">
        <v>70</v>
      </c>
      <c r="J2518" t="s">
        <v>321</v>
      </c>
      <c r="K2518">
        <v>471.3</v>
      </c>
      <c r="L2518">
        <v>6.26</v>
      </c>
      <c r="M2518" t="s">
        <v>4203</v>
      </c>
      <c r="N2518">
        <v>430426</v>
      </c>
      <c r="O2518">
        <v>13.7</v>
      </c>
      <c r="P2518">
        <v>18.68</v>
      </c>
      <c r="R2518">
        <v>0.65</v>
      </c>
      <c r="S2518">
        <v>0.98</v>
      </c>
      <c r="Z2518" t="s">
        <v>164</v>
      </c>
      <c r="AA2518">
        <v>0.46</v>
      </c>
      <c r="AD2518" t="s">
        <v>3415</v>
      </c>
      <c r="AE2518" t="s">
        <v>3325</v>
      </c>
      <c r="AF2518" t="s">
        <v>230</v>
      </c>
      <c r="AG2518" t="s">
        <v>3672</v>
      </c>
      <c r="AH2518" t="s">
        <v>3613</v>
      </c>
      <c r="AI2518" t="s">
        <v>7322</v>
      </c>
      <c r="AJ2518" t="s">
        <v>24019</v>
      </c>
      <c r="AK2518" t="s">
        <v>16461</v>
      </c>
      <c r="AL2518">
        <v>0.28999999999999998</v>
      </c>
      <c r="AM2518">
        <v>0.23</v>
      </c>
      <c r="AN2518">
        <v>1.37</v>
      </c>
      <c r="AO2518" t="s">
        <v>13712</v>
      </c>
      <c r="AP2518" t="s">
        <v>10542</v>
      </c>
      <c r="AQ2518" t="s">
        <v>2721</v>
      </c>
      <c r="AR2518" t="s">
        <v>3443</v>
      </c>
      <c r="AS2518" t="s">
        <v>2384</v>
      </c>
      <c r="AT2518" t="s">
        <v>2673</v>
      </c>
      <c r="AU2518" t="s">
        <v>3438</v>
      </c>
      <c r="AV2518" t="s">
        <v>21399</v>
      </c>
      <c r="AW2518" t="s">
        <v>24020</v>
      </c>
      <c r="AX2518" t="s">
        <v>353</v>
      </c>
      <c r="AY2518" t="s">
        <v>24021</v>
      </c>
      <c r="AZ2518" t="s">
        <v>353</v>
      </c>
      <c r="BA2518">
        <v>1.73</v>
      </c>
      <c r="BB2518">
        <v>3274.46</v>
      </c>
      <c r="BC2518">
        <v>0.46</v>
      </c>
      <c r="BD2518">
        <v>6.3</v>
      </c>
      <c r="BE2518">
        <v>6.41</v>
      </c>
      <c r="BF2518">
        <v>6.25</v>
      </c>
      <c r="BG2518" t="s">
        <v>24022</v>
      </c>
      <c r="BH2518" t="s">
        <v>24023</v>
      </c>
      <c r="BI2518" t="s">
        <v>353</v>
      </c>
      <c r="BJ2518" t="s">
        <v>101</v>
      </c>
      <c r="BK2518" t="s">
        <v>24024</v>
      </c>
      <c r="BL2518" t="s">
        <v>11091</v>
      </c>
      <c r="BM2518" t="s">
        <v>499</v>
      </c>
      <c r="BN2518" t="s">
        <v>23454</v>
      </c>
    </row>
    <row r="2519" spans="1:66" x14ac:dyDescent="0.25">
      <c r="A2519" t="str">
        <f>HYPERLINK("https://elite.finviz.com/quote.ashx?t=DHR&amp;ty=c&amp;p=d&amp;b=1", "DHR")</f>
        <v>DHR</v>
      </c>
      <c r="B2519">
        <v>5</v>
      </c>
      <c r="C2519">
        <v>116.22</v>
      </c>
      <c r="D2519">
        <v>32.869999999999997</v>
      </c>
      <c r="E2519" t="s">
        <v>24025</v>
      </c>
      <c r="F2519" t="s">
        <v>195</v>
      </c>
      <c r="G2519" t="s">
        <v>428</v>
      </c>
      <c r="H2519" t="s">
        <v>4202</v>
      </c>
      <c r="I2519" t="s">
        <v>70</v>
      </c>
      <c r="J2519" t="s">
        <v>71</v>
      </c>
      <c r="K2519">
        <v>130942.99</v>
      </c>
      <c r="L2519">
        <v>182.87</v>
      </c>
      <c r="M2519" t="s">
        <v>3169</v>
      </c>
      <c r="N2519">
        <v>1180894</v>
      </c>
      <c r="O2519">
        <v>38.840000000000003</v>
      </c>
      <c r="P2519">
        <v>21.3</v>
      </c>
      <c r="Q2519">
        <v>4.74</v>
      </c>
      <c r="R2519">
        <v>5.45</v>
      </c>
      <c r="S2519">
        <v>2.5</v>
      </c>
      <c r="T2519" t="s">
        <v>5253</v>
      </c>
      <c r="U2519">
        <v>1.23</v>
      </c>
      <c r="V2519" t="s">
        <v>4741</v>
      </c>
      <c r="W2519" t="s">
        <v>2146</v>
      </c>
      <c r="X2519" t="s">
        <v>776</v>
      </c>
      <c r="Y2519" t="s">
        <v>2403</v>
      </c>
      <c r="Z2519" t="s">
        <v>3735</v>
      </c>
      <c r="AA2519">
        <v>4.71</v>
      </c>
      <c r="AB2519" t="s">
        <v>14833</v>
      </c>
      <c r="AC2519" t="s">
        <v>2984</v>
      </c>
      <c r="AD2519" t="s">
        <v>2861</v>
      </c>
      <c r="AE2519" t="s">
        <v>2218</v>
      </c>
      <c r="AF2519" t="s">
        <v>14915</v>
      </c>
      <c r="AG2519" t="s">
        <v>351</v>
      </c>
      <c r="AH2519" t="s">
        <v>3542</v>
      </c>
      <c r="AI2519" t="s">
        <v>9515</v>
      </c>
      <c r="AJ2519" t="s">
        <v>1119</v>
      </c>
      <c r="AK2519" t="s">
        <v>14677</v>
      </c>
      <c r="AL2519">
        <v>1.62</v>
      </c>
      <c r="AM2519">
        <v>1.22</v>
      </c>
      <c r="AN2519">
        <v>0.35</v>
      </c>
      <c r="AO2519" t="s">
        <v>15237</v>
      </c>
      <c r="AP2519" t="s">
        <v>6437</v>
      </c>
      <c r="AQ2519" t="s">
        <v>1476</v>
      </c>
      <c r="AR2519" t="s">
        <v>3118</v>
      </c>
      <c r="AS2519" t="s">
        <v>679</v>
      </c>
      <c r="AT2519" t="s">
        <v>6354</v>
      </c>
      <c r="AU2519" t="s">
        <v>7954</v>
      </c>
      <c r="AV2519" t="s">
        <v>9100</v>
      </c>
      <c r="AW2519" t="s">
        <v>2452</v>
      </c>
      <c r="AX2519" t="s">
        <v>4275</v>
      </c>
      <c r="AY2519" t="s">
        <v>12564</v>
      </c>
      <c r="AZ2519" t="s">
        <v>1955</v>
      </c>
      <c r="BA2519">
        <v>1.32</v>
      </c>
      <c r="BB2519">
        <v>3980.26</v>
      </c>
      <c r="BC2519">
        <v>1.05</v>
      </c>
      <c r="BD2519">
        <v>181.46</v>
      </c>
      <c r="BE2519">
        <v>184.03</v>
      </c>
      <c r="BF2519">
        <v>181.45</v>
      </c>
      <c r="BG2519" t="s">
        <v>24026</v>
      </c>
      <c r="BH2519" t="s">
        <v>621</v>
      </c>
      <c r="BI2519" t="s">
        <v>24027</v>
      </c>
      <c r="BJ2519" t="s">
        <v>101</v>
      </c>
      <c r="BK2519" t="s">
        <v>4374</v>
      </c>
      <c r="BL2519" t="s">
        <v>8242</v>
      </c>
      <c r="BM2519" t="s">
        <v>24028</v>
      </c>
      <c r="BN2519" t="s">
        <v>23454</v>
      </c>
    </row>
    <row r="2520" spans="1:66" x14ac:dyDescent="0.25">
      <c r="A2520" t="str">
        <f>HYPERLINK("https://elite.finviz.com/quote.ashx?t=CTVA&amp;ty=c&amp;p=d&amp;b=1", "CTVA")</f>
        <v>CTVA</v>
      </c>
      <c r="B2520">
        <v>5</v>
      </c>
      <c r="C2520">
        <v>116.22</v>
      </c>
      <c r="D2520">
        <v>32.97</v>
      </c>
      <c r="E2520" t="s">
        <v>24029</v>
      </c>
      <c r="F2520" t="s">
        <v>195</v>
      </c>
      <c r="G2520" t="s">
        <v>355</v>
      </c>
      <c r="H2520" t="s">
        <v>9610</v>
      </c>
      <c r="I2520" t="s">
        <v>70</v>
      </c>
      <c r="J2520" t="s">
        <v>71</v>
      </c>
      <c r="K2520">
        <v>45852.83</v>
      </c>
      <c r="L2520">
        <v>67.52</v>
      </c>
      <c r="M2520" t="s">
        <v>1022</v>
      </c>
      <c r="N2520">
        <v>654970</v>
      </c>
      <c r="O2520">
        <v>32.85</v>
      </c>
      <c r="P2520">
        <v>18.63</v>
      </c>
      <c r="Q2520">
        <v>1.92</v>
      </c>
      <c r="R2520">
        <v>2.67</v>
      </c>
      <c r="S2520">
        <v>1.77</v>
      </c>
      <c r="T2520" t="s">
        <v>2144</v>
      </c>
      <c r="U2520">
        <v>0.69</v>
      </c>
      <c r="V2520" t="s">
        <v>2187</v>
      </c>
      <c r="W2520" t="s">
        <v>2232</v>
      </c>
      <c r="X2520" t="s">
        <v>4999</v>
      </c>
      <c r="Y2520" t="s">
        <v>9884</v>
      </c>
      <c r="Z2520" t="s">
        <v>4425</v>
      </c>
      <c r="AA2520">
        <v>2.06</v>
      </c>
      <c r="AB2520" t="s">
        <v>17798</v>
      </c>
      <c r="AD2520" t="s">
        <v>2360</v>
      </c>
      <c r="AE2520" t="s">
        <v>7423</v>
      </c>
      <c r="AF2520" t="s">
        <v>2742</v>
      </c>
      <c r="AG2520" t="s">
        <v>1751</v>
      </c>
      <c r="AH2520" t="s">
        <v>3983</v>
      </c>
      <c r="AI2520" t="s">
        <v>14743</v>
      </c>
      <c r="AJ2520" t="s">
        <v>2086</v>
      </c>
      <c r="AK2520" t="s">
        <v>3587</v>
      </c>
      <c r="AL2520">
        <v>1.68</v>
      </c>
      <c r="AM2520">
        <v>1.23</v>
      </c>
      <c r="AN2520">
        <v>0.14000000000000001</v>
      </c>
      <c r="AO2520" t="s">
        <v>12619</v>
      </c>
      <c r="AP2520" t="s">
        <v>6779</v>
      </c>
      <c r="AQ2520" t="s">
        <v>1282</v>
      </c>
      <c r="AR2520" t="s">
        <v>2808</v>
      </c>
      <c r="AS2520" t="s">
        <v>8016</v>
      </c>
      <c r="AT2520" t="s">
        <v>11445</v>
      </c>
      <c r="AU2520" t="s">
        <v>2354</v>
      </c>
      <c r="AV2520" t="s">
        <v>3757</v>
      </c>
      <c r="AW2520" t="s">
        <v>1828</v>
      </c>
      <c r="AX2520" t="s">
        <v>4800</v>
      </c>
      <c r="AY2520" t="s">
        <v>18116</v>
      </c>
      <c r="AZ2520" t="s">
        <v>1928</v>
      </c>
      <c r="BA2520">
        <v>1.62</v>
      </c>
      <c r="BB2520">
        <v>4200.8900000000003</v>
      </c>
      <c r="BC2520">
        <v>0.55000000000000004</v>
      </c>
      <c r="BD2520">
        <v>67.08</v>
      </c>
      <c r="BE2520">
        <v>67.75</v>
      </c>
      <c r="BF2520">
        <v>67.430000000000007</v>
      </c>
      <c r="BG2520" t="s">
        <v>24030</v>
      </c>
      <c r="BH2520" t="s">
        <v>18116</v>
      </c>
      <c r="BI2520" t="s">
        <v>24031</v>
      </c>
      <c r="BJ2520" t="s">
        <v>101</v>
      </c>
      <c r="BK2520" t="s">
        <v>4229</v>
      </c>
      <c r="BL2520" t="s">
        <v>15964</v>
      </c>
      <c r="BM2520" t="s">
        <v>1562</v>
      </c>
      <c r="BN2520" t="s">
        <v>23454</v>
      </c>
    </row>
    <row r="2521" spans="1:66" x14ac:dyDescent="0.25">
      <c r="A2521" t="str">
        <f>HYPERLINK("https://elite.finviz.com/quote.ashx?t=SN&amp;ty=c&amp;p=d&amp;b=1", "SN")</f>
        <v>SN</v>
      </c>
      <c r="B2521">
        <v>5</v>
      </c>
      <c r="C2521">
        <v>116.22</v>
      </c>
      <c r="D2521">
        <v>32.979999999999997</v>
      </c>
      <c r="E2521" t="s">
        <v>24032</v>
      </c>
      <c r="F2521" t="s">
        <v>107</v>
      </c>
      <c r="G2521" t="s">
        <v>813</v>
      </c>
      <c r="H2521" t="s">
        <v>3866</v>
      </c>
      <c r="I2521" t="s">
        <v>70</v>
      </c>
      <c r="J2521" t="s">
        <v>71</v>
      </c>
      <c r="K2521">
        <v>14937.11</v>
      </c>
      <c r="L2521">
        <v>105.83</v>
      </c>
      <c r="M2521" t="s">
        <v>4191</v>
      </c>
      <c r="N2521">
        <v>148690</v>
      </c>
      <c r="O2521">
        <v>28.93</v>
      </c>
      <c r="P2521">
        <v>17.940000000000001</v>
      </c>
      <c r="Q2521">
        <v>1.84</v>
      </c>
      <c r="R2521">
        <v>2.54</v>
      </c>
      <c r="S2521">
        <v>6.76</v>
      </c>
      <c r="V2521" t="s">
        <v>13805</v>
      </c>
      <c r="Z2521" t="s">
        <v>164</v>
      </c>
      <c r="AA2521">
        <v>3.66</v>
      </c>
      <c r="AB2521" t="s">
        <v>2886</v>
      </c>
      <c r="AC2521" t="s">
        <v>1507</v>
      </c>
      <c r="AD2521" t="s">
        <v>13222</v>
      </c>
      <c r="AE2521" t="s">
        <v>13068</v>
      </c>
      <c r="AF2521" t="s">
        <v>14993</v>
      </c>
      <c r="AG2521" t="s">
        <v>6393</v>
      </c>
      <c r="AH2521" t="s">
        <v>1497</v>
      </c>
      <c r="AI2521" t="s">
        <v>6063</v>
      </c>
      <c r="AJ2521" t="s">
        <v>164</v>
      </c>
      <c r="AK2521" t="s">
        <v>24033</v>
      </c>
      <c r="AL2521">
        <v>1.94</v>
      </c>
      <c r="AM2521">
        <v>1.2</v>
      </c>
      <c r="AN2521">
        <v>0.42</v>
      </c>
      <c r="AO2521" t="s">
        <v>24034</v>
      </c>
      <c r="AP2521" t="s">
        <v>7221</v>
      </c>
      <c r="AQ2521" t="s">
        <v>1822</v>
      </c>
      <c r="AR2521" t="s">
        <v>295</v>
      </c>
      <c r="AS2521" t="s">
        <v>5256</v>
      </c>
      <c r="AT2521" t="s">
        <v>5766</v>
      </c>
      <c r="AU2521" t="s">
        <v>7754</v>
      </c>
      <c r="AV2521" t="s">
        <v>6419</v>
      </c>
      <c r="AW2521" t="s">
        <v>4917</v>
      </c>
      <c r="AX2521" t="s">
        <v>6117</v>
      </c>
      <c r="AY2521" t="s">
        <v>4917</v>
      </c>
      <c r="AZ2521" t="s">
        <v>13391</v>
      </c>
      <c r="BA2521">
        <v>1.33</v>
      </c>
      <c r="BB2521">
        <v>1454.5</v>
      </c>
      <c r="BC2521">
        <v>0.36</v>
      </c>
      <c r="BD2521">
        <v>106.07</v>
      </c>
      <c r="BE2521">
        <v>106.79</v>
      </c>
      <c r="BF2521">
        <v>105.5</v>
      </c>
      <c r="BG2521" t="s">
        <v>24035</v>
      </c>
      <c r="BH2521" t="s">
        <v>4917</v>
      </c>
      <c r="BI2521" t="s">
        <v>24036</v>
      </c>
      <c r="BJ2521" t="s">
        <v>101</v>
      </c>
      <c r="BK2521" t="s">
        <v>236</v>
      </c>
      <c r="BL2521" t="s">
        <v>13611</v>
      </c>
      <c r="BM2521" t="s">
        <v>148</v>
      </c>
      <c r="BN2521" t="s">
        <v>23454</v>
      </c>
    </row>
    <row r="2522" spans="1:66" x14ac:dyDescent="0.25">
      <c r="A2522" t="str">
        <f>HYPERLINK("https://elite.finviz.com/quote.ashx?t=HON&amp;ty=c&amp;p=d&amp;b=1", "HON")</f>
        <v>HON</v>
      </c>
      <c r="B2522">
        <v>5</v>
      </c>
      <c r="C2522">
        <v>116.22</v>
      </c>
      <c r="D2522">
        <v>33</v>
      </c>
      <c r="E2522" t="s">
        <v>24037</v>
      </c>
      <c r="F2522" t="s">
        <v>13356</v>
      </c>
      <c r="G2522" t="s">
        <v>260</v>
      </c>
      <c r="H2522" t="s">
        <v>2508</v>
      </c>
      <c r="I2522" t="s">
        <v>70</v>
      </c>
      <c r="J2522" t="s">
        <v>321</v>
      </c>
      <c r="K2522">
        <v>131998.16</v>
      </c>
      <c r="L2522">
        <v>207.9</v>
      </c>
      <c r="M2522" t="s">
        <v>2757</v>
      </c>
      <c r="N2522">
        <v>747150</v>
      </c>
      <c r="O2522">
        <v>23.64</v>
      </c>
      <c r="P2522">
        <v>18.29</v>
      </c>
      <c r="Q2522">
        <v>3.03</v>
      </c>
      <c r="R2522">
        <v>3.3</v>
      </c>
      <c r="S2522">
        <v>8.1999999999999993</v>
      </c>
      <c r="T2522" t="s">
        <v>714</v>
      </c>
      <c r="U2522">
        <v>4.5199999999999996</v>
      </c>
      <c r="V2522" t="s">
        <v>3046</v>
      </c>
      <c r="W2522" t="s">
        <v>1950</v>
      </c>
      <c r="X2522" t="s">
        <v>6525</v>
      </c>
      <c r="Y2522" t="s">
        <v>4957</v>
      </c>
      <c r="Z2522" t="s">
        <v>4477</v>
      </c>
      <c r="AA2522">
        <v>8.8000000000000007</v>
      </c>
      <c r="AB2522" t="s">
        <v>203</v>
      </c>
      <c r="AC2522" t="s">
        <v>8179</v>
      </c>
      <c r="AD2522" t="s">
        <v>6225</v>
      </c>
      <c r="AE2522" t="s">
        <v>6420</v>
      </c>
      <c r="AF2522" t="s">
        <v>323</v>
      </c>
      <c r="AG2522" t="s">
        <v>4759</v>
      </c>
      <c r="AH2522" t="s">
        <v>6791</v>
      </c>
      <c r="AI2522" t="s">
        <v>5736</v>
      </c>
      <c r="AJ2522" t="s">
        <v>2586</v>
      </c>
      <c r="AK2522" t="s">
        <v>15066</v>
      </c>
      <c r="AL2522">
        <v>1.29</v>
      </c>
      <c r="AM2522">
        <v>0.97</v>
      </c>
      <c r="AN2522">
        <v>2.34</v>
      </c>
      <c r="AO2522" t="s">
        <v>23174</v>
      </c>
      <c r="AP2522" t="s">
        <v>16555</v>
      </c>
      <c r="AQ2522" t="s">
        <v>7555</v>
      </c>
      <c r="AR2522" t="s">
        <v>5745</v>
      </c>
      <c r="AS2522" t="s">
        <v>2554</v>
      </c>
      <c r="AT2522" t="s">
        <v>10581</v>
      </c>
      <c r="AU2522" t="s">
        <v>14635</v>
      </c>
      <c r="AV2522" t="s">
        <v>922</v>
      </c>
      <c r="AW2522" t="s">
        <v>23961</v>
      </c>
      <c r="AX2522" t="s">
        <v>2646</v>
      </c>
      <c r="AY2522" t="s">
        <v>4521</v>
      </c>
      <c r="AZ2522" t="s">
        <v>5702</v>
      </c>
      <c r="BA2522">
        <v>2.12</v>
      </c>
      <c r="BB2522">
        <v>3773.45</v>
      </c>
      <c r="BC2522">
        <v>0.7</v>
      </c>
      <c r="BD2522">
        <v>207.7</v>
      </c>
      <c r="BE2522">
        <v>209.04</v>
      </c>
      <c r="BF2522">
        <v>207.55</v>
      </c>
      <c r="BG2522" t="s">
        <v>24038</v>
      </c>
      <c r="BH2522" t="s">
        <v>4521</v>
      </c>
      <c r="BI2522" t="s">
        <v>24039</v>
      </c>
      <c r="BJ2522" t="s">
        <v>101</v>
      </c>
      <c r="BK2522" t="s">
        <v>1851</v>
      </c>
      <c r="BL2522" t="s">
        <v>3640</v>
      </c>
      <c r="BM2522" t="s">
        <v>5158</v>
      </c>
      <c r="BN2522" t="s">
        <v>23454</v>
      </c>
    </row>
    <row r="2523" spans="1:66" x14ac:dyDescent="0.25">
      <c r="A2523" t="str">
        <f>HYPERLINK("https://elite.finviz.com/quote.ashx?t=KAVL&amp;ty=c&amp;p=d&amp;b=1", "KAVL")</f>
        <v>KAVL</v>
      </c>
      <c r="B2523">
        <v>5</v>
      </c>
      <c r="C2523">
        <v>116.22</v>
      </c>
      <c r="D2523">
        <v>33</v>
      </c>
      <c r="E2523" t="s">
        <v>24040</v>
      </c>
      <c r="F2523" t="s">
        <v>107</v>
      </c>
      <c r="G2523" t="s">
        <v>2244</v>
      </c>
      <c r="H2523" t="s">
        <v>7643</v>
      </c>
      <c r="I2523" t="s">
        <v>70</v>
      </c>
      <c r="J2523" t="s">
        <v>321</v>
      </c>
      <c r="K2523">
        <v>5.32</v>
      </c>
      <c r="L2523">
        <v>0.46</v>
      </c>
      <c r="M2523" t="s">
        <v>4688</v>
      </c>
      <c r="N2523">
        <v>24725</v>
      </c>
      <c r="R2523">
        <v>4.71</v>
      </c>
      <c r="S2523">
        <v>0.53</v>
      </c>
      <c r="AA2523">
        <v>-0.82</v>
      </c>
      <c r="AB2523" t="s">
        <v>17604</v>
      </c>
      <c r="AC2523" t="s">
        <v>24041</v>
      </c>
      <c r="AE2523" t="s">
        <v>24042</v>
      </c>
      <c r="AF2523" t="s">
        <v>24043</v>
      </c>
      <c r="AH2523" t="s">
        <v>24044</v>
      </c>
      <c r="AJ2523" t="s">
        <v>164</v>
      </c>
      <c r="AK2523" t="s">
        <v>1488</v>
      </c>
      <c r="AL2523">
        <v>1.63</v>
      </c>
      <c r="AM2523">
        <v>1.63</v>
      </c>
      <c r="AN2523">
        <v>0.08</v>
      </c>
      <c r="AO2523" t="s">
        <v>915</v>
      </c>
      <c r="AP2523" t="s">
        <v>24045</v>
      </c>
      <c r="AQ2523" t="s">
        <v>24046</v>
      </c>
      <c r="AR2523" t="s">
        <v>2515</v>
      </c>
      <c r="AS2523" t="s">
        <v>3751</v>
      </c>
      <c r="AT2523" t="s">
        <v>23082</v>
      </c>
      <c r="AU2523" t="s">
        <v>10667</v>
      </c>
      <c r="AV2523" t="s">
        <v>23538</v>
      </c>
      <c r="AW2523" t="s">
        <v>9971</v>
      </c>
      <c r="AX2523" t="s">
        <v>2233</v>
      </c>
      <c r="AY2523" t="s">
        <v>24047</v>
      </c>
      <c r="AZ2523" t="s">
        <v>2233</v>
      </c>
      <c r="BA2523">
        <v>1</v>
      </c>
      <c r="BB2523">
        <v>2471.73</v>
      </c>
      <c r="BC2523">
        <v>0.04</v>
      </c>
      <c r="BD2523">
        <v>0.47</v>
      </c>
      <c r="BE2523">
        <v>0.47</v>
      </c>
      <c r="BF2523">
        <v>0.46</v>
      </c>
      <c r="BG2523" t="s">
        <v>24048</v>
      </c>
      <c r="BH2523" t="s">
        <v>14593</v>
      </c>
      <c r="BI2523" t="s">
        <v>24049</v>
      </c>
      <c r="BJ2523" t="s">
        <v>101</v>
      </c>
      <c r="BK2523" t="s">
        <v>2665</v>
      </c>
      <c r="BL2523" t="s">
        <v>19227</v>
      </c>
      <c r="BM2523" t="s">
        <v>24050</v>
      </c>
      <c r="BN2523" t="s">
        <v>23454</v>
      </c>
    </row>
    <row r="2524" spans="1:66" x14ac:dyDescent="0.25">
      <c r="A2524" t="str">
        <f>HYPERLINK("https://elite.finviz.com/quote.ashx?t=RELY&amp;ty=c&amp;p=d&amp;b=1", "RELY")</f>
        <v>RELY</v>
      </c>
      <c r="B2524">
        <v>5</v>
      </c>
      <c r="C2524">
        <v>116.22</v>
      </c>
      <c r="D2524">
        <v>33.03</v>
      </c>
      <c r="E2524" t="s">
        <v>24051</v>
      </c>
      <c r="F2524" t="s">
        <v>67</v>
      </c>
      <c r="G2524" t="s">
        <v>108</v>
      </c>
      <c r="H2524" t="s">
        <v>109</v>
      </c>
      <c r="I2524" t="s">
        <v>70</v>
      </c>
      <c r="J2524" t="s">
        <v>321</v>
      </c>
      <c r="K2524">
        <v>3341.36</v>
      </c>
      <c r="L2524">
        <v>16.2</v>
      </c>
      <c r="M2524" t="s">
        <v>4703</v>
      </c>
      <c r="N2524">
        <v>318401</v>
      </c>
      <c r="O2524">
        <v>259.7</v>
      </c>
      <c r="P2524">
        <v>15.22</v>
      </c>
      <c r="Q2524">
        <v>8.08</v>
      </c>
      <c r="R2524">
        <v>2.29</v>
      </c>
      <c r="S2524">
        <v>4.37</v>
      </c>
      <c r="AA2524">
        <v>0.06</v>
      </c>
      <c r="AB2524" t="s">
        <v>12450</v>
      </c>
      <c r="AC2524" t="s">
        <v>4558</v>
      </c>
      <c r="AD2524" t="s">
        <v>8083</v>
      </c>
      <c r="AE2524" t="s">
        <v>16148</v>
      </c>
      <c r="AF2524" t="s">
        <v>12890</v>
      </c>
      <c r="AG2524" t="s">
        <v>10463</v>
      </c>
      <c r="AH2524" t="s">
        <v>3851</v>
      </c>
      <c r="AI2524" t="s">
        <v>2514</v>
      </c>
      <c r="AJ2524" t="s">
        <v>1633</v>
      </c>
      <c r="AK2524" t="s">
        <v>2639</v>
      </c>
      <c r="AL2524">
        <v>2.85</v>
      </c>
      <c r="AM2524">
        <v>2.85</v>
      </c>
      <c r="AN2524">
        <v>0.04</v>
      </c>
      <c r="AO2524" t="s">
        <v>6648</v>
      </c>
      <c r="AP2524" t="s">
        <v>2339</v>
      </c>
      <c r="AQ2524" t="s">
        <v>4759</v>
      </c>
      <c r="AR2524" t="s">
        <v>1932</v>
      </c>
      <c r="AS2524" t="s">
        <v>1926</v>
      </c>
      <c r="AT2524" t="s">
        <v>7408</v>
      </c>
      <c r="AU2524" t="s">
        <v>2888</v>
      </c>
      <c r="AV2524" t="s">
        <v>866</v>
      </c>
      <c r="AW2524" t="s">
        <v>7506</v>
      </c>
      <c r="AX2524" t="s">
        <v>749</v>
      </c>
      <c r="AY2524" t="s">
        <v>18930</v>
      </c>
      <c r="AZ2524" t="s">
        <v>11744</v>
      </c>
      <c r="BA2524">
        <v>1.1100000000000001</v>
      </c>
      <c r="BB2524">
        <v>3977.21</v>
      </c>
      <c r="BC2524">
        <v>0.28000000000000003</v>
      </c>
      <c r="BD2524">
        <v>16.25</v>
      </c>
      <c r="BE2524">
        <v>16.239999999999998</v>
      </c>
      <c r="BF2524">
        <v>16.04</v>
      </c>
      <c r="BG2524" t="s">
        <v>24052</v>
      </c>
      <c r="BH2524" t="s">
        <v>22675</v>
      </c>
      <c r="BI2524" t="s">
        <v>24053</v>
      </c>
      <c r="BJ2524" t="s">
        <v>101</v>
      </c>
      <c r="BK2524" t="s">
        <v>15053</v>
      </c>
      <c r="BL2524" t="s">
        <v>24054</v>
      </c>
      <c r="BM2524" t="s">
        <v>3117</v>
      </c>
      <c r="BN2524" t="s">
        <v>23454</v>
      </c>
    </row>
    <row r="2525" spans="1:66" x14ac:dyDescent="0.25">
      <c r="A2525" t="str">
        <f>HYPERLINK("https://elite.finviz.com/quote.ashx?t=MRK&amp;ty=c&amp;p=d&amp;b=1", "MRK")</f>
        <v>MRK</v>
      </c>
      <c r="B2525">
        <v>5</v>
      </c>
      <c r="C2525">
        <v>116.22</v>
      </c>
      <c r="D2525">
        <v>33.18</v>
      </c>
      <c r="E2525" t="s">
        <v>24055</v>
      </c>
      <c r="F2525" t="s">
        <v>1759</v>
      </c>
      <c r="G2525" t="s">
        <v>428</v>
      </c>
      <c r="H2525" t="s">
        <v>4701</v>
      </c>
      <c r="I2525" t="s">
        <v>70</v>
      </c>
      <c r="J2525" t="s">
        <v>71</v>
      </c>
      <c r="K2525">
        <v>195051.88</v>
      </c>
      <c r="L2525">
        <v>78.09</v>
      </c>
      <c r="M2525" t="s">
        <v>4840</v>
      </c>
      <c r="N2525">
        <v>2928574</v>
      </c>
      <c r="O2525">
        <v>12.04</v>
      </c>
      <c r="P2525">
        <v>8.11</v>
      </c>
      <c r="Q2525">
        <v>1.08</v>
      </c>
      <c r="R2525">
        <v>3.08</v>
      </c>
      <c r="S2525">
        <v>3.99</v>
      </c>
      <c r="T2525" t="s">
        <v>2170</v>
      </c>
      <c r="U2525">
        <v>3.24</v>
      </c>
      <c r="V2525" t="s">
        <v>3833</v>
      </c>
      <c r="W2525" t="s">
        <v>3602</v>
      </c>
      <c r="X2525" t="s">
        <v>4641</v>
      </c>
      <c r="Y2525" t="s">
        <v>8593</v>
      </c>
      <c r="Z2525" t="s">
        <v>12777</v>
      </c>
      <c r="AA2525">
        <v>6.49</v>
      </c>
      <c r="AB2525" t="s">
        <v>10557</v>
      </c>
      <c r="AC2525" t="s">
        <v>13322</v>
      </c>
      <c r="AD2525" t="s">
        <v>8691</v>
      </c>
      <c r="AE2525" t="s">
        <v>1439</v>
      </c>
      <c r="AF2525" t="s">
        <v>827</v>
      </c>
      <c r="AG2525" t="s">
        <v>3723</v>
      </c>
      <c r="AH2525" t="s">
        <v>4595</v>
      </c>
      <c r="AI2525" t="s">
        <v>161</v>
      </c>
      <c r="AJ2525" t="s">
        <v>1554</v>
      </c>
      <c r="AK2525" t="s">
        <v>23108</v>
      </c>
      <c r="AL2525">
        <v>1.42</v>
      </c>
      <c r="AM2525">
        <v>1.17</v>
      </c>
      <c r="AN2525">
        <v>0.72</v>
      </c>
      <c r="AO2525" t="s">
        <v>24056</v>
      </c>
      <c r="AP2525" t="s">
        <v>13334</v>
      </c>
      <c r="AQ2525" t="s">
        <v>11035</v>
      </c>
      <c r="AR2525" t="s">
        <v>3118</v>
      </c>
      <c r="AS2525" t="s">
        <v>5084</v>
      </c>
      <c r="AT2525" t="s">
        <v>2845</v>
      </c>
      <c r="AU2525" t="s">
        <v>7621</v>
      </c>
      <c r="AV2525" t="s">
        <v>16987</v>
      </c>
      <c r="AW2525" t="s">
        <v>15281</v>
      </c>
      <c r="AX2525" t="s">
        <v>5071</v>
      </c>
      <c r="AY2525" t="s">
        <v>2283</v>
      </c>
      <c r="AZ2525" t="s">
        <v>8125</v>
      </c>
      <c r="BA2525">
        <v>2</v>
      </c>
      <c r="BB2525">
        <v>13139.18</v>
      </c>
      <c r="BC2525">
        <v>0.79</v>
      </c>
      <c r="BD2525">
        <v>77.599999999999994</v>
      </c>
      <c r="BE2525">
        <v>78.959999999999994</v>
      </c>
      <c r="BF2525">
        <v>77.69</v>
      </c>
      <c r="BG2525" t="s">
        <v>24057</v>
      </c>
      <c r="BH2525" t="s">
        <v>17678</v>
      </c>
      <c r="BI2525" t="s">
        <v>24058</v>
      </c>
      <c r="BJ2525" t="s">
        <v>101</v>
      </c>
      <c r="BK2525" t="s">
        <v>6449</v>
      </c>
      <c r="BL2525" t="s">
        <v>19240</v>
      </c>
      <c r="BM2525" t="s">
        <v>24059</v>
      </c>
      <c r="BN2525" t="s">
        <v>23454</v>
      </c>
    </row>
    <row r="2526" spans="1:66" x14ac:dyDescent="0.25">
      <c r="A2526" t="str">
        <f>HYPERLINK("https://elite.finviz.com/quote.ashx?t=DXCM&amp;ty=c&amp;p=d&amp;b=1", "DXCM")</f>
        <v>DXCM</v>
      </c>
      <c r="B2526">
        <v>5</v>
      </c>
      <c r="C2526">
        <v>116.22</v>
      </c>
      <c r="D2526">
        <v>33.19</v>
      </c>
      <c r="E2526" t="s">
        <v>24060</v>
      </c>
      <c r="F2526" t="s">
        <v>319</v>
      </c>
      <c r="G2526" t="s">
        <v>428</v>
      </c>
      <c r="H2526" t="s">
        <v>2051</v>
      </c>
      <c r="I2526" t="s">
        <v>70</v>
      </c>
      <c r="J2526" t="s">
        <v>321</v>
      </c>
      <c r="K2526">
        <v>26801.85</v>
      </c>
      <c r="L2526">
        <v>68.349999999999994</v>
      </c>
      <c r="M2526" t="s">
        <v>580</v>
      </c>
      <c r="N2526">
        <v>1063962</v>
      </c>
      <c r="O2526">
        <v>47.85</v>
      </c>
      <c r="P2526">
        <v>26.4</v>
      </c>
      <c r="Q2526">
        <v>1.95</v>
      </c>
      <c r="R2526">
        <v>6.23</v>
      </c>
      <c r="S2526">
        <v>10.42</v>
      </c>
      <c r="Z2526" t="s">
        <v>164</v>
      </c>
      <c r="AA2526">
        <v>1.43</v>
      </c>
      <c r="AB2526" t="s">
        <v>4207</v>
      </c>
      <c r="AC2526" t="s">
        <v>3137</v>
      </c>
      <c r="AD2526" t="s">
        <v>3570</v>
      </c>
      <c r="AE2526" t="s">
        <v>2363</v>
      </c>
      <c r="AF2526" t="s">
        <v>8063</v>
      </c>
      <c r="AG2526" t="s">
        <v>7693</v>
      </c>
      <c r="AH2526" t="s">
        <v>11141</v>
      </c>
      <c r="AI2526" t="s">
        <v>6348</v>
      </c>
      <c r="AJ2526" t="s">
        <v>1226</v>
      </c>
      <c r="AK2526" t="s">
        <v>138</v>
      </c>
      <c r="AL2526">
        <v>1.52</v>
      </c>
      <c r="AM2526">
        <v>1.35</v>
      </c>
      <c r="AN2526">
        <v>1</v>
      </c>
      <c r="AO2526" t="s">
        <v>20611</v>
      </c>
      <c r="AP2526" t="s">
        <v>3797</v>
      </c>
      <c r="AQ2526" t="s">
        <v>973</v>
      </c>
      <c r="AR2526" t="s">
        <v>7541</v>
      </c>
      <c r="AS2526" t="s">
        <v>4125</v>
      </c>
      <c r="AT2526" t="s">
        <v>5176</v>
      </c>
      <c r="AU2526" t="s">
        <v>9260</v>
      </c>
      <c r="AV2526" t="s">
        <v>15010</v>
      </c>
      <c r="AW2526" t="s">
        <v>15106</v>
      </c>
      <c r="AX2526" t="s">
        <v>8625</v>
      </c>
      <c r="AY2526" t="s">
        <v>17250</v>
      </c>
      <c r="AZ2526" t="s">
        <v>7211</v>
      </c>
      <c r="BA2526">
        <v>1.47</v>
      </c>
      <c r="BB2526">
        <v>4409.09</v>
      </c>
      <c r="BC2526">
        <v>0.85</v>
      </c>
      <c r="BD2526">
        <v>68.3</v>
      </c>
      <c r="BE2526">
        <v>69.25</v>
      </c>
      <c r="BF2526">
        <v>68.03</v>
      </c>
      <c r="BG2526" t="s">
        <v>24061</v>
      </c>
      <c r="BH2526" t="s">
        <v>21196</v>
      </c>
      <c r="BI2526" t="s">
        <v>24062</v>
      </c>
      <c r="BJ2526" t="s">
        <v>101</v>
      </c>
      <c r="BK2526" t="s">
        <v>24063</v>
      </c>
      <c r="BL2526" t="s">
        <v>3172</v>
      </c>
      <c r="BM2526" t="s">
        <v>1358</v>
      </c>
      <c r="BN2526" t="s">
        <v>23454</v>
      </c>
    </row>
    <row r="2527" spans="1:66" x14ac:dyDescent="0.25">
      <c r="A2527" t="str">
        <f>HYPERLINK("https://elite.finviz.com/quote.ashx?t=RITM&amp;ty=c&amp;p=d&amp;b=1", "RITM")</f>
        <v>RITM</v>
      </c>
      <c r="B2527">
        <v>5</v>
      </c>
      <c r="C2527">
        <v>116.22</v>
      </c>
      <c r="D2527">
        <v>33.22</v>
      </c>
      <c r="E2527" t="s">
        <v>24064</v>
      </c>
      <c r="F2527" t="s">
        <v>107</v>
      </c>
      <c r="G2527" t="s">
        <v>68</v>
      </c>
      <c r="H2527" t="s">
        <v>5566</v>
      </c>
      <c r="I2527" t="s">
        <v>70</v>
      </c>
      <c r="J2527" t="s">
        <v>71</v>
      </c>
      <c r="K2527">
        <v>6154.04</v>
      </c>
      <c r="L2527">
        <v>11.6</v>
      </c>
      <c r="M2527" t="s">
        <v>629</v>
      </c>
      <c r="N2527">
        <v>643071</v>
      </c>
      <c r="O2527">
        <v>8.98</v>
      </c>
      <c r="P2527">
        <v>5.21</v>
      </c>
      <c r="Q2527">
        <v>2.66</v>
      </c>
      <c r="R2527">
        <v>1.18</v>
      </c>
      <c r="S2527">
        <v>0.91</v>
      </c>
      <c r="T2527" t="s">
        <v>863</v>
      </c>
      <c r="U2527">
        <v>1</v>
      </c>
      <c r="V2527" t="s">
        <v>700</v>
      </c>
      <c r="W2527" t="s">
        <v>164</v>
      </c>
      <c r="X2527" t="s">
        <v>975</v>
      </c>
      <c r="Y2527" t="s">
        <v>19663</v>
      </c>
      <c r="Z2527" t="s">
        <v>24065</v>
      </c>
      <c r="AA2527">
        <v>1.29</v>
      </c>
      <c r="AB2527" t="s">
        <v>903</v>
      </c>
      <c r="AC2527" t="s">
        <v>2810</v>
      </c>
      <c r="AD2527" t="s">
        <v>3454</v>
      </c>
      <c r="AE2527" t="s">
        <v>5207</v>
      </c>
      <c r="AF2527" t="s">
        <v>7663</v>
      </c>
      <c r="AG2527" t="s">
        <v>12553</v>
      </c>
      <c r="AH2527" t="s">
        <v>369</v>
      </c>
      <c r="AI2527" t="s">
        <v>7484</v>
      </c>
      <c r="AJ2527" t="s">
        <v>164</v>
      </c>
      <c r="AK2527" t="s">
        <v>16609</v>
      </c>
      <c r="AL2527">
        <v>1</v>
      </c>
      <c r="AM2527">
        <v>0.99</v>
      </c>
      <c r="AN2527">
        <v>4.0999999999999996</v>
      </c>
      <c r="AO2527" t="s">
        <v>24066</v>
      </c>
      <c r="AP2527" t="s">
        <v>11973</v>
      </c>
      <c r="AQ2527" t="s">
        <v>2516</v>
      </c>
      <c r="AR2527" t="s">
        <v>2082</v>
      </c>
      <c r="AS2527" t="s">
        <v>4946</v>
      </c>
      <c r="AT2527" t="s">
        <v>3577</v>
      </c>
      <c r="AU2527" t="s">
        <v>16056</v>
      </c>
      <c r="AV2527" t="s">
        <v>5253</v>
      </c>
      <c r="AW2527" t="s">
        <v>12282</v>
      </c>
      <c r="AX2527" t="s">
        <v>227</v>
      </c>
      <c r="AY2527" t="s">
        <v>12282</v>
      </c>
      <c r="AZ2527" t="s">
        <v>3407</v>
      </c>
      <c r="BA2527">
        <v>1</v>
      </c>
      <c r="BB2527">
        <v>5159.38</v>
      </c>
      <c r="BC2527">
        <v>0.44</v>
      </c>
      <c r="BD2527">
        <v>11.6</v>
      </c>
      <c r="BE2527">
        <v>11.69</v>
      </c>
      <c r="BF2527">
        <v>11.6</v>
      </c>
      <c r="BG2527" t="s">
        <v>24067</v>
      </c>
      <c r="BH2527" t="s">
        <v>24068</v>
      </c>
      <c r="BI2527" t="s">
        <v>24069</v>
      </c>
      <c r="BJ2527" t="s">
        <v>101</v>
      </c>
      <c r="BK2527" t="s">
        <v>7338</v>
      </c>
      <c r="BL2527" t="s">
        <v>2468</v>
      </c>
      <c r="BM2527" t="s">
        <v>196</v>
      </c>
      <c r="BN2527" t="s">
        <v>23454</v>
      </c>
    </row>
    <row r="2528" spans="1:66" x14ac:dyDescent="0.25">
      <c r="A2528" t="str">
        <f>HYPERLINK("https://elite.finviz.com/quote.ashx?t=FBIN&amp;ty=c&amp;p=d&amp;b=1", "FBIN")</f>
        <v>FBIN</v>
      </c>
      <c r="B2528">
        <v>5</v>
      </c>
      <c r="C2528">
        <v>116.22</v>
      </c>
      <c r="D2528">
        <v>33.26</v>
      </c>
      <c r="E2528" t="s">
        <v>24070</v>
      </c>
      <c r="F2528" t="s">
        <v>107</v>
      </c>
      <c r="G2528" t="s">
        <v>260</v>
      </c>
      <c r="H2528" t="s">
        <v>3225</v>
      </c>
      <c r="I2528" t="s">
        <v>70</v>
      </c>
      <c r="J2528" t="s">
        <v>71</v>
      </c>
      <c r="K2528">
        <v>6328.46</v>
      </c>
      <c r="L2528">
        <v>52.72</v>
      </c>
      <c r="M2528" t="s">
        <v>4699</v>
      </c>
      <c r="N2528">
        <v>81406</v>
      </c>
      <c r="O2528">
        <v>16.57</v>
      </c>
      <c r="P2528">
        <v>12.42</v>
      </c>
      <c r="Q2528">
        <v>2.78</v>
      </c>
      <c r="R2528">
        <v>1.41</v>
      </c>
      <c r="S2528">
        <v>2.71</v>
      </c>
      <c r="T2528" t="s">
        <v>910</v>
      </c>
      <c r="U2528">
        <v>0.99</v>
      </c>
      <c r="V2528" t="s">
        <v>4186</v>
      </c>
      <c r="W2528" t="s">
        <v>3520</v>
      </c>
      <c r="X2528" t="s">
        <v>2617</v>
      </c>
      <c r="Y2528" t="s">
        <v>5084</v>
      </c>
      <c r="Z2528" t="s">
        <v>1715</v>
      </c>
      <c r="AA2528">
        <v>3.18</v>
      </c>
      <c r="AB2528" t="s">
        <v>21737</v>
      </c>
      <c r="AC2528" t="s">
        <v>5331</v>
      </c>
      <c r="AD2528" t="s">
        <v>8164</v>
      </c>
      <c r="AE2528" t="s">
        <v>2934</v>
      </c>
      <c r="AF2528" t="s">
        <v>1787</v>
      </c>
      <c r="AG2528" t="s">
        <v>4528</v>
      </c>
      <c r="AH2528" t="s">
        <v>6105</v>
      </c>
      <c r="AI2528" t="s">
        <v>5111</v>
      </c>
      <c r="AJ2528" t="s">
        <v>4396</v>
      </c>
      <c r="AK2528" t="s">
        <v>8137</v>
      </c>
      <c r="AL2528">
        <v>1.97</v>
      </c>
      <c r="AM2528">
        <v>0.98</v>
      </c>
      <c r="AN2528">
        <v>1.28</v>
      </c>
      <c r="AO2528" t="s">
        <v>10897</v>
      </c>
      <c r="AP2528" t="s">
        <v>2737</v>
      </c>
      <c r="AQ2528" t="s">
        <v>607</v>
      </c>
      <c r="AR2528" t="s">
        <v>387</v>
      </c>
      <c r="AS2528" t="s">
        <v>1768</v>
      </c>
      <c r="AT2528" t="s">
        <v>4374</v>
      </c>
      <c r="AU2528" t="s">
        <v>12610</v>
      </c>
      <c r="AV2528" t="s">
        <v>8098</v>
      </c>
      <c r="AW2528" t="s">
        <v>14961</v>
      </c>
      <c r="AX2528" t="s">
        <v>306</v>
      </c>
      <c r="AY2528" t="s">
        <v>24071</v>
      </c>
      <c r="AZ2528" t="s">
        <v>5010</v>
      </c>
      <c r="BA2528">
        <v>2.37</v>
      </c>
      <c r="BB2528">
        <v>1884.81</v>
      </c>
      <c r="BC2528">
        <v>0.15</v>
      </c>
      <c r="BD2528">
        <v>52.78</v>
      </c>
      <c r="BE2528">
        <v>53.2</v>
      </c>
      <c r="BF2528">
        <v>52.63</v>
      </c>
      <c r="BG2528" t="s">
        <v>24072</v>
      </c>
      <c r="BH2528" t="s">
        <v>23444</v>
      </c>
      <c r="BI2528" t="s">
        <v>24073</v>
      </c>
      <c r="BJ2528" t="s">
        <v>101</v>
      </c>
      <c r="BK2528" t="s">
        <v>5256</v>
      </c>
      <c r="BL2528" t="s">
        <v>16988</v>
      </c>
      <c r="BM2528" t="s">
        <v>18048</v>
      </c>
      <c r="BN2528" t="s">
        <v>23454</v>
      </c>
    </row>
    <row r="2529" spans="1:66" x14ac:dyDescent="0.25">
      <c r="A2529" t="str">
        <f>HYPERLINK("https://elite.finviz.com/quote.ashx?t=CE&amp;ty=c&amp;p=d&amp;b=1", "CE")</f>
        <v>CE</v>
      </c>
      <c r="B2529">
        <v>5</v>
      </c>
      <c r="C2529">
        <v>116.22</v>
      </c>
      <c r="D2529">
        <v>33.270000000000003</v>
      </c>
      <c r="E2529" t="s">
        <v>24074</v>
      </c>
      <c r="F2529" t="s">
        <v>107</v>
      </c>
      <c r="G2529" t="s">
        <v>355</v>
      </c>
      <c r="H2529" t="s">
        <v>5130</v>
      </c>
      <c r="I2529" t="s">
        <v>70</v>
      </c>
      <c r="J2529" t="s">
        <v>71</v>
      </c>
      <c r="K2529">
        <v>4396.03</v>
      </c>
      <c r="L2529">
        <v>40.15</v>
      </c>
      <c r="M2529" t="s">
        <v>4849</v>
      </c>
      <c r="N2529">
        <v>413909</v>
      </c>
      <c r="P2529">
        <v>6.67</v>
      </c>
      <c r="R2529">
        <v>0.44</v>
      </c>
      <c r="S2529">
        <v>0.83</v>
      </c>
      <c r="T2529" t="s">
        <v>193</v>
      </c>
      <c r="U2529">
        <v>0.79</v>
      </c>
      <c r="V2529" t="s">
        <v>8529</v>
      </c>
      <c r="W2529" t="s">
        <v>164</v>
      </c>
      <c r="X2529" t="s">
        <v>2630</v>
      </c>
      <c r="Y2529" t="s">
        <v>7088</v>
      </c>
      <c r="AA2529">
        <v>-14.81</v>
      </c>
      <c r="AD2529" t="s">
        <v>4920</v>
      </c>
      <c r="AE2529" t="s">
        <v>4691</v>
      </c>
      <c r="AF2529" t="s">
        <v>3053</v>
      </c>
      <c r="AG2529" t="s">
        <v>2579</v>
      </c>
      <c r="AH2529" t="s">
        <v>3622</v>
      </c>
      <c r="AI2529" t="s">
        <v>89</v>
      </c>
      <c r="AJ2529" t="s">
        <v>3832</v>
      </c>
      <c r="AK2529" t="s">
        <v>24075</v>
      </c>
      <c r="AL2529">
        <v>2.0499999999999998</v>
      </c>
      <c r="AM2529">
        <v>1.22</v>
      </c>
      <c r="AN2529">
        <v>2.52</v>
      </c>
      <c r="AO2529" t="s">
        <v>9140</v>
      </c>
      <c r="AP2529" t="s">
        <v>9789</v>
      </c>
      <c r="AQ2529" t="s">
        <v>24076</v>
      </c>
      <c r="AR2529" t="s">
        <v>5736</v>
      </c>
      <c r="AS2529" t="s">
        <v>4299</v>
      </c>
      <c r="AT2529" t="s">
        <v>14242</v>
      </c>
      <c r="AU2529" t="s">
        <v>6688</v>
      </c>
      <c r="AV2529" t="s">
        <v>6004</v>
      </c>
      <c r="AW2529" t="s">
        <v>24068</v>
      </c>
      <c r="AX2529" t="s">
        <v>2053</v>
      </c>
      <c r="AY2529" t="s">
        <v>24077</v>
      </c>
      <c r="AZ2529" t="s">
        <v>4857</v>
      </c>
      <c r="BA2529">
        <v>2.37</v>
      </c>
      <c r="BB2529">
        <v>2151.7600000000002</v>
      </c>
      <c r="BC2529">
        <v>0.68</v>
      </c>
      <c r="BD2529">
        <v>39.94</v>
      </c>
      <c r="BE2529">
        <v>40.68</v>
      </c>
      <c r="BF2529">
        <v>39.9</v>
      </c>
      <c r="BG2529" t="s">
        <v>24078</v>
      </c>
      <c r="BH2529" t="s">
        <v>24079</v>
      </c>
      <c r="BI2529" t="s">
        <v>24080</v>
      </c>
      <c r="BJ2529" t="s">
        <v>101</v>
      </c>
      <c r="BK2529" t="s">
        <v>21585</v>
      </c>
      <c r="BL2529" t="s">
        <v>22857</v>
      </c>
      <c r="BM2529" t="s">
        <v>24081</v>
      </c>
      <c r="BN2529" t="s">
        <v>23454</v>
      </c>
    </row>
    <row r="2530" spans="1:66" x14ac:dyDescent="0.25">
      <c r="A2530" t="str">
        <f>HYPERLINK("https://elite.finviz.com/quote.ashx?t=BAX&amp;ty=c&amp;p=d&amp;b=1", "BAX")</f>
        <v>BAX</v>
      </c>
      <c r="B2530">
        <v>5</v>
      </c>
      <c r="C2530">
        <v>116.22</v>
      </c>
      <c r="D2530">
        <v>33.36</v>
      </c>
      <c r="E2530" t="s">
        <v>24082</v>
      </c>
      <c r="F2530" t="s">
        <v>195</v>
      </c>
      <c r="G2530" t="s">
        <v>428</v>
      </c>
      <c r="H2530" t="s">
        <v>2161</v>
      </c>
      <c r="I2530" t="s">
        <v>70</v>
      </c>
      <c r="J2530" t="s">
        <v>71</v>
      </c>
      <c r="K2530">
        <v>11243.16</v>
      </c>
      <c r="L2530">
        <v>21.89</v>
      </c>
      <c r="M2530" t="s">
        <v>2734</v>
      </c>
      <c r="N2530">
        <v>2154189</v>
      </c>
      <c r="P2530">
        <v>8.43</v>
      </c>
      <c r="R2530">
        <v>1.03</v>
      </c>
      <c r="S2530">
        <v>1.54</v>
      </c>
      <c r="T2530" t="s">
        <v>4323</v>
      </c>
      <c r="U2530">
        <v>0.68</v>
      </c>
      <c r="V2530" t="s">
        <v>4882</v>
      </c>
      <c r="W2530" t="s">
        <v>21638</v>
      </c>
      <c r="X2530" t="s">
        <v>13366</v>
      </c>
      <c r="Y2530" t="s">
        <v>2170</v>
      </c>
      <c r="AA2530">
        <v>-0.27</v>
      </c>
      <c r="AD2530" t="s">
        <v>5479</v>
      </c>
      <c r="AE2530" t="s">
        <v>4970</v>
      </c>
      <c r="AF2530" t="s">
        <v>8929</v>
      </c>
      <c r="AG2530" t="s">
        <v>2176</v>
      </c>
      <c r="AH2530" t="s">
        <v>23574</v>
      </c>
      <c r="AI2530" t="s">
        <v>5426</v>
      </c>
      <c r="AJ2530" t="s">
        <v>164</v>
      </c>
      <c r="AK2530" t="s">
        <v>24083</v>
      </c>
      <c r="AL2530">
        <v>2.2999999999999998</v>
      </c>
      <c r="AM2530">
        <v>1.49</v>
      </c>
      <c r="AN2530">
        <v>1.33</v>
      </c>
      <c r="AO2530" t="s">
        <v>12023</v>
      </c>
      <c r="AP2530" t="s">
        <v>6106</v>
      </c>
      <c r="AQ2530" t="s">
        <v>2007</v>
      </c>
      <c r="AR2530" t="s">
        <v>342</v>
      </c>
      <c r="AS2530" t="s">
        <v>1560</v>
      </c>
      <c r="AT2530" t="s">
        <v>3091</v>
      </c>
      <c r="AU2530" t="s">
        <v>5853</v>
      </c>
      <c r="AV2530" t="s">
        <v>14268</v>
      </c>
      <c r="AW2530" t="s">
        <v>8329</v>
      </c>
      <c r="AX2530" t="s">
        <v>2643</v>
      </c>
      <c r="AY2530" t="s">
        <v>12312</v>
      </c>
      <c r="AZ2530" t="s">
        <v>2643</v>
      </c>
      <c r="BA2530">
        <v>2.74</v>
      </c>
      <c r="BB2530">
        <v>7208.88</v>
      </c>
      <c r="BC2530">
        <v>1.05</v>
      </c>
      <c r="BD2530">
        <v>21.71</v>
      </c>
      <c r="BE2530">
        <v>22</v>
      </c>
      <c r="BF2530">
        <v>21.68</v>
      </c>
      <c r="BG2530" t="s">
        <v>24084</v>
      </c>
      <c r="BH2530" t="s">
        <v>6251</v>
      </c>
      <c r="BI2530" t="s">
        <v>24085</v>
      </c>
      <c r="BJ2530" t="s">
        <v>101</v>
      </c>
      <c r="BK2530" t="s">
        <v>16509</v>
      </c>
      <c r="BL2530" t="s">
        <v>3298</v>
      </c>
      <c r="BM2530" t="s">
        <v>18089</v>
      </c>
      <c r="BN2530" t="s">
        <v>23454</v>
      </c>
    </row>
    <row r="2531" spans="1:66" x14ac:dyDescent="0.25">
      <c r="A2531" t="str">
        <f>HYPERLINK("https://elite.finviz.com/quote.ashx?t=CAVA&amp;ty=c&amp;p=d&amp;b=1", "CAVA")</f>
        <v>CAVA</v>
      </c>
      <c r="B2531">
        <v>5</v>
      </c>
      <c r="C2531">
        <v>116.22</v>
      </c>
      <c r="D2531">
        <v>33.369999999999997</v>
      </c>
      <c r="E2531" t="s">
        <v>24086</v>
      </c>
      <c r="F2531" t="s">
        <v>107</v>
      </c>
      <c r="G2531" t="s">
        <v>813</v>
      </c>
      <c r="H2531" t="s">
        <v>2285</v>
      </c>
      <c r="I2531" t="s">
        <v>70</v>
      </c>
      <c r="J2531" t="s">
        <v>71</v>
      </c>
      <c r="K2531">
        <v>7170.62</v>
      </c>
      <c r="L2531">
        <v>61.84</v>
      </c>
      <c r="M2531" t="s">
        <v>2007</v>
      </c>
      <c r="N2531">
        <v>583903</v>
      </c>
      <c r="O2531">
        <v>52.09</v>
      </c>
      <c r="P2531">
        <v>89.71</v>
      </c>
      <c r="Q2531">
        <v>1.75</v>
      </c>
      <c r="R2531">
        <v>6.62</v>
      </c>
      <c r="S2531">
        <v>9.5500000000000007</v>
      </c>
      <c r="Z2531" t="s">
        <v>164</v>
      </c>
      <c r="AA2531">
        <v>1.19</v>
      </c>
      <c r="AD2531" t="s">
        <v>15492</v>
      </c>
      <c r="AE2531" t="s">
        <v>14666</v>
      </c>
      <c r="AF2531" t="s">
        <v>8539</v>
      </c>
      <c r="AH2531" t="s">
        <v>9140</v>
      </c>
      <c r="AI2531" t="s">
        <v>1099</v>
      </c>
      <c r="AJ2531" t="s">
        <v>2486</v>
      </c>
      <c r="AK2531" t="s">
        <v>14570</v>
      </c>
      <c r="AL2531">
        <v>2.72</v>
      </c>
      <c r="AM2531">
        <v>2.67</v>
      </c>
      <c r="AN2531">
        <v>0.57999999999999996</v>
      </c>
      <c r="AO2531" t="s">
        <v>3676</v>
      </c>
      <c r="AP2531" t="s">
        <v>5025</v>
      </c>
      <c r="AQ2531" t="s">
        <v>9987</v>
      </c>
      <c r="AR2531" t="s">
        <v>3521</v>
      </c>
      <c r="AS2531" t="s">
        <v>2317</v>
      </c>
      <c r="AT2531" t="s">
        <v>1770</v>
      </c>
      <c r="AU2531" t="s">
        <v>4238</v>
      </c>
      <c r="AV2531" t="s">
        <v>23096</v>
      </c>
      <c r="AW2531" t="s">
        <v>6221</v>
      </c>
      <c r="AX2531" t="s">
        <v>2274</v>
      </c>
      <c r="AY2531" t="s">
        <v>16612</v>
      </c>
      <c r="AZ2531" t="s">
        <v>2274</v>
      </c>
      <c r="BA2531">
        <v>1.81</v>
      </c>
      <c r="BB2531">
        <v>4707.9799999999996</v>
      </c>
      <c r="BC2531">
        <v>0.44</v>
      </c>
      <c r="BD2531">
        <v>62.61</v>
      </c>
      <c r="BE2531">
        <v>63.11</v>
      </c>
      <c r="BF2531">
        <v>61.81</v>
      </c>
      <c r="BG2531" t="s">
        <v>24087</v>
      </c>
      <c r="BH2531" t="s">
        <v>16612</v>
      </c>
      <c r="BI2531" t="s">
        <v>651</v>
      </c>
      <c r="BJ2531" t="s">
        <v>101</v>
      </c>
      <c r="BK2531" t="s">
        <v>9004</v>
      </c>
      <c r="BL2531" t="s">
        <v>15951</v>
      </c>
      <c r="BM2531" t="s">
        <v>6767</v>
      </c>
      <c r="BN2531" t="s">
        <v>23454</v>
      </c>
    </row>
    <row r="2532" spans="1:66" x14ac:dyDescent="0.25">
      <c r="A2532" t="str">
        <f>HYPERLINK("https://elite.finviz.com/quote.ashx?t=DECK&amp;ty=c&amp;p=d&amp;b=1", "DECK")</f>
        <v>DECK</v>
      </c>
      <c r="B2532">
        <v>5</v>
      </c>
      <c r="C2532">
        <v>116.22</v>
      </c>
      <c r="D2532">
        <v>33.5</v>
      </c>
      <c r="E2532" t="s">
        <v>24088</v>
      </c>
      <c r="F2532" t="s">
        <v>195</v>
      </c>
      <c r="G2532" t="s">
        <v>813</v>
      </c>
      <c r="H2532" t="s">
        <v>4043</v>
      </c>
      <c r="I2532" t="s">
        <v>70</v>
      </c>
      <c r="J2532" t="s">
        <v>71</v>
      </c>
      <c r="K2532">
        <v>15636.88</v>
      </c>
      <c r="L2532">
        <v>105.41</v>
      </c>
      <c r="M2532" t="s">
        <v>2486</v>
      </c>
      <c r="N2532">
        <v>537876</v>
      </c>
      <c r="O2532">
        <v>16.190000000000001</v>
      </c>
      <c r="P2532">
        <v>15.14</v>
      </c>
      <c r="Q2532">
        <v>2.13</v>
      </c>
      <c r="R2532">
        <v>3.05</v>
      </c>
      <c r="S2532">
        <v>6.35</v>
      </c>
      <c r="Z2532" t="s">
        <v>164</v>
      </c>
      <c r="AA2532">
        <v>6.51</v>
      </c>
      <c r="AB2532" t="s">
        <v>11060</v>
      </c>
      <c r="AC2532" t="s">
        <v>5115</v>
      </c>
      <c r="AD2532" t="s">
        <v>2351</v>
      </c>
      <c r="AE2532" t="s">
        <v>310</v>
      </c>
      <c r="AF2532" t="s">
        <v>6799</v>
      </c>
      <c r="AG2532" t="s">
        <v>7903</v>
      </c>
      <c r="AH2532" t="s">
        <v>16032</v>
      </c>
      <c r="AI2532" t="s">
        <v>7467</v>
      </c>
      <c r="AJ2532" t="s">
        <v>1648</v>
      </c>
      <c r="AK2532" t="s">
        <v>24089</v>
      </c>
      <c r="AL2532">
        <v>2.94</v>
      </c>
      <c r="AM2532">
        <v>2.13</v>
      </c>
      <c r="AN2532">
        <v>0.13</v>
      </c>
      <c r="AO2532" t="s">
        <v>17986</v>
      </c>
      <c r="AP2532" t="s">
        <v>5081</v>
      </c>
      <c r="AQ2532" t="s">
        <v>758</v>
      </c>
      <c r="AR2532" t="s">
        <v>205</v>
      </c>
      <c r="AS2532" t="s">
        <v>862</v>
      </c>
      <c r="AT2532" t="s">
        <v>11932</v>
      </c>
      <c r="AU2532" t="s">
        <v>309</v>
      </c>
      <c r="AV2532" t="s">
        <v>7155</v>
      </c>
      <c r="AW2532" t="s">
        <v>8084</v>
      </c>
      <c r="AX2532" t="s">
        <v>3127</v>
      </c>
      <c r="AY2532" t="s">
        <v>22894</v>
      </c>
      <c r="AZ2532" t="s">
        <v>9861</v>
      </c>
      <c r="BA2532">
        <v>2.2999999999999998</v>
      </c>
      <c r="BB2532">
        <v>3244.53</v>
      </c>
      <c r="BC2532">
        <v>0.57999999999999996</v>
      </c>
      <c r="BD2532">
        <v>105.83</v>
      </c>
      <c r="BE2532">
        <v>106.42</v>
      </c>
      <c r="BF2532">
        <v>104.94</v>
      </c>
      <c r="BG2532" t="s">
        <v>24090</v>
      </c>
      <c r="BH2532" t="s">
        <v>22894</v>
      </c>
      <c r="BI2532" t="s">
        <v>24091</v>
      </c>
      <c r="BJ2532" t="s">
        <v>101</v>
      </c>
      <c r="BK2532" t="s">
        <v>5166</v>
      </c>
      <c r="BL2532" t="s">
        <v>13982</v>
      </c>
      <c r="BM2532" t="s">
        <v>22052</v>
      </c>
      <c r="BN2532" t="s">
        <v>23454</v>
      </c>
    </row>
    <row r="2533" spans="1:66" x14ac:dyDescent="0.25">
      <c r="A2533" t="str">
        <f>HYPERLINK("https://elite.finviz.com/quote.ashx?t=UPST&amp;ty=c&amp;p=d&amp;b=1", "UPST")</f>
        <v>UPST</v>
      </c>
      <c r="B2533">
        <v>5</v>
      </c>
      <c r="C2533">
        <v>116.22</v>
      </c>
      <c r="D2533">
        <v>33.72</v>
      </c>
      <c r="E2533" t="s">
        <v>24092</v>
      </c>
      <c r="F2533" t="s">
        <v>67</v>
      </c>
      <c r="G2533" t="s">
        <v>550</v>
      </c>
      <c r="H2533" t="s">
        <v>3744</v>
      </c>
      <c r="I2533" t="s">
        <v>70</v>
      </c>
      <c r="J2533" t="s">
        <v>321</v>
      </c>
      <c r="K2533">
        <v>5505.58</v>
      </c>
      <c r="L2533">
        <v>57.22</v>
      </c>
      <c r="M2533" t="s">
        <v>4849</v>
      </c>
      <c r="N2533">
        <v>1601239</v>
      </c>
      <c r="P2533">
        <v>23.41</v>
      </c>
      <c r="R2533">
        <v>6.46</v>
      </c>
      <c r="S2533">
        <v>7.62</v>
      </c>
      <c r="AA2533">
        <v>-0.08</v>
      </c>
      <c r="AC2533" t="s">
        <v>24093</v>
      </c>
      <c r="AE2533" t="s">
        <v>24094</v>
      </c>
      <c r="AF2533" t="s">
        <v>2364</v>
      </c>
      <c r="AG2533" t="s">
        <v>4721</v>
      </c>
      <c r="AH2533" t="s">
        <v>24095</v>
      </c>
      <c r="AI2533" t="s">
        <v>15581</v>
      </c>
      <c r="AJ2533" t="s">
        <v>8937</v>
      </c>
      <c r="AK2533" t="s">
        <v>2229</v>
      </c>
      <c r="AL2533">
        <v>3.46</v>
      </c>
      <c r="AM2533">
        <v>3.46</v>
      </c>
      <c r="AN2533">
        <v>2.13</v>
      </c>
      <c r="AO2533" t="s">
        <v>4008</v>
      </c>
      <c r="AP2533" t="s">
        <v>3292</v>
      </c>
      <c r="AQ2533" t="s">
        <v>240</v>
      </c>
      <c r="AR2533" t="s">
        <v>2196</v>
      </c>
      <c r="AS2533" t="s">
        <v>4907</v>
      </c>
      <c r="AT2533" t="s">
        <v>3101</v>
      </c>
      <c r="AU2533" t="s">
        <v>1817</v>
      </c>
      <c r="AV2533" t="s">
        <v>3300</v>
      </c>
      <c r="AW2533" t="s">
        <v>12244</v>
      </c>
      <c r="AX2533" t="s">
        <v>1439</v>
      </c>
      <c r="AY2533" t="s">
        <v>24096</v>
      </c>
      <c r="AZ2533" t="s">
        <v>24097</v>
      </c>
      <c r="BA2533">
        <v>2.5</v>
      </c>
      <c r="BB2533">
        <v>6872.93</v>
      </c>
      <c r="BC2533">
        <v>0.82</v>
      </c>
      <c r="BD2533">
        <v>56.93</v>
      </c>
      <c r="BE2533">
        <v>57.62</v>
      </c>
      <c r="BF2533">
        <v>56.6</v>
      </c>
      <c r="BG2533" t="s">
        <v>24098</v>
      </c>
      <c r="BH2533" t="s">
        <v>24099</v>
      </c>
      <c r="BI2533" t="s">
        <v>24100</v>
      </c>
      <c r="BJ2533" t="s">
        <v>101</v>
      </c>
      <c r="BK2533" t="s">
        <v>16396</v>
      </c>
      <c r="BL2533" t="s">
        <v>949</v>
      </c>
      <c r="BM2533" t="s">
        <v>24101</v>
      </c>
      <c r="BN2533" t="s">
        <v>23454</v>
      </c>
    </row>
    <row r="2534" spans="1:66" x14ac:dyDescent="0.25">
      <c r="A2534" t="str">
        <f>HYPERLINK("https://elite.finviz.com/quote.ashx?t=QXO&amp;ty=c&amp;p=d&amp;b=1", "QXO")</f>
        <v>QXO</v>
      </c>
      <c r="B2534">
        <v>5</v>
      </c>
      <c r="C2534">
        <v>116.22</v>
      </c>
      <c r="D2534">
        <v>33.729999999999997</v>
      </c>
      <c r="E2534" t="s">
        <v>24102</v>
      </c>
      <c r="F2534" t="s">
        <v>107</v>
      </c>
      <c r="G2534" t="s">
        <v>260</v>
      </c>
      <c r="H2534" t="s">
        <v>8107</v>
      </c>
      <c r="I2534" t="s">
        <v>70</v>
      </c>
      <c r="J2534" t="s">
        <v>71</v>
      </c>
      <c r="K2534">
        <v>12646.03</v>
      </c>
      <c r="L2534">
        <v>18.77</v>
      </c>
      <c r="M2534" t="s">
        <v>8634</v>
      </c>
      <c r="N2534">
        <v>1366112</v>
      </c>
      <c r="P2534">
        <v>36.97</v>
      </c>
      <c r="R2534">
        <v>6.49</v>
      </c>
      <c r="S2534">
        <v>1.42</v>
      </c>
      <c r="T2534" t="s">
        <v>3000</v>
      </c>
      <c r="V2534" t="s">
        <v>24103</v>
      </c>
      <c r="AA2534">
        <v>-0.22</v>
      </c>
      <c r="AB2534" t="s">
        <v>10750</v>
      </c>
      <c r="AC2534" t="s">
        <v>10005</v>
      </c>
      <c r="AE2534" t="s">
        <v>24104</v>
      </c>
      <c r="AF2534" t="s">
        <v>6234</v>
      </c>
      <c r="AG2534" t="s">
        <v>1515</v>
      </c>
      <c r="AH2534" t="s">
        <v>24105</v>
      </c>
      <c r="AI2534" t="s">
        <v>24106</v>
      </c>
      <c r="AJ2534" t="s">
        <v>164</v>
      </c>
      <c r="AK2534" t="s">
        <v>11243</v>
      </c>
      <c r="AL2534">
        <v>3</v>
      </c>
      <c r="AM2534">
        <v>2.15</v>
      </c>
      <c r="AN2534">
        <v>0.42</v>
      </c>
      <c r="AO2534" t="s">
        <v>4188</v>
      </c>
      <c r="AP2534" t="s">
        <v>13455</v>
      </c>
      <c r="AQ2534" t="s">
        <v>8654</v>
      </c>
      <c r="AR2534" t="s">
        <v>9130</v>
      </c>
      <c r="AS2534" t="s">
        <v>2647</v>
      </c>
      <c r="AT2534" t="s">
        <v>20059</v>
      </c>
      <c r="AU2534" t="s">
        <v>6227</v>
      </c>
      <c r="AV2534" t="s">
        <v>6293</v>
      </c>
      <c r="AW2534" t="s">
        <v>19824</v>
      </c>
      <c r="AX2534" t="s">
        <v>914</v>
      </c>
      <c r="AY2534" t="s">
        <v>24107</v>
      </c>
      <c r="AZ2534" t="s">
        <v>10253</v>
      </c>
      <c r="BA2534">
        <v>1.1499999999999999</v>
      </c>
      <c r="BB2534">
        <v>8425.85</v>
      </c>
      <c r="BC2534">
        <v>0.56999999999999995</v>
      </c>
      <c r="BD2534">
        <v>18.93</v>
      </c>
      <c r="BE2534">
        <v>19.09</v>
      </c>
      <c r="BF2534">
        <v>18.670000000000002</v>
      </c>
      <c r="BG2534" t="s">
        <v>24108</v>
      </c>
      <c r="BH2534" t="s">
        <v>3320</v>
      </c>
      <c r="BI2534" t="s">
        <v>24109</v>
      </c>
      <c r="BJ2534" t="s">
        <v>101</v>
      </c>
      <c r="BK2534" t="s">
        <v>11605</v>
      </c>
      <c r="BL2534" t="s">
        <v>363</v>
      </c>
      <c r="BM2534" t="s">
        <v>2225</v>
      </c>
      <c r="BN2534" t="s">
        <v>23454</v>
      </c>
    </row>
    <row r="2535" spans="1:66" x14ac:dyDescent="0.25">
      <c r="A2535" t="str">
        <f>HYPERLINK("https://elite.finviz.com/quote.ashx?t=CPRT&amp;ty=c&amp;p=d&amp;b=1", "CPRT")</f>
        <v>CPRT</v>
      </c>
      <c r="B2535">
        <v>5</v>
      </c>
      <c r="C2535">
        <v>116.22</v>
      </c>
      <c r="D2535">
        <v>33.78</v>
      </c>
      <c r="E2535" t="s">
        <v>24110</v>
      </c>
      <c r="F2535" t="s">
        <v>319</v>
      </c>
      <c r="G2535" t="s">
        <v>260</v>
      </c>
      <c r="H2535" t="s">
        <v>1077</v>
      </c>
      <c r="I2535" t="s">
        <v>70</v>
      </c>
      <c r="J2535" t="s">
        <v>321</v>
      </c>
      <c r="K2535">
        <v>43410.6</v>
      </c>
      <c r="L2535">
        <v>44.9</v>
      </c>
      <c r="M2535" t="s">
        <v>406</v>
      </c>
      <c r="N2535">
        <v>2380230</v>
      </c>
      <c r="O2535">
        <v>28.27</v>
      </c>
      <c r="P2535">
        <v>23.76</v>
      </c>
      <c r="Q2535">
        <v>2.67</v>
      </c>
      <c r="R2535">
        <v>9.34</v>
      </c>
      <c r="S2535">
        <v>4.9400000000000004</v>
      </c>
      <c r="Z2535" t="s">
        <v>164</v>
      </c>
      <c r="AA2535">
        <v>1.59</v>
      </c>
      <c r="AB2535" t="s">
        <v>953</v>
      </c>
      <c r="AC2535" t="s">
        <v>9031</v>
      </c>
      <c r="AD2535" t="s">
        <v>2786</v>
      </c>
      <c r="AE2535" t="s">
        <v>2438</v>
      </c>
      <c r="AF2535" t="s">
        <v>7698</v>
      </c>
      <c r="AG2535" t="s">
        <v>6814</v>
      </c>
      <c r="AH2535" t="s">
        <v>3958</v>
      </c>
      <c r="AI2535" t="s">
        <v>6608</v>
      </c>
      <c r="AJ2535" t="s">
        <v>7346</v>
      </c>
      <c r="AK2535" t="s">
        <v>24111</v>
      </c>
      <c r="AL2535">
        <v>8.25</v>
      </c>
      <c r="AM2535">
        <v>8.19</v>
      </c>
      <c r="AN2535">
        <v>0.01</v>
      </c>
      <c r="AO2535" t="s">
        <v>14879</v>
      </c>
      <c r="AP2535" t="s">
        <v>1823</v>
      </c>
      <c r="AQ2535" t="s">
        <v>2684</v>
      </c>
      <c r="AR2535" t="s">
        <v>2186</v>
      </c>
      <c r="AS2535" t="s">
        <v>8016</v>
      </c>
      <c r="AT2535" t="s">
        <v>10703</v>
      </c>
      <c r="AU2535" t="s">
        <v>6499</v>
      </c>
      <c r="AV2535" t="s">
        <v>7835</v>
      </c>
      <c r="AW2535" t="s">
        <v>3561</v>
      </c>
      <c r="AX2535" t="s">
        <v>3336</v>
      </c>
      <c r="AY2535" t="s">
        <v>24112</v>
      </c>
      <c r="AZ2535" t="s">
        <v>3336</v>
      </c>
      <c r="BA2535">
        <v>1.93</v>
      </c>
      <c r="BB2535">
        <v>7081.43</v>
      </c>
      <c r="BC2535">
        <v>1.18</v>
      </c>
      <c r="BD2535">
        <v>44.89</v>
      </c>
      <c r="BE2535">
        <v>45.1</v>
      </c>
      <c r="BF2535">
        <v>44.7</v>
      </c>
      <c r="BG2535" t="s">
        <v>24113</v>
      </c>
      <c r="BH2535" t="s">
        <v>24112</v>
      </c>
      <c r="BI2535" t="s">
        <v>24114</v>
      </c>
      <c r="BJ2535" t="s">
        <v>101</v>
      </c>
      <c r="BK2535" t="s">
        <v>14645</v>
      </c>
      <c r="BL2535" t="s">
        <v>24115</v>
      </c>
      <c r="BM2535" t="s">
        <v>1339</v>
      </c>
      <c r="BN2535" t="s">
        <v>23454</v>
      </c>
    </row>
    <row r="2536" spans="1:66" x14ac:dyDescent="0.25">
      <c r="A2536" t="str">
        <f>HYPERLINK("https://elite.finviz.com/quote.ashx?t=CMCSA&amp;ty=c&amp;p=d&amp;b=1", "CMCSA")</f>
        <v>CMCSA</v>
      </c>
      <c r="B2536">
        <v>5</v>
      </c>
      <c r="C2536">
        <v>116.22</v>
      </c>
      <c r="D2536">
        <v>33.82</v>
      </c>
      <c r="E2536" t="s">
        <v>24116</v>
      </c>
      <c r="F2536" t="s">
        <v>319</v>
      </c>
      <c r="G2536" t="s">
        <v>598</v>
      </c>
      <c r="H2536" t="s">
        <v>6147</v>
      </c>
      <c r="I2536" t="s">
        <v>70</v>
      </c>
      <c r="J2536" t="s">
        <v>321</v>
      </c>
      <c r="K2536">
        <v>117098.7</v>
      </c>
      <c r="L2536">
        <v>31.72</v>
      </c>
      <c r="M2536" t="s">
        <v>2641</v>
      </c>
      <c r="N2536">
        <v>3064654</v>
      </c>
      <c r="O2536">
        <v>5.24</v>
      </c>
      <c r="P2536">
        <v>7.06</v>
      </c>
      <c r="Q2536">
        <v>1.23</v>
      </c>
      <c r="R2536">
        <v>0.94</v>
      </c>
      <c r="S2536">
        <v>1.21</v>
      </c>
      <c r="T2536" t="s">
        <v>4690</v>
      </c>
      <c r="U2536">
        <v>1.28</v>
      </c>
      <c r="V2536" t="s">
        <v>700</v>
      </c>
      <c r="W2536" t="s">
        <v>6674</v>
      </c>
      <c r="X2536" t="s">
        <v>5847</v>
      </c>
      <c r="Y2536" t="s">
        <v>2655</v>
      </c>
      <c r="Z2536" t="s">
        <v>8958</v>
      </c>
      <c r="AA2536">
        <v>6.06</v>
      </c>
      <c r="AB2536" t="s">
        <v>6928</v>
      </c>
      <c r="AC2536" t="s">
        <v>3982</v>
      </c>
      <c r="AD2536" t="s">
        <v>4744</v>
      </c>
      <c r="AE2536" t="s">
        <v>387</v>
      </c>
      <c r="AF2536" t="s">
        <v>5263</v>
      </c>
      <c r="AG2536" t="s">
        <v>2619</v>
      </c>
      <c r="AH2536" t="s">
        <v>206</v>
      </c>
      <c r="AI2536" t="s">
        <v>2967</v>
      </c>
      <c r="AJ2536" t="s">
        <v>164</v>
      </c>
      <c r="AK2536" t="s">
        <v>16994</v>
      </c>
      <c r="AL2536">
        <v>0.91</v>
      </c>
      <c r="AM2536">
        <v>0.91</v>
      </c>
      <c r="AN2536">
        <v>1.05</v>
      </c>
      <c r="AO2536" t="s">
        <v>7524</v>
      </c>
      <c r="AP2536" t="s">
        <v>15417</v>
      </c>
      <c r="AQ2536" t="s">
        <v>5240</v>
      </c>
      <c r="AR2536" t="s">
        <v>1559</v>
      </c>
      <c r="AS2536" t="s">
        <v>5258</v>
      </c>
      <c r="AT2536" t="s">
        <v>799</v>
      </c>
      <c r="AU2536" t="s">
        <v>8225</v>
      </c>
      <c r="AV2536" t="s">
        <v>8238</v>
      </c>
      <c r="AW2536" t="s">
        <v>8311</v>
      </c>
      <c r="AX2536" t="s">
        <v>2808</v>
      </c>
      <c r="AY2536" t="s">
        <v>6395</v>
      </c>
      <c r="AZ2536" t="s">
        <v>2808</v>
      </c>
      <c r="BA2536">
        <v>2.2400000000000002</v>
      </c>
      <c r="BB2536">
        <v>21970.34</v>
      </c>
      <c r="BC2536">
        <v>0.49</v>
      </c>
      <c r="BD2536">
        <v>31.62</v>
      </c>
      <c r="BE2536">
        <v>31.89</v>
      </c>
      <c r="BF2536">
        <v>31.56</v>
      </c>
      <c r="BG2536" t="s">
        <v>24117</v>
      </c>
      <c r="BH2536" t="s">
        <v>24118</v>
      </c>
      <c r="BI2536" t="s">
        <v>24119</v>
      </c>
      <c r="BJ2536" t="s">
        <v>101</v>
      </c>
      <c r="BK2536" t="s">
        <v>16855</v>
      </c>
      <c r="BL2536" t="s">
        <v>9632</v>
      </c>
      <c r="BM2536" t="s">
        <v>13597</v>
      </c>
      <c r="BN2536" t="s">
        <v>23454</v>
      </c>
    </row>
    <row r="2537" spans="1:66" x14ac:dyDescent="0.25">
      <c r="A2537" t="str">
        <f>HYPERLINK("https://elite.finviz.com/quote.ashx?t=FIG&amp;ty=c&amp;p=d&amp;b=1", "FIG")</f>
        <v>FIG</v>
      </c>
      <c r="B2537">
        <v>5</v>
      </c>
      <c r="C2537">
        <v>116.22</v>
      </c>
      <c r="D2537">
        <v>33.92</v>
      </c>
      <c r="E2537" t="s">
        <v>24120</v>
      </c>
      <c r="F2537" t="s">
        <v>107</v>
      </c>
      <c r="G2537" t="s">
        <v>108</v>
      </c>
      <c r="H2537" t="s">
        <v>136</v>
      </c>
      <c r="I2537" t="s">
        <v>70</v>
      </c>
      <c r="J2537" t="s">
        <v>71</v>
      </c>
      <c r="K2537">
        <v>25872.1</v>
      </c>
      <c r="L2537">
        <v>52.83</v>
      </c>
      <c r="M2537" t="s">
        <v>3485</v>
      </c>
      <c r="N2537">
        <v>2495314</v>
      </c>
      <c r="O2537">
        <v>280.98</v>
      </c>
      <c r="R2537">
        <v>28.96</v>
      </c>
      <c r="S2537">
        <v>23.57</v>
      </c>
      <c r="AA2537">
        <v>0.19</v>
      </c>
      <c r="AE2537" t="s">
        <v>3283</v>
      </c>
      <c r="AH2537" t="s">
        <v>10436</v>
      </c>
      <c r="AI2537" t="s">
        <v>892</v>
      </c>
      <c r="AJ2537" t="s">
        <v>6123</v>
      </c>
      <c r="AK2537" t="s">
        <v>164</v>
      </c>
      <c r="AL2537">
        <v>3.26</v>
      </c>
      <c r="AM2537">
        <v>3.26</v>
      </c>
      <c r="AN2537">
        <v>0.05</v>
      </c>
      <c r="AO2537" t="s">
        <v>24121</v>
      </c>
      <c r="AP2537" t="s">
        <v>4393</v>
      </c>
      <c r="AQ2537" t="s">
        <v>4835</v>
      </c>
      <c r="AR2537" t="s">
        <v>283</v>
      </c>
      <c r="AS2537" t="s">
        <v>713</v>
      </c>
      <c r="AT2537" t="s">
        <v>15209</v>
      </c>
      <c r="AU2537" t="s">
        <v>10000</v>
      </c>
      <c r="AV2537" t="s">
        <v>10000</v>
      </c>
      <c r="AW2537" t="s">
        <v>24122</v>
      </c>
      <c r="AX2537" t="s">
        <v>4659</v>
      </c>
      <c r="AY2537" t="s">
        <v>24122</v>
      </c>
      <c r="AZ2537" t="s">
        <v>4659</v>
      </c>
      <c r="BA2537">
        <v>2.27</v>
      </c>
      <c r="BB2537">
        <v>13185.89</v>
      </c>
      <c r="BC2537">
        <v>0.67</v>
      </c>
      <c r="BD2537">
        <v>54.39</v>
      </c>
      <c r="BE2537">
        <v>54.39</v>
      </c>
      <c r="BF2537">
        <v>52.72</v>
      </c>
      <c r="BG2537" t="s">
        <v>24123</v>
      </c>
      <c r="BH2537" t="s">
        <v>24122</v>
      </c>
      <c r="BI2537" t="s">
        <v>4659</v>
      </c>
      <c r="BJ2537" t="s">
        <v>101</v>
      </c>
      <c r="BN2537" t="s">
        <v>23454</v>
      </c>
    </row>
    <row r="2538" spans="1:66" x14ac:dyDescent="0.25">
      <c r="A2538" t="str">
        <f>HYPERLINK("https://elite.finviz.com/quote.ashx?t=FLYE&amp;ty=c&amp;p=d&amp;b=1", "FLYE")</f>
        <v>FLYE</v>
      </c>
      <c r="B2538">
        <v>5</v>
      </c>
      <c r="C2538">
        <v>116.22</v>
      </c>
      <c r="D2538">
        <v>33.94</v>
      </c>
      <c r="E2538" t="s">
        <v>24124</v>
      </c>
      <c r="F2538" t="s">
        <v>107</v>
      </c>
      <c r="G2538" t="s">
        <v>813</v>
      </c>
      <c r="H2538" t="s">
        <v>890</v>
      </c>
      <c r="I2538" t="s">
        <v>70</v>
      </c>
      <c r="J2538" t="s">
        <v>321</v>
      </c>
      <c r="K2538">
        <v>15.15</v>
      </c>
      <c r="L2538">
        <v>0.8</v>
      </c>
      <c r="M2538" t="s">
        <v>7413</v>
      </c>
      <c r="N2538">
        <v>52934</v>
      </c>
      <c r="R2538">
        <v>0.66</v>
      </c>
      <c r="S2538">
        <v>0.61</v>
      </c>
      <c r="AA2538">
        <v>-1.34</v>
      </c>
      <c r="AF2538" t="s">
        <v>10736</v>
      </c>
      <c r="AH2538" t="s">
        <v>7171</v>
      </c>
      <c r="AJ2538" t="s">
        <v>164</v>
      </c>
      <c r="AK2538" t="s">
        <v>822</v>
      </c>
      <c r="AL2538">
        <v>1.56</v>
      </c>
      <c r="AM2538">
        <v>0.64</v>
      </c>
      <c r="AN2538">
        <v>1.29</v>
      </c>
      <c r="AO2538" t="s">
        <v>9343</v>
      </c>
      <c r="AP2538" t="s">
        <v>23470</v>
      </c>
      <c r="AQ2538" t="s">
        <v>4897</v>
      </c>
      <c r="AR2538" t="s">
        <v>1085</v>
      </c>
      <c r="AS2538" t="s">
        <v>2947</v>
      </c>
      <c r="AT2538" t="s">
        <v>1104</v>
      </c>
      <c r="AU2538" t="s">
        <v>24125</v>
      </c>
      <c r="AV2538" t="s">
        <v>10988</v>
      </c>
      <c r="AW2538" t="s">
        <v>5231</v>
      </c>
      <c r="AX2538" t="s">
        <v>18041</v>
      </c>
      <c r="AY2538" t="s">
        <v>24126</v>
      </c>
      <c r="AZ2538" t="s">
        <v>18041</v>
      </c>
      <c r="BB2538">
        <v>2656.88</v>
      </c>
      <c r="BC2538">
        <v>7.0000000000000007E-2</v>
      </c>
      <c r="BD2538">
        <v>0.83</v>
      </c>
      <c r="BE2538">
        <v>0.82</v>
      </c>
      <c r="BF2538">
        <v>0.78</v>
      </c>
      <c r="BG2538" t="s">
        <v>24127</v>
      </c>
      <c r="BH2538" t="s">
        <v>24128</v>
      </c>
      <c r="BI2538" t="s">
        <v>18041</v>
      </c>
      <c r="BJ2538" t="s">
        <v>101</v>
      </c>
      <c r="BK2538" t="s">
        <v>24129</v>
      </c>
      <c r="BL2538" t="s">
        <v>23180</v>
      </c>
      <c r="BM2538" t="s">
        <v>4981</v>
      </c>
      <c r="BN2538" t="s">
        <v>23454</v>
      </c>
    </row>
    <row r="2539" spans="1:66" x14ac:dyDescent="0.25">
      <c r="A2539" t="str">
        <f>HYPERLINK("https://elite.finviz.com/quote.ashx?t=ICE&amp;ty=c&amp;p=d&amp;b=1", "ICE")</f>
        <v>ICE</v>
      </c>
      <c r="B2539">
        <v>5</v>
      </c>
      <c r="C2539">
        <v>116.22</v>
      </c>
      <c r="D2539">
        <v>33.950000000000003</v>
      </c>
      <c r="E2539" t="s">
        <v>24130</v>
      </c>
      <c r="F2539" t="s">
        <v>195</v>
      </c>
      <c r="G2539" t="s">
        <v>550</v>
      </c>
      <c r="H2539" t="s">
        <v>16129</v>
      </c>
      <c r="I2539" t="s">
        <v>70</v>
      </c>
      <c r="J2539" t="s">
        <v>71</v>
      </c>
      <c r="K2539">
        <v>96510.29</v>
      </c>
      <c r="L2539">
        <v>168.6</v>
      </c>
      <c r="M2539" t="s">
        <v>6463</v>
      </c>
      <c r="N2539">
        <v>583048</v>
      </c>
      <c r="O2539">
        <v>32.36</v>
      </c>
      <c r="P2539">
        <v>21.94</v>
      </c>
      <c r="Q2539">
        <v>2.67</v>
      </c>
      <c r="R2539">
        <v>8.27</v>
      </c>
      <c r="S2539">
        <v>3.39</v>
      </c>
      <c r="T2539" t="s">
        <v>1279</v>
      </c>
      <c r="U2539">
        <v>1.89</v>
      </c>
      <c r="V2539" t="s">
        <v>24131</v>
      </c>
      <c r="W2539" t="s">
        <v>5114</v>
      </c>
      <c r="X2539" t="s">
        <v>4067</v>
      </c>
      <c r="Y2539" t="s">
        <v>10247</v>
      </c>
      <c r="Z2539" t="s">
        <v>3352</v>
      </c>
      <c r="AA2539">
        <v>5.21</v>
      </c>
      <c r="AB2539" t="s">
        <v>10968</v>
      </c>
      <c r="AC2539" t="s">
        <v>4999</v>
      </c>
      <c r="AD2539" t="s">
        <v>3923</v>
      </c>
      <c r="AE2539" t="s">
        <v>15543</v>
      </c>
      <c r="AF2539" t="s">
        <v>304</v>
      </c>
      <c r="AG2539" t="s">
        <v>2946</v>
      </c>
      <c r="AH2539" t="s">
        <v>1489</v>
      </c>
      <c r="AI2539" t="s">
        <v>1761</v>
      </c>
      <c r="AJ2539" t="s">
        <v>14694</v>
      </c>
      <c r="AK2539" t="s">
        <v>24132</v>
      </c>
      <c r="AL2539">
        <v>1.01</v>
      </c>
      <c r="AM2539">
        <v>1.01</v>
      </c>
      <c r="AN2539">
        <v>0.69</v>
      </c>
      <c r="AO2539" t="s">
        <v>18579</v>
      </c>
      <c r="AP2539" t="s">
        <v>18134</v>
      </c>
      <c r="AQ2539" t="s">
        <v>8280</v>
      </c>
      <c r="AR2539" t="s">
        <v>3024</v>
      </c>
      <c r="AS2539" t="s">
        <v>3019</v>
      </c>
      <c r="AT2539" t="s">
        <v>708</v>
      </c>
      <c r="AU2539" t="s">
        <v>15594</v>
      </c>
      <c r="AV2539" t="s">
        <v>745</v>
      </c>
      <c r="AW2539" t="s">
        <v>16522</v>
      </c>
      <c r="AX2539" t="s">
        <v>909</v>
      </c>
      <c r="AY2539" t="s">
        <v>16522</v>
      </c>
      <c r="AZ2539" t="s">
        <v>15111</v>
      </c>
      <c r="BA2539">
        <v>1.68</v>
      </c>
      <c r="BB2539">
        <v>2712.22</v>
      </c>
      <c r="BC2539">
        <v>0.76</v>
      </c>
      <c r="BD2539">
        <v>167.28</v>
      </c>
      <c r="BE2539">
        <v>169.03</v>
      </c>
      <c r="BF2539">
        <v>167.28</v>
      </c>
      <c r="BG2539" t="s">
        <v>24133</v>
      </c>
      <c r="BH2539" t="s">
        <v>16522</v>
      </c>
      <c r="BI2539" t="s">
        <v>24134</v>
      </c>
      <c r="BJ2539" t="s">
        <v>101</v>
      </c>
      <c r="BK2539" t="s">
        <v>3415</v>
      </c>
      <c r="BL2539" t="s">
        <v>8058</v>
      </c>
      <c r="BM2539" t="s">
        <v>2777</v>
      </c>
      <c r="BN2539" t="s">
        <v>23454</v>
      </c>
    </row>
    <row r="2540" spans="1:66" x14ac:dyDescent="0.25">
      <c r="A2540" t="str">
        <f>HYPERLINK("https://elite.finviz.com/quote.ashx?t=BAH&amp;ty=c&amp;p=d&amp;b=1", "BAH")</f>
        <v>BAH</v>
      </c>
      <c r="B2540">
        <v>5</v>
      </c>
      <c r="C2540">
        <v>116.22</v>
      </c>
      <c r="D2540">
        <v>34.020000000000003</v>
      </c>
      <c r="E2540" t="s">
        <v>24135</v>
      </c>
      <c r="F2540" t="s">
        <v>107</v>
      </c>
      <c r="G2540" t="s">
        <v>260</v>
      </c>
      <c r="H2540" t="s">
        <v>2879</v>
      </c>
      <c r="I2540" t="s">
        <v>70</v>
      </c>
      <c r="J2540" t="s">
        <v>71</v>
      </c>
      <c r="K2540">
        <v>12084.53</v>
      </c>
      <c r="L2540">
        <v>98.05</v>
      </c>
      <c r="M2540" t="s">
        <v>2362</v>
      </c>
      <c r="N2540">
        <v>294213</v>
      </c>
      <c r="O2540">
        <v>12.04</v>
      </c>
      <c r="P2540">
        <v>14</v>
      </c>
      <c r="Q2540">
        <v>1.89</v>
      </c>
      <c r="R2540">
        <v>1.01</v>
      </c>
      <c r="S2540">
        <v>11.39</v>
      </c>
      <c r="T2540" t="s">
        <v>7322</v>
      </c>
      <c r="U2540">
        <v>2.16</v>
      </c>
      <c r="V2540" t="s">
        <v>2708</v>
      </c>
      <c r="W2540" t="s">
        <v>5658</v>
      </c>
      <c r="X2540" t="s">
        <v>2376</v>
      </c>
      <c r="Y2540" t="s">
        <v>1561</v>
      </c>
      <c r="Z2540" t="s">
        <v>12004</v>
      </c>
      <c r="AA2540">
        <v>8.14</v>
      </c>
      <c r="AB2540" t="s">
        <v>13929</v>
      </c>
      <c r="AC2540" t="s">
        <v>2737</v>
      </c>
      <c r="AD2540" t="s">
        <v>3777</v>
      </c>
      <c r="AE2540" t="s">
        <v>9280</v>
      </c>
      <c r="AF2540" t="s">
        <v>1359</v>
      </c>
      <c r="AG2540" t="s">
        <v>1491</v>
      </c>
      <c r="AH2540" t="s">
        <v>7270</v>
      </c>
      <c r="AI2540" t="s">
        <v>4276</v>
      </c>
      <c r="AJ2540" t="s">
        <v>164</v>
      </c>
      <c r="AK2540" t="s">
        <v>24136</v>
      </c>
      <c r="AL2540">
        <v>1.78</v>
      </c>
      <c r="AM2540">
        <v>1.78</v>
      </c>
      <c r="AN2540">
        <v>3.93</v>
      </c>
      <c r="AO2540" t="s">
        <v>8580</v>
      </c>
      <c r="AP2540" t="s">
        <v>5877</v>
      </c>
      <c r="AQ2540" t="s">
        <v>1341</v>
      </c>
      <c r="AR2540" t="s">
        <v>1776</v>
      </c>
      <c r="AS2540" t="s">
        <v>2640</v>
      </c>
      <c r="AT2540" t="s">
        <v>818</v>
      </c>
      <c r="AU2540" t="s">
        <v>1537</v>
      </c>
      <c r="AV2540" t="s">
        <v>2452</v>
      </c>
      <c r="AW2540" t="s">
        <v>14248</v>
      </c>
      <c r="AX2540" t="s">
        <v>4902</v>
      </c>
      <c r="AY2540" t="s">
        <v>24137</v>
      </c>
      <c r="AZ2540" t="s">
        <v>4902</v>
      </c>
      <c r="BA2540">
        <v>2.73</v>
      </c>
      <c r="BB2540">
        <v>1869.42</v>
      </c>
      <c r="BC2540">
        <v>0.55000000000000004</v>
      </c>
      <c r="BD2540">
        <v>97.53</v>
      </c>
      <c r="BE2540">
        <v>99.27</v>
      </c>
      <c r="BF2540">
        <v>97.55</v>
      </c>
      <c r="BG2540" t="s">
        <v>24138</v>
      </c>
      <c r="BH2540" t="s">
        <v>24137</v>
      </c>
      <c r="BI2540" t="s">
        <v>24139</v>
      </c>
      <c r="BJ2540" t="s">
        <v>101</v>
      </c>
      <c r="BK2540" t="s">
        <v>922</v>
      </c>
      <c r="BL2540" t="s">
        <v>7091</v>
      </c>
      <c r="BM2540" t="s">
        <v>23640</v>
      </c>
      <c r="BN2540" t="s">
        <v>23454</v>
      </c>
    </row>
    <row r="2541" spans="1:66" x14ac:dyDescent="0.25">
      <c r="A2541" t="str">
        <f>HYPERLINK("https://elite.finviz.com/quote.ashx?t=PAYX&amp;ty=c&amp;p=d&amp;b=1", "PAYX")</f>
        <v>PAYX</v>
      </c>
      <c r="B2541">
        <v>5</v>
      </c>
      <c r="C2541">
        <v>116.22</v>
      </c>
      <c r="D2541">
        <v>34.020000000000003</v>
      </c>
      <c r="E2541" t="s">
        <v>24140</v>
      </c>
      <c r="F2541" t="s">
        <v>319</v>
      </c>
      <c r="G2541" t="s">
        <v>108</v>
      </c>
      <c r="H2541" t="s">
        <v>136</v>
      </c>
      <c r="I2541" t="s">
        <v>70</v>
      </c>
      <c r="J2541" t="s">
        <v>321</v>
      </c>
      <c r="K2541">
        <v>46139.61</v>
      </c>
      <c r="L2541">
        <v>128.30000000000001</v>
      </c>
      <c r="M2541" t="s">
        <v>5745</v>
      </c>
      <c r="N2541">
        <v>538223</v>
      </c>
      <c r="O2541">
        <v>28.02</v>
      </c>
      <c r="P2541">
        <v>21.76</v>
      </c>
      <c r="Q2541">
        <v>3.31</v>
      </c>
      <c r="R2541">
        <v>8.2799999999999994</v>
      </c>
      <c r="S2541">
        <v>11.2</v>
      </c>
      <c r="T2541" t="s">
        <v>2522</v>
      </c>
      <c r="U2541">
        <v>4.12</v>
      </c>
      <c r="V2541" t="s">
        <v>6164</v>
      </c>
      <c r="W2541" t="s">
        <v>4852</v>
      </c>
      <c r="X2541" t="s">
        <v>2863</v>
      </c>
      <c r="Y2541" t="s">
        <v>4852</v>
      </c>
      <c r="Z2541" t="s">
        <v>12818</v>
      </c>
      <c r="AA2541">
        <v>4.58</v>
      </c>
      <c r="AB2541" t="s">
        <v>7541</v>
      </c>
      <c r="AC2541" t="s">
        <v>466</v>
      </c>
      <c r="AD2541" t="s">
        <v>4378</v>
      </c>
      <c r="AE2541" t="s">
        <v>892</v>
      </c>
      <c r="AF2541" t="s">
        <v>291</v>
      </c>
      <c r="AG2541" t="s">
        <v>521</v>
      </c>
      <c r="AH2541" t="s">
        <v>7669</v>
      </c>
      <c r="AI2541" t="s">
        <v>171</v>
      </c>
      <c r="AJ2541" t="s">
        <v>3388</v>
      </c>
      <c r="AK2541" t="s">
        <v>22873</v>
      </c>
      <c r="AL2541">
        <v>1.28</v>
      </c>
      <c r="AM2541">
        <v>1.28</v>
      </c>
      <c r="AN2541">
        <v>1.22</v>
      </c>
      <c r="AO2541" t="s">
        <v>24141</v>
      </c>
      <c r="AP2541" t="s">
        <v>24142</v>
      </c>
      <c r="AQ2541" t="s">
        <v>18647</v>
      </c>
      <c r="AR2541" t="s">
        <v>4493</v>
      </c>
      <c r="AS2541" t="s">
        <v>3757</v>
      </c>
      <c r="AT2541" t="s">
        <v>9087</v>
      </c>
      <c r="AU2541" t="s">
        <v>10431</v>
      </c>
      <c r="AV2541" t="s">
        <v>12738</v>
      </c>
      <c r="AW2541" t="s">
        <v>11925</v>
      </c>
      <c r="AX2541" t="s">
        <v>3257</v>
      </c>
      <c r="AY2541" t="s">
        <v>11061</v>
      </c>
      <c r="AZ2541" t="s">
        <v>3257</v>
      </c>
      <c r="BA2541">
        <v>3.12</v>
      </c>
      <c r="BB2541">
        <v>2479.9</v>
      </c>
      <c r="BC2541">
        <v>0.76</v>
      </c>
      <c r="BD2541">
        <v>126.69</v>
      </c>
      <c r="BE2541">
        <v>128.36000000000001</v>
      </c>
      <c r="BF2541">
        <v>126.71</v>
      </c>
      <c r="BG2541" t="s">
        <v>24143</v>
      </c>
      <c r="BH2541" t="s">
        <v>11061</v>
      </c>
      <c r="BI2541" t="s">
        <v>24144</v>
      </c>
      <c r="BJ2541" t="s">
        <v>101</v>
      </c>
      <c r="BK2541" t="s">
        <v>19240</v>
      </c>
      <c r="BL2541" t="s">
        <v>24145</v>
      </c>
      <c r="BM2541" t="s">
        <v>13745</v>
      </c>
      <c r="BN2541" t="s">
        <v>23454</v>
      </c>
    </row>
    <row r="2542" spans="1:66" x14ac:dyDescent="0.25">
      <c r="A2542" t="str">
        <f>HYPERLINK("https://elite.finviz.com/quote.ashx?t=KALV&amp;ty=c&amp;p=d&amp;b=1", "KALV")</f>
        <v>KALV</v>
      </c>
      <c r="B2542">
        <v>5</v>
      </c>
      <c r="C2542">
        <v>116.22</v>
      </c>
      <c r="D2542">
        <v>34.11</v>
      </c>
      <c r="E2542" t="s">
        <v>24146</v>
      </c>
      <c r="F2542" t="s">
        <v>67</v>
      </c>
      <c r="G2542" t="s">
        <v>428</v>
      </c>
      <c r="H2542" t="s">
        <v>429</v>
      </c>
      <c r="I2542" t="s">
        <v>70</v>
      </c>
      <c r="J2542" t="s">
        <v>321</v>
      </c>
      <c r="K2542">
        <v>612.09</v>
      </c>
      <c r="L2542">
        <v>12.11</v>
      </c>
      <c r="M2542" t="s">
        <v>2560</v>
      </c>
      <c r="N2542">
        <v>624078</v>
      </c>
      <c r="P2542">
        <v>13.31</v>
      </c>
      <c r="R2542">
        <v>428.04</v>
      </c>
      <c r="S2542">
        <v>14.95</v>
      </c>
      <c r="AA2542">
        <v>-4</v>
      </c>
      <c r="AB2542" t="s">
        <v>3322</v>
      </c>
      <c r="AC2542" t="s">
        <v>24147</v>
      </c>
      <c r="AI2542" t="s">
        <v>2778</v>
      </c>
      <c r="AJ2542" t="s">
        <v>110</v>
      </c>
      <c r="AK2542" t="s">
        <v>13625</v>
      </c>
      <c r="AL2542">
        <v>5.37</v>
      </c>
      <c r="AM2542">
        <v>5.37</v>
      </c>
      <c r="AN2542">
        <v>3.39</v>
      </c>
      <c r="AO2542" t="s">
        <v>11663</v>
      </c>
      <c r="AP2542" t="s">
        <v>24148</v>
      </c>
      <c r="AQ2542" t="s">
        <v>24149</v>
      </c>
      <c r="AR2542" t="s">
        <v>6525</v>
      </c>
      <c r="AS2542" t="s">
        <v>8960</v>
      </c>
      <c r="AT2542" t="s">
        <v>19351</v>
      </c>
      <c r="AU2542" t="s">
        <v>3239</v>
      </c>
      <c r="AV2542" t="s">
        <v>8016</v>
      </c>
      <c r="AW2542" t="s">
        <v>24150</v>
      </c>
      <c r="AX2542" t="s">
        <v>4824</v>
      </c>
      <c r="AY2542" t="s">
        <v>24150</v>
      </c>
      <c r="AZ2542" t="s">
        <v>24151</v>
      </c>
      <c r="BA2542">
        <v>1</v>
      </c>
      <c r="BB2542">
        <v>1283.03</v>
      </c>
      <c r="BC2542">
        <v>1.71</v>
      </c>
      <c r="BD2542">
        <v>12.1</v>
      </c>
      <c r="BE2542">
        <v>12.27</v>
      </c>
      <c r="BF2542">
        <v>11.99</v>
      </c>
      <c r="BG2542" t="s">
        <v>24152</v>
      </c>
      <c r="BH2542" t="s">
        <v>24153</v>
      </c>
      <c r="BI2542" t="s">
        <v>14282</v>
      </c>
      <c r="BJ2542" t="s">
        <v>101</v>
      </c>
      <c r="BK2542" t="s">
        <v>2839</v>
      </c>
      <c r="BL2542" t="s">
        <v>8053</v>
      </c>
      <c r="BM2542" t="s">
        <v>7855</v>
      </c>
      <c r="BN2542" t="s">
        <v>23454</v>
      </c>
    </row>
    <row r="2543" spans="1:66" x14ac:dyDescent="0.25">
      <c r="A2543" t="str">
        <f>HYPERLINK("https://elite.finviz.com/quote.ashx?t=ALGN&amp;ty=c&amp;p=d&amp;b=1", "ALGN")</f>
        <v>ALGN</v>
      </c>
      <c r="B2543">
        <v>5</v>
      </c>
      <c r="C2543">
        <v>116.22</v>
      </c>
      <c r="D2543">
        <v>34.14</v>
      </c>
      <c r="E2543" t="s">
        <v>24154</v>
      </c>
      <c r="F2543" t="s">
        <v>195</v>
      </c>
      <c r="G2543" t="s">
        <v>428</v>
      </c>
      <c r="H2543" t="s">
        <v>2161</v>
      </c>
      <c r="I2543" t="s">
        <v>70</v>
      </c>
      <c r="J2543" t="s">
        <v>321</v>
      </c>
      <c r="K2543">
        <v>9120.24</v>
      </c>
      <c r="L2543">
        <v>125.82</v>
      </c>
      <c r="M2543" t="s">
        <v>6572</v>
      </c>
      <c r="N2543">
        <v>166889</v>
      </c>
      <c r="O2543">
        <v>21.22</v>
      </c>
      <c r="P2543">
        <v>11.56</v>
      </c>
      <c r="Q2543">
        <v>2.67</v>
      </c>
      <c r="R2543">
        <v>2.2999999999999998</v>
      </c>
      <c r="S2543">
        <v>2.33</v>
      </c>
      <c r="Z2543" t="s">
        <v>164</v>
      </c>
      <c r="AA2543">
        <v>5.93</v>
      </c>
      <c r="AB2543" t="s">
        <v>9220</v>
      </c>
      <c r="AC2543" t="s">
        <v>2290</v>
      </c>
      <c r="AD2543" t="s">
        <v>2447</v>
      </c>
      <c r="AE2543" t="s">
        <v>6842</v>
      </c>
      <c r="AF2543" t="s">
        <v>6719</v>
      </c>
      <c r="AG2543" t="s">
        <v>5838</v>
      </c>
      <c r="AH2543" t="s">
        <v>5070</v>
      </c>
      <c r="AI2543" t="s">
        <v>4168</v>
      </c>
      <c r="AJ2543" t="s">
        <v>6156</v>
      </c>
      <c r="AK2543" t="s">
        <v>24155</v>
      </c>
      <c r="AL2543">
        <v>1.23</v>
      </c>
      <c r="AM2543">
        <v>1.1000000000000001</v>
      </c>
      <c r="AN2543">
        <v>0.03</v>
      </c>
      <c r="AO2543" t="s">
        <v>24156</v>
      </c>
      <c r="AP2543" t="s">
        <v>2883</v>
      </c>
      <c r="AQ2543" t="s">
        <v>1652</v>
      </c>
      <c r="AR2543" t="s">
        <v>3208</v>
      </c>
      <c r="AS2543" t="s">
        <v>4873</v>
      </c>
      <c r="AT2543" t="s">
        <v>16056</v>
      </c>
      <c r="AU2543" t="s">
        <v>15204</v>
      </c>
      <c r="AV2543" t="s">
        <v>24157</v>
      </c>
      <c r="AW2543" t="s">
        <v>24158</v>
      </c>
      <c r="AX2543" t="s">
        <v>7088</v>
      </c>
      <c r="AY2543" t="s">
        <v>24159</v>
      </c>
      <c r="AZ2543" t="s">
        <v>7088</v>
      </c>
      <c r="BA2543">
        <v>1.83</v>
      </c>
      <c r="BB2543">
        <v>1555.59</v>
      </c>
      <c r="BC2543">
        <v>0.38</v>
      </c>
      <c r="BD2543">
        <v>124.88</v>
      </c>
      <c r="BE2543">
        <v>126.16</v>
      </c>
      <c r="BF2543">
        <v>124.75</v>
      </c>
      <c r="BG2543" t="s">
        <v>24160</v>
      </c>
      <c r="BH2543" t="s">
        <v>24161</v>
      </c>
      <c r="BI2543" t="s">
        <v>24162</v>
      </c>
      <c r="BJ2543" t="s">
        <v>101</v>
      </c>
      <c r="BK2543" t="s">
        <v>17399</v>
      </c>
      <c r="BL2543" t="s">
        <v>10323</v>
      </c>
      <c r="BM2543" t="s">
        <v>15671</v>
      </c>
      <c r="BN2543" t="s">
        <v>23454</v>
      </c>
    </row>
    <row r="2544" spans="1:66" x14ac:dyDescent="0.25">
      <c r="A2544" t="str">
        <f>HYPERLINK("https://elite.finviz.com/quote.ashx?t=VVV&amp;ty=c&amp;p=d&amp;b=1", "VVV")</f>
        <v>VVV</v>
      </c>
      <c r="B2544">
        <v>5</v>
      </c>
      <c r="C2544">
        <v>116.22</v>
      </c>
      <c r="D2544">
        <v>34.200000000000003</v>
      </c>
      <c r="E2544" t="s">
        <v>24163</v>
      </c>
      <c r="F2544" t="s">
        <v>107</v>
      </c>
      <c r="G2544" t="s">
        <v>813</v>
      </c>
      <c r="H2544" t="s">
        <v>5888</v>
      </c>
      <c r="I2544" t="s">
        <v>70</v>
      </c>
      <c r="J2544" t="s">
        <v>71</v>
      </c>
      <c r="K2544">
        <v>4671.92</v>
      </c>
      <c r="L2544">
        <v>36.75</v>
      </c>
      <c r="M2544" t="s">
        <v>1998</v>
      </c>
      <c r="N2544">
        <v>152989</v>
      </c>
      <c r="O2544">
        <v>17.100000000000001</v>
      </c>
      <c r="P2544">
        <v>19.37</v>
      </c>
      <c r="Q2544">
        <v>1.29</v>
      </c>
      <c r="R2544">
        <v>2.76</v>
      </c>
      <c r="S2544">
        <v>14.9</v>
      </c>
      <c r="V2544" t="s">
        <v>24164</v>
      </c>
      <c r="Z2544" t="s">
        <v>164</v>
      </c>
      <c r="AA2544">
        <v>2.15</v>
      </c>
      <c r="AB2544" t="s">
        <v>24165</v>
      </c>
      <c r="AC2544" t="s">
        <v>7854</v>
      </c>
      <c r="AD2544" t="s">
        <v>6946</v>
      </c>
      <c r="AE2544" t="s">
        <v>6392</v>
      </c>
      <c r="AF2544" t="s">
        <v>9096</v>
      </c>
      <c r="AG2544" t="s">
        <v>5663</v>
      </c>
      <c r="AH2544" t="s">
        <v>5467</v>
      </c>
      <c r="AI2544" t="s">
        <v>615</v>
      </c>
      <c r="AJ2544" t="s">
        <v>3450</v>
      </c>
      <c r="AK2544" t="s">
        <v>24166</v>
      </c>
      <c r="AL2544">
        <v>0.73</v>
      </c>
      <c r="AM2544">
        <v>0.6</v>
      </c>
      <c r="AN2544">
        <v>4.4400000000000004</v>
      </c>
      <c r="AO2544" t="s">
        <v>9262</v>
      </c>
      <c r="AP2544" t="s">
        <v>6834</v>
      </c>
      <c r="AQ2544" t="s">
        <v>5119</v>
      </c>
      <c r="AR2544" t="s">
        <v>3208</v>
      </c>
      <c r="AS2544" t="s">
        <v>206</v>
      </c>
      <c r="AT2544" t="s">
        <v>3859</v>
      </c>
      <c r="AU2544" t="s">
        <v>308</v>
      </c>
      <c r="AV2544" t="s">
        <v>698</v>
      </c>
      <c r="AW2544" t="s">
        <v>4647</v>
      </c>
      <c r="AX2544" t="s">
        <v>8593</v>
      </c>
      <c r="AY2544" t="s">
        <v>13771</v>
      </c>
      <c r="AZ2544" t="s">
        <v>13792</v>
      </c>
      <c r="BA2544">
        <v>1.94</v>
      </c>
      <c r="BB2544">
        <v>1757.13</v>
      </c>
      <c r="BC2544">
        <v>0.31</v>
      </c>
      <c r="BD2544">
        <v>36.81</v>
      </c>
      <c r="BE2544">
        <v>37.08</v>
      </c>
      <c r="BF2544">
        <v>36.549999999999997</v>
      </c>
      <c r="BG2544" t="s">
        <v>24167</v>
      </c>
      <c r="BH2544" t="s">
        <v>22227</v>
      </c>
      <c r="BI2544" t="s">
        <v>24168</v>
      </c>
      <c r="BJ2544" t="s">
        <v>101</v>
      </c>
      <c r="BK2544" t="s">
        <v>8380</v>
      </c>
      <c r="BL2544" t="s">
        <v>5467</v>
      </c>
      <c r="BM2544" t="s">
        <v>13837</v>
      </c>
      <c r="BN2544" t="s">
        <v>23454</v>
      </c>
    </row>
    <row r="2545" spans="1:66" x14ac:dyDescent="0.25">
      <c r="A2545" t="str">
        <f>HYPERLINK("https://elite.finviz.com/quote.ashx?t=WU&amp;ty=c&amp;p=d&amp;b=1", "WU")</f>
        <v>WU</v>
      </c>
      <c r="B2545">
        <v>5</v>
      </c>
      <c r="C2545">
        <v>116.22</v>
      </c>
      <c r="D2545">
        <v>34.24</v>
      </c>
      <c r="E2545" t="s">
        <v>24169</v>
      </c>
      <c r="F2545" t="s">
        <v>107</v>
      </c>
      <c r="G2545" t="s">
        <v>550</v>
      </c>
      <c r="H2545" t="s">
        <v>3744</v>
      </c>
      <c r="I2545" t="s">
        <v>70</v>
      </c>
      <c r="J2545" t="s">
        <v>71</v>
      </c>
      <c r="K2545">
        <v>2553.4699999999998</v>
      </c>
      <c r="L2545">
        <v>7.91</v>
      </c>
      <c r="M2545" t="s">
        <v>2290</v>
      </c>
      <c r="N2545">
        <v>2082961</v>
      </c>
      <c r="O2545">
        <v>2.98</v>
      </c>
      <c r="P2545">
        <v>4.46</v>
      </c>
      <c r="Q2545">
        <v>0.93</v>
      </c>
      <c r="R2545">
        <v>0.62</v>
      </c>
      <c r="S2545">
        <v>2.9</v>
      </c>
      <c r="T2545" t="s">
        <v>1532</v>
      </c>
      <c r="U2545">
        <v>0.94</v>
      </c>
      <c r="V2545" t="s">
        <v>5925</v>
      </c>
      <c r="W2545" t="s">
        <v>164</v>
      </c>
      <c r="X2545" t="s">
        <v>164</v>
      </c>
      <c r="Y2545" t="s">
        <v>7284</v>
      </c>
      <c r="Z2545" t="s">
        <v>3816</v>
      </c>
      <c r="AA2545">
        <v>2.65</v>
      </c>
      <c r="AB2545" t="s">
        <v>6196</v>
      </c>
      <c r="AC2545" t="s">
        <v>2876</v>
      </c>
      <c r="AD2545" t="s">
        <v>170</v>
      </c>
      <c r="AE2545" t="s">
        <v>2870</v>
      </c>
      <c r="AF2545" t="s">
        <v>7300</v>
      </c>
      <c r="AG2545" t="s">
        <v>8607</v>
      </c>
      <c r="AH2545" t="s">
        <v>11253</v>
      </c>
      <c r="AI2545" t="s">
        <v>9672</v>
      </c>
      <c r="AJ2545" t="s">
        <v>929</v>
      </c>
      <c r="AK2545" t="s">
        <v>24170</v>
      </c>
      <c r="AL2545">
        <v>0.25</v>
      </c>
      <c r="AM2545">
        <v>0.25</v>
      </c>
      <c r="AN2545">
        <v>3.11</v>
      </c>
      <c r="AO2545" t="s">
        <v>8653</v>
      </c>
      <c r="AP2545" t="s">
        <v>10441</v>
      </c>
      <c r="AQ2545" t="s">
        <v>2729</v>
      </c>
      <c r="AR2545" t="s">
        <v>910</v>
      </c>
      <c r="AS2545" t="s">
        <v>212</v>
      </c>
      <c r="AT2545" t="s">
        <v>16493</v>
      </c>
      <c r="AU2545" t="s">
        <v>15684</v>
      </c>
      <c r="AV2545" t="s">
        <v>9443</v>
      </c>
      <c r="AW2545" t="s">
        <v>8184</v>
      </c>
      <c r="AX2545" t="s">
        <v>3871</v>
      </c>
      <c r="AY2545" t="s">
        <v>24171</v>
      </c>
      <c r="AZ2545" t="s">
        <v>3871</v>
      </c>
      <c r="BA2545">
        <v>3.63</v>
      </c>
      <c r="BB2545">
        <v>9371.14</v>
      </c>
      <c r="BC2545">
        <v>0.78</v>
      </c>
      <c r="BD2545">
        <v>7.88</v>
      </c>
      <c r="BE2545">
        <v>7.97</v>
      </c>
      <c r="BF2545">
        <v>7.85</v>
      </c>
      <c r="BG2545" t="s">
        <v>24172</v>
      </c>
      <c r="BH2545" t="s">
        <v>23593</v>
      </c>
      <c r="BI2545" t="s">
        <v>3871</v>
      </c>
      <c r="BJ2545" t="s">
        <v>101</v>
      </c>
      <c r="BK2545" t="s">
        <v>7380</v>
      </c>
      <c r="BL2545" t="s">
        <v>24173</v>
      </c>
      <c r="BM2545" t="s">
        <v>24174</v>
      </c>
      <c r="BN2545" t="s">
        <v>23454</v>
      </c>
    </row>
    <row r="2546" spans="1:66" x14ac:dyDescent="0.25">
      <c r="A2546" t="str">
        <f>HYPERLINK("https://elite.finviz.com/quote.ashx?t=ZTS&amp;ty=c&amp;p=d&amp;b=1", "ZTS")</f>
        <v>ZTS</v>
      </c>
      <c r="B2546">
        <v>5</v>
      </c>
      <c r="C2546">
        <v>116.22</v>
      </c>
      <c r="D2546">
        <v>34.33</v>
      </c>
      <c r="E2546" t="s">
        <v>24175</v>
      </c>
      <c r="F2546" t="s">
        <v>195</v>
      </c>
      <c r="G2546" t="s">
        <v>428</v>
      </c>
      <c r="H2546" t="s">
        <v>1296</v>
      </c>
      <c r="I2546" t="s">
        <v>70</v>
      </c>
      <c r="J2546" t="s">
        <v>71</v>
      </c>
      <c r="K2546">
        <v>63315.41</v>
      </c>
      <c r="L2546">
        <v>142.87</v>
      </c>
      <c r="M2546" t="s">
        <v>343</v>
      </c>
      <c r="N2546">
        <v>594401</v>
      </c>
      <c r="O2546">
        <v>24.58</v>
      </c>
      <c r="P2546">
        <v>20.69</v>
      </c>
      <c r="Q2546">
        <v>2.91</v>
      </c>
      <c r="R2546">
        <v>6.75</v>
      </c>
      <c r="S2546">
        <v>12.74</v>
      </c>
      <c r="T2546" t="s">
        <v>7780</v>
      </c>
      <c r="U2546">
        <v>1.93</v>
      </c>
      <c r="V2546" t="s">
        <v>14858</v>
      </c>
      <c r="W2546" t="s">
        <v>5468</v>
      </c>
      <c r="X2546" t="s">
        <v>11024</v>
      </c>
      <c r="Y2546" t="s">
        <v>10165</v>
      </c>
      <c r="Z2546" t="s">
        <v>5500</v>
      </c>
      <c r="AA2546">
        <v>5.81</v>
      </c>
      <c r="AB2546" t="s">
        <v>637</v>
      </c>
      <c r="AC2546" t="s">
        <v>2891</v>
      </c>
      <c r="AD2546" t="s">
        <v>712</v>
      </c>
      <c r="AE2546" t="s">
        <v>8966</v>
      </c>
      <c r="AF2546" t="s">
        <v>5152</v>
      </c>
      <c r="AG2546" t="s">
        <v>15964</v>
      </c>
      <c r="AH2546" t="s">
        <v>2721</v>
      </c>
      <c r="AI2546" t="s">
        <v>7436</v>
      </c>
      <c r="AJ2546" t="s">
        <v>6192</v>
      </c>
      <c r="AK2546" t="s">
        <v>5099</v>
      </c>
      <c r="AL2546">
        <v>1.76</v>
      </c>
      <c r="AM2546">
        <v>1.04</v>
      </c>
      <c r="AN2546">
        <v>1.36</v>
      </c>
      <c r="AO2546" t="s">
        <v>24176</v>
      </c>
      <c r="AP2546" t="s">
        <v>23895</v>
      </c>
      <c r="AQ2546" t="s">
        <v>12178</v>
      </c>
      <c r="AR2546" t="s">
        <v>2876</v>
      </c>
      <c r="AS2546" t="s">
        <v>5258</v>
      </c>
      <c r="AT2546" t="s">
        <v>5725</v>
      </c>
      <c r="AU2546" t="s">
        <v>6480</v>
      </c>
      <c r="AV2546" t="s">
        <v>4887</v>
      </c>
      <c r="AW2546" t="s">
        <v>8023</v>
      </c>
      <c r="AX2546" t="s">
        <v>1776</v>
      </c>
      <c r="AY2546" t="s">
        <v>14318</v>
      </c>
      <c r="AZ2546" t="s">
        <v>1776</v>
      </c>
      <c r="BA2546">
        <v>1.5</v>
      </c>
      <c r="BB2546">
        <v>3051.84</v>
      </c>
      <c r="BC2546">
        <v>0.69</v>
      </c>
      <c r="BD2546">
        <v>141.13</v>
      </c>
      <c r="BE2546">
        <v>142.88</v>
      </c>
      <c r="BF2546">
        <v>141.43</v>
      </c>
      <c r="BG2546" t="s">
        <v>24177</v>
      </c>
      <c r="BH2546" t="s">
        <v>24178</v>
      </c>
      <c r="BI2546" t="s">
        <v>24179</v>
      </c>
      <c r="BJ2546" t="s">
        <v>101</v>
      </c>
      <c r="BK2546" t="s">
        <v>2488</v>
      </c>
      <c r="BL2546" t="s">
        <v>19697</v>
      </c>
      <c r="BM2546" t="s">
        <v>23234</v>
      </c>
      <c r="BN2546" t="s">
        <v>23454</v>
      </c>
    </row>
    <row r="2547" spans="1:66" x14ac:dyDescent="0.25">
      <c r="A2547" t="str">
        <f>HYPERLINK("https://elite.finviz.com/quote.ashx?t=STIM&amp;ty=c&amp;p=d&amp;b=1", "STIM")</f>
        <v>STIM</v>
      </c>
      <c r="B2547">
        <v>5</v>
      </c>
      <c r="C2547">
        <v>116.22</v>
      </c>
      <c r="D2547">
        <v>34.4</v>
      </c>
      <c r="E2547" t="s">
        <v>24180</v>
      </c>
      <c r="F2547" t="s">
        <v>67</v>
      </c>
      <c r="G2547" t="s">
        <v>428</v>
      </c>
      <c r="H2547" t="s">
        <v>2051</v>
      </c>
      <c r="I2547" t="s">
        <v>70</v>
      </c>
      <c r="J2547" t="s">
        <v>321</v>
      </c>
      <c r="K2547">
        <v>175.81</v>
      </c>
      <c r="L2547">
        <v>2.66</v>
      </c>
      <c r="M2547" t="s">
        <v>15000</v>
      </c>
      <c r="N2547">
        <v>180440</v>
      </c>
      <c r="R2547">
        <v>1.58</v>
      </c>
      <c r="S2547">
        <v>6.48</v>
      </c>
      <c r="AA2547">
        <v>-1.1299999999999999</v>
      </c>
      <c r="AB2547" t="s">
        <v>2998</v>
      </c>
      <c r="AC2547" t="s">
        <v>2496</v>
      </c>
      <c r="AD2547" t="s">
        <v>17604</v>
      </c>
      <c r="AE2547" t="s">
        <v>24181</v>
      </c>
      <c r="AF2547" t="s">
        <v>3549</v>
      </c>
      <c r="AG2547" t="s">
        <v>3613</v>
      </c>
      <c r="AH2547" t="s">
        <v>24182</v>
      </c>
      <c r="AI2547" t="s">
        <v>10204</v>
      </c>
      <c r="AJ2547" t="s">
        <v>6214</v>
      </c>
      <c r="AK2547" t="s">
        <v>1663</v>
      </c>
      <c r="AL2547">
        <v>2.02</v>
      </c>
      <c r="AM2547">
        <v>1.84</v>
      </c>
      <c r="AN2547">
        <v>2.97</v>
      </c>
      <c r="AO2547" t="s">
        <v>2469</v>
      </c>
      <c r="AP2547" t="s">
        <v>24183</v>
      </c>
      <c r="AQ2547" t="s">
        <v>1260</v>
      </c>
      <c r="AR2547" t="s">
        <v>4416</v>
      </c>
      <c r="AS2547" t="s">
        <v>5389</v>
      </c>
      <c r="AT2547" t="s">
        <v>16894</v>
      </c>
      <c r="AU2547" t="s">
        <v>2474</v>
      </c>
      <c r="AV2547" t="s">
        <v>24184</v>
      </c>
      <c r="AW2547" t="s">
        <v>3790</v>
      </c>
      <c r="AX2547" t="s">
        <v>7484</v>
      </c>
      <c r="AY2547" t="s">
        <v>5771</v>
      </c>
      <c r="AZ2547" t="s">
        <v>24185</v>
      </c>
      <c r="BA2547">
        <v>1</v>
      </c>
      <c r="BB2547">
        <v>1353.65</v>
      </c>
      <c r="BC2547">
        <v>0.47</v>
      </c>
      <c r="BD2547">
        <v>2.67</v>
      </c>
      <c r="BE2547">
        <v>2.73</v>
      </c>
      <c r="BF2547">
        <v>2.63</v>
      </c>
      <c r="BG2547" t="s">
        <v>24186</v>
      </c>
      <c r="BH2547" t="s">
        <v>989</v>
      </c>
      <c r="BI2547" t="s">
        <v>24185</v>
      </c>
      <c r="BJ2547" t="s">
        <v>101</v>
      </c>
      <c r="BK2547" t="s">
        <v>19691</v>
      </c>
      <c r="BL2547" t="s">
        <v>1232</v>
      </c>
      <c r="BM2547" t="s">
        <v>24187</v>
      </c>
      <c r="BN2547" t="s">
        <v>23454</v>
      </c>
    </row>
    <row r="2548" spans="1:66" x14ac:dyDescent="0.25">
      <c r="A2548" t="str">
        <f>HYPERLINK("https://elite.finviz.com/quote.ashx?t=LQDA&amp;ty=c&amp;p=d&amp;b=1", "LQDA")</f>
        <v>LQDA</v>
      </c>
      <c r="B2548">
        <v>5</v>
      </c>
      <c r="C2548">
        <v>116.22</v>
      </c>
      <c r="D2548">
        <v>34.409999999999997</v>
      </c>
      <c r="E2548" t="s">
        <v>24188</v>
      </c>
      <c r="F2548" t="s">
        <v>67</v>
      </c>
      <c r="G2548" t="s">
        <v>428</v>
      </c>
      <c r="H2548" t="s">
        <v>429</v>
      </c>
      <c r="I2548" t="s">
        <v>70</v>
      </c>
      <c r="J2548" t="s">
        <v>321</v>
      </c>
      <c r="K2548">
        <v>1893.15</v>
      </c>
      <c r="L2548">
        <v>21.99</v>
      </c>
      <c r="M2548" t="s">
        <v>1180</v>
      </c>
      <c r="N2548">
        <v>1096492</v>
      </c>
      <c r="P2548">
        <v>34.56</v>
      </c>
      <c r="R2548">
        <v>97.99</v>
      </c>
      <c r="S2548">
        <v>124.31</v>
      </c>
      <c r="AA2548">
        <v>-1.69</v>
      </c>
      <c r="AB2548" t="s">
        <v>6695</v>
      </c>
      <c r="AC2548" t="s">
        <v>3664</v>
      </c>
      <c r="AE2548" t="s">
        <v>12682</v>
      </c>
      <c r="AF2548" t="s">
        <v>5061</v>
      </c>
      <c r="AG2548" t="s">
        <v>2595</v>
      </c>
      <c r="AH2548" t="s">
        <v>1665</v>
      </c>
      <c r="AI2548" t="s">
        <v>23961</v>
      </c>
      <c r="AJ2548" t="s">
        <v>4234</v>
      </c>
      <c r="AK2548" t="s">
        <v>24189</v>
      </c>
      <c r="AL2548">
        <v>2.4900000000000002</v>
      </c>
      <c r="AM2548">
        <v>2.41</v>
      </c>
      <c r="AN2548">
        <v>10.29</v>
      </c>
      <c r="AO2548" t="s">
        <v>19583</v>
      </c>
      <c r="AP2548" t="s">
        <v>24190</v>
      </c>
      <c r="AQ2548" t="s">
        <v>24191</v>
      </c>
      <c r="AR2548" t="s">
        <v>2065</v>
      </c>
      <c r="AS2548" t="s">
        <v>6226</v>
      </c>
      <c r="AT2548" t="s">
        <v>17002</v>
      </c>
      <c r="AU2548" t="s">
        <v>5612</v>
      </c>
      <c r="AV2548" t="s">
        <v>9742</v>
      </c>
      <c r="AW2548" t="s">
        <v>7393</v>
      </c>
      <c r="AX2548" t="s">
        <v>24192</v>
      </c>
      <c r="AY2548" t="s">
        <v>7393</v>
      </c>
      <c r="AZ2548" t="s">
        <v>24193</v>
      </c>
      <c r="BA2548">
        <v>1.44</v>
      </c>
      <c r="BB2548">
        <v>2764.63</v>
      </c>
      <c r="BC2548">
        <v>1.4</v>
      </c>
      <c r="BD2548">
        <v>22.45</v>
      </c>
      <c r="BE2548">
        <v>22.4</v>
      </c>
      <c r="BF2548">
        <v>21.16</v>
      </c>
      <c r="BG2548" t="s">
        <v>24194</v>
      </c>
      <c r="BH2548" t="s">
        <v>9276</v>
      </c>
      <c r="BI2548" t="s">
        <v>24195</v>
      </c>
      <c r="BJ2548" t="s">
        <v>101</v>
      </c>
      <c r="BK2548" t="s">
        <v>11841</v>
      </c>
      <c r="BL2548" t="s">
        <v>23238</v>
      </c>
      <c r="BM2548" t="s">
        <v>24196</v>
      </c>
      <c r="BN2548" t="s">
        <v>23454</v>
      </c>
    </row>
    <row r="2549" spans="1:66" x14ac:dyDescent="0.25">
      <c r="A2549" t="str">
        <f>HYPERLINK("https://elite.finviz.com/quote.ashx?t=CSGP&amp;ty=c&amp;p=d&amp;b=1", "CSGP")</f>
        <v>CSGP</v>
      </c>
      <c r="B2549">
        <v>5</v>
      </c>
      <c r="C2549">
        <v>116.22</v>
      </c>
      <c r="D2549">
        <v>34.479999999999997</v>
      </c>
      <c r="E2549" t="s">
        <v>24197</v>
      </c>
      <c r="F2549" t="s">
        <v>319</v>
      </c>
      <c r="G2549" t="s">
        <v>68</v>
      </c>
      <c r="H2549" t="s">
        <v>7494</v>
      </c>
      <c r="I2549" t="s">
        <v>70</v>
      </c>
      <c r="J2549" t="s">
        <v>321</v>
      </c>
      <c r="K2549">
        <v>35260.42</v>
      </c>
      <c r="L2549">
        <v>83.23</v>
      </c>
      <c r="M2549" t="s">
        <v>2560</v>
      </c>
      <c r="N2549">
        <v>826402</v>
      </c>
      <c r="O2549">
        <v>326.52</v>
      </c>
      <c r="P2549">
        <v>61.5</v>
      </c>
      <c r="Q2549">
        <v>9.43</v>
      </c>
      <c r="R2549">
        <v>12.09</v>
      </c>
      <c r="S2549">
        <v>4.0999999999999996</v>
      </c>
      <c r="Z2549" t="s">
        <v>164</v>
      </c>
      <c r="AA2549">
        <v>0.25</v>
      </c>
      <c r="AB2549" t="s">
        <v>24198</v>
      </c>
      <c r="AC2549" t="s">
        <v>24199</v>
      </c>
      <c r="AD2549" t="s">
        <v>6399</v>
      </c>
      <c r="AE2549" t="s">
        <v>6068</v>
      </c>
      <c r="AF2549" t="s">
        <v>13765</v>
      </c>
      <c r="AG2549" t="s">
        <v>3965</v>
      </c>
      <c r="AH2549" t="s">
        <v>6690</v>
      </c>
      <c r="AI2549" t="s">
        <v>16722</v>
      </c>
      <c r="AJ2549" t="s">
        <v>5153</v>
      </c>
      <c r="AK2549" t="s">
        <v>24200</v>
      </c>
      <c r="AL2549">
        <v>5.83</v>
      </c>
      <c r="AM2549">
        <v>5.83</v>
      </c>
      <c r="AN2549">
        <v>0.13</v>
      </c>
      <c r="AO2549" t="s">
        <v>24201</v>
      </c>
      <c r="AP2549" t="s">
        <v>2486</v>
      </c>
      <c r="AQ2549" t="s">
        <v>975</v>
      </c>
      <c r="AR2549" t="s">
        <v>2876</v>
      </c>
      <c r="AS2549" t="s">
        <v>2868</v>
      </c>
      <c r="AT2549" t="s">
        <v>5189</v>
      </c>
      <c r="AU2549" t="s">
        <v>1153</v>
      </c>
      <c r="AV2549" t="s">
        <v>5111</v>
      </c>
      <c r="AW2549" t="s">
        <v>7531</v>
      </c>
      <c r="AX2549" t="s">
        <v>6719</v>
      </c>
      <c r="AY2549" t="s">
        <v>7531</v>
      </c>
      <c r="AZ2549" t="s">
        <v>1130</v>
      </c>
      <c r="BA2549">
        <v>1.78</v>
      </c>
      <c r="BB2549">
        <v>2775.29</v>
      </c>
      <c r="BC2549">
        <v>1.05</v>
      </c>
      <c r="BD2549">
        <v>83.09</v>
      </c>
      <c r="BE2549">
        <v>83.7</v>
      </c>
      <c r="BF2549">
        <v>82.79</v>
      </c>
      <c r="BG2549" t="s">
        <v>24202</v>
      </c>
      <c r="BH2549" t="s">
        <v>24147</v>
      </c>
      <c r="BI2549" t="s">
        <v>24203</v>
      </c>
      <c r="BJ2549" t="s">
        <v>101</v>
      </c>
      <c r="BK2549" t="s">
        <v>2473</v>
      </c>
      <c r="BL2549" t="s">
        <v>3170</v>
      </c>
      <c r="BM2549" t="s">
        <v>2984</v>
      </c>
      <c r="BN2549" t="s">
        <v>23454</v>
      </c>
    </row>
    <row r="2550" spans="1:66" x14ac:dyDescent="0.25">
      <c r="A2550" t="str">
        <f>HYPERLINK("https://elite.finviz.com/quote.ashx?t=CBRL&amp;ty=c&amp;p=d&amp;b=1", "CBRL")</f>
        <v>CBRL</v>
      </c>
      <c r="B2550">
        <v>5</v>
      </c>
      <c r="C2550">
        <v>116.22</v>
      </c>
      <c r="D2550">
        <v>34.520000000000003</v>
      </c>
      <c r="E2550" t="s">
        <v>24204</v>
      </c>
      <c r="F2550" t="s">
        <v>67</v>
      </c>
      <c r="G2550" t="s">
        <v>813</v>
      </c>
      <c r="H2550" t="s">
        <v>2285</v>
      </c>
      <c r="I2550" t="s">
        <v>70</v>
      </c>
      <c r="J2550" t="s">
        <v>321</v>
      </c>
      <c r="K2550">
        <v>1003.35</v>
      </c>
      <c r="L2550">
        <v>45.06</v>
      </c>
      <c r="M2550" t="s">
        <v>5425</v>
      </c>
      <c r="N2550">
        <v>377463</v>
      </c>
      <c r="O2550">
        <v>21.82</v>
      </c>
      <c r="P2550">
        <v>16.39</v>
      </c>
      <c r="R2550">
        <v>0.28999999999999998</v>
      </c>
      <c r="S2550">
        <v>2.17</v>
      </c>
      <c r="T2550" t="s">
        <v>5660</v>
      </c>
      <c r="U2550">
        <v>1</v>
      </c>
      <c r="V2550" t="s">
        <v>3662</v>
      </c>
      <c r="W2550" t="s">
        <v>24205</v>
      </c>
      <c r="X2550" t="s">
        <v>9292</v>
      </c>
      <c r="Y2550" t="s">
        <v>9109</v>
      </c>
      <c r="Z2550" t="s">
        <v>9339</v>
      </c>
      <c r="AA2550">
        <v>2.0699999999999998</v>
      </c>
      <c r="AB2550" t="s">
        <v>16286</v>
      </c>
      <c r="AD2550" t="s">
        <v>7285</v>
      </c>
      <c r="AE2550" t="s">
        <v>3000</v>
      </c>
      <c r="AF2550" t="s">
        <v>714</v>
      </c>
      <c r="AG2550" t="s">
        <v>4760</v>
      </c>
      <c r="AH2550" t="s">
        <v>10469</v>
      </c>
      <c r="AI2550" t="s">
        <v>4645</v>
      </c>
      <c r="AK2550" t="s">
        <v>24206</v>
      </c>
      <c r="AL2550">
        <v>0.5</v>
      </c>
      <c r="AM2550">
        <v>0.21</v>
      </c>
      <c r="AN2550">
        <v>2.44</v>
      </c>
      <c r="AO2550" t="s">
        <v>1252</v>
      </c>
      <c r="AP2550" t="s">
        <v>714</v>
      </c>
      <c r="AQ2550" t="s">
        <v>5692</v>
      </c>
      <c r="AR2550" t="s">
        <v>2700</v>
      </c>
      <c r="AS2550" t="s">
        <v>121</v>
      </c>
      <c r="AT2550" t="s">
        <v>5062</v>
      </c>
      <c r="AU2550" t="s">
        <v>2914</v>
      </c>
      <c r="AV2550" t="s">
        <v>14833</v>
      </c>
      <c r="AW2550" t="s">
        <v>522</v>
      </c>
      <c r="AX2550" t="s">
        <v>5659</v>
      </c>
      <c r="AY2550" t="s">
        <v>522</v>
      </c>
      <c r="AZ2550" t="s">
        <v>19106</v>
      </c>
      <c r="BA2550">
        <v>3.38</v>
      </c>
      <c r="BB2550">
        <v>1391.14</v>
      </c>
      <c r="BC2550">
        <v>0.96</v>
      </c>
      <c r="BD2550">
        <v>43.8</v>
      </c>
      <c r="BE2550">
        <v>45.79</v>
      </c>
      <c r="BF2550">
        <v>43.9</v>
      </c>
      <c r="BG2550" t="s">
        <v>24207</v>
      </c>
      <c r="BH2550" t="s">
        <v>24208</v>
      </c>
      <c r="BI2550" t="s">
        <v>24209</v>
      </c>
      <c r="BJ2550" t="s">
        <v>101</v>
      </c>
      <c r="BK2550" t="s">
        <v>16096</v>
      </c>
      <c r="BL2550" t="s">
        <v>2653</v>
      </c>
      <c r="BM2550" t="s">
        <v>4795</v>
      </c>
      <c r="BN2550" t="s">
        <v>23454</v>
      </c>
    </row>
    <row r="2551" spans="1:66" x14ac:dyDescent="0.25">
      <c r="A2551" t="str">
        <f>HYPERLINK("https://elite.finviz.com/quote.ashx?t=TTD&amp;ty=c&amp;p=d&amp;b=1", "TTD")</f>
        <v>TTD</v>
      </c>
      <c r="B2551">
        <v>5</v>
      </c>
      <c r="C2551">
        <v>116.22</v>
      </c>
      <c r="D2551">
        <v>34.53</v>
      </c>
      <c r="E2551" t="s">
        <v>24210</v>
      </c>
      <c r="F2551" t="s">
        <v>319</v>
      </c>
      <c r="G2551" t="s">
        <v>598</v>
      </c>
      <c r="H2551" t="s">
        <v>1020</v>
      </c>
      <c r="I2551" t="s">
        <v>70</v>
      </c>
      <c r="J2551" t="s">
        <v>321</v>
      </c>
      <c r="K2551">
        <v>22576.94</v>
      </c>
      <c r="L2551">
        <v>46.17</v>
      </c>
      <c r="M2551" t="s">
        <v>13366</v>
      </c>
      <c r="N2551">
        <v>2908471</v>
      </c>
      <c r="O2551">
        <v>55.67</v>
      </c>
      <c r="P2551">
        <v>42.73</v>
      </c>
      <c r="R2551">
        <v>8.43</v>
      </c>
      <c r="S2551">
        <v>8.39</v>
      </c>
      <c r="Z2551" t="s">
        <v>164</v>
      </c>
      <c r="AA2551">
        <v>0.83</v>
      </c>
      <c r="AB2551" t="s">
        <v>24211</v>
      </c>
      <c r="AC2551" t="s">
        <v>2781</v>
      </c>
      <c r="AD2551" t="s">
        <v>6985</v>
      </c>
      <c r="AE2551" t="s">
        <v>2439</v>
      </c>
      <c r="AF2551" t="s">
        <v>10168</v>
      </c>
      <c r="AG2551" t="s">
        <v>15680</v>
      </c>
      <c r="AH2551" t="s">
        <v>347</v>
      </c>
      <c r="AI2551" t="s">
        <v>3976</v>
      </c>
      <c r="AJ2551" t="s">
        <v>8425</v>
      </c>
      <c r="AK2551" t="s">
        <v>24212</v>
      </c>
      <c r="AL2551">
        <v>1.71</v>
      </c>
      <c r="AM2551">
        <v>1.71</v>
      </c>
      <c r="AN2551">
        <v>0.13</v>
      </c>
      <c r="AO2551" t="s">
        <v>22423</v>
      </c>
      <c r="AP2551" t="s">
        <v>7321</v>
      </c>
      <c r="AQ2551" t="s">
        <v>23203</v>
      </c>
      <c r="AR2551" t="s">
        <v>5467</v>
      </c>
      <c r="AS2551" t="s">
        <v>2170</v>
      </c>
      <c r="AT2551" t="s">
        <v>818</v>
      </c>
      <c r="AU2551" t="s">
        <v>9579</v>
      </c>
      <c r="AV2551" t="s">
        <v>22226</v>
      </c>
      <c r="AW2551" t="s">
        <v>22618</v>
      </c>
      <c r="AX2551" t="s">
        <v>234</v>
      </c>
      <c r="AY2551" t="s">
        <v>24213</v>
      </c>
      <c r="AZ2551" t="s">
        <v>1283</v>
      </c>
      <c r="BA2551">
        <v>2.17</v>
      </c>
      <c r="BB2551">
        <v>17044.509999999998</v>
      </c>
      <c r="BC2551">
        <v>0.6</v>
      </c>
      <c r="BD2551">
        <v>46.76</v>
      </c>
      <c r="BE2551">
        <v>46.74</v>
      </c>
      <c r="BF2551">
        <v>46.03</v>
      </c>
      <c r="BG2551" t="s">
        <v>24214</v>
      </c>
      <c r="BH2551" t="s">
        <v>24213</v>
      </c>
      <c r="BI2551" t="s">
        <v>24215</v>
      </c>
      <c r="BJ2551" t="s">
        <v>101</v>
      </c>
      <c r="BK2551" t="s">
        <v>15223</v>
      </c>
      <c r="BL2551" t="s">
        <v>3438</v>
      </c>
      <c r="BM2551" t="s">
        <v>24216</v>
      </c>
      <c r="BN2551" t="s">
        <v>23454</v>
      </c>
    </row>
    <row r="2552" spans="1:66" x14ac:dyDescent="0.25">
      <c r="A2552" t="str">
        <f>HYPERLINK("https://elite.finviz.com/quote.ashx?t=BGMS&amp;ty=c&amp;p=d&amp;b=1", "BGMS")</f>
        <v>BGMS</v>
      </c>
      <c r="B2552">
        <v>5</v>
      </c>
      <c r="C2552">
        <v>116.22</v>
      </c>
      <c r="D2552">
        <v>34.549999999999997</v>
      </c>
      <c r="E2552" t="s">
        <v>24217</v>
      </c>
      <c r="F2552" t="s">
        <v>107</v>
      </c>
      <c r="G2552" t="s">
        <v>428</v>
      </c>
      <c r="H2552" t="s">
        <v>429</v>
      </c>
      <c r="I2552" t="s">
        <v>70</v>
      </c>
      <c r="J2552" t="s">
        <v>321</v>
      </c>
      <c r="K2552">
        <v>11.02</v>
      </c>
      <c r="L2552">
        <v>4.93</v>
      </c>
      <c r="M2552" t="s">
        <v>2838</v>
      </c>
      <c r="N2552">
        <v>5324</v>
      </c>
      <c r="R2552">
        <v>1102.4100000000001</v>
      </c>
      <c r="S2552">
        <v>2.15</v>
      </c>
      <c r="T2552" t="s">
        <v>24218</v>
      </c>
      <c r="U2552">
        <v>36</v>
      </c>
      <c r="V2552" t="s">
        <v>18855</v>
      </c>
      <c r="AA2552">
        <v>-301.8</v>
      </c>
      <c r="AB2552" t="s">
        <v>10571</v>
      </c>
      <c r="AC2552" t="s">
        <v>8502</v>
      </c>
      <c r="AE2552" t="s">
        <v>24219</v>
      </c>
      <c r="AH2552" t="s">
        <v>579</v>
      </c>
      <c r="AJ2552" t="s">
        <v>2826</v>
      </c>
      <c r="AK2552" t="s">
        <v>1338</v>
      </c>
      <c r="AL2552">
        <v>5.77</v>
      </c>
      <c r="AM2552">
        <v>5.77</v>
      </c>
      <c r="AN2552">
        <v>0</v>
      </c>
      <c r="AO2552" t="s">
        <v>24220</v>
      </c>
      <c r="AP2552" t="s">
        <v>24221</v>
      </c>
      <c r="AQ2552" t="s">
        <v>24222</v>
      </c>
      <c r="AR2552" t="s">
        <v>4293</v>
      </c>
      <c r="AS2552" t="s">
        <v>5404</v>
      </c>
      <c r="AT2552" t="s">
        <v>6023</v>
      </c>
      <c r="AU2552" t="s">
        <v>3242</v>
      </c>
      <c r="AV2552" t="s">
        <v>24223</v>
      </c>
      <c r="AW2552" t="s">
        <v>24224</v>
      </c>
      <c r="AX2552" t="s">
        <v>2729</v>
      </c>
      <c r="AY2552" t="s">
        <v>20682</v>
      </c>
      <c r="AZ2552" t="s">
        <v>13371</v>
      </c>
      <c r="BA2552">
        <v>3</v>
      </c>
      <c r="BB2552">
        <v>1785.71</v>
      </c>
      <c r="BC2552">
        <v>0.01</v>
      </c>
      <c r="BD2552">
        <v>4.74</v>
      </c>
      <c r="BE2552">
        <v>5.03</v>
      </c>
      <c r="BF2552">
        <v>4.58</v>
      </c>
      <c r="BG2552" t="s">
        <v>24225</v>
      </c>
      <c r="BH2552" t="s">
        <v>579</v>
      </c>
      <c r="BI2552" t="s">
        <v>13371</v>
      </c>
      <c r="BJ2552" t="s">
        <v>101</v>
      </c>
      <c r="BK2552" t="s">
        <v>5312</v>
      </c>
      <c r="BL2552" t="s">
        <v>24226</v>
      </c>
      <c r="BM2552" t="s">
        <v>24227</v>
      </c>
      <c r="BN2552" t="s">
        <v>23454</v>
      </c>
    </row>
    <row r="2553" spans="1:66" x14ac:dyDescent="0.25">
      <c r="A2553" t="str">
        <f>HYPERLINK("https://elite.finviz.com/quote.ashx?t=K&amp;ty=c&amp;p=d&amp;b=1", "K")</f>
        <v>K</v>
      </c>
      <c r="B2553">
        <v>5</v>
      </c>
      <c r="C2553">
        <v>116.22</v>
      </c>
      <c r="D2553">
        <v>34.65</v>
      </c>
      <c r="E2553" t="s">
        <v>24228</v>
      </c>
      <c r="F2553" t="s">
        <v>195</v>
      </c>
      <c r="G2553" t="s">
        <v>2244</v>
      </c>
      <c r="H2553" t="s">
        <v>3269</v>
      </c>
      <c r="I2553" t="s">
        <v>70</v>
      </c>
      <c r="J2553" t="s">
        <v>71</v>
      </c>
      <c r="K2553">
        <v>26918.28</v>
      </c>
      <c r="L2553">
        <v>77.430000000000007</v>
      </c>
      <c r="M2553" t="s">
        <v>8228</v>
      </c>
      <c r="N2553">
        <v>547337</v>
      </c>
      <c r="O2553">
        <v>20.239999999999998</v>
      </c>
      <c r="P2553">
        <v>20.48</v>
      </c>
      <c r="Q2553">
        <v>63.24</v>
      </c>
      <c r="R2553">
        <v>2.13</v>
      </c>
      <c r="S2553">
        <v>6.54</v>
      </c>
      <c r="T2553" t="s">
        <v>2383</v>
      </c>
      <c r="U2553">
        <v>2.29</v>
      </c>
      <c r="V2553" t="s">
        <v>2187</v>
      </c>
      <c r="W2553" t="s">
        <v>12274</v>
      </c>
      <c r="X2553" t="s">
        <v>9084</v>
      </c>
      <c r="Y2553" t="s">
        <v>164</v>
      </c>
      <c r="Z2553" t="s">
        <v>24229</v>
      </c>
      <c r="AA2553">
        <v>3.83</v>
      </c>
      <c r="AB2553" t="s">
        <v>4439</v>
      </c>
      <c r="AC2553" t="s">
        <v>4966</v>
      </c>
      <c r="AD2553" t="s">
        <v>3446</v>
      </c>
      <c r="AE2553" t="s">
        <v>4888</v>
      </c>
      <c r="AF2553" t="s">
        <v>608</v>
      </c>
      <c r="AG2553" t="s">
        <v>13366</v>
      </c>
      <c r="AH2553" t="s">
        <v>3736</v>
      </c>
      <c r="AI2553" t="s">
        <v>15649</v>
      </c>
      <c r="AJ2553" t="s">
        <v>24230</v>
      </c>
      <c r="AK2553" t="s">
        <v>7267</v>
      </c>
      <c r="AL2553">
        <v>0.68</v>
      </c>
      <c r="AM2553">
        <v>0.45</v>
      </c>
      <c r="AN2553">
        <v>1.58</v>
      </c>
      <c r="AO2553" t="s">
        <v>12022</v>
      </c>
      <c r="AP2553" t="s">
        <v>7724</v>
      </c>
      <c r="AQ2553" t="s">
        <v>5738</v>
      </c>
      <c r="AR2553" t="s">
        <v>84</v>
      </c>
      <c r="AS2553" t="s">
        <v>1022</v>
      </c>
      <c r="AT2553" t="s">
        <v>2856</v>
      </c>
      <c r="AU2553" t="s">
        <v>6464</v>
      </c>
      <c r="AV2553" t="s">
        <v>8534</v>
      </c>
      <c r="AW2553" t="s">
        <v>5763</v>
      </c>
      <c r="AX2553" t="s">
        <v>2650</v>
      </c>
      <c r="AY2553" t="s">
        <v>4243</v>
      </c>
      <c r="AZ2553" t="s">
        <v>2650</v>
      </c>
      <c r="BA2553">
        <v>3</v>
      </c>
      <c r="BB2553">
        <v>2840.36</v>
      </c>
      <c r="BC2553">
        <v>0.68</v>
      </c>
      <c r="BD2553">
        <v>77.069999999999993</v>
      </c>
      <c r="BE2553">
        <v>77.44</v>
      </c>
      <c r="BF2553">
        <v>77.099999999999994</v>
      </c>
      <c r="BG2553" t="s">
        <v>24231</v>
      </c>
      <c r="BH2553" t="s">
        <v>4243</v>
      </c>
      <c r="BI2553" t="s">
        <v>24232</v>
      </c>
      <c r="BJ2553" t="s">
        <v>101</v>
      </c>
      <c r="BK2553" t="s">
        <v>4431</v>
      </c>
      <c r="BL2553" t="s">
        <v>8626</v>
      </c>
      <c r="BM2553" t="s">
        <v>1373</v>
      </c>
      <c r="BN2553" t="s">
        <v>23454</v>
      </c>
    </row>
    <row r="2554" spans="1:66" x14ac:dyDescent="0.25">
      <c r="A2554" t="str">
        <f>HYPERLINK("https://elite.finviz.com/quote.ashx?t=GNRC&amp;ty=c&amp;p=d&amp;b=1", "GNRC")</f>
        <v>GNRC</v>
      </c>
      <c r="B2554">
        <v>5</v>
      </c>
      <c r="C2554">
        <v>116.22</v>
      </c>
      <c r="D2554">
        <v>34.68</v>
      </c>
      <c r="E2554" t="s">
        <v>24233</v>
      </c>
      <c r="F2554" t="s">
        <v>195</v>
      </c>
      <c r="G2554" t="s">
        <v>260</v>
      </c>
      <c r="H2554" t="s">
        <v>261</v>
      </c>
      <c r="I2554" t="s">
        <v>70</v>
      </c>
      <c r="J2554" t="s">
        <v>71</v>
      </c>
      <c r="K2554">
        <v>9689.16</v>
      </c>
      <c r="L2554">
        <v>165.13</v>
      </c>
      <c r="M2554" t="s">
        <v>2362</v>
      </c>
      <c r="N2554">
        <v>136048</v>
      </c>
      <c r="O2554">
        <v>27.43</v>
      </c>
      <c r="P2554">
        <v>18.649999999999999</v>
      </c>
      <c r="Q2554">
        <v>2.46</v>
      </c>
      <c r="R2554">
        <v>2.2000000000000002</v>
      </c>
      <c r="S2554">
        <v>3.77</v>
      </c>
      <c r="V2554" t="s">
        <v>24234</v>
      </c>
      <c r="Z2554" t="s">
        <v>164</v>
      </c>
      <c r="AA2554">
        <v>6.02</v>
      </c>
      <c r="AB2554" t="s">
        <v>1951</v>
      </c>
      <c r="AC2554" t="s">
        <v>7090</v>
      </c>
      <c r="AD2554" t="s">
        <v>1454</v>
      </c>
      <c r="AE2554" t="s">
        <v>2403</v>
      </c>
      <c r="AF2554" t="s">
        <v>2774</v>
      </c>
      <c r="AG2554" t="s">
        <v>4683</v>
      </c>
      <c r="AH2554" t="s">
        <v>3148</v>
      </c>
      <c r="AI2554" t="s">
        <v>7087</v>
      </c>
      <c r="AJ2554" t="s">
        <v>9475</v>
      </c>
      <c r="AK2554" t="s">
        <v>24235</v>
      </c>
      <c r="AL2554">
        <v>2</v>
      </c>
      <c r="AM2554">
        <v>0.88</v>
      </c>
      <c r="AN2554">
        <v>0.55000000000000004</v>
      </c>
      <c r="AO2554" t="s">
        <v>9093</v>
      </c>
      <c r="AP2554" t="s">
        <v>2712</v>
      </c>
      <c r="AQ2554" t="s">
        <v>7511</v>
      </c>
      <c r="AR2554" t="s">
        <v>454</v>
      </c>
      <c r="AS2554" t="s">
        <v>5188</v>
      </c>
      <c r="AT2554" t="s">
        <v>2587</v>
      </c>
      <c r="AU2554" t="s">
        <v>13780</v>
      </c>
      <c r="AV2554" t="s">
        <v>1532</v>
      </c>
      <c r="AW2554" t="s">
        <v>17172</v>
      </c>
      <c r="AX2554" t="s">
        <v>2392</v>
      </c>
      <c r="AY2554" t="s">
        <v>17172</v>
      </c>
      <c r="AZ2554" t="s">
        <v>24151</v>
      </c>
      <c r="BA2554">
        <v>2.09</v>
      </c>
      <c r="BB2554">
        <v>1071.48</v>
      </c>
      <c r="BC2554">
        <v>0.45</v>
      </c>
      <c r="BD2554">
        <v>164.26</v>
      </c>
      <c r="BE2554">
        <v>165.3</v>
      </c>
      <c r="BF2554">
        <v>163.31</v>
      </c>
      <c r="BG2554" t="s">
        <v>24236</v>
      </c>
      <c r="BH2554" t="s">
        <v>7549</v>
      </c>
      <c r="BI2554" t="s">
        <v>24237</v>
      </c>
      <c r="BJ2554" t="s">
        <v>101</v>
      </c>
      <c r="BK2554" t="s">
        <v>11239</v>
      </c>
      <c r="BL2554" t="s">
        <v>4962</v>
      </c>
      <c r="BM2554" t="s">
        <v>369</v>
      </c>
      <c r="BN2554" t="s">
        <v>23454</v>
      </c>
    </row>
    <row r="2555" spans="1:66" x14ac:dyDescent="0.25">
      <c r="A2555" t="str">
        <f>HYPERLINK("https://elite.finviz.com/quote.ashx?t=HE&amp;ty=c&amp;p=d&amp;b=1", "HE")</f>
        <v>HE</v>
      </c>
      <c r="B2555">
        <v>5</v>
      </c>
      <c r="C2555">
        <v>116.22</v>
      </c>
      <c r="D2555">
        <v>34.700000000000003</v>
      </c>
      <c r="E2555" t="s">
        <v>24238</v>
      </c>
      <c r="F2555" t="s">
        <v>67</v>
      </c>
      <c r="G2555" t="s">
        <v>287</v>
      </c>
      <c r="H2555" t="s">
        <v>676</v>
      </c>
      <c r="I2555" t="s">
        <v>70</v>
      </c>
      <c r="J2555" t="s">
        <v>71</v>
      </c>
      <c r="K2555">
        <v>1.06</v>
      </c>
      <c r="L2555">
        <v>11.15</v>
      </c>
      <c r="M2555" t="s">
        <v>4494</v>
      </c>
      <c r="N2555">
        <v>267936</v>
      </c>
      <c r="P2555">
        <v>10.93</v>
      </c>
      <c r="R2555">
        <v>0</v>
      </c>
      <c r="S2555">
        <v>1.25</v>
      </c>
      <c r="V2555" t="s">
        <v>24239</v>
      </c>
      <c r="AA2555">
        <v>-0.33</v>
      </c>
      <c r="AD2555" t="s">
        <v>2185</v>
      </c>
      <c r="AE2555" t="s">
        <v>15362</v>
      </c>
      <c r="AF2555" t="s">
        <v>4526</v>
      </c>
      <c r="AG2555" t="s">
        <v>7322</v>
      </c>
      <c r="AH2555" t="s">
        <v>2611</v>
      </c>
      <c r="AI2555" t="s">
        <v>4728</v>
      </c>
      <c r="AJ2555" t="s">
        <v>164</v>
      </c>
      <c r="AK2555" t="s">
        <v>24240</v>
      </c>
      <c r="AL2555">
        <v>1.07</v>
      </c>
      <c r="AM2555">
        <v>1.07</v>
      </c>
      <c r="AN2555">
        <v>1.64</v>
      </c>
      <c r="AO2555" t="s">
        <v>2185</v>
      </c>
      <c r="AP2555" t="s">
        <v>2185</v>
      </c>
      <c r="AQ2555" t="s">
        <v>1842</v>
      </c>
      <c r="AR2555" t="s">
        <v>387</v>
      </c>
      <c r="AS2555" t="s">
        <v>90</v>
      </c>
      <c r="AT2555" t="s">
        <v>869</v>
      </c>
      <c r="AU2555" t="s">
        <v>1387</v>
      </c>
      <c r="AV2555" t="s">
        <v>6404</v>
      </c>
      <c r="AW2555" t="s">
        <v>24241</v>
      </c>
      <c r="AX2555" t="s">
        <v>636</v>
      </c>
      <c r="AY2555" t="s">
        <v>24241</v>
      </c>
      <c r="AZ2555" t="s">
        <v>4560</v>
      </c>
      <c r="BA2555">
        <v>3</v>
      </c>
      <c r="BB2555">
        <v>1925.5</v>
      </c>
      <c r="BC2555">
        <v>0.49</v>
      </c>
      <c r="BD2555">
        <v>11.13</v>
      </c>
      <c r="BE2555">
        <v>11.25</v>
      </c>
      <c r="BF2555">
        <v>11.14</v>
      </c>
      <c r="BG2555" t="s">
        <v>24242</v>
      </c>
      <c r="BH2555" t="s">
        <v>7638</v>
      </c>
      <c r="BI2555" t="s">
        <v>13751</v>
      </c>
      <c r="BJ2555" t="s">
        <v>101</v>
      </c>
      <c r="BK2555" t="s">
        <v>2809</v>
      </c>
      <c r="BL2555" t="s">
        <v>4191</v>
      </c>
      <c r="BM2555" t="s">
        <v>3921</v>
      </c>
      <c r="BN2555" t="s">
        <v>23454</v>
      </c>
    </row>
    <row r="2556" spans="1:66" x14ac:dyDescent="0.25">
      <c r="A2556" t="str">
        <f>HYPERLINK("https://elite.finviz.com/quote.ashx?t=BSX&amp;ty=c&amp;p=d&amp;b=1", "BSX")</f>
        <v>BSX</v>
      </c>
      <c r="B2556">
        <v>5</v>
      </c>
      <c r="C2556">
        <v>116.22</v>
      </c>
      <c r="D2556">
        <v>34.75</v>
      </c>
      <c r="E2556" t="s">
        <v>24243</v>
      </c>
      <c r="F2556" t="s">
        <v>195</v>
      </c>
      <c r="G2556" t="s">
        <v>428</v>
      </c>
      <c r="H2556" t="s">
        <v>2051</v>
      </c>
      <c r="I2556" t="s">
        <v>70</v>
      </c>
      <c r="J2556" t="s">
        <v>71</v>
      </c>
      <c r="K2556">
        <v>146071.07</v>
      </c>
      <c r="L2556">
        <v>98.58</v>
      </c>
      <c r="M2556" t="s">
        <v>914</v>
      </c>
      <c r="N2556">
        <v>2122442</v>
      </c>
      <c r="O2556">
        <v>58.67</v>
      </c>
      <c r="P2556">
        <v>28.98</v>
      </c>
      <c r="Q2556">
        <v>3.87</v>
      </c>
      <c r="R2556">
        <v>7.9</v>
      </c>
      <c r="S2556">
        <v>6.51</v>
      </c>
      <c r="Z2556" t="s">
        <v>164</v>
      </c>
      <c r="AA2556">
        <v>1.68</v>
      </c>
      <c r="AB2556" t="s">
        <v>15060</v>
      </c>
      <c r="AC2556" t="s">
        <v>24244</v>
      </c>
      <c r="AD2556" t="s">
        <v>8456</v>
      </c>
      <c r="AE2556" t="s">
        <v>12886</v>
      </c>
      <c r="AF2556" t="s">
        <v>14148</v>
      </c>
      <c r="AG2556" t="s">
        <v>2363</v>
      </c>
      <c r="AH2556" t="s">
        <v>235</v>
      </c>
      <c r="AI2556" t="s">
        <v>2662</v>
      </c>
      <c r="AJ2556" t="s">
        <v>15553</v>
      </c>
      <c r="AK2556" t="s">
        <v>17362</v>
      </c>
      <c r="AL2556">
        <v>1.37</v>
      </c>
      <c r="AM2556">
        <v>0.82</v>
      </c>
      <c r="AN2556">
        <v>0.54</v>
      </c>
      <c r="AO2556" t="s">
        <v>24245</v>
      </c>
      <c r="AP2556" t="s">
        <v>685</v>
      </c>
      <c r="AQ2556" t="s">
        <v>3259</v>
      </c>
      <c r="AR2556" t="s">
        <v>5263</v>
      </c>
      <c r="AS2556" t="s">
        <v>5258</v>
      </c>
      <c r="AT2556" t="s">
        <v>5725</v>
      </c>
      <c r="AU2556" t="s">
        <v>4215</v>
      </c>
      <c r="AV2556" t="s">
        <v>4688</v>
      </c>
      <c r="AW2556" t="s">
        <v>2888</v>
      </c>
      <c r="AX2556" t="s">
        <v>4216</v>
      </c>
      <c r="AY2556" t="s">
        <v>2888</v>
      </c>
      <c r="AZ2556" t="s">
        <v>13278</v>
      </c>
      <c r="BA2556">
        <v>1.27</v>
      </c>
      <c r="BB2556">
        <v>7994.18</v>
      </c>
      <c r="BC2556">
        <v>0.94</v>
      </c>
      <c r="BD2556">
        <v>98.14</v>
      </c>
      <c r="BE2556">
        <v>99.93</v>
      </c>
      <c r="BF2556">
        <v>98.27</v>
      </c>
      <c r="BG2556" t="s">
        <v>24246</v>
      </c>
      <c r="BH2556" t="s">
        <v>2888</v>
      </c>
      <c r="BI2556" t="s">
        <v>24247</v>
      </c>
      <c r="BJ2556" t="s">
        <v>101</v>
      </c>
      <c r="BK2556" t="s">
        <v>10518</v>
      </c>
      <c r="BL2556" t="s">
        <v>4595</v>
      </c>
      <c r="BM2556" t="s">
        <v>2949</v>
      </c>
      <c r="BN2556" t="s">
        <v>23454</v>
      </c>
    </row>
    <row r="2557" spans="1:66" x14ac:dyDescent="0.25">
      <c r="A2557" t="str">
        <f>HYPERLINK("https://elite.finviz.com/quote.ashx?t=LIMN&amp;ty=c&amp;p=d&amp;b=1", "LIMN")</f>
        <v>LIMN</v>
      </c>
      <c r="B2557">
        <v>5</v>
      </c>
      <c r="C2557">
        <v>116.22</v>
      </c>
      <c r="D2557">
        <v>34.840000000000003</v>
      </c>
      <c r="E2557" t="s">
        <v>24248</v>
      </c>
      <c r="F2557" t="s">
        <v>107</v>
      </c>
      <c r="G2557" t="s">
        <v>428</v>
      </c>
      <c r="H2557" t="s">
        <v>429</v>
      </c>
      <c r="I2557" t="s">
        <v>70</v>
      </c>
      <c r="J2557" t="s">
        <v>321</v>
      </c>
      <c r="K2557">
        <v>42.49</v>
      </c>
      <c r="L2557">
        <v>1.57</v>
      </c>
      <c r="M2557" t="s">
        <v>5389</v>
      </c>
      <c r="N2557">
        <v>438218</v>
      </c>
      <c r="AA2557">
        <v>-0.28999999999999998</v>
      </c>
      <c r="AJ2557" t="s">
        <v>164</v>
      </c>
      <c r="AK2557" t="s">
        <v>6245</v>
      </c>
      <c r="AL2557">
        <v>0</v>
      </c>
      <c r="AM2557">
        <v>0</v>
      </c>
      <c r="AR2557" t="s">
        <v>6830</v>
      </c>
      <c r="AS2557" t="s">
        <v>5405</v>
      </c>
      <c r="AT2557" t="s">
        <v>24249</v>
      </c>
      <c r="AU2557" t="s">
        <v>24250</v>
      </c>
      <c r="AV2557" t="s">
        <v>16024</v>
      </c>
      <c r="AW2557" t="s">
        <v>24251</v>
      </c>
      <c r="AX2557" t="s">
        <v>13550</v>
      </c>
      <c r="AY2557" t="s">
        <v>24252</v>
      </c>
      <c r="AZ2557" t="s">
        <v>13550</v>
      </c>
      <c r="BB2557">
        <v>1426.2</v>
      </c>
      <c r="BC2557">
        <v>1.08</v>
      </c>
      <c r="BD2557">
        <v>1.45</v>
      </c>
      <c r="BE2557">
        <v>1.65</v>
      </c>
      <c r="BF2557">
        <v>1.45</v>
      </c>
      <c r="BG2557" t="s">
        <v>24253</v>
      </c>
      <c r="BH2557" t="s">
        <v>24252</v>
      </c>
      <c r="BI2557" t="s">
        <v>13550</v>
      </c>
      <c r="BJ2557" t="s">
        <v>101</v>
      </c>
      <c r="BK2557" t="s">
        <v>24254</v>
      </c>
      <c r="BL2557" t="s">
        <v>24255</v>
      </c>
      <c r="BM2557" t="s">
        <v>24256</v>
      </c>
      <c r="BN2557" t="s">
        <v>23454</v>
      </c>
    </row>
    <row r="2558" spans="1:66" x14ac:dyDescent="0.25">
      <c r="A2558" t="str">
        <f>HYPERLINK("https://elite.finviz.com/quote.ashx?t=BXMT&amp;ty=c&amp;p=d&amp;b=1", "BXMT")</f>
        <v>BXMT</v>
      </c>
      <c r="B2558">
        <v>5</v>
      </c>
      <c r="C2558">
        <v>116.22</v>
      </c>
      <c r="D2558">
        <v>35.130000000000003</v>
      </c>
      <c r="E2558" t="s">
        <v>24257</v>
      </c>
      <c r="F2558" t="s">
        <v>67</v>
      </c>
      <c r="G2558" t="s">
        <v>68</v>
      </c>
      <c r="H2558" t="s">
        <v>5566</v>
      </c>
      <c r="I2558" t="s">
        <v>70</v>
      </c>
      <c r="J2558" t="s">
        <v>71</v>
      </c>
      <c r="K2558">
        <v>3201.66</v>
      </c>
      <c r="L2558">
        <v>18.66</v>
      </c>
      <c r="M2558" t="s">
        <v>6156</v>
      </c>
      <c r="N2558">
        <v>291701</v>
      </c>
      <c r="P2558">
        <v>10.87</v>
      </c>
      <c r="R2558">
        <v>2.02</v>
      </c>
      <c r="S2558">
        <v>0.89</v>
      </c>
      <c r="T2558" t="s">
        <v>3491</v>
      </c>
      <c r="U2558">
        <v>1.41</v>
      </c>
      <c r="V2558" t="s">
        <v>198</v>
      </c>
      <c r="W2558" t="s">
        <v>2226</v>
      </c>
      <c r="X2558" t="s">
        <v>6123</v>
      </c>
      <c r="Y2558" t="s">
        <v>132</v>
      </c>
      <c r="AA2558">
        <v>-7.0000000000000007E-2</v>
      </c>
      <c r="AE2558" t="s">
        <v>12861</v>
      </c>
      <c r="AF2558" t="s">
        <v>5931</v>
      </c>
      <c r="AG2558" t="s">
        <v>1231</v>
      </c>
      <c r="AH2558" t="s">
        <v>17461</v>
      </c>
      <c r="AI2558" t="s">
        <v>23364</v>
      </c>
      <c r="AJ2558" t="s">
        <v>2638</v>
      </c>
      <c r="AK2558" t="s">
        <v>24258</v>
      </c>
      <c r="AL2558">
        <v>0.15</v>
      </c>
      <c r="AM2558">
        <v>0.15</v>
      </c>
      <c r="AN2558">
        <v>4.57</v>
      </c>
      <c r="AO2558" t="s">
        <v>6377</v>
      </c>
      <c r="AP2558" t="s">
        <v>13379</v>
      </c>
      <c r="AQ2558" t="s">
        <v>1067</v>
      </c>
      <c r="AR2558" t="s">
        <v>3494</v>
      </c>
      <c r="AS2558" t="s">
        <v>2175</v>
      </c>
      <c r="AT2558" t="s">
        <v>7689</v>
      </c>
      <c r="AU2558" t="s">
        <v>3485</v>
      </c>
      <c r="AV2558" t="s">
        <v>2978</v>
      </c>
      <c r="AW2558" t="s">
        <v>5663</v>
      </c>
      <c r="AX2558" t="s">
        <v>352</v>
      </c>
      <c r="AY2558" t="s">
        <v>13083</v>
      </c>
      <c r="AZ2558" t="s">
        <v>2516</v>
      </c>
      <c r="BA2558">
        <v>2.4300000000000002</v>
      </c>
      <c r="BB2558">
        <v>1135.03</v>
      </c>
      <c r="BC2558">
        <v>0.91</v>
      </c>
      <c r="BD2558">
        <v>18.63</v>
      </c>
      <c r="BE2558">
        <v>18.75</v>
      </c>
      <c r="BF2558">
        <v>18.62</v>
      </c>
      <c r="BG2558" t="s">
        <v>24259</v>
      </c>
      <c r="BH2558" t="s">
        <v>24260</v>
      </c>
      <c r="BI2558" t="s">
        <v>24261</v>
      </c>
      <c r="BJ2558" t="s">
        <v>101</v>
      </c>
      <c r="BK2558" t="s">
        <v>6693</v>
      </c>
      <c r="BL2558" t="s">
        <v>5211</v>
      </c>
      <c r="BM2558" t="s">
        <v>8607</v>
      </c>
      <c r="BN2558" t="s">
        <v>23454</v>
      </c>
    </row>
    <row r="2559" spans="1:66" x14ac:dyDescent="0.25">
      <c r="A2559" t="str">
        <f>HYPERLINK("https://elite.finviz.com/quote.ashx?t=SLM&amp;ty=c&amp;p=d&amp;b=1", "SLM")</f>
        <v>SLM</v>
      </c>
      <c r="B2559">
        <v>5</v>
      </c>
      <c r="C2559">
        <v>116.22</v>
      </c>
      <c r="D2559">
        <v>35.24</v>
      </c>
      <c r="E2559" t="s">
        <v>24262</v>
      </c>
      <c r="F2559" t="s">
        <v>107</v>
      </c>
      <c r="G2559" t="s">
        <v>550</v>
      </c>
      <c r="H2559" t="s">
        <v>3744</v>
      </c>
      <c r="I2559" t="s">
        <v>70</v>
      </c>
      <c r="J2559" t="s">
        <v>321</v>
      </c>
      <c r="K2559">
        <v>5837.48</v>
      </c>
      <c r="L2559">
        <v>28</v>
      </c>
      <c r="M2559" t="s">
        <v>4703</v>
      </c>
      <c r="N2559">
        <v>457952</v>
      </c>
      <c r="O2559">
        <v>14.14</v>
      </c>
      <c r="P2559">
        <v>8.0399999999999991</v>
      </c>
      <c r="Q2559">
        <v>0.91</v>
      </c>
      <c r="R2559">
        <v>1.99</v>
      </c>
      <c r="S2559">
        <v>2.75</v>
      </c>
      <c r="T2559" t="s">
        <v>5071</v>
      </c>
      <c r="U2559">
        <v>0.52</v>
      </c>
      <c r="V2559" t="s">
        <v>6223</v>
      </c>
      <c r="W2559" t="s">
        <v>4104</v>
      </c>
      <c r="X2559" t="s">
        <v>7081</v>
      </c>
      <c r="Y2559" t="s">
        <v>22206</v>
      </c>
      <c r="Z2559" t="s">
        <v>3428</v>
      </c>
      <c r="AA2559">
        <v>1.98</v>
      </c>
      <c r="AB2559" t="s">
        <v>22016</v>
      </c>
      <c r="AC2559" t="s">
        <v>913</v>
      </c>
      <c r="AD2559" t="s">
        <v>14549</v>
      </c>
      <c r="AE2559" t="s">
        <v>13232</v>
      </c>
      <c r="AF2559" t="s">
        <v>7616</v>
      </c>
      <c r="AG2559" t="s">
        <v>197</v>
      </c>
      <c r="AH2559" t="s">
        <v>5714</v>
      </c>
      <c r="AI2559" t="s">
        <v>24263</v>
      </c>
      <c r="AJ2559" t="s">
        <v>7332</v>
      </c>
      <c r="AK2559" t="s">
        <v>24264</v>
      </c>
      <c r="AN2559">
        <v>2.7</v>
      </c>
      <c r="AO2559" t="s">
        <v>19732</v>
      </c>
      <c r="AP2559" t="s">
        <v>11737</v>
      </c>
      <c r="AQ2559" t="s">
        <v>4315</v>
      </c>
      <c r="AR2559" t="s">
        <v>5263</v>
      </c>
      <c r="AS2559" t="s">
        <v>4976</v>
      </c>
      <c r="AT2559" t="s">
        <v>6074</v>
      </c>
      <c r="AU2559" t="s">
        <v>13780</v>
      </c>
      <c r="AV2559" t="s">
        <v>1659</v>
      </c>
      <c r="AW2559" t="s">
        <v>17450</v>
      </c>
      <c r="AX2559" t="s">
        <v>5380</v>
      </c>
      <c r="AY2559" t="s">
        <v>14489</v>
      </c>
      <c r="AZ2559" t="s">
        <v>9001</v>
      </c>
      <c r="BA2559">
        <v>1.27</v>
      </c>
      <c r="BB2559">
        <v>2422.52</v>
      </c>
      <c r="BC2559">
        <v>0.67</v>
      </c>
      <c r="BD2559">
        <v>28.08</v>
      </c>
      <c r="BE2559">
        <v>28.36</v>
      </c>
      <c r="BF2559">
        <v>27.96</v>
      </c>
      <c r="BG2559" t="s">
        <v>24265</v>
      </c>
      <c r="BH2559" t="s">
        <v>14489</v>
      </c>
      <c r="BI2559" t="s">
        <v>24266</v>
      </c>
      <c r="BJ2559" t="s">
        <v>101</v>
      </c>
      <c r="BK2559" t="s">
        <v>24267</v>
      </c>
      <c r="BL2559" t="s">
        <v>2593</v>
      </c>
      <c r="BM2559" t="s">
        <v>3970</v>
      </c>
      <c r="BN2559" t="s">
        <v>23454</v>
      </c>
    </row>
    <row r="2560" spans="1:66" x14ac:dyDescent="0.25">
      <c r="A2560" t="str">
        <f>HYPERLINK("https://elite.finviz.com/quote.ashx?t=HRL&amp;ty=c&amp;p=d&amp;b=1", "HRL")</f>
        <v>HRL</v>
      </c>
      <c r="B2560">
        <v>5</v>
      </c>
      <c r="C2560">
        <v>116.22</v>
      </c>
      <c r="D2560">
        <v>35.270000000000003</v>
      </c>
      <c r="E2560" t="s">
        <v>24268</v>
      </c>
      <c r="F2560" t="s">
        <v>195</v>
      </c>
      <c r="G2560" t="s">
        <v>2244</v>
      </c>
      <c r="H2560" t="s">
        <v>3269</v>
      </c>
      <c r="I2560" t="s">
        <v>70</v>
      </c>
      <c r="J2560" t="s">
        <v>71</v>
      </c>
      <c r="K2560">
        <v>13488.71</v>
      </c>
      <c r="L2560">
        <v>24.52</v>
      </c>
      <c r="M2560" t="s">
        <v>149</v>
      </c>
      <c r="N2560">
        <v>412258</v>
      </c>
      <c r="O2560">
        <v>17.88</v>
      </c>
      <c r="P2560">
        <v>15.77</v>
      </c>
      <c r="Q2560">
        <v>6.41</v>
      </c>
      <c r="R2560">
        <v>1.1200000000000001</v>
      </c>
      <c r="S2560">
        <v>1.67</v>
      </c>
      <c r="T2560" t="s">
        <v>3524</v>
      </c>
      <c r="U2560">
        <v>1.1499999999999999</v>
      </c>
      <c r="V2560" t="s">
        <v>21978</v>
      </c>
      <c r="W2560" t="s">
        <v>2361</v>
      </c>
      <c r="X2560" t="s">
        <v>2035</v>
      </c>
      <c r="Y2560" t="s">
        <v>5455</v>
      </c>
      <c r="Z2560" t="s">
        <v>24269</v>
      </c>
      <c r="AA2560">
        <v>1.37</v>
      </c>
      <c r="AB2560" t="s">
        <v>11242</v>
      </c>
      <c r="AC2560" t="s">
        <v>4673</v>
      </c>
      <c r="AD2560" t="s">
        <v>3456</v>
      </c>
      <c r="AE2560" t="s">
        <v>227</v>
      </c>
      <c r="AF2560" t="s">
        <v>2572</v>
      </c>
      <c r="AG2560" t="s">
        <v>2809</v>
      </c>
      <c r="AH2560" t="s">
        <v>5685</v>
      </c>
      <c r="AI2560" t="s">
        <v>8021</v>
      </c>
      <c r="AJ2560" t="s">
        <v>5242</v>
      </c>
      <c r="AK2560" t="s">
        <v>15365</v>
      </c>
      <c r="AL2560">
        <v>2.4700000000000002</v>
      </c>
      <c r="AM2560">
        <v>1.1200000000000001</v>
      </c>
      <c r="AN2560">
        <v>0.35</v>
      </c>
      <c r="AO2560" t="s">
        <v>7192</v>
      </c>
      <c r="AP2560" t="s">
        <v>7938</v>
      </c>
      <c r="AQ2560" t="s">
        <v>3506</v>
      </c>
      <c r="AR2560" t="s">
        <v>3487</v>
      </c>
      <c r="AS2560" t="s">
        <v>212</v>
      </c>
      <c r="AT2560" t="s">
        <v>5365</v>
      </c>
      <c r="AU2560" t="s">
        <v>1861</v>
      </c>
      <c r="AV2560" t="s">
        <v>4046</v>
      </c>
      <c r="AW2560" t="s">
        <v>16748</v>
      </c>
      <c r="AX2560" t="s">
        <v>5736</v>
      </c>
      <c r="AY2560" t="s">
        <v>23885</v>
      </c>
      <c r="AZ2560" t="s">
        <v>5736</v>
      </c>
      <c r="BA2560">
        <v>2.62</v>
      </c>
      <c r="BB2560">
        <v>3870.19</v>
      </c>
      <c r="BC2560">
        <v>0.38</v>
      </c>
      <c r="BD2560">
        <v>24.41</v>
      </c>
      <c r="BE2560">
        <v>24.73</v>
      </c>
      <c r="BF2560">
        <v>24.46</v>
      </c>
      <c r="BG2560" t="s">
        <v>24270</v>
      </c>
      <c r="BH2560" t="s">
        <v>16676</v>
      </c>
      <c r="BI2560" t="s">
        <v>24271</v>
      </c>
      <c r="BJ2560" t="s">
        <v>101</v>
      </c>
      <c r="BK2560" t="s">
        <v>1107</v>
      </c>
      <c r="BL2560" t="s">
        <v>19227</v>
      </c>
      <c r="BM2560" t="s">
        <v>24272</v>
      </c>
      <c r="BN2560" t="s">
        <v>23454</v>
      </c>
    </row>
    <row r="2561" spans="1:66" x14ac:dyDescent="0.25">
      <c r="A2561" t="str">
        <f>HYPERLINK("https://elite.finviz.com/quote.ashx?t=OTLK&amp;ty=c&amp;p=d&amp;b=1", "OTLK")</f>
        <v>OTLK</v>
      </c>
      <c r="B2561">
        <v>5</v>
      </c>
      <c r="C2561">
        <v>116.22</v>
      </c>
      <c r="D2561">
        <v>35.28</v>
      </c>
      <c r="E2561" t="s">
        <v>24273</v>
      </c>
      <c r="F2561" t="s">
        <v>107</v>
      </c>
      <c r="G2561" t="s">
        <v>428</v>
      </c>
      <c r="H2561" t="s">
        <v>429</v>
      </c>
      <c r="I2561" t="s">
        <v>70</v>
      </c>
      <c r="J2561" t="s">
        <v>321</v>
      </c>
      <c r="K2561">
        <v>42.64</v>
      </c>
      <c r="L2561">
        <v>0.96</v>
      </c>
      <c r="M2561" t="s">
        <v>3937</v>
      </c>
      <c r="N2561">
        <v>397950</v>
      </c>
      <c r="R2561">
        <v>28.24</v>
      </c>
      <c r="AA2561">
        <v>-1.0900000000000001</v>
      </c>
      <c r="AB2561" t="s">
        <v>20369</v>
      </c>
      <c r="AC2561" t="s">
        <v>11183</v>
      </c>
      <c r="AD2561" t="s">
        <v>4310</v>
      </c>
      <c r="AI2561" t="s">
        <v>15215</v>
      </c>
      <c r="AJ2561" t="s">
        <v>164</v>
      </c>
      <c r="AK2561" t="s">
        <v>16934</v>
      </c>
      <c r="AL2561">
        <v>0.67</v>
      </c>
      <c r="AM2561">
        <v>0.54</v>
      </c>
      <c r="AO2561" t="s">
        <v>24274</v>
      </c>
      <c r="AP2561" t="s">
        <v>24275</v>
      </c>
      <c r="AQ2561" t="s">
        <v>24276</v>
      </c>
      <c r="AR2561" t="s">
        <v>10926</v>
      </c>
      <c r="AS2561" t="s">
        <v>3449</v>
      </c>
      <c r="AT2561" t="s">
        <v>7568</v>
      </c>
      <c r="AU2561" t="s">
        <v>1109</v>
      </c>
      <c r="AV2561" t="s">
        <v>24277</v>
      </c>
      <c r="AW2561" t="s">
        <v>24278</v>
      </c>
      <c r="AX2561" t="s">
        <v>5095</v>
      </c>
      <c r="AY2561" t="s">
        <v>24279</v>
      </c>
      <c r="AZ2561" t="s">
        <v>5095</v>
      </c>
      <c r="BA2561">
        <v>2.2000000000000002</v>
      </c>
      <c r="BB2561">
        <v>3351.82</v>
      </c>
      <c r="BC2561">
        <v>0.42</v>
      </c>
      <c r="BD2561">
        <v>0.97</v>
      </c>
      <c r="BE2561">
        <v>0.99</v>
      </c>
      <c r="BF2561">
        <v>0.94</v>
      </c>
      <c r="BG2561" t="s">
        <v>24280</v>
      </c>
      <c r="BH2561" t="s">
        <v>17178</v>
      </c>
      <c r="BI2561" t="s">
        <v>5095</v>
      </c>
      <c r="BJ2561" t="s">
        <v>101</v>
      </c>
      <c r="BK2561" t="s">
        <v>22226</v>
      </c>
      <c r="BL2561" t="s">
        <v>12778</v>
      </c>
      <c r="BM2561" t="s">
        <v>17092</v>
      </c>
      <c r="BN2561" t="s">
        <v>23454</v>
      </c>
    </row>
    <row r="2562" spans="1:66" x14ac:dyDescent="0.25">
      <c r="A2562" t="str">
        <f>HYPERLINK("https://elite.finviz.com/quote.ashx?t=FWRG&amp;ty=c&amp;p=d&amp;b=1", "FWRG")</f>
        <v>FWRG</v>
      </c>
      <c r="B2562">
        <v>5</v>
      </c>
      <c r="C2562">
        <v>116.22</v>
      </c>
      <c r="D2562">
        <v>35.31</v>
      </c>
      <c r="E2562" t="s">
        <v>24281</v>
      </c>
      <c r="F2562" t="s">
        <v>67</v>
      </c>
      <c r="G2562" t="s">
        <v>813</v>
      </c>
      <c r="H2562" t="s">
        <v>2285</v>
      </c>
      <c r="I2562" t="s">
        <v>70</v>
      </c>
      <c r="J2562" t="s">
        <v>321</v>
      </c>
      <c r="K2562">
        <v>974.86</v>
      </c>
      <c r="L2562">
        <v>15.98</v>
      </c>
      <c r="M2562" t="s">
        <v>2087</v>
      </c>
      <c r="N2562">
        <v>292619</v>
      </c>
      <c r="O2562">
        <v>244.27</v>
      </c>
      <c r="P2562">
        <v>43.15</v>
      </c>
      <c r="Q2562">
        <v>12.03</v>
      </c>
      <c r="R2562">
        <v>0.88</v>
      </c>
      <c r="S2562">
        <v>1.62</v>
      </c>
      <c r="Z2562" t="s">
        <v>164</v>
      </c>
      <c r="AA2562">
        <v>7.0000000000000007E-2</v>
      </c>
      <c r="AD2562" t="s">
        <v>16555</v>
      </c>
      <c r="AE2562" t="s">
        <v>3815</v>
      </c>
      <c r="AF2562" t="s">
        <v>20158</v>
      </c>
      <c r="AG2562" t="s">
        <v>6917</v>
      </c>
      <c r="AH2562" t="s">
        <v>8558</v>
      </c>
      <c r="AI2562" t="s">
        <v>9942</v>
      </c>
      <c r="AJ2562" t="s">
        <v>23024</v>
      </c>
      <c r="AK2562" t="s">
        <v>24282</v>
      </c>
      <c r="AL2562">
        <v>0.27</v>
      </c>
      <c r="AM2562">
        <v>0.23</v>
      </c>
      <c r="AN2562">
        <v>1.6</v>
      </c>
      <c r="AO2562" t="s">
        <v>3560</v>
      </c>
      <c r="AP2562" t="s">
        <v>352</v>
      </c>
      <c r="AQ2562" t="s">
        <v>3000</v>
      </c>
      <c r="AR2562" t="s">
        <v>2494</v>
      </c>
      <c r="AS2562" t="s">
        <v>1926</v>
      </c>
      <c r="AT2562" t="s">
        <v>4282</v>
      </c>
      <c r="AU2562" t="s">
        <v>125</v>
      </c>
      <c r="AV2562" t="s">
        <v>17277</v>
      </c>
      <c r="AW2562" t="s">
        <v>1174</v>
      </c>
      <c r="AX2562" t="s">
        <v>1104</v>
      </c>
      <c r="AY2562" t="s">
        <v>21201</v>
      </c>
      <c r="AZ2562" t="s">
        <v>13137</v>
      </c>
      <c r="BA2562">
        <v>1.27</v>
      </c>
      <c r="BB2562">
        <v>1085.27</v>
      </c>
      <c r="BC2562">
        <v>0.95</v>
      </c>
      <c r="BD2562">
        <v>15.67</v>
      </c>
      <c r="BE2562">
        <v>16.07</v>
      </c>
      <c r="BF2562">
        <v>15.64</v>
      </c>
      <c r="BG2562" t="s">
        <v>24283</v>
      </c>
      <c r="BH2562" t="s">
        <v>24284</v>
      </c>
      <c r="BI2562" t="s">
        <v>6902</v>
      </c>
      <c r="BJ2562" t="s">
        <v>101</v>
      </c>
      <c r="BK2562" t="s">
        <v>5424</v>
      </c>
      <c r="BL2562" t="s">
        <v>12863</v>
      </c>
      <c r="BM2562" t="s">
        <v>2361</v>
      </c>
      <c r="BN2562" t="s">
        <v>23454</v>
      </c>
    </row>
    <row r="2563" spans="1:66" x14ac:dyDescent="0.25">
      <c r="A2563" t="str">
        <f>HYPERLINK("https://elite.finviz.com/quote.ashx?t=SHW&amp;ty=c&amp;p=d&amp;b=1", "SHW")</f>
        <v>SHW</v>
      </c>
      <c r="B2563">
        <v>5</v>
      </c>
      <c r="C2563">
        <v>116.22</v>
      </c>
      <c r="D2563">
        <v>35.39</v>
      </c>
      <c r="E2563" t="s">
        <v>24285</v>
      </c>
      <c r="F2563" t="s">
        <v>1759</v>
      </c>
      <c r="G2563" t="s">
        <v>355</v>
      </c>
      <c r="H2563" t="s">
        <v>1147</v>
      </c>
      <c r="I2563" t="s">
        <v>70</v>
      </c>
      <c r="J2563" t="s">
        <v>71</v>
      </c>
      <c r="K2563">
        <v>84935.39</v>
      </c>
      <c r="L2563">
        <v>340.65</v>
      </c>
      <c r="M2563" t="s">
        <v>6156</v>
      </c>
      <c r="N2563">
        <v>205395</v>
      </c>
      <c r="O2563">
        <v>33.83</v>
      </c>
      <c r="P2563">
        <v>26.7</v>
      </c>
      <c r="Q2563">
        <v>3.94</v>
      </c>
      <c r="R2563">
        <v>3.68</v>
      </c>
      <c r="S2563">
        <v>19.3</v>
      </c>
      <c r="T2563" t="s">
        <v>3344</v>
      </c>
      <c r="U2563">
        <v>3.08</v>
      </c>
      <c r="V2563" t="s">
        <v>3046</v>
      </c>
      <c r="W2563" t="s">
        <v>4084</v>
      </c>
      <c r="X2563" t="s">
        <v>1078</v>
      </c>
      <c r="Y2563" t="s">
        <v>6087</v>
      </c>
      <c r="Z2563" t="s">
        <v>13604</v>
      </c>
      <c r="AA2563">
        <v>10.07</v>
      </c>
      <c r="AB2563" t="s">
        <v>7724</v>
      </c>
      <c r="AC2563" t="s">
        <v>10736</v>
      </c>
      <c r="AD2563" t="s">
        <v>7616</v>
      </c>
      <c r="AE2563" t="s">
        <v>698</v>
      </c>
      <c r="AF2563" t="s">
        <v>754</v>
      </c>
      <c r="AG2563" t="s">
        <v>3758</v>
      </c>
      <c r="AH2563" t="s">
        <v>8179</v>
      </c>
      <c r="AI2563" t="s">
        <v>6827</v>
      </c>
      <c r="AJ2563" t="s">
        <v>3598</v>
      </c>
      <c r="AK2563" t="s">
        <v>24286</v>
      </c>
      <c r="AL2563">
        <v>0.78</v>
      </c>
      <c r="AM2563">
        <v>0.48</v>
      </c>
      <c r="AN2563">
        <v>3.09</v>
      </c>
      <c r="AO2563" t="s">
        <v>24287</v>
      </c>
      <c r="AP2563" t="s">
        <v>9208</v>
      </c>
      <c r="AQ2563" t="s">
        <v>3553</v>
      </c>
      <c r="AR2563" t="s">
        <v>4881</v>
      </c>
      <c r="AS2563" t="s">
        <v>6493</v>
      </c>
      <c r="AT2563" t="s">
        <v>13232</v>
      </c>
      <c r="AU2563" t="s">
        <v>759</v>
      </c>
      <c r="AV2563" t="s">
        <v>9854</v>
      </c>
      <c r="AW2563" t="s">
        <v>18739</v>
      </c>
      <c r="AX2563" t="s">
        <v>3433</v>
      </c>
      <c r="AY2563" t="s">
        <v>2504</v>
      </c>
      <c r="AZ2563" t="s">
        <v>2579</v>
      </c>
      <c r="BA2563">
        <v>2.0699999999999998</v>
      </c>
      <c r="BB2563">
        <v>1873.81</v>
      </c>
      <c r="BC2563">
        <v>0.39</v>
      </c>
      <c r="BD2563">
        <v>340.1</v>
      </c>
      <c r="BE2563">
        <v>342.89</v>
      </c>
      <c r="BF2563">
        <v>340.11</v>
      </c>
      <c r="BG2563" t="s">
        <v>24288</v>
      </c>
      <c r="BH2563" t="s">
        <v>2504</v>
      </c>
      <c r="BI2563" t="s">
        <v>24289</v>
      </c>
      <c r="BJ2563" t="s">
        <v>101</v>
      </c>
      <c r="BK2563" t="s">
        <v>525</v>
      </c>
      <c r="BL2563" t="s">
        <v>298</v>
      </c>
      <c r="BM2563" t="s">
        <v>8722</v>
      </c>
      <c r="BN2563" t="s">
        <v>23454</v>
      </c>
    </row>
    <row r="2564" spans="1:66" x14ac:dyDescent="0.25">
      <c r="A2564" t="str">
        <f>HYPERLINK("https://elite.finviz.com/quote.ashx?t=PINS&amp;ty=c&amp;p=d&amp;b=1", "PINS")</f>
        <v>PINS</v>
      </c>
      <c r="B2564">
        <v>5</v>
      </c>
      <c r="C2564">
        <v>116.22</v>
      </c>
      <c r="D2564">
        <v>35.409999999999997</v>
      </c>
      <c r="E2564" t="s">
        <v>24290</v>
      </c>
      <c r="F2564" t="s">
        <v>107</v>
      </c>
      <c r="G2564" t="s">
        <v>598</v>
      </c>
      <c r="H2564" t="s">
        <v>599</v>
      </c>
      <c r="I2564" t="s">
        <v>70</v>
      </c>
      <c r="J2564" t="s">
        <v>71</v>
      </c>
      <c r="K2564">
        <v>22801.439999999999</v>
      </c>
      <c r="L2564">
        <v>33.53</v>
      </c>
      <c r="M2564" t="s">
        <v>4266</v>
      </c>
      <c r="N2564">
        <v>2646157</v>
      </c>
      <c r="O2564">
        <v>11.99</v>
      </c>
      <c r="P2564">
        <v>15.72</v>
      </c>
      <c r="Q2564">
        <v>0.48</v>
      </c>
      <c r="R2564">
        <v>5.84</v>
      </c>
      <c r="S2564">
        <v>4.7300000000000004</v>
      </c>
      <c r="Z2564" t="s">
        <v>164</v>
      </c>
      <c r="AA2564">
        <v>2.8</v>
      </c>
      <c r="AB2564" t="s">
        <v>24291</v>
      </c>
      <c r="AD2564" t="s">
        <v>7244</v>
      </c>
      <c r="AE2564" t="s">
        <v>2395</v>
      </c>
      <c r="AF2564" t="s">
        <v>4087</v>
      </c>
      <c r="AG2564" t="s">
        <v>3889</v>
      </c>
      <c r="AH2564" t="s">
        <v>6830</v>
      </c>
      <c r="AI2564" t="s">
        <v>134</v>
      </c>
      <c r="AJ2564" t="s">
        <v>9854</v>
      </c>
      <c r="AK2564" t="s">
        <v>15458</v>
      </c>
      <c r="AL2564">
        <v>8.76</v>
      </c>
      <c r="AM2564">
        <v>8.76</v>
      </c>
      <c r="AN2564">
        <v>0.03</v>
      </c>
      <c r="AO2564" t="s">
        <v>18025</v>
      </c>
      <c r="AP2564" t="s">
        <v>5336</v>
      </c>
      <c r="AQ2564" t="s">
        <v>24292</v>
      </c>
      <c r="AR2564" t="s">
        <v>162</v>
      </c>
      <c r="AS2564" t="s">
        <v>4294</v>
      </c>
      <c r="AT2564" t="s">
        <v>2355</v>
      </c>
      <c r="AU2564" t="s">
        <v>7954</v>
      </c>
      <c r="AV2564" t="s">
        <v>3169</v>
      </c>
      <c r="AW2564" t="s">
        <v>20311</v>
      </c>
      <c r="AX2564" t="s">
        <v>975</v>
      </c>
      <c r="AY2564" t="s">
        <v>8918</v>
      </c>
      <c r="AZ2564" t="s">
        <v>13969</v>
      </c>
      <c r="BA2564">
        <v>1.5</v>
      </c>
      <c r="BB2564">
        <v>9905.34</v>
      </c>
      <c r="BC2564">
        <v>0.94</v>
      </c>
      <c r="BD2564">
        <v>33.450000000000003</v>
      </c>
      <c r="BE2564">
        <v>34.119999999999997</v>
      </c>
      <c r="BF2564">
        <v>33.450000000000003</v>
      </c>
      <c r="BG2564" t="s">
        <v>24293</v>
      </c>
      <c r="BH2564" t="s">
        <v>14478</v>
      </c>
      <c r="BI2564" t="s">
        <v>24294</v>
      </c>
      <c r="BJ2564" t="s">
        <v>101</v>
      </c>
      <c r="BK2564" t="s">
        <v>8262</v>
      </c>
      <c r="BL2564" t="s">
        <v>289</v>
      </c>
      <c r="BM2564" t="s">
        <v>1496</v>
      </c>
      <c r="BN2564" t="s">
        <v>23454</v>
      </c>
    </row>
    <row r="2565" spans="1:66" x14ac:dyDescent="0.25">
      <c r="A2565" t="str">
        <f>HYPERLINK("https://elite.finviz.com/quote.ashx?t=SEZL&amp;ty=c&amp;p=d&amp;b=1", "SEZL")</f>
        <v>SEZL</v>
      </c>
      <c r="B2565">
        <v>5</v>
      </c>
      <c r="C2565">
        <v>116.22</v>
      </c>
      <c r="D2565">
        <v>35.409999999999997</v>
      </c>
      <c r="E2565" t="s">
        <v>24295</v>
      </c>
      <c r="F2565" t="s">
        <v>67</v>
      </c>
      <c r="G2565" t="s">
        <v>550</v>
      </c>
      <c r="H2565" t="s">
        <v>3744</v>
      </c>
      <c r="I2565" t="s">
        <v>70</v>
      </c>
      <c r="J2565" t="s">
        <v>321</v>
      </c>
      <c r="K2565">
        <v>2832.46</v>
      </c>
      <c r="L2565">
        <v>83.25</v>
      </c>
      <c r="M2565" t="s">
        <v>2518</v>
      </c>
      <c r="N2565">
        <v>112033</v>
      </c>
      <c r="O2565">
        <v>28.57</v>
      </c>
      <c r="P2565">
        <v>19.510000000000002</v>
      </c>
      <c r="Q2565">
        <v>0.67</v>
      </c>
      <c r="R2565">
        <v>7.62</v>
      </c>
      <c r="S2565">
        <v>21.71</v>
      </c>
      <c r="Z2565" t="s">
        <v>164</v>
      </c>
      <c r="AA2565">
        <v>2.91</v>
      </c>
      <c r="AD2565" t="s">
        <v>4310</v>
      </c>
      <c r="AE2565" t="s">
        <v>22794</v>
      </c>
      <c r="AF2565" t="s">
        <v>21338</v>
      </c>
      <c r="AG2565" t="s">
        <v>24296</v>
      </c>
      <c r="AH2565" t="s">
        <v>24297</v>
      </c>
      <c r="AI2565" t="s">
        <v>8982</v>
      </c>
      <c r="AJ2565" t="s">
        <v>4645</v>
      </c>
      <c r="AK2565" t="s">
        <v>2358</v>
      </c>
      <c r="AL2565">
        <v>3.51</v>
      </c>
      <c r="AM2565">
        <v>3.51</v>
      </c>
      <c r="AN2565">
        <v>1.01</v>
      </c>
      <c r="AO2565" t="s">
        <v>22698</v>
      </c>
      <c r="AP2565" t="s">
        <v>3932</v>
      </c>
      <c r="AQ2565" t="s">
        <v>2525</v>
      </c>
      <c r="AR2565" t="s">
        <v>3566</v>
      </c>
      <c r="AS2565" t="s">
        <v>1026</v>
      </c>
      <c r="AT2565" t="s">
        <v>15649</v>
      </c>
      <c r="AU2565" t="s">
        <v>3836</v>
      </c>
      <c r="AV2565" t="s">
        <v>1302</v>
      </c>
      <c r="AW2565" t="s">
        <v>24298</v>
      </c>
      <c r="AX2565" t="s">
        <v>2655</v>
      </c>
      <c r="AY2565" t="s">
        <v>14595</v>
      </c>
      <c r="AZ2565" t="s">
        <v>24299</v>
      </c>
      <c r="BA2565">
        <v>1.5</v>
      </c>
      <c r="BB2565">
        <v>1069.43</v>
      </c>
      <c r="BC2565">
        <v>0.37</v>
      </c>
      <c r="BD2565">
        <v>84.27</v>
      </c>
      <c r="BE2565">
        <v>84.65</v>
      </c>
      <c r="BF2565">
        <v>82.8</v>
      </c>
      <c r="BG2565" t="s">
        <v>24300</v>
      </c>
      <c r="BH2565" t="s">
        <v>14595</v>
      </c>
      <c r="BI2565" t="s">
        <v>24301</v>
      </c>
      <c r="BJ2565" t="s">
        <v>101</v>
      </c>
      <c r="BK2565" t="s">
        <v>19689</v>
      </c>
      <c r="BL2565" t="s">
        <v>24302</v>
      </c>
      <c r="BM2565" t="s">
        <v>24303</v>
      </c>
      <c r="BN2565" t="s">
        <v>23454</v>
      </c>
    </row>
    <row r="2566" spans="1:66" x14ac:dyDescent="0.25">
      <c r="A2566" t="str">
        <f>HYPERLINK("https://elite.finviz.com/quote.ashx?t=AKBA&amp;ty=c&amp;p=d&amp;b=1", "AKBA")</f>
        <v>AKBA</v>
      </c>
      <c r="B2566">
        <v>5</v>
      </c>
      <c r="C2566">
        <v>116.22</v>
      </c>
      <c r="D2566">
        <v>35.49</v>
      </c>
      <c r="E2566" t="s">
        <v>24304</v>
      </c>
      <c r="F2566" t="s">
        <v>67</v>
      </c>
      <c r="G2566" t="s">
        <v>428</v>
      </c>
      <c r="H2566" t="s">
        <v>1296</v>
      </c>
      <c r="I2566" t="s">
        <v>70</v>
      </c>
      <c r="J2566" t="s">
        <v>321</v>
      </c>
      <c r="K2566">
        <v>716.07</v>
      </c>
      <c r="L2566">
        <v>2.7</v>
      </c>
      <c r="M2566" t="s">
        <v>9925</v>
      </c>
      <c r="N2566">
        <v>396318</v>
      </c>
      <c r="P2566">
        <v>28.73</v>
      </c>
      <c r="R2566">
        <v>3.51</v>
      </c>
      <c r="S2566">
        <v>24.31</v>
      </c>
      <c r="AA2566">
        <v>-0.17</v>
      </c>
      <c r="AB2566" t="s">
        <v>24305</v>
      </c>
      <c r="AC2566" t="s">
        <v>19613</v>
      </c>
      <c r="AE2566" t="s">
        <v>13459</v>
      </c>
      <c r="AF2566" t="s">
        <v>16666</v>
      </c>
      <c r="AG2566" t="s">
        <v>14764</v>
      </c>
      <c r="AH2566" t="s">
        <v>14900</v>
      </c>
      <c r="AI2566" t="s">
        <v>1647</v>
      </c>
      <c r="AJ2566" t="s">
        <v>5777</v>
      </c>
      <c r="AK2566" t="s">
        <v>6398</v>
      </c>
      <c r="AL2566">
        <v>1.98</v>
      </c>
      <c r="AM2566">
        <v>1.84</v>
      </c>
      <c r="AN2566">
        <v>7.21</v>
      </c>
      <c r="AO2566" t="s">
        <v>13098</v>
      </c>
      <c r="AP2566" t="s">
        <v>6719</v>
      </c>
      <c r="AQ2566" t="s">
        <v>20462</v>
      </c>
      <c r="AR2566" t="s">
        <v>3469</v>
      </c>
      <c r="AS2566" t="s">
        <v>8229</v>
      </c>
      <c r="AT2566" t="s">
        <v>11153</v>
      </c>
      <c r="AU2566" t="s">
        <v>658</v>
      </c>
      <c r="AV2566" t="s">
        <v>2219</v>
      </c>
      <c r="AW2566" t="s">
        <v>24306</v>
      </c>
      <c r="AX2566" t="s">
        <v>2423</v>
      </c>
      <c r="AY2566" t="s">
        <v>735</v>
      </c>
      <c r="AZ2566" t="s">
        <v>24307</v>
      </c>
      <c r="BA2566">
        <v>1</v>
      </c>
      <c r="BB2566">
        <v>3790.64</v>
      </c>
      <c r="BC2566">
        <v>0.37</v>
      </c>
      <c r="BD2566">
        <v>2.71</v>
      </c>
      <c r="BE2566">
        <v>2.73</v>
      </c>
      <c r="BF2566">
        <v>2.67</v>
      </c>
      <c r="BG2566" t="s">
        <v>24308</v>
      </c>
      <c r="BH2566" t="s">
        <v>8172</v>
      </c>
      <c r="BI2566" t="s">
        <v>24309</v>
      </c>
      <c r="BJ2566" t="s">
        <v>101</v>
      </c>
      <c r="BK2566" t="s">
        <v>11460</v>
      </c>
      <c r="BL2566" t="s">
        <v>10230</v>
      </c>
      <c r="BM2566" t="s">
        <v>24310</v>
      </c>
      <c r="BN2566" t="s">
        <v>23454</v>
      </c>
    </row>
    <row r="2567" spans="1:66" x14ac:dyDescent="0.25">
      <c r="A2567" t="str">
        <f>HYPERLINK("https://elite.finviz.com/quote.ashx?t=TSCO&amp;ty=c&amp;p=d&amp;b=1", "TSCO")</f>
        <v>TSCO</v>
      </c>
      <c r="B2567">
        <v>5</v>
      </c>
      <c r="C2567">
        <v>116.22</v>
      </c>
      <c r="D2567">
        <v>35.51</v>
      </c>
      <c r="E2567" t="s">
        <v>24311</v>
      </c>
      <c r="F2567" t="s">
        <v>195</v>
      </c>
      <c r="G2567" t="s">
        <v>813</v>
      </c>
      <c r="H2567" t="s">
        <v>2262</v>
      </c>
      <c r="I2567" t="s">
        <v>70</v>
      </c>
      <c r="J2567" t="s">
        <v>321</v>
      </c>
      <c r="K2567">
        <v>29963.52</v>
      </c>
      <c r="L2567">
        <v>56.54</v>
      </c>
      <c r="M2567" t="s">
        <v>497</v>
      </c>
      <c r="N2567">
        <v>474256</v>
      </c>
      <c r="O2567">
        <v>27.81</v>
      </c>
      <c r="P2567">
        <v>24.27</v>
      </c>
      <c r="Q2567">
        <v>3.38</v>
      </c>
      <c r="R2567">
        <v>1.98</v>
      </c>
      <c r="S2567">
        <v>12.03</v>
      </c>
      <c r="T2567" t="s">
        <v>2186</v>
      </c>
      <c r="U2567">
        <v>0.91</v>
      </c>
      <c r="V2567" t="s">
        <v>10943</v>
      </c>
      <c r="W2567" t="s">
        <v>5150</v>
      </c>
      <c r="X2567" t="s">
        <v>11424</v>
      </c>
      <c r="Y2567" t="s">
        <v>13359</v>
      </c>
      <c r="Z2567" t="s">
        <v>12159</v>
      </c>
      <c r="AA2567">
        <v>2.0299999999999998</v>
      </c>
      <c r="AB2567" t="s">
        <v>2581</v>
      </c>
      <c r="AC2567" t="s">
        <v>10252</v>
      </c>
      <c r="AD2567" t="s">
        <v>2848</v>
      </c>
      <c r="AE2567" t="s">
        <v>7154</v>
      </c>
      <c r="AF2567" t="s">
        <v>4428</v>
      </c>
      <c r="AG2567" t="s">
        <v>4087</v>
      </c>
      <c r="AH2567" t="s">
        <v>4104</v>
      </c>
      <c r="AI2567" t="s">
        <v>3447</v>
      </c>
      <c r="AJ2567" t="s">
        <v>24312</v>
      </c>
      <c r="AK2567" t="s">
        <v>20905</v>
      </c>
      <c r="AL2567">
        <v>1.28</v>
      </c>
      <c r="AM2567">
        <v>0.16</v>
      </c>
      <c r="AN2567">
        <v>2.23</v>
      </c>
      <c r="AO2567" t="s">
        <v>1266</v>
      </c>
      <c r="AP2567" t="s">
        <v>2635</v>
      </c>
      <c r="AQ2567" t="s">
        <v>3121</v>
      </c>
      <c r="AR2567" t="s">
        <v>2424</v>
      </c>
      <c r="AS2567" t="s">
        <v>909</v>
      </c>
      <c r="AT2567" t="s">
        <v>5264</v>
      </c>
      <c r="AU2567" t="s">
        <v>11567</v>
      </c>
      <c r="AV2567" t="s">
        <v>2892</v>
      </c>
      <c r="AW2567" t="s">
        <v>4722</v>
      </c>
      <c r="AX2567" t="s">
        <v>2609</v>
      </c>
      <c r="AY2567" t="s">
        <v>4722</v>
      </c>
      <c r="AZ2567" t="s">
        <v>13016</v>
      </c>
      <c r="BA2567">
        <v>2.2599999999999998</v>
      </c>
      <c r="BB2567">
        <v>5084.96</v>
      </c>
      <c r="BC2567">
        <v>0.33</v>
      </c>
      <c r="BD2567">
        <v>56.42</v>
      </c>
      <c r="BE2567">
        <v>56.81</v>
      </c>
      <c r="BF2567">
        <v>56.2</v>
      </c>
      <c r="BG2567" t="s">
        <v>24313</v>
      </c>
      <c r="BH2567" t="s">
        <v>4722</v>
      </c>
      <c r="BI2567" t="s">
        <v>24314</v>
      </c>
      <c r="BJ2567" t="s">
        <v>101</v>
      </c>
      <c r="BK2567" t="s">
        <v>9789</v>
      </c>
      <c r="BL2567" t="s">
        <v>5026</v>
      </c>
      <c r="BM2567" t="s">
        <v>4267</v>
      </c>
      <c r="BN2567" t="s">
        <v>23454</v>
      </c>
    </row>
    <row r="2568" spans="1:66" x14ac:dyDescent="0.25">
      <c r="A2568" t="str">
        <f>HYPERLINK("https://elite.finviz.com/quote.ashx?t=KO&amp;ty=c&amp;p=d&amp;b=1", "KO")</f>
        <v>KO</v>
      </c>
      <c r="B2568">
        <v>5</v>
      </c>
      <c r="C2568">
        <v>116.22</v>
      </c>
      <c r="D2568">
        <v>35.51</v>
      </c>
      <c r="E2568" t="s">
        <v>24315</v>
      </c>
      <c r="F2568" t="s">
        <v>1759</v>
      </c>
      <c r="G2568" t="s">
        <v>2244</v>
      </c>
      <c r="H2568" t="s">
        <v>4568</v>
      </c>
      <c r="I2568" t="s">
        <v>70</v>
      </c>
      <c r="J2568" t="s">
        <v>71</v>
      </c>
      <c r="K2568">
        <v>284192.69</v>
      </c>
      <c r="L2568">
        <v>66.040000000000006</v>
      </c>
      <c r="M2568" t="s">
        <v>4539</v>
      </c>
      <c r="N2568">
        <v>3118027</v>
      </c>
      <c r="O2568">
        <v>23.4</v>
      </c>
      <c r="P2568">
        <v>20.56</v>
      </c>
      <c r="Q2568">
        <v>3.79</v>
      </c>
      <c r="R2568">
        <v>6.04</v>
      </c>
      <c r="S2568">
        <v>9.94</v>
      </c>
      <c r="T2568" t="s">
        <v>5188</v>
      </c>
      <c r="U2568">
        <v>2.02</v>
      </c>
      <c r="V2568" t="s">
        <v>3833</v>
      </c>
      <c r="W2568" t="s">
        <v>5591</v>
      </c>
      <c r="X2568" t="s">
        <v>5163</v>
      </c>
      <c r="Y2568" t="s">
        <v>3334</v>
      </c>
      <c r="Z2568" t="s">
        <v>15116</v>
      </c>
      <c r="AA2568">
        <v>2.82</v>
      </c>
      <c r="AB2568" t="s">
        <v>295</v>
      </c>
      <c r="AC2568" t="s">
        <v>3205</v>
      </c>
      <c r="AD2568" t="s">
        <v>2839</v>
      </c>
      <c r="AE2568" t="s">
        <v>2185</v>
      </c>
      <c r="AF2568" t="s">
        <v>10237</v>
      </c>
      <c r="AG2568" t="s">
        <v>5685</v>
      </c>
      <c r="AH2568" t="s">
        <v>4677</v>
      </c>
      <c r="AI2568" t="s">
        <v>6936</v>
      </c>
      <c r="AJ2568" t="s">
        <v>3937</v>
      </c>
      <c r="AK2568" t="s">
        <v>2347</v>
      </c>
      <c r="AL2568">
        <v>1.21</v>
      </c>
      <c r="AM2568">
        <v>0.98</v>
      </c>
      <c r="AN2568">
        <v>1.73</v>
      </c>
      <c r="AO2568" t="s">
        <v>24316</v>
      </c>
      <c r="AP2568" t="s">
        <v>13929</v>
      </c>
      <c r="AQ2568" t="s">
        <v>3750</v>
      </c>
      <c r="AR2568" t="s">
        <v>6732</v>
      </c>
      <c r="AS2568" t="s">
        <v>5380</v>
      </c>
      <c r="AT2568" t="s">
        <v>4149</v>
      </c>
      <c r="AU2568" t="s">
        <v>11661</v>
      </c>
      <c r="AV2568" t="s">
        <v>1727</v>
      </c>
      <c r="AW2568" t="s">
        <v>2467</v>
      </c>
      <c r="AX2568" t="s">
        <v>1083</v>
      </c>
      <c r="AY2568" t="s">
        <v>16624</v>
      </c>
      <c r="AZ2568" t="s">
        <v>6272</v>
      </c>
      <c r="BA2568">
        <v>1.5</v>
      </c>
      <c r="BB2568">
        <v>16036.65</v>
      </c>
      <c r="BC2568">
        <v>0.68</v>
      </c>
      <c r="BD2568">
        <v>65.98</v>
      </c>
      <c r="BE2568">
        <v>66.33</v>
      </c>
      <c r="BF2568">
        <v>65.98</v>
      </c>
      <c r="BG2568" t="s">
        <v>24317</v>
      </c>
      <c r="BH2568" t="s">
        <v>16624</v>
      </c>
      <c r="BI2568" t="s">
        <v>24318</v>
      </c>
      <c r="BJ2568" t="s">
        <v>101</v>
      </c>
      <c r="BK2568" t="s">
        <v>5748</v>
      </c>
      <c r="BL2568" t="s">
        <v>4122</v>
      </c>
      <c r="BM2568" t="s">
        <v>502</v>
      </c>
      <c r="BN2568" t="s">
        <v>23454</v>
      </c>
    </row>
    <row r="2569" spans="1:66" x14ac:dyDescent="0.25">
      <c r="A2569" t="str">
        <f>HYPERLINK("https://elite.finviz.com/quote.ashx?t=UTZ&amp;ty=c&amp;p=d&amp;b=1", "UTZ")</f>
        <v>UTZ</v>
      </c>
      <c r="B2569">
        <v>5</v>
      </c>
      <c r="C2569">
        <v>116.22</v>
      </c>
      <c r="D2569">
        <v>35.53</v>
      </c>
      <c r="E2569" t="s">
        <v>24319</v>
      </c>
      <c r="F2569" t="s">
        <v>67</v>
      </c>
      <c r="G2569" t="s">
        <v>2244</v>
      </c>
      <c r="H2569" t="s">
        <v>3269</v>
      </c>
      <c r="I2569" t="s">
        <v>70</v>
      </c>
      <c r="J2569" t="s">
        <v>71</v>
      </c>
      <c r="K2569">
        <v>1719.84</v>
      </c>
      <c r="L2569">
        <v>12.15</v>
      </c>
      <c r="M2569" t="s">
        <v>1022</v>
      </c>
      <c r="N2569">
        <v>148151</v>
      </c>
      <c r="O2569">
        <v>59.12</v>
      </c>
      <c r="P2569">
        <v>13.26</v>
      </c>
      <c r="Q2569">
        <v>6.28</v>
      </c>
      <c r="R2569">
        <v>1.21</v>
      </c>
      <c r="S2569">
        <v>1.43</v>
      </c>
      <c r="T2569" t="s">
        <v>4267</v>
      </c>
      <c r="U2569">
        <v>0.24</v>
      </c>
      <c r="V2569" t="s">
        <v>3833</v>
      </c>
      <c r="W2569" t="s">
        <v>3520</v>
      </c>
      <c r="X2569" t="s">
        <v>6593</v>
      </c>
      <c r="Z2569" t="s">
        <v>23918</v>
      </c>
      <c r="AA2569">
        <v>0.21</v>
      </c>
      <c r="AB2569" t="s">
        <v>5559</v>
      </c>
      <c r="AC2569" t="s">
        <v>892</v>
      </c>
      <c r="AD2569" t="s">
        <v>3147</v>
      </c>
      <c r="AE2569" t="s">
        <v>6192</v>
      </c>
      <c r="AF2569" t="s">
        <v>1204</v>
      </c>
      <c r="AH2569" t="s">
        <v>5132</v>
      </c>
      <c r="AI2569" t="s">
        <v>2012</v>
      </c>
      <c r="AJ2569" t="s">
        <v>3358</v>
      </c>
      <c r="AK2569" t="s">
        <v>22645</v>
      </c>
      <c r="AL2569">
        <v>1.29</v>
      </c>
      <c r="AM2569">
        <v>0.87</v>
      </c>
      <c r="AN2569">
        <v>1.44</v>
      </c>
      <c r="AO2569" t="s">
        <v>4208</v>
      </c>
      <c r="AP2569" t="s">
        <v>3036</v>
      </c>
      <c r="AQ2569" t="s">
        <v>5745</v>
      </c>
      <c r="AR2569" t="s">
        <v>4569</v>
      </c>
      <c r="AS2569" t="s">
        <v>648</v>
      </c>
      <c r="AT2569" t="s">
        <v>8506</v>
      </c>
      <c r="AU2569" t="s">
        <v>4053</v>
      </c>
      <c r="AV2569" t="s">
        <v>4284</v>
      </c>
      <c r="AW2569" t="s">
        <v>251</v>
      </c>
      <c r="AX2569" t="s">
        <v>6726</v>
      </c>
      <c r="AY2569" t="s">
        <v>20509</v>
      </c>
      <c r="AZ2569" t="s">
        <v>2580</v>
      </c>
      <c r="BA2569">
        <v>1.64</v>
      </c>
      <c r="BB2569">
        <v>1016.84</v>
      </c>
      <c r="BC2569">
        <v>0.51</v>
      </c>
      <c r="BD2569">
        <v>12.07</v>
      </c>
      <c r="BE2569">
        <v>12.24</v>
      </c>
      <c r="BF2569">
        <v>12.08</v>
      </c>
      <c r="BG2569" t="s">
        <v>24320</v>
      </c>
      <c r="BH2569" t="s">
        <v>24321</v>
      </c>
      <c r="BI2569" t="s">
        <v>1045</v>
      </c>
      <c r="BJ2569" t="s">
        <v>101</v>
      </c>
      <c r="BK2569" t="s">
        <v>6137</v>
      </c>
      <c r="BL2569" t="s">
        <v>17856</v>
      </c>
      <c r="BM2569" t="s">
        <v>24322</v>
      </c>
      <c r="BN2569" t="s">
        <v>23454</v>
      </c>
    </row>
    <row r="2570" spans="1:66" x14ac:dyDescent="0.25">
      <c r="A2570" t="str">
        <f>HYPERLINK("https://elite.finviz.com/quote.ashx?t=FLG&amp;ty=c&amp;p=d&amp;b=1", "FLG")</f>
        <v>FLG</v>
      </c>
      <c r="B2570">
        <v>5</v>
      </c>
      <c r="C2570">
        <v>116.22</v>
      </c>
      <c r="D2570">
        <v>35.54</v>
      </c>
      <c r="E2570" t="s">
        <v>24323</v>
      </c>
      <c r="F2570" t="s">
        <v>67</v>
      </c>
      <c r="G2570" t="s">
        <v>550</v>
      </c>
      <c r="H2570" t="s">
        <v>697</v>
      </c>
      <c r="I2570" t="s">
        <v>70</v>
      </c>
      <c r="J2570" t="s">
        <v>71</v>
      </c>
      <c r="K2570">
        <v>4797.6499999999996</v>
      </c>
      <c r="L2570">
        <v>11.55</v>
      </c>
      <c r="M2570" t="s">
        <v>3227</v>
      </c>
      <c r="N2570">
        <v>823309</v>
      </c>
      <c r="P2570">
        <v>18.579999999999998</v>
      </c>
      <c r="R2570">
        <v>0.85</v>
      </c>
      <c r="S2570">
        <v>0.63</v>
      </c>
      <c r="T2570" t="s">
        <v>141</v>
      </c>
      <c r="U2570">
        <v>0.04</v>
      </c>
      <c r="V2570" t="s">
        <v>4548</v>
      </c>
      <c r="W2570" t="s">
        <v>24324</v>
      </c>
      <c r="X2570" t="s">
        <v>24325</v>
      </c>
      <c r="Y2570" t="s">
        <v>24326</v>
      </c>
      <c r="AA2570">
        <v>-1.71</v>
      </c>
      <c r="AE2570" t="s">
        <v>20524</v>
      </c>
      <c r="AF2570" t="s">
        <v>21461</v>
      </c>
      <c r="AG2570" t="s">
        <v>2935</v>
      </c>
      <c r="AH2570" t="s">
        <v>15122</v>
      </c>
      <c r="AI2570" t="s">
        <v>24327</v>
      </c>
      <c r="AJ2570" t="s">
        <v>164</v>
      </c>
      <c r="AK2570" t="s">
        <v>12615</v>
      </c>
      <c r="AL2570">
        <v>0.57999999999999996</v>
      </c>
      <c r="AN2570">
        <v>1.68</v>
      </c>
      <c r="AP2570" t="s">
        <v>15315</v>
      </c>
      <c r="AQ2570" t="s">
        <v>18364</v>
      </c>
      <c r="AR2570" t="s">
        <v>2333</v>
      </c>
      <c r="AS2570" t="s">
        <v>715</v>
      </c>
      <c r="AT2570" t="s">
        <v>134</v>
      </c>
      <c r="AU2570" t="s">
        <v>8058</v>
      </c>
      <c r="AV2570" t="s">
        <v>6478</v>
      </c>
      <c r="AW2570" t="s">
        <v>20524</v>
      </c>
      <c r="AX2570" t="s">
        <v>8164</v>
      </c>
      <c r="AY2570" t="s">
        <v>12206</v>
      </c>
      <c r="AZ2570" t="s">
        <v>24328</v>
      </c>
      <c r="BA2570">
        <v>2.3199999999999998</v>
      </c>
      <c r="BB2570">
        <v>6078.41</v>
      </c>
      <c r="BC2570">
        <v>0.48</v>
      </c>
      <c r="BD2570">
        <v>11.55</v>
      </c>
      <c r="BE2570">
        <v>11.65</v>
      </c>
      <c r="BF2570">
        <v>11.51</v>
      </c>
      <c r="BG2570" t="s">
        <v>24329</v>
      </c>
      <c r="BH2570" t="s">
        <v>24330</v>
      </c>
      <c r="BI2570" t="s">
        <v>24331</v>
      </c>
      <c r="BJ2570" t="s">
        <v>101</v>
      </c>
      <c r="BK2570" t="s">
        <v>9703</v>
      </c>
      <c r="BL2570" t="s">
        <v>10958</v>
      </c>
      <c r="BM2570" t="s">
        <v>3983</v>
      </c>
      <c r="BN2570" t="s">
        <v>23454</v>
      </c>
    </row>
    <row r="2571" spans="1:66" x14ac:dyDescent="0.25">
      <c r="A2571" t="str">
        <f>HYPERLINK("https://elite.finviz.com/quote.ashx?t=HUM&amp;ty=c&amp;p=d&amp;b=1", "HUM")</f>
        <v>HUM</v>
      </c>
      <c r="B2571">
        <v>5</v>
      </c>
      <c r="C2571">
        <v>116.22</v>
      </c>
      <c r="D2571">
        <v>35.549999999999997</v>
      </c>
      <c r="E2571" t="s">
        <v>24332</v>
      </c>
      <c r="F2571" t="s">
        <v>195</v>
      </c>
      <c r="G2571" t="s">
        <v>428</v>
      </c>
      <c r="H2571" t="s">
        <v>7264</v>
      </c>
      <c r="I2571" t="s">
        <v>70</v>
      </c>
      <c r="J2571" t="s">
        <v>71</v>
      </c>
      <c r="K2571">
        <v>30592.94</v>
      </c>
      <c r="L2571">
        <v>254.37</v>
      </c>
      <c r="M2571" t="s">
        <v>3598</v>
      </c>
      <c r="N2571">
        <v>240262</v>
      </c>
      <c r="O2571">
        <v>19.52</v>
      </c>
      <c r="P2571">
        <v>18.600000000000001</v>
      </c>
      <c r="Q2571">
        <v>1.97</v>
      </c>
      <c r="R2571">
        <v>0.25</v>
      </c>
      <c r="S2571">
        <v>1.68</v>
      </c>
      <c r="T2571" t="s">
        <v>3550</v>
      </c>
      <c r="U2571">
        <v>3.54</v>
      </c>
      <c r="V2571" t="s">
        <v>4741</v>
      </c>
      <c r="W2571" t="s">
        <v>164</v>
      </c>
      <c r="X2571" t="s">
        <v>6791</v>
      </c>
      <c r="Y2571" t="s">
        <v>6344</v>
      </c>
      <c r="Z2571" t="s">
        <v>10664</v>
      </c>
      <c r="AA2571">
        <v>13.03</v>
      </c>
      <c r="AB2571" t="s">
        <v>14823</v>
      </c>
      <c r="AC2571" t="s">
        <v>18298</v>
      </c>
      <c r="AD2571" t="s">
        <v>230</v>
      </c>
      <c r="AE2571" t="s">
        <v>341</v>
      </c>
      <c r="AF2571" t="s">
        <v>9196</v>
      </c>
      <c r="AG2571" t="s">
        <v>333</v>
      </c>
      <c r="AH2571" t="s">
        <v>127</v>
      </c>
      <c r="AI2571" t="s">
        <v>1496</v>
      </c>
      <c r="AJ2571" t="s">
        <v>3208</v>
      </c>
      <c r="AK2571" t="s">
        <v>1494</v>
      </c>
      <c r="AL2571">
        <v>1.95</v>
      </c>
      <c r="AN2571">
        <v>0.69</v>
      </c>
      <c r="AP2571" t="s">
        <v>4976</v>
      </c>
      <c r="AQ2571" t="s">
        <v>5158</v>
      </c>
      <c r="AR2571" t="s">
        <v>2494</v>
      </c>
      <c r="AS2571" t="s">
        <v>749</v>
      </c>
      <c r="AT2571" t="s">
        <v>16256</v>
      </c>
      <c r="AU2571" t="s">
        <v>2593</v>
      </c>
      <c r="AV2571" t="s">
        <v>7272</v>
      </c>
      <c r="AW2571" t="s">
        <v>3165</v>
      </c>
      <c r="AX2571" t="s">
        <v>3241</v>
      </c>
      <c r="AY2571" t="s">
        <v>23137</v>
      </c>
      <c r="AZ2571" t="s">
        <v>3241</v>
      </c>
      <c r="BA2571">
        <v>2.46</v>
      </c>
      <c r="BB2571">
        <v>1791.35</v>
      </c>
      <c r="BC2571">
        <v>0.47</v>
      </c>
      <c r="BD2571">
        <v>254.43</v>
      </c>
      <c r="BE2571">
        <v>256.95999999999998</v>
      </c>
      <c r="BF2571">
        <v>254.06</v>
      </c>
      <c r="BG2571" t="s">
        <v>24333</v>
      </c>
      <c r="BH2571" t="s">
        <v>24334</v>
      </c>
      <c r="BI2571" t="s">
        <v>24335</v>
      </c>
      <c r="BJ2571" t="s">
        <v>101</v>
      </c>
      <c r="BK2571" t="s">
        <v>322</v>
      </c>
      <c r="BL2571" t="s">
        <v>10546</v>
      </c>
      <c r="BM2571" t="s">
        <v>9578</v>
      </c>
      <c r="BN2571" t="s">
        <v>23454</v>
      </c>
    </row>
    <row r="2572" spans="1:66" x14ac:dyDescent="0.25">
      <c r="A2572" t="str">
        <f>HYPERLINK("https://elite.finviz.com/quote.ashx?t=CL&amp;ty=c&amp;p=d&amp;b=1", "CL")</f>
        <v>CL</v>
      </c>
      <c r="B2572">
        <v>5</v>
      </c>
      <c r="C2572">
        <v>116.22</v>
      </c>
      <c r="D2572">
        <v>35.67</v>
      </c>
      <c r="E2572" t="s">
        <v>24336</v>
      </c>
      <c r="F2572" t="s">
        <v>195</v>
      </c>
      <c r="G2572" t="s">
        <v>2244</v>
      </c>
      <c r="H2572" t="s">
        <v>5311</v>
      </c>
      <c r="I2572" t="s">
        <v>70</v>
      </c>
      <c r="J2572" t="s">
        <v>71</v>
      </c>
      <c r="K2572">
        <v>64390.95</v>
      </c>
      <c r="L2572">
        <v>79.67</v>
      </c>
      <c r="M2572" t="s">
        <v>3227</v>
      </c>
      <c r="N2572">
        <v>1245762</v>
      </c>
      <c r="O2572">
        <v>22.39</v>
      </c>
      <c r="P2572">
        <v>20.28</v>
      </c>
      <c r="Q2572">
        <v>4.1100000000000003</v>
      </c>
      <c r="R2572">
        <v>3.22</v>
      </c>
      <c r="S2572">
        <v>91.73</v>
      </c>
      <c r="T2572" t="s">
        <v>2273</v>
      </c>
      <c r="U2572">
        <v>2.04</v>
      </c>
      <c r="V2572" t="s">
        <v>3662</v>
      </c>
      <c r="W2572" t="s">
        <v>2494</v>
      </c>
      <c r="X2572" t="s">
        <v>5369</v>
      </c>
      <c r="Y2572" t="s">
        <v>304</v>
      </c>
      <c r="Z2572" t="s">
        <v>24337</v>
      </c>
      <c r="AA2572">
        <v>3.56</v>
      </c>
      <c r="AB2572" t="s">
        <v>6076</v>
      </c>
      <c r="AC2572" t="s">
        <v>2732</v>
      </c>
      <c r="AD2572" t="s">
        <v>3435</v>
      </c>
      <c r="AE2572" t="s">
        <v>4237</v>
      </c>
      <c r="AF2572" t="s">
        <v>585</v>
      </c>
      <c r="AG2572" t="s">
        <v>3855</v>
      </c>
      <c r="AH2572" t="s">
        <v>2144</v>
      </c>
      <c r="AI2572" t="s">
        <v>387</v>
      </c>
      <c r="AJ2572" t="s">
        <v>1998</v>
      </c>
      <c r="AK2572" t="s">
        <v>4964</v>
      </c>
      <c r="AL2572">
        <v>0.89</v>
      </c>
      <c r="AM2572">
        <v>0.56999999999999995</v>
      </c>
      <c r="AN2572">
        <v>12.48</v>
      </c>
      <c r="AO2572" t="s">
        <v>22590</v>
      </c>
      <c r="AP2572" t="s">
        <v>7303</v>
      </c>
      <c r="AQ2572" t="s">
        <v>4666</v>
      </c>
      <c r="AR2572" t="s">
        <v>3671</v>
      </c>
      <c r="AS2572" t="s">
        <v>3757</v>
      </c>
      <c r="AT2572" t="s">
        <v>5356</v>
      </c>
      <c r="AU2572" t="s">
        <v>8004</v>
      </c>
      <c r="AV2572" t="s">
        <v>7543</v>
      </c>
      <c r="AW2572" t="s">
        <v>4217</v>
      </c>
      <c r="AX2572" t="s">
        <v>5166</v>
      </c>
      <c r="AY2572" t="s">
        <v>9245</v>
      </c>
      <c r="AZ2572" t="s">
        <v>5166</v>
      </c>
      <c r="BA2572">
        <v>2.0499999999999998</v>
      </c>
      <c r="BB2572">
        <v>5107.08</v>
      </c>
      <c r="BC2572">
        <v>0.86</v>
      </c>
      <c r="BD2572">
        <v>79.7</v>
      </c>
      <c r="BE2572">
        <v>79.959999999999994</v>
      </c>
      <c r="BF2572">
        <v>79.28</v>
      </c>
      <c r="BG2572" t="s">
        <v>24338</v>
      </c>
      <c r="BH2572" t="s">
        <v>24339</v>
      </c>
      <c r="BI2572" t="s">
        <v>24340</v>
      </c>
      <c r="BJ2572" t="s">
        <v>101</v>
      </c>
      <c r="BK2572" t="s">
        <v>12128</v>
      </c>
      <c r="BL2572" t="s">
        <v>24341</v>
      </c>
      <c r="BM2572" t="s">
        <v>24342</v>
      </c>
      <c r="BN2572" t="s">
        <v>23454</v>
      </c>
    </row>
    <row r="2573" spans="1:66" x14ac:dyDescent="0.25">
      <c r="A2573" t="str">
        <f>HYPERLINK("https://elite.finviz.com/quote.ashx?t=GOVX&amp;ty=c&amp;p=d&amp;b=1", "GOVX")</f>
        <v>GOVX</v>
      </c>
      <c r="B2573">
        <v>5</v>
      </c>
      <c r="C2573">
        <v>116.22</v>
      </c>
      <c r="D2573">
        <v>35.729999999999997</v>
      </c>
      <c r="E2573" t="s">
        <v>24343</v>
      </c>
      <c r="F2573" t="s">
        <v>107</v>
      </c>
      <c r="G2573" t="s">
        <v>428</v>
      </c>
      <c r="H2573" t="s">
        <v>429</v>
      </c>
      <c r="I2573" t="s">
        <v>70</v>
      </c>
      <c r="J2573" t="s">
        <v>321</v>
      </c>
      <c r="K2573">
        <v>16.25</v>
      </c>
      <c r="L2573">
        <v>0.64</v>
      </c>
      <c r="M2573" t="s">
        <v>2215</v>
      </c>
      <c r="N2573">
        <v>92769</v>
      </c>
      <c r="R2573">
        <v>2.65</v>
      </c>
      <c r="S2573">
        <v>3.62</v>
      </c>
      <c r="AA2573">
        <v>-2.4900000000000002</v>
      </c>
      <c r="AB2573" t="s">
        <v>11614</v>
      </c>
      <c r="AC2573" t="s">
        <v>24344</v>
      </c>
      <c r="AE2573" t="s">
        <v>24345</v>
      </c>
      <c r="AF2573" t="s">
        <v>13955</v>
      </c>
      <c r="AG2573" t="s">
        <v>1398</v>
      </c>
      <c r="AH2573" t="s">
        <v>24346</v>
      </c>
      <c r="AI2573" t="s">
        <v>4086</v>
      </c>
      <c r="AJ2573" t="s">
        <v>8582</v>
      </c>
      <c r="AK2573" t="s">
        <v>4293</v>
      </c>
      <c r="AL2573">
        <v>2.0299999999999998</v>
      </c>
      <c r="AM2573">
        <v>2.0299999999999998</v>
      </c>
      <c r="AN2573">
        <v>0</v>
      </c>
      <c r="AO2573" t="s">
        <v>24347</v>
      </c>
      <c r="AP2573" t="s">
        <v>24348</v>
      </c>
      <c r="AQ2573" t="s">
        <v>24349</v>
      </c>
      <c r="AR2573" t="s">
        <v>6674</v>
      </c>
      <c r="AS2573" t="s">
        <v>2777</v>
      </c>
      <c r="AT2573" t="s">
        <v>12921</v>
      </c>
      <c r="AU2573" t="s">
        <v>612</v>
      </c>
      <c r="AV2573" t="s">
        <v>24350</v>
      </c>
      <c r="AW2573" t="s">
        <v>24351</v>
      </c>
      <c r="AX2573" t="s">
        <v>1776</v>
      </c>
      <c r="AY2573" t="s">
        <v>22930</v>
      </c>
      <c r="AZ2573" t="s">
        <v>21045</v>
      </c>
      <c r="BA2573">
        <v>1</v>
      </c>
      <c r="BB2573">
        <v>1416.86</v>
      </c>
      <c r="BC2573">
        <v>0.23</v>
      </c>
      <c r="BD2573">
        <v>0.64</v>
      </c>
      <c r="BE2573">
        <v>0.66</v>
      </c>
      <c r="BF2573">
        <v>0.64</v>
      </c>
      <c r="BG2573" t="s">
        <v>24352</v>
      </c>
      <c r="BH2573" t="s">
        <v>579</v>
      </c>
      <c r="BI2573" t="s">
        <v>21045</v>
      </c>
      <c r="BJ2573" t="s">
        <v>101</v>
      </c>
      <c r="BK2573" t="s">
        <v>23284</v>
      </c>
      <c r="BL2573" t="s">
        <v>24353</v>
      </c>
      <c r="BM2573" t="s">
        <v>19776</v>
      </c>
      <c r="BN2573" t="s">
        <v>23454</v>
      </c>
    </row>
    <row r="2574" spans="1:66" x14ac:dyDescent="0.25">
      <c r="A2574" t="str">
        <f>HYPERLINK("https://elite.finviz.com/quote.ashx?t=KULR&amp;ty=c&amp;p=d&amp;b=1", "KULR")</f>
        <v>KULR</v>
      </c>
      <c r="B2574">
        <v>5</v>
      </c>
      <c r="C2574">
        <v>116.22</v>
      </c>
      <c r="D2574">
        <v>35.729999999999997</v>
      </c>
      <c r="E2574" t="s">
        <v>24354</v>
      </c>
      <c r="F2574" t="s">
        <v>67</v>
      </c>
      <c r="G2574" t="s">
        <v>108</v>
      </c>
      <c r="H2574" t="s">
        <v>3346</v>
      </c>
      <c r="I2574" t="s">
        <v>70</v>
      </c>
      <c r="J2574" t="s">
        <v>383</v>
      </c>
      <c r="K2574">
        <v>175.74</v>
      </c>
      <c r="L2574">
        <v>4.28</v>
      </c>
      <c r="M2574" t="s">
        <v>1119</v>
      </c>
      <c r="N2574">
        <v>295617</v>
      </c>
      <c r="R2574">
        <v>13.54</v>
      </c>
      <c r="S2574">
        <v>1.24</v>
      </c>
      <c r="AA2574">
        <v>-0.56000000000000005</v>
      </c>
      <c r="AB2574" t="s">
        <v>2137</v>
      </c>
      <c r="AC2574" t="s">
        <v>24355</v>
      </c>
      <c r="AE2574" t="s">
        <v>6385</v>
      </c>
      <c r="AF2574" t="s">
        <v>24356</v>
      </c>
      <c r="AG2574" t="s">
        <v>24357</v>
      </c>
      <c r="AH2574" t="s">
        <v>17097</v>
      </c>
      <c r="AJ2574" t="s">
        <v>164</v>
      </c>
      <c r="AK2574" t="s">
        <v>767</v>
      </c>
      <c r="AL2574">
        <v>8.15</v>
      </c>
      <c r="AM2574">
        <v>7.89</v>
      </c>
      <c r="AN2574">
        <v>0.01</v>
      </c>
      <c r="AO2574" t="s">
        <v>4497</v>
      </c>
      <c r="AP2574" t="s">
        <v>24358</v>
      </c>
      <c r="AQ2574" t="s">
        <v>24359</v>
      </c>
      <c r="AR2574" t="s">
        <v>3372</v>
      </c>
      <c r="AS2574" t="s">
        <v>3758</v>
      </c>
      <c r="AT2574" t="s">
        <v>5294</v>
      </c>
      <c r="AU2574" t="s">
        <v>13921</v>
      </c>
      <c r="AV2574" t="s">
        <v>24360</v>
      </c>
      <c r="AW2574" t="s">
        <v>24361</v>
      </c>
      <c r="AX2574" t="s">
        <v>11336</v>
      </c>
      <c r="AY2574" t="s">
        <v>24362</v>
      </c>
      <c r="AZ2574" t="s">
        <v>17814</v>
      </c>
      <c r="BA2574">
        <v>1</v>
      </c>
      <c r="BB2574">
        <v>2338.63</v>
      </c>
      <c r="BC2574">
        <v>0.45</v>
      </c>
      <c r="BD2574">
        <v>4.3600000000000003</v>
      </c>
      <c r="BE2574">
        <v>4.49</v>
      </c>
      <c r="BF2574">
        <v>4.22</v>
      </c>
      <c r="BG2574" t="s">
        <v>24363</v>
      </c>
      <c r="BH2574" t="s">
        <v>24362</v>
      </c>
      <c r="BI2574" t="s">
        <v>24364</v>
      </c>
      <c r="BJ2574" t="s">
        <v>101</v>
      </c>
      <c r="BK2574" t="s">
        <v>24365</v>
      </c>
      <c r="BL2574" t="s">
        <v>24366</v>
      </c>
      <c r="BM2574" t="s">
        <v>5472</v>
      </c>
      <c r="BN2574" t="s">
        <v>23454</v>
      </c>
    </row>
    <row r="2575" spans="1:66" x14ac:dyDescent="0.25">
      <c r="A2575" t="str">
        <f>HYPERLINK("https://elite.finviz.com/quote.ashx?t=COMP&amp;ty=c&amp;p=d&amp;b=1", "COMP")</f>
        <v>COMP</v>
      </c>
      <c r="B2575">
        <v>5</v>
      </c>
      <c r="C2575">
        <v>116.22</v>
      </c>
      <c r="D2575">
        <v>35.74</v>
      </c>
      <c r="E2575" t="s">
        <v>24367</v>
      </c>
      <c r="F2575" t="s">
        <v>67</v>
      </c>
      <c r="G2575" t="s">
        <v>68</v>
      </c>
      <c r="H2575" t="s">
        <v>7494</v>
      </c>
      <c r="I2575" t="s">
        <v>70</v>
      </c>
      <c r="J2575" t="s">
        <v>71</v>
      </c>
      <c r="K2575">
        <v>4242.34</v>
      </c>
      <c r="L2575">
        <v>7.91</v>
      </c>
      <c r="M2575" t="s">
        <v>3486</v>
      </c>
      <c r="N2575">
        <v>1889764</v>
      </c>
      <c r="P2575">
        <v>47.02</v>
      </c>
      <c r="R2575">
        <v>0.67</v>
      </c>
      <c r="S2575">
        <v>5.75</v>
      </c>
      <c r="AA2575">
        <v>-0.11</v>
      </c>
      <c r="AB2575" t="s">
        <v>5844</v>
      </c>
      <c r="AC2575" t="s">
        <v>15349</v>
      </c>
      <c r="AE2575" t="s">
        <v>11501</v>
      </c>
      <c r="AF2575" t="s">
        <v>10842</v>
      </c>
      <c r="AG2575" t="s">
        <v>347</v>
      </c>
      <c r="AH2575" t="s">
        <v>711</v>
      </c>
      <c r="AI2575" t="s">
        <v>2149</v>
      </c>
      <c r="AJ2575" t="s">
        <v>13200</v>
      </c>
      <c r="AK2575" t="s">
        <v>21546</v>
      </c>
      <c r="AL2575">
        <v>0.74</v>
      </c>
      <c r="AM2575">
        <v>0.74</v>
      </c>
      <c r="AN2575">
        <v>0.76</v>
      </c>
      <c r="AO2575" t="s">
        <v>11544</v>
      </c>
      <c r="AP2575" t="s">
        <v>1714</v>
      </c>
      <c r="AQ2575" t="s">
        <v>530</v>
      </c>
      <c r="AR2575" t="s">
        <v>1955</v>
      </c>
      <c r="AS2575" t="s">
        <v>4104</v>
      </c>
      <c r="AT2575" t="s">
        <v>7525</v>
      </c>
      <c r="AU2575" t="s">
        <v>14915</v>
      </c>
      <c r="AV2575" t="s">
        <v>8966</v>
      </c>
      <c r="AW2575" t="s">
        <v>16260</v>
      </c>
      <c r="AX2575" t="s">
        <v>6451</v>
      </c>
      <c r="AY2575" t="s">
        <v>12518</v>
      </c>
      <c r="AZ2575" t="s">
        <v>23402</v>
      </c>
      <c r="BA2575">
        <v>2</v>
      </c>
      <c r="BB2575">
        <v>8803.42</v>
      </c>
      <c r="BC2575">
        <v>0.76</v>
      </c>
      <c r="BD2575">
        <v>7.95</v>
      </c>
      <c r="BE2575">
        <v>7.97</v>
      </c>
      <c r="BF2575">
        <v>7.83</v>
      </c>
      <c r="BG2575" t="s">
        <v>24368</v>
      </c>
      <c r="BH2575" t="s">
        <v>14460</v>
      </c>
      <c r="BI2575" t="s">
        <v>3720</v>
      </c>
      <c r="BJ2575" t="s">
        <v>101</v>
      </c>
      <c r="BK2575" t="s">
        <v>13068</v>
      </c>
      <c r="BL2575" t="s">
        <v>15935</v>
      </c>
      <c r="BM2575" t="s">
        <v>2710</v>
      </c>
      <c r="BN2575" t="s">
        <v>23454</v>
      </c>
    </row>
    <row r="2576" spans="1:66" x14ac:dyDescent="0.25">
      <c r="A2576" t="str">
        <f>HYPERLINK("https://elite.finviz.com/quote.ashx?t=KNX&amp;ty=c&amp;p=d&amp;b=1", "KNX")</f>
        <v>KNX</v>
      </c>
      <c r="B2576">
        <v>5</v>
      </c>
      <c r="C2576">
        <v>116.22</v>
      </c>
      <c r="D2576">
        <v>35.75</v>
      </c>
      <c r="E2576" t="s">
        <v>24369</v>
      </c>
      <c r="F2576" t="s">
        <v>107</v>
      </c>
      <c r="G2576" t="s">
        <v>260</v>
      </c>
      <c r="H2576" t="s">
        <v>6190</v>
      </c>
      <c r="I2576" t="s">
        <v>70</v>
      </c>
      <c r="J2576" t="s">
        <v>71</v>
      </c>
      <c r="K2576">
        <v>6391.39</v>
      </c>
      <c r="L2576">
        <v>39.380000000000003</v>
      </c>
      <c r="M2576" t="s">
        <v>3463</v>
      </c>
      <c r="N2576">
        <v>394621</v>
      </c>
      <c r="O2576">
        <v>38.799999999999997</v>
      </c>
      <c r="P2576">
        <v>16.88</v>
      </c>
      <c r="Q2576">
        <v>0.8</v>
      </c>
      <c r="R2576">
        <v>0.86</v>
      </c>
      <c r="S2576">
        <v>0.9</v>
      </c>
      <c r="T2576" t="s">
        <v>2195</v>
      </c>
      <c r="U2576">
        <v>0.7</v>
      </c>
      <c r="V2576" t="s">
        <v>4548</v>
      </c>
      <c r="W2576" t="s">
        <v>2169</v>
      </c>
      <c r="X2576" t="s">
        <v>1284</v>
      </c>
      <c r="Y2576" t="s">
        <v>2956</v>
      </c>
      <c r="Z2576" t="s">
        <v>21670</v>
      </c>
      <c r="AA2576">
        <v>1.01</v>
      </c>
      <c r="AB2576" t="s">
        <v>13004</v>
      </c>
      <c r="AC2576" t="s">
        <v>12700</v>
      </c>
      <c r="AD2576" t="s">
        <v>11943</v>
      </c>
      <c r="AE2576" t="s">
        <v>4124</v>
      </c>
      <c r="AF2576" t="s">
        <v>3181</v>
      </c>
      <c r="AG2576" t="s">
        <v>10542</v>
      </c>
      <c r="AH2576" t="s">
        <v>2734</v>
      </c>
      <c r="AI2576" t="s">
        <v>521</v>
      </c>
      <c r="AJ2576" t="s">
        <v>6192</v>
      </c>
      <c r="AK2576" t="s">
        <v>21780</v>
      </c>
      <c r="AL2576">
        <v>0.89</v>
      </c>
      <c r="AM2576">
        <v>0.89</v>
      </c>
      <c r="AN2576">
        <v>0.38</v>
      </c>
      <c r="AO2576" t="s">
        <v>9718</v>
      </c>
      <c r="AP2576" t="s">
        <v>3670</v>
      </c>
      <c r="AQ2576" t="s">
        <v>5660</v>
      </c>
      <c r="AR2576" t="s">
        <v>4976</v>
      </c>
      <c r="AS2576" t="s">
        <v>4892</v>
      </c>
      <c r="AT2576" t="s">
        <v>5301</v>
      </c>
      <c r="AU2576" t="s">
        <v>3892</v>
      </c>
      <c r="AV2576" t="s">
        <v>8919</v>
      </c>
      <c r="AW2576" t="s">
        <v>9188</v>
      </c>
      <c r="AX2576" t="s">
        <v>2186</v>
      </c>
      <c r="AY2576" t="s">
        <v>24370</v>
      </c>
      <c r="AZ2576" t="s">
        <v>4850</v>
      </c>
      <c r="BA2576">
        <v>2.17</v>
      </c>
      <c r="BB2576">
        <v>2739.55</v>
      </c>
      <c r="BC2576">
        <v>0.51</v>
      </c>
      <c r="BD2576">
        <v>39.130000000000003</v>
      </c>
      <c r="BE2576">
        <v>39.76</v>
      </c>
      <c r="BF2576">
        <v>38.86</v>
      </c>
      <c r="BG2576" t="s">
        <v>24371</v>
      </c>
      <c r="BH2576" t="s">
        <v>8768</v>
      </c>
      <c r="BI2576" t="s">
        <v>24372</v>
      </c>
      <c r="BJ2576" t="s">
        <v>101</v>
      </c>
      <c r="BK2576" t="s">
        <v>2545</v>
      </c>
      <c r="BL2576" t="s">
        <v>8184</v>
      </c>
      <c r="BM2576" t="s">
        <v>8203</v>
      </c>
      <c r="BN2576" t="s">
        <v>23454</v>
      </c>
    </row>
    <row r="2577" spans="1:66" x14ac:dyDescent="0.25">
      <c r="A2577" t="str">
        <f>HYPERLINK("https://elite.finviz.com/quote.ashx?t=LKQ&amp;ty=c&amp;p=d&amp;b=1", "LKQ")</f>
        <v>LKQ</v>
      </c>
      <c r="B2577">
        <v>5</v>
      </c>
      <c r="C2577">
        <v>116.22</v>
      </c>
      <c r="D2577">
        <v>35.79</v>
      </c>
      <c r="E2577" t="s">
        <v>24373</v>
      </c>
      <c r="F2577" t="s">
        <v>195</v>
      </c>
      <c r="G2577" t="s">
        <v>813</v>
      </c>
      <c r="H2577" t="s">
        <v>814</v>
      </c>
      <c r="I2577" t="s">
        <v>70</v>
      </c>
      <c r="J2577" t="s">
        <v>321</v>
      </c>
      <c r="K2577">
        <v>7749.67</v>
      </c>
      <c r="L2577">
        <v>30.12</v>
      </c>
      <c r="M2577" t="s">
        <v>149</v>
      </c>
      <c r="N2577">
        <v>379720</v>
      </c>
      <c r="O2577">
        <v>11.07</v>
      </c>
      <c r="P2577">
        <v>8.81</v>
      </c>
      <c r="Q2577">
        <v>5.2</v>
      </c>
      <c r="R2577">
        <v>0.55000000000000004</v>
      </c>
      <c r="S2577">
        <v>1.19</v>
      </c>
      <c r="T2577" t="s">
        <v>4323</v>
      </c>
      <c r="U2577">
        <v>1.2</v>
      </c>
      <c r="V2577" t="s">
        <v>2708</v>
      </c>
      <c r="W2577" t="s">
        <v>5114</v>
      </c>
      <c r="X2577" t="s">
        <v>11007</v>
      </c>
      <c r="Z2577" t="s">
        <v>5945</v>
      </c>
      <c r="AA2577">
        <v>2.72</v>
      </c>
      <c r="AB2577" t="s">
        <v>4217</v>
      </c>
      <c r="AC2577" t="s">
        <v>1927</v>
      </c>
      <c r="AD2577" t="s">
        <v>212</v>
      </c>
      <c r="AE2577" t="s">
        <v>10774</v>
      </c>
      <c r="AF2577" t="s">
        <v>7088</v>
      </c>
      <c r="AG2577" t="s">
        <v>3173</v>
      </c>
      <c r="AH2577" t="s">
        <v>4501</v>
      </c>
      <c r="AI2577" t="s">
        <v>3859</v>
      </c>
      <c r="AJ2577" t="s">
        <v>8228</v>
      </c>
      <c r="AK2577" t="s">
        <v>17288</v>
      </c>
      <c r="AL2577">
        <v>1.81</v>
      </c>
      <c r="AM2577">
        <v>0.69</v>
      </c>
      <c r="AN2577">
        <v>0.91</v>
      </c>
      <c r="AO2577" t="s">
        <v>11183</v>
      </c>
      <c r="AP2577" t="s">
        <v>6272</v>
      </c>
      <c r="AQ2577" t="s">
        <v>2429</v>
      </c>
      <c r="AR2577" t="s">
        <v>2082</v>
      </c>
      <c r="AS2577" t="s">
        <v>1439</v>
      </c>
      <c r="AT2577" t="s">
        <v>9780</v>
      </c>
      <c r="AU2577" t="s">
        <v>4665</v>
      </c>
      <c r="AV2577" t="s">
        <v>5064</v>
      </c>
      <c r="AW2577" t="s">
        <v>12212</v>
      </c>
      <c r="AX2577" t="s">
        <v>4526</v>
      </c>
      <c r="AY2577" t="s">
        <v>11236</v>
      </c>
      <c r="AZ2577" t="s">
        <v>4526</v>
      </c>
      <c r="BA2577">
        <v>1.78</v>
      </c>
      <c r="BB2577">
        <v>3411.83</v>
      </c>
      <c r="BC2577">
        <v>0.39</v>
      </c>
      <c r="BD2577">
        <v>29.98</v>
      </c>
      <c r="BE2577">
        <v>30.21</v>
      </c>
      <c r="BF2577">
        <v>29.99</v>
      </c>
      <c r="BG2577" t="s">
        <v>24374</v>
      </c>
      <c r="BH2577" t="s">
        <v>19345</v>
      </c>
      <c r="BI2577" t="s">
        <v>24375</v>
      </c>
      <c r="BJ2577" t="s">
        <v>101</v>
      </c>
      <c r="BK2577" t="s">
        <v>14980</v>
      </c>
      <c r="BL2577" t="s">
        <v>15227</v>
      </c>
      <c r="BM2577" t="s">
        <v>24376</v>
      </c>
      <c r="BN2577" t="s">
        <v>23454</v>
      </c>
    </row>
    <row r="2578" spans="1:66" x14ac:dyDescent="0.25">
      <c r="A2578" t="str">
        <f>HYPERLINK("https://elite.finviz.com/quote.ashx?t=SBAC&amp;ty=c&amp;p=d&amp;b=1", "SBAC")</f>
        <v>SBAC</v>
      </c>
      <c r="B2578">
        <v>5</v>
      </c>
      <c r="C2578">
        <v>116.22</v>
      </c>
      <c r="D2578">
        <v>35.799999999999997</v>
      </c>
      <c r="E2578" t="s">
        <v>24377</v>
      </c>
      <c r="F2578" t="s">
        <v>195</v>
      </c>
      <c r="G2578" t="s">
        <v>68</v>
      </c>
      <c r="H2578" t="s">
        <v>7227</v>
      </c>
      <c r="I2578" t="s">
        <v>70</v>
      </c>
      <c r="J2578" t="s">
        <v>321</v>
      </c>
      <c r="K2578">
        <v>20999.040000000001</v>
      </c>
      <c r="L2578">
        <v>195.56</v>
      </c>
      <c r="M2578" t="s">
        <v>580</v>
      </c>
      <c r="N2578">
        <v>220867</v>
      </c>
      <c r="O2578">
        <v>24.03</v>
      </c>
      <c r="P2578">
        <v>21.65</v>
      </c>
      <c r="Q2578">
        <v>2.35</v>
      </c>
      <c r="R2578">
        <v>7.71</v>
      </c>
      <c r="T2578" t="s">
        <v>6003</v>
      </c>
      <c r="U2578">
        <v>4.3099999999999996</v>
      </c>
      <c r="V2578" t="s">
        <v>5037</v>
      </c>
      <c r="W2578" t="s">
        <v>3058</v>
      </c>
      <c r="X2578" t="s">
        <v>20158</v>
      </c>
      <c r="Y2578" t="s">
        <v>8912</v>
      </c>
      <c r="Z2578" t="s">
        <v>9586</v>
      </c>
      <c r="AA2578">
        <v>8.14</v>
      </c>
      <c r="AB2578" t="s">
        <v>15731</v>
      </c>
      <c r="AC2578" t="s">
        <v>3616</v>
      </c>
      <c r="AD2578" t="s">
        <v>7669</v>
      </c>
      <c r="AE2578" t="s">
        <v>1303</v>
      </c>
      <c r="AF2578" t="s">
        <v>6419</v>
      </c>
      <c r="AG2578" t="s">
        <v>2408</v>
      </c>
      <c r="AH2578" t="s">
        <v>2581</v>
      </c>
      <c r="AI2578" t="s">
        <v>5000</v>
      </c>
      <c r="AJ2578" t="s">
        <v>1364</v>
      </c>
      <c r="AK2578" t="s">
        <v>13074</v>
      </c>
      <c r="AL2578">
        <v>0.37</v>
      </c>
      <c r="AM2578">
        <v>0.37</v>
      </c>
      <c r="AO2578" t="s">
        <v>24378</v>
      </c>
      <c r="AP2578" t="s">
        <v>760</v>
      </c>
      <c r="AQ2578" t="s">
        <v>6583</v>
      </c>
      <c r="AR2578" t="s">
        <v>5116</v>
      </c>
      <c r="AS2578" t="s">
        <v>92</v>
      </c>
      <c r="AT2578" t="s">
        <v>7568</v>
      </c>
      <c r="AU2578" t="s">
        <v>5085</v>
      </c>
      <c r="AV2578" t="s">
        <v>21630</v>
      </c>
      <c r="AW2578" t="s">
        <v>5064</v>
      </c>
      <c r="AX2578" t="s">
        <v>2235</v>
      </c>
      <c r="AY2578" t="s">
        <v>24379</v>
      </c>
      <c r="AZ2578" t="s">
        <v>2235</v>
      </c>
      <c r="BA2578">
        <v>2</v>
      </c>
      <c r="BB2578">
        <v>1035.43</v>
      </c>
      <c r="BC2578">
        <v>0.75</v>
      </c>
      <c r="BD2578">
        <v>195.43</v>
      </c>
      <c r="BE2578">
        <v>196.62</v>
      </c>
      <c r="BF2578">
        <v>195.19</v>
      </c>
      <c r="BG2578" t="s">
        <v>24380</v>
      </c>
      <c r="BH2578" t="s">
        <v>7242</v>
      </c>
      <c r="BI2578" t="s">
        <v>24381</v>
      </c>
      <c r="BJ2578" t="s">
        <v>101</v>
      </c>
      <c r="BK2578" t="s">
        <v>17129</v>
      </c>
      <c r="BL2578" t="s">
        <v>7571</v>
      </c>
      <c r="BM2578" t="s">
        <v>24382</v>
      </c>
      <c r="BN2578" t="s">
        <v>23454</v>
      </c>
    </row>
    <row r="2579" spans="1:66" x14ac:dyDescent="0.25">
      <c r="A2579" t="str">
        <f>HYPERLINK("https://elite.finviz.com/quote.ashx?t=ARDX&amp;ty=c&amp;p=d&amp;b=1", "ARDX")</f>
        <v>ARDX</v>
      </c>
      <c r="B2579">
        <v>5</v>
      </c>
      <c r="C2579">
        <v>116.22</v>
      </c>
      <c r="D2579">
        <v>35.81</v>
      </c>
      <c r="E2579" t="s">
        <v>24383</v>
      </c>
      <c r="F2579" t="s">
        <v>67</v>
      </c>
      <c r="G2579" t="s">
        <v>428</v>
      </c>
      <c r="H2579" t="s">
        <v>429</v>
      </c>
      <c r="I2579" t="s">
        <v>70</v>
      </c>
      <c r="J2579" t="s">
        <v>321</v>
      </c>
      <c r="K2579">
        <v>1367.58</v>
      </c>
      <c r="L2579">
        <v>5.68</v>
      </c>
      <c r="M2579" t="s">
        <v>11628</v>
      </c>
      <c r="N2579">
        <v>875067</v>
      </c>
      <c r="P2579">
        <v>234.89</v>
      </c>
      <c r="R2579">
        <v>3.54</v>
      </c>
      <c r="S2579">
        <v>9.7899999999999991</v>
      </c>
      <c r="AA2579">
        <v>-0.24</v>
      </c>
      <c r="AB2579" t="s">
        <v>6665</v>
      </c>
      <c r="AC2579" t="s">
        <v>9524</v>
      </c>
      <c r="AE2579" t="s">
        <v>18378</v>
      </c>
      <c r="AF2579" t="s">
        <v>24384</v>
      </c>
      <c r="AG2579" t="s">
        <v>24385</v>
      </c>
      <c r="AH2579" t="s">
        <v>11811</v>
      </c>
      <c r="AI2579" t="s">
        <v>11381</v>
      </c>
      <c r="AJ2579" t="s">
        <v>6106</v>
      </c>
      <c r="AK2579" t="s">
        <v>19648</v>
      </c>
      <c r="AL2579">
        <v>4.3</v>
      </c>
      <c r="AM2579">
        <v>4.03</v>
      </c>
      <c r="AN2579">
        <v>1.48</v>
      </c>
      <c r="AO2579" t="s">
        <v>24386</v>
      </c>
      <c r="AP2579" t="s">
        <v>5059</v>
      </c>
      <c r="AQ2579" t="s">
        <v>8785</v>
      </c>
      <c r="AR2579" t="s">
        <v>2742</v>
      </c>
      <c r="AS2579" t="s">
        <v>7088</v>
      </c>
      <c r="AT2579" t="s">
        <v>2052</v>
      </c>
      <c r="AU2579" t="s">
        <v>2275</v>
      </c>
      <c r="AV2579" t="s">
        <v>10917</v>
      </c>
      <c r="AW2579" t="s">
        <v>24076</v>
      </c>
      <c r="AX2579" t="s">
        <v>11381</v>
      </c>
      <c r="AY2579" t="s">
        <v>2975</v>
      </c>
      <c r="AZ2579" t="s">
        <v>24387</v>
      </c>
      <c r="BA2579">
        <v>1.17</v>
      </c>
      <c r="BB2579">
        <v>3933.95</v>
      </c>
      <c r="BC2579">
        <v>0.78</v>
      </c>
      <c r="BD2579">
        <v>5.96</v>
      </c>
      <c r="BE2579">
        <v>6.03</v>
      </c>
      <c r="BF2579">
        <v>5.66</v>
      </c>
      <c r="BG2579" t="s">
        <v>24388</v>
      </c>
      <c r="BH2579" t="s">
        <v>24389</v>
      </c>
      <c r="BI2579" t="s">
        <v>24390</v>
      </c>
      <c r="BJ2579" t="s">
        <v>101</v>
      </c>
      <c r="BK2579" t="s">
        <v>10480</v>
      </c>
      <c r="BL2579" t="s">
        <v>12553</v>
      </c>
      <c r="BM2579" t="s">
        <v>7468</v>
      </c>
      <c r="BN2579" t="s">
        <v>23454</v>
      </c>
    </row>
    <row r="2580" spans="1:66" x14ac:dyDescent="0.25">
      <c r="A2580" t="str">
        <f>HYPERLINK("https://elite.finviz.com/quote.ashx?t=INVH&amp;ty=c&amp;p=d&amp;b=1", "INVH")</f>
        <v>INVH</v>
      </c>
      <c r="B2580">
        <v>5</v>
      </c>
      <c r="C2580">
        <v>116.22</v>
      </c>
      <c r="D2580">
        <v>35.82</v>
      </c>
      <c r="E2580" t="s">
        <v>24391</v>
      </c>
      <c r="F2580" t="s">
        <v>195</v>
      </c>
      <c r="G2580" t="s">
        <v>68</v>
      </c>
      <c r="H2580" t="s">
        <v>5671</v>
      </c>
      <c r="I2580" t="s">
        <v>70</v>
      </c>
      <c r="J2580" t="s">
        <v>71</v>
      </c>
      <c r="K2580">
        <v>17804.830000000002</v>
      </c>
      <c r="L2580">
        <v>29.05</v>
      </c>
      <c r="M2580" t="s">
        <v>3336</v>
      </c>
      <c r="N2580">
        <v>903297</v>
      </c>
      <c r="O2580">
        <v>64.75</v>
      </c>
      <c r="P2580">
        <v>35.15</v>
      </c>
      <c r="Q2580">
        <v>13.63</v>
      </c>
      <c r="R2580">
        <v>6.53</v>
      </c>
      <c r="S2580">
        <v>1.84</v>
      </c>
      <c r="T2580" t="s">
        <v>3433</v>
      </c>
      <c r="U2580">
        <v>1.1599999999999999</v>
      </c>
      <c r="V2580" t="s">
        <v>2651</v>
      </c>
      <c r="W2580" t="s">
        <v>20286</v>
      </c>
      <c r="X2580" t="s">
        <v>9865</v>
      </c>
      <c r="Y2580" t="s">
        <v>639</v>
      </c>
      <c r="Z2580" t="s">
        <v>24392</v>
      </c>
      <c r="AA2580">
        <v>0.45</v>
      </c>
      <c r="AB2580" t="s">
        <v>2197</v>
      </c>
      <c r="AC2580" t="s">
        <v>10319</v>
      </c>
      <c r="AD2580" t="s">
        <v>2774</v>
      </c>
      <c r="AE2580" t="s">
        <v>7699</v>
      </c>
      <c r="AF2580" t="s">
        <v>7298</v>
      </c>
      <c r="AG2580" t="s">
        <v>6607</v>
      </c>
      <c r="AH2580" t="s">
        <v>7322</v>
      </c>
      <c r="AI2580" t="s">
        <v>8533</v>
      </c>
      <c r="AJ2580" t="s">
        <v>8156</v>
      </c>
      <c r="AK2580" t="s">
        <v>24393</v>
      </c>
      <c r="AL2580">
        <v>0.7</v>
      </c>
      <c r="AM2580">
        <v>0.7</v>
      </c>
      <c r="AN2580">
        <v>0.85</v>
      </c>
      <c r="AO2580" t="s">
        <v>1512</v>
      </c>
      <c r="AP2580" t="s">
        <v>3255</v>
      </c>
      <c r="AQ2580" t="s">
        <v>2795</v>
      </c>
      <c r="AR2580" t="s">
        <v>2145</v>
      </c>
      <c r="AS2580" t="s">
        <v>6493</v>
      </c>
      <c r="AT2580" t="s">
        <v>7948</v>
      </c>
      <c r="AU2580" t="s">
        <v>5246</v>
      </c>
      <c r="AV2580" t="s">
        <v>10731</v>
      </c>
      <c r="AW2580" t="s">
        <v>12057</v>
      </c>
      <c r="AX2580" t="s">
        <v>5055</v>
      </c>
      <c r="AY2580" t="s">
        <v>8080</v>
      </c>
      <c r="AZ2580" t="s">
        <v>5055</v>
      </c>
      <c r="BA2580">
        <v>2.21</v>
      </c>
      <c r="BB2580">
        <v>3861.52</v>
      </c>
      <c r="BC2580">
        <v>0.82</v>
      </c>
      <c r="BD2580">
        <v>28.9</v>
      </c>
      <c r="BE2580">
        <v>29.2</v>
      </c>
      <c r="BF2580">
        <v>28.83</v>
      </c>
      <c r="BG2580" t="s">
        <v>24394</v>
      </c>
      <c r="BH2580" t="s">
        <v>14794</v>
      </c>
      <c r="BI2580" t="s">
        <v>16994</v>
      </c>
      <c r="BJ2580" t="s">
        <v>101</v>
      </c>
      <c r="BK2580" t="s">
        <v>14896</v>
      </c>
      <c r="BL2580" t="s">
        <v>17002</v>
      </c>
      <c r="BM2580" t="s">
        <v>17088</v>
      </c>
      <c r="BN2580" t="s">
        <v>23454</v>
      </c>
    </row>
    <row r="2581" spans="1:66" x14ac:dyDescent="0.25">
      <c r="A2581" t="str">
        <f>HYPERLINK("https://elite.finviz.com/quote.ashx?t=PSEC&amp;ty=c&amp;p=d&amp;b=1", "PSEC")</f>
        <v>PSEC</v>
      </c>
      <c r="B2581">
        <v>5</v>
      </c>
      <c r="C2581">
        <v>116.22</v>
      </c>
      <c r="D2581">
        <v>35.9</v>
      </c>
      <c r="E2581" t="s">
        <v>24395</v>
      </c>
      <c r="F2581" t="s">
        <v>107</v>
      </c>
      <c r="G2581" t="s">
        <v>550</v>
      </c>
      <c r="H2581" t="s">
        <v>2597</v>
      </c>
      <c r="I2581" t="s">
        <v>70</v>
      </c>
      <c r="J2581" t="s">
        <v>321</v>
      </c>
      <c r="K2581">
        <v>1216.06</v>
      </c>
      <c r="L2581">
        <v>2.61</v>
      </c>
      <c r="M2581" t="s">
        <v>5368</v>
      </c>
      <c r="N2581">
        <v>1232115</v>
      </c>
      <c r="P2581">
        <v>6.23</v>
      </c>
      <c r="R2581">
        <v>1.69</v>
      </c>
      <c r="S2581">
        <v>0.4</v>
      </c>
      <c r="T2581" t="s">
        <v>11501</v>
      </c>
      <c r="U2581">
        <v>0.55000000000000004</v>
      </c>
      <c r="V2581" t="s">
        <v>4741</v>
      </c>
      <c r="W2581" t="s">
        <v>2969</v>
      </c>
      <c r="X2581" t="s">
        <v>13117</v>
      </c>
      <c r="Y2581" t="s">
        <v>530</v>
      </c>
      <c r="AA2581">
        <v>-1.35</v>
      </c>
      <c r="AH2581" t="s">
        <v>15495</v>
      </c>
      <c r="AI2581" t="s">
        <v>11802</v>
      </c>
      <c r="AJ2581" t="s">
        <v>4280</v>
      </c>
      <c r="AK2581" t="s">
        <v>1625</v>
      </c>
      <c r="AR2581" t="s">
        <v>5592</v>
      </c>
      <c r="AS2581" t="s">
        <v>862</v>
      </c>
      <c r="AT2581" t="s">
        <v>2586</v>
      </c>
      <c r="AU2581" t="s">
        <v>1399</v>
      </c>
      <c r="AV2581" t="s">
        <v>9045</v>
      </c>
      <c r="AW2581" t="s">
        <v>9554</v>
      </c>
      <c r="AX2581" t="s">
        <v>2195</v>
      </c>
      <c r="AY2581" t="s">
        <v>24396</v>
      </c>
      <c r="AZ2581" t="s">
        <v>2195</v>
      </c>
      <c r="BB2581">
        <v>3585.34</v>
      </c>
      <c r="BC2581">
        <v>1.21</v>
      </c>
      <c r="BD2581">
        <v>2.73</v>
      </c>
      <c r="BE2581">
        <v>2.72</v>
      </c>
      <c r="BF2581">
        <v>2.61</v>
      </c>
      <c r="BG2581" t="s">
        <v>24397</v>
      </c>
      <c r="BH2581" t="s">
        <v>24398</v>
      </c>
      <c r="BI2581" t="s">
        <v>2195</v>
      </c>
      <c r="BJ2581" t="s">
        <v>101</v>
      </c>
      <c r="BK2581" t="s">
        <v>23431</v>
      </c>
      <c r="BL2581" t="s">
        <v>16866</v>
      </c>
      <c r="BM2581" t="s">
        <v>19096</v>
      </c>
      <c r="BN2581" t="s">
        <v>23454</v>
      </c>
    </row>
    <row r="2582" spans="1:66" x14ac:dyDescent="0.25">
      <c r="A2582" t="str">
        <f>HYPERLINK("https://elite.finviz.com/quote.ashx?t=XTIA&amp;ty=c&amp;p=d&amp;b=1", "XTIA")</f>
        <v>XTIA</v>
      </c>
      <c r="B2582">
        <v>5</v>
      </c>
      <c r="C2582">
        <v>116.22</v>
      </c>
      <c r="D2582">
        <v>35.94</v>
      </c>
      <c r="E2582" t="s">
        <v>24399</v>
      </c>
      <c r="F2582" t="s">
        <v>107</v>
      </c>
      <c r="G2582" t="s">
        <v>260</v>
      </c>
      <c r="H2582" t="s">
        <v>4779</v>
      </c>
      <c r="I2582" t="s">
        <v>70</v>
      </c>
      <c r="J2582" t="s">
        <v>321</v>
      </c>
      <c r="K2582">
        <v>45.8</v>
      </c>
      <c r="L2582">
        <v>1.49</v>
      </c>
      <c r="M2582" t="s">
        <v>3172</v>
      </c>
      <c r="N2582">
        <v>531526</v>
      </c>
      <c r="R2582">
        <v>15.07</v>
      </c>
      <c r="S2582">
        <v>2.15</v>
      </c>
      <c r="AA2582">
        <v>-48.58</v>
      </c>
      <c r="AB2582" t="s">
        <v>7636</v>
      </c>
      <c r="AC2582" t="s">
        <v>24400</v>
      </c>
      <c r="AF2582" t="s">
        <v>14260</v>
      </c>
      <c r="AG2582" t="s">
        <v>11824</v>
      </c>
      <c r="AH2582" t="s">
        <v>11788</v>
      </c>
      <c r="AJ2582" t="s">
        <v>164</v>
      </c>
      <c r="AK2582" t="s">
        <v>1955</v>
      </c>
      <c r="AL2582">
        <v>1.1100000000000001</v>
      </c>
      <c r="AM2582">
        <v>0.99</v>
      </c>
      <c r="AN2582">
        <v>0.03</v>
      </c>
      <c r="AO2582" t="s">
        <v>19215</v>
      </c>
      <c r="AP2582" t="s">
        <v>24401</v>
      </c>
      <c r="AQ2582" t="s">
        <v>24402</v>
      </c>
      <c r="AR2582" t="s">
        <v>336</v>
      </c>
      <c r="AS2582" t="s">
        <v>8808</v>
      </c>
      <c r="AT2582" t="s">
        <v>15888</v>
      </c>
      <c r="AU2582" t="s">
        <v>16305</v>
      </c>
      <c r="AV2582" t="s">
        <v>24403</v>
      </c>
      <c r="AW2582" t="s">
        <v>12772</v>
      </c>
      <c r="AX2582" t="s">
        <v>7298</v>
      </c>
      <c r="AY2582" t="s">
        <v>24404</v>
      </c>
      <c r="AZ2582" t="s">
        <v>24405</v>
      </c>
      <c r="BA2582">
        <v>1</v>
      </c>
      <c r="BB2582">
        <v>1917.43</v>
      </c>
      <c r="BC2582">
        <v>0.98</v>
      </c>
      <c r="BD2582">
        <v>1.51</v>
      </c>
      <c r="BE2582">
        <v>1.52</v>
      </c>
      <c r="BF2582">
        <v>1.48</v>
      </c>
      <c r="BG2582" t="s">
        <v>24406</v>
      </c>
      <c r="BH2582" t="s">
        <v>579</v>
      </c>
      <c r="BI2582" t="s">
        <v>24405</v>
      </c>
      <c r="BJ2582" t="s">
        <v>101</v>
      </c>
      <c r="BK2582" t="s">
        <v>16883</v>
      </c>
      <c r="BL2582" t="s">
        <v>18223</v>
      </c>
      <c r="BM2582" t="s">
        <v>561</v>
      </c>
      <c r="BN2582" t="s">
        <v>23454</v>
      </c>
    </row>
    <row r="2583" spans="1:66" x14ac:dyDescent="0.25">
      <c r="A2583" t="str">
        <f>HYPERLINK("https://elite.finviz.com/quote.ashx?t=BCRX&amp;ty=c&amp;p=d&amp;b=1", "BCRX")</f>
        <v>BCRX</v>
      </c>
      <c r="B2583">
        <v>5</v>
      </c>
      <c r="C2583">
        <v>116.22</v>
      </c>
      <c r="D2583">
        <v>35.950000000000003</v>
      </c>
      <c r="E2583" t="s">
        <v>24407</v>
      </c>
      <c r="F2583" t="s">
        <v>67</v>
      </c>
      <c r="G2583" t="s">
        <v>428</v>
      </c>
      <c r="H2583" t="s">
        <v>1296</v>
      </c>
      <c r="I2583" t="s">
        <v>70</v>
      </c>
      <c r="J2583" t="s">
        <v>321</v>
      </c>
      <c r="K2583">
        <v>1594.55</v>
      </c>
      <c r="L2583">
        <v>7.6</v>
      </c>
      <c r="M2583" t="s">
        <v>4203</v>
      </c>
      <c r="N2583">
        <v>316624</v>
      </c>
      <c r="P2583">
        <v>14.08</v>
      </c>
      <c r="R2583">
        <v>2.86</v>
      </c>
      <c r="AA2583">
        <v>-0.17</v>
      </c>
      <c r="AB2583" t="s">
        <v>5754</v>
      </c>
      <c r="AC2583" t="s">
        <v>11292</v>
      </c>
      <c r="AE2583" t="s">
        <v>3129</v>
      </c>
      <c r="AF2583" t="s">
        <v>12280</v>
      </c>
      <c r="AG2583" t="s">
        <v>3763</v>
      </c>
      <c r="AH2583" t="s">
        <v>11601</v>
      </c>
      <c r="AI2583" t="s">
        <v>19584</v>
      </c>
      <c r="AJ2583" t="s">
        <v>3634</v>
      </c>
      <c r="AK2583" t="s">
        <v>21698</v>
      </c>
      <c r="AL2583">
        <v>2.25</v>
      </c>
      <c r="AM2583">
        <v>2.2200000000000002</v>
      </c>
      <c r="AO2583" t="s">
        <v>4061</v>
      </c>
      <c r="AP2583" t="s">
        <v>3581</v>
      </c>
      <c r="AQ2583" t="s">
        <v>9629</v>
      </c>
      <c r="AR2583" t="s">
        <v>4873</v>
      </c>
      <c r="AS2583" t="s">
        <v>901</v>
      </c>
      <c r="AT2583" t="s">
        <v>13734</v>
      </c>
      <c r="AU2583" t="s">
        <v>8055</v>
      </c>
      <c r="AV2583" t="s">
        <v>618</v>
      </c>
      <c r="AW2583" t="s">
        <v>24241</v>
      </c>
      <c r="AX2583" t="s">
        <v>2906</v>
      </c>
      <c r="AY2583" t="s">
        <v>14292</v>
      </c>
      <c r="AZ2583" t="s">
        <v>19673</v>
      </c>
      <c r="BA2583">
        <v>1.18</v>
      </c>
      <c r="BB2583">
        <v>3044.06</v>
      </c>
      <c r="BC2583">
        <v>0.37</v>
      </c>
      <c r="BD2583">
        <v>7.65</v>
      </c>
      <c r="BE2583">
        <v>7.73</v>
      </c>
      <c r="BF2583">
        <v>7.57</v>
      </c>
      <c r="BG2583" t="s">
        <v>24408</v>
      </c>
      <c r="BH2583" t="s">
        <v>24409</v>
      </c>
      <c r="BI2583" t="s">
        <v>24410</v>
      </c>
      <c r="BJ2583" t="s">
        <v>101</v>
      </c>
      <c r="BK2583" t="s">
        <v>17709</v>
      </c>
      <c r="BL2583" t="s">
        <v>900</v>
      </c>
      <c r="BM2583" t="s">
        <v>2203</v>
      </c>
      <c r="BN2583" t="s">
        <v>23454</v>
      </c>
    </row>
    <row r="2584" spans="1:66" x14ac:dyDescent="0.25">
      <c r="A2584" t="str">
        <f>HYPERLINK("https://elite.finviz.com/quote.ashx?t=SG&amp;ty=c&amp;p=d&amp;b=1", "SG")</f>
        <v>SG</v>
      </c>
      <c r="B2584">
        <v>5</v>
      </c>
      <c r="C2584">
        <v>116.22</v>
      </c>
      <c r="D2584">
        <v>35.979999999999997</v>
      </c>
      <c r="E2584" t="s">
        <v>24411</v>
      </c>
      <c r="F2584" t="s">
        <v>67</v>
      </c>
      <c r="G2584" t="s">
        <v>813</v>
      </c>
      <c r="H2584" t="s">
        <v>2285</v>
      </c>
      <c r="I2584" t="s">
        <v>70</v>
      </c>
      <c r="J2584" t="s">
        <v>71</v>
      </c>
      <c r="K2584">
        <v>966.97</v>
      </c>
      <c r="L2584">
        <v>8.18</v>
      </c>
      <c r="M2584" t="s">
        <v>2275</v>
      </c>
      <c r="N2584">
        <v>810419</v>
      </c>
      <c r="R2584">
        <v>1.41</v>
      </c>
      <c r="S2584">
        <v>2.2799999999999998</v>
      </c>
      <c r="AA2584">
        <v>-0.84</v>
      </c>
      <c r="AB2584" t="s">
        <v>4314</v>
      </c>
      <c r="AC2584" t="s">
        <v>3780</v>
      </c>
      <c r="AD2584" t="s">
        <v>7618</v>
      </c>
      <c r="AE2584" t="s">
        <v>3088</v>
      </c>
      <c r="AF2584" t="s">
        <v>7040</v>
      </c>
      <c r="AG2584" t="s">
        <v>5759</v>
      </c>
      <c r="AH2584" t="s">
        <v>4849</v>
      </c>
      <c r="AI2584" t="s">
        <v>24412</v>
      </c>
      <c r="AJ2584" t="s">
        <v>3227</v>
      </c>
      <c r="AK2584" t="s">
        <v>750</v>
      </c>
      <c r="AL2584">
        <v>1.82</v>
      </c>
      <c r="AM2584">
        <v>1.8</v>
      </c>
      <c r="AN2584">
        <v>0.8</v>
      </c>
      <c r="AO2584" t="s">
        <v>1736</v>
      </c>
      <c r="AP2584" t="s">
        <v>15316</v>
      </c>
      <c r="AQ2584" t="s">
        <v>8795</v>
      </c>
      <c r="AR2584" t="s">
        <v>3450</v>
      </c>
      <c r="AS2584" t="s">
        <v>161</v>
      </c>
      <c r="AT2584" t="s">
        <v>8830</v>
      </c>
      <c r="AU2584" t="s">
        <v>10077</v>
      </c>
      <c r="AV2584" t="s">
        <v>24413</v>
      </c>
      <c r="AW2584" t="s">
        <v>16246</v>
      </c>
      <c r="AX2584" t="s">
        <v>5420</v>
      </c>
      <c r="AY2584" t="s">
        <v>24414</v>
      </c>
      <c r="AZ2584" t="s">
        <v>5420</v>
      </c>
      <c r="BA2584">
        <v>2</v>
      </c>
      <c r="BB2584">
        <v>5950.5</v>
      </c>
      <c r="BC2584">
        <v>0.48</v>
      </c>
      <c r="BD2584">
        <v>8.17</v>
      </c>
      <c r="BE2584">
        <v>8.3000000000000007</v>
      </c>
      <c r="BF2584">
        <v>8.08</v>
      </c>
      <c r="BG2584" t="s">
        <v>24415</v>
      </c>
      <c r="BH2584" t="s">
        <v>24416</v>
      </c>
      <c r="BI2584" t="s">
        <v>4200</v>
      </c>
      <c r="BJ2584" t="s">
        <v>101</v>
      </c>
      <c r="BK2584" t="s">
        <v>24417</v>
      </c>
      <c r="BL2584" t="s">
        <v>24418</v>
      </c>
      <c r="BM2584" t="s">
        <v>24419</v>
      </c>
      <c r="BN2584" t="s">
        <v>23454</v>
      </c>
    </row>
    <row r="2585" spans="1:66" x14ac:dyDescent="0.25">
      <c r="A2585" t="str">
        <f>HYPERLINK("https://elite.finviz.com/quote.ashx?t=PEW&amp;ty=c&amp;p=d&amp;b=1", "PEW")</f>
        <v>PEW</v>
      </c>
      <c r="B2585">
        <v>5</v>
      </c>
      <c r="C2585">
        <v>116.22</v>
      </c>
      <c r="D2585">
        <v>35.99</v>
      </c>
      <c r="E2585" t="s">
        <v>24420</v>
      </c>
      <c r="F2585" t="s">
        <v>107</v>
      </c>
      <c r="G2585" t="s">
        <v>260</v>
      </c>
      <c r="H2585" t="s">
        <v>4779</v>
      </c>
      <c r="I2585" t="s">
        <v>70</v>
      </c>
      <c r="J2585" t="s">
        <v>71</v>
      </c>
      <c r="K2585">
        <v>158.52000000000001</v>
      </c>
      <c r="L2585">
        <v>5.03</v>
      </c>
      <c r="M2585" t="s">
        <v>1180</v>
      </c>
      <c r="N2585">
        <v>257897</v>
      </c>
      <c r="O2585">
        <v>34.729999999999997</v>
      </c>
      <c r="S2585">
        <v>0.62</v>
      </c>
      <c r="Z2585" t="s">
        <v>164</v>
      </c>
      <c r="AA2585">
        <v>0.14000000000000001</v>
      </c>
      <c r="AJ2585" t="s">
        <v>1409</v>
      </c>
      <c r="AK2585" t="s">
        <v>1284</v>
      </c>
      <c r="AL2585">
        <v>0.31</v>
      </c>
      <c r="AM2585">
        <v>0.31</v>
      </c>
      <c r="AN2585">
        <v>0</v>
      </c>
      <c r="AR2585" t="s">
        <v>5455</v>
      </c>
      <c r="AS2585" t="s">
        <v>8125</v>
      </c>
      <c r="AT2585" t="s">
        <v>3995</v>
      </c>
      <c r="AU2585" t="s">
        <v>24244</v>
      </c>
      <c r="AV2585" t="s">
        <v>24421</v>
      </c>
      <c r="AW2585" t="s">
        <v>15102</v>
      </c>
      <c r="AX2585" t="s">
        <v>2383</v>
      </c>
      <c r="AY2585" t="s">
        <v>24422</v>
      </c>
      <c r="AZ2585" t="s">
        <v>2383</v>
      </c>
      <c r="BA2585">
        <v>1</v>
      </c>
      <c r="BB2585">
        <v>2057.4</v>
      </c>
      <c r="BC2585">
        <v>0.44</v>
      </c>
      <c r="BD2585">
        <v>5.13</v>
      </c>
      <c r="BE2585">
        <v>5.19</v>
      </c>
      <c r="BF2585">
        <v>4.99</v>
      </c>
      <c r="BG2585" t="s">
        <v>24423</v>
      </c>
      <c r="BH2585" t="s">
        <v>24422</v>
      </c>
      <c r="BI2585" t="s">
        <v>2383</v>
      </c>
      <c r="BJ2585" t="s">
        <v>101</v>
      </c>
      <c r="BK2585" t="s">
        <v>23308</v>
      </c>
      <c r="BL2585" t="s">
        <v>24424</v>
      </c>
      <c r="BM2585" t="s">
        <v>5518</v>
      </c>
      <c r="BN2585" t="s">
        <v>23454</v>
      </c>
    </row>
    <row r="2586" spans="1:66" x14ac:dyDescent="0.25">
      <c r="A2586" t="str">
        <f>HYPERLINK("https://elite.finviz.com/quote.ashx?t=PG&amp;ty=c&amp;p=d&amp;b=1", "PG")</f>
        <v>PG</v>
      </c>
      <c r="B2586">
        <v>5</v>
      </c>
      <c r="C2586">
        <v>116.22</v>
      </c>
      <c r="D2586">
        <v>35.99</v>
      </c>
      <c r="E2586" t="s">
        <v>24425</v>
      </c>
      <c r="F2586" t="s">
        <v>1759</v>
      </c>
      <c r="G2586" t="s">
        <v>2244</v>
      </c>
      <c r="H2586" t="s">
        <v>5311</v>
      </c>
      <c r="I2586" t="s">
        <v>70</v>
      </c>
      <c r="J2586" t="s">
        <v>71</v>
      </c>
      <c r="K2586">
        <v>355235.83</v>
      </c>
      <c r="L2586">
        <v>151.78</v>
      </c>
      <c r="M2586" t="s">
        <v>2760</v>
      </c>
      <c r="N2586">
        <v>1346031</v>
      </c>
      <c r="O2586">
        <v>23.33</v>
      </c>
      <c r="P2586">
        <v>20.41</v>
      </c>
      <c r="Q2586">
        <v>4.75</v>
      </c>
      <c r="R2586">
        <v>4.21</v>
      </c>
      <c r="S2586">
        <v>6.94</v>
      </c>
      <c r="T2586" t="s">
        <v>7437</v>
      </c>
      <c r="U2586">
        <v>4.13</v>
      </c>
      <c r="V2586" t="s">
        <v>14858</v>
      </c>
      <c r="W2586" t="s">
        <v>6008</v>
      </c>
      <c r="X2586" t="s">
        <v>2429</v>
      </c>
      <c r="Y2586" t="s">
        <v>283</v>
      </c>
      <c r="Z2586" t="s">
        <v>9354</v>
      </c>
      <c r="AA2586">
        <v>6.51</v>
      </c>
      <c r="AB2586" t="s">
        <v>2384</v>
      </c>
      <c r="AC2586" t="s">
        <v>3057</v>
      </c>
      <c r="AD2586" t="s">
        <v>5163</v>
      </c>
      <c r="AE2586" t="s">
        <v>2646</v>
      </c>
      <c r="AF2586" t="s">
        <v>2082</v>
      </c>
      <c r="AG2586" t="s">
        <v>2700</v>
      </c>
      <c r="AH2586" t="s">
        <v>2195</v>
      </c>
      <c r="AI2586" t="s">
        <v>2170</v>
      </c>
      <c r="AJ2586" t="s">
        <v>2265</v>
      </c>
      <c r="AK2586" t="s">
        <v>2860</v>
      </c>
      <c r="AL2586">
        <v>0.7</v>
      </c>
      <c r="AM2586">
        <v>0.49</v>
      </c>
      <c r="AN2586">
        <v>0.68</v>
      </c>
      <c r="AO2586" t="s">
        <v>4796</v>
      </c>
      <c r="AP2586" t="s">
        <v>4292</v>
      </c>
      <c r="AQ2586" t="s">
        <v>1085</v>
      </c>
      <c r="AR2586" t="s">
        <v>6829</v>
      </c>
      <c r="AS2586" t="s">
        <v>4881</v>
      </c>
      <c r="AT2586" t="s">
        <v>9098</v>
      </c>
      <c r="AU2586" t="s">
        <v>4131</v>
      </c>
      <c r="AV2586" t="s">
        <v>14672</v>
      </c>
      <c r="AW2586" t="s">
        <v>2538</v>
      </c>
      <c r="AX2586" t="s">
        <v>3350</v>
      </c>
      <c r="AY2586" t="s">
        <v>18510</v>
      </c>
      <c r="AZ2586" t="s">
        <v>3350</v>
      </c>
      <c r="BA2586">
        <v>2</v>
      </c>
      <c r="BB2586">
        <v>7900.56</v>
      </c>
      <c r="BC2586">
        <v>0.6</v>
      </c>
      <c r="BD2586">
        <v>152.15</v>
      </c>
      <c r="BE2586">
        <v>152.68</v>
      </c>
      <c r="BF2586">
        <v>151.75</v>
      </c>
      <c r="BG2586" t="s">
        <v>24426</v>
      </c>
      <c r="BH2586" t="s">
        <v>18510</v>
      </c>
      <c r="BI2586" t="s">
        <v>24427</v>
      </c>
      <c r="BJ2586" t="s">
        <v>101</v>
      </c>
      <c r="BK2586" t="s">
        <v>8830</v>
      </c>
      <c r="BL2586" t="s">
        <v>6827</v>
      </c>
      <c r="BM2586" t="s">
        <v>126</v>
      </c>
      <c r="BN2586" t="s">
        <v>23454</v>
      </c>
    </row>
    <row r="2587" spans="1:66" x14ac:dyDescent="0.25">
      <c r="A2587" t="str">
        <f>HYPERLINK("https://elite.finviz.com/quote.ashx?t=OMI&amp;ty=c&amp;p=d&amp;b=1", "OMI")</f>
        <v>OMI</v>
      </c>
      <c r="B2587">
        <v>5</v>
      </c>
      <c r="C2587">
        <v>116.22</v>
      </c>
      <c r="D2587">
        <v>35.99</v>
      </c>
      <c r="E2587" t="s">
        <v>24428</v>
      </c>
      <c r="F2587" t="s">
        <v>67</v>
      </c>
      <c r="G2587" t="s">
        <v>428</v>
      </c>
      <c r="H2587" t="s">
        <v>10658</v>
      </c>
      <c r="I2587" t="s">
        <v>70</v>
      </c>
      <c r="J2587" t="s">
        <v>71</v>
      </c>
      <c r="K2587">
        <v>358.41</v>
      </c>
      <c r="L2587">
        <v>4.6399999999999997</v>
      </c>
      <c r="M2587" t="s">
        <v>2304</v>
      </c>
      <c r="N2587">
        <v>464165</v>
      </c>
      <c r="P2587">
        <v>4.71</v>
      </c>
      <c r="R2587">
        <v>0.04</v>
      </c>
      <c r="V2587" t="s">
        <v>24429</v>
      </c>
      <c r="AA2587">
        <v>-15.62</v>
      </c>
      <c r="AC2587" t="s">
        <v>3642</v>
      </c>
      <c r="AD2587" t="s">
        <v>11385</v>
      </c>
      <c r="AE2587" t="s">
        <v>11922</v>
      </c>
      <c r="AF2587" t="s">
        <v>2735</v>
      </c>
      <c r="AG2587" t="s">
        <v>2624</v>
      </c>
      <c r="AH2587" t="s">
        <v>24430</v>
      </c>
      <c r="AI2587" t="s">
        <v>8346</v>
      </c>
      <c r="AJ2587" t="s">
        <v>24431</v>
      </c>
      <c r="AK2587" t="s">
        <v>24432</v>
      </c>
      <c r="AL2587">
        <v>0.86</v>
      </c>
      <c r="AM2587">
        <v>0.83</v>
      </c>
      <c r="AO2587" t="s">
        <v>948</v>
      </c>
      <c r="AP2587" t="s">
        <v>7154</v>
      </c>
      <c r="AQ2587" t="s">
        <v>13455</v>
      </c>
      <c r="AR2587" t="s">
        <v>438</v>
      </c>
      <c r="AS2587" t="s">
        <v>296</v>
      </c>
      <c r="AT2587" t="s">
        <v>20045</v>
      </c>
      <c r="AU2587" t="s">
        <v>13768</v>
      </c>
      <c r="AV2587" t="s">
        <v>11711</v>
      </c>
      <c r="AW2587" t="s">
        <v>24433</v>
      </c>
      <c r="AX2587" t="s">
        <v>4946</v>
      </c>
      <c r="AY2587" t="s">
        <v>10472</v>
      </c>
      <c r="AZ2587" t="s">
        <v>4946</v>
      </c>
      <c r="BA2587">
        <v>2.67</v>
      </c>
      <c r="BB2587">
        <v>1969.57</v>
      </c>
      <c r="BC2587">
        <v>0.83</v>
      </c>
      <c r="BD2587">
        <v>4.84</v>
      </c>
      <c r="BE2587">
        <v>4.95</v>
      </c>
      <c r="BF2587">
        <v>4.6399999999999997</v>
      </c>
      <c r="BG2587" t="s">
        <v>24434</v>
      </c>
      <c r="BH2587" t="s">
        <v>24435</v>
      </c>
      <c r="BI2587" t="s">
        <v>24436</v>
      </c>
      <c r="BJ2587" t="s">
        <v>101</v>
      </c>
      <c r="BK2587" t="s">
        <v>24437</v>
      </c>
      <c r="BL2587" t="s">
        <v>22898</v>
      </c>
      <c r="BM2587" t="s">
        <v>15134</v>
      </c>
      <c r="BN2587" t="s">
        <v>23454</v>
      </c>
    </row>
    <row r="2588" spans="1:66" x14ac:dyDescent="0.25">
      <c r="A2588" t="str">
        <f>HYPERLINK("https://elite.finviz.com/quote.ashx?t=KR&amp;ty=c&amp;p=d&amp;b=1", "KR")</f>
        <v>KR</v>
      </c>
      <c r="B2588">
        <v>5</v>
      </c>
      <c r="C2588">
        <v>116.22</v>
      </c>
      <c r="D2588">
        <v>36</v>
      </c>
      <c r="E2588" t="s">
        <v>24438</v>
      </c>
      <c r="F2588" t="s">
        <v>195</v>
      </c>
      <c r="G2588" t="s">
        <v>2244</v>
      </c>
      <c r="H2588" t="s">
        <v>14712</v>
      </c>
      <c r="I2588" t="s">
        <v>70</v>
      </c>
      <c r="J2588" t="s">
        <v>71</v>
      </c>
      <c r="K2588">
        <v>43216.55</v>
      </c>
      <c r="L2588">
        <v>65.209999999999994</v>
      </c>
      <c r="M2588" t="s">
        <v>15000</v>
      </c>
      <c r="N2588">
        <v>791942</v>
      </c>
      <c r="O2588">
        <v>16.510000000000002</v>
      </c>
      <c r="P2588">
        <v>12.35</v>
      </c>
      <c r="Q2588">
        <v>2</v>
      </c>
      <c r="R2588">
        <v>0.28999999999999998</v>
      </c>
      <c r="S2588">
        <v>4.66</v>
      </c>
      <c r="T2588" t="s">
        <v>5263</v>
      </c>
      <c r="U2588">
        <v>1.31</v>
      </c>
      <c r="V2588" t="s">
        <v>24439</v>
      </c>
      <c r="W2588" t="s">
        <v>4857</v>
      </c>
      <c r="X2588" t="s">
        <v>328</v>
      </c>
      <c r="Y2588" t="s">
        <v>10498</v>
      </c>
      <c r="Z2588" t="s">
        <v>8573</v>
      </c>
      <c r="AA2588">
        <v>3.95</v>
      </c>
      <c r="AB2588" t="s">
        <v>20158</v>
      </c>
      <c r="AC2588" t="s">
        <v>11867</v>
      </c>
      <c r="AD2588" t="s">
        <v>5579</v>
      </c>
      <c r="AE2588" t="s">
        <v>4155</v>
      </c>
      <c r="AF2588" t="s">
        <v>3544</v>
      </c>
      <c r="AG2588" t="s">
        <v>1100</v>
      </c>
      <c r="AH2588" t="s">
        <v>4539</v>
      </c>
      <c r="AI2588" t="s">
        <v>2809</v>
      </c>
      <c r="AJ2588" t="s">
        <v>14672</v>
      </c>
      <c r="AK2588" t="s">
        <v>20642</v>
      </c>
      <c r="AL2588">
        <v>0.95</v>
      </c>
      <c r="AM2588">
        <v>0.54</v>
      </c>
      <c r="AN2588">
        <v>2.71</v>
      </c>
      <c r="AO2588" t="s">
        <v>6969</v>
      </c>
      <c r="AP2588" t="s">
        <v>4204</v>
      </c>
      <c r="AQ2588" t="s">
        <v>2339</v>
      </c>
      <c r="AR2588" t="s">
        <v>1760</v>
      </c>
      <c r="AS2588" t="s">
        <v>617</v>
      </c>
      <c r="AT2588" t="s">
        <v>14462</v>
      </c>
      <c r="AU2588" t="s">
        <v>5880</v>
      </c>
      <c r="AV2588" t="s">
        <v>7193</v>
      </c>
      <c r="AW2588" t="s">
        <v>9202</v>
      </c>
      <c r="AX2588" t="s">
        <v>1559</v>
      </c>
      <c r="AY2588" t="s">
        <v>9202</v>
      </c>
      <c r="AZ2588" t="s">
        <v>1477</v>
      </c>
      <c r="BA2588">
        <v>2.12</v>
      </c>
      <c r="BB2588">
        <v>7076.23</v>
      </c>
      <c r="BC2588">
        <v>0.39</v>
      </c>
      <c r="BD2588">
        <v>65.489999999999995</v>
      </c>
      <c r="BE2588">
        <v>65.66</v>
      </c>
      <c r="BF2588">
        <v>64.900000000000006</v>
      </c>
      <c r="BG2588" t="s">
        <v>24440</v>
      </c>
      <c r="BH2588" t="s">
        <v>9202</v>
      </c>
      <c r="BI2588" t="s">
        <v>24441</v>
      </c>
      <c r="BJ2588" t="s">
        <v>101</v>
      </c>
      <c r="BK2588" t="s">
        <v>6139</v>
      </c>
      <c r="BL2588" t="s">
        <v>7598</v>
      </c>
      <c r="BM2588" t="s">
        <v>9208</v>
      </c>
      <c r="BN2588" t="s">
        <v>23454</v>
      </c>
    </row>
    <row r="2589" spans="1:66" x14ac:dyDescent="0.25">
      <c r="A2589" t="str">
        <f>HYPERLINK("https://elite.finviz.com/quote.ashx?t=ENR&amp;ty=c&amp;p=d&amp;b=1", "ENR")</f>
        <v>ENR</v>
      </c>
      <c r="B2589">
        <v>5</v>
      </c>
      <c r="C2589">
        <v>116.22</v>
      </c>
      <c r="D2589">
        <v>36.03</v>
      </c>
      <c r="E2589" t="s">
        <v>24442</v>
      </c>
      <c r="F2589" t="s">
        <v>67</v>
      </c>
      <c r="G2589" t="s">
        <v>260</v>
      </c>
      <c r="H2589" t="s">
        <v>1128</v>
      </c>
      <c r="I2589" t="s">
        <v>70</v>
      </c>
      <c r="J2589" t="s">
        <v>71</v>
      </c>
      <c r="K2589">
        <v>1763.37</v>
      </c>
      <c r="L2589">
        <v>25.83</v>
      </c>
      <c r="M2589" t="s">
        <v>629</v>
      </c>
      <c r="N2589">
        <v>59828</v>
      </c>
      <c r="O2589">
        <v>7.44</v>
      </c>
      <c r="P2589">
        <v>6.86</v>
      </c>
      <c r="Q2589">
        <v>1.0900000000000001</v>
      </c>
      <c r="R2589">
        <v>0.6</v>
      </c>
      <c r="S2589">
        <v>9.7899999999999991</v>
      </c>
      <c r="T2589" t="s">
        <v>5100</v>
      </c>
      <c r="U2589">
        <v>1.2</v>
      </c>
      <c r="V2589" t="s">
        <v>5037</v>
      </c>
      <c r="W2589" t="s">
        <v>164</v>
      </c>
      <c r="X2589" t="s">
        <v>164</v>
      </c>
      <c r="Y2589" t="s">
        <v>164</v>
      </c>
      <c r="Z2589" t="s">
        <v>24443</v>
      </c>
      <c r="AA2589">
        <v>3.47</v>
      </c>
      <c r="AB2589" t="s">
        <v>24444</v>
      </c>
      <c r="AC2589" t="s">
        <v>4150</v>
      </c>
      <c r="AD2589" t="s">
        <v>9703</v>
      </c>
      <c r="AE2589" t="s">
        <v>1488</v>
      </c>
      <c r="AF2589" t="s">
        <v>6257</v>
      </c>
      <c r="AG2589" t="s">
        <v>2383</v>
      </c>
      <c r="AH2589" t="s">
        <v>4495</v>
      </c>
      <c r="AI2589" t="s">
        <v>24445</v>
      </c>
      <c r="AJ2589" t="s">
        <v>3169</v>
      </c>
      <c r="AK2589" t="s">
        <v>24155</v>
      </c>
      <c r="AL2589">
        <v>1.78</v>
      </c>
      <c r="AM2589">
        <v>0.84</v>
      </c>
      <c r="AN2589">
        <v>18.920000000000002</v>
      </c>
      <c r="AO2589" t="s">
        <v>13270</v>
      </c>
      <c r="AP2589" t="s">
        <v>7684</v>
      </c>
      <c r="AQ2589" t="s">
        <v>7436</v>
      </c>
      <c r="AR2589" t="s">
        <v>3519</v>
      </c>
      <c r="AS2589" t="s">
        <v>304</v>
      </c>
      <c r="AT2589" t="s">
        <v>8970</v>
      </c>
      <c r="AU2589" t="s">
        <v>3998</v>
      </c>
      <c r="AV2589" t="s">
        <v>2467</v>
      </c>
      <c r="AW2589" t="s">
        <v>11358</v>
      </c>
      <c r="AX2589" t="s">
        <v>2738</v>
      </c>
      <c r="AY2589" t="s">
        <v>24446</v>
      </c>
      <c r="AZ2589" t="s">
        <v>2131</v>
      </c>
      <c r="BA2589">
        <v>2.4300000000000002</v>
      </c>
      <c r="BB2589">
        <v>1075.1099999999999</v>
      </c>
      <c r="BC2589">
        <v>0.2</v>
      </c>
      <c r="BD2589">
        <v>25.82</v>
      </c>
      <c r="BE2589">
        <v>26.01</v>
      </c>
      <c r="BF2589">
        <v>25.78</v>
      </c>
      <c r="BG2589" t="s">
        <v>24447</v>
      </c>
      <c r="BH2589" t="s">
        <v>24448</v>
      </c>
      <c r="BI2589" t="s">
        <v>2131</v>
      </c>
      <c r="BJ2589" t="s">
        <v>101</v>
      </c>
      <c r="BK2589" t="s">
        <v>14730</v>
      </c>
      <c r="BL2589" t="s">
        <v>20524</v>
      </c>
      <c r="BM2589" t="s">
        <v>19351</v>
      </c>
      <c r="BN2589" t="s">
        <v>23454</v>
      </c>
    </row>
    <row r="2590" spans="1:66" x14ac:dyDescent="0.25">
      <c r="A2590" t="str">
        <f>HYPERLINK("https://elite.finviz.com/quote.ashx?t=IP&amp;ty=c&amp;p=d&amp;b=1", "IP")</f>
        <v>IP</v>
      </c>
      <c r="B2590">
        <v>5</v>
      </c>
      <c r="C2590">
        <v>116.22</v>
      </c>
      <c r="D2590">
        <v>36.11</v>
      </c>
      <c r="E2590" t="s">
        <v>24449</v>
      </c>
      <c r="F2590" t="s">
        <v>195</v>
      </c>
      <c r="G2590" t="s">
        <v>813</v>
      </c>
      <c r="H2590" t="s">
        <v>7355</v>
      </c>
      <c r="I2590" t="s">
        <v>70</v>
      </c>
      <c r="J2590" t="s">
        <v>71</v>
      </c>
      <c r="K2590">
        <v>23830.47</v>
      </c>
      <c r="L2590">
        <v>45.13</v>
      </c>
      <c r="M2590" t="s">
        <v>337</v>
      </c>
      <c r="N2590">
        <v>594081</v>
      </c>
      <c r="P2590">
        <v>14.58</v>
      </c>
      <c r="R2590">
        <v>1.0900000000000001</v>
      </c>
      <c r="S2590">
        <v>1.28</v>
      </c>
      <c r="T2590" t="s">
        <v>9651</v>
      </c>
      <c r="U2590">
        <v>1.85</v>
      </c>
      <c r="V2590" t="s">
        <v>3046</v>
      </c>
      <c r="W2590" t="s">
        <v>164</v>
      </c>
      <c r="X2590" t="s">
        <v>4367</v>
      </c>
      <c r="Y2590" t="s">
        <v>14607</v>
      </c>
      <c r="Z2590" t="s">
        <v>24450</v>
      </c>
      <c r="AA2590">
        <v>-0.1</v>
      </c>
      <c r="AB2590" t="s">
        <v>9911</v>
      </c>
      <c r="AC2590" t="s">
        <v>2545</v>
      </c>
      <c r="AD2590" t="s">
        <v>24451</v>
      </c>
      <c r="AE2590" t="s">
        <v>10695</v>
      </c>
      <c r="AF2590" t="s">
        <v>4953</v>
      </c>
      <c r="AG2590" t="s">
        <v>1387</v>
      </c>
      <c r="AH2590" t="s">
        <v>12655</v>
      </c>
      <c r="AI2590" t="s">
        <v>24137</v>
      </c>
      <c r="AJ2590" t="s">
        <v>386</v>
      </c>
      <c r="AK2590" t="s">
        <v>24452</v>
      </c>
      <c r="AL2590">
        <v>1.33</v>
      </c>
      <c r="AM2590">
        <v>0.96</v>
      </c>
      <c r="AN2590">
        <v>0.69</v>
      </c>
      <c r="AO2590" t="s">
        <v>245</v>
      </c>
      <c r="AP2590" t="s">
        <v>3635</v>
      </c>
      <c r="AQ2590" t="s">
        <v>2717</v>
      </c>
      <c r="AR2590" t="s">
        <v>3925</v>
      </c>
      <c r="AS2590" t="s">
        <v>2808</v>
      </c>
      <c r="AT2590" t="s">
        <v>156</v>
      </c>
      <c r="AU2590" t="s">
        <v>9471</v>
      </c>
      <c r="AV2590" t="s">
        <v>10240</v>
      </c>
      <c r="AW2590" t="s">
        <v>3386</v>
      </c>
      <c r="AX2590" t="s">
        <v>4801</v>
      </c>
      <c r="AY2590" t="s">
        <v>24453</v>
      </c>
      <c r="AZ2590" t="s">
        <v>1449</v>
      </c>
      <c r="BA2590">
        <v>2.33</v>
      </c>
      <c r="BB2590">
        <v>4246.8</v>
      </c>
      <c r="BC2590">
        <v>0.49</v>
      </c>
      <c r="BD2590">
        <v>45.32</v>
      </c>
      <c r="BE2590">
        <v>45.6</v>
      </c>
      <c r="BF2590">
        <v>45.05</v>
      </c>
      <c r="BG2590" t="s">
        <v>24454</v>
      </c>
      <c r="BH2590" t="s">
        <v>24455</v>
      </c>
      <c r="BI2590" t="s">
        <v>24456</v>
      </c>
      <c r="BJ2590" t="s">
        <v>101</v>
      </c>
      <c r="BK2590" t="s">
        <v>3780</v>
      </c>
      <c r="BL2590" t="s">
        <v>20057</v>
      </c>
      <c r="BM2590" t="s">
        <v>10617</v>
      </c>
      <c r="BN2590" t="s">
        <v>23454</v>
      </c>
    </row>
    <row r="2591" spans="1:66" x14ac:dyDescent="0.25">
      <c r="A2591" t="str">
        <f>HYPERLINK("https://elite.finviz.com/quote.ashx?t=PROP&amp;ty=c&amp;p=d&amp;b=1", "PROP")</f>
        <v>PROP</v>
      </c>
      <c r="B2591">
        <v>5</v>
      </c>
      <c r="C2591">
        <v>116.22</v>
      </c>
      <c r="D2591">
        <v>36.119999999999997</v>
      </c>
      <c r="E2591" t="s">
        <v>24457</v>
      </c>
      <c r="F2591" t="s">
        <v>67</v>
      </c>
      <c r="G2591" t="s">
        <v>1048</v>
      </c>
      <c r="H2591" t="s">
        <v>1049</v>
      </c>
      <c r="I2591" t="s">
        <v>70</v>
      </c>
      <c r="J2591" t="s">
        <v>321</v>
      </c>
      <c r="K2591">
        <v>94.77</v>
      </c>
      <c r="L2591">
        <v>1.88</v>
      </c>
      <c r="M2591" t="s">
        <v>439</v>
      </c>
      <c r="N2591">
        <v>247163</v>
      </c>
      <c r="P2591">
        <v>0.76</v>
      </c>
      <c r="R2591">
        <v>1.06</v>
      </c>
      <c r="S2591">
        <v>0.91</v>
      </c>
      <c r="AA2591">
        <v>-4.51</v>
      </c>
      <c r="AB2591" t="s">
        <v>13098</v>
      </c>
      <c r="AC2591" t="s">
        <v>23114</v>
      </c>
      <c r="AE2591" t="s">
        <v>24458</v>
      </c>
      <c r="AF2591" t="s">
        <v>24459</v>
      </c>
      <c r="AG2591" t="s">
        <v>15949</v>
      </c>
      <c r="AI2591" t="s">
        <v>24460</v>
      </c>
      <c r="AJ2591" t="s">
        <v>648</v>
      </c>
      <c r="AK2591" t="s">
        <v>5003</v>
      </c>
      <c r="AL2591">
        <v>0.6</v>
      </c>
      <c r="AM2591">
        <v>0.57999999999999996</v>
      </c>
      <c r="AN2591">
        <v>5.9</v>
      </c>
      <c r="AO2591" t="s">
        <v>3459</v>
      </c>
      <c r="AP2591" t="s">
        <v>13322</v>
      </c>
      <c r="AQ2591" t="s">
        <v>24461</v>
      </c>
      <c r="AR2591" t="s">
        <v>3566</v>
      </c>
      <c r="AS2591" t="s">
        <v>4760</v>
      </c>
      <c r="AT2591" t="s">
        <v>16279</v>
      </c>
      <c r="AU2591" t="s">
        <v>24462</v>
      </c>
      <c r="AV2591" t="s">
        <v>24463</v>
      </c>
      <c r="AW2591" t="s">
        <v>24464</v>
      </c>
      <c r="AX2591" t="s">
        <v>2484</v>
      </c>
      <c r="AY2591" t="s">
        <v>24465</v>
      </c>
      <c r="AZ2591" t="s">
        <v>2484</v>
      </c>
      <c r="BA2591">
        <v>1.75</v>
      </c>
      <c r="BB2591">
        <v>2008.79</v>
      </c>
      <c r="BC2591">
        <v>0.43</v>
      </c>
      <c r="BD2591">
        <v>1.88</v>
      </c>
      <c r="BE2591">
        <v>1.89</v>
      </c>
      <c r="BF2591">
        <v>1.88</v>
      </c>
      <c r="BG2591" t="s">
        <v>24466</v>
      </c>
      <c r="BH2591" t="s">
        <v>12285</v>
      </c>
      <c r="BI2591" t="s">
        <v>24467</v>
      </c>
      <c r="BJ2591" t="s">
        <v>101</v>
      </c>
      <c r="BK2591" t="s">
        <v>24468</v>
      </c>
      <c r="BL2591" t="s">
        <v>11352</v>
      </c>
      <c r="BM2591" t="s">
        <v>24469</v>
      </c>
      <c r="BN2591" t="s">
        <v>23454</v>
      </c>
    </row>
    <row r="2592" spans="1:66" x14ac:dyDescent="0.25">
      <c r="A2592" t="str">
        <f>HYPERLINK("https://elite.finviz.com/quote.ashx?t=LNW&amp;ty=c&amp;p=d&amp;b=1", "LNW")</f>
        <v>LNW</v>
      </c>
      <c r="B2592">
        <v>5</v>
      </c>
      <c r="C2592">
        <v>116.22</v>
      </c>
      <c r="D2592">
        <v>36.26</v>
      </c>
      <c r="E2592" t="s">
        <v>24470</v>
      </c>
      <c r="F2592" t="s">
        <v>107</v>
      </c>
      <c r="G2592" t="s">
        <v>813</v>
      </c>
      <c r="H2592" t="s">
        <v>10266</v>
      </c>
      <c r="I2592" t="s">
        <v>70</v>
      </c>
      <c r="J2592" t="s">
        <v>321</v>
      </c>
      <c r="K2592">
        <v>7058.23</v>
      </c>
      <c r="L2592">
        <v>84.08</v>
      </c>
      <c r="M2592" t="s">
        <v>6298</v>
      </c>
      <c r="N2592">
        <v>145524</v>
      </c>
      <c r="O2592">
        <v>21.28</v>
      </c>
      <c r="P2592">
        <v>13.2</v>
      </c>
      <c r="Q2592">
        <v>0.73</v>
      </c>
      <c r="R2592">
        <v>2.21</v>
      </c>
      <c r="S2592">
        <v>10.06</v>
      </c>
      <c r="Z2592" t="s">
        <v>164</v>
      </c>
      <c r="AA2592">
        <v>3.95</v>
      </c>
      <c r="AB2592" t="s">
        <v>8357</v>
      </c>
      <c r="AD2592" t="s">
        <v>16054</v>
      </c>
      <c r="AE2592" t="s">
        <v>3334</v>
      </c>
      <c r="AF2592" t="s">
        <v>4747</v>
      </c>
      <c r="AG2592" t="s">
        <v>6449</v>
      </c>
      <c r="AH2592" t="s">
        <v>2768</v>
      </c>
      <c r="AI2592" t="s">
        <v>2292</v>
      </c>
      <c r="AJ2592" t="s">
        <v>8593</v>
      </c>
      <c r="AK2592" t="s">
        <v>12920</v>
      </c>
      <c r="AL2592">
        <v>1.77</v>
      </c>
      <c r="AM2592">
        <v>1.51</v>
      </c>
      <c r="AN2592">
        <v>6.99</v>
      </c>
      <c r="AO2592" t="s">
        <v>5821</v>
      </c>
      <c r="AP2592" t="s">
        <v>2897</v>
      </c>
      <c r="AQ2592" t="s">
        <v>5551</v>
      </c>
      <c r="AR2592" t="s">
        <v>1776</v>
      </c>
      <c r="AS2592" t="s">
        <v>89</v>
      </c>
      <c r="AT2592" t="s">
        <v>13232</v>
      </c>
      <c r="AU2592" t="s">
        <v>15209</v>
      </c>
      <c r="AV2592" t="s">
        <v>6436</v>
      </c>
      <c r="AW2592" t="s">
        <v>7844</v>
      </c>
      <c r="AX2592" t="s">
        <v>11495</v>
      </c>
      <c r="AY2592" t="s">
        <v>9069</v>
      </c>
      <c r="AZ2592" t="s">
        <v>11495</v>
      </c>
      <c r="BA2592">
        <v>1.68</v>
      </c>
      <c r="BB2592">
        <v>1044.3800000000001</v>
      </c>
      <c r="BC2592">
        <v>0.49</v>
      </c>
      <c r="BD2592">
        <v>84.66</v>
      </c>
      <c r="BE2592">
        <v>85.76</v>
      </c>
      <c r="BF2592">
        <v>84</v>
      </c>
      <c r="BG2592" t="s">
        <v>24471</v>
      </c>
      <c r="BH2592" t="s">
        <v>3206</v>
      </c>
      <c r="BI2592" t="s">
        <v>24472</v>
      </c>
      <c r="BJ2592" t="s">
        <v>101</v>
      </c>
      <c r="BK2592" t="s">
        <v>15141</v>
      </c>
      <c r="BL2592" t="s">
        <v>5104</v>
      </c>
      <c r="BM2592" t="s">
        <v>2335</v>
      </c>
      <c r="BN2592" t="s">
        <v>23454</v>
      </c>
    </row>
    <row r="2593" spans="1:66" x14ac:dyDescent="0.25">
      <c r="A2593" t="str">
        <f>HYPERLINK("https://elite.finviz.com/quote.ashx?t=VRSK&amp;ty=c&amp;p=d&amp;b=1", "VRSK")</f>
        <v>VRSK</v>
      </c>
      <c r="B2593">
        <v>5</v>
      </c>
      <c r="C2593">
        <v>116.22</v>
      </c>
      <c r="D2593">
        <v>36.31</v>
      </c>
      <c r="E2593" t="s">
        <v>24473</v>
      </c>
      <c r="F2593" t="s">
        <v>319</v>
      </c>
      <c r="G2593" t="s">
        <v>260</v>
      </c>
      <c r="H2593" t="s">
        <v>2879</v>
      </c>
      <c r="I2593" t="s">
        <v>70</v>
      </c>
      <c r="J2593" t="s">
        <v>321</v>
      </c>
      <c r="K2593">
        <v>34685.629999999997</v>
      </c>
      <c r="L2593">
        <v>248.26</v>
      </c>
      <c r="M2593" t="s">
        <v>3257</v>
      </c>
      <c r="N2593">
        <v>248764</v>
      </c>
      <c r="O2593">
        <v>38.29</v>
      </c>
      <c r="P2593">
        <v>31.85</v>
      </c>
      <c r="Q2593">
        <v>3.97</v>
      </c>
      <c r="R2593">
        <v>11.61</v>
      </c>
      <c r="S2593">
        <v>111.27</v>
      </c>
      <c r="T2593" t="s">
        <v>4840</v>
      </c>
      <c r="U2593">
        <v>1.74</v>
      </c>
      <c r="V2593" t="s">
        <v>3833</v>
      </c>
      <c r="W2593" t="s">
        <v>5795</v>
      </c>
      <c r="X2593" t="s">
        <v>6981</v>
      </c>
      <c r="Y2593" t="s">
        <v>2363</v>
      </c>
      <c r="Z2593" t="s">
        <v>2422</v>
      </c>
      <c r="AA2593">
        <v>6.48</v>
      </c>
      <c r="AB2593" t="s">
        <v>1843</v>
      </c>
      <c r="AC2593" t="s">
        <v>1551</v>
      </c>
      <c r="AD2593" t="s">
        <v>127</v>
      </c>
      <c r="AE2593" t="s">
        <v>929</v>
      </c>
      <c r="AF2593" t="s">
        <v>2580</v>
      </c>
      <c r="AG2593" t="s">
        <v>6692</v>
      </c>
      <c r="AH2593" t="s">
        <v>5122</v>
      </c>
      <c r="AI2593" t="s">
        <v>3088</v>
      </c>
      <c r="AJ2593" t="s">
        <v>13438</v>
      </c>
      <c r="AK2593" t="s">
        <v>24474</v>
      </c>
      <c r="AL2593">
        <v>1.53</v>
      </c>
      <c r="AM2593">
        <v>1.53</v>
      </c>
      <c r="AN2593">
        <v>11</v>
      </c>
      <c r="AO2593" t="s">
        <v>17923</v>
      </c>
      <c r="AP2593" t="s">
        <v>4030</v>
      </c>
      <c r="AQ2593" t="s">
        <v>11690</v>
      </c>
      <c r="AR2593" t="s">
        <v>3856</v>
      </c>
      <c r="AS2593" t="s">
        <v>3118</v>
      </c>
      <c r="AT2593" t="s">
        <v>9087</v>
      </c>
      <c r="AU2593" t="s">
        <v>5138</v>
      </c>
      <c r="AV2593" t="s">
        <v>16941</v>
      </c>
      <c r="AW2593" t="s">
        <v>21008</v>
      </c>
      <c r="AX2593" t="s">
        <v>1926</v>
      </c>
      <c r="AY2593" t="s">
        <v>2497</v>
      </c>
      <c r="AZ2593" t="s">
        <v>1926</v>
      </c>
      <c r="BA2593">
        <v>2.19</v>
      </c>
      <c r="BB2593">
        <v>1143.33</v>
      </c>
      <c r="BC2593">
        <v>0.77</v>
      </c>
      <c r="BD2593">
        <v>244.06</v>
      </c>
      <c r="BE2593">
        <v>248.81</v>
      </c>
      <c r="BF2593">
        <v>242.6</v>
      </c>
      <c r="BG2593" t="s">
        <v>24475</v>
      </c>
      <c r="BH2593" t="s">
        <v>2497</v>
      </c>
      <c r="BI2593" t="s">
        <v>24476</v>
      </c>
      <c r="BJ2593" t="s">
        <v>101</v>
      </c>
      <c r="BK2593" t="s">
        <v>5637</v>
      </c>
      <c r="BL2593" t="s">
        <v>17327</v>
      </c>
      <c r="BM2593" t="s">
        <v>703</v>
      </c>
      <c r="BN2593" t="s">
        <v>23454</v>
      </c>
    </row>
    <row r="2594" spans="1:66" x14ac:dyDescent="0.25">
      <c r="A2594" t="str">
        <f>HYPERLINK("https://elite.finviz.com/quote.ashx?t=WGRX&amp;ty=c&amp;p=d&amp;b=1", "WGRX")</f>
        <v>WGRX</v>
      </c>
      <c r="B2594">
        <v>5</v>
      </c>
      <c r="C2594">
        <v>116.22</v>
      </c>
      <c r="D2594">
        <v>36.32</v>
      </c>
      <c r="E2594" t="s">
        <v>24477</v>
      </c>
      <c r="F2594" t="s">
        <v>107</v>
      </c>
      <c r="G2594" t="s">
        <v>428</v>
      </c>
      <c r="H2594" t="s">
        <v>12332</v>
      </c>
      <c r="I2594" t="s">
        <v>70</v>
      </c>
      <c r="J2594" t="s">
        <v>321</v>
      </c>
      <c r="K2594">
        <v>70.569999999999993</v>
      </c>
      <c r="L2594">
        <v>0.84</v>
      </c>
      <c r="M2594" t="s">
        <v>21194</v>
      </c>
      <c r="N2594">
        <v>1584905</v>
      </c>
      <c r="R2594">
        <v>1.92</v>
      </c>
      <c r="S2594">
        <v>58.4</v>
      </c>
      <c r="AA2594">
        <v>-0.75</v>
      </c>
      <c r="AB2594" t="s">
        <v>24478</v>
      </c>
      <c r="AE2594" t="s">
        <v>24479</v>
      </c>
      <c r="AH2594" t="s">
        <v>24480</v>
      </c>
      <c r="AJ2594" t="s">
        <v>164</v>
      </c>
      <c r="AK2594" t="s">
        <v>5036</v>
      </c>
      <c r="AL2594">
        <v>0.32</v>
      </c>
      <c r="AM2594">
        <v>0.11</v>
      </c>
      <c r="AN2594">
        <v>27.33</v>
      </c>
      <c r="AO2594" t="s">
        <v>4782</v>
      </c>
      <c r="AP2594" t="s">
        <v>24481</v>
      </c>
      <c r="AQ2594" t="s">
        <v>24482</v>
      </c>
      <c r="AR2594" t="s">
        <v>14195</v>
      </c>
      <c r="AS2594" t="s">
        <v>4096</v>
      </c>
      <c r="AT2594" t="s">
        <v>14710</v>
      </c>
      <c r="AU2594" t="s">
        <v>4831</v>
      </c>
      <c r="AV2594" t="s">
        <v>24483</v>
      </c>
      <c r="AW2594" t="s">
        <v>761</v>
      </c>
      <c r="AX2594" t="s">
        <v>2770</v>
      </c>
      <c r="AY2594" t="s">
        <v>24484</v>
      </c>
      <c r="AZ2594" t="s">
        <v>2770</v>
      </c>
      <c r="BB2594">
        <v>3219.92</v>
      </c>
      <c r="BC2594">
        <v>1.73</v>
      </c>
      <c r="BD2594">
        <v>1.01</v>
      </c>
      <c r="BE2594">
        <v>0.85</v>
      </c>
      <c r="BF2594">
        <v>0.74</v>
      </c>
      <c r="BG2594" t="s">
        <v>24485</v>
      </c>
      <c r="BH2594" t="s">
        <v>24484</v>
      </c>
      <c r="BI2594" t="s">
        <v>2770</v>
      </c>
      <c r="BJ2594" t="s">
        <v>101</v>
      </c>
      <c r="BK2594" t="s">
        <v>21194</v>
      </c>
      <c r="BL2594" t="s">
        <v>24486</v>
      </c>
      <c r="BN2594" t="s">
        <v>23454</v>
      </c>
    </row>
    <row r="2595" spans="1:66" x14ac:dyDescent="0.25">
      <c r="A2595" t="str">
        <f>HYPERLINK("https://elite.finviz.com/quote.ashx?t=ZONE&amp;ty=c&amp;p=d&amp;b=1", "ZONE")</f>
        <v>ZONE</v>
      </c>
      <c r="B2595">
        <v>5</v>
      </c>
      <c r="C2595">
        <v>116.22</v>
      </c>
      <c r="D2595">
        <v>36.36</v>
      </c>
      <c r="E2595" t="s">
        <v>24487</v>
      </c>
      <c r="F2595" t="s">
        <v>107</v>
      </c>
      <c r="G2595" t="s">
        <v>260</v>
      </c>
      <c r="H2595" t="s">
        <v>4347</v>
      </c>
      <c r="I2595" t="s">
        <v>70</v>
      </c>
      <c r="J2595" t="s">
        <v>383</v>
      </c>
      <c r="K2595">
        <v>32.090000000000003</v>
      </c>
      <c r="L2595">
        <v>2.0499999999999998</v>
      </c>
      <c r="M2595" t="s">
        <v>3814</v>
      </c>
      <c r="N2595">
        <v>398770</v>
      </c>
      <c r="R2595">
        <v>15.5</v>
      </c>
      <c r="S2595">
        <v>16.559999999999999</v>
      </c>
      <c r="AA2595">
        <v>-0.67</v>
      </c>
      <c r="AB2595" t="s">
        <v>24488</v>
      </c>
      <c r="AC2595" t="s">
        <v>24489</v>
      </c>
      <c r="AF2595" t="s">
        <v>12610</v>
      </c>
      <c r="AG2595" t="s">
        <v>1475</v>
      </c>
      <c r="AH2595" t="s">
        <v>19673</v>
      </c>
      <c r="AJ2595" t="s">
        <v>3286</v>
      </c>
      <c r="AK2595" t="s">
        <v>6056</v>
      </c>
      <c r="AL2595">
        <v>1.3</v>
      </c>
      <c r="AM2595">
        <v>0.82</v>
      </c>
      <c r="AN2595">
        <v>3.67</v>
      </c>
      <c r="AO2595" t="s">
        <v>14719</v>
      </c>
      <c r="AP2595" t="s">
        <v>24490</v>
      </c>
      <c r="AQ2595" t="s">
        <v>24491</v>
      </c>
      <c r="AR2595" t="s">
        <v>4455</v>
      </c>
      <c r="AS2595" t="s">
        <v>2441</v>
      </c>
      <c r="AT2595" t="s">
        <v>14210</v>
      </c>
      <c r="AU2595" t="s">
        <v>17663</v>
      </c>
      <c r="AV2595" t="s">
        <v>3408</v>
      </c>
      <c r="AW2595" t="s">
        <v>19719</v>
      </c>
      <c r="AX2595" t="s">
        <v>10736</v>
      </c>
      <c r="AY2595" t="s">
        <v>19719</v>
      </c>
      <c r="AZ2595" t="s">
        <v>24492</v>
      </c>
      <c r="BB2595">
        <v>1545.32</v>
      </c>
      <c r="BC2595">
        <v>0.91</v>
      </c>
      <c r="BD2595">
        <v>2.12</v>
      </c>
      <c r="BE2595">
        <v>2.19</v>
      </c>
      <c r="BF2595">
        <v>2.04</v>
      </c>
      <c r="BG2595" t="s">
        <v>24493</v>
      </c>
      <c r="BH2595" t="s">
        <v>19719</v>
      </c>
      <c r="BI2595" t="s">
        <v>24492</v>
      </c>
      <c r="BJ2595" t="s">
        <v>101</v>
      </c>
      <c r="BK2595" t="s">
        <v>2614</v>
      </c>
      <c r="BL2595" t="s">
        <v>24494</v>
      </c>
      <c r="BM2595" t="s">
        <v>4934</v>
      </c>
      <c r="BN2595" t="s">
        <v>23454</v>
      </c>
    </row>
    <row r="2596" spans="1:66" x14ac:dyDescent="0.25">
      <c r="A2596" t="str">
        <f>HYPERLINK("https://elite.finviz.com/quote.ashx?t=UGI&amp;ty=c&amp;p=d&amp;b=1", "UGI")</f>
        <v>UGI</v>
      </c>
      <c r="B2596">
        <v>5</v>
      </c>
      <c r="C2596">
        <v>116.22</v>
      </c>
      <c r="D2596">
        <v>36.369999999999997</v>
      </c>
      <c r="E2596" t="s">
        <v>24495</v>
      </c>
      <c r="F2596" t="s">
        <v>107</v>
      </c>
      <c r="G2596" t="s">
        <v>287</v>
      </c>
      <c r="H2596" t="s">
        <v>3541</v>
      </c>
      <c r="I2596" t="s">
        <v>70</v>
      </c>
      <c r="J2596" t="s">
        <v>71</v>
      </c>
      <c r="K2596">
        <v>7073.48</v>
      </c>
      <c r="L2596">
        <v>32.909999999999997</v>
      </c>
      <c r="M2596" t="s">
        <v>2734</v>
      </c>
      <c r="N2596">
        <v>250967</v>
      </c>
      <c r="O2596">
        <v>17.350000000000001</v>
      </c>
      <c r="P2596">
        <v>10.17</v>
      </c>
      <c r="Q2596">
        <v>3.93</v>
      </c>
      <c r="R2596">
        <v>0.96</v>
      </c>
      <c r="S2596">
        <v>1.46</v>
      </c>
      <c r="T2596" t="s">
        <v>371</v>
      </c>
      <c r="U2596">
        <v>1.5</v>
      </c>
      <c r="V2596" t="s">
        <v>3833</v>
      </c>
      <c r="W2596" t="s">
        <v>5968</v>
      </c>
      <c r="X2596" t="s">
        <v>975</v>
      </c>
      <c r="Y2596" t="s">
        <v>5090</v>
      </c>
      <c r="Z2596" t="s">
        <v>24496</v>
      </c>
      <c r="AA2596">
        <v>1.9</v>
      </c>
      <c r="AB2596" t="s">
        <v>1260</v>
      </c>
      <c r="AC2596" t="s">
        <v>7332</v>
      </c>
      <c r="AD2596" t="s">
        <v>7699</v>
      </c>
      <c r="AE2596" t="s">
        <v>148</v>
      </c>
      <c r="AF2596" t="s">
        <v>4312</v>
      </c>
      <c r="AG2596" t="s">
        <v>2003</v>
      </c>
      <c r="AH2596" t="s">
        <v>2759</v>
      </c>
      <c r="AI2596" t="s">
        <v>24497</v>
      </c>
      <c r="AJ2596" t="s">
        <v>164</v>
      </c>
      <c r="AK2596" t="s">
        <v>24498</v>
      </c>
      <c r="AL2596">
        <v>0.7</v>
      </c>
      <c r="AM2596">
        <v>0.56000000000000005</v>
      </c>
      <c r="AN2596">
        <v>1.43</v>
      </c>
      <c r="AO2596" t="s">
        <v>9467</v>
      </c>
      <c r="AP2596" t="s">
        <v>5662</v>
      </c>
      <c r="AQ2596" t="s">
        <v>1772</v>
      </c>
      <c r="AR2596" t="s">
        <v>2650</v>
      </c>
      <c r="AS2596" t="s">
        <v>3550</v>
      </c>
      <c r="AT2596" t="s">
        <v>12781</v>
      </c>
      <c r="AU2596" t="s">
        <v>7289</v>
      </c>
      <c r="AV2596" t="s">
        <v>7568</v>
      </c>
      <c r="AW2596" t="s">
        <v>968</v>
      </c>
      <c r="AX2596" t="s">
        <v>5692</v>
      </c>
      <c r="AY2596" t="s">
        <v>968</v>
      </c>
      <c r="AZ2596" t="s">
        <v>17899</v>
      </c>
      <c r="BA2596">
        <v>1.5</v>
      </c>
      <c r="BB2596">
        <v>1837.81</v>
      </c>
      <c r="BC2596">
        <v>0.48</v>
      </c>
      <c r="BD2596">
        <v>32.64</v>
      </c>
      <c r="BE2596">
        <v>33.08</v>
      </c>
      <c r="BF2596">
        <v>32.69</v>
      </c>
      <c r="BG2596" t="s">
        <v>24499</v>
      </c>
      <c r="BH2596" t="s">
        <v>24500</v>
      </c>
      <c r="BI2596" t="s">
        <v>24501</v>
      </c>
      <c r="BJ2596" t="s">
        <v>101</v>
      </c>
      <c r="BK2596" t="s">
        <v>12282</v>
      </c>
      <c r="BL2596" t="s">
        <v>6192</v>
      </c>
      <c r="BM2596" t="s">
        <v>932</v>
      </c>
      <c r="BN2596" t="s">
        <v>23454</v>
      </c>
    </row>
    <row r="2597" spans="1:66" x14ac:dyDescent="0.25">
      <c r="A2597" t="str">
        <f>HYPERLINK("https://elite.finviz.com/quote.ashx?t=NWL&amp;ty=c&amp;p=d&amp;b=1", "NWL")</f>
        <v>NWL</v>
      </c>
      <c r="B2597">
        <v>5</v>
      </c>
      <c r="C2597">
        <v>116.22</v>
      </c>
      <c r="D2597">
        <v>36.380000000000003</v>
      </c>
      <c r="E2597" t="s">
        <v>24502</v>
      </c>
      <c r="F2597" t="s">
        <v>107</v>
      </c>
      <c r="G2597" t="s">
        <v>2244</v>
      </c>
      <c r="H2597" t="s">
        <v>5311</v>
      </c>
      <c r="I2597" t="s">
        <v>70</v>
      </c>
      <c r="J2597" t="s">
        <v>321</v>
      </c>
      <c r="K2597">
        <v>2191.9</v>
      </c>
      <c r="L2597">
        <v>5.23</v>
      </c>
      <c r="M2597" t="s">
        <v>9136</v>
      </c>
      <c r="N2597">
        <v>796845</v>
      </c>
      <c r="P2597">
        <v>7.06</v>
      </c>
      <c r="R2597">
        <v>0.3</v>
      </c>
      <c r="S2597">
        <v>0.81</v>
      </c>
      <c r="T2597" t="s">
        <v>10926</v>
      </c>
      <c r="U2597">
        <v>0.28000000000000003</v>
      </c>
      <c r="V2597" t="s">
        <v>4882</v>
      </c>
      <c r="W2597" t="s">
        <v>20332</v>
      </c>
      <c r="X2597" t="s">
        <v>1623</v>
      </c>
      <c r="Y2597" t="s">
        <v>924</v>
      </c>
      <c r="AA2597">
        <v>-0.59</v>
      </c>
      <c r="AD2597" t="s">
        <v>2492</v>
      </c>
      <c r="AE2597" t="s">
        <v>3704</v>
      </c>
      <c r="AF2597" t="s">
        <v>1399</v>
      </c>
      <c r="AG2597" t="s">
        <v>18188</v>
      </c>
      <c r="AH2597" t="s">
        <v>681</v>
      </c>
      <c r="AI2597" t="s">
        <v>629</v>
      </c>
      <c r="AJ2597" t="s">
        <v>1364</v>
      </c>
      <c r="AK2597" t="s">
        <v>24200</v>
      </c>
      <c r="AL2597">
        <v>1.1200000000000001</v>
      </c>
      <c r="AM2597">
        <v>0.56999999999999995</v>
      </c>
      <c r="AN2597">
        <v>2.09</v>
      </c>
      <c r="AO2597" t="s">
        <v>24503</v>
      </c>
      <c r="AP2597" t="s">
        <v>4966</v>
      </c>
      <c r="AQ2597" t="s">
        <v>5928</v>
      </c>
      <c r="AR2597" t="s">
        <v>4093</v>
      </c>
      <c r="AS2597" t="s">
        <v>2108</v>
      </c>
      <c r="AT2597" t="s">
        <v>5853</v>
      </c>
      <c r="AU2597" t="s">
        <v>14874</v>
      </c>
      <c r="AV2597" t="s">
        <v>24504</v>
      </c>
      <c r="AW2597" t="s">
        <v>619</v>
      </c>
      <c r="AX2597" t="s">
        <v>3420</v>
      </c>
      <c r="AY2597" t="s">
        <v>11582</v>
      </c>
      <c r="AZ2597" t="s">
        <v>9732</v>
      </c>
      <c r="BA2597">
        <v>2.36</v>
      </c>
      <c r="BB2597">
        <v>7673.04</v>
      </c>
      <c r="BC2597">
        <v>0.37</v>
      </c>
      <c r="BD2597">
        <v>5.15</v>
      </c>
      <c r="BE2597">
        <v>5.27</v>
      </c>
      <c r="BF2597">
        <v>5.12</v>
      </c>
      <c r="BG2597" t="s">
        <v>24505</v>
      </c>
      <c r="BH2597" t="s">
        <v>1015</v>
      </c>
      <c r="BI2597" t="s">
        <v>24506</v>
      </c>
      <c r="BJ2597" t="s">
        <v>101</v>
      </c>
      <c r="BK2597" t="s">
        <v>7689</v>
      </c>
      <c r="BL2597" t="s">
        <v>24507</v>
      </c>
      <c r="BM2597" t="s">
        <v>10129</v>
      </c>
      <c r="BN2597" t="s">
        <v>23454</v>
      </c>
    </row>
    <row r="2598" spans="1:66" x14ac:dyDescent="0.25">
      <c r="A2598" t="str">
        <f>HYPERLINK("https://elite.finviz.com/quote.ashx?t=SYK&amp;ty=c&amp;p=d&amp;b=1", "SYK")</f>
        <v>SYK</v>
      </c>
      <c r="B2598">
        <v>5</v>
      </c>
      <c r="C2598">
        <v>116.22</v>
      </c>
      <c r="D2598">
        <v>36.39</v>
      </c>
      <c r="E2598" t="s">
        <v>24508</v>
      </c>
      <c r="F2598" t="s">
        <v>195</v>
      </c>
      <c r="G2598" t="s">
        <v>428</v>
      </c>
      <c r="H2598" t="s">
        <v>2051</v>
      </c>
      <c r="I2598" t="s">
        <v>70</v>
      </c>
      <c r="J2598" t="s">
        <v>71</v>
      </c>
      <c r="K2598">
        <v>141707.94</v>
      </c>
      <c r="L2598">
        <v>370.67</v>
      </c>
      <c r="M2598" t="s">
        <v>2216</v>
      </c>
      <c r="N2598">
        <v>140912</v>
      </c>
      <c r="O2598">
        <v>49.05</v>
      </c>
      <c r="P2598">
        <v>24.77</v>
      </c>
      <c r="Q2598">
        <v>4.4000000000000004</v>
      </c>
      <c r="R2598">
        <v>5.95</v>
      </c>
      <c r="S2598">
        <v>6.69</v>
      </c>
      <c r="T2598" t="s">
        <v>458</v>
      </c>
      <c r="U2598">
        <v>3.32</v>
      </c>
      <c r="V2598" t="s">
        <v>198</v>
      </c>
      <c r="W2598" t="s">
        <v>216</v>
      </c>
      <c r="X2598" t="s">
        <v>2678</v>
      </c>
      <c r="Y2598" t="s">
        <v>607</v>
      </c>
      <c r="Z2598" t="s">
        <v>24509</v>
      </c>
      <c r="AA2598">
        <v>7.56</v>
      </c>
      <c r="AB2598" t="s">
        <v>3789</v>
      </c>
      <c r="AC2598" t="s">
        <v>1507</v>
      </c>
      <c r="AD2598" t="s">
        <v>2656</v>
      </c>
      <c r="AE2598" t="s">
        <v>4903</v>
      </c>
      <c r="AF2598" t="s">
        <v>3581</v>
      </c>
      <c r="AG2598" t="s">
        <v>4867</v>
      </c>
      <c r="AH2598" t="s">
        <v>3759</v>
      </c>
      <c r="AI2598" t="s">
        <v>1439</v>
      </c>
      <c r="AJ2598" t="s">
        <v>364</v>
      </c>
      <c r="AK2598" t="s">
        <v>4252</v>
      </c>
      <c r="AL2598">
        <v>1.78</v>
      </c>
      <c r="AM2598">
        <v>1.06</v>
      </c>
      <c r="AN2598">
        <v>0.81</v>
      </c>
      <c r="AO2598" t="s">
        <v>24510</v>
      </c>
      <c r="AP2598" t="s">
        <v>10109</v>
      </c>
      <c r="AQ2598" t="s">
        <v>4087</v>
      </c>
      <c r="AR2598" t="s">
        <v>3487</v>
      </c>
      <c r="AS2598" t="s">
        <v>2186</v>
      </c>
      <c r="AT2598" t="s">
        <v>11402</v>
      </c>
      <c r="AU2598" t="s">
        <v>3124</v>
      </c>
      <c r="AV2598" t="s">
        <v>5661</v>
      </c>
      <c r="AW2598" t="s">
        <v>6303</v>
      </c>
      <c r="AX2598" t="s">
        <v>744</v>
      </c>
      <c r="AY2598" t="s">
        <v>125</v>
      </c>
      <c r="AZ2598" t="s">
        <v>6329</v>
      </c>
      <c r="BA2598">
        <v>1.79</v>
      </c>
      <c r="BB2598">
        <v>1243.3599999999999</v>
      </c>
      <c r="BC2598">
        <v>0.4</v>
      </c>
      <c r="BD2598">
        <v>368.57</v>
      </c>
      <c r="BE2598">
        <v>372.3</v>
      </c>
      <c r="BF2598">
        <v>368.57</v>
      </c>
      <c r="BG2598" t="s">
        <v>24511</v>
      </c>
      <c r="BH2598" t="s">
        <v>125</v>
      </c>
      <c r="BI2598" t="s">
        <v>24512</v>
      </c>
      <c r="BJ2598" t="s">
        <v>101</v>
      </c>
      <c r="BK2598" t="s">
        <v>2593</v>
      </c>
      <c r="BL2598" t="s">
        <v>3013</v>
      </c>
      <c r="BM2598" t="s">
        <v>4976</v>
      </c>
      <c r="BN2598" t="s">
        <v>23454</v>
      </c>
    </row>
    <row r="2599" spans="1:66" x14ac:dyDescent="0.25">
      <c r="A2599" t="str">
        <f>HYPERLINK("https://elite.finviz.com/quote.ashx?t=TXG&amp;ty=c&amp;p=d&amp;b=1", "TXG")</f>
        <v>TXG</v>
      </c>
      <c r="B2599">
        <v>5</v>
      </c>
      <c r="C2599">
        <v>116.22</v>
      </c>
      <c r="D2599">
        <v>36.409999999999997</v>
      </c>
      <c r="E2599" t="s">
        <v>24513</v>
      </c>
      <c r="F2599" t="s">
        <v>67</v>
      </c>
      <c r="G2599" t="s">
        <v>428</v>
      </c>
      <c r="H2599" t="s">
        <v>2075</v>
      </c>
      <c r="I2599" t="s">
        <v>70</v>
      </c>
      <c r="J2599" t="s">
        <v>321</v>
      </c>
      <c r="K2599">
        <v>1467.48</v>
      </c>
      <c r="L2599">
        <v>11.79</v>
      </c>
      <c r="M2599" t="s">
        <v>5153</v>
      </c>
      <c r="N2599">
        <v>325035</v>
      </c>
      <c r="R2599">
        <v>2.2799999999999998</v>
      </c>
      <c r="S2599">
        <v>1.9</v>
      </c>
      <c r="AA2599">
        <v>-0.7</v>
      </c>
      <c r="AB2599" t="s">
        <v>24514</v>
      </c>
      <c r="AC2599" t="s">
        <v>24515</v>
      </c>
      <c r="AD2599" t="s">
        <v>4292</v>
      </c>
      <c r="AE2599" t="s">
        <v>6692</v>
      </c>
      <c r="AF2599" t="s">
        <v>2351</v>
      </c>
      <c r="AG2599" t="s">
        <v>6001</v>
      </c>
      <c r="AH2599" t="s">
        <v>9545</v>
      </c>
      <c r="AI2599" t="s">
        <v>24516</v>
      </c>
      <c r="AJ2599" t="s">
        <v>15000</v>
      </c>
      <c r="AK2599" t="s">
        <v>24517</v>
      </c>
      <c r="AL2599">
        <v>5.84</v>
      </c>
      <c r="AM2599">
        <v>5.23</v>
      </c>
      <c r="AN2599">
        <v>0.11</v>
      </c>
      <c r="AO2599" t="s">
        <v>24518</v>
      </c>
      <c r="AP2599" t="s">
        <v>11657</v>
      </c>
      <c r="AQ2599" t="s">
        <v>11529</v>
      </c>
      <c r="AR2599" t="s">
        <v>4744</v>
      </c>
      <c r="AS2599" t="s">
        <v>7699</v>
      </c>
      <c r="AT2599" t="s">
        <v>6798</v>
      </c>
      <c r="AU2599" t="s">
        <v>24165</v>
      </c>
      <c r="AV2599" t="s">
        <v>2426</v>
      </c>
      <c r="AW2599" t="s">
        <v>24519</v>
      </c>
      <c r="AX2599" t="s">
        <v>5132</v>
      </c>
      <c r="AY2599" t="s">
        <v>12454</v>
      </c>
      <c r="AZ2599" t="s">
        <v>24520</v>
      </c>
      <c r="BA2599">
        <v>2.25</v>
      </c>
      <c r="BB2599">
        <v>3145.02</v>
      </c>
      <c r="BC2599">
        <v>0.36</v>
      </c>
      <c r="BD2599">
        <v>11.95</v>
      </c>
      <c r="BE2599">
        <v>12.02</v>
      </c>
      <c r="BF2599">
        <v>11.78</v>
      </c>
      <c r="BG2599" t="s">
        <v>24521</v>
      </c>
      <c r="BH2599" t="s">
        <v>24522</v>
      </c>
      <c r="BI2599" t="s">
        <v>24520</v>
      </c>
      <c r="BJ2599" t="s">
        <v>101</v>
      </c>
      <c r="BK2599" t="s">
        <v>1657</v>
      </c>
      <c r="BL2599" t="s">
        <v>553</v>
      </c>
      <c r="BM2599" t="s">
        <v>24118</v>
      </c>
      <c r="BN2599" t="s">
        <v>23454</v>
      </c>
    </row>
    <row r="2600" spans="1:66" x14ac:dyDescent="0.25">
      <c r="A2600" t="str">
        <f>HYPERLINK("https://elite.finviz.com/quote.ashx?t=TDUP&amp;ty=c&amp;p=d&amp;b=1", "TDUP")</f>
        <v>TDUP</v>
      </c>
      <c r="B2600">
        <v>5</v>
      </c>
      <c r="C2600">
        <v>116.22</v>
      </c>
      <c r="D2600">
        <v>36.42</v>
      </c>
      <c r="E2600" t="s">
        <v>24523</v>
      </c>
      <c r="F2600" t="s">
        <v>67</v>
      </c>
      <c r="G2600" t="s">
        <v>813</v>
      </c>
      <c r="H2600" t="s">
        <v>4388</v>
      </c>
      <c r="I2600" t="s">
        <v>70</v>
      </c>
      <c r="J2600" t="s">
        <v>321</v>
      </c>
      <c r="K2600">
        <v>1130.6199999999999</v>
      </c>
      <c r="L2600">
        <v>9.18</v>
      </c>
      <c r="M2600" t="s">
        <v>7598</v>
      </c>
      <c r="N2600">
        <v>306056</v>
      </c>
      <c r="R2600">
        <v>3.91</v>
      </c>
      <c r="S2600">
        <v>18.760000000000002</v>
      </c>
      <c r="AA2600">
        <v>-0.5</v>
      </c>
      <c r="AB2600" t="s">
        <v>7154</v>
      </c>
      <c r="AC2600" t="s">
        <v>468</v>
      </c>
      <c r="AD2600" t="s">
        <v>4905</v>
      </c>
      <c r="AE2600" t="s">
        <v>12091</v>
      </c>
      <c r="AF2600" t="s">
        <v>344</v>
      </c>
      <c r="AG2600" t="s">
        <v>2438</v>
      </c>
      <c r="AH2600" t="s">
        <v>2617</v>
      </c>
      <c r="AI2600" t="s">
        <v>3238</v>
      </c>
      <c r="AJ2600" t="s">
        <v>9417</v>
      </c>
      <c r="AK2600" t="s">
        <v>10639</v>
      </c>
      <c r="AL2600">
        <v>0.96</v>
      </c>
      <c r="AM2600">
        <v>0.96</v>
      </c>
      <c r="AN2600">
        <v>0.94</v>
      </c>
      <c r="AO2600" t="s">
        <v>14917</v>
      </c>
      <c r="AP2600" t="s">
        <v>9472</v>
      </c>
      <c r="AQ2600" t="s">
        <v>24507</v>
      </c>
      <c r="AR2600" t="s">
        <v>6460</v>
      </c>
      <c r="AS2600" t="s">
        <v>7453</v>
      </c>
      <c r="AT2600" t="s">
        <v>14774</v>
      </c>
      <c r="AU2600" t="s">
        <v>4868</v>
      </c>
      <c r="AV2600" t="s">
        <v>1036</v>
      </c>
      <c r="AW2600" t="s">
        <v>24524</v>
      </c>
      <c r="AX2600" t="s">
        <v>15177</v>
      </c>
      <c r="AY2600" t="s">
        <v>24524</v>
      </c>
      <c r="AZ2600" t="s">
        <v>24525</v>
      </c>
      <c r="BA2600">
        <v>1.4</v>
      </c>
      <c r="BB2600">
        <v>2398.41</v>
      </c>
      <c r="BC2600">
        <v>0.45</v>
      </c>
      <c r="BD2600">
        <v>9.31</v>
      </c>
      <c r="BE2600">
        <v>9.42</v>
      </c>
      <c r="BF2600">
        <v>9.17</v>
      </c>
      <c r="BG2600" t="s">
        <v>24526</v>
      </c>
      <c r="BH2600" t="s">
        <v>21658</v>
      </c>
      <c r="BI2600" t="s">
        <v>24525</v>
      </c>
      <c r="BJ2600" t="s">
        <v>101</v>
      </c>
      <c r="BK2600" t="s">
        <v>24527</v>
      </c>
      <c r="BL2600" t="s">
        <v>24528</v>
      </c>
      <c r="BM2600" t="s">
        <v>24529</v>
      </c>
      <c r="BN2600" t="s">
        <v>23454</v>
      </c>
    </row>
    <row r="2601" spans="1:66" x14ac:dyDescent="0.25">
      <c r="A2601" t="str">
        <f>HYPERLINK("https://elite.finviz.com/quote.ashx?t=JELD&amp;ty=c&amp;p=d&amp;b=1", "JELD")</f>
        <v>JELD</v>
      </c>
      <c r="B2601">
        <v>5</v>
      </c>
      <c r="C2601">
        <v>116.22</v>
      </c>
      <c r="D2601">
        <v>36.43</v>
      </c>
      <c r="E2601" t="s">
        <v>24530</v>
      </c>
      <c r="F2601" t="s">
        <v>67</v>
      </c>
      <c r="G2601" t="s">
        <v>260</v>
      </c>
      <c r="H2601" t="s">
        <v>3225</v>
      </c>
      <c r="I2601" t="s">
        <v>70</v>
      </c>
      <c r="J2601" t="s">
        <v>71</v>
      </c>
      <c r="K2601">
        <v>435.15</v>
      </c>
      <c r="L2601">
        <v>5.0999999999999996</v>
      </c>
      <c r="M2601" t="s">
        <v>2757</v>
      </c>
      <c r="N2601">
        <v>156290</v>
      </c>
      <c r="P2601">
        <v>14.33</v>
      </c>
      <c r="R2601">
        <v>0.13</v>
      </c>
      <c r="S2601">
        <v>0.91</v>
      </c>
      <c r="AA2601">
        <v>-4.17</v>
      </c>
      <c r="AD2601" t="s">
        <v>3729</v>
      </c>
      <c r="AE2601" t="s">
        <v>6907</v>
      </c>
      <c r="AF2601" t="s">
        <v>14732</v>
      </c>
      <c r="AG2601" t="s">
        <v>17603</v>
      </c>
      <c r="AH2601" t="s">
        <v>14754</v>
      </c>
      <c r="AI2601" t="s">
        <v>14594</v>
      </c>
      <c r="AJ2601" t="s">
        <v>18027</v>
      </c>
      <c r="AK2601" t="s">
        <v>13019</v>
      </c>
      <c r="AL2601">
        <v>1.77</v>
      </c>
      <c r="AM2601">
        <v>1.04</v>
      </c>
      <c r="AN2601">
        <v>2.88</v>
      </c>
      <c r="AO2601" t="s">
        <v>3766</v>
      </c>
      <c r="AP2601" t="s">
        <v>6155</v>
      </c>
      <c r="AQ2601" t="s">
        <v>14242</v>
      </c>
      <c r="AR2601" t="s">
        <v>4678</v>
      </c>
      <c r="AS2601" t="s">
        <v>6226</v>
      </c>
      <c r="AT2601" t="s">
        <v>18581</v>
      </c>
      <c r="AU2601" t="s">
        <v>12282</v>
      </c>
      <c r="AV2601" t="s">
        <v>14820</v>
      </c>
      <c r="AW2601" t="s">
        <v>22943</v>
      </c>
      <c r="AX2601" t="s">
        <v>7007</v>
      </c>
      <c r="AY2601" t="s">
        <v>13130</v>
      </c>
      <c r="AZ2601" t="s">
        <v>14924</v>
      </c>
      <c r="BA2601">
        <v>3.25</v>
      </c>
      <c r="BB2601">
        <v>1571.82</v>
      </c>
      <c r="BC2601">
        <v>0.35</v>
      </c>
      <c r="BD2601">
        <v>5.09</v>
      </c>
      <c r="BE2601">
        <v>5.16</v>
      </c>
      <c r="BF2601">
        <v>5.0599999999999996</v>
      </c>
      <c r="BG2601" t="s">
        <v>24531</v>
      </c>
      <c r="BH2601" t="s">
        <v>21897</v>
      </c>
      <c r="BI2601" t="s">
        <v>14924</v>
      </c>
      <c r="BJ2601" t="s">
        <v>101</v>
      </c>
      <c r="BK2601" t="s">
        <v>18603</v>
      </c>
      <c r="BL2601" t="s">
        <v>9364</v>
      </c>
      <c r="BM2601" t="s">
        <v>24532</v>
      </c>
      <c r="BN2601" t="s">
        <v>23454</v>
      </c>
    </row>
    <row r="2602" spans="1:66" x14ac:dyDescent="0.25">
      <c r="A2602" t="str">
        <f>HYPERLINK("https://elite.finviz.com/quote.ashx?t=WLK&amp;ty=c&amp;p=d&amp;b=1", "WLK")</f>
        <v>WLK</v>
      </c>
      <c r="B2602">
        <v>5</v>
      </c>
      <c r="C2602">
        <v>116.22</v>
      </c>
      <c r="D2602">
        <v>36.43</v>
      </c>
      <c r="E2602" t="s">
        <v>24533</v>
      </c>
      <c r="F2602" t="s">
        <v>107</v>
      </c>
      <c r="G2602" t="s">
        <v>355</v>
      </c>
      <c r="H2602" t="s">
        <v>1147</v>
      </c>
      <c r="I2602" t="s">
        <v>70</v>
      </c>
      <c r="J2602" t="s">
        <v>71</v>
      </c>
      <c r="K2602">
        <v>9892.92</v>
      </c>
      <c r="L2602">
        <v>77.14</v>
      </c>
      <c r="M2602" t="s">
        <v>4780</v>
      </c>
      <c r="N2602">
        <v>241727</v>
      </c>
      <c r="P2602">
        <v>27.18</v>
      </c>
      <c r="R2602">
        <v>0.84</v>
      </c>
      <c r="S2602">
        <v>0.96</v>
      </c>
      <c r="T2602" t="s">
        <v>3456</v>
      </c>
      <c r="U2602">
        <v>2.1</v>
      </c>
      <c r="V2602" t="s">
        <v>10236</v>
      </c>
      <c r="W2602" t="s">
        <v>2907</v>
      </c>
      <c r="X2602" t="s">
        <v>2885</v>
      </c>
      <c r="Y2602" t="s">
        <v>1723</v>
      </c>
      <c r="Z2602" t="s">
        <v>10635</v>
      </c>
      <c r="AA2602">
        <v>-0.53</v>
      </c>
      <c r="AB2602" t="s">
        <v>14269</v>
      </c>
      <c r="AC2602" t="s">
        <v>4850</v>
      </c>
      <c r="AD2602" t="s">
        <v>9019</v>
      </c>
      <c r="AE2602" t="s">
        <v>6130</v>
      </c>
      <c r="AF2602" t="s">
        <v>5577</v>
      </c>
      <c r="AG2602" t="s">
        <v>8050</v>
      </c>
      <c r="AH2602" t="s">
        <v>10411</v>
      </c>
      <c r="AI2602" t="s">
        <v>24534</v>
      </c>
      <c r="AJ2602" t="s">
        <v>164</v>
      </c>
      <c r="AK2602" t="s">
        <v>8411</v>
      </c>
      <c r="AL2602">
        <v>2.4700000000000002</v>
      </c>
      <c r="AM2602">
        <v>1.75</v>
      </c>
      <c r="AN2602">
        <v>0.54</v>
      </c>
      <c r="AO2602" t="s">
        <v>3468</v>
      </c>
      <c r="AP2602" t="s">
        <v>4154</v>
      </c>
      <c r="AQ2602" t="s">
        <v>3896</v>
      </c>
      <c r="AR2602" t="s">
        <v>3173</v>
      </c>
      <c r="AS2602" t="s">
        <v>4189</v>
      </c>
      <c r="AT2602" t="s">
        <v>2746</v>
      </c>
      <c r="AU2602" t="s">
        <v>8230</v>
      </c>
      <c r="AV2602" t="s">
        <v>8527</v>
      </c>
      <c r="AW2602" t="s">
        <v>15397</v>
      </c>
      <c r="AX2602" t="s">
        <v>4945</v>
      </c>
      <c r="AY2602" t="s">
        <v>24535</v>
      </c>
      <c r="AZ2602" t="s">
        <v>3918</v>
      </c>
      <c r="BA2602">
        <v>2</v>
      </c>
      <c r="BB2602">
        <v>1180.5</v>
      </c>
      <c r="BC2602">
        <v>0.72</v>
      </c>
      <c r="BD2602">
        <v>76</v>
      </c>
      <c r="BE2602">
        <v>77.5</v>
      </c>
      <c r="BF2602">
        <v>76.62</v>
      </c>
      <c r="BG2602" t="s">
        <v>24536</v>
      </c>
      <c r="BH2602" t="s">
        <v>24537</v>
      </c>
      <c r="BI2602" t="s">
        <v>24538</v>
      </c>
      <c r="BJ2602" t="s">
        <v>101</v>
      </c>
      <c r="BK2602" t="s">
        <v>1559</v>
      </c>
      <c r="BL2602" t="s">
        <v>24539</v>
      </c>
      <c r="BM2602" t="s">
        <v>24540</v>
      </c>
      <c r="BN2602" t="s">
        <v>23454</v>
      </c>
    </row>
    <row r="2603" spans="1:66" x14ac:dyDescent="0.25">
      <c r="A2603" t="str">
        <f>HYPERLINK("https://elite.finviz.com/quote.ashx?t=DOV&amp;ty=c&amp;p=d&amp;b=1", "DOV")</f>
        <v>DOV</v>
      </c>
      <c r="B2603">
        <v>5</v>
      </c>
      <c r="C2603">
        <v>116.22</v>
      </c>
      <c r="D2603">
        <v>36.47</v>
      </c>
      <c r="E2603" t="s">
        <v>24541</v>
      </c>
      <c r="F2603" t="s">
        <v>195</v>
      </c>
      <c r="G2603" t="s">
        <v>260</v>
      </c>
      <c r="H2603" t="s">
        <v>261</v>
      </c>
      <c r="I2603" t="s">
        <v>70</v>
      </c>
      <c r="J2603" t="s">
        <v>71</v>
      </c>
      <c r="K2603">
        <v>22965.9</v>
      </c>
      <c r="L2603">
        <v>167.47</v>
      </c>
      <c r="M2603" t="s">
        <v>1279</v>
      </c>
      <c r="N2603">
        <v>112506</v>
      </c>
      <c r="O2603">
        <v>10.1</v>
      </c>
      <c r="P2603">
        <v>15.96</v>
      </c>
      <c r="Q2603">
        <v>0.92</v>
      </c>
      <c r="R2603">
        <v>2.93</v>
      </c>
      <c r="S2603">
        <v>3.09</v>
      </c>
      <c r="T2603" t="s">
        <v>3350</v>
      </c>
      <c r="U2603">
        <v>2.0699999999999998</v>
      </c>
      <c r="V2603" t="s">
        <v>4882</v>
      </c>
      <c r="W2603" t="s">
        <v>1338</v>
      </c>
      <c r="X2603" t="s">
        <v>1457</v>
      </c>
      <c r="Y2603" t="s">
        <v>3018</v>
      </c>
      <c r="Z2603" t="s">
        <v>2376</v>
      </c>
      <c r="AA2603">
        <v>16.59</v>
      </c>
      <c r="AB2603" t="s">
        <v>8124</v>
      </c>
      <c r="AC2603" t="s">
        <v>8927</v>
      </c>
      <c r="AD2603" t="s">
        <v>6587</v>
      </c>
      <c r="AE2603" t="s">
        <v>5480</v>
      </c>
      <c r="AF2603" t="s">
        <v>2965</v>
      </c>
      <c r="AG2603" t="s">
        <v>2175</v>
      </c>
      <c r="AH2603" t="s">
        <v>625</v>
      </c>
      <c r="AI2603" t="s">
        <v>4276</v>
      </c>
      <c r="AJ2603" t="s">
        <v>164</v>
      </c>
      <c r="AK2603" t="s">
        <v>24542</v>
      </c>
      <c r="AL2603">
        <v>1.95</v>
      </c>
      <c r="AM2603">
        <v>1.35</v>
      </c>
      <c r="AN2603">
        <v>0.41</v>
      </c>
      <c r="AO2603" t="s">
        <v>10507</v>
      </c>
      <c r="AP2603" t="s">
        <v>8735</v>
      </c>
      <c r="AQ2603" t="s">
        <v>1679</v>
      </c>
      <c r="AR2603" t="s">
        <v>2449</v>
      </c>
      <c r="AS2603" t="s">
        <v>6493</v>
      </c>
      <c r="AT2603" t="s">
        <v>2136</v>
      </c>
      <c r="AU2603" t="s">
        <v>2593</v>
      </c>
      <c r="AV2603" t="s">
        <v>278</v>
      </c>
      <c r="AW2603" t="s">
        <v>19619</v>
      </c>
      <c r="AX2603" t="s">
        <v>7322</v>
      </c>
      <c r="AY2603" t="s">
        <v>2247</v>
      </c>
      <c r="AZ2603" t="s">
        <v>14779</v>
      </c>
      <c r="BA2603">
        <v>1.95</v>
      </c>
      <c r="BB2603">
        <v>1022.91</v>
      </c>
      <c r="BC2603">
        <v>0.39</v>
      </c>
      <c r="BD2603">
        <v>165.59</v>
      </c>
      <c r="BE2603">
        <v>167.62</v>
      </c>
      <c r="BF2603">
        <v>166.29</v>
      </c>
      <c r="BG2603" t="s">
        <v>24543</v>
      </c>
      <c r="BH2603" t="s">
        <v>2247</v>
      </c>
      <c r="BI2603" t="s">
        <v>24544</v>
      </c>
      <c r="BJ2603" t="s">
        <v>101</v>
      </c>
      <c r="BK2603" t="s">
        <v>4712</v>
      </c>
      <c r="BL2603" t="s">
        <v>4174</v>
      </c>
      <c r="BM2603" t="s">
        <v>779</v>
      </c>
      <c r="BN2603" t="s">
        <v>23454</v>
      </c>
    </row>
    <row r="2604" spans="1:66" x14ac:dyDescent="0.25">
      <c r="A2604" t="str">
        <f>HYPERLINK("https://elite.finviz.com/quote.ashx?t=ASST&amp;ty=c&amp;p=d&amp;b=1", "ASST")</f>
        <v>ASST</v>
      </c>
      <c r="B2604">
        <v>5</v>
      </c>
      <c r="C2604">
        <v>116.22</v>
      </c>
      <c r="D2604">
        <v>36.54</v>
      </c>
      <c r="E2604" t="s">
        <v>24545</v>
      </c>
      <c r="F2604" t="s">
        <v>107</v>
      </c>
      <c r="G2604" t="s">
        <v>550</v>
      </c>
      <c r="H2604" t="s">
        <v>2597</v>
      </c>
      <c r="I2604" t="s">
        <v>70</v>
      </c>
      <c r="J2604" t="s">
        <v>321</v>
      </c>
      <c r="K2604">
        <v>1860.61</v>
      </c>
      <c r="L2604">
        <v>2.5499999999999998</v>
      </c>
      <c r="M2604" t="s">
        <v>9240</v>
      </c>
      <c r="N2604">
        <v>2673857</v>
      </c>
      <c r="R2604">
        <v>2448.17</v>
      </c>
      <c r="S2604">
        <v>15.79</v>
      </c>
      <c r="AA2604">
        <v>-0.93</v>
      </c>
      <c r="AE2604" t="s">
        <v>24546</v>
      </c>
      <c r="AF2604" t="s">
        <v>5205</v>
      </c>
      <c r="AG2604" t="s">
        <v>24547</v>
      </c>
      <c r="AH2604" t="s">
        <v>10509</v>
      </c>
      <c r="AJ2604" t="s">
        <v>1249</v>
      </c>
      <c r="AK2604" t="s">
        <v>6598</v>
      </c>
      <c r="AL2604">
        <v>4.74</v>
      </c>
      <c r="AM2604">
        <v>4.74</v>
      </c>
      <c r="AN2604">
        <v>0</v>
      </c>
      <c r="AO2604" t="s">
        <v>24548</v>
      </c>
      <c r="AP2604" t="s">
        <v>24549</v>
      </c>
      <c r="AQ2604" t="s">
        <v>24550</v>
      </c>
      <c r="AR2604" t="s">
        <v>7724</v>
      </c>
      <c r="AS2604" t="s">
        <v>13719</v>
      </c>
      <c r="AT2604" t="s">
        <v>24551</v>
      </c>
      <c r="AU2604" t="s">
        <v>12312</v>
      </c>
      <c r="AV2604" t="s">
        <v>15053</v>
      </c>
      <c r="AW2604" t="s">
        <v>24552</v>
      </c>
      <c r="AX2604" t="s">
        <v>1175</v>
      </c>
      <c r="AY2604" t="s">
        <v>24553</v>
      </c>
      <c r="AZ2604" t="s">
        <v>24554</v>
      </c>
      <c r="BB2604">
        <v>7772.21</v>
      </c>
      <c r="BC2604">
        <v>1.21</v>
      </c>
      <c r="BD2604">
        <v>2.75</v>
      </c>
      <c r="BE2604">
        <v>2.73</v>
      </c>
      <c r="BF2604">
        <v>2.52</v>
      </c>
      <c r="BG2604" t="s">
        <v>24555</v>
      </c>
      <c r="BH2604" t="s">
        <v>24556</v>
      </c>
      <c r="BI2604" t="s">
        <v>24554</v>
      </c>
      <c r="BJ2604" t="s">
        <v>101</v>
      </c>
      <c r="BK2604" t="s">
        <v>15736</v>
      </c>
      <c r="BL2604" t="s">
        <v>24557</v>
      </c>
      <c r="BM2604" t="s">
        <v>16050</v>
      </c>
      <c r="BN2604" t="s">
        <v>23454</v>
      </c>
    </row>
    <row r="2605" spans="1:66" x14ac:dyDescent="0.25">
      <c r="A2605" t="str">
        <f>HYPERLINK("https://elite.finviz.com/quote.ashx?t=CMG&amp;ty=c&amp;p=d&amp;b=1", "CMG")</f>
        <v>CMG</v>
      </c>
      <c r="B2605">
        <v>5</v>
      </c>
      <c r="C2605">
        <v>116.22</v>
      </c>
      <c r="D2605">
        <v>36.56</v>
      </c>
      <c r="E2605" t="s">
        <v>24558</v>
      </c>
      <c r="F2605" t="s">
        <v>195</v>
      </c>
      <c r="G2605" t="s">
        <v>813</v>
      </c>
      <c r="H2605" t="s">
        <v>2285</v>
      </c>
      <c r="I2605" t="s">
        <v>70</v>
      </c>
      <c r="J2605" t="s">
        <v>71</v>
      </c>
      <c r="K2605">
        <v>52770.53</v>
      </c>
      <c r="L2605">
        <v>39.35</v>
      </c>
      <c r="M2605" t="s">
        <v>4507</v>
      </c>
      <c r="N2605">
        <v>2970739</v>
      </c>
      <c r="O2605">
        <v>34.79</v>
      </c>
      <c r="P2605">
        <v>27.72</v>
      </c>
      <c r="Q2605">
        <v>2.44</v>
      </c>
      <c r="R2605">
        <v>4.5599999999999996</v>
      </c>
      <c r="S2605">
        <v>14.96</v>
      </c>
      <c r="Z2605" t="s">
        <v>164</v>
      </c>
      <c r="AA2605">
        <v>1.1299999999999999</v>
      </c>
      <c r="AB2605" t="s">
        <v>209</v>
      </c>
      <c r="AC2605" t="s">
        <v>7703</v>
      </c>
      <c r="AD2605" t="s">
        <v>15187</v>
      </c>
      <c r="AE2605" t="s">
        <v>4815</v>
      </c>
      <c r="AF2605" t="s">
        <v>11732</v>
      </c>
      <c r="AG2605" t="s">
        <v>8456</v>
      </c>
      <c r="AH2605" t="s">
        <v>2624</v>
      </c>
      <c r="AI2605" t="s">
        <v>343</v>
      </c>
      <c r="AJ2605" t="s">
        <v>4531</v>
      </c>
      <c r="AK2605" t="s">
        <v>22306</v>
      </c>
      <c r="AL2605">
        <v>1.65</v>
      </c>
      <c r="AM2605">
        <v>1.62</v>
      </c>
      <c r="AN2605">
        <v>1.35</v>
      </c>
      <c r="AO2605" t="s">
        <v>1065</v>
      </c>
      <c r="AP2605" t="s">
        <v>757</v>
      </c>
      <c r="AQ2605" t="s">
        <v>3186</v>
      </c>
      <c r="AR2605" t="s">
        <v>7322</v>
      </c>
      <c r="AS2605" t="s">
        <v>6975</v>
      </c>
      <c r="AT2605" t="s">
        <v>7598</v>
      </c>
      <c r="AU2605" t="s">
        <v>6730</v>
      </c>
      <c r="AV2605" t="s">
        <v>12663</v>
      </c>
      <c r="AW2605" t="s">
        <v>2574</v>
      </c>
      <c r="AX2605" t="s">
        <v>2743</v>
      </c>
      <c r="AY2605" t="s">
        <v>24559</v>
      </c>
      <c r="AZ2605" t="s">
        <v>2743</v>
      </c>
      <c r="BA2605">
        <v>1.56</v>
      </c>
      <c r="BB2605">
        <v>19187.04</v>
      </c>
      <c r="BC2605">
        <v>0.55000000000000004</v>
      </c>
      <c r="BD2605">
        <v>39.33</v>
      </c>
      <c r="BE2605">
        <v>39.51</v>
      </c>
      <c r="BF2605">
        <v>39.21</v>
      </c>
      <c r="BG2605" t="s">
        <v>24560</v>
      </c>
      <c r="BH2605" t="s">
        <v>24561</v>
      </c>
      <c r="BI2605" t="s">
        <v>24562</v>
      </c>
      <c r="BJ2605" t="s">
        <v>101</v>
      </c>
      <c r="BK2605" t="s">
        <v>11909</v>
      </c>
      <c r="BL2605" t="s">
        <v>24563</v>
      </c>
      <c r="BM2605" t="s">
        <v>17892</v>
      </c>
      <c r="BN2605" t="s">
        <v>23454</v>
      </c>
    </row>
    <row r="2606" spans="1:66" x14ac:dyDescent="0.25">
      <c r="A2606" t="str">
        <f>HYPERLINK("https://elite.finviz.com/quote.ashx?t=TNXP&amp;ty=c&amp;p=d&amp;b=1", "TNXP")</f>
        <v>TNXP</v>
      </c>
      <c r="B2606">
        <v>5</v>
      </c>
      <c r="C2606">
        <v>116.22</v>
      </c>
      <c r="D2606">
        <v>36.61</v>
      </c>
      <c r="E2606" t="s">
        <v>24564</v>
      </c>
      <c r="F2606" t="s">
        <v>67</v>
      </c>
      <c r="G2606" t="s">
        <v>428</v>
      </c>
      <c r="H2606" t="s">
        <v>429</v>
      </c>
      <c r="I2606" t="s">
        <v>70</v>
      </c>
      <c r="J2606" t="s">
        <v>321</v>
      </c>
      <c r="K2606">
        <v>214.74</v>
      </c>
      <c r="L2606">
        <v>24.5</v>
      </c>
      <c r="M2606" t="s">
        <v>4276</v>
      </c>
      <c r="N2606">
        <v>258405</v>
      </c>
      <c r="R2606">
        <v>21.85</v>
      </c>
      <c r="S2606">
        <v>1.1000000000000001</v>
      </c>
      <c r="AA2606">
        <v>-1006.28</v>
      </c>
      <c r="AB2606" t="s">
        <v>1343</v>
      </c>
      <c r="AC2606" t="s">
        <v>24565</v>
      </c>
      <c r="AD2606" t="s">
        <v>10696</v>
      </c>
      <c r="AE2606" t="s">
        <v>24566</v>
      </c>
      <c r="AH2606" t="s">
        <v>8382</v>
      </c>
      <c r="AI2606" t="s">
        <v>22317</v>
      </c>
      <c r="AJ2606" t="s">
        <v>24567</v>
      </c>
      <c r="AK2606" t="s">
        <v>16940</v>
      </c>
      <c r="AL2606">
        <v>7.53</v>
      </c>
      <c r="AM2606">
        <v>7.22</v>
      </c>
      <c r="AN2606">
        <v>0</v>
      </c>
      <c r="AO2606" t="s">
        <v>7019</v>
      </c>
      <c r="AP2606" t="s">
        <v>24568</v>
      </c>
      <c r="AQ2606" t="s">
        <v>24569</v>
      </c>
      <c r="AR2606" t="s">
        <v>7970</v>
      </c>
      <c r="AS2606" t="s">
        <v>3687</v>
      </c>
      <c r="AT2606" t="s">
        <v>12181</v>
      </c>
      <c r="AU2606" t="s">
        <v>1995</v>
      </c>
      <c r="AV2606" t="s">
        <v>9829</v>
      </c>
      <c r="AW2606" t="s">
        <v>24570</v>
      </c>
      <c r="AX2606" t="s">
        <v>756</v>
      </c>
      <c r="AY2606" t="s">
        <v>15136</v>
      </c>
      <c r="AZ2606" t="s">
        <v>24571</v>
      </c>
      <c r="BA2606">
        <v>1</v>
      </c>
      <c r="BB2606">
        <v>1503.85</v>
      </c>
      <c r="BC2606">
        <v>0.61</v>
      </c>
      <c r="BD2606">
        <v>24</v>
      </c>
      <c r="BE2606">
        <v>24.78</v>
      </c>
      <c r="BF2606">
        <v>23.76</v>
      </c>
      <c r="BG2606" t="s">
        <v>24572</v>
      </c>
      <c r="BH2606" t="s">
        <v>579</v>
      </c>
      <c r="BI2606" t="s">
        <v>24571</v>
      </c>
      <c r="BJ2606" t="s">
        <v>101</v>
      </c>
      <c r="BK2606" t="s">
        <v>17455</v>
      </c>
      <c r="BL2606" t="s">
        <v>3376</v>
      </c>
      <c r="BM2606" t="s">
        <v>24573</v>
      </c>
      <c r="BN2606" t="s">
        <v>23454</v>
      </c>
    </row>
    <row r="2607" spans="1:66" x14ac:dyDescent="0.25">
      <c r="A2607" t="str">
        <f>HYPERLINK("https://elite.finviz.com/quote.ashx?t=MH&amp;ty=c&amp;p=d&amp;b=1", "MH")</f>
        <v>MH</v>
      </c>
      <c r="B2607">
        <v>5</v>
      </c>
      <c r="C2607">
        <v>116.22</v>
      </c>
      <c r="D2607">
        <v>36.619999999999997</v>
      </c>
      <c r="E2607" t="s">
        <v>24574</v>
      </c>
      <c r="F2607" t="s">
        <v>67</v>
      </c>
      <c r="G2607" t="s">
        <v>2244</v>
      </c>
      <c r="H2607" t="s">
        <v>2483</v>
      </c>
      <c r="I2607" t="s">
        <v>70</v>
      </c>
      <c r="J2607" t="s">
        <v>71</v>
      </c>
      <c r="K2607">
        <v>2557.4899999999998</v>
      </c>
      <c r="L2607">
        <v>13.39</v>
      </c>
      <c r="M2607" t="s">
        <v>6572</v>
      </c>
      <c r="N2607">
        <v>63182</v>
      </c>
      <c r="P2607">
        <v>8.56</v>
      </c>
      <c r="R2607">
        <v>1.21</v>
      </c>
      <c r="S2607">
        <v>7.88</v>
      </c>
      <c r="AA2607">
        <v>-0.4</v>
      </c>
      <c r="AB2607" t="s">
        <v>15665</v>
      </c>
      <c r="AD2607" t="s">
        <v>2913</v>
      </c>
      <c r="AE2607" t="s">
        <v>6330</v>
      </c>
      <c r="AF2607" t="s">
        <v>3170</v>
      </c>
      <c r="AH2607" t="s">
        <v>4800</v>
      </c>
      <c r="AJ2607" t="s">
        <v>406</v>
      </c>
      <c r="AK2607" t="s">
        <v>698</v>
      </c>
      <c r="AL2607">
        <v>0.76</v>
      </c>
      <c r="AM2607">
        <v>0.62</v>
      </c>
      <c r="AN2607">
        <v>11.52</v>
      </c>
      <c r="AO2607" t="s">
        <v>2954</v>
      </c>
      <c r="AP2607" t="s">
        <v>583</v>
      </c>
      <c r="AQ2607" t="s">
        <v>9279</v>
      </c>
      <c r="AR2607" t="s">
        <v>2811</v>
      </c>
      <c r="AS2607" t="s">
        <v>1749</v>
      </c>
      <c r="AT2607" t="s">
        <v>10208</v>
      </c>
      <c r="AU2607" t="s">
        <v>2265</v>
      </c>
      <c r="AV2607" t="s">
        <v>2265</v>
      </c>
      <c r="AW2607" t="s">
        <v>10370</v>
      </c>
      <c r="AX2607" t="s">
        <v>8843</v>
      </c>
      <c r="AY2607" t="s">
        <v>10370</v>
      </c>
      <c r="AZ2607" t="s">
        <v>8843</v>
      </c>
      <c r="BA2607">
        <v>1.23</v>
      </c>
      <c r="BB2607">
        <v>1164.8599999999999</v>
      </c>
      <c r="BC2607">
        <v>0.19</v>
      </c>
      <c r="BD2607">
        <v>13.29</v>
      </c>
      <c r="BE2607">
        <v>13.61</v>
      </c>
      <c r="BF2607">
        <v>13.34</v>
      </c>
      <c r="BG2607" t="s">
        <v>24575</v>
      </c>
      <c r="BH2607" t="s">
        <v>10370</v>
      </c>
      <c r="BI2607" t="s">
        <v>8843</v>
      </c>
      <c r="BJ2607" t="s">
        <v>101</v>
      </c>
      <c r="BN2607" t="s">
        <v>23454</v>
      </c>
    </row>
    <row r="2608" spans="1:66" x14ac:dyDescent="0.25">
      <c r="A2608" t="str">
        <f>HYPERLINK("https://elite.finviz.com/quote.ashx?t=EMN&amp;ty=c&amp;p=d&amp;b=1", "EMN")</f>
        <v>EMN</v>
      </c>
      <c r="B2608">
        <v>5</v>
      </c>
      <c r="C2608">
        <v>116.22</v>
      </c>
      <c r="D2608">
        <v>36.65</v>
      </c>
      <c r="E2608" t="s">
        <v>24576</v>
      </c>
      <c r="F2608" t="s">
        <v>195</v>
      </c>
      <c r="G2608" t="s">
        <v>355</v>
      </c>
      <c r="H2608" t="s">
        <v>1147</v>
      </c>
      <c r="I2608" t="s">
        <v>70</v>
      </c>
      <c r="J2608" t="s">
        <v>71</v>
      </c>
      <c r="K2608">
        <v>7141.43</v>
      </c>
      <c r="L2608">
        <v>62.19</v>
      </c>
      <c r="M2608" t="s">
        <v>3551</v>
      </c>
      <c r="N2608">
        <v>326457</v>
      </c>
      <c r="O2608">
        <v>8.74</v>
      </c>
      <c r="P2608">
        <v>8.85</v>
      </c>
      <c r="Q2608">
        <v>13.87</v>
      </c>
      <c r="R2608">
        <v>0.77</v>
      </c>
      <c r="S2608">
        <v>1.22</v>
      </c>
      <c r="T2608" t="s">
        <v>4428</v>
      </c>
      <c r="U2608">
        <v>3.32</v>
      </c>
      <c r="V2608" t="s">
        <v>3833</v>
      </c>
      <c r="W2608" t="s">
        <v>715</v>
      </c>
      <c r="X2608" t="s">
        <v>3545</v>
      </c>
      <c r="Y2608" t="s">
        <v>3948</v>
      </c>
      <c r="Z2608" t="s">
        <v>10987</v>
      </c>
      <c r="AA2608">
        <v>7.12</v>
      </c>
      <c r="AB2608" t="s">
        <v>906</v>
      </c>
      <c r="AC2608" t="s">
        <v>12450</v>
      </c>
      <c r="AD2608" t="s">
        <v>4840</v>
      </c>
      <c r="AE2608" t="s">
        <v>1760</v>
      </c>
      <c r="AF2608" t="s">
        <v>331</v>
      </c>
      <c r="AG2608" t="s">
        <v>439</v>
      </c>
      <c r="AH2608" t="s">
        <v>7742</v>
      </c>
      <c r="AI2608" t="s">
        <v>1529</v>
      </c>
      <c r="AJ2608" t="s">
        <v>4677</v>
      </c>
      <c r="AK2608" t="s">
        <v>3987</v>
      </c>
      <c r="AL2608">
        <v>1.68</v>
      </c>
      <c r="AM2608">
        <v>0.78</v>
      </c>
      <c r="AN2608">
        <v>0.88</v>
      </c>
      <c r="AO2608" t="s">
        <v>22146</v>
      </c>
      <c r="AP2608" t="s">
        <v>7650</v>
      </c>
      <c r="AQ2608" t="s">
        <v>875</v>
      </c>
      <c r="AR2608" t="s">
        <v>2743</v>
      </c>
      <c r="AS2608" t="s">
        <v>6937</v>
      </c>
      <c r="AT2608" t="s">
        <v>2665</v>
      </c>
      <c r="AU2608" t="s">
        <v>1571</v>
      </c>
      <c r="AV2608" t="s">
        <v>24577</v>
      </c>
      <c r="AW2608" t="s">
        <v>15005</v>
      </c>
      <c r="AX2608" t="s">
        <v>9515</v>
      </c>
      <c r="AY2608" t="s">
        <v>20558</v>
      </c>
      <c r="AZ2608" t="s">
        <v>9515</v>
      </c>
      <c r="BA2608">
        <v>1.86</v>
      </c>
      <c r="BB2608">
        <v>1709.45</v>
      </c>
      <c r="BC2608">
        <v>0.67</v>
      </c>
      <c r="BD2608">
        <v>61.31</v>
      </c>
      <c r="BE2608">
        <v>62.59</v>
      </c>
      <c r="BF2608">
        <v>61.63</v>
      </c>
      <c r="BG2608" t="s">
        <v>24578</v>
      </c>
      <c r="BH2608" t="s">
        <v>24579</v>
      </c>
      <c r="BI2608" t="s">
        <v>24580</v>
      </c>
      <c r="BJ2608" t="s">
        <v>101</v>
      </c>
      <c r="BK2608" t="s">
        <v>20222</v>
      </c>
      <c r="BL2608" t="s">
        <v>16581</v>
      </c>
      <c r="BM2608" t="s">
        <v>24581</v>
      </c>
      <c r="BN2608" t="s">
        <v>23454</v>
      </c>
    </row>
    <row r="2609" spans="1:66" x14ac:dyDescent="0.25">
      <c r="A2609" t="str">
        <f>HYPERLINK("https://elite.finviz.com/quote.ashx?t=CGTX&amp;ty=c&amp;p=d&amp;b=1", "CGTX")</f>
        <v>CGTX</v>
      </c>
      <c r="B2609">
        <v>5</v>
      </c>
      <c r="C2609">
        <v>116.22</v>
      </c>
      <c r="D2609">
        <v>36.71</v>
      </c>
      <c r="E2609" t="s">
        <v>24582</v>
      </c>
      <c r="F2609" t="s">
        <v>107</v>
      </c>
      <c r="G2609" t="s">
        <v>428</v>
      </c>
      <c r="H2609" t="s">
        <v>429</v>
      </c>
      <c r="I2609" t="s">
        <v>70</v>
      </c>
      <c r="J2609" t="s">
        <v>321</v>
      </c>
      <c r="K2609">
        <v>112.04</v>
      </c>
      <c r="L2609">
        <v>1.27</v>
      </c>
      <c r="M2609" t="s">
        <v>6463</v>
      </c>
      <c r="N2609">
        <v>430707</v>
      </c>
      <c r="S2609">
        <v>11.74</v>
      </c>
      <c r="AA2609">
        <v>-0.66</v>
      </c>
      <c r="AB2609" t="s">
        <v>8933</v>
      </c>
      <c r="AC2609" t="s">
        <v>1696</v>
      </c>
      <c r="AI2609" t="s">
        <v>5294</v>
      </c>
      <c r="AJ2609" t="s">
        <v>164</v>
      </c>
      <c r="AK2609" t="s">
        <v>2231</v>
      </c>
      <c r="AL2609">
        <v>1.54</v>
      </c>
      <c r="AM2609">
        <v>1.54</v>
      </c>
      <c r="AN2609">
        <v>7.0000000000000007E-2</v>
      </c>
      <c r="AR2609" t="s">
        <v>2740</v>
      </c>
      <c r="AS2609" t="s">
        <v>7555</v>
      </c>
      <c r="AT2609" t="s">
        <v>23621</v>
      </c>
      <c r="AU2609" t="s">
        <v>9578</v>
      </c>
      <c r="AV2609" t="s">
        <v>24583</v>
      </c>
      <c r="AW2609" t="s">
        <v>24584</v>
      </c>
      <c r="AX2609" t="s">
        <v>24585</v>
      </c>
      <c r="AY2609" t="s">
        <v>24584</v>
      </c>
      <c r="AZ2609" t="s">
        <v>24586</v>
      </c>
      <c r="BA2609">
        <v>1</v>
      </c>
      <c r="BB2609">
        <v>11279.9</v>
      </c>
      <c r="BC2609">
        <v>0.13</v>
      </c>
      <c r="BD2609">
        <v>1.26</v>
      </c>
      <c r="BE2609">
        <v>1.3</v>
      </c>
      <c r="BF2609">
        <v>1.25</v>
      </c>
      <c r="BG2609" t="s">
        <v>24587</v>
      </c>
      <c r="BH2609" t="s">
        <v>24588</v>
      </c>
      <c r="BI2609" t="s">
        <v>24586</v>
      </c>
      <c r="BJ2609" t="s">
        <v>101</v>
      </c>
      <c r="BK2609" t="s">
        <v>24589</v>
      </c>
      <c r="BL2609" t="s">
        <v>24590</v>
      </c>
      <c r="BM2609" t="s">
        <v>24591</v>
      </c>
      <c r="BN2609" t="s">
        <v>23454</v>
      </c>
    </row>
    <row r="2610" spans="1:66" x14ac:dyDescent="0.25">
      <c r="A2610" t="str">
        <f>HYPERLINK("https://elite.finviz.com/quote.ashx?t=SIDU&amp;ty=c&amp;p=d&amp;b=1", "SIDU")</f>
        <v>SIDU</v>
      </c>
      <c r="B2610">
        <v>5</v>
      </c>
      <c r="C2610">
        <v>116.22</v>
      </c>
      <c r="D2610">
        <v>36.76</v>
      </c>
      <c r="E2610" t="s">
        <v>24592</v>
      </c>
      <c r="F2610" t="s">
        <v>107</v>
      </c>
      <c r="G2610" t="s">
        <v>260</v>
      </c>
      <c r="H2610" t="s">
        <v>4779</v>
      </c>
      <c r="I2610" t="s">
        <v>70</v>
      </c>
      <c r="J2610" t="s">
        <v>321</v>
      </c>
      <c r="K2610">
        <v>35.04</v>
      </c>
      <c r="L2610">
        <v>0.99</v>
      </c>
      <c r="M2610" t="s">
        <v>4124</v>
      </c>
      <c r="N2610">
        <v>553639</v>
      </c>
      <c r="R2610">
        <v>8.36</v>
      </c>
      <c r="S2610">
        <v>1.27</v>
      </c>
      <c r="AA2610">
        <v>-1.98</v>
      </c>
      <c r="AB2610" t="s">
        <v>9345</v>
      </c>
      <c r="AC2610" t="s">
        <v>510</v>
      </c>
      <c r="AD2610" t="s">
        <v>24593</v>
      </c>
      <c r="AE2610" t="s">
        <v>91</v>
      </c>
      <c r="AF2610" t="s">
        <v>22246</v>
      </c>
      <c r="AG2610" t="s">
        <v>8319</v>
      </c>
      <c r="AH2610" t="s">
        <v>5315</v>
      </c>
      <c r="AJ2610" t="s">
        <v>2196</v>
      </c>
      <c r="AK2610" t="s">
        <v>206</v>
      </c>
      <c r="AL2610">
        <v>0.76</v>
      </c>
      <c r="AM2610">
        <v>0.73</v>
      </c>
      <c r="AN2610">
        <v>0.61</v>
      </c>
      <c r="AO2610" t="s">
        <v>24594</v>
      </c>
      <c r="AP2610" t="s">
        <v>24595</v>
      </c>
      <c r="AQ2610" t="s">
        <v>24596</v>
      </c>
      <c r="AR2610" t="s">
        <v>2385</v>
      </c>
      <c r="AS2610" t="s">
        <v>699</v>
      </c>
      <c r="AT2610" t="s">
        <v>6977</v>
      </c>
      <c r="AU2610" t="s">
        <v>8741</v>
      </c>
      <c r="AV2610" t="s">
        <v>18506</v>
      </c>
      <c r="AW2610" t="s">
        <v>24597</v>
      </c>
      <c r="AX2610" t="s">
        <v>11629</v>
      </c>
      <c r="AY2610" t="s">
        <v>24598</v>
      </c>
      <c r="AZ2610" t="s">
        <v>11629</v>
      </c>
      <c r="BA2610">
        <v>1</v>
      </c>
      <c r="BB2610">
        <v>1749.71</v>
      </c>
      <c r="BC2610">
        <v>1.1200000000000001</v>
      </c>
      <c r="BD2610">
        <v>1.02</v>
      </c>
      <c r="BE2610">
        <v>1.04</v>
      </c>
      <c r="BF2610">
        <v>0.99</v>
      </c>
      <c r="BG2610" t="s">
        <v>24599</v>
      </c>
      <c r="BH2610" t="s">
        <v>5233</v>
      </c>
      <c r="BI2610" t="s">
        <v>11629</v>
      </c>
      <c r="BJ2610" t="s">
        <v>101</v>
      </c>
      <c r="BK2610" t="s">
        <v>22915</v>
      </c>
      <c r="BL2610" t="s">
        <v>13292</v>
      </c>
      <c r="BM2610" t="s">
        <v>23025</v>
      </c>
      <c r="BN2610" t="s">
        <v>23454</v>
      </c>
    </row>
    <row r="2611" spans="1:66" x14ac:dyDescent="0.25">
      <c r="A2611" t="str">
        <f>HYPERLINK("https://elite.finviz.com/quote.ashx?t=AMGN&amp;ty=c&amp;p=d&amp;b=1", "AMGN")</f>
        <v>AMGN</v>
      </c>
      <c r="B2611">
        <v>5</v>
      </c>
      <c r="C2611">
        <v>116.22</v>
      </c>
      <c r="D2611">
        <v>36.78</v>
      </c>
      <c r="E2611" t="s">
        <v>24600</v>
      </c>
      <c r="F2611" t="s">
        <v>13356</v>
      </c>
      <c r="G2611" t="s">
        <v>428</v>
      </c>
      <c r="H2611" t="s">
        <v>4701</v>
      </c>
      <c r="I2611" t="s">
        <v>70</v>
      </c>
      <c r="J2611" t="s">
        <v>321</v>
      </c>
      <c r="K2611">
        <v>145707.69</v>
      </c>
      <c r="L2611">
        <v>270.64999999999998</v>
      </c>
      <c r="M2611" t="s">
        <v>2213</v>
      </c>
      <c r="N2611">
        <v>437076</v>
      </c>
      <c r="O2611">
        <v>22.14</v>
      </c>
      <c r="P2611">
        <v>12.51</v>
      </c>
      <c r="Q2611">
        <v>5.34</v>
      </c>
      <c r="R2611">
        <v>4.1900000000000004</v>
      </c>
      <c r="S2611">
        <v>19.61</v>
      </c>
      <c r="T2611" t="s">
        <v>6726</v>
      </c>
      <c r="U2611">
        <v>9.39</v>
      </c>
      <c r="V2611" t="s">
        <v>4186</v>
      </c>
      <c r="W2611" t="s">
        <v>3983</v>
      </c>
      <c r="X2611" t="s">
        <v>1700</v>
      </c>
      <c r="Y2611" t="s">
        <v>12383</v>
      </c>
      <c r="Z2611" t="s">
        <v>8299</v>
      </c>
      <c r="AA2611">
        <v>12.22</v>
      </c>
      <c r="AB2611" t="s">
        <v>501</v>
      </c>
      <c r="AC2611" t="s">
        <v>225</v>
      </c>
      <c r="AD2611" t="s">
        <v>4526</v>
      </c>
      <c r="AE2611" t="s">
        <v>6202</v>
      </c>
      <c r="AF2611" t="s">
        <v>5607</v>
      </c>
      <c r="AG2611" t="s">
        <v>12465</v>
      </c>
      <c r="AH2611" t="s">
        <v>4783</v>
      </c>
      <c r="AI2611" t="s">
        <v>4747</v>
      </c>
      <c r="AJ2611" t="s">
        <v>2263</v>
      </c>
      <c r="AK2611" t="s">
        <v>20058</v>
      </c>
      <c r="AL2611">
        <v>1.31</v>
      </c>
      <c r="AM2611">
        <v>0.98</v>
      </c>
      <c r="AN2611">
        <v>7.57</v>
      </c>
      <c r="AO2611" t="s">
        <v>940</v>
      </c>
      <c r="AP2611" t="s">
        <v>1299</v>
      </c>
      <c r="AQ2611" t="s">
        <v>6393</v>
      </c>
      <c r="AR2611" t="s">
        <v>213</v>
      </c>
      <c r="AS2611" t="s">
        <v>2202</v>
      </c>
      <c r="AT2611" t="s">
        <v>5928</v>
      </c>
      <c r="AU2611" t="s">
        <v>2354</v>
      </c>
      <c r="AV2611" t="s">
        <v>15100</v>
      </c>
      <c r="AW2611" t="s">
        <v>18298</v>
      </c>
      <c r="AX2611" t="s">
        <v>164</v>
      </c>
      <c r="AY2611" t="s">
        <v>4740</v>
      </c>
      <c r="AZ2611" t="s">
        <v>8276</v>
      </c>
      <c r="BA2611">
        <v>2.39</v>
      </c>
      <c r="BB2611">
        <v>2231.33</v>
      </c>
      <c r="BC2611">
        <v>0.69</v>
      </c>
      <c r="BD2611">
        <v>271.18</v>
      </c>
      <c r="BE2611">
        <v>275.08999999999997</v>
      </c>
      <c r="BF2611">
        <v>269.77</v>
      </c>
      <c r="BG2611" t="s">
        <v>24601</v>
      </c>
      <c r="BH2611" t="s">
        <v>19271</v>
      </c>
      <c r="BI2611" t="s">
        <v>24602</v>
      </c>
      <c r="BJ2611" t="s">
        <v>101</v>
      </c>
      <c r="BK2611" t="s">
        <v>5809</v>
      </c>
      <c r="BL2611" t="s">
        <v>10146</v>
      </c>
      <c r="BM2611" t="s">
        <v>4820</v>
      </c>
      <c r="BN2611" t="s">
        <v>23454</v>
      </c>
    </row>
    <row r="2612" spans="1:66" x14ac:dyDescent="0.25">
      <c r="A2612" t="str">
        <f>HYPERLINK("https://elite.finviz.com/quote.ashx?t=CTSH&amp;ty=c&amp;p=d&amp;b=1", "CTSH")</f>
        <v>CTSH</v>
      </c>
      <c r="B2612">
        <v>5</v>
      </c>
      <c r="C2612">
        <v>116.22</v>
      </c>
      <c r="D2612">
        <v>36.78</v>
      </c>
      <c r="E2612" t="s">
        <v>24603</v>
      </c>
      <c r="F2612" t="s">
        <v>319</v>
      </c>
      <c r="G2612" t="s">
        <v>108</v>
      </c>
      <c r="H2612" t="s">
        <v>1322</v>
      </c>
      <c r="I2612" t="s">
        <v>70</v>
      </c>
      <c r="J2612" t="s">
        <v>321</v>
      </c>
      <c r="K2612">
        <v>32566.25</v>
      </c>
      <c r="L2612">
        <v>66.680000000000007</v>
      </c>
      <c r="M2612" t="s">
        <v>2215</v>
      </c>
      <c r="N2612">
        <v>491234</v>
      </c>
      <c r="O2612">
        <v>13.54</v>
      </c>
      <c r="P2612">
        <v>12.06</v>
      </c>
      <c r="Q2612">
        <v>1.65</v>
      </c>
      <c r="R2612">
        <v>1.59</v>
      </c>
      <c r="S2612">
        <v>2.13</v>
      </c>
      <c r="T2612" t="s">
        <v>910</v>
      </c>
      <c r="U2612">
        <v>1.23</v>
      </c>
      <c r="V2612" t="s">
        <v>1440</v>
      </c>
      <c r="W2612" t="s">
        <v>6150</v>
      </c>
      <c r="X2612" t="s">
        <v>4512</v>
      </c>
      <c r="Y2612" t="s">
        <v>712</v>
      </c>
      <c r="Z2612" t="s">
        <v>10099</v>
      </c>
      <c r="AA2612">
        <v>4.92</v>
      </c>
      <c r="AB2612" t="s">
        <v>891</v>
      </c>
      <c r="AC2612" t="s">
        <v>2772</v>
      </c>
      <c r="AD2612" t="s">
        <v>2848</v>
      </c>
      <c r="AE2612" t="s">
        <v>2065</v>
      </c>
      <c r="AF2612" t="s">
        <v>3916</v>
      </c>
      <c r="AG2612" t="s">
        <v>5593</v>
      </c>
      <c r="AH2612" t="s">
        <v>15964</v>
      </c>
      <c r="AI2612" t="s">
        <v>4125</v>
      </c>
      <c r="AJ2612" t="s">
        <v>4828</v>
      </c>
      <c r="AK2612" t="s">
        <v>1827</v>
      </c>
      <c r="AL2612">
        <v>2.41</v>
      </c>
      <c r="AM2612">
        <v>2.41</v>
      </c>
      <c r="AN2612">
        <v>0.08</v>
      </c>
      <c r="AO2612" t="s">
        <v>10699</v>
      </c>
      <c r="AP2612" t="s">
        <v>6497</v>
      </c>
      <c r="AQ2612" t="s">
        <v>2377</v>
      </c>
      <c r="AR2612" t="s">
        <v>2495</v>
      </c>
      <c r="AS2612" t="s">
        <v>7322</v>
      </c>
      <c r="AT2612" t="s">
        <v>6092</v>
      </c>
      <c r="AU2612" t="s">
        <v>12466</v>
      </c>
      <c r="AV2612" t="s">
        <v>1951</v>
      </c>
      <c r="AW2612" t="s">
        <v>19949</v>
      </c>
      <c r="AX2612" t="s">
        <v>2640</v>
      </c>
      <c r="AY2612" t="s">
        <v>9833</v>
      </c>
      <c r="AZ2612" t="s">
        <v>2640</v>
      </c>
      <c r="BA2612">
        <v>2.2999999999999998</v>
      </c>
      <c r="BB2612">
        <v>4044.4</v>
      </c>
      <c r="BC2612">
        <v>0.43</v>
      </c>
      <c r="BD2612">
        <v>66.67</v>
      </c>
      <c r="BE2612">
        <v>66.87</v>
      </c>
      <c r="BF2612">
        <v>66.19</v>
      </c>
      <c r="BG2612" t="s">
        <v>24604</v>
      </c>
      <c r="BH2612" t="s">
        <v>16286</v>
      </c>
      <c r="BI2612" t="s">
        <v>24605</v>
      </c>
      <c r="BJ2612" t="s">
        <v>101</v>
      </c>
      <c r="BK2612" t="s">
        <v>10666</v>
      </c>
      <c r="BL2612" t="s">
        <v>19949</v>
      </c>
      <c r="BM2612" t="s">
        <v>10227</v>
      </c>
      <c r="BN2612" t="s">
        <v>23454</v>
      </c>
    </row>
    <row r="2613" spans="1:66" x14ac:dyDescent="0.25">
      <c r="A2613" t="str">
        <f>HYPERLINK("https://elite.finviz.com/quote.ashx?t=IART&amp;ty=c&amp;p=d&amp;b=1", "IART")</f>
        <v>IART</v>
      </c>
      <c r="B2613">
        <v>5</v>
      </c>
      <c r="C2613">
        <v>116.22</v>
      </c>
      <c r="D2613">
        <v>36.79</v>
      </c>
      <c r="E2613" t="s">
        <v>24606</v>
      </c>
      <c r="F2613" t="s">
        <v>67</v>
      </c>
      <c r="G2613" t="s">
        <v>428</v>
      </c>
      <c r="H2613" t="s">
        <v>2051</v>
      </c>
      <c r="I2613" t="s">
        <v>70</v>
      </c>
      <c r="J2613" t="s">
        <v>321</v>
      </c>
      <c r="K2613">
        <v>1025.8</v>
      </c>
      <c r="L2613">
        <v>13.17</v>
      </c>
      <c r="M2613" t="s">
        <v>2638</v>
      </c>
      <c r="N2613">
        <v>80650</v>
      </c>
      <c r="P2613">
        <v>5.44</v>
      </c>
      <c r="R2613">
        <v>0.63</v>
      </c>
      <c r="S2613">
        <v>0.99</v>
      </c>
      <c r="AA2613">
        <v>-6.53</v>
      </c>
      <c r="AD2613" t="s">
        <v>2572</v>
      </c>
      <c r="AE2613" t="s">
        <v>2822</v>
      </c>
      <c r="AF2613" t="s">
        <v>907</v>
      </c>
      <c r="AG2613" t="s">
        <v>1417</v>
      </c>
      <c r="AH2613" t="s">
        <v>1202</v>
      </c>
      <c r="AI2613" t="s">
        <v>4916</v>
      </c>
      <c r="AJ2613" t="s">
        <v>164</v>
      </c>
      <c r="AK2613" t="s">
        <v>1900</v>
      </c>
      <c r="AL2613">
        <v>1.23</v>
      </c>
      <c r="AM2613">
        <v>0.73</v>
      </c>
      <c r="AN2613">
        <v>1.94</v>
      </c>
      <c r="AO2613" t="s">
        <v>3209</v>
      </c>
      <c r="AP2613" t="s">
        <v>2653</v>
      </c>
      <c r="AQ2613" t="s">
        <v>24322</v>
      </c>
      <c r="AR2613" t="s">
        <v>3602</v>
      </c>
      <c r="AS2613" t="s">
        <v>6378</v>
      </c>
      <c r="AT2613" t="s">
        <v>3215</v>
      </c>
      <c r="AU2613" t="s">
        <v>7964</v>
      </c>
      <c r="AV2613" t="s">
        <v>2164</v>
      </c>
      <c r="AW2613" t="s">
        <v>16488</v>
      </c>
      <c r="AX2613" t="s">
        <v>1477</v>
      </c>
      <c r="AY2613" t="s">
        <v>21432</v>
      </c>
      <c r="AZ2613" t="s">
        <v>10711</v>
      </c>
      <c r="BA2613">
        <v>3.08</v>
      </c>
      <c r="BB2613">
        <v>1244.8</v>
      </c>
      <c r="BC2613">
        <v>0.23</v>
      </c>
      <c r="BD2613">
        <v>13.18</v>
      </c>
      <c r="BE2613">
        <v>13.19</v>
      </c>
      <c r="BF2613">
        <v>13.14</v>
      </c>
      <c r="BG2613" t="s">
        <v>24607</v>
      </c>
      <c r="BH2613" t="s">
        <v>24608</v>
      </c>
      <c r="BI2613" t="s">
        <v>24609</v>
      </c>
      <c r="BJ2613" t="s">
        <v>101</v>
      </c>
      <c r="BK2613" t="s">
        <v>234</v>
      </c>
      <c r="BL2613" t="s">
        <v>24610</v>
      </c>
      <c r="BM2613" t="s">
        <v>15828</v>
      </c>
      <c r="BN2613" t="s">
        <v>23454</v>
      </c>
    </row>
    <row r="2614" spans="1:66" x14ac:dyDescent="0.25">
      <c r="A2614" t="str">
        <f>HYPERLINK("https://elite.finviz.com/quote.ashx?t=COCP&amp;ty=c&amp;p=d&amp;b=1", "COCP")</f>
        <v>COCP</v>
      </c>
      <c r="B2614">
        <v>5</v>
      </c>
      <c r="C2614">
        <v>116.22</v>
      </c>
      <c r="D2614">
        <v>36.82</v>
      </c>
      <c r="E2614" t="s">
        <v>24611</v>
      </c>
      <c r="F2614" t="s">
        <v>107</v>
      </c>
      <c r="G2614" t="s">
        <v>428</v>
      </c>
      <c r="H2614" t="s">
        <v>429</v>
      </c>
      <c r="I2614" t="s">
        <v>70</v>
      </c>
      <c r="J2614" t="s">
        <v>321</v>
      </c>
      <c r="K2614">
        <v>16.3</v>
      </c>
      <c r="L2614">
        <v>1.25</v>
      </c>
      <c r="M2614" t="s">
        <v>164</v>
      </c>
      <c r="N2614">
        <v>58602</v>
      </c>
      <c r="S2614">
        <v>2.38</v>
      </c>
      <c r="AA2614">
        <v>-1.23</v>
      </c>
      <c r="AB2614" t="s">
        <v>24612</v>
      </c>
      <c r="AC2614" t="s">
        <v>5120</v>
      </c>
      <c r="AD2614" t="s">
        <v>5757</v>
      </c>
      <c r="AI2614" t="s">
        <v>1470</v>
      </c>
      <c r="AJ2614" t="s">
        <v>164</v>
      </c>
      <c r="AK2614" t="s">
        <v>8966</v>
      </c>
      <c r="AL2614">
        <v>3.69</v>
      </c>
      <c r="AM2614">
        <v>3.69</v>
      </c>
      <c r="AN2614">
        <v>0.31</v>
      </c>
      <c r="AR2614" t="s">
        <v>2584</v>
      </c>
      <c r="AS2614" t="s">
        <v>3614</v>
      </c>
      <c r="AT2614" t="s">
        <v>11625</v>
      </c>
      <c r="AU2614" t="s">
        <v>24613</v>
      </c>
      <c r="AV2614" t="s">
        <v>15289</v>
      </c>
      <c r="AW2614" t="s">
        <v>24614</v>
      </c>
      <c r="AX2614" t="s">
        <v>5025</v>
      </c>
      <c r="AY2614" t="s">
        <v>20492</v>
      </c>
      <c r="AZ2614" t="s">
        <v>5446</v>
      </c>
      <c r="BA2614">
        <v>1</v>
      </c>
      <c r="BB2614">
        <v>1476.3</v>
      </c>
      <c r="BC2614">
        <v>0.14000000000000001</v>
      </c>
      <c r="BD2614">
        <v>1.25</v>
      </c>
      <c r="BE2614">
        <v>1.28</v>
      </c>
      <c r="BF2614">
        <v>1.25</v>
      </c>
      <c r="BG2614" t="s">
        <v>24615</v>
      </c>
      <c r="BH2614" t="s">
        <v>446</v>
      </c>
      <c r="BI2614" t="s">
        <v>5446</v>
      </c>
      <c r="BJ2614" t="s">
        <v>101</v>
      </c>
      <c r="BK2614" t="s">
        <v>13921</v>
      </c>
      <c r="BL2614" t="s">
        <v>10935</v>
      </c>
      <c r="BM2614" t="s">
        <v>5316</v>
      </c>
      <c r="BN2614" t="s">
        <v>23454</v>
      </c>
    </row>
    <row r="2615" spans="1:66" x14ac:dyDescent="0.25">
      <c r="A2615" t="str">
        <f>HYPERLINK("https://elite.finviz.com/quote.ashx?t=GEN&amp;ty=c&amp;p=d&amp;b=1", "GEN")</f>
        <v>GEN</v>
      </c>
      <c r="B2615">
        <v>5</v>
      </c>
      <c r="C2615">
        <v>116.22</v>
      </c>
      <c r="D2615">
        <v>36.869999999999997</v>
      </c>
      <c r="E2615" t="s">
        <v>24616</v>
      </c>
      <c r="F2615" t="s">
        <v>195</v>
      </c>
      <c r="G2615" t="s">
        <v>108</v>
      </c>
      <c r="H2615" t="s">
        <v>109</v>
      </c>
      <c r="I2615" t="s">
        <v>70</v>
      </c>
      <c r="J2615" t="s">
        <v>321</v>
      </c>
      <c r="K2615">
        <v>17535.09</v>
      </c>
      <c r="L2615">
        <v>28.47</v>
      </c>
      <c r="M2615" t="s">
        <v>1547</v>
      </c>
      <c r="N2615">
        <v>280982</v>
      </c>
      <c r="O2615">
        <v>29.72</v>
      </c>
      <c r="P2615">
        <v>9.92</v>
      </c>
      <c r="Q2615">
        <v>2.21</v>
      </c>
      <c r="R2615">
        <v>4.1500000000000004</v>
      </c>
      <c r="S2615">
        <v>7.42</v>
      </c>
      <c r="T2615" t="s">
        <v>3118</v>
      </c>
      <c r="U2615">
        <v>0.5</v>
      </c>
      <c r="V2615" t="s">
        <v>1440</v>
      </c>
      <c r="W2615" t="s">
        <v>164</v>
      </c>
      <c r="X2615" t="s">
        <v>164</v>
      </c>
      <c r="Y2615" t="s">
        <v>371</v>
      </c>
      <c r="Z2615" t="s">
        <v>16113</v>
      </c>
      <c r="AA2615">
        <v>0.96</v>
      </c>
      <c r="AB2615" t="s">
        <v>12166</v>
      </c>
      <c r="AC2615" t="s">
        <v>5425</v>
      </c>
      <c r="AD2615" t="s">
        <v>6740</v>
      </c>
      <c r="AE2615" t="s">
        <v>4288</v>
      </c>
      <c r="AF2615" t="s">
        <v>6388</v>
      </c>
      <c r="AG2615" t="s">
        <v>2605</v>
      </c>
      <c r="AH2615" t="s">
        <v>11737</v>
      </c>
      <c r="AI2615" t="s">
        <v>2823</v>
      </c>
      <c r="AJ2615" t="s">
        <v>4699</v>
      </c>
      <c r="AK2615" t="s">
        <v>24617</v>
      </c>
      <c r="AL2615">
        <v>0.5</v>
      </c>
      <c r="AM2615">
        <v>0.5</v>
      </c>
      <c r="AN2615">
        <v>3.75</v>
      </c>
      <c r="AO2615" t="s">
        <v>20906</v>
      </c>
      <c r="AP2615" t="s">
        <v>7500</v>
      </c>
      <c r="AQ2615" t="s">
        <v>10917</v>
      </c>
      <c r="AR2615" t="s">
        <v>5058</v>
      </c>
      <c r="AS2615" t="s">
        <v>2175</v>
      </c>
      <c r="AT2615" t="s">
        <v>5778</v>
      </c>
      <c r="AU2615" t="s">
        <v>4553</v>
      </c>
      <c r="AV2615" t="s">
        <v>5036</v>
      </c>
      <c r="AW2615" t="s">
        <v>9826</v>
      </c>
      <c r="AX2615" t="s">
        <v>4976</v>
      </c>
      <c r="AY2615" t="s">
        <v>9826</v>
      </c>
      <c r="AZ2615" t="s">
        <v>23909</v>
      </c>
      <c r="BA2615">
        <v>2.14</v>
      </c>
      <c r="BB2615">
        <v>3711.43</v>
      </c>
      <c r="BC2615">
        <v>0.27</v>
      </c>
      <c r="BD2615">
        <v>28.5</v>
      </c>
      <c r="BE2615">
        <v>28.63</v>
      </c>
      <c r="BF2615">
        <v>28.47</v>
      </c>
      <c r="BG2615" t="s">
        <v>24618</v>
      </c>
      <c r="BH2615" t="s">
        <v>9826</v>
      </c>
      <c r="BI2615" t="s">
        <v>24619</v>
      </c>
      <c r="BJ2615" t="s">
        <v>101</v>
      </c>
      <c r="BK2615" t="s">
        <v>7356</v>
      </c>
      <c r="BL2615" t="s">
        <v>2647</v>
      </c>
      <c r="BM2615" t="s">
        <v>2235</v>
      </c>
      <c r="BN2615" t="s">
        <v>23454</v>
      </c>
    </row>
    <row r="2616" spans="1:66" x14ac:dyDescent="0.25">
      <c r="A2616" t="str">
        <f>HYPERLINK("https://elite.finviz.com/quote.ashx?t=TROX&amp;ty=c&amp;p=d&amp;b=1", "TROX")</f>
        <v>TROX</v>
      </c>
      <c r="B2616">
        <v>5</v>
      </c>
      <c r="C2616">
        <v>116.22</v>
      </c>
      <c r="D2616">
        <v>36.9</v>
      </c>
      <c r="E2616" t="s">
        <v>24620</v>
      </c>
      <c r="F2616" t="s">
        <v>67</v>
      </c>
      <c r="G2616" t="s">
        <v>355</v>
      </c>
      <c r="H2616" t="s">
        <v>5130</v>
      </c>
      <c r="I2616" t="s">
        <v>70</v>
      </c>
      <c r="J2616" t="s">
        <v>71</v>
      </c>
      <c r="K2616">
        <v>623.79999999999995</v>
      </c>
      <c r="L2616">
        <v>3.93</v>
      </c>
      <c r="M2616" t="s">
        <v>3493</v>
      </c>
      <c r="N2616">
        <v>985492</v>
      </c>
      <c r="P2616">
        <v>20.05</v>
      </c>
      <c r="R2616">
        <v>0.21</v>
      </c>
      <c r="S2616">
        <v>0.38</v>
      </c>
      <c r="T2616" t="s">
        <v>2494</v>
      </c>
      <c r="U2616">
        <v>0.42</v>
      </c>
      <c r="V2616" t="s">
        <v>893</v>
      </c>
      <c r="W2616" t="s">
        <v>164</v>
      </c>
      <c r="X2616" t="s">
        <v>7216</v>
      </c>
      <c r="Y2616" t="s">
        <v>4988</v>
      </c>
      <c r="AA2616">
        <v>-1.58</v>
      </c>
      <c r="AC2616" t="s">
        <v>4116</v>
      </c>
      <c r="AE2616" t="s">
        <v>1083</v>
      </c>
      <c r="AF2616" t="s">
        <v>10703</v>
      </c>
      <c r="AG2616" t="s">
        <v>3638</v>
      </c>
      <c r="AH2616" t="s">
        <v>704</v>
      </c>
      <c r="AI2616" t="s">
        <v>24621</v>
      </c>
      <c r="AJ2616" t="s">
        <v>6842</v>
      </c>
      <c r="AK2616" t="s">
        <v>24622</v>
      </c>
      <c r="AL2616">
        <v>2.1</v>
      </c>
      <c r="AM2616">
        <v>0.52</v>
      </c>
      <c r="AN2616">
        <v>1.94</v>
      </c>
      <c r="AO2616" t="s">
        <v>2709</v>
      </c>
      <c r="AP2616" t="s">
        <v>2449</v>
      </c>
      <c r="AQ2616" t="s">
        <v>10559</v>
      </c>
      <c r="AR2616" t="s">
        <v>5122</v>
      </c>
      <c r="AS2616" t="s">
        <v>229</v>
      </c>
      <c r="AT2616" t="s">
        <v>23349</v>
      </c>
      <c r="AU2616" t="s">
        <v>7269</v>
      </c>
      <c r="AV2616" t="s">
        <v>24623</v>
      </c>
      <c r="AW2616" t="s">
        <v>23621</v>
      </c>
      <c r="AX2616" t="s">
        <v>947</v>
      </c>
      <c r="AY2616" t="s">
        <v>24624</v>
      </c>
      <c r="AZ2616" t="s">
        <v>947</v>
      </c>
      <c r="BA2616">
        <v>2.2000000000000002</v>
      </c>
      <c r="BB2616">
        <v>4274.78</v>
      </c>
      <c r="BC2616">
        <v>0.81</v>
      </c>
      <c r="BD2616">
        <v>3.9</v>
      </c>
      <c r="BE2616">
        <v>4.03</v>
      </c>
      <c r="BF2616">
        <v>3.8</v>
      </c>
      <c r="BG2616" t="s">
        <v>24625</v>
      </c>
      <c r="BH2616" t="s">
        <v>11954</v>
      </c>
      <c r="BI2616" t="s">
        <v>9724</v>
      </c>
      <c r="BJ2616" t="s">
        <v>101</v>
      </c>
      <c r="BK2616" t="s">
        <v>24626</v>
      </c>
      <c r="BL2616" t="s">
        <v>24627</v>
      </c>
      <c r="BM2616" t="s">
        <v>24628</v>
      </c>
      <c r="BN2616" t="s">
        <v>23454</v>
      </c>
    </row>
    <row r="2617" spans="1:66" x14ac:dyDescent="0.25">
      <c r="A2617" t="str">
        <f>HYPERLINK("https://elite.finviz.com/quote.ashx?t=VTAK&amp;ty=c&amp;p=d&amp;b=1", "VTAK")</f>
        <v>VTAK</v>
      </c>
      <c r="B2617">
        <v>5</v>
      </c>
      <c r="C2617">
        <v>116.22</v>
      </c>
      <c r="D2617">
        <v>36.92</v>
      </c>
      <c r="E2617" t="s">
        <v>24629</v>
      </c>
      <c r="F2617" t="s">
        <v>107</v>
      </c>
      <c r="G2617" t="s">
        <v>428</v>
      </c>
      <c r="H2617" t="s">
        <v>2051</v>
      </c>
      <c r="I2617" t="s">
        <v>70</v>
      </c>
      <c r="J2617" t="s">
        <v>383</v>
      </c>
      <c r="K2617">
        <v>3.35</v>
      </c>
      <c r="L2617">
        <v>2.25</v>
      </c>
      <c r="M2617" t="s">
        <v>3486</v>
      </c>
      <c r="N2617">
        <v>26151</v>
      </c>
      <c r="R2617">
        <v>5.58</v>
      </c>
      <c r="S2617">
        <v>0.33</v>
      </c>
      <c r="AA2617">
        <v>-77.86</v>
      </c>
      <c r="AB2617" t="s">
        <v>11616</v>
      </c>
      <c r="AC2617" t="s">
        <v>21916</v>
      </c>
      <c r="AE2617" t="s">
        <v>17679</v>
      </c>
      <c r="AF2617" t="s">
        <v>24630</v>
      </c>
      <c r="AG2617" t="s">
        <v>5987</v>
      </c>
      <c r="AH2617" t="s">
        <v>24631</v>
      </c>
      <c r="AI2617" t="s">
        <v>848</v>
      </c>
      <c r="AJ2617" t="s">
        <v>164</v>
      </c>
      <c r="AK2617" t="s">
        <v>5084</v>
      </c>
      <c r="AL2617">
        <v>0.44</v>
      </c>
      <c r="AM2617">
        <v>0.43</v>
      </c>
      <c r="AN2617">
        <v>2.2200000000000002</v>
      </c>
      <c r="AO2617" t="s">
        <v>24632</v>
      </c>
      <c r="AP2617" t="s">
        <v>24633</v>
      </c>
      <c r="AQ2617" t="s">
        <v>24634</v>
      </c>
      <c r="AR2617" t="s">
        <v>713</v>
      </c>
      <c r="AS2617" t="s">
        <v>2839</v>
      </c>
      <c r="AT2617" t="s">
        <v>15157</v>
      </c>
      <c r="AU2617" t="s">
        <v>19811</v>
      </c>
      <c r="AV2617" t="s">
        <v>8647</v>
      </c>
      <c r="AW2617" t="s">
        <v>23447</v>
      </c>
      <c r="AX2617" t="s">
        <v>6003</v>
      </c>
      <c r="AY2617" t="s">
        <v>24635</v>
      </c>
      <c r="AZ2617" t="s">
        <v>6003</v>
      </c>
      <c r="BA2617">
        <v>1</v>
      </c>
      <c r="BB2617">
        <v>1052.76</v>
      </c>
      <c r="BC2617">
        <v>0.09</v>
      </c>
      <c r="BD2617">
        <v>2.2599999999999998</v>
      </c>
      <c r="BE2617">
        <v>2.27</v>
      </c>
      <c r="BF2617">
        <v>2.21</v>
      </c>
      <c r="BG2617" t="s">
        <v>24636</v>
      </c>
      <c r="BH2617" t="s">
        <v>579</v>
      </c>
      <c r="BI2617" t="s">
        <v>6003</v>
      </c>
      <c r="BJ2617" t="s">
        <v>101</v>
      </c>
      <c r="BK2617" t="s">
        <v>15508</v>
      </c>
      <c r="BL2617" t="s">
        <v>22967</v>
      </c>
      <c r="BM2617" t="s">
        <v>24637</v>
      </c>
      <c r="BN2617" t="s">
        <v>23454</v>
      </c>
    </row>
    <row r="2618" spans="1:66" x14ac:dyDescent="0.25">
      <c r="A2618" t="str">
        <f>HYPERLINK("https://elite.finviz.com/quote.ashx?t=FIP&amp;ty=c&amp;p=d&amp;b=1", "FIP")</f>
        <v>FIP</v>
      </c>
      <c r="B2618">
        <v>5</v>
      </c>
      <c r="C2618">
        <v>116.22</v>
      </c>
      <c r="D2618">
        <v>36.94</v>
      </c>
      <c r="E2618" t="s">
        <v>24638</v>
      </c>
      <c r="F2618" t="s">
        <v>67</v>
      </c>
      <c r="G2618" t="s">
        <v>260</v>
      </c>
      <c r="H2618" t="s">
        <v>2508</v>
      </c>
      <c r="I2618" t="s">
        <v>70</v>
      </c>
      <c r="J2618" t="s">
        <v>321</v>
      </c>
      <c r="K2618">
        <v>479.91</v>
      </c>
      <c r="L2618">
        <v>4.17</v>
      </c>
      <c r="M2618" t="s">
        <v>7089</v>
      </c>
      <c r="N2618">
        <v>270445</v>
      </c>
      <c r="R2618">
        <v>1.25</v>
      </c>
      <c r="S2618">
        <v>1.28</v>
      </c>
      <c r="T2618" t="s">
        <v>5425</v>
      </c>
      <c r="U2618">
        <v>0.12</v>
      </c>
      <c r="V2618" t="s">
        <v>10943</v>
      </c>
      <c r="W2618" t="s">
        <v>164</v>
      </c>
      <c r="AA2618">
        <v>-1.5</v>
      </c>
      <c r="AB2618" t="s">
        <v>19071</v>
      </c>
      <c r="AD2618" t="s">
        <v>8940</v>
      </c>
      <c r="AE2618" t="s">
        <v>6814</v>
      </c>
      <c r="AF2618" t="s">
        <v>24639</v>
      </c>
      <c r="AG2618" t="s">
        <v>2406</v>
      </c>
      <c r="AH2618" t="s">
        <v>10910</v>
      </c>
      <c r="AI2618" t="s">
        <v>18560</v>
      </c>
      <c r="AJ2618" t="s">
        <v>2065</v>
      </c>
      <c r="AK2618" t="s">
        <v>20690</v>
      </c>
      <c r="AL2618">
        <v>1.47</v>
      </c>
      <c r="AM2618">
        <v>1.47</v>
      </c>
      <c r="AN2618">
        <v>3.4</v>
      </c>
      <c r="AO2618" t="s">
        <v>1776</v>
      </c>
      <c r="AP2618" t="s">
        <v>5000</v>
      </c>
      <c r="AQ2618" t="s">
        <v>17757</v>
      </c>
      <c r="AR2618" t="s">
        <v>1653</v>
      </c>
      <c r="AS2618" t="s">
        <v>9703</v>
      </c>
      <c r="AT2618" t="s">
        <v>16199</v>
      </c>
      <c r="AU2618" t="s">
        <v>7992</v>
      </c>
      <c r="AV2618" t="s">
        <v>4681</v>
      </c>
      <c r="AW2618" t="s">
        <v>12790</v>
      </c>
      <c r="AX2618" t="s">
        <v>4999</v>
      </c>
      <c r="AY2618" t="s">
        <v>24640</v>
      </c>
      <c r="AZ2618" t="s">
        <v>13231</v>
      </c>
      <c r="BA2618">
        <v>1</v>
      </c>
      <c r="BB2618">
        <v>2216.77</v>
      </c>
      <c r="BC2618">
        <v>0.43</v>
      </c>
      <c r="BD2618">
        <v>4.2300000000000004</v>
      </c>
      <c r="BE2618">
        <v>4.26</v>
      </c>
      <c r="BF2618">
        <v>4.12</v>
      </c>
      <c r="BG2618" t="s">
        <v>24641</v>
      </c>
      <c r="BH2618" t="s">
        <v>4251</v>
      </c>
      <c r="BI2618" t="s">
        <v>8243</v>
      </c>
      <c r="BJ2618" t="s">
        <v>101</v>
      </c>
      <c r="BK2618" t="s">
        <v>15318</v>
      </c>
      <c r="BL2618" t="s">
        <v>15281</v>
      </c>
      <c r="BM2618" t="s">
        <v>24642</v>
      </c>
      <c r="BN2618" t="s">
        <v>23454</v>
      </c>
    </row>
    <row r="2619" spans="1:66" x14ac:dyDescent="0.25">
      <c r="A2619" t="str">
        <f>HYPERLINK("https://elite.finviz.com/quote.ashx?t=QTWO&amp;ty=c&amp;p=d&amp;b=1", "QTWO")</f>
        <v>QTWO</v>
      </c>
      <c r="B2619">
        <v>5</v>
      </c>
      <c r="C2619">
        <v>116.22</v>
      </c>
      <c r="D2619">
        <v>36.96</v>
      </c>
      <c r="E2619" t="s">
        <v>24643</v>
      </c>
      <c r="F2619" t="s">
        <v>67</v>
      </c>
      <c r="G2619" t="s">
        <v>108</v>
      </c>
      <c r="H2619" t="s">
        <v>136</v>
      </c>
      <c r="I2619" t="s">
        <v>70</v>
      </c>
      <c r="J2619" t="s">
        <v>71</v>
      </c>
      <c r="K2619">
        <v>4612.17</v>
      </c>
      <c r="L2619">
        <v>73.86</v>
      </c>
      <c r="M2619" t="s">
        <v>2362</v>
      </c>
      <c r="N2619">
        <v>105789</v>
      </c>
      <c r="O2619">
        <v>1204.94</v>
      </c>
      <c r="P2619">
        <v>29.6</v>
      </c>
      <c r="Q2619">
        <v>53.51</v>
      </c>
      <c r="R2619">
        <v>6.21</v>
      </c>
      <c r="S2619">
        <v>7.89</v>
      </c>
      <c r="AA2619">
        <v>0.06</v>
      </c>
      <c r="AB2619" t="s">
        <v>23114</v>
      </c>
      <c r="AC2619" t="s">
        <v>10359</v>
      </c>
      <c r="AD2619" t="s">
        <v>16013</v>
      </c>
      <c r="AE2619" t="s">
        <v>3924</v>
      </c>
      <c r="AF2619" t="s">
        <v>3327</v>
      </c>
      <c r="AG2619" t="s">
        <v>4116</v>
      </c>
      <c r="AH2619" t="s">
        <v>2337</v>
      </c>
      <c r="AI2619" t="s">
        <v>8690</v>
      </c>
      <c r="AJ2619" t="s">
        <v>156</v>
      </c>
      <c r="AK2619" t="s">
        <v>6481</v>
      </c>
      <c r="AL2619">
        <v>0.85</v>
      </c>
      <c r="AM2619">
        <v>0.85</v>
      </c>
      <c r="AN2619">
        <v>0.92</v>
      </c>
      <c r="AO2619" t="s">
        <v>24644</v>
      </c>
      <c r="AP2619" t="s">
        <v>3493</v>
      </c>
      <c r="AQ2619" t="s">
        <v>1022</v>
      </c>
      <c r="AR2619" t="s">
        <v>3480</v>
      </c>
      <c r="AS2619" t="s">
        <v>7154</v>
      </c>
      <c r="AT2619" t="s">
        <v>1153</v>
      </c>
      <c r="AU2619" t="s">
        <v>6246</v>
      </c>
      <c r="AV2619" t="s">
        <v>3473</v>
      </c>
      <c r="AW2619" t="s">
        <v>16945</v>
      </c>
      <c r="AX2619" t="s">
        <v>7423</v>
      </c>
      <c r="AY2619" t="s">
        <v>24645</v>
      </c>
      <c r="AZ2619" t="s">
        <v>8579</v>
      </c>
      <c r="BA2619">
        <v>1.71</v>
      </c>
      <c r="BB2619">
        <v>1087.47</v>
      </c>
      <c r="BC2619">
        <v>0.34</v>
      </c>
      <c r="BD2619">
        <v>73.47</v>
      </c>
      <c r="BE2619">
        <v>73.92</v>
      </c>
      <c r="BF2619">
        <v>73.36</v>
      </c>
      <c r="BG2619" t="s">
        <v>24646</v>
      </c>
      <c r="BH2619" t="s">
        <v>24647</v>
      </c>
      <c r="BI2619" t="s">
        <v>24648</v>
      </c>
      <c r="BJ2619" t="s">
        <v>101</v>
      </c>
      <c r="BK2619" t="s">
        <v>1032</v>
      </c>
      <c r="BL2619" t="s">
        <v>21990</v>
      </c>
      <c r="BM2619" t="s">
        <v>1200</v>
      </c>
      <c r="BN2619" t="s">
        <v>23454</v>
      </c>
    </row>
    <row r="2620" spans="1:66" x14ac:dyDescent="0.25">
      <c r="A2620" t="str">
        <f>HYPERLINK("https://elite.finviz.com/quote.ashx?t=OPCH&amp;ty=c&amp;p=d&amp;b=1", "OPCH")</f>
        <v>OPCH</v>
      </c>
      <c r="B2620">
        <v>5</v>
      </c>
      <c r="C2620">
        <v>116.22</v>
      </c>
      <c r="D2620">
        <v>37.020000000000003</v>
      </c>
      <c r="E2620" t="s">
        <v>24649</v>
      </c>
      <c r="F2620" t="s">
        <v>67</v>
      </c>
      <c r="G2620" t="s">
        <v>428</v>
      </c>
      <c r="H2620" t="s">
        <v>3160</v>
      </c>
      <c r="I2620" t="s">
        <v>70</v>
      </c>
      <c r="J2620" t="s">
        <v>321</v>
      </c>
      <c r="K2620">
        <v>4351.13</v>
      </c>
      <c r="L2620">
        <v>26.81</v>
      </c>
      <c r="M2620" t="s">
        <v>3227</v>
      </c>
      <c r="N2620">
        <v>397557</v>
      </c>
      <c r="O2620">
        <v>21.36</v>
      </c>
      <c r="P2620">
        <v>13.82</v>
      </c>
      <c r="Q2620">
        <v>2.0099999999999998</v>
      </c>
      <c r="R2620">
        <v>0.81</v>
      </c>
      <c r="S2620">
        <v>3.2</v>
      </c>
      <c r="Z2620" t="s">
        <v>164</v>
      </c>
      <c r="AA2620">
        <v>1.25</v>
      </c>
      <c r="AB2620" t="s">
        <v>14743</v>
      </c>
      <c r="AD2620" t="s">
        <v>6573</v>
      </c>
      <c r="AE2620" t="s">
        <v>9149</v>
      </c>
      <c r="AF2620" t="s">
        <v>3955</v>
      </c>
      <c r="AG2620" t="s">
        <v>8697</v>
      </c>
      <c r="AH2620" t="s">
        <v>5057</v>
      </c>
      <c r="AI2620" t="s">
        <v>4323</v>
      </c>
      <c r="AJ2620" t="s">
        <v>4189</v>
      </c>
      <c r="AK2620" t="s">
        <v>24650</v>
      </c>
      <c r="AL2620">
        <v>1.52</v>
      </c>
      <c r="AM2620">
        <v>1</v>
      </c>
      <c r="AN2620">
        <v>0.9</v>
      </c>
      <c r="AO2620" t="s">
        <v>13792</v>
      </c>
      <c r="AP2620" t="s">
        <v>7767</v>
      </c>
      <c r="AQ2620" t="s">
        <v>3334</v>
      </c>
      <c r="AR2620" t="s">
        <v>5256</v>
      </c>
      <c r="AS2620" t="s">
        <v>90</v>
      </c>
      <c r="AT2620" t="s">
        <v>1929</v>
      </c>
      <c r="AU2620" t="s">
        <v>6775</v>
      </c>
      <c r="AV2620" t="s">
        <v>7279</v>
      </c>
      <c r="AW2620" t="s">
        <v>9260</v>
      </c>
      <c r="AX2620" t="s">
        <v>2449</v>
      </c>
      <c r="AY2620" t="s">
        <v>15781</v>
      </c>
      <c r="AZ2620" t="s">
        <v>10971</v>
      </c>
      <c r="BA2620">
        <v>1.18</v>
      </c>
      <c r="BB2620">
        <v>1747.39</v>
      </c>
      <c r="BC2620">
        <v>0.8</v>
      </c>
      <c r="BD2620">
        <v>26.82</v>
      </c>
      <c r="BE2620">
        <v>27.01</v>
      </c>
      <c r="BF2620">
        <v>26.71</v>
      </c>
      <c r="BG2620" t="s">
        <v>24651</v>
      </c>
      <c r="BH2620" t="s">
        <v>24652</v>
      </c>
      <c r="BI2620" t="s">
        <v>24653</v>
      </c>
      <c r="BJ2620" t="s">
        <v>101</v>
      </c>
      <c r="BK2620" t="s">
        <v>8900</v>
      </c>
      <c r="BL2620" t="s">
        <v>6958</v>
      </c>
      <c r="BM2620" t="s">
        <v>17461</v>
      </c>
      <c r="BN2620" t="s">
        <v>23454</v>
      </c>
    </row>
    <row r="2621" spans="1:66" x14ac:dyDescent="0.25">
      <c r="A2621" t="str">
        <f>HYPERLINK("https://elite.finviz.com/quote.ashx?t=FI&amp;ty=c&amp;p=d&amp;b=1", "FI")</f>
        <v>FI</v>
      </c>
      <c r="B2621">
        <v>5</v>
      </c>
      <c r="C2621">
        <v>116.22</v>
      </c>
      <c r="D2621">
        <v>37.03</v>
      </c>
      <c r="E2621" t="s">
        <v>24654</v>
      </c>
      <c r="F2621" t="s">
        <v>195</v>
      </c>
      <c r="G2621" t="s">
        <v>108</v>
      </c>
      <c r="H2621" t="s">
        <v>1322</v>
      </c>
      <c r="I2621" t="s">
        <v>70</v>
      </c>
      <c r="J2621" t="s">
        <v>71</v>
      </c>
      <c r="K2621">
        <v>70699.73</v>
      </c>
      <c r="L2621">
        <v>130.06</v>
      </c>
      <c r="M2621" t="s">
        <v>581</v>
      </c>
      <c r="N2621">
        <v>665432</v>
      </c>
      <c r="O2621">
        <v>21.74</v>
      </c>
      <c r="P2621">
        <v>10.98</v>
      </c>
      <c r="Q2621">
        <v>1.35</v>
      </c>
      <c r="R2621">
        <v>3.35</v>
      </c>
      <c r="S2621">
        <v>2.81</v>
      </c>
      <c r="Z2621" t="s">
        <v>164</v>
      </c>
      <c r="AA2621">
        <v>5.98</v>
      </c>
      <c r="AB2621" t="s">
        <v>8393</v>
      </c>
      <c r="AC2621" t="s">
        <v>10360</v>
      </c>
      <c r="AD2621" t="s">
        <v>6814</v>
      </c>
      <c r="AE2621" t="s">
        <v>2945</v>
      </c>
      <c r="AF2621" t="s">
        <v>8727</v>
      </c>
      <c r="AG2621" t="s">
        <v>1625</v>
      </c>
      <c r="AH2621" t="s">
        <v>2446</v>
      </c>
      <c r="AI2621" t="s">
        <v>3551</v>
      </c>
      <c r="AJ2621" t="s">
        <v>1648</v>
      </c>
      <c r="AK2621" t="s">
        <v>1743</v>
      </c>
      <c r="AL2621">
        <v>1.0900000000000001</v>
      </c>
      <c r="AM2621">
        <v>1.0900000000000001</v>
      </c>
      <c r="AN2621">
        <v>1.18</v>
      </c>
      <c r="AO2621" t="s">
        <v>24655</v>
      </c>
      <c r="AP2621" t="s">
        <v>3970</v>
      </c>
      <c r="AQ2621" t="s">
        <v>10359</v>
      </c>
      <c r="AR2621" t="s">
        <v>910</v>
      </c>
      <c r="AS2621" t="s">
        <v>3856</v>
      </c>
      <c r="AT2621" t="s">
        <v>91</v>
      </c>
      <c r="AU2621" t="s">
        <v>9738</v>
      </c>
      <c r="AV2621" t="s">
        <v>23489</v>
      </c>
      <c r="AW2621" t="s">
        <v>24379</v>
      </c>
      <c r="AX2621" t="s">
        <v>9136</v>
      </c>
      <c r="AY2621" t="s">
        <v>24656</v>
      </c>
      <c r="AZ2621" t="s">
        <v>9136</v>
      </c>
      <c r="BA2621">
        <v>1.37</v>
      </c>
      <c r="BB2621">
        <v>5020.58</v>
      </c>
      <c r="BC2621">
        <v>0.47</v>
      </c>
      <c r="BD2621">
        <v>128.66</v>
      </c>
      <c r="BE2621">
        <v>130.46</v>
      </c>
      <c r="BF2621">
        <v>128.57</v>
      </c>
      <c r="BG2621" t="s">
        <v>24657</v>
      </c>
      <c r="BH2621" t="s">
        <v>24656</v>
      </c>
      <c r="BI2621" t="s">
        <v>24658</v>
      </c>
      <c r="BJ2621" t="s">
        <v>101</v>
      </c>
      <c r="BK2621" t="s">
        <v>20709</v>
      </c>
      <c r="BL2621" t="s">
        <v>24096</v>
      </c>
      <c r="BM2621" t="s">
        <v>1442</v>
      </c>
      <c r="BN2621" t="s">
        <v>23454</v>
      </c>
    </row>
    <row r="2622" spans="1:66" x14ac:dyDescent="0.25">
      <c r="A2622" t="str">
        <f>HYPERLINK("https://elite.finviz.com/quote.ashx?t=HPQ&amp;ty=c&amp;p=d&amp;b=1", "HPQ")</f>
        <v>HPQ</v>
      </c>
      <c r="B2622">
        <v>5</v>
      </c>
      <c r="C2622">
        <v>116.22</v>
      </c>
      <c r="D2622">
        <v>37.07</v>
      </c>
      <c r="E2622" t="s">
        <v>24659</v>
      </c>
      <c r="F2622" t="s">
        <v>195</v>
      </c>
      <c r="G2622" t="s">
        <v>108</v>
      </c>
      <c r="H2622" t="s">
        <v>496</v>
      </c>
      <c r="I2622" t="s">
        <v>70</v>
      </c>
      <c r="J2622" t="s">
        <v>71</v>
      </c>
      <c r="K2622">
        <v>24680.81</v>
      </c>
      <c r="L2622">
        <v>26.41</v>
      </c>
      <c r="M2622" t="s">
        <v>7039</v>
      </c>
      <c r="N2622">
        <v>2114196</v>
      </c>
      <c r="O2622">
        <v>9.61</v>
      </c>
      <c r="P2622">
        <v>7.82</v>
      </c>
      <c r="Q2622">
        <v>7.69</v>
      </c>
      <c r="R2622">
        <v>0.45</v>
      </c>
      <c r="T2622" t="s">
        <v>3020</v>
      </c>
      <c r="U2622">
        <v>1.1599999999999999</v>
      </c>
      <c r="V2622" t="s">
        <v>5717</v>
      </c>
      <c r="W2622" t="s">
        <v>995</v>
      </c>
      <c r="X2622" t="s">
        <v>3923</v>
      </c>
      <c r="Y2622" t="s">
        <v>15543</v>
      </c>
      <c r="Z2622" t="s">
        <v>1163</v>
      </c>
      <c r="AA2622">
        <v>2.75</v>
      </c>
      <c r="AB2622" t="s">
        <v>14748</v>
      </c>
      <c r="AC2622" t="s">
        <v>336</v>
      </c>
      <c r="AD2622" t="s">
        <v>3350</v>
      </c>
      <c r="AE2622" t="s">
        <v>3500</v>
      </c>
      <c r="AF2622" t="s">
        <v>15506</v>
      </c>
      <c r="AG2622" t="s">
        <v>9618</v>
      </c>
      <c r="AH2622" t="s">
        <v>3066</v>
      </c>
      <c r="AI2622" t="s">
        <v>3463</v>
      </c>
      <c r="AJ2622" t="s">
        <v>4436</v>
      </c>
      <c r="AK2622" t="s">
        <v>24660</v>
      </c>
      <c r="AL2622">
        <v>0.74</v>
      </c>
      <c r="AM2622">
        <v>0.44</v>
      </c>
      <c r="AO2622" t="s">
        <v>7710</v>
      </c>
      <c r="AP2622" t="s">
        <v>3952</v>
      </c>
      <c r="AQ2622" t="s">
        <v>3545</v>
      </c>
      <c r="AR2622" t="s">
        <v>6003</v>
      </c>
      <c r="AS2622" t="s">
        <v>2333</v>
      </c>
      <c r="AT2622" t="s">
        <v>2594</v>
      </c>
      <c r="AU2622" t="s">
        <v>1444</v>
      </c>
      <c r="AV2622" t="s">
        <v>10431</v>
      </c>
      <c r="AW2622" t="s">
        <v>4217</v>
      </c>
      <c r="AX2622" t="s">
        <v>5618</v>
      </c>
      <c r="AY2622" t="s">
        <v>16765</v>
      </c>
      <c r="AZ2622" t="s">
        <v>3138</v>
      </c>
      <c r="BA2622">
        <v>2.94</v>
      </c>
      <c r="BB2622">
        <v>8499.2999999999993</v>
      </c>
      <c r="BC2622">
        <v>0.88</v>
      </c>
      <c r="BD2622">
        <v>26.85</v>
      </c>
      <c r="BE2622">
        <v>26.9</v>
      </c>
      <c r="BF2622">
        <v>26.32</v>
      </c>
      <c r="BG2622" t="s">
        <v>24661</v>
      </c>
      <c r="BH2622" t="s">
        <v>24662</v>
      </c>
      <c r="BI2622" t="s">
        <v>24663</v>
      </c>
      <c r="BJ2622" t="s">
        <v>101</v>
      </c>
      <c r="BK2622" t="s">
        <v>1254</v>
      </c>
      <c r="BL2622" t="s">
        <v>12610</v>
      </c>
      <c r="BM2622" t="s">
        <v>11966</v>
      </c>
      <c r="BN2622" t="s">
        <v>23454</v>
      </c>
    </row>
    <row r="2623" spans="1:66" x14ac:dyDescent="0.25">
      <c r="A2623" t="str">
        <f>HYPERLINK("https://elite.finviz.com/quote.ashx?t=HNGE&amp;ty=c&amp;p=d&amp;b=1", "HNGE")</f>
        <v>HNGE</v>
      </c>
      <c r="B2623">
        <v>5</v>
      </c>
      <c r="C2623">
        <v>116.22</v>
      </c>
      <c r="D2623">
        <v>37.08</v>
      </c>
      <c r="E2623" t="s">
        <v>24664</v>
      </c>
      <c r="F2623" t="s">
        <v>107</v>
      </c>
      <c r="G2623" t="s">
        <v>428</v>
      </c>
      <c r="H2623" t="s">
        <v>2075</v>
      </c>
      <c r="I2623" t="s">
        <v>70</v>
      </c>
      <c r="J2623" t="s">
        <v>71</v>
      </c>
      <c r="K2623">
        <v>3903.73</v>
      </c>
      <c r="L2623">
        <v>49.77</v>
      </c>
      <c r="M2623" t="s">
        <v>7948</v>
      </c>
      <c r="N2623">
        <v>398093</v>
      </c>
      <c r="R2623">
        <v>8.1199999999999992</v>
      </c>
      <c r="S2623">
        <v>22.38</v>
      </c>
      <c r="AA2623">
        <v>-5.46</v>
      </c>
      <c r="AE2623" t="s">
        <v>21489</v>
      </c>
      <c r="AH2623" t="s">
        <v>7885</v>
      </c>
      <c r="AI2623" t="s">
        <v>24665</v>
      </c>
      <c r="AJ2623" t="s">
        <v>10375</v>
      </c>
      <c r="AK2623" t="s">
        <v>5267</v>
      </c>
      <c r="AL2623">
        <v>1.83</v>
      </c>
      <c r="AM2623">
        <v>1.73</v>
      </c>
      <c r="AN2623">
        <v>0.03</v>
      </c>
      <c r="AO2623" t="s">
        <v>24666</v>
      </c>
      <c r="AP2623" t="s">
        <v>24667</v>
      </c>
      <c r="AQ2623" t="s">
        <v>5599</v>
      </c>
      <c r="AR2623" t="s">
        <v>437</v>
      </c>
      <c r="AS2623" t="s">
        <v>3496</v>
      </c>
      <c r="AT2623" t="s">
        <v>7672</v>
      </c>
      <c r="AU2623" t="s">
        <v>357</v>
      </c>
      <c r="AV2623" t="s">
        <v>1303</v>
      </c>
      <c r="AW2623" t="s">
        <v>10141</v>
      </c>
      <c r="AX2623" t="s">
        <v>7851</v>
      </c>
      <c r="AY2623" t="s">
        <v>10141</v>
      </c>
      <c r="AZ2623" t="s">
        <v>18677</v>
      </c>
      <c r="BA2623">
        <v>1.27</v>
      </c>
      <c r="BB2623">
        <v>1021.84</v>
      </c>
      <c r="BC2623">
        <v>1.37</v>
      </c>
      <c r="BD2623">
        <v>51.25</v>
      </c>
      <c r="BE2623">
        <v>51.99</v>
      </c>
      <c r="BF2623">
        <v>49.31</v>
      </c>
      <c r="BG2623" t="s">
        <v>24668</v>
      </c>
      <c r="BH2623" t="s">
        <v>10141</v>
      </c>
      <c r="BI2623" t="s">
        <v>18677</v>
      </c>
      <c r="BJ2623" t="s">
        <v>101</v>
      </c>
      <c r="BK2623" t="s">
        <v>7942</v>
      </c>
      <c r="BN2623" t="s">
        <v>23454</v>
      </c>
    </row>
    <row r="2624" spans="1:66" x14ac:dyDescent="0.25">
      <c r="A2624" t="str">
        <f>HYPERLINK("https://elite.finviz.com/quote.ashx?t=ILMN&amp;ty=c&amp;p=d&amp;b=1", "ILMN")</f>
        <v>ILMN</v>
      </c>
      <c r="B2624">
        <v>5</v>
      </c>
      <c r="C2624">
        <v>116.22</v>
      </c>
      <c r="D2624">
        <v>37.090000000000003</v>
      </c>
      <c r="E2624" t="s">
        <v>24669</v>
      </c>
      <c r="F2624" t="s">
        <v>107</v>
      </c>
      <c r="G2624" t="s">
        <v>428</v>
      </c>
      <c r="H2624" t="s">
        <v>4202</v>
      </c>
      <c r="I2624" t="s">
        <v>70</v>
      </c>
      <c r="J2624" t="s">
        <v>321</v>
      </c>
      <c r="K2624">
        <v>14100.43</v>
      </c>
      <c r="L2624">
        <v>91.74</v>
      </c>
      <c r="M2624" t="s">
        <v>4273</v>
      </c>
      <c r="N2624">
        <v>469597</v>
      </c>
      <c r="O2624">
        <v>11.62</v>
      </c>
      <c r="P2624">
        <v>19.010000000000002</v>
      </c>
      <c r="Q2624">
        <v>1.17</v>
      </c>
      <c r="R2624">
        <v>3.29</v>
      </c>
      <c r="S2624">
        <v>6.26</v>
      </c>
      <c r="AA2624">
        <v>7.9</v>
      </c>
      <c r="AD2624" t="s">
        <v>230</v>
      </c>
      <c r="AE2624" t="s">
        <v>799</v>
      </c>
      <c r="AF2624" t="s">
        <v>4312</v>
      </c>
      <c r="AG2624" t="s">
        <v>5672</v>
      </c>
      <c r="AH2624" t="s">
        <v>1465</v>
      </c>
      <c r="AI2624" t="s">
        <v>13660</v>
      </c>
      <c r="AJ2624" t="s">
        <v>7464</v>
      </c>
      <c r="AK2624" t="s">
        <v>24670</v>
      </c>
      <c r="AL2624">
        <v>1.81</v>
      </c>
      <c r="AM2624">
        <v>1.41</v>
      </c>
      <c r="AN2624">
        <v>1.1499999999999999</v>
      </c>
      <c r="AO2624" t="s">
        <v>10960</v>
      </c>
      <c r="AP2624" t="s">
        <v>14704</v>
      </c>
      <c r="AQ2624" t="s">
        <v>15078</v>
      </c>
      <c r="AR2624" t="s">
        <v>4394</v>
      </c>
      <c r="AS2624" t="s">
        <v>6770</v>
      </c>
      <c r="AT2624" t="s">
        <v>7219</v>
      </c>
      <c r="AU2624" t="s">
        <v>12610</v>
      </c>
      <c r="AV2624" t="s">
        <v>14874</v>
      </c>
      <c r="AW2624" t="s">
        <v>1622</v>
      </c>
      <c r="AX2624" t="s">
        <v>1409</v>
      </c>
      <c r="AY2624" t="s">
        <v>24671</v>
      </c>
      <c r="AZ2624" t="s">
        <v>6114</v>
      </c>
      <c r="BA2624">
        <v>2.46</v>
      </c>
      <c r="BB2624">
        <v>1894.04</v>
      </c>
      <c r="BC2624">
        <v>0.87</v>
      </c>
      <c r="BD2624">
        <v>92.19</v>
      </c>
      <c r="BE2624">
        <v>93.01</v>
      </c>
      <c r="BF2624">
        <v>91.49</v>
      </c>
      <c r="BG2624" t="s">
        <v>24672</v>
      </c>
      <c r="BH2624" t="s">
        <v>24673</v>
      </c>
      <c r="BI2624" t="s">
        <v>24674</v>
      </c>
      <c r="BJ2624" t="s">
        <v>101</v>
      </c>
      <c r="BK2624" t="s">
        <v>345</v>
      </c>
      <c r="BL2624" t="s">
        <v>1492</v>
      </c>
      <c r="BM2624" t="s">
        <v>9857</v>
      </c>
      <c r="BN2624" t="s">
        <v>23454</v>
      </c>
    </row>
    <row r="2625" spans="1:66" x14ac:dyDescent="0.25">
      <c r="A2625" t="str">
        <f>HYPERLINK("https://elite.finviz.com/quote.ashx?t=UPS&amp;ty=c&amp;p=d&amp;b=1", "UPS")</f>
        <v>UPS</v>
      </c>
      <c r="B2625">
        <v>5</v>
      </c>
      <c r="C2625">
        <v>116.22</v>
      </c>
      <c r="D2625">
        <v>37.130000000000003</v>
      </c>
      <c r="E2625" t="s">
        <v>24675</v>
      </c>
      <c r="F2625" t="s">
        <v>195</v>
      </c>
      <c r="G2625" t="s">
        <v>260</v>
      </c>
      <c r="H2625" t="s">
        <v>7853</v>
      </c>
      <c r="I2625" t="s">
        <v>70</v>
      </c>
      <c r="J2625" t="s">
        <v>71</v>
      </c>
      <c r="K2625">
        <v>70305.899999999994</v>
      </c>
      <c r="L2625">
        <v>82.95</v>
      </c>
      <c r="M2625" t="s">
        <v>914</v>
      </c>
      <c r="N2625">
        <v>1936678</v>
      </c>
      <c r="O2625">
        <v>12.33</v>
      </c>
      <c r="P2625">
        <v>11.6</v>
      </c>
      <c r="Q2625">
        <v>10.029999999999999</v>
      </c>
      <c r="R2625">
        <v>0.78</v>
      </c>
      <c r="S2625">
        <v>4.47</v>
      </c>
      <c r="T2625" t="s">
        <v>2678</v>
      </c>
      <c r="U2625">
        <v>6.55</v>
      </c>
      <c r="V2625" t="s">
        <v>1440</v>
      </c>
      <c r="W2625" t="s">
        <v>4308</v>
      </c>
      <c r="X2625" t="s">
        <v>7629</v>
      </c>
      <c r="Y2625" t="s">
        <v>5459</v>
      </c>
      <c r="Z2625" t="s">
        <v>19291</v>
      </c>
      <c r="AA2625">
        <v>6.73</v>
      </c>
      <c r="AB2625" t="s">
        <v>15005</v>
      </c>
      <c r="AC2625" t="s">
        <v>5527</v>
      </c>
      <c r="AD2625" t="s">
        <v>343</v>
      </c>
      <c r="AE2625" t="s">
        <v>2759</v>
      </c>
      <c r="AF2625" t="s">
        <v>1356</v>
      </c>
      <c r="AG2625" t="s">
        <v>6460</v>
      </c>
      <c r="AH2625" t="s">
        <v>4124</v>
      </c>
      <c r="AI2625" t="s">
        <v>8357</v>
      </c>
      <c r="AJ2625" t="s">
        <v>2215</v>
      </c>
      <c r="AK2625" t="s">
        <v>24676</v>
      </c>
      <c r="AL2625">
        <v>1.32</v>
      </c>
      <c r="AM2625">
        <v>1.32</v>
      </c>
      <c r="AN2625">
        <v>1.84</v>
      </c>
      <c r="AO2625" t="s">
        <v>5024</v>
      </c>
      <c r="AP2625" t="s">
        <v>3230</v>
      </c>
      <c r="AQ2625" t="s">
        <v>3777</v>
      </c>
      <c r="AR2625" t="s">
        <v>3671</v>
      </c>
      <c r="AS2625" t="s">
        <v>1129</v>
      </c>
      <c r="AT2625" t="s">
        <v>6597</v>
      </c>
      <c r="AU2625" t="s">
        <v>5623</v>
      </c>
      <c r="AV2625" t="s">
        <v>20079</v>
      </c>
      <c r="AW2625" t="s">
        <v>7992</v>
      </c>
      <c r="AX2625" t="s">
        <v>5166</v>
      </c>
      <c r="AY2625" t="s">
        <v>16758</v>
      </c>
      <c r="AZ2625" t="s">
        <v>5166</v>
      </c>
      <c r="BA2625">
        <v>2.33</v>
      </c>
      <c r="BB2625">
        <v>7859.03</v>
      </c>
      <c r="BC2625">
        <v>0.87</v>
      </c>
      <c r="BD2625">
        <v>82.58</v>
      </c>
      <c r="BE2625">
        <v>83.56</v>
      </c>
      <c r="BF2625">
        <v>82.65</v>
      </c>
      <c r="BG2625" t="s">
        <v>24677</v>
      </c>
      <c r="BH2625" t="s">
        <v>24678</v>
      </c>
      <c r="BI2625" t="s">
        <v>24679</v>
      </c>
      <c r="BJ2625" t="s">
        <v>101</v>
      </c>
      <c r="BK2625" t="s">
        <v>3080</v>
      </c>
      <c r="BL2625" t="s">
        <v>23508</v>
      </c>
      <c r="BM2625" t="s">
        <v>10044</v>
      </c>
      <c r="BN2625" t="s">
        <v>23454</v>
      </c>
    </row>
    <row r="2626" spans="1:66" x14ac:dyDescent="0.25">
      <c r="A2626" t="str">
        <f>HYPERLINK("https://elite.finviz.com/quote.ashx?t=ASNS&amp;ty=c&amp;p=d&amp;b=1", "ASNS")</f>
        <v>ASNS</v>
      </c>
      <c r="B2626">
        <v>5</v>
      </c>
      <c r="C2626">
        <v>116.22</v>
      </c>
      <c r="D2626">
        <v>37.17</v>
      </c>
      <c r="E2626" t="s">
        <v>24680</v>
      </c>
      <c r="F2626" t="s">
        <v>107</v>
      </c>
      <c r="G2626" t="s">
        <v>108</v>
      </c>
      <c r="H2626" t="s">
        <v>1921</v>
      </c>
      <c r="I2626" t="s">
        <v>70</v>
      </c>
      <c r="J2626" t="s">
        <v>321</v>
      </c>
      <c r="K2626">
        <v>6.44</v>
      </c>
      <c r="L2626">
        <v>0.39</v>
      </c>
      <c r="M2626" t="s">
        <v>5879</v>
      </c>
      <c r="N2626">
        <v>95840</v>
      </c>
      <c r="R2626">
        <v>1.22</v>
      </c>
      <c r="S2626">
        <v>3.61</v>
      </c>
      <c r="AA2626">
        <v>-0.78</v>
      </c>
      <c r="AB2626" t="s">
        <v>13335</v>
      </c>
      <c r="AC2626" t="s">
        <v>102</v>
      </c>
      <c r="AE2626" t="s">
        <v>2545</v>
      </c>
      <c r="AF2626" t="s">
        <v>6058</v>
      </c>
      <c r="AG2626" t="s">
        <v>5809</v>
      </c>
      <c r="AH2626" t="s">
        <v>24681</v>
      </c>
      <c r="AI2626" t="s">
        <v>24682</v>
      </c>
      <c r="AJ2626" t="s">
        <v>164</v>
      </c>
      <c r="AK2626" t="s">
        <v>3024</v>
      </c>
      <c r="AL2626">
        <v>1.1399999999999999</v>
      </c>
      <c r="AM2626">
        <v>0.54</v>
      </c>
      <c r="AN2626">
        <v>0.9</v>
      </c>
      <c r="AO2626" t="s">
        <v>23345</v>
      </c>
      <c r="AP2626" t="s">
        <v>24683</v>
      </c>
      <c r="AQ2626" t="s">
        <v>24684</v>
      </c>
      <c r="AR2626" t="s">
        <v>2783</v>
      </c>
      <c r="AS2626" t="s">
        <v>3875</v>
      </c>
      <c r="AT2626" t="s">
        <v>2265</v>
      </c>
      <c r="AU2626" t="s">
        <v>11872</v>
      </c>
      <c r="AV2626" t="s">
        <v>23318</v>
      </c>
      <c r="AW2626" t="s">
        <v>24685</v>
      </c>
      <c r="AX2626" t="s">
        <v>6779</v>
      </c>
      <c r="AY2626" t="s">
        <v>24686</v>
      </c>
      <c r="AZ2626" t="s">
        <v>6779</v>
      </c>
      <c r="BA2626">
        <v>1</v>
      </c>
      <c r="BB2626">
        <v>3161.36</v>
      </c>
      <c r="BC2626">
        <v>0.11</v>
      </c>
      <c r="BD2626">
        <v>0.39</v>
      </c>
      <c r="BE2626">
        <v>0.4</v>
      </c>
      <c r="BF2626">
        <v>0.38</v>
      </c>
      <c r="BG2626" t="s">
        <v>24687</v>
      </c>
      <c r="BH2626" t="s">
        <v>19929</v>
      </c>
      <c r="BI2626" t="s">
        <v>6779</v>
      </c>
      <c r="BJ2626" t="s">
        <v>101</v>
      </c>
      <c r="BK2626" t="s">
        <v>24688</v>
      </c>
      <c r="BL2626" t="s">
        <v>24689</v>
      </c>
      <c r="BM2626" t="s">
        <v>24690</v>
      </c>
      <c r="BN2626" t="s">
        <v>23454</v>
      </c>
    </row>
    <row r="2627" spans="1:66" x14ac:dyDescent="0.25">
      <c r="A2627" t="str">
        <f>HYPERLINK("https://elite.finviz.com/quote.ashx?t=SOC&amp;ty=c&amp;p=d&amp;b=1", "SOC")</f>
        <v>SOC</v>
      </c>
      <c r="B2627">
        <v>5</v>
      </c>
      <c r="C2627">
        <v>116.22</v>
      </c>
      <c r="D2627">
        <v>37.17</v>
      </c>
      <c r="E2627" t="s">
        <v>24691</v>
      </c>
      <c r="F2627" t="s">
        <v>67</v>
      </c>
      <c r="G2627" t="s">
        <v>1048</v>
      </c>
      <c r="H2627" t="s">
        <v>7989</v>
      </c>
      <c r="I2627" t="s">
        <v>70</v>
      </c>
      <c r="J2627" t="s">
        <v>71</v>
      </c>
      <c r="K2627">
        <v>2024.47</v>
      </c>
      <c r="L2627">
        <v>20.34</v>
      </c>
      <c r="M2627" t="s">
        <v>2630</v>
      </c>
      <c r="N2627">
        <v>1699277</v>
      </c>
      <c r="P2627">
        <v>5.5</v>
      </c>
      <c r="S2627">
        <v>4.54</v>
      </c>
      <c r="AA2627">
        <v>-6.99</v>
      </c>
      <c r="AI2627" t="s">
        <v>24692</v>
      </c>
      <c r="AJ2627" t="s">
        <v>2176</v>
      </c>
      <c r="AK2627" t="s">
        <v>12459</v>
      </c>
      <c r="AL2627">
        <v>0.28999999999999998</v>
      </c>
      <c r="AM2627">
        <v>0.27</v>
      </c>
      <c r="AN2627">
        <v>1.96</v>
      </c>
      <c r="AR2627" t="s">
        <v>7019</v>
      </c>
      <c r="AS2627" t="s">
        <v>848</v>
      </c>
      <c r="AT2627" t="s">
        <v>16540</v>
      </c>
      <c r="AU2627" t="s">
        <v>23834</v>
      </c>
      <c r="AV2627" t="s">
        <v>11181</v>
      </c>
      <c r="AW2627" t="s">
        <v>14897</v>
      </c>
      <c r="AX2627" t="s">
        <v>7777</v>
      </c>
      <c r="AY2627" t="s">
        <v>368</v>
      </c>
      <c r="AZ2627" t="s">
        <v>10233</v>
      </c>
      <c r="BA2627">
        <v>1</v>
      </c>
      <c r="BB2627">
        <v>3428.86</v>
      </c>
      <c r="BC2627">
        <v>1.75</v>
      </c>
      <c r="BD2627">
        <v>20.149999999999999</v>
      </c>
      <c r="BE2627">
        <v>20.65</v>
      </c>
      <c r="BF2627">
        <v>19.32</v>
      </c>
      <c r="BG2627" t="s">
        <v>24693</v>
      </c>
      <c r="BH2627" t="s">
        <v>368</v>
      </c>
      <c r="BI2627" t="s">
        <v>24694</v>
      </c>
      <c r="BJ2627" t="s">
        <v>101</v>
      </c>
      <c r="BK2627" t="s">
        <v>14896</v>
      </c>
      <c r="BL2627" t="s">
        <v>24695</v>
      </c>
      <c r="BM2627" t="s">
        <v>3527</v>
      </c>
      <c r="BN2627" t="s">
        <v>23454</v>
      </c>
    </row>
    <row r="2628" spans="1:66" x14ac:dyDescent="0.25">
      <c r="A2628" t="str">
        <f>HYPERLINK("https://elite.finviz.com/quote.ashx?t=CTKB&amp;ty=c&amp;p=d&amp;b=1", "CTKB")</f>
        <v>CTKB</v>
      </c>
      <c r="B2628">
        <v>5</v>
      </c>
      <c r="C2628">
        <v>116.22</v>
      </c>
      <c r="D2628">
        <v>37.19</v>
      </c>
      <c r="E2628" t="s">
        <v>24696</v>
      </c>
      <c r="F2628" t="s">
        <v>67</v>
      </c>
      <c r="G2628" t="s">
        <v>428</v>
      </c>
      <c r="H2628" t="s">
        <v>2051</v>
      </c>
      <c r="I2628" t="s">
        <v>70</v>
      </c>
      <c r="J2628" t="s">
        <v>321</v>
      </c>
      <c r="K2628">
        <v>435.11</v>
      </c>
      <c r="L2628">
        <v>3.42</v>
      </c>
      <c r="M2628" t="s">
        <v>458</v>
      </c>
      <c r="N2628">
        <v>116359</v>
      </c>
      <c r="R2628">
        <v>2.2200000000000002</v>
      </c>
      <c r="S2628">
        <v>1.1499999999999999</v>
      </c>
      <c r="AA2628">
        <v>-0.05</v>
      </c>
      <c r="AC2628" t="s">
        <v>8015</v>
      </c>
      <c r="AE2628" t="s">
        <v>530</v>
      </c>
      <c r="AF2628" t="s">
        <v>1784</v>
      </c>
      <c r="AG2628" t="s">
        <v>10087</v>
      </c>
      <c r="AH2628" t="s">
        <v>6256</v>
      </c>
      <c r="AI2628" t="s">
        <v>1001</v>
      </c>
      <c r="AJ2628" t="s">
        <v>2641</v>
      </c>
      <c r="AK2628" t="s">
        <v>24697</v>
      </c>
      <c r="AL2628">
        <v>5.22</v>
      </c>
      <c r="AM2628">
        <v>4.55</v>
      </c>
      <c r="AN2628">
        <v>0.09</v>
      </c>
      <c r="AO2628" t="s">
        <v>8672</v>
      </c>
      <c r="AP2628" t="s">
        <v>1589</v>
      </c>
      <c r="AQ2628" t="s">
        <v>3814</v>
      </c>
      <c r="AR2628" t="s">
        <v>11494</v>
      </c>
      <c r="AS2628" t="s">
        <v>2064</v>
      </c>
      <c r="AT2628" t="s">
        <v>15493</v>
      </c>
      <c r="AU2628" t="s">
        <v>5491</v>
      </c>
      <c r="AV2628" t="s">
        <v>11311</v>
      </c>
      <c r="AW2628" t="s">
        <v>2914</v>
      </c>
      <c r="AX2628" t="s">
        <v>3901</v>
      </c>
      <c r="AY2628" t="s">
        <v>13147</v>
      </c>
      <c r="AZ2628" t="s">
        <v>6713</v>
      </c>
      <c r="BA2628">
        <v>2.2000000000000002</v>
      </c>
      <c r="BB2628">
        <v>1036.6300000000001</v>
      </c>
      <c r="BC2628">
        <v>0.4</v>
      </c>
      <c r="BD2628">
        <v>3.39</v>
      </c>
      <c r="BE2628">
        <v>3.47</v>
      </c>
      <c r="BF2628">
        <v>3.38</v>
      </c>
      <c r="BG2628" t="s">
        <v>24698</v>
      </c>
      <c r="BH2628" t="s">
        <v>24699</v>
      </c>
      <c r="BI2628" t="s">
        <v>6713</v>
      </c>
      <c r="BJ2628" t="s">
        <v>101</v>
      </c>
      <c r="BK2628" t="s">
        <v>331</v>
      </c>
      <c r="BL2628" t="s">
        <v>12700</v>
      </c>
      <c r="BM2628" t="s">
        <v>11461</v>
      </c>
      <c r="BN2628" t="s">
        <v>23454</v>
      </c>
    </row>
    <row r="2629" spans="1:66" x14ac:dyDescent="0.25">
      <c r="A2629" t="str">
        <f>HYPERLINK("https://elite.finviz.com/quote.ashx?t=CCCC&amp;ty=c&amp;p=d&amp;b=1", "CCCC")</f>
        <v>CCCC</v>
      </c>
      <c r="B2629">
        <v>5</v>
      </c>
      <c r="C2629">
        <v>116.22</v>
      </c>
      <c r="D2629">
        <v>37.21</v>
      </c>
      <c r="E2629" t="s">
        <v>24700</v>
      </c>
      <c r="F2629" t="s">
        <v>107</v>
      </c>
      <c r="G2629" t="s">
        <v>428</v>
      </c>
      <c r="H2629" t="s">
        <v>429</v>
      </c>
      <c r="I2629" t="s">
        <v>70</v>
      </c>
      <c r="J2629" t="s">
        <v>321</v>
      </c>
      <c r="K2629">
        <v>154.80000000000001</v>
      </c>
      <c r="L2629">
        <v>2.1800000000000002</v>
      </c>
      <c r="M2629" t="s">
        <v>2965</v>
      </c>
      <c r="N2629">
        <v>670740</v>
      </c>
      <c r="R2629">
        <v>4.5199999999999996</v>
      </c>
      <c r="S2629">
        <v>0.89</v>
      </c>
      <c r="AA2629">
        <v>-1.58</v>
      </c>
      <c r="AB2629" t="s">
        <v>4254</v>
      </c>
      <c r="AC2629" t="s">
        <v>11264</v>
      </c>
      <c r="AD2629" t="s">
        <v>5745</v>
      </c>
      <c r="AE2629" t="s">
        <v>5893</v>
      </c>
      <c r="AF2629" t="s">
        <v>4875</v>
      </c>
      <c r="AG2629" t="s">
        <v>5841</v>
      </c>
      <c r="AH2629" t="s">
        <v>11540</v>
      </c>
      <c r="AI2629" t="s">
        <v>891</v>
      </c>
      <c r="AJ2629" t="s">
        <v>164</v>
      </c>
      <c r="AK2629" t="s">
        <v>24701</v>
      </c>
      <c r="AL2629">
        <v>5.0599999999999996</v>
      </c>
      <c r="AM2629">
        <v>5.0599999999999996</v>
      </c>
      <c r="AN2629">
        <v>0.36</v>
      </c>
      <c r="AO2629" t="s">
        <v>2278</v>
      </c>
      <c r="AP2629" t="s">
        <v>24702</v>
      </c>
      <c r="AQ2629" t="s">
        <v>24703</v>
      </c>
      <c r="AR2629" t="s">
        <v>5662</v>
      </c>
      <c r="AS2629" t="s">
        <v>1064</v>
      </c>
      <c r="AT2629" t="s">
        <v>24704</v>
      </c>
      <c r="AU2629" t="s">
        <v>3109</v>
      </c>
      <c r="AV2629" t="s">
        <v>13208</v>
      </c>
      <c r="AW2629" t="s">
        <v>22432</v>
      </c>
      <c r="AX2629" t="s">
        <v>973</v>
      </c>
      <c r="AY2629" t="s">
        <v>24705</v>
      </c>
      <c r="AZ2629" t="s">
        <v>4555</v>
      </c>
      <c r="BA2629">
        <v>1.38</v>
      </c>
      <c r="BB2629">
        <v>1740.52</v>
      </c>
      <c r="BC2629">
        <v>1.36</v>
      </c>
      <c r="BD2629">
        <v>2.19</v>
      </c>
      <c r="BE2629">
        <v>2.2200000000000002</v>
      </c>
      <c r="BF2629">
        <v>2.13</v>
      </c>
      <c r="BG2629" t="s">
        <v>24706</v>
      </c>
      <c r="BH2629" t="s">
        <v>24707</v>
      </c>
      <c r="BI2629" t="s">
        <v>24708</v>
      </c>
      <c r="BJ2629" t="s">
        <v>101</v>
      </c>
      <c r="BK2629" t="s">
        <v>9749</v>
      </c>
      <c r="BL2629" t="s">
        <v>8364</v>
      </c>
      <c r="BM2629" t="s">
        <v>8312</v>
      </c>
      <c r="BN2629" t="s">
        <v>23454</v>
      </c>
    </row>
    <row r="2630" spans="1:66" x14ac:dyDescent="0.25">
      <c r="A2630" t="str">
        <f>HYPERLINK("https://elite.finviz.com/quote.ashx?t=LMFA&amp;ty=c&amp;p=d&amp;b=1", "LMFA")</f>
        <v>LMFA</v>
      </c>
      <c r="B2630">
        <v>5</v>
      </c>
      <c r="C2630">
        <v>116.22</v>
      </c>
      <c r="D2630">
        <v>37.229999999999997</v>
      </c>
      <c r="E2630" t="s">
        <v>24709</v>
      </c>
      <c r="F2630" t="s">
        <v>107</v>
      </c>
      <c r="G2630" t="s">
        <v>550</v>
      </c>
      <c r="H2630" t="s">
        <v>3744</v>
      </c>
      <c r="I2630" t="s">
        <v>70</v>
      </c>
      <c r="J2630" t="s">
        <v>321</v>
      </c>
      <c r="K2630">
        <v>16.920000000000002</v>
      </c>
      <c r="L2630">
        <v>1.0900000000000001</v>
      </c>
      <c r="M2630" t="s">
        <v>3321</v>
      </c>
      <c r="N2630">
        <v>116310</v>
      </c>
      <c r="R2630">
        <v>2.2400000000000002</v>
      </c>
      <c r="S2630">
        <v>0.18</v>
      </c>
      <c r="AA2630">
        <v>-4.29</v>
      </c>
      <c r="AC2630" t="s">
        <v>4609</v>
      </c>
      <c r="AE2630" t="s">
        <v>24710</v>
      </c>
      <c r="AF2630" t="s">
        <v>9731</v>
      </c>
      <c r="AG2630" t="s">
        <v>4373</v>
      </c>
      <c r="AH2630" t="s">
        <v>10044</v>
      </c>
      <c r="AI2630" t="s">
        <v>8231</v>
      </c>
      <c r="AJ2630" t="s">
        <v>164</v>
      </c>
      <c r="AK2630" t="s">
        <v>13468</v>
      </c>
      <c r="AL2630">
        <v>3.75</v>
      </c>
      <c r="AM2630">
        <v>3.75</v>
      </c>
      <c r="AN2630">
        <v>0.23</v>
      </c>
      <c r="AO2630" t="s">
        <v>24711</v>
      </c>
      <c r="AP2630" t="s">
        <v>24712</v>
      </c>
      <c r="AQ2630" t="s">
        <v>24713</v>
      </c>
      <c r="AR2630" t="s">
        <v>521</v>
      </c>
      <c r="AS2630" t="s">
        <v>438</v>
      </c>
      <c r="AT2630" t="s">
        <v>8073</v>
      </c>
      <c r="AU2630" t="s">
        <v>24714</v>
      </c>
      <c r="AV2630" t="s">
        <v>11107</v>
      </c>
      <c r="AW2630" t="s">
        <v>24715</v>
      </c>
      <c r="AX2630" t="s">
        <v>5611</v>
      </c>
      <c r="AY2630" t="s">
        <v>24715</v>
      </c>
      <c r="AZ2630" t="s">
        <v>6330</v>
      </c>
      <c r="BA2630">
        <v>1</v>
      </c>
      <c r="BB2630">
        <v>2002.58</v>
      </c>
      <c r="BC2630">
        <v>0.2</v>
      </c>
      <c r="BD2630">
        <v>1.1499999999999999</v>
      </c>
      <c r="BE2630">
        <v>1.1499999999999999</v>
      </c>
      <c r="BF2630">
        <v>1.0900000000000001</v>
      </c>
      <c r="BG2630" t="s">
        <v>24716</v>
      </c>
      <c r="BH2630" t="s">
        <v>1194</v>
      </c>
      <c r="BI2630" t="s">
        <v>6330</v>
      </c>
      <c r="BJ2630" t="s">
        <v>101</v>
      </c>
      <c r="BK2630" t="s">
        <v>24717</v>
      </c>
      <c r="BL2630" t="s">
        <v>3081</v>
      </c>
      <c r="BM2630" t="s">
        <v>24718</v>
      </c>
      <c r="BN2630" t="s">
        <v>23454</v>
      </c>
    </row>
    <row r="2631" spans="1:66" x14ac:dyDescent="0.25">
      <c r="A2631" t="str">
        <f>HYPERLINK("https://elite.finviz.com/quote.ashx?t=INSP&amp;ty=c&amp;p=d&amp;b=1", "INSP")</f>
        <v>INSP</v>
      </c>
      <c r="B2631">
        <v>5</v>
      </c>
      <c r="C2631">
        <v>116.22</v>
      </c>
      <c r="D2631">
        <v>37.24</v>
      </c>
      <c r="E2631" t="s">
        <v>24719</v>
      </c>
      <c r="F2631" t="s">
        <v>107</v>
      </c>
      <c r="G2631" t="s">
        <v>428</v>
      </c>
      <c r="H2631" t="s">
        <v>2051</v>
      </c>
      <c r="I2631" t="s">
        <v>70</v>
      </c>
      <c r="J2631" t="s">
        <v>71</v>
      </c>
      <c r="K2631">
        <v>2313.06</v>
      </c>
      <c r="L2631">
        <v>78.209999999999994</v>
      </c>
      <c r="M2631" t="s">
        <v>1488</v>
      </c>
      <c r="N2631">
        <v>122141</v>
      </c>
      <c r="O2631">
        <v>45.31</v>
      </c>
      <c r="P2631">
        <v>50.7</v>
      </c>
      <c r="Q2631">
        <v>3.13</v>
      </c>
      <c r="R2631">
        <v>2.69</v>
      </c>
      <c r="S2631">
        <v>3.41</v>
      </c>
      <c r="Z2631" t="s">
        <v>164</v>
      </c>
      <c r="AA2631">
        <v>1.73</v>
      </c>
      <c r="AD2631" t="s">
        <v>3756</v>
      </c>
      <c r="AE2631" t="s">
        <v>5050</v>
      </c>
      <c r="AF2631" t="s">
        <v>13343</v>
      </c>
      <c r="AG2631" t="s">
        <v>3650</v>
      </c>
      <c r="AH2631" t="s">
        <v>7512</v>
      </c>
      <c r="AI2631" t="s">
        <v>24720</v>
      </c>
      <c r="AJ2631" t="s">
        <v>1358</v>
      </c>
      <c r="AK2631" t="s">
        <v>24721</v>
      </c>
      <c r="AL2631">
        <v>6.14</v>
      </c>
      <c r="AM2631">
        <v>4.84</v>
      </c>
      <c r="AN2631">
        <v>0.05</v>
      </c>
      <c r="AO2631" t="s">
        <v>24722</v>
      </c>
      <c r="AP2631" t="s">
        <v>121</v>
      </c>
      <c r="AQ2631" t="s">
        <v>2776</v>
      </c>
      <c r="AR2631" t="s">
        <v>316</v>
      </c>
      <c r="AS2631" t="s">
        <v>161</v>
      </c>
      <c r="AT2631" t="s">
        <v>5558</v>
      </c>
      <c r="AU2631" t="s">
        <v>3556</v>
      </c>
      <c r="AV2631" t="s">
        <v>3074</v>
      </c>
      <c r="AW2631" t="s">
        <v>24723</v>
      </c>
      <c r="AX2631" t="s">
        <v>7210</v>
      </c>
      <c r="AY2631" t="s">
        <v>24724</v>
      </c>
      <c r="AZ2631" t="s">
        <v>7210</v>
      </c>
      <c r="BA2631">
        <v>2.1</v>
      </c>
      <c r="BB2631">
        <v>1087.8599999999999</v>
      </c>
      <c r="BC2631">
        <v>0.4</v>
      </c>
      <c r="BD2631">
        <v>77.319999999999993</v>
      </c>
      <c r="BE2631">
        <v>78.33</v>
      </c>
      <c r="BF2631">
        <v>76.900000000000006</v>
      </c>
      <c r="BG2631" t="s">
        <v>24725</v>
      </c>
      <c r="BH2631" t="s">
        <v>24726</v>
      </c>
      <c r="BI2631" t="s">
        <v>24727</v>
      </c>
      <c r="BJ2631" t="s">
        <v>101</v>
      </c>
      <c r="BK2631" t="s">
        <v>8833</v>
      </c>
      <c r="BL2631" t="s">
        <v>1728</v>
      </c>
      <c r="BM2631" t="s">
        <v>6698</v>
      </c>
      <c r="BN2631" t="s">
        <v>23454</v>
      </c>
    </row>
    <row r="2632" spans="1:66" x14ac:dyDescent="0.25">
      <c r="A2632" t="str">
        <f>HYPERLINK("https://elite.finviz.com/quote.ashx?t=TXRH&amp;ty=c&amp;p=d&amp;b=1", "TXRH")</f>
        <v>TXRH</v>
      </c>
      <c r="B2632">
        <v>5</v>
      </c>
      <c r="C2632">
        <v>116.22</v>
      </c>
      <c r="D2632">
        <v>37.299999999999997</v>
      </c>
      <c r="E2632" t="s">
        <v>24728</v>
      </c>
      <c r="F2632" t="s">
        <v>107</v>
      </c>
      <c r="G2632" t="s">
        <v>813</v>
      </c>
      <c r="H2632" t="s">
        <v>2285</v>
      </c>
      <c r="I2632" t="s">
        <v>70</v>
      </c>
      <c r="J2632" t="s">
        <v>321</v>
      </c>
      <c r="K2632">
        <v>10789.25</v>
      </c>
      <c r="L2632">
        <v>162.37</v>
      </c>
      <c r="M2632" t="s">
        <v>2486</v>
      </c>
      <c r="N2632">
        <v>215334</v>
      </c>
      <c r="O2632">
        <v>24.76</v>
      </c>
      <c r="P2632">
        <v>21.75</v>
      </c>
      <c r="Q2632">
        <v>2.5299999999999998</v>
      </c>
      <c r="R2632">
        <v>1.9</v>
      </c>
      <c r="S2632">
        <v>7.44</v>
      </c>
      <c r="T2632" t="s">
        <v>2082</v>
      </c>
      <c r="U2632">
        <v>2.65</v>
      </c>
      <c r="V2632" t="s">
        <v>2187</v>
      </c>
      <c r="W2632" t="s">
        <v>6085</v>
      </c>
      <c r="X2632" t="s">
        <v>5207</v>
      </c>
      <c r="Y2632" t="s">
        <v>4640</v>
      </c>
      <c r="Z2632" t="s">
        <v>19093</v>
      </c>
      <c r="AA2632">
        <v>6.56</v>
      </c>
      <c r="AB2632" t="s">
        <v>3666</v>
      </c>
      <c r="AC2632" t="s">
        <v>4536</v>
      </c>
      <c r="AD2632" t="s">
        <v>7407</v>
      </c>
      <c r="AE2632" t="s">
        <v>1563</v>
      </c>
      <c r="AF2632" t="s">
        <v>12222</v>
      </c>
      <c r="AG2632" t="s">
        <v>4683</v>
      </c>
      <c r="AH2632" t="s">
        <v>8345</v>
      </c>
      <c r="AI2632" t="s">
        <v>5661</v>
      </c>
      <c r="AJ2632" t="s">
        <v>4531</v>
      </c>
      <c r="AK2632" t="s">
        <v>24729</v>
      </c>
      <c r="AL2632">
        <v>0.45</v>
      </c>
      <c r="AM2632">
        <v>0.39</v>
      </c>
      <c r="AN2632">
        <v>0.64</v>
      </c>
      <c r="AO2632" t="s">
        <v>5479</v>
      </c>
      <c r="AP2632" t="s">
        <v>2438</v>
      </c>
      <c r="AQ2632" t="s">
        <v>4512</v>
      </c>
      <c r="AR2632" t="s">
        <v>3494</v>
      </c>
      <c r="AS2632" t="s">
        <v>2424</v>
      </c>
      <c r="AT2632" t="s">
        <v>6359</v>
      </c>
      <c r="AU2632" t="s">
        <v>134</v>
      </c>
      <c r="AV2632" t="s">
        <v>9417</v>
      </c>
      <c r="AW2632" t="s">
        <v>19949</v>
      </c>
      <c r="AX2632" t="s">
        <v>3500</v>
      </c>
      <c r="AY2632" t="s">
        <v>24730</v>
      </c>
      <c r="AZ2632" t="s">
        <v>2559</v>
      </c>
      <c r="BA2632">
        <v>2.2999999999999998</v>
      </c>
      <c r="BB2632">
        <v>1031.96</v>
      </c>
      <c r="BC2632">
        <v>0.74</v>
      </c>
      <c r="BD2632">
        <v>163.01</v>
      </c>
      <c r="BE2632">
        <v>164</v>
      </c>
      <c r="BF2632">
        <v>161.5</v>
      </c>
      <c r="BG2632" t="s">
        <v>24731</v>
      </c>
      <c r="BH2632" t="s">
        <v>24730</v>
      </c>
      <c r="BI2632" t="s">
        <v>24732</v>
      </c>
      <c r="BJ2632" t="s">
        <v>101</v>
      </c>
      <c r="BK2632" t="s">
        <v>7212</v>
      </c>
      <c r="BL2632" t="s">
        <v>5766</v>
      </c>
      <c r="BM2632" t="s">
        <v>6757</v>
      </c>
      <c r="BN2632" t="s">
        <v>23454</v>
      </c>
    </row>
    <row r="2633" spans="1:66" x14ac:dyDescent="0.25">
      <c r="A2633" t="str">
        <f>HYPERLINK("https://elite.finviz.com/quote.ashx?t=GAME&amp;ty=c&amp;p=d&amp;b=1", "GAME")</f>
        <v>GAME</v>
      </c>
      <c r="B2633">
        <v>5</v>
      </c>
      <c r="C2633">
        <v>116.22</v>
      </c>
      <c r="D2633">
        <v>37.32</v>
      </c>
      <c r="E2633" t="s">
        <v>24733</v>
      </c>
      <c r="F2633" t="s">
        <v>107</v>
      </c>
      <c r="G2633" t="s">
        <v>598</v>
      </c>
      <c r="H2633" t="s">
        <v>7474</v>
      </c>
      <c r="I2633" t="s">
        <v>70</v>
      </c>
      <c r="J2633" t="s">
        <v>321</v>
      </c>
      <c r="K2633">
        <v>65.98</v>
      </c>
      <c r="L2633">
        <v>0.67</v>
      </c>
      <c r="M2633" t="s">
        <v>214</v>
      </c>
      <c r="N2633">
        <v>1349048</v>
      </c>
      <c r="R2633">
        <v>0.76</v>
      </c>
      <c r="AA2633">
        <v>-1.21</v>
      </c>
      <c r="AB2633" t="s">
        <v>24734</v>
      </c>
      <c r="AC2633" t="s">
        <v>24735</v>
      </c>
      <c r="AF2633" t="s">
        <v>14368</v>
      </c>
      <c r="AG2633" t="s">
        <v>24736</v>
      </c>
      <c r="AH2633" t="s">
        <v>24737</v>
      </c>
      <c r="AI2633" t="s">
        <v>7980</v>
      </c>
      <c r="AJ2633" t="s">
        <v>164</v>
      </c>
      <c r="AK2633" t="s">
        <v>8274</v>
      </c>
      <c r="AL2633">
        <v>0.43</v>
      </c>
      <c r="AM2633">
        <v>0.43</v>
      </c>
      <c r="AO2633" t="s">
        <v>2712</v>
      </c>
      <c r="AP2633" t="s">
        <v>21729</v>
      </c>
      <c r="AQ2633" t="s">
        <v>24738</v>
      </c>
      <c r="AR2633" t="s">
        <v>5659</v>
      </c>
      <c r="AS2633" t="s">
        <v>2823</v>
      </c>
      <c r="AT2633" t="s">
        <v>10411</v>
      </c>
      <c r="AU2633" t="s">
        <v>441</v>
      </c>
      <c r="AV2633" t="s">
        <v>23137</v>
      </c>
      <c r="AW2633" t="s">
        <v>3503</v>
      </c>
      <c r="AX2633" t="s">
        <v>10852</v>
      </c>
      <c r="AY2633" t="s">
        <v>24739</v>
      </c>
      <c r="AZ2633" t="s">
        <v>4793</v>
      </c>
      <c r="BA2633">
        <v>1</v>
      </c>
      <c r="BB2633">
        <v>10866.39</v>
      </c>
      <c r="BC2633">
        <v>0.44</v>
      </c>
      <c r="BD2633">
        <v>0.68</v>
      </c>
      <c r="BE2633">
        <v>0.68</v>
      </c>
      <c r="BF2633">
        <v>0.66</v>
      </c>
      <c r="BG2633" t="s">
        <v>24740</v>
      </c>
      <c r="BH2633" t="s">
        <v>3265</v>
      </c>
      <c r="BI2633" t="s">
        <v>4793</v>
      </c>
      <c r="BJ2633" t="s">
        <v>101</v>
      </c>
      <c r="BK2633" t="s">
        <v>7737</v>
      </c>
      <c r="BL2633" t="s">
        <v>798</v>
      </c>
      <c r="BM2633" t="s">
        <v>19691</v>
      </c>
      <c r="BN2633" t="s">
        <v>23454</v>
      </c>
    </row>
    <row r="2634" spans="1:66" x14ac:dyDescent="0.25">
      <c r="A2634" t="str">
        <f>HYPERLINK("https://elite.finviz.com/quote.ashx?t=REAX&amp;ty=c&amp;p=d&amp;b=1", "REAX")</f>
        <v>REAX</v>
      </c>
      <c r="B2634">
        <v>5</v>
      </c>
      <c r="C2634">
        <v>116.22</v>
      </c>
      <c r="D2634">
        <v>37.340000000000003</v>
      </c>
      <c r="E2634" t="s">
        <v>24741</v>
      </c>
      <c r="F2634" t="s">
        <v>67</v>
      </c>
      <c r="G2634" t="s">
        <v>68</v>
      </c>
      <c r="H2634" t="s">
        <v>7494</v>
      </c>
      <c r="I2634" t="s">
        <v>70</v>
      </c>
      <c r="J2634" t="s">
        <v>321</v>
      </c>
      <c r="K2634">
        <v>943.74</v>
      </c>
      <c r="L2634">
        <v>4.53</v>
      </c>
      <c r="M2634" t="s">
        <v>14462</v>
      </c>
      <c r="N2634">
        <v>647710</v>
      </c>
      <c r="R2634">
        <v>0.57999999999999996</v>
      </c>
      <c r="S2634">
        <v>19.190000000000001</v>
      </c>
      <c r="AA2634">
        <v>-0.06</v>
      </c>
      <c r="AB2634" t="s">
        <v>2728</v>
      </c>
      <c r="AC2634" t="s">
        <v>24063</v>
      </c>
      <c r="AE2634" t="s">
        <v>12157</v>
      </c>
      <c r="AF2634" t="s">
        <v>21775</v>
      </c>
      <c r="AG2634" t="s">
        <v>24742</v>
      </c>
      <c r="AH2634" t="s">
        <v>10035</v>
      </c>
      <c r="AI2634" t="s">
        <v>1441</v>
      </c>
      <c r="AJ2634" t="s">
        <v>164</v>
      </c>
      <c r="AK2634" t="s">
        <v>7969</v>
      </c>
      <c r="AL2634">
        <v>1.29</v>
      </c>
      <c r="AM2634">
        <v>1.29</v>
      </c>
      <c r="AN2634">
        <v>0</v>
      </c>
      <c r="AO2634" t="s">
        <v>1370</v>
      </c>
      <c r="AP2634" t="s">
        <v>1226</v>
      </c>
      <c r="AQ2634" t="s">
        <v>241</v>
      </c>
      <c r="AR2634" t="s">
        <v>4690</v>
      </c>
      <c r="AS2634" t="s">
        <v>1981</v>
      </c>
      <c r="AT2634" t="s">
        <v>13090</v>
      </c>
      <c r="AU2634" t="s">
        <v>11830</v>
      </c>
      <c r="AV2634" t="s">
        <v>2263</v>
      </c>
      <c r="AW2634" t="s">
        <v>489</v>
      </c>
      <c r="AX2634" t="s">
        <v>7206</v>
      </c>
      <c r="AY2634" t="s">
        <v>24743</v>
      </c>
      <c r="AZ2634" t="s">
        <v>9044</v>
      </c>
      <c r="BA2634">
        <v>1</v>
      </c>
      <c r="BB2634">
        <v>1777.18</v>
      </c>
      <c r="BC2634">
        <v>1.28</v>
      </c>
      <c r="BD2634">
        <v>4.6500000000000004</v>
      </c>
      <c r="BE2634">
        <v>4.63</v>
      </c>
      <c r="BF2634">
        <v>4.51</v>
      </c>
      <c r="BG2634" t="s">
        <v>24744</v>
      </c>
      <c r="BH2634" t="s">
        <v>24745</v>
      </c>
      <c r="BI2634" t="s">
        <v>24746</v>
      </c>
      <c r="BJ2634" t="s">
        <v>101</v>
      </c>
      <c r="BK2634" t="s">
        <v>3169</v>
      </c>
      <c r="BL2634" t="s">
        <v>3389</v>
      </c>
      <c r="BM2634" t="s">
        <v>22995</v>
      </c>
      <c r="BN2634" t="s">
        <v>23454</v>
      </c>
    </row>
    <row r="2635" spans="1:66" x14ac:dyDescent="0.25">
      <c r="A2635" t="str">
        <f>HYPERLINK("https://elite.finviz.com/quote.ashx?t=TGT&amp;ty=c&amp;p=d&amp;b=1", "TGT")</f>
        <v>TGT</v>
      </c>
      <c r="B2635">
        <v>5</v>
      </c>
      <c r="C2635">
        <v>116.22</v>
      </c>
      <c r="D2635">
        <v>37.369999999999997</v>
      </c>
      <c r="E2635" t="s">
        <v>24747</v>
      </c>
      <c r="F2635" t="s">
        <v>195</v>
      </c>
      <c r="G2635" t="s">
        <v>2244</v>
      </c>
      <c r="H2635" t="s">
        <v>7615</v>
      </c>
      <c r="I2635" t="s">
        <v>70</v>
      </c>
      <c r="J2635" t="s">
        <v>71</v>
      </c>
      <c r="K2635">
        <v>40039.42</v>
      </c>
      <c r="L2635">
        <v>88.12</v>
      </c>
      <c r="M2635" t="s">
        <v>4902</v>
      </c>
      <c r="N2635">
        <v>2311117</v>
      </c>
      <c r="O2635">
        <v>10.27</v>
      </c>
      <c r="P2635">
        <v>11.11</v>
      </c>
      <c r="R2635">
        <v>0.38</v>
      </c>
      <c r="S2635">
        <v>2.6</v>
      </c>
      <c r="T2635" t="s">
        <v>4393</v>
      </c>
      <c r="U2635">
        <v>4.5</v>
      </c>
      <c r="V2635" t="s">
        <v>324</v>
      </c>
      <c r="W2635" t="s">
        <v>2424</v>
      </c>
      <c r="X2635" t="s">
        <v>2438</v>
      </c>
      <c r="Y2635" t="s">
        <v>11641</v>
      </c>
      <c r="Z2635" t="s">
        <v>13499</v>
      </c>
      <c r="AA2635">
        <v>8.58</v>
      </c>
      <c r="AB2635" t="s">
        <v>4301</v>
      </c>
      <c r="AC2635" t="s">
        <v>5025</v>
      </c>
      <c r="AD2635" t="s">
        <v>4431</v>
      </c>
      <c r="AE2635" t="s">
        <v>5895</v>
      </c>
      <c r="AF2635" t="s">
        <v>4794</v>
      </c>
      <c r="AG2635" t="s">
        <v>3115</v>
      </c>
      <c r="AH2635" t="s">
        <v>5388</v>
      </c>
      <c r="AI2635" t="s">
        <v>5036</v>
      </c>
      <c r="AJ2635" t="s">
        <v>2870</v>
      </c>
      <c r="AK2635" t="s">
        <v>20975</v>
      </c>
      <c r="AL2635">
        <v>0.99</v>
      </c>
      <c r="AM2635">
        <v>0.32</v>
      </c>
      <c r="AN2635">
        <v>1.32</v>
      </c>
      <c r="AO2635" t="s">
        <v>15421</v>
      </c>
      <c r="AP2635" t="s">
        <v>5685</v>
      </c>
      <c r="AQ2635" t="s">
        <v>1050</v>
      </c>
      <c r="AR2635" t="s">
        <v>2201</v>
      </c>
      <c r="AS2635" t="s">
        <v>4267</v>
      </c>
      <c r="AT2635" t="s">
        <v>10568</v>
      </c>
      <c r="AU2635" t="s">
        <v>15856</v>
      </c>
      <c r="AV2635" t="s">
        <v>17709</v>
      </c>
      <c r="AW2635" t="s">
        <v>20981</v>
      </c>
      <c r="AX2635" t="s">
        <v>6975</v>
      </c>
      <c r="AY2635" t="s">
        <v>13843</v>
      </c>
      <c r="AZ2635" t="s">
        <v>6975</v>
      </c>
      <c r="BA2635">
        <v>2.76</v>
      </c>
      <c r="BB2635">
        <v>7076.22</v>
      </c>
      <c r="BC2635">
        <v>1.1499999999999999</v>
      </c>
      <c r="BD2635">
        <v>87.14</v>
      </c>
      <c r="BE2635">
        <v>88.56</v>
      </c>
      <c r="BF2635">
        <v>86.85</v>
      </c>
      <c r="BG2635" t="s">
        <v>24748</v>
      </c>
      <c r="BH2635" t="s">
        <v>24749</v>
      </c>
      <c r="BI2635" t="s">
        <v>24750</v>
      </c>
      <c r="BJ2635" t="s">
        <v>101</v>
      </c>
      <c r="BK2635" t="s">
        <v>4218</v>
      </c>
      <c r="BL2635" t="s">
        <v>19530</v>
      </c>
      <c r="BM2635" t="s">
        <v>24751</v>
      </c>
      <c r="BN2635" t="s">
        <v>23454</v>
      </c>
    </row>
    <row r="2636" spans="1:66" x14ac:dyDescent="0.25">
      <c r="A2636" t="str">
        <f>HYPERLINK("https://elite.finviz.com/quote.ashx?t=CCCS&amp;ty=c&amp;p=d&amp;b=1", "CCCS")</f>
        <v>CCCS</v>
      </c>
      <c r="B2636">
        <v>5</v>
      </c>
      <c r="C2636">
        <v>116.22</v>
      </c>
      <c r="D2636">
        <v>37.47</v>
      </c>
      <c r="E2636" t="s">
        <v>24752</v>
      </c>
      <c r="F2636" t="s">
        <v>107</v>
      </c>
      <c r="G2636" t="s">
        <v>108</v>
      </c>
      <c r="H2636" t="s">
        <v>136</v>
      </c>
      <c r="I2636" t="s">
        <v>70</v>
      </c>
      <c r="J2636" t="s">
        <v>321</v>
      </c>
      <c r="K2636">
        <v>6027.37</v>
      </c>
      <c r="L2636">
        <v>9.26</v>
      </c>
      <c r="M2636" t="s">
        <v>1763</v>
      </c>
      <c r="N2636">
        <v>753635</v>
      </c>
      <c r="O2636">
        <v>4407.1400000000003</v>
      </c>
      <c r="P2636">
        <v>22.78</v>
      </c>
      <c r="Q2636">
        <v>514.85</v>
      </c>
      <c r="R2636">
        <v>6.05</v>
      </c>
      <c r="S2636">
        <v>2.81</v>
      </c>
      <c r="Z2636" t="s">
        <v>164</v>
      </c>
      <c r="AA2636">
        <v>0</v>
      </c>
      <c r="AD2636" t="s">
        <v>2053</v>
      </c>
      <c r="AE2636" t="s">
        <v>2010</v>
      </c>
      <c r="AF2636" t="s">
        <v>2656</v>
      </c>
      <c r="AG2636" t="s">
        <v>11544</v>
      </c>
      <c r="AH2636" t="s">
        <v>8594</v>
      </c>
      <c r="AI2636" t="s">
        <v>3687</v>
      </c>
      <c r="AJ2636" t="s">
        <v>17661</v>
      </c>
      <c r="AK2636" t="s">
        <v>7004</v>
      </c>
      <c r="AL2636">
        <v>1.27</v>
      </c>
      <c r="AM2636">
        <v>1.27</v>
      </c>
      <c r="AN2636">
        <v>0.51</v>
      </c>
      <c r="AO2636" t="s">
        <v>22735</v>
      </c>
      <c r="AP2636" t="s">
        <v>2446</v>
      </c>
      <c r="AQ2636" t="s">
        <v>2880</v>
      </c>
      <c r="AR2636" t="s">
        <v>6151</v>
      </c>
      <c r="AS2636" t="s">
        <v>6151</v>
      </c>
      <c r="AT2636" t="s">
        <v>2893</v>
      </c>
      <c r="AU2636" t="s">
        <v>4274</v>
      </c>
      <c r="AV2636" t="s">
        <v>9412</v>
      </c>
      <c r="AW2636" t="s">
        <v>2266</v>
      </c>
      <c r="AX2636" t="s">
        <v>80</v>
      </c>
      <c r="AY2636" t="s">
        <v>5229</v>
      </c>
      <c r="AZ2636" t="s">
        <v>6084</v>
      </c>
      <c r="BA2636">
        <v>1.67</v>
      </c>
      <c r="BB2636">
        <v>6287.39</v>
      </c>
      <c r="BC2636">
        <v>0.42</v>
      </c>
      <c r="BD2636">
        <v>9.1999999999999993</v>
      </c>
      <c r="BE2636">
        <v>9.35</v>
      </c>
      <c r="BF2636">
        <v>9.1999999999999993</v>
      </c>
      <c r="BG2636" t="s">
        <v>24753</v>
      </c>
      <c r="BH2636" t="s">
        <v>17971</v>
      </c>
      <c r="BI2636" t="s">
        <v>2970</v>
      </c>
      <c r="BJ2636" t="s">
        <v>101</v>
      </c>
      <c r="BK2636" t="s">
        <v>14607</v>
      </c>
      <c r="BL2636" t="s">
        <v>5968</v>
      </c>
      <c r="BM2636" t="s">
        <v>8624</v>
      </c>
      <c r="BN2636" t="s">
        <v>23454</v>
      </c>
    </row>
    <row r="2637" spans="1:66" x14ac:dyDescent="0.25">
      <c r="A2637" t="str">
        <f>HYPERLINK("https://elite.finviz.com/quote.ashx?t=CART&amp;ty=c&amp;p=d&amp;b=1", "CART")</f>
        <v>CART</v>
      </c>
      <c r="B2637">
        <v>5</v>
      </c>
      <c r="C2637">
        <v>116.22</v>
      </c>
      <c r="D2637">
        <v>37.5</v>
      </c>
      <c r="E2637" t="s">
        <v>24754</v>
      </c>
      <c r="F2637" t="s">
        <v>107</v>
      </c>
      <c r="G2637" t="s">
        <v>813</v>
      </c>
      <c r="H2637" t="s">
        <v>4388</v>
      </c>
      <c r="I2637" t="s">
        <v>70</v>
      </c>
      <c r="J2637" t="s">
        <v>321</v>
      </c>
      <c r="K2637">
        <v>11067.04</v>
      </c>
      <c r="L2637">
        <v>42.01</v>
      </c>
      <c r="M2637" t="s">
        <v>5721</v>
      </c>
      <c r="N2637">
        <v>1701024</v>
      </c>
      <c r="O2637">
        <v>24.25</v>
      </c>
      <c r="P2637">
        <v>18.59</v>
      </c>
      <c r="Q2637">
        <v>1.28</v>
      </c>
      <c r="R2637">
        <v>3.12</v>
      </c>
      <c r="S2637">
        <v>3.35</v>
      </c>
      <c r="Z2637" t="s">
        <v>164</v>
      </c>
      <c r="AA2637">
        <v>1.73</v>
      </c>
      <c r="AD2637" t="s">
        <v>15593</v>
      </c>
      <c r="AE2637" t="s">
        <v>3368</v>
      </c>
      <c r="AF2637" t="s">
        <v>2999</v>
      </c>
      <c r="AG2637" t="s">
        <v>2692</v>
      </c>
      <c r="AH2637" t="s">
        <v>18151</v>
      </c>
      <c r="AI2637" t="s">
        <v>3429</v>
      </c>
      <c r="AJ2637" t="s">
        <v>8096</v>
      </c>
      <c r="AK2637" t="s">
        <v>23526</v>
      </c>
      <c r="AL2637">
        <v>3.32</v>
      </c>
      <c r="AM2637">
        <v>3.32</v>
      </c>
      <c r="AN2637">
        <v>0.01</v>
      </c>
      <c r="AO2637" t="s">
        <v>6167</v>
      </c>
      <c r="AP2637" t="s">
        <v>16206</v>
      </c>
      <c r="AQ2637" t="s">
        <v>3290</v>
      </c>
      <c r="AR2637" t="s">
        <v>1769</v>
      </c>
      <c r="AS2637" t="s">
        <v>3638</v>
      </c>
      <c r="AT2637" t="s">
        <v>7621</v>
      </c>
      <c r="AU2637" t="s">
        <v>5205</v>
      </c>
      <c r="AV2637" t="s">
        <v>3859</v>
      </c>
      <c r="AW2637" t="s">
        <v>9868</v>
      </c>
      <c r="AX2637" t="s">
        <v>2554</v>
      </c>
      <c r="AY2637" t="s">
        <v>9868</v>
      </c>
      <c r="AZ2637" t="s">
        <v>18550</v>
      </c>
      <c r="BA2637">
        <v>2.06</v>
      </c>
      <c r="BB2637">
        <v>4557.74</v>
      </c>
      <c r="BC2637">
        <v>1.31</v>
      </c>
      <c r="BD2637">
        <v>42.41</v>
      </c>
      <c r="BE2637">
        <v>42.19</v>
      </c>
      <c r="BF2637">
        <v>40.76</v>
      </c>
      <c r="BG2637" t="s">
        <v>24755</v>
      </c>
      <c r="BH2637" t="s">
        <v>9868</v>
      </c>
      <c r="BI2637" t="s">
        <v>16422</v>
      </c>
      <c r="BJ2637" t="s">
        <v>101</v>
      </c>
      <c r="BK2637" t="s">
        <v>5137</v>
      </c>
      <c r="BL2637" t="s">
        <v>2764</v>
      </c>
      <c r="BM2637" t="s">
        <v>454</v>
      </c>
      <c r="BN2637" t="s">
        <v>23454</v>
      </c>
    </row>
    <row r="2638" spans="1:66" x14ac:dyDescent="0.25">
      <c r="A2638" t="str">
        <f>HYPERLINK("https://elite.finviz.com/quote.ashx?t=LEGN&amp;ty=c&amp;p=d&amp;b=1", "LEGN")</f>
        <v>LEGN</v>
      </c>
      <c r="B2638">
        <v>5</v>
      </c>
      <c r="C2638">
        <v>116.22</v>
      </c>
      <c r="D2638">
        <v>37.520000000000003</v>
      </c>
      <c r="E2638" t="s">
        <v>24756</v>
      </c>
      <c r="F2638" t="s">
        <v>107</v>
      </c>
      <c r="G2638" t="s">
        <v>428</v>
      </c>
      <c r="H2638" t="s">
        <v>429</v>
      </c>
      <c r="I2638" t="s">
        <v>70</v>
      </c>
      <c r="J2638" t="s">
        <v>321</v>
      </c>
      <c r="K2638">
        <v>6047.44</v>
      </c>
      <c r="L2638">
        <v>32.76</v>
      </c>
      <c r="M2638" t="s">
        <v>1554</v>
      </c>
      <c r="N2638">
        <v>182012</v>
      </c>
      <c r="P2638">
        <v>51.48</v>
      </c>
      <c r="R2638">
        <v>7.58</v>
      </c>
      <c r="S2638">
        <v>5.84</v>
      </c>
      <c r="AA2638">
        <v>-1.77</v>
      </c>
      <c r="AB2638" t="s">
        <v>9327</v>
      </c>
      <c r="AC2638" t="s">
        <v>2734</v>
      </c>
      <c r="AE2638" t="s">
        <v>16791</v>
      </c>
      <c r="AF2638" t="s">
        <v>10669</v>
      </c>
      <c r="AG2638" t="s">
        <v>20721</v>
      </c>
      <c r="AH2638" t="s">
        <v>18382</v>
      </c>
      <c r="AI2638" t="s">
        <v>24757</v>
      </c>
      <c r="AJ2638" t="s">
        <v>164</v>
      </c>
      <c r="AK2638" t="s">
        <v>16917</v>
      </c>
      <c r="AL2638">
        <v>4.71</v>
      </c>
      <c r="AM2638">
        <v>4.57</v>
      </c>
      <c r="AN2638">
        <v>0.37</v>
      </c>
      <c r="AO2638" t="s">
        <v>21800</v>
      </c>
      <c r="AP2638" t="s">
        <v>1800</v>
      </c>
      <c r="AQ2638" t="s">
        <v>2094</v>
      </c>
      <c r="AR2638" t="s">
        <v>2356</v>
      </c>
      <c r="AS2638" t="s">
        <v>5369</v>
      </c>
      <c r="AT2638" t="s">
        <v>2998</v>
      </c>
      <c r="AU2638" t="s">
        <v>7794</v>
      </c>
      <c r="AV2638" t="s">
        <v>4921</v>
      </c>
      <c r="AW2638" t="s">
        <v>14318</v>
      </c>
      <c r="AX2638" t="s">
        <v>180</v>
      </c>
      <c r="AY2638" t="s">
        <v>10029</v>
      </c>
      <c r="AZ2638" t="s">
        <v>8627</v>
      </c>
      <c r="BA2638">
        <v>1.2</v>
      </c>
      <c r="BB2638">
        <v>1218.56</v>
      </c>
      <c r="BC2638">
        <v>0.53</v>
      </c>
      <c r="BD2638">
        <v>32.82</v>
      </c>
      <c r="BE2638">
        <v>33.04</v>
      </c>
      <c r="BF2638">
        <v>32.32</v>
      </c>
      <c r="BG2638" t="s">
        <v>24758</v>
      </c>
      <c r="BH2638" t="s">
        <v>6857</v>
      </c>
      <c r="BI2638" t="s">
        <v>23022</v>
      </c>
      <c r="BJ2638" t="s">
        <v>101</v>
      </c>
      <c r="BK2638" t="s">
        <v>9927</v>
      </c>
      <c r="BL2638" t="s">
        <v>502</v>
      </c>
      <c r="BM2638" t="s">
        <v>14765</v>
      </c>
      <c r="BN2638" t="s">
        <v>23454</v>
      </c>
    </row>
    <row r="2639" spans="1:66" x14ac:dyDescent="0.25">
      <c r="A2639" t="str">
        <f>HYPERLINK("https://elite.finviz.com/quote.ashx?t=CI&amp;ty=c&amp;p=d&amp;b=1", "CI")</f>
        <v>CI</v>
      </c>
      <c r="B2639">
        <v>5</v>
      </c>
      <c r="C2639">
        <v>116.22</v>
      </c>
      <c r="D2639">
        <v>37.630000000000003</v>
      </c>
      <c r="E2639" t="s">
        <v>24759</v>
      </c>
      <c r="F2639" t="s">
        <v>195</v>
      </c>
      <c r="G2639" t="s">
        <v>428</v>
      </c>
      <c r="H2639" t="s">
        <v>7264</v>
      </c>
      <c r="I2639" t="s">
        <v>70</v>
      </c>
      <c r="J2639" t="s">
        <v>71</v>
      </c>
      <c r="K2639">
        <v>76163.92</v>
      </c>
      <c r="L2639">
        <v>285.33</v>
      </c>
      <c r="M2639" t="s">
        <v>914</v>
      </c>
      <c r="N2639">
        <v>176756</v>
      </c>
      <c r="O2639">
        <v>15.58</v>
      </c>
      <c r="P2639">
        <v>8.64</v>
      </c>
      <c r="Q2639">
        <v>1.44</v>
      </c>
      <c r="R2639">
        <v>0.28999999999999998</v>
      </c>
      <c r="S2639">
        <v>1.89</v>
      </c>
      <c r="T2639" t="s">
        <v>1560</v>
      </c>
      <c r="U2639">
        <v>5.93</v>
      </c>
      <c r="V2639" t="s">
        <v>6223</v>
      </c>
      <c r="W2639" t="s">
        <v>4961</v>
      </c>
      <c r="X2639" t="s">
        <v>4079</v>
      </c>
      <c r="Y2639" t="s">
        <v>24760</v>
      </c>
      <c r="Z2639" t="s">
        <v>9894</v>
      </c>
      <c r="AA2639">
        <v>18.309999999999999</v>
      </c>
      <c r="AB2639" t="s">
        <v>11615</v>
      </c>
      <c r="AC2639" t="s">
        <v>4150</v>
      </c>
      <c r="AD2639" t="s">
        <v>8319</v>
      </c>
      <c r="AE2639" t="s">
        <v>7834</v>
      </c>
      <c r="AF2639" t="s">
        <v>8372</v>
      </c>
      <c r="AG2639" t="s">
        <v>2499</v>
      </c>
      <c r="AH2639" t="s">
        <v>5459</v>
      </c>
      <c r="AI2639" t="s">
        <v>4308</v>
      </c>
      <c r="AJ2639" t="s">
        <v>2197</v>
      </c>
      <c r="AK2639" t="s">
        <v>8014</v>
      </c>
      <c r="AL2639">
        <v>0.79</v>
      </c>
      <c r="AN2639">
        <v>0.77</v>
      </c>
      <c r="AP2639" t="s">
        <v>4189</v>
      </c>
      <c r="AQ2639" t="s">
        <v>3118</v>
      </c>
      <c r="AR2639" t="s">
        <v>2421</v>
      </c>
      <c r="AS2639" t="s">
        <v>2339</v>
      </c>
      <c r="AT2639" t="s">
        <v>4645</v>
      </c>
      <c r="AU2639" t="s">
        <v>5195</v>
      </c>
      <c r="AV2639" t="s">
        <v>4888</v>
      </c>
      <c r="AW2639" t="s">
        <v>11775</v>
      </c>
      <c r="AX2639" t="s">
        <v>3759</v>
      </c>
      <c r="AY2639" t="s">
        <v>14772</v>
      </c>
      <c r="AZ2639" t="s">
        <v>3759</v>
      </c>
      <c r="BA2639">
        <v>1.65</v>
      </c>
      <c r="BB2639">
        <v>1789.26</v>
      </c>
      <c r="BC2639">
        <v>0.35</v>
      </c>
      <c r="BD2639">
        <v>284.06</v>
      </c>
      <c r="BE2639">
        <v>285.89999999999998</v>
      </c>
      <c r="BF2639">
        <v>284.70999999999998</v>
      </c>
      <c r="BG2639" t="s">
        <v>24761</v>
      </c>
      <c r="BH2639" t="s">
        <v>12299</v>
      </c>
      <c r="BI2639" t="s">
        <v>24762</v>
      </c>
      <c r="BJ2639" t="s">
        <v>101</v>
      </c>
      <c r="BK2639" t="s">
        <v>9761</v>
      </c>
      <c r="BL2639" t="s">
        <v>13083</v>
      </c>
      <c r="BM2639" t="s">
        <v>15442</v>
      </c>
      <c r="BN2639" t="s">
        <v>23454</v>
      </c>
    </row>
    <row r="2640" spans="1:66" x14ac:dyDescent="0.25">
      <c r="A2640" t="str">
        <f>HYPERLINK("https://elite.finviz.com/quote.ashx?t=GO&amp;ty=c&amp;p=d&amp;b=1", "GO")</f>
        <v>GO</v>
      </c>
      <c r="B2640">
        <v>5</v>
      </c>
      <c r="C2640">
        <v>116.22</v>
      </c>
      <c r="D2640">
        <v>37.64</v>
      </c>
      <c r="E2640" t="s">
        <v>24763</v>
      </c>
      <c r="F2640" t="s">
        <v>67</v>
      </c>
      <c r="G2640" t="s">
        <v>2244</v>
      </c>
      <c r="H2640" t="s">
        <v>14712</v>
      </c>
      <c r="I2640" t="s">
        <v>70</v>
      </c>
      <c r="J2640" t="s">
        <v>321</v>
      </c>
      <c r="K2640">
        <v>1537.45</v>
      </c>
      <c r="L2640">
        <v>15.67</v>
      </c>
      <c r="M2640" t="s">
        <v>908</v>
      </c>
      <c r="N2640">
        <v>791336</v>
      </c>
      <c r="O2640">
        <v>197.63</v>
      </c>
      <c r="P2640">
        <v>17.059999999999999</v>
      </c>
      <c r="Q2640">
        <v>19.22</v>
      </c>
      <c r="R2640">
        <v>0.34</v>
      </c>
      <c r="S2640">
        <v>1.3</v>
      </c>
      <c r="Z2640" t="s">
        <v>164</v>
      </c>
      <c r="AA2640">
        <v>0.08</v>
      </c>
      <c r="AB2640" t="s">
        <v>1221</v>
      </c>
      <c r="AC2640" t="s">
        <v>16733</v>
      </c>
      <c r="AD2640" t="s">
        <v>797</v>
      </c>
      <c r="AE2640" t="s">
        <v>3455</v>
      </c>
      <c r="AF2640" t="s">
        <v>3243</v>
      </c>
      <c r="AG2640" t="s">
        <v>9187</v>
      </c>
      <c r="AH2640" t="s">
        <v>10226</v>
      </c>
      <c r="AI2640" t="s">
        <v>785</v>
      </c>
      <c r="AJ2640" t="s">
        <v>2213</v>
      </c>
      <c r="AK2640" t="s">
        <v>24764</v>
      </c>
      <c r="AL2640">
        <v>1.21</v>
      </c>
      <c r="AM2640">
        <v>0.25</v>
      </c>
      <c r="AN2640">
        <v>1.48</v>
      </c>
      <c r="AO2640" t="s">
        <v>5351</v>
      </c>
      <c r="AP2640" t="s">
        <v>7322</v>
      </c>
      <c r="AQ2640" t="s">
        <v>4794</v>
      </c>
      <c r="AR2640" t="s">
        <v>2721</v>
      </c>
      <c r="AS2640" t="s">
        <v>1088</v>
      </c>
      <c r="AT2640" t="s">
        <v>4868</v>
      </c>
      <c r="AU2640" t="s">
        <v>4475</v>
      </c>
      <c r="AV2640" t="s">
        <v>3542</v>
      </c>
      <c r="AW2640" t="s">
        <v>933</v>
      </c>
      <c r="AX2640" t="s">
        <v>13279</v>
      </c>
      <c r="AY2640" t="s">
        <v>24765</v>
      </c>
      <c r="AZ2640" t="s">
        <v>11614</v>
      </c>
      <c r="BA2640">
        <v>2.69</v>
      </c>
      <c r="BB2640">
        <v>3356.34</v>
      </c>
      <c r="BC2640">
        <v>0.83</v>
      </c>
      <c r="BD2640">
        <v>15.41</v>
      </c>
      <c r="BE2640">
        <v>15.89</v>
      </c>
      <c r="BF2640">
        <v>15.08</v>
      </c>
      <c r="BG2640" t="s">
        <v>24766</v>
      </c>
      <c r="BH2640" t="s">
        <v>24767</v>
      </c>
      <c r="BI2640" t="s">
        <v>11614</v>
      </c>
      <c r="BJ2640" t="s">
        <v>101</v>
      </c>
      <c r="BK2640" t="s">
        <v>3184</v>
      </c>
      <c r="BL2640" t="s">
        <v>13279</v>
      </c>
      <c r="BM2640" t="s">
        <v>11661</v>
      </c>
      <c r="BN2640" t="s">
        <v>23454</v>
      </c>
    </row>
    <row r="2641" spans="1:66" x14ac:dyDescent="0.25">
      <c r="A2641" t="str">
        <f>HYPERLINK("https://elite.finviz.com/quote.ashx?t=ORGN&amp;ty=c&amp;p=d&amp;b=1", "ORGN")</f>
        <v>ORGN</v>
      </c>
      <c r="B2641">
        <v>5</v>
      </c>
      <c r="C2641">
        <v>116.22</v>
      </c>
      <c r="D2641">
        <v>37.659999999999997</v>
      </c>
      <c r="E2641" t="s">
        <v>24768</v>
      </c>
      <c r="F2641" t="s">
        <v>107</v>
      </c>
      <c r="G2641" t="s">
        <v>355</v>
      </c>
      <c r="H2641" t="s">
        <v>5130</v>
      </c>
      <c r="I2641" t="s">
        <v>70</v>
      </c>
      <c r="J2641" t="s">
        <v>321</v>
      </c>
      <c r="K2641">
        <v>75.19</v>
      </c>
      <c r="L2641">
        <v>0.5</v>
      </c>
      <c r="M2641" t="s">
        <v>6257</v>
      </c>
      <c r="N2641">
        <v>196115</v>
      </c>
      <c r="R2641">
        <v>2.62</v>
      </c>
      <c r="S2641">
        <v>0.24</v>
      </c>
      <c r="AA2641">
        <v>-0.62</v>
      </c>
      <c r="AC2641" t="s">
        <v>4665</v>
      </c>
      <c r="AE2641" t="s">
        <v>11768</v>
      </c>
      <c r="AH2641" t="s">
        <v>1622</v>
      </c>
      <c r="AJ2641" t="s">
        <v>3598</v>
      </c>
      <c r="AK2641" t="s">
        <v>1935</v>
      </c>
      <c r="AL2641">
        <v>6.37</v>
      </c>
      <c r="AM2641">
        <v>6.33</v>
      </c>
      <c r="AN2641">
        <v>0.02</v>
      </c>
      <c r="AO2641" t="s">
        <v>24769</v>
      </c>
      <c r="AP2641" t="s">
        <v>24770</v>
      </c>
      <c r="AQ2641" t="s">
        <v>24771</v>
      </c>
      <c r="AR2641" t="s">
        <v>892</v>
      </c>
      <c r="AS2641" t="s">
        <v>1104</v>
      </c>
      <c r="AT2641" t="s">
        <v>4215</v>
      </c>
      <c r="AU2641" t="s">
        <v>21794</v>
      </c>
      <c r="AV2641" t="s">
        <v>5147</v>
      </c>
      <c r="AW2641" t="s">
        <v>12347</v>
      </c>
      <c r="AX2641" t="s">
        <v>2087</v>
      </c>
      <c r="AY2641" t="s">
        <v>24772</v>
      </c>
      <c r="AZ2641" t="s">
        <v>6720</v>
      </c>
      <c r="BA2641">
        <v>1</v>
      </c>
      <c r="BB2641">
        <v>1192.76</v>
      </c>
      <c r="BC2641">
        <v>0.57999999999999996</v>
      </c>
      <c r="BD2641">
        <v>0.51</v>
      </c>
      <c r="BE2641">
        <v>0.51</v>
      </c>
      <c r="BF2641">
        <v>0.5</v>
      </c>
      <c r="BG2641" t="s">
        <v>24773</v>
      </c>
      <c r="BH2641" t="s">
        <v>21809</v>
      </c>
      <c r="BI2641" t="s">
        <v>6720</v>
      </c>
      <c r="BJ2641" t="s">
        <v>101</v>
      </c>
      <c r="BK2641" t="s">
        <v>3025</v>
      </c>
      <c r="BL2641" t="s">
        <v>17955</v>
      </c>
      <c r="BM2641" t="s">
        <v>24774</v>
      </c>
      <c r="BN2641" t="s">
        <v>23454</v>
      </c>
    </row>
    <row r="2642" spans="1:66" x14ac:dyDescent="0.25">
      <c r="A2642" t="str">
        <f>HYPERLINK("https://elite.finviz.com/quote.ashx?t=CNM&amp;ty=c&amp;p=d&amp;b=1", "CNM")</f>
        <v>CNM</v>
      </c>
      <c r="B2642">
        <v>5</v>
      </c>
      <c r="C2642">
        <v>116.22</v>
      </c>
      <c r="D2642">
        <v>37.72</v>
      </c>
      <c r="E2642" t="s">
        <v>24775</v>
      </c>
      <c r="F2642" t="s">
        <v>107</v>
      </c>
      <c r="G2642" t="s">
        <v>260</v>
      </c>
      <c r="H2642" t="s">
        <v>8107</v>
      </c>
      <c r="I2642" t="s">
        <v>70</v>
      </c>
      <c r="J2642" t="s">
        <v>71</v>
      </c>
      <c r="K2642">
        <v>10143.86</v>
      </c>
      <c r="L2642">
        <v>51.6</v>
      </c>
      <c r="M2642" t="s">
        <v>2610</v>
      </c>
      <c r="N2642">
        <v>682935</v>
      </c>
      <c r="O2642">
        <v>22.97</v>
      </c>
      <c r="P2642">
        <v>19.09</v>
      </c>
      <c r="Q2642">
        <v>1.61</v>
      </c>
      <c r="R2642">
        <v>1.31</v>
      </c>
      <c r="S2642">
        <v>5.21</v>
      </c>
      <c r="Z2642" t="s">
        <v>164</v>
      </c>
      <c r="AA2642">
        <v>2.25</v>
      </c>
      <c r="AB2642" t="s">
        <v>9877</v>
      </c>
      <c r="AC2642" t="s">
        <v>5052</v>
      </c>
      <c r="AD2642" t="s">
        <v>7555</v>
      </c>
      <c r="AE2642" t="s">
        <v>847</v>
      </c>
      <c r="AF2642" t="s">
        <v>828</v>
      </c>
      <c r="AG2642" t="s">
        <v>4096</v>
      </c>
      <c r="AH2642" t="s">
        <v>8960</v>
      </c>
      <c r="AI2642" t="s">
        <v>7345</v>
      </c>
      <c r="AJ2642" t="s">
        <v>24776</v>
      </c>
      <c r="AK2642" t="s">
        <v>24777</v>
      </c>
      <c r="AL2642">
        <v>2.25</v>
      </c>
      <c r="AM2642">
        <v>1.3</v>
      </c>
      <c r="AN2642">
        <v>1.34</v>
      </c>
      <c r="AO2642" t="s">
        <v>7007</v>
      </c>
      <c r="AP2642" t="s">
        <v>4223</v>
      </c>
      <c r="AQ2642" t="s">
        <v>4697</v>
      </c>
      <c r="AR2642" t="s">
        <v>451</v>
      </c>
      <c r="AS2642" t="s">
        <v>7154</v>
      </c>
      <c r="AT2642" t="s">
        <v>8889</v>
      </c>
      <c r="AU2642" t="s">
        <v>4405</v>
      </c>
      <c r="AV2642" t="s">
        <v>5137</v>
      </c>
      <c r="AW2642" t="s">
        <v>5474</v>
      </c>
      <c r="AX2642" t="s">
        <v>3982</v>
      </c>
      <c r="AY2642" t="s">
        <v>5474</v>
      </c>
      <c r="AZ2642" t="s">
        <v>7797</v>
      </c>
      <c r="BA2642">
        <v>2.12</v>
      </c>
      <c r="BB2642">
        <v>2452</v>
      </c>
      <c r="BC2642">
        <v>0.98</v>
      </c>
      <c r="BD2642">
        <v>51.07</v>
      </c>
      <c r="BE2642">
        <v>51.84</v>
      </c>
      <c r="BF2642">
        <v>50.86</v>
      </c>
      <c r="BG2642" t="s">
        <v>24778</v>
      </c>
      <c r="BH2642" t="s">
        <v>5474</v>
      </c>
      <c r="BI2642" t="s">
        <v>24779</v>
      </c>
      <c r="BJ2642" t="s">
        <v>101</v>
      </c>
      <c r="BK2642" t="s">
        <v>24341</v>
      </c>
      <c r="BL2642" t="s">
        <v>3035</v>
      </c>
      <c r="BM2642" t="s">
        <v>639</v>
      </c>
      <c r="BN2642" t="s">
        <v>23454</v>
      </c>
    </row>
    <row r="2643" spans="1:66" x14ac:dyDescent="0.25">
      <c r="A2643" t="str">
        <f>HYPERLINK("https://elite.finviz.com/quote.ashx?t=PNW&amp;ty=c&amp;p=d&amp;b=1", "PNW")</f>
        <v>PNW</v>
      </c>
      <c r="B2643">
        <v>5</v>
      </c>
      <c r="C2643">
        <v>116.22</v>
      </c>
      <c r="D2643">
        <v>37.75</v>
      </c>
      <c r="E2643" t="s">
        <v>24780</v>
      </c>
      <c r="F2643" t="s">
        <v>195</v>
      </c>
      <c r="G2643" t="s">
        <v>287</v>
      </c>
      <c r="H2643" t="s">
        <v>676</v>
      </c>
      <c r="I2643" t="s">
        <v>70</v>
      </c>
      <c r="J2643" t="s">
        <v>71</v>
      </c>
      <c r="K2643">
        <v>10293.44</v>
      </c>
      <c r="L2643">
        <v>86.19</v>
      </c>
      <c r="M2643" t="s">
        <v>4494</v>
      </c>
      <c r="N2643">
        <v>395892</v>
      </c>
      <c r="O2643">
        <v>17.760000000000002</v>
      </c>
      <c r="P2643">
        <v>18.34</v>
      </c>
      <c r="Q2643">
        <v>7.1</v>
      </c>
      <c r="R2643">
        <v>1.96</v>
      </c>
      <c r="S2643">
        <v>1.53</v>
      </c>
      <c r="T2643" t="s">
        <v>5331</v>
      </c>
      <c r="U2643">
        <v>3.58</v>
      </c>
      <c r="V2643" t="s">
        <v>4066</v>
      </c>
      <c r="W2643" t="s">
        <v>3257</v>
      </c>
      <c r="X2643" t="s">
        <v>1129</v>
      </c>
      <c r="Y2643" t="s">
        <v>3454</v>
      </c>
      <c r="Z2643" t="s">
        <v>9985</v>
      </c>
      <c r="AA2643">
        <v>4.8499999999999996</v>
      </c>
      <c r="AB2643" t="s">
        <v>13117</v>
      </c>
      <c r="AC2643" t="s">
        <v>5071</v>
      </c>
      <c r="AD2643" t="s">
        <v>6430</v>
      </c>
      <c r="AE2643" t="s">
        <v>8808</v>
      </c>
      <c r="AF2643" t="s">
        <v>1110</v>
      </c>
      <c r="AG2643" t="s">
        <v>2655</v>
      </c>
      <c r="AH2643" t="s">
        <v>756</v>
      </c>
      <c r="AI2643" t="s">
        <v>8932</v>
      </c>
      <c r="AJ2643" t="s">
        <v>8293</v>
      </c>
      <c r="AK2643" t="s">
        <v>24136</v>
      </c>
      <c r="AL2643">
        <v>0.47</v>
      </c>
      <c r="AM2643">
        <v>0.31</v>
      </c>
      <c r="AN2643">
        <v>2.08</v>
      </c>
      <c r="AO2643" t="s">
        <v>12922</v>
      </c>
      <c r="AP2643" t="s">
        <v>11086</v>
      </c>
      <c r="AQ2643" t="s">
        <v>602</v>
      </c>
      <c r="AR2643" t="s">
        <v>80</v>
      </c>
      <c r="AS2643" t="s">
        <v>1417</v>
      </c>
      <c r="AT2643" t="s">
        <v>298</v>
      </c>
      <c r="AU2643" t="s">
        <v>15052</v>
      </c>
      <c r="AV2643" t="s">
        <v>10747</v>
      </c>
      <c r="AW2643" t="s">
        <v>5062</v>
      </c>
      <c r="AX2643" t="s">
        <v>5577</v>
      </c>
      <c r="AY2643" t="s">
        <v>618</v>
      </c>
      <c r="AZ2643" t="s">
        <v>2932</v>
      </c>
      <c r="BA2643">
        <v>2.38</v>
      </c>
      <c r="BB2643">
        <v>1073.03</v>
      </c>
      <c r="BC2643">
        <v>1.3</v>
      </c>
      <c r="BD2643">
        <v>86.08</v>
      </c>
      <c r="BE2643">
        <v>86.86</v>
      </c>
      <c r="BF2643">
        <v>85.91</v>
      </c>
      <c r="BG2643" t="s">
        <v>24781</v>
      </c>
      <c r="BH2643" t="s">
        <v>6019</v>
      </c>
      <c r="BI2643" t="s">
        <v>24782</v>
      </c>
      <c r="BJ2643" t="s">
        <v>101</v>
      </c>
      <c r="BK2643" t="s">
        <v>4131</v>
      </c>
      <c r="BL2643" t="s">
        <v>5573</v>
      </c>
      <c r="BM2643" t="s">
        <v>12274</v>
      </c>
      <c r="BN2643" t="s">
        <v>23454</v>
      </c>
    </row>
    <row r="2644" spans="1:66" x14ac:dyDescent="0.25">
      <c r="A2644" t="str">
        <f>HYPERLINK("https://elite.finviz.com/quote.ashx?t=SFD&amp;ty=c&amp;p=d&amp;b=1", "SFD")</f>
        <v>SFD</v>
      </c>
      <c r="B2644">
        <v>5</v>
      </c>
      <c r="C2644">
        <v>116.22</v>
      </c>
      <c r="D2644">
        <v>37.799999999999997</v>
      </c>
      <c r="E2644" t="s">
        <v>24783</v>
      </c>
      <c r="F2644" t="s">
        <v>107</v>
      </c>
      <c r="G2644" t="s">
        <v>2244</v>
      </c>
      <c r="H2644" t="s">
        <v>3269</v>
      </c>
      <c r="I2644" t="s">
        <v>70</v>
      </c>
      <c r="J2644" t="s">
        <v>321</v>
      </c>
      <c r="K2644">
        <v>9202.89</v>
      </c>
      <c r="L2644">
        <v>23.41</v>
      </c>
      <c r="M2644" t="s">
        <v>174</v>
      </c>
      <c r="N2644">
        <v>99549</v>
      </c>
      <c r="P2644">
        <v>9.77</v>
      </c>
      <c r="S2644">
        <v>1.46</v>
      </c>
      <c r="T2644" t="s">
        <v>4744</v>
      </c>
      <c r="U2644">
        <v>0.75</v>
      </c>
      <c r="V2644" t="s">
        <v>2708</v>
      </c>
      <c r="AB2644" t="s">
        <v>1569</v>
      </c>
      <c r="AD2644" t="s">
        <v>5557</v>
      </c>
      <c r="AF2644" t="s">
        <v>1690</v>
      </c>
      <c r="AH2644" t="s">
        <v>777</v>
      </c>
      <c r="AI2644" t="s">
        <v>1763</v>
      </c>
      <c r="AJ2644" t="s">
        <v>7289</v>
      </c>
      <c r="AK2644" t="s">
        <v>6075</v>
      </c>
      <c r="AL2644">
        <v>3.21</v>
      </c>
      <c r="AM2644">
        <v>1.5</v>
      </c>
      <c r="AN2644">
        <v>0.38</v>
      </c>
      <c r="AR2644" t="s">
        <v>2217</v>
      </c>
      <c r="AS2644" t="s">
        <v>4710</v>
      </c>
      <c r="AT2644" t="s">
        <v>10469</v>
      </c>
      <c r="AU2644" t="s">
        <v>3423</v>
      </c>
      <c r="AV2644" t="s">
        <v>4324</v>
      </c>
      <c r="AW2644" t="s">
        <v>11642</v>
      </c>
      <c r="AX2644" t="s">
        <v>2307</v>
      </c>
      <c r="AY2644" t="s">
        <v>11642</v>
      </c>
      <c r="AZ2644" t="s">
        <v>11296</v>
      </c>
      <c r="BA2644">
        <v>1.43</v>
      </c>
      <c r="BB2644">
        <v>1159.5999999999999</v>
      </c>
      <c r="BC2644">
        <v>0.3</v>
      </c>
      <c r="BD2644">
        <v>23.6</v>
      </c>
      <c r="BE2644">
        <v>23.77</v>
      </c>
      <c r="BF2644">
        <v>23.36</v>
      </c>
      <c r="BG2644" t="s">
        <v>24784</v>
      </c>
      <c r="BH2644" t="s">
        <v>11642</v>
      </c>
      <c r="BI2644" t="s">
        <v>11296</v>
      </c>
      <c r="BJ2644" t="s">
        <v>101</v>
      </c>
      <c r="BK2644" t="s">
        <v>80</v>
      </c>
      <c r="BL2644" t="s">
        <v>11856</v>
      </c>
      <c r="BN2644" t="s">
        <v>23454</v>
      </c>
    </row>
    <row r="2645" spans="1:66" x14ac:dyDescent="0.25">
      <c r="A2645" t="str">
        <f>HYPERLINK("https://elite.finviz.com/quote.ashx?t=DG&amp;ty=c&amp;p=d&amp;b=1", "DG")</f>
        <v>DG</v>
      </c>
      <c r="B2645">
        <v>5</v>
      </c>
      <c r="C2645">
        <v>116.22</v>
      </c>
      <c r="D2645">
        <v>37.83</v>
      </c>
      <c r="E2645" t="s">
        <v>24785</v>
      </c>
      <c r="F2645" t="s">
        <v>195</v>
      </c>
      <c r="G2645" t="s">
        <v>2244</v>
      </c>
      <c r="H2645" t="s">
        <v>7615</v>
      </c>
      <c r="I2645" t="s">
        <v>70</v>
      </c>
      <c r="J2645" t="s">
        <v>71</v>
      </c>
      <c r="K2645">
        <v>22482.73</v>
      </c>
      <c r="L2645">
        <v>102.14</v>
      </c>
      <c r="M2645" t="s">
        <v>6298</v>
      </c>
      <c r="N2645">
        <v>735691</v>
      </c>
      <c r="O2645">
        <v>18.899999999999999</v>
      </c>
      <c r="P2645">
        <v>15.26</v>
      </c>
      <c r="Q2645">
        <v>2.27</v>
      </c>
      <c r="R2645">
        <v>0.54</v>
      </c>
      <c r="S2645">
        <v>2.81</v>
      </c>
      <c r="T2645" t="s">
        <v>180</v>
      </c>
      <c r="U2645">
        <v>2.36</v>
      </c>
      <c r="V2645" t="s">
        <v>16780</v>
      </c>
      <c r="W2645" t="s">
        <v>164</v>
      </c>
      <c r="X2645" t="s">
        <v>1514</v>
      </c>
      <c r="Y2645" t="s">
        <v>2516</v>
      </c>
      <c r="Z2645" t="s">
        <v>10066</v>
      </c>
      <c r="AA2645">
        <v>5.41</v>
      </c>
      <c r="AB2645" t="s">
        <v>14772</v>
      </c>
      <c r="AC2645" t="s">
        <v>7165</v>
      </c>
      <c r="AD2645" t="s">
        <v>5658</v>
      </c>
      <c r="AE2645" t="s">
        <v>4824</v>
      </c>
      <c r="AF2645" t="s">
        <v>2408</v>
      </c>
      <c r="AG2645" t="s">
        <v>3687</v>
      </c>
      <c r="AH2645" t="s">
        <v>3887</v>
      </c>
      <c r="AI2645" t="s">
        <v>7055</v>
      </c>
      <c r="AJ2645" t="s">
        <v>6407</v>
      </c>
      <c r="AK2645" t="s">
        <v>6706</v>
      </c>
      <c r="AL2645">
        <v>1.25</v>
      </c>
      <c r="AM2645">
        <v>0.27</v>
      </c>
      <c r="AN2645">
        <v>2.13</v>
      </c>
      <c r="AO2645" t="s">
        <v>1663</v>
      </c>
      <c r="AP2645" t="s">
        <v>3025</v>
      </c>
      <c r="AQ2645" t="s">
        <v>2146</v>
      </c>
      <c r="AR2645" t="s">
        <v>5188</v>
      </c>
      <c r="AS2645" t="s">
        <v>4687</v>
      </c>
      <c r="AT2645" t="s">
        <v>17548</v>
      </c>
      <c r="AU2645" t="s">
        <v>4120</v>
      </c>
      <c r="AV2645" t="s">
        <v>1960</v>
      </c>
      <c r="AW2645" t="s">
        <v>9414</v>
      </c>
      <c r="AX2645" t="s">
        <v>8016</v>
      </c>
      <c r="AY2645" t="s">
        <v>9414</v>
      </c>
      <c r="AZ2645" t="s">
        <v>24786</v>
      </c>
      <c r="BA2645">
        <v>2.42</v>
      </c>
      <c r="BB2645">
        <v>2937.65</v>
      </c>
      <c r="BC2645">
        <v>0.88</v>
      </c>
      <c r="BD2645">
        <v>102.85</v>
      </c>
      <c r="BE2645">
        <v>103.21</v>
      </c>
      <c r="BF2645">
        <v>101.93</v>
      </c>
      <c r="BG2645" t="s">
        <v>24787</v>
      </c>
      <c r="BH2645" t="s">
        <v>24788</v>
      </c>
      <c r="BI2645" t="s">
        <v>24789</v>
      </c>
      <c r="BJ2645" t="s">
        <v>101</v>
      </c>
      <c r="BK2645" t="s">
        <v>14502</v>
      </c>
      <c r="BL2645" t="s">
        <v>5747</v>
      </c>
      <c r="BM2645" t="s">
        <v>9140</v>
      </c>
      <c r="BN2645" t="s">
        <v>23454</v>
      </c>
    </row>
    <row r="2646" spans="1:66" x14ac:dyDescent="0.25">
      <c r="A2646" t="str">
        <f>HYPERLINK("https://elite.finviz.com/quote.ashx?t=HGV&amp;ty=c&amp;p=d&amp;b=1", "HGV")</f>
        <v>HGV</v>
      </c>
      <c r="B2646">
        <v>5</v>
      </c>
      <c r="C2646">
        <v>116.22</v>
      </c>
      <c r="D2646">
        <v>37.950000000000003</v>
      </c>
      <c r="E2646" t="s">
        <v>24790</v>
      </c>
      <c r="F2646" t="s">
        <v>67</v>
      </c>
      <c r="G2646" t="s">
        <v>813</v>
      </c>
      <c r="H2646" t="s">
        <v>2763</v>
      </c>
      <c r="I2646" t="s">
        <v>70</v>
      </c>
      <c r="J2646" t="s">
        <v>71</v>
      </c>
      <c r="K2646">
        <v>3848</v>
      </c>
      <c r="L2646">
        <v>43.21</v>
      </c>
      <c r="M2646" t="s">
        <v>5036</v>
      </c>
      <c r="N2646">
        <v>61538</v>
      </c>
      <c r="O2646">
        <v>74.64</v>
      </c>
      <c r="P2646">
        <v>10.130000000000001</v>
      </c>
      <c r="Q2646">
        <v>2.06</v>
      </c>
      <c r="R2646">
        <v>0.77</v>
      </c>
      <c r="S2646">
        <v>2.6</v>
      </c>
      <c r="Z2646" t="s">
        <v>164</v>
      </c>
      <c r="AA2646">
        <v>0.57999999999999996</v>
      </c>
      <c r="AB2646" t="s">
        <v>24791</v>
      </c>
      <c r="AC2646" t="s">
        <v>8011</v>
      </c>
      <c r="AD2646" t="s">
        <v>256</v>
      </c>
      <c r="AE2646" t="s">
        <v>3560</v>
      </c>
      <c r="AF2646" t="s">
        <v>3529</v>
      </c>
      <c r="AG2646" t="s">
        <v>10829</v>
      </c>
      <c r="AH2646" t="s">
        <v>179</v>
      </c>
      <c r="AI2646" t="s">
        <v>24792</v>
      </c>
      <c r="AJ2646" t="s">
        <v>1938</v>
      </c>
      <c r="AK2646" t="s">
        <v>11175</v>
      </c>
      <c r="AL2646">
        <v>4.43</v>
      </c>
      <c r="AM2646">
        <v>2.77</v>
      </c>
      <c r="AN2646">
        <v>4.8099999999999996</v>
      </c>
      <c r="AO2646" t="s">
        <v>24793</v>
      </c>
      <c r="AP2646" t="s">
        <v>9196</v>
      </c>
      <c r="AQ2646" t="s">
        <v>1279</v>
      </c>
      <c r="AR2646" t="s">
        <v>2421</v>
      </c>
      <c r="AS2646" t="s">
        <v>342</v>
      </c>
      <c r="AT2646" t="s">
        <v>10175</v>
      </c>
      <c r="AU2646" t="s">
        <v>2665</v>
      </c>
      <c r="AV2646" t="s">
        <v>2732</v>
      </c>
      <c r="AW2646" t="s">
        <v>20101</v>
      </c>
      <c r="AX2646" t="s">
        <v>3257</v>
      </c>
      <c r="AY2646" t="s">
        <v>20101</v>
      </c>
      <c r="AZ2646" t="s">
        <v>24794</v>
      </c>
      <c r="BA2646">
        <v>2.11</v>
      </c>
      <c r="BB2646">
        <v>1103.4100000000001</v>
      </c>
      <c r="BC2646">
        <v>0.2</v>
      </c>
      <c r="BD2646">
        <v>42.9</v>
      </c>
      <c r="BE2646">
        <v>43.38</v>
      </c>
      <c r="BF2646">
        <v>43</v>
      </c>
      <c r="BG2646" t="s">
        <v>24795</v>
      </c>
      <c r="BH2646" t="s">
        <v>11657</v>
      </c>
      <c r="BI2646" t="s">
        <v>24796</v>
      </c>
      <c r="BJ2646" t="s">
        <v>101</v>
      </c>
      <c r="BK2646" t="s">
        <v>3613</v>
      </c>
      <c r="BL2646" t="s">
        <v>5757</v>
      </c>
      <c r="BM2646" t="s">
        <v>8059</v>
      </c>
      <c r="BN2646" t="s">
        <v>23454</v>
      </c>
    </row>
    <row r="2647" spans="1:66" x14ac:dyDescent="0.25">
      <c r="A2647" t="str">
        <f>HYPERLINK("https://elite.finviz.com/quote.ashx?t=KAPA&amp;ty=c&amp;p=d&amp;b=1", "KAPA")</f>
        <v>KAPA</v>
      </c>
      <c r="B2647">
        <v>5</v>
      </c>
      <c r="C2647">
        <v>116.22</v>
      </c>
      <c r="D2647">
        <v>38.049999999999997</v>
      </c>
      <c r="E2647" t="s">
        <v>24797</v>
      </c>
      <c r="F2647" t="s">
        <v>107</v>
      </c>
      <c r="G2647" t="s">
        <v>428</v>
      </c>
      <c r="H2647" t="s">
        <v>429</v>
      </c>
      <c r="I2647" t="s">
        <v>70</v>
      </c>
      <c r="J2647" t="s">
        <v>383</v>
      </c>
      <c r="K2647">
        <v>22.51</v>
      </c>
      <c r="L2647">
        <v>1.0900000000000001</v>
      </c>
      <c r="M2647" t="s">
        <v>681</v>
      </c>
      <c r="N2647">
        <v>240597</v>
      </c>
      <c r="S2647">
        <v>3.21</v>
      </c>
      <c r="AA2647">
        <v>-0.31</v>
      </c>
      <c r="AB2647" t="s">
        <v>7468</v>
      </c>
      <c r="AC2647" t="s">
        <v>8268</v>
      </c>
      <c r="AD2647" t="s">
        <v>22543</v>
      </c>
      <c r="AI2647" t="s">
        <v>7010</v>
      </c>
      <c r="AJ2647" t="s">
        <v>164</v>
      </c>
      <c r="AK2647" t="s">
        <v>3447</v>
      </c>
      <c r="AL2647">
        <v>7.16</v>
      </c>
      <c r="AM2647">
        <v>7.16</v>
      </c>
      <c r="AN2647">
        <v>0</v>
      </c>
      <c r="AR2647" t="s">
        <v>821</v>
      </c>
      <c r="AS2647" t="s">
        <v>4906</v>
      </c>
      <c r="AT2647" t="s">
        <v>10051</v>
      </c>
      <c r="AU2647" t="s">
        <v>7856</v>
      </c>
      <c r="AV2647" t="s">
        <v>3027</v>
      </c>
      <c r="AW2647" t="s">
        <v>6442</v>
      </c>
      <c r="AX2647" t="s">
        <v>6044</v>
      </c>
      <c r="AY2647" t="s">
        <v>24798</v>
      </c>
      <c r="AZ2647" t="s">
        <v>24799</v>
      </c>
      <c r="BA2647">
        <v>1</v>
      </c>
      <c r="BB2647">
        <v>5131.5</v>
      </c>
      <c r="BC2647">
        <v>0.17</v>
      </c>
      <c r="BD2647">
        <v>1.1399999999999999</v>
      </c>
      <c r="BE2647">
        <v>1.1299999999999999</v>
      </c>
      <c r="BF2647">
        <v>1.08</v>
      </c>
      <c r="BG2647" t="s">
        <v>24800</v>
      </c>
      <c r="BH2647" t="s">
        <v>24801</v>
      </c>
      <c r="BI2647" t="s">
        <v>24799</v>
      </c>
      <c r="BJ2647" t="s">
        <v>101</v>
      </c>
      <c r="BK2647" t="s">
        <v>23612</v>
      </c>
      <c r="BL2647" t="s">
        <v>6751</v>
      </c>
      <c r="BM2647" t="s">
        <v>23264</v>
      </c>
      <c r="BN2647" t="s">
        <v>23454</v>
      </c>
    </row>
    <row r="2648" spans="1:66" x14ac:dyDescent="0.25">
      <c r="A2648" t="str">
        <f>HYPERLINK("https://elite.finviz.com/quote.ashx?t=MA&amp;ty=c&amp;p=d&amp;b=1", "MA")</f>
        <v>MA</v>
      </c>
      <c r="B2648">
        <v>5</v>
      </c>
      <c r="C2648">
        <v>116.22</v>
      </c>
      <c r="D2648">
        <v>38.090000000000003</v>
      </c>
      <c r="E2648" t="s">
        <v>24802</v>
      </c>
      <c r="F2648" t="s">
        <v>195</v>
      </c>
      <c r="G2648" t="s">
        <v>550</v>
      </c>
      <c r="H2648" t="s">
        <v>3744</v>
      </c>
      <c r="I2648" t="s">
        <v>70</v>
      </c>
      <c r="J2648" t="s">
        <v>71</v>
      </c>
      <c r="K2648">
        <v>511272.93</v>
      </c>
      <c r="L2648">
        <v>565.55999999999995</v>
      </c>
      <c r="M2648" t="s">
        <v>6871</v>
      </c>
      <c r="N2648">
        <v>470051</v>
      </c>
      <c r="O2648">
        <v>38.15</v>
      </c>
      <c r="P2648">
        <v>29.74</v>
      </c>
      <c r="Q2648">
        <v>2.56</v>
      </c>
      <c r="R2648">
        <v>16.899999999999999</v>
      </c>
      <c r="S2648">
        <v>65.25</v>
      </c>
      <c r="T2648" t="s">
        <v>4849</v>
      </c>
      <c r="U2648">
        <v>2.94</v>
      </c>
      <c r="V2648" t="s">
        <v>228</v>
      </c>
      <c r="W2648" t="s">
        <v>6747</v>
      </c>
      <c r="X2648" t="s">
        <v>10794</v>
      </c>
      <c r="Y2648" t="s">
        <v>3434</v>
      </c>
      <c r="Z2648" t="s">
        <v>3667</v>
      </c>
      <c r="AA2648">
        <v>14.82</v>
      </c>
      <c r="AB2648" t="s">
        <v>20499</v>
      </c>
      <c r="AC2648" t="s">
        <v>662</v>
      </c>
      <c r="AD2648" t="s">
        <v>2699</v>
      </c>
      <c r="AE2648" t="s">
        <v>4666</v>
      </c>
      <c r="AF2648" t="s">
        <v>15187</v>
      </c>
      <c r="AG2648" t="s">
        <v>6810</v>
      </c>
      <c r="AH2648" t="s">
        <v>3272</v>
      </c>
      <c r="AI2648" t="s">
        <v>6118</v>
      </c>
      <c r="AJ2648" t="s">
        <v>2717</v>
      </c>
      <c r="AK2648" t="s">
        <v>4252</v>
      </c>
      <c r="AL2648">
        <v>1.1599999999999999</v>
      </c>
      <c r="AM2648">
        <v>1.1599999999999999</v>
      </c>
      <c r="AN2648">
        <v>2.42</v>
      </c>
      <c r="AO2648" t="s">
        <v>24803</v>
      </c>
      <c r="AP2648" t="s">
        <v>24804</v>
      </c>
      <c r="AQ2648" t="s">
        <v>24805</v>
      </c>
      <c r="AR2648" t="s">
        <v>2082</v>
      </c>
      <c r="AS2648" t="s">
        <v>1760</v>
      </c>
      <c r="AT2648" t="s">
        <v>9022</v>
      </c>
      <c r="AU2648" t="s">
        <v>3753</v>
      </c>
      <c r="AV2648" t="s">
        <v>5071</v>
      </c>
      <c r="AW2648" t="s">
        <v>5880</v>
      </c>
      <c r="AX2648" t="s">
        <v>2361</v>
      </c>
      <c r="AY2648" t="s">
        <v>5880</v>
      </c>
      <c r="AZ2648" t="s">
        <v>10865</v>
      </c>
      <c r="BA2648">
        <v>1.69</v>
      </c>
      <c r="BB2648">
        <v>2689.59</v>
      </c>
      <c r="BC2648">
        <v>0.62</v>
      </c>
      <c r="BD2648">
        <v>567.29999999999995</v>
      </c>
      <c r="BE2648">
        <v>569.12</v>
      </c>
      <c r="BF2648">
        <v>564.21</v>
      </c>
      <c r="BG2648" t="s">
        <v>24806</v>
      </c>
      <c r="BH2648" t="s">
        <v>5880</v>
      </c>
      <c r="BI2648" t="s">
        <v>24807</v>
      </c>
      <c r="BJ2648" t="s">
        <v>101</v>
      </c>
      <c r="BK2648" t="s">
        <v>5256</v>
      </c>
      <c r="BL2648" t="s">
        <v>6829</v>
      </c>
      <c r="BM2648" t="s">
        <v>16733</v>
      </c>
      <c r="BN2648" t="s">
        <v>23454</v>
      </c>
    </row>
    <row r="2649" spans="1:66" x14ac:dyDescent="0.25">
      <c r="A2649" t="str">
        <f>HYPERLINK("https://elite.finviz.com/quote.ashx?t=DKNG&amp;ty=c&amp;p=d&amp;b=1", "DKNG")</f>
        <v>DKNG</v>
      </c>
      <c r="B2649">
        <v>5</v>
      </c>
      <c r="C2649">
        <v>116.22</v>
      </c>
      <c r="D2649">
        <v>38.15</v>
      </c>
      <c r="E2649" t="s">
        <v>24808</v>
      </c>
      <c r="F2649" t="s">
        <v>107</v>
      </c>
      <c r="G2649" t="s">
        <v>813</v>
      </c>
      <c r="H2649" t="s">
        <v>10266</v>
      </c>
      <c r="I2649" t="s">
        <v>70</v>
      </c>
      <c r="J2649" t="s">
        <v>321</v>
      </c>
      <c r="K2649">
        <v>38234.47</v>
      </c>
      <c r="L2649">
        <v>42.99</v>
      </c>
      <c r="M2649" t="s">
        <v>183</v>
      </c>
      <c r="N2649">
        <v>1741214</v>
      </c>
      <c r="P2649">
        <v>33.049999999999997</v>
      </c>
      <c r="R2649">
        <v>7.07</v>
      </c>
      <c r="S2649">
        <v>21.12</v>
      </c>
      <c r="AA2649">
        <v>-0.65</v>
      </c>
      <c r="AB2649" t="s">
        <v>19644</v>
      </c>
      <c r="AC2649" t="s">
        <v>5567</v>
      </c>
      <c r="AE2649" t="s">
        <v>8608</v>
      </c>
      <c r="AF2649" t="s">
        <v>9329</v>
      </c>
      <c r="AG2649" t="s">
        <v>24809</v>
      </c>
      <c r="AH2649" t="s">
        <v>10115</v>
      </c>
      <c r="AI2649" t="s">
        <v>13991</v>
      </c>
      <c r="AJ2649" t="s">
        <v>15764</v>
      </c>
      <c r="AK2649" t="s">
        <v>12688</v>
      </c>
      <c r="AL2649">
        <v>1.34</v>
      </c>
      <c r="AM2649">
        <v>1.34</v>
      </c>
      <c r="AN2649">
        <v>1.89</v>
      </c>
      <c r="AO2649" t="s">
        <v>12686</v>
      </c>
      <c r="AP2649" t="s">
        <v>8933</v>
      </c>
      <c r="AQ2649" t="s">
        <v>15506</v>
      </c>
      <c r="AR2649" t="s">
        <v>3208</v>
      </c>
      <c r="AS2649" t="s">
        <v>205</v>
      </c>
      <c r="AT2649" t="s">
        <v>2288</v>
      </c>
      <c r="AU2649" t="s">
        <v>9672</v>
      </c>
      <c r="AV2649" t="s">
        <v>7542</v>
      </c>
      <c r="AW2649" t="s">
        <v>11638</v>
      </c>
      <c r="AX2649" t="s">
        <v>8016</v>
      </c>
      <c r="AY2649" t="s">
        <v>11452</v>
      </c>
      <c r="AZ2649" t="s">
        <v>5110</v>
      </c>
      <c r="BA2649">
        <v>1.36</v>
      </c>
      <c r="BB2649">
        <v>8846.4</v>
      </c>
      <c r="BC2649">
        <v>0.69</v>
      </c>
      <c r="BD2649">
        <v>42.92</v>
      </c>
      <c r="BE2649">
        <v>43.63</v>
      </c>
      <c r="BF2649">
        <v>42.81</v>
      </c>
      <c r="BG2649" t="s">
        <v>24810</v>
      </c>
      <c r="BH2649" t="s">
        <v>17945</v>
      </c>
      <c r="BI2649" t="s">
        <v>24811</v>
      </c>
      <c r="BJ2649" t="s">
        <v>101</v>
      </c>
      <c r="BK2649" t="s">
        <v>430</v>
      </c>
      <c r="BL2649" t="s">
        <v>22563</v>
      </c>
      <c r="BM2649" t="s">
        <v>801</v>
      </c>
      <c r="BN2649" t="s">
        <v>23454</v>
      </c>
    </row>
    <row r="2650" spans="1:66" x14ac:dyDescent="0.25">
      <c r="A2650" t="str">
        <f>HYPERLINK("https://elite.finviz.com/quote.ashx?t=XYZ&amp;ty=c&amp;p=d&amp;b=1", "XYZ")</f>
        <v>XYZ</v>
      </c>
      <c r="B2650">
        <v>5</v>
      </c>
      <c r="C2650">
        <v>116.22</v>
      </c>
      <c r="D2650">
        <v>38.159999999999997</v>
      </c>
      <c r="E2650" t="s">
        <v>24812</v>
      </c>
      <c r="F2650" t="s">
        <v>195</v>
      </c>
      <c r="G2650" t="s">
        <v>108</v>
      </c>
      <c r="H2650" t="s">
        <v>109</v>
      </c>
      <c r="I2650" t="s">
        <v>70</v>
      </c>
      <c r="J2650" t="s">
        <v>71</v>
      </c>
      <c r="K2650">
        <v>43897.13</v>
      </c>
      <c r="L2650">
        <v>72.010000000000005</v>
      </c>
      <c r="M2650" t="s">
        <v>8293</v>
      </c>
      <c r="N2650">
        <v>2369986</v>
      </c>
      <c r="O2650">
        <v>15.4</v>
      </c>
      <c r="P2650">
        <v>20.170000000000002</v>
      </c>
      <c r="Q2650">
        <v>1.67</v>
      </c>
      <c r="R2650">
        <v>1.84</v>
      </c>
      <c r="S2650">
        <v>1.98</v>
      </c>
      <c r="Z2650" t="s">
        <v>164</v>
      </c>
      <c r="AA2650">
        <v>4.67</v>
      </c>
      <c r="AB2650" t="s">
        <v>24813</v>
      </c>
      <c r="AC2650" t="s">
        <v>19802</v>
      </c>
      <c r="AD2650" t="s">
        <v>9280</v>
      </c>
      <c r="AE2650" t="s">
        <v>2554</v>
      </c>
      <c r="AF2650" t="s">
        <v>6587</v>
      </c>
      <c r="AG2650" t="s">
        <v>18861</v>
      </c>
      <c r="AH2650" t="s">
        <v>364</v>
      </c>
      <c r="AI2650" t="s">
        <v>4328</v>
      </c>
      <c r="AJ2650" t="s">
        <v>2294</v>
      </c>
      <c r="AK2650" t="s">
        <v>1556</v>
      </c>
      <c r="AL2650">
        <v>1.96</v>
      </c>
      <c r="AM2650">
        <v>1.94</v>
      </c>
      <c r="AN2650">
        <v>0.28000000000000003</v>
      </c>
      <c r="AO2650" t="s">
        <v>7328</v>
      </c>
      <c r="AP2650" t="s">
        <v>8274</v>
      </c>
      <c r="AQ2650" t="s">
        <v>4593</v>
      </c>
      <c r="AR2650" t="s">
        <v>3244</v>
      </c>
      <c r="AS2650" t="s">
        <v>2383</v>
      </c>
      <c r="AT2650" t="s">
        <v>14635</v>
      </c>
      <c r="AU2650" t="s">
        <v>5584</v>
      </c>
      <c r="AV2650" t="s">
        <v>3349</v>
      </c>
      <c r="AW2650" t="s">
        <v>7496</v>
      </c>
      <c r="AX2650" t="s">
        <v>5736</v>
      </c>
      <c r="AY2650" t="s">
        <v>21210</v>
      </c>
      <c r="AZ2650" t="s">
        <v>13266</v>
      </c>
      <c r="BA2650">
        <v>2.02</v>
      </c>
      <c r="BB2650">
        <v>10100.58</v>
      </c>
      <c r="BC2650">
        <v>0.83</v>
      </c>
      <c r="BD2650">
        <v>73.680000000000007</v>
      </c>
      <c r="BE2650">
        <v>73.39</v>
      </c>
      <c r="BF2650">
        <v>71.900000000000006</v>
      </c>
      <c r="BG2650" t="s">
        <v>24814</v>
      </c>
      <c r="BH2650" t="s">
        <v>5624</v>
      </c>
      <c r="BI2650" t="s">
        <v>24815</v>
      </c>
      <c r="BJ2650" t="s">
        <v>101</v>
      </c>
      <c r="BK2650" t="s">
        <v>9636</v>
      </c>
      <c r="BL2650" t="s">
        <v>12475</v>
      </c>
      <c r="BM2650" t="s">
        <v>6106</v>
      </c>
      <c r="BN2650" t="s">
        <v>23454</v>
      </c>
    </row>
    <row r="2651" spans="1:66" x14ac:dyDescent="0.25">
      <c r="A2651" t="str">
        <f>HYPERLINK("https://elite.finviz.com/quote.ashx?t=LEG&amp;ty=c&amp;p=d&amp;b=1", "LEG")</f>
        <v>LEG</v>
      </c>
      <c r="B2651">
        <v>5</v>
      </c>
      <c r="C2651">
        <v>116.22</v>
      </c>
      <c r="D2651">
        <v>38.159999999999997</v>
      </c>
      <c r="E2651" t="s">
        <v>24816</v>
      </c>
      <c r="F2651" t="s">
        <v>67</v>
      </c>
      <c r="G2651" t="s">
        <v>813</v>
      </c>
      <c r="H2651" t="s">
        <v>3866</v>
      </c>
      <c r="I2651" t="s">
        <v>70</v>
      </c>
      <c r="J2651" t="s">
        <v>71</v>
      </c>
      <c r="K2651">
        <v>1189.06</v>
      </c>
      <c r="L2651">
        <v>8.7799999999999994</v>
      </c>
      <c r="M2651" t="s">
        <v>2560</v>
      </c>
      <c r="N2651">
        <v>307495</v>
      </c>
      <c r="O2651">
        <v>8.57</v>
      </c>
      <c r="P2651">
        <v>7.66</v>
      </c>
      <c r="Q2651">
        <v>0.92</v>
      </c>
      <c r="R2651">
        <v>0.28000000000000003</v>
      </c>
      <c r="S2651">
        <v>1.39</v>
      </c>
      <c r="T2651" t="s">
        <v>1438</v>
      </c>
      <c r="U2651">
        <v>0.2</v>
      </c>
      <c r="V2651" t="s">
        <v>3833</v>
      </c>
      <c r="W2651" t="s">
        <v>12548</v>
      </c>
      <c r="X2651" t="s">
        <v>24817</v>
      </c>
      <c r="Y2651" t="s">
        <v>11979</v>
      </c>
      <c r="AA2651">
        <v>1.02</v>
      </c>
      <c r="AD2651" t="s">
        <v>5212</v>
      </c>
      <c r="AE2651" t="s">
        <v>5359</v>
      </c>
      <c r="AF2651" t="s">
        <v>922</v>
      </c>
      <c r="AG2651" t="s">
        <v>5159</v>
      </c>
      <c r="AH2651" t="s">
        <v>4967</v>
      </c>
      <c r="AI2651" t="s">
        <v>8357</v>
      </c>
      <c r="AJ2651" t="s">
        <v>164</v>
      </c>
      <c r="AK2651" t="s">
        <v>24818</v>
      </c>
      <c r="AL2651">
        <v>2.17</v>
      </c>
      <c r="AM2651">
        <v>1.36</v>
      </c>
      <c r="AN2651">
        <v>2.29</v>
      </c>
      <c r="AO2651" t="s">
        <v>3451</v>
      </c>
      <c r="AP2651" t="s">
        <v>414</v>
      </c>
      <c r="AQ2651" t="s">
        <v>2522</v>
      </c>
      <c r="AR2651" t="s">
        <v>911</v>
      </c>
      <c r="AS2651" t="s">
        <v>1453</v>
      </c>
      <c r="AT2651" t="s">
        <v>7091</v>
      </c>
      <c r="AU2651" t="s">
        <v>4635</v>
      </c>
      <c r="AV2651" t="s">
        <v>4234</v>
      </c>
      <c r="AW2651" t="s">
        <v>24819</v>
      </c>
      <c r="AX2651" t="s">
        <v>3079</v>
      </c>
      <c r="AY2651" t="s">
        <v>24820</v>
      </c>
      <c r="AZ2651" t="s">
        <v>649</v>
      </c>
      <c r="BA2651">
        <v>3</v>
      </c>
      <c r="BB2651">
        <v>2260.89</v>
      </c>
      <c r="BC2651">
        <v>0.48</v>
      </c>
      <c r="BD2651">
        <v>8.77</v>
      </c>
      <c r="BE2651">
        <v>8.86</v>
      </c>
      <c r="BF2651">
        <v>8.77</v>
      </c>
      <c r="BG2651" t="s">
        <v>24821</v>
      </c>
      <c r="BH2651" t="s">
        <v>15746</v>
      </c>
      <c r="BI2651" t="s">
        <v>24822</v>
      </c>
      <c r="BJ2651" t="s">
        <v>101</v>
      </c>
      <c r="BK2651" t="s">
        <v>4500</v>
      </c>
      <c r="BL2651" t="s">
        <v>234</v>
      </c>
      <c r="BM2651" t="s">
        <v>24823</v>
      </c>
      <c r="BN2651" t="s">
        <v>23454</v>
      </c>
    </row>
    <row r="2652" spans="1:66" x14ac:dyDescent="0.25">
      <c r="A2652" t="str">
        <f>HYPERLINK("https://elite.finviz.com/quote.ashx?t=IRT&amp;ty=c&amp;p=d&amp;b=1", "IRT")</f>
        <v>IRT</v>
      </c>
      <c r="B2652">
        <v>5</v>
      </c>
      <c r="C2652">
        <v>116.22</v>
      </c>
      <c r="D2652">
        <v>38.21</v>
      </c>
      <c r="E2652" t="s">
        <v>24824</v>
      </c>
      <c r="F2652" t="s">
        <v>67</v>
      </c>
      <c r="G2652" t="s">
        <v>68</v>
      </c>
      <c r="H2652" t="s">
        <v>5671</v>
      </c>
      <c r="I2652" t="s">
        <v>70</v>
      </c>
      <c r="J2652" t="s">
        <v>71</v>
      </c>
      <c r="K2652">
        <v>3977.6</v>
      </c>
      <c r="L2652">
        <v>16.59</v>
      </c>
      <c r="M2652" t="s">
        <v>3013</v>
      </c>
      <c r="N2652">
        <v>372061</v>
      </c>
      <c r="O2652">
        <v>137.44999999999999</v>
      </c>
      <c r="P2652">
        <v>64.959999999999994</v>
      </c>
      <c r="Q2652">
        <v>6.7</v>
      </c>
      <c r="R2652">
        <v>6.17</v>
      </c>
      <c r="S2652">
        <v>1.1299999999999999</v>
      </c>
      <c r="T2652" t="s">
        <v>3433</v>
      </c>
      <c r="U2652">
        <v>0.37</v>
      </c>
      <c r="V2652" t="s">
        <v>198</v>
      </c>
      <c r="W2652" t="s">
        <v>5187</v>
      </c>
      <c r="X2652" t="s">
        <v>1115</v>
      </c>
      <c r="Y2652" t="s">
        <v>4688</v>
      </c>
      <c r="Z2652" t="s">
        <v>24825</v>
      </c>
      <c r="AA2652">
        <v>0.12</v>
      </c>
      <c r="AB2652" t="s">
        <v>12405</v>
      </c>
      <c r="AC2652" t="s">
        <v>933</v>
      </c>
      <c r="AD2652" t="s">
        <v>10934</v>
      </c>
      <c r="AE2652" t="s">
        <v>3967</v>
      </c>
      <c r="AF2652" t="s">
        <v>13115</v>
      </c>
      <c r="AG2652" t="s">
        <v>7040</v>
      </c>
      <c r="AH2652" t="s">
        <v>744</v>
      </c>
      <c r="AI2652" t="s">
        <v>5720</v>
      </c>
      <c r="AJ2652" t="s">
        <v>8374</v>
      </c>
      <c r="AK2652" t="s">
        <v>24826</v>
      </c>
      <c r="AL2652">
        <v>0.99</v>
      </c>
      <c r="AM2652">
        <v>0.99</v>
      </c>
      <c r="AN2652">
        <v>0.66</v>
      </c>
      <c r="AO2652" t="s">
        <v>6154</v>
      </c>
      <c r="AP2652" t="s">
        <v>10750</v>
      </c>
      <c r="AQ2652" t="s">
        <v>1449</v>
      </c>
      <c r="AR2652" t="s">
        <v>3257</v>
      </c>
      <c r="AS2652" t="s">
        <v>3118</v>
      </c>
      <c r="AT2652" t="s">
        <v>8109</v>
      </c>
      <c r="AU2652" t="s">
        <v>6123</v>
      </c>
      <c r="AV2652" t="s">
        <v>6977</v>
      </c>
      <c r="AW2652" t="s">
        <v>7972</v>
      </c>
      <c r="AX2652" t="s">
        <v>2759</v>
      </c>
      <c r="AY2652" t="s">
        <v>21016</v>
      </c>
      <c r="AZ2652" t="s">
        <v>2759</v>
      </c>
      <c r="BA2652">
        <v>1.5</v>
      </c>
      <c r="BB2652">
        <v>2771.85</v>
      </c>
      <c r="BC2652">
        <v>0.47</v>
      </c>
      <c r="BD2652">
        <v>16.45</v>
      </c>
      <c r="BE2652">
        <v>16.670000000000002</v>
      </c>
      <c r="BF2652">
        <v>16.5</v>
      </c>
      <c r="BG2652" t="s">
        <v>24827</v>
      </c>
      <c r="BH2652" t="s">
        <v>11700</v>
      </c>
      <c r="BI2652" t="s">
        <v>24828</v>
      </c>
      <c r="BJ2652" t="s">
        <v>101</v>
      </c>
      <c r="BK2652" t="s">
        <v>15949</v>
      </c>
      <c r="BL2652" t="s">
        <v>19330</v>
      </c>
      <c r="BM2652" t="s">
        <v>10141</v>
      </c>
      <c r="BN2652" t="s">
        <v>23454</v>
      </c>
    </row>
    <row r="2653" spans="1:66" x14ac:dyDescent="0.25">
      <c r="A2653" t="str">
        <f>HYPERLINK("https://elite.finviz.com/quote.ashx?t=MTH&amp;ty=c&amp;p=d&amp;b=1", "MTH")</f>
        <v>MTH</v>
      </c>
      <c r="B2653">
        <v>5</v>
      </c>
      <c r="C2653">
        <v>116.22</v>
      </c>
      <c r="D2653">
        <v>38.22</v>
      </c>
      <c r="E2653" t="s">
        <v>24829</v>
      </c>
      <c r="F2653" t="s">
        <v>67</v>
      </c>
      <c r="G2653" t="s">
        <v>813</v>
      </c>
      <c r="H2653" t="s">
        <v>5054</v>
      </c>
      <c r="I2653" t="s">
        <v>70</v>
      </c>
      <c r="J2653" t="s">
        <v>71</v>
      </c>
      <c r="K2653">
        <v>5101.54</v>
      </c>
      <c r="L2653">
        <v>71.69</v>
      </c>
      <c r="M2653" t="s">
        <v>7464</v>
      </c>
      <c r="N2653">
        <v>137922</v>
      </c>
      <c r="O2653">
        <v>8.18</v>
      </c>
      <c r="P2653">
        <v>9.07</v>
      </c>
      <c r="R2653">
        <v>0.82</v>
      </c>
      <c r="S2653">
        <v>0.97</v>
      </c>
      <c r="T2653" t="s">
        <v>4710</v>
      </c>
      <c r="U2653">
        <v>1.67</v>
      </c>
      <c r="V2653" t="s">
        <v>5925</v>
      </c>
      <c r="W2653" t="s">
        <v>24830</v>
      </c>
      <c r="Z2653" t="s">
        <v>6748</v>
      </c>
      <c r="AA2653">
        <v>8.77</v>
      </c>
      <c r="AB2653" t="s">
        <v>4956</v>
      </c>
      <c r="AC2653" t="s">
        <v>8797</v>
      </c>
      <c r="AD2653" t="s">
        <v>2616</v>
      </c>
      <c r="AE2653" t="s">
        <v>1904</v>
      </c>
      <c r="AF2653" t="s">
        <v>1495</v>
      </c>
      <c r="AG2653" t="s">
        <v>3079</v>
      </c>
      <c r="AH2653" t="s">
        <v>11242</v>
      </c>
      <c r="AI2653" t="s">
        <v>3670</v>
      </c>
      <c r="AJ2653" t="s">
        <v>337</v>
      </c>
      <c r="AK2653" t="s">
        <v>24831</v>
      </c>
      <c r="AL2653">
        <v>11.2</v>
      </c>
      <c r="AM2653">
        <v>1.82</v>
      </c>
      <c r="AN2653">
        <v>0.36</v>
      </c>
      <c r="AO2653" t="s">
        <v>24527</v>
      </c>
      <c r="AP2653" t="s">
        <v>302</v>
      </c>
      <c r="AQ2653" t="s">
        <v>4409</v>
      </c>
      <c r="AR2653" t="s">
        <v>5929</v>
      </c>
      <c r="AS2653" t="s">
        <v>2383</v>
      </c>
      <c r="AT2653" t="s">
        <v>9471</v>
      </c>
      <c r="AU2653" t="s">
        <v>2827</v>
      </c>
      <c r="AV2653" t="s">
        <v>1787</v>
      </c>
      <c r="AW2653" t="s">
        <v>20179</v>
      </c>
      <c r="AX2653" t="s">
        <v>3127</v>
      </c>
      <c r="AY2653" t="s">
        <v>24832</v>
      </c>
      <c r="AZ2653" t="s">
        <v>14013</v>
      </c>
      <c r="BA2653">
        <v>1.91</v>
      </c>
      <c r="BB2653">
        <v>1071.08</v>
      </c>
      <c r="BC2653">
        <v>0.45</v>
      </c>
      <c r="BD2653">
        <v>71.39</v>
      </c>
      <c r="BE2653">
        <v>72.260000000000005</v>
      </c>
      <c r="BF2653">
        <v>71.22</v>
      </c>
      <c r="BG2653" t="s">
        <v>24833</v>
      </c>
      <c r="BH2653" t="s">
        <v>3384</v>
      </c>
      <c r="BI2653" t="s">
        <v>24834</v>
      </c>
      <c r="BJ2653" t="s">
        <v>101</v>
      </c>
      <c r="BK2653" t="s">
        <v>5739</v>
      </c>
      <c r="BL2653" t="s">
        <v>2176</v>
      </c>
      <c r="BM2653" t="s">
        <v>24157</v>
      </c>
      <c r="BN2653" t="s">
        <v>23454</v>
      </c>
    </row>
    <row r="2654" spans="1:66" x14ac:dyDescent="0.25">
      <c r="A2654" t="str">
        <f>HYPERLINK("https://elite.finviz.com/quote.ashx?t=LINE&amp;ty=c&amp;p=d&amp;b=1", "LINE")</f>
        <v>LINE</v>
      </c>
      <c r="B2654">
        <v>5</v>
      </c>
      <c r="C2654">
        <v>116.22</v>
      </c>
      <c r="D2654">
        <v>38.24</v>
      </c>
      <c r="E2654" t="s">
        <v>24835</v>
      </c>
      <c r="F2654" t="s">
        <v>107</v>
      </c>
      <c r="G2654" t="s">
        <v>68</v>
      </c>
      <c r="H2654" t="s">
        <v>6342</v>
      </c>
      <c r="I2654" t="s">
        <v>70</v>
      </c>
      <c r="J2654" t="s">
        <v>321</v>
      </c>
      <c r="K2654">
        <v>8749.2199999999993</v>
      </c>
      <c r="L2654">
        <v>38.24</v>
      </c>
      <c r="M2654" t="s">
        <v>3856</v>
      </c>
      <c r="N2654">
        <v>279787</v>
      </c>
      <c r="R2654">
        <v>1.65</v>
      </c>
      <c r="S2654">
        <v>1.01</v>
      </c>
      <c r="T2654" t="s">
        <v>5336</v>
      </c>
      <c r="U2654">
        <v>1.96</v>
      </c>
      <c r="V2654" t="s">
        <v>198</v>
      </c>
      <c r="AA2654">
        <v>-2.59</v>
      </c>
      <c r="AB2654" t="s">
        <v>24836</v>
      </c>
      <c r="AF2654" t="s">
        <v>2463</v>
      </c>
      <c r="AH2654" t="s">
        <v>3493</v>
      </c>
      <c r="AI2654" t="s">
        <v>4577</v>
      </c>
      <c r="AJ2654" t="s">
        <v>4237</v>
      </c>
      <c r="AK2654" t="s">
        <v>16462</v>
      </c>
      <c r="AL2654">
        <v>0.96</v>
      </c>
      <c r="AM2654">
        <v>0.83</v>
      </c>
      <c r="AN2654">
        <v>0.9</v>
      </c>
      <c r="AO2654" t="s">
        <v>1497</v>
      </c>
      <c r="AP2654" t="s">
        <v>5370</v>
      </c>
      <c r="AQ2654" t="s">
        <v>7951</v>
      </c>
      <c r="AR2654" t="s">
        <v>1100</v>
      </c>
      <c r="AS2654" t="s">
        <v>4394</v>
      </c>
      <c r="AT2654" t="s">
        <v>10546</v>
      </c>
      <c r="AU2654" t="s">
        <v>1613</v>
      </c>
      <c r="AV2654" t="s">
        <v>12623</v>
      </c>
      <c r="AW2654" t="s">
        <v>8919</v>
      </c>
      <c r="AX2654" t="s">
        <v>3443</v>
      </c>
      <c r="AY2654" t="s">
        <v>24837</v>
      </c>
      <c r="AZ2654" t="s">
        <v>3443</v>
      </c>
      <c r="BA2654">
        <v>2.68</v>
      </c>
      <c r="BB2654">
        <v>1211.05</v>
      </c>
      <c r="BC2654">
        <v>0.81</v>
      </c>
      <c r="BD2654">
        <v>37.5</v>
      </c>
      <c r="BE2654">
        <v>39.700000000000003</v>
      </c>
      <c r="BF2654">
        <v>37.53</v>
      </c>
      <c r="BG2654" t="s">
        <v>24838</v>
      </c>
      <c r="BH2654" t="s">
        <v>23616</v>
      </c>
      <c r="BI2654" t="s">
        <v>3443</v>
      </c>
      <c r="BJ2654" t="s">
        <v>101</v>
      </c>
      <c r="BK2654" t="s">
        <v>20524</v>
      </c>
      <c r="BL2654" t="s">
        <v>24839</v>
      </c>
      <c r="BM2654" t="s">
        <v>2506</v>
      </c>
      <c r="BN2654" t="s">
        <v>23454</v>
      </c>
    </row>
    <row r="2655" spans="1:66" x14ac:dyDescent="0.25">
      <c r="A2655" t="str">
        <f>HYPERLINK("https://elite.finviz.com/quote.ashx?t=APLE&amp;ty=c&amp;p=d&amp;b=1", "APLE")</f>
        <v>APLE</v>
      </c>
      <c r="B2655">
        <v>5</v>
      </c>
      <c r="C2655">
        <v>116.22</v>
      </c>
      <c r="D2655">
        <v>38.35</v>
      </c>
      <c r="E2655" t="s">
        <v>24840</v>
      </c>
      <c r="F2655" t="s">
        <v>67</v>
      </c>
      <c r="G2655" t="s">
        <v>68</v>
      </c>
      <c r="H2655" t="s">
        <v>4145</v>
      </c>
      <c r="I2655" t="s">
        <v>70</v>
      </c>
      <c r="J2655" t="s">
        <v>71</v>
      </c>
      <c r="K2655">
        <v>2849.8</v>
      </c>
      <c r="L2655">
        <v>12.02</v>
      </c>
      <c r="M2655" t="s">
        <v>497</v>
      </c>
      <c r="N2655">
        <v>566803</v>
      </c>
      <c r="O2655">
        <v>15.9</v>
      </c>
      <c r="P2655">
        <v>16.14</v>
      </c>
      <c r="R2655">
        <v>2</v>
      </c>
      <c r="S2655">
        <v>0.89</v>
      </c>
      <c r="T2655" t="s">
        <v>8727</v>
      </c>
      <c r="U2655">
        <v>0.96</v>
      </c>
      <c r="V2655" t="s">
        <v>198</v>
      </c>
      <c r="W2655" t="s">
        <v>164</v>
      </c>
      <c r="X2655" t="s">
        <v>24841</v>
      </c>
      <c r="Y2655" t="s">
        <v>6976</v>
      </c>
      <c r="Z2655" t="s">
        <v>24842</v>
      </c>
      <c r="AA2655">
        <v>0.76</v>
      </c>
      <c r="AB2655" t="s">
        <v>24843</v>
      </c>
      <c r="AC2655" t="s">
        <v>4873</v>
      </c>
      <c r="AE2655" t="s">
        <v>3208</v>
      </c>
      <c r="AF2655" t="s">
        <v>6230</v>
      </c>
      <c r="AG2655" t="s">
        <v>3635</v>
      </c>
      <c r="AH2655" t="s">
        <v>4763</v>
      </c>
      <c r="AI2655" t="s">
        <v>2609</v>
      </c>
      <c r="AJ2655" t="s">
        <v>4494</v>
      </c>
      <c r="AK2655" t="s">
        <v>24844</v>
      </c>
      <c r="AL2655">
        <v>0.46</v>
      </c>
      <c r="AM2655">
        <v>0.46</v>
      </c>
      <c r="AN2655">
        <v>0.51</v>
      </c>
      <c r="AO2655" t="s">
        <v>10851</v>
      </c>
      <c r="AP2655" t="s">
        <v>9325</v>
      </c>
      <c r="AQ2655" t="s">
        <v>5837</v>
      </c>
      <c r="AR2655" t="s">
        <v>6493</v>
      </c>
      <c r="AS2655" t="s">
        <v>7338</v>
      </c>
      <c r="AT2655" t="s">
        <v>6989</v>
      </c>
      <c r="AU2655" t="s">
        <v>4408</v>
      </c>
      <c r="AV2655" t="s">
        <v>3729</v>
      </c>
      <c r="AW2655" t="s">
        <v>11932</v>
      </c>
      <c r="AX2655" t="s">
        <v>896</v>
      </c>
      <c r="AY2655" t="s">
        <v>7824</v>
      </c>
      <c r="AZ2655" t="s">
        <v>2018</v>
      </c>
      <c r="BA2655">
        <v>2.5</v>
      </c>
      <c r="BB2655">
        <v>2926.66</v>
      </c>
      <c r="BC2655">
        <v>0.68</v>
      </c>
      <c r="BD2655">
        <v>12</v>
      </c>
      <c r="BE2655">
        <v>12.11</v>
      </c>
      <c r="BF2655">
        <v>11.98</v>
      </c>
      <c r="BG2655" t="s">
        <v>24845</v>
      </c>
      <c r="BH2655" t="s">
        <v>17678</v>
      </c>
      <c r="BI2655" t="s">
        <v>24846</v>
      </c>
      <c r="BJ2655" t="s">
        <v>101</v>
      </c>
      <c r="BK2655" t="s">
        <v>192</v>
      </c>
      <c r="BL2655" t="s">
        <v>5703</v>
      </c>
      <c r="BM2655" t="s">
        <v>16092</v>
      </c>
      <c r="BN2655" t="s">
        <v>23454</v>
      </c>
    </row>
    <row r="2656" spans="1:66" x14ac:dyDescent="0.25">
      <c r="A2656" t="str">
        <f>HYPERLINK("https://elite.finviz.com/quote.ashx?t=SABR&amp;ty=c&amp;p=d&amp;b=1", "SABR")</f>
        <v>SABR</v>
      </c>
      <c r="B2656">
        <v>5</v>
      </c>
      <c r="C2656">
        <v>116.22</v>
      </c>
      <c r="D2656">
        <v>38.369999999999997</v>
      </c>
      <c r="E2656" t="s">
        <v>24847</v>
      </c>
      <c r="F2656" t="s">
        <v>67</v>
      </c>
      <c r="G2656" t="s">
        <v>108</v>
      </c>
      <c r="H2656" t="s">
        <v>109</v>
      </c>
      <c r="I2656" t="s">
        <v>70</v>
      </c>
      <c r="J2656" t="s">
        <v>321</v>
      </c>
      <c r="K2656">
        <v>700.26</v>
      </c>
      <c r="L2656">
        <v>1.77</v>
      </c>
      <c r="M2656" t="s">
        <v>193</v>
      </c>
      <c r="N2656">
        <v>802628</v>
      </c>
      <c r="P2656">
        <v>6.86</v>
      </c>
      <c r="R2656">
        <v>0.24</v>
      </c>
      <c r="V2656" t="s">
        <v>14771</v>
      </c>
      <c r="AA2656">
        <v>-0.93</v>
      </c>
      <c r="AB2656" t="s">
        <v>18415</v>
      </c>
      <c r="AE2656" t="s">
        <v>8402</v>
      </c>
      <c r="AF2656" t="s">
        <v>7749</v>
      </c>
      <c r="AG2656" t="s">
        <v>3704</v>
      </c>
      <c r="AH2656" t="s">
        <v>23263</v>
      </c>
      <c r="AI2656" t="s">
        <v>24848</v>
      </c>
      <c r="AJ2656" t="s">
        <v>164</v>
      </c>
      <c r="AK2656" t="s">
        <v>16163</v>
      </c>
      <c r="AL2656">
        <v>1.01</v>
      </c>
      <c r="AM2656">
        <v>1.01</v>
      </c>
      <c r="AO2656" t="s">
        <v>16167</v>
      </c>
      <c r="AP2656" t="s">
        <v>6531</v>
      </c>
      <c r="AQ2656" t="s">
        <v>8792</v>
      </c>
      <c r="AR2656" t="s">
        <v>8818</v>
      </c>
      <c r="AS2656" t="s">
        <v>615</v>
      </c>
      <c r="AT2656" t="s">
        <v>6659</v>
      </c>
      <c r="AU2656" t="s">
        <v>3516</v>
      </c>
      <c r="AV2656" t="s">
        <v>17047</v>
      </c>
      <c r="AW2656" t="s">
        <v>24849</v>
      </c>
      <c r="AX2656" t="s">
        <v>5620</v>
      </c>
      <c r="AY2656" t="s">
        <v>20492</v>
      </c>
      <c r="AZ2656" t="s">
        <v>5620</v>
      </c>
      <c r="BA2656">
        <v>2.4300000000000002</v>
      </c>
      <c r="BB2656">
        <v>7116.76</v>
      </c>
      <c r="BC2656">
        <v>0.4</v>
      </c>
      <c r="BD2656">
        <v>1.77</v>
      </c>
      <c r="BE2656">
        <v>1.8</v>
      </c>
      <c r="BF2656">
        <v>1.76</v>
      </c>
      <c r="BG2656" t="s">
        <v>24850</v>
      </c>
      <c r="BH2656" t="s">
        <v>6173</v>
      </c>
      <c r="BI2656" t="s">
        <v>5620</v>
      </c>
      <c r="BJ2656" t="s">
        <v>101</v>
      </c>
      <c r="BK2656" t="s">
        <v>24851</v>
      </c>
      <c r="BL2656" t="s">
        <v>10318</v>
      </c>
      <c r="BM2656" t="s">
        <v>21961</v>
      </c>
      <c r="BN2656" t="s">
        <v>23454</v>
      </c>
    </row>
    <row r="2657" spans="1:66" x14ac:dyDescent="0.25">
      <c r="A2657" t="str">
        <f>HYPERLINK("https://elite.finviz.com/quote.ashx?t=KBR&amp;ty=c&amp;p=d&amp;b=1", "KBR")</f>
        <v>KBR</v>
      </c>
      <c r="B2657">
        <v>5</v>
      </c>
      <c r="C2657">
        <v>116.22</v>
      </c>
      <c r="D2657">
        <v>38.39</v>
      </c>
      <c r="E2657" t="s">
        <v>24852</v>
      </c>
      <c r="F2657" t="s">
        <v>107</v>
      </c>
      <c r="G2657" t="s">
        <v>260</v>
      </c>
      <c r="H2657" t="s">
        <v>2944</v>
      </c>
      <c r="I2657" t="s">
        <v>70</v>
      </c>
      <c r="J2657" t="s">
        <v>71</v>
      </c>
      <c r="K2657">
        <v>6045.9</v>
      </c>
      <c r="L2657">
        <v>46.92</v>
      </c>
      <c r="M2657" t="s">
        <v>4955</v>
      </c>
      <c r="N2657">
        <v>193181</v>
      </c>
      <c r="O2657">
        <v>16.010000000000002</v>
      </c>
      <c r="P2657">
        <v>11.16</v>
      </c>
      <c r="Q2657">
        <v>1.5</v>
      </c>
      <c r="R2657">
        <v>0.75</v>
      </c>
      <c r="S2657">
        <v>4.07</v>
      </c>
      <c r="T2657" t="s">
        <v>2554</v>
      </c>
      <c r="U2657">
        <v>0.65</v>
      </c>
      <c r="V2657" t="s">
        <v>3833</v>
      </c>
      <c r="W2657" t="s">
        <v>821</v>
      </c>
      <c r="X2657" t="s">
        <v>4067</v>
      </c>
      <c r="Y2657" t="s">
        <v>7298</v>
      </c>
      <c r="Z2657" t="s">
        <v>1990</v>
      </c>
      <c r="AA2657">
        <v>2.93</v>
      </c>
      <c r="AB2657" t="s">
        <v>24853</v>
      </c>
      <c r="AC2657" t="s">
        <v>10254</v>
      </c>
      <c r="AD2657" t="s">
        <v>5193</v>
      </c>
      <c r="AE2657" t="s">
        <v>920</v>
      </c>
      <c r="AF2657" t="s">
        <v>7338</v>
      </c>
      <c r="AG2657" t="s">
        <v>9186</v>
      </c>
      <c r="AH2657" t="s">
        <v>3758</v>
      </c>
      <c r="AI2657" t="s">
        <v>6118</v>
      </c>
      <c r="AJ2657" t="s">
        <v>575</v>
      </c>
      <c r="AK2657" t="s">
        <v>24854</v>
      </c>
      <c r="AL2657">
        <v>1.1299999999999999</v>
      </c>
      <c r="AM2657">
        <v>1.1299999999999999</v>
      </c>
      <c r="AN2657">
        <v>1.9</v>
      </c>
      <c r="AO2657" t="s">
        <v>5901</v>
      </c>
      <c r="AP2657" t="s">
        <v>5151</v>
      </c>
      <c r="AQ2657" t="s">
        <v>9228</v>
      </c>
      <c r="AR2657" t="s">
        <v>2170</v>
      </c>
      <c r="AS2657" t="s">
        <v>3635</v>
      </c>
      <c r="AT2657" t="s">
        <v>2012</v>
      </c>
      <c r="AU2657" t="s">
        <v>5273</v>
      </c>
      <c r="AV2657" t="s">
        <v>11663</v>
      </c>
      <c r="AW2657" t="s">
        <v>3048</v>
      </c>
      <c r="AX2657" t="s">
        <v>3088</v>
      </c>
      <c r="AY2657" t="s">
        <v>14856</v>
      </c>
      <c r="AZ2657" t="s">
        <v>4999</v>
      </c>
      <c r="BA2657">
        <v>1.78</v>
      </c>
      <c r="BB2657">
        <v>1404.66</v>
      </c>
      <c r="BC2657">
        <v>0.48</v>
      </c>
      <c r="BD2657">
        <v>47</v>
      </c>
      <c r="BE2657">
        <v>47.96</v>
      </c>
      <c r="BF2657">
        <v>46.85</v>
      </c>
      <c r="BG2657" t="s">
        <v>24855</v>
      </c>
      <c r="BH2657" t="s">
        <v>14856</v>
      </c>
      <c r="BI2657" t="s">
        <v>24856</v>
      </c>
      <c r="BJ2657" t="s">
        <v>101</v>
      </c>
      <c r="BK2657" t="s">
        <v>11805</v>
      </c>
      <c r="BL2657" t="s">
        <v>11528</v>
      </c>
      <c r="BM2657" t="s">
        <v>21210</v>
      </c>
      <c r="BN2657" t="s">
        <v>23454</v>
      </c>
    </row>
    <row r="2658" spans="1:66" x14ac:dyDescent="0.25">
      <c r="A2658" t="str">
        <f>HYPERLINK("https://elite.finviz.com/quote.ashx?t=VTRS&amp;ty=c&amp;p=d&amp;b=1", "VTRS")</f>
        <v>VTRS</v>
      </c>
      <c r="B2658">
        <v>5</v>
      </c>
      <c r="C2658">
        <v>116.22</v>
      </c>
      <c r="D2658">
        <v>38.42</v>
      </c>
      <c r="E2658" t="s">
        <v>24857</v>
      </c>
      <c r="F2658" t="s">
        <v>195</v>
      </c>
      <c r="G2658" t="s">
        <v>428</v>
      </c>
      <c r="H2658" t="s">
        <v>1296</v>
      </c>
      <c r="I2658" t="s">
        <v>70</v>
      </c>
      <c r="J2658" t="s">
        <v>321</v>
      </c>
      <c r="K2658">
        <v>11104.94</v>
      </c>
      <c r="L2658">
        <v>9.52</v>
      </c>
      <c r="M2658" t="s">
        <v>3000</v>
      </c>
      <c r="N2658">
        <v>1077918</v>
      </c>
      <c r="P2658">
        <v>3.9</v>
      </c>
      <c r="R2658">
        <v>0.79</v>
      </c>
      <c r="S2658">
        <v>0.71</v>
      </c>
      <c r="T2658" t="s">
        <v>2744</v>
      </c>
      <c r="U2658">
        <v>0.48</v>
      </c>
      <c r="V2658" t="s">
        <v>4186</v>
      </c>
      <c r="W2658" t="s">
        <v>164</v>
      </c>
      <c r="X2658" t="s">
        <v>5680</v>
      </c>
      <c r="AA2658">
        <v>-2.91</v>
      </c>
      <c r="AB2658" t="s">
        <v>17310</v>
      </c>
      <c r="AD2658" t="s">
        <v>141</v>
      </c>
      <c r="AE2658" t="s">
        <v>2268</v>
      </c>
      <c r="AF2658" t="s">
        <v>4967</v>
      </c>
      <c r="AG2658" t="s">
        <v>2429</v>
      </c>
      <c r="AH2658" t="s">
        <v>6693</v>
      </c>
      <c r="AI2658" t="s">
        <v>12555</v>
      </c>
      <c r="AJ2658" t="s">
        <v>193</v>
      </c>
      <c r="AK2658" t="s">
        <v>24858</v>
      </c>
      <c r="AL2658">
        <v>1.28</v>
      </c>
      <c r="AM2658">
        <v>0.68</v>
      </c>
      <c r="AN2658">
        <v>0.95</v>
      </c>
      <c r="AO2658" t="s">
        <v>232</v>
      </c>
      <c r="AP2658" t="s">
        <v>6456</v>
      </c>
      <c r="AQ2658" t="s">
        <v>2247</v>
      </c>
      <c r="AR2658" t="s">
        <v>4600</v>
      </c>
      <c r="AS2658" t="s">
        <v>1761</v>
      </c>
      <c r="AT2658" t="s">
        <v>4126</v>
      </c>
      <c r="AU2658" t="s">
        <v>12274</v>
      </c>
      <c r="AV2658" t="s">
        <v>3315</v>
      </c>
      <c r="AW2658" t="s">
        <v>15423</v>
      </c>
      <c r="AX2658" t="s">
        <v>6168</v>
      </c>
      <c r="AY2658" t="s">
        <v>1416</v>
      </c>
      <c r="AZ2658" t="s">
        <v>8834</v>
      </c>
      <c r="BA2658">
        <v>2.82</v>
      </c>
      <c r="BB2658">
        <v>9918.61</v>
      </c>
      <c r="BC2658">
        <v>0.38</v>
      </c>
      <c r="BD2658">
        <v>9.49</v>
      </c>
      <c r="BE2658">
        <v>9.6</v>
      </c>
      <c r="BF2658">
        <v>9.48</v>
      </c>
      <c r="BG2658" t="s">
        <v>24859</v>
      </c>
      <c r="BH2658" t="s">
        <v>24860</v>
      </c>
      <c r="BI2658" t="s">
        <v>24861</v>
      </c>
      <c r="BJ2658" t="s">
        <v>101</v>
      </c>
      <c r="BK2658" t="s">
        <v>7685</v>
      </c>
      <c r="BL2658" t="s">
        <v>7622</v>
      </c>
      <c r="BM2658" t="s">
        <v>16135</v>
      </c>
      <c r="BN2658" t="s">
        <v>23454</v>
      </c>
    </row>
    <row r="2659" spans="1:66" x14ac:dyDescent="0.25">
      <c r="A2659" t="str">
        <f>HYPERLINK("https://elite.finviz.com/quote.ashx?t=HLT&amp;ty=c&amp;p=d&amp;b=1", "HLT")</f>
        <v>HLT</v>
      </c>
      <c r="B2659">
        <v>5</v>
      </c>
      <c r="C2659">
        <v>116.22</v>
      </c>
      <c r="D2659">
        <v>38.47</v>
      </c>
      <c r="E2659" t="s">
        <v>24862</v>
      </c>
      <c r="F2659" t="s">
        <v>195</v>
      </c>
      <c r="G2659" t="s">
        <v>813</v>
      </c>
      <c r="H2659" t="s">
        <v>16375</v>
      </c>
      <c r="I2659" t="s">
        <v>70</v>
      </c>
      <c r="J2659" t="s">
        <v>71</v>
      </c>
      <c r="K2659">
        <v>61536.09</v>
      </c>
      <c r="L2659">
        <v>261.64</v>
      </c>
      <c r="M2659" t="s">
        <v>3358</v>
      </c>
      <c r="N2659">
        <v>377521</v>
      </c>
      <c r="O2659">
        <v>40.19</v>
      </c>
      <c r="P2659">
        <v>28.97</v>
      </c>
      <c r="Q2659">
        <v>2.93</v>
      </c>
      <c r="R2659">
        <v>5.36</v>
      </c>
      <c r="T2659" t="s">
        <v>822</v>
      </c>
      <c r="U2659">
        <v>0.6</v>
      </c>
      <c r="V2659" t="s">
        <v>4882</v>
      </c>
      <c r="W2659" t="s">
        <v>164</v>
      </c>
      <c r="Y2659" t="s">
        <v>164</v>
      </c>
      <c r="Z2659" t="s">
        <v>8650</v>
      </c>
      <c r="AA2659">
        <v>6.51</v>
      </c>
      <c r="AB2659" t="s">
        <v>24863</v>
      </c>
      <c r="AC2659" t="s">
        <v>3042</v>
      </c>
      <c r="AD2659" t="s">
        <v>4621</v>
      </c>
      <c r="AE2659" t="s">
        <v>3506</v>
      </c>
      <c r="AF2659" t="s">
        <v>20502</v>
      </c>
      <c r="AG2659" t="s">
        <v>6121</v>
      </c>
      <c r="AH2659" t="s">
        <v>2386</v>
      </c>
      <c r="AI2659" t="s">
        <v>12465</v>
      </c>
      <c r="AJ2659" t="s">
        <v>2760</v>
      </c>
      <c r="AK2659" t="s">
        <v>24200</v>
      </c>
      <c r="AL2659">
        <v>0.54</v>
      </c>
      <c r="AM2659">
        <v>0.54</v>
      </c>
      <c r="AO2659" t="s">
        <v>3191</v>
      </c>
      <c r="AP2659" t="s">
        <v>4466</v>
      </c>
      <c r="AQ2659" t="s">
        <v>4549</v>
      </c>
      <c r="AR2659" t="s">
        <v>2145</v>
      </c>
      <c r="AS2659" t="s">
        <v>6336</v>
      </c>
      <c r="AT2659" t="s">
        <v>9087</v>
      </c>
      <c r="AU2659" t="s">
        <v>6161</v>
      </c>
      <c r="AV2659" t="s">
        <v>3613</v>
      </c>
      <c r="AW2659" t="s">
        <v>2336</v>
      </c>
      <c r="AX2659" t="s">
        <v>6990</v>
      </c>
      <c r="AY2659" t="s">
        <v>2336</v>
      </c>
      <c r="AZ2659" t="s">
        <v>9441</v>
      </c>
      <c r="BA2659">
        <v>2.37</v>
      </c>
      <c r="BB2659">
        <v>1795.71</v>
      </c>
      <c r="BC2659">
        <v>0.74</v>
      </c>
      <c r="BD2659">
        <v>261.27999999999997</v>
      </c>
      <c r="BE2659">
        <v>264.74</v>
      </c>
      <c r="BF2659">
        <v>261.7</v>
      </c>
      <c r="BG2659" t="s">
        <v>24864</v>
      </c>
      <c r="BH2659" t="s">
        <v>2336</v>
      </c>
      <c r="BI2659" t="s">
        <v>24865</v>
      </c>
      <c r="BJ2659" t="s">
        <v>101</v>
      </c>
      <c r="BK2659" t="s">
        <v>298</v>
      </c>
      <c r="BL2659" t="s">
        <v>2291</v>
      </c>
      <c r="BM2659" t="s">
        <v>11292</v>
      </c>
      <c r="BN2659" t="s">
        <v>23454</v>
      </c>
    </row>
    <row r="2660" spans="1:66" x14ac:dyDescent="0.25">
      <c r="A2660" t="str">
        <f>HYPERLINK("https://elite.finviz.com/quote.ashx?t=FND&amp;ty=c&amp;p=d&amp;b=1", "FND")</f>
        <v>FND</v>
      </c>
      <c r="B2660">
        <v>5</v>
      </c>
      <c r="C2660">
        <v>116.22</v>
      </c>
      <c r="D2660">
        <v>38.5</v>
      </c>
      <c r="E2660" t="s">
        <v>24866</v>
      </c>
      <c r="F2660" t="s">
        <v>107</v>
      </c>
      <c r="G2660" t="s">
        <v>813</v>
      </c>
      <c r="H2660" t="s">
        <v>4265</v>
      </c>
      <c r="I2660" t="s">
        <v>70</v>
      </c>
      <c r="J2660" t="s">
        <v>71</v>
      </c>
      <c r="K2660">
        <v>8307.32</v>
      </c>
      <c r="L2660">
        <v>77.14</v>
      </c>
      <c r="M2660" t="s">
        <v>4266</v>
      </c>
      <c r="N2660">
        <v>203654</v>
      </c>
      <c r="O2660">
        <v>39.58</v>
      </c>
      <c r="P2660">
        <v>35.630000000000003</v>
      </c>
      <c r="Q2660">
        <v>3.51</v>
      </c>
      <c r="R2660">
        <v>1.81</v>
      </c>
      <c r="S2660">
        <v>3.62</v>
      </c>
      <c r="Z2660" t="s">
        <v>164</v>
      </c>
      <c r="AA2660">
        <v>1.95</v>
      </c>
      <c r="AB2660" t="s">
        <v>601</v>
      </c>
      <c r="AC2660" t="s">
        <v>636</v>
      </c>
      <c r="AD2660" t="s">
        <v>12058</v>
      </c>
      <c r="AE2660" t="s">
        <v>2107</v>
      </c>
      <c r="AF2660" t="s">
        <v>8662</v>
      </c>
      <c r="AG2660" t="s">
        <v>2122</v>
      </c>
      <c r="AH2660" t="s">
        <v>1767</v>
      </c>
      <c r="AI2660" t="s">
        <v>4394</v>
      </c>
      <c r="AJ2660" t="s">
        <v>2294</v>
      </c>
      <c r="AK2660" t="s">
        <v>24867</v>
      </c>
      <c r="AL2660">
        <v>1.25</v>
      </c>
      <c r="AM2660">
        <v>0.28000000000000003</v>
      </c>
      <c r="AN2660">
        <v>0.85</v>
      </c>
      <c r="AO2660" t="s">
        <v>11521</v>
      </c>
      <c r="AP2660" t="s">
        <v>6330</v>
      </c>
      <c r="AQ2660" t="s">
        <v>4908</v>
      </c>
      <c r="AR2660" t="s">
        <v>8013</v>
      </c>
      <c r="AS2660" t="s">
        <v>3636</v>
      </c>
      <c r="AT2660" t="s">
        <v>11528</v>
      </c>
      <c r="AU2660" t="s">
        <v>12466</v>
      </c>
      <c r="AV2660" t="s">
        <v>1245</v>
      </c>
      <c r="AW2660" t="s">
        <v>24868</v>
      </c>
      <c r="AX2660" t="s">
        <v>2647</v>
      </c>
      <c r="AY2660" t="s">
        <v>17566</v>
      </c>
      <c r="AZ2660" t="s">
        <v>10519</v>
      </c>
      <c r="BA2660">
        <v>2.72</v>
      </c>
      <c r="BB2660">
        <v>2074.44</v>
      </c>
      <c r="BC2660">
        <v>0.35</v>
      </c>
      <c r="BD2660">
        <v>76.95</v>
      </c>
      <c r="BE2660">
        <v>77.31</v>
      </c>
      <c r="BF2660">
        <v>76.38</v>
      </c>
      <c r="BG2660" t="s">
        <v>24869</v>
      </c>
      <c r="BH2660" t="s">
        <v>7962</v>
      </c>
      <c r="BI2660" t="s">
        <v>24870</v>
      </c>
      <c r="BJ2660" t="s">
        <v>101</v>
      </c>
      <c r="BK2660" t="s">
        <v>4800</v>
      </c>
      <c r="BL2660" t="s">
        <v>1164</v>
      </c>
      <c r="BM2660" t="s">
        <v>24515</v>
      </c>
      <c r="BN2660" t="s">
        <v>23454</v>
      </c>
    </row>
    <row r="2661" spans="1:66" x14ac:dyDescent="0.25">
      <c r="A2661" t="str">
        <f>HYPERLINK("https://elite.finviz.com/quote.ashx?t=MCW&amp;ty=c&amp;p=d&amp;b=1", "MCW")</f>
        <v>MCW</v>
      </c>
      <c r="B2661">
        <v>5</v>
      </c>
      <c r="C2661">
        <v>116.22</v>
      </c>
      <c r="D2661">
        <v>38.5</v>
      </c>
      <c r="E2661" t="s">
        <v>24871</v>
      </c>
      <c r="F2661" t="s">
        <v>67</v>
      </c>
      <c r="G2661" t="s">
        <v>813</v>
      </c>
      <c r="H2661" t="s">
        <v>5888</v>
      </c>
      <c r="I2661" t="s">
        <v>70</v>
      </c>
      <c r="J2661" t="s">
        <v>321</v>
      </c>
      <c r="K2661">
        <v>1745.69</v>
      </c>
      <c r="L2661">
        <v>5.33</v>
      </c>
      <c r="M2661" t="s">
        <v>4539</v>
      </c>
      <c r="N2661">
        <v>283689</v>
      </c>
      <c r="O2661">
        <v>20.27</v>
      </c>
      <c r="P2661">
        <v>11.35</v>
      </c>
      <c r="Q2661">
        <v>1.5</v>
      </c>
      <c r="R2661">
        <v>1.7</v>
      </c>
      <c r="S2661">
        <v>1.63</v>
      </c>
      <c r="Z2661" t="s">
        <v>164</v>
      </c>
      <c r="AA2661">
        <v>0.26</v>
      </c>
      <c r="AC2661" t="s">
        <v>24872</v>
      </c>
      <c r="AD2661" t="s">
        <v>9614</v>
      </c>
      <c r="AE2661" t="s">
        <v>1159</v>
      </c>
      <c r="AF2661" t="s">
        <v>369</v>
      </c>
      <c r="AG2661" t="s">
        <v>2605</v>
      </c>
      <c r="AH2661" t="s">
        <v>5164</v>
      </c>
      <c r="AI2661" t="s">
        <v>11333</v>
      </c>
      <c r="AJ2661" t="s">
        <v>2717</v>
      </c>
      <c r="AK2661" t="s">
        <v>6385</v>
      </c>
      <c r="AL2661">
        <v>0.33</v>
      </c>
      <c r="AM2661">
        <v>0.27</v>
      </c>
      <c r="AN2661">
        <v>1.67</v>
      </c>
      <c r="AO2661" t="s">
        <v>24873</v>
      </c>
      <c r="AP2661" t="s">
        <v>4876</v>
      </c>
      <c r="AQ2661" t="s">
        <v>1927</v>
      </c>
      <c r="AR2661" t="s">
        <v>1776</v>
      </c>
      <c r="AS2661" t="s">
        <v>4976</v>
      </c>
      <c r="AT2661" t="s">
        <v>10819</v>
      </c>
      <c r="AU2661" t="s">
        <v>15221</v>
      </c>
      <c r="AV2661" t="s">
        <v>23636</v>
      </c>
      <c r="AW2661" t="s">
        <v>7046</v>
      </c>
      <c r="AX2661" t="s">
        <v>2554</v>
      </c>
      <c r="AY2661" t="s">
        <v>6542</v>
      </c>
      <c r="AZ2661" t="s">
        <v>2554</v>
      </c>
      <c r="BA2661">
        <v>1.84</v>
      </c>
      <c r="BB2661">
        <v>1767.52</v>
      </c>
      <c r="BC2661">
        <v>0.56999999999999995</v>
      </c>
      <c r="BD2661">
        <v>5.33</v>
      </c>
      <c r="BE2661">
        <v>5.39</v>
      </c>
      <c r="BF2661">
        <v>5.3</v>
      </c>
      <c r="BG2661" t="s">
        <v>24874</v>
      </c>
      <c r="BH2661" t="s">
        <v>24875</v>
      </c>
      <c r="BI2661" t="s">
        <v>6408</v>
      </c>
      <c r="BJ2661" t="s">
        <v>101</v>
      </c>
      <c r="BK2661" t="s">
        <v>11529</v>
      </c>
      <c r="BL2661" t="s">
        <v>24876</v>
      </c>
      <c r="BM2661" t="s">
        <v>6144</v>
      </c>
      <c r="BN2661" t="s">
        <v>23454</v>
      </c>
    </row>
    <row r="2662" spans="1:66" x14ac:dyDescent="0.25">
      <c r="A2662" t="str">
        <f>HYPERLINK("https://elite.finviz.com/quote.ashx?t=FLUT&amp;ty=c&amp;p=d&amp;b=1", "FLUT")</f>
        <v>FLUT</v>
      </c>
      <c r="B2662">
        <v>5</v>
      </c>
      <c r="C2662">
        <v>116.22</v>
      </c>
      <c r="D2662">
        <v>38.51</v>
      </c>
      <c r="E2662" t="s">
        <v>24877</v>
      </c>
      <c r="F2662" t="s">
        <v>107</v>
      </c>
      <c r="G2662" t="s">
        <v>813</v>
      </c>
      <c r="H2662" t="s">
        <v>10266</v>
      </c>
      <c r="I2662" t="s">
        <v>70</v>
      </c>
      <c r="J2662" t="s">
        <v>71</v>
      </c>
      <c r="K2662">
        <v>49112.81</v>
      </c>
      <c r="L2662">
        <v>278.89</v>
      </c>
      <c r="M2662" t="s">
        <v>3752</v>
      </c>
      <c r="N2662">
        <v>231539</v>
      </c>
      <c r="O2662">
        <v>137.37</v>
      </c>
      <c r="P2662">
        <v>23.95</v>
      </c>
      <c r="Q2662">
        <v>4.6500000000000004</v>
      </c>
      <c r="R2662">
        <v>3.3</v>
      </c>
      <c r="S2662">
        <v>4.82</v>
      </c>
      <c r="Z2662" t="s">
        <v>164</v>
      </c>
      <c r="AA2662">
        <v>2.0299999999999998</v>
      </c>
      <c r="AC2662" t="s">
        <v>14710</v>
      </c>
      <c r="AD2662" t="s">
        <v>375</v>
      </c>
      <c r="AF2662" t="s">
        <v>3470</v>
      </c>
      <c r="AG2662" t="s">
        <v>266</v>
      </c>
      <c r="AH2662" t="s">
        <v>11239</v>
      </c>
      <c r="AI2662" t="s">
        <v>20096</v>
      </c>
      <c r="AJ2662" t="s">
        <v>4149</v>
      </c>
      <c r="AK2662" t="s">
        <v>24878</v>
      </c>
      <c r="AL2662">
        <v>0.95</v>
      </c>
      <c r="AM2662">
        <v>0.95</v>
      </c>
      <c r="AN2662">
        <v>1.03</v>
      </c>
      <c r="AO2662" t="s">
        <v>18758</v>
      </c>
      <c r="AP2662" t="s">
        <v>2492</v>
      </c>
      <c r="AQ2662" t="s">
        <v>4547</v>
      </c>
      <c r="AR2662" t="s">
        <v>5071</v>
      </c>
      <c r="AS2662" t="s">
        <v>5968</v>
      </c>
      <c r="AT2662" t="s">
        <v>3485</v>
      </c>
      <c r="AU2662" t="s">
        <v>1052</v>
      </c>
      <c r="AV2662" t="s">
        <v>1749</v>
      </c>
      <c r="AW2662" t="s">
        <v>15281</v>
      </c>
      <c r="AX2662" t="s">
        <v>102</v>
      </c>
      <c r="AY2662" t="s">
        <v>15281</v>
      </c>
      <c r="AZ2662" t="s">
        <v>5916</v>
      </c>
      <c r="BA2662">
        <v>1.39</v>
      </c>
      <c r="BB2662">
        <v>2184.64</v>
      </c>
      <c r="BC2662">
        <v>0.37</v>
      </c>
      <c r="BD2662">
        <v>279.02</v>
      </c>
      <c r="BE2662">
        <v>282.64</v>
      </c>
      <c r="BF2662">
        <v>278.47000000000003</v>
      </c>
      <c r="BG2662" t="s">
        <v>24879</v>
      </c>
      <c r="BH2662" t="s">
        <v>15281</v>
      </c>
      <c r="BI2662" t="s">
        <v>24880</v>
      </c>
      <c r="BJ2662" t="s">
        <v>101</v>
      </c>
      <c r="BK2662" t="s">
        <v>4539</v>
      </c>
      <c r="BL2662" t="s">
        <v>2601</v>
      </c>
      <c r="BM2662" t="s">
        <v>5614</v>
      </c>
      <c r="BN2662" t="s">
        <v>23454</v>
      </c>
    </row>
    <row r="2663" spans="1:66" x14ac:dyDescent="0.25">
      <c r="A2663" t="str">
        <f>HYPERLINK("https://elite.finviz.com/quote.ashx?t=IOVA&amp;ty=c&amp;p=d&amp;b=1", "IOVA")</f>
        <v>IOVA</v>
      </c>
      <c r="B2663">
        <v>5</v>
      </c>
      <c r="C2663">
        <v>116.22</v>
      </c>
      <c r="D2663">
        <v>38.57</v>
      </c>
      <c r="E2663" t="s">
        <v>24881</v>
      </c>
      <c r="F2663" t="s">
        <v>67</v>
      </c>
      <c r="G2663" t="s">
        <v>428</v>
      </c>
      <c r="H2663" t="s">
        <v>429</v>
      </c>
      <c r="I2663" t="s">
        <v>70</v>
      </c>
      <c r="J2663" t="s">
        <v>321</v>
      </c>
      <c r="K2663">
        <v>729.13</v>
      </c>
      <c r="L2663">
        <v>2.02</v>
      </c>
      <c r="M2663" t="s">
        <v>4538</v>
      </c>
      <c r="N2663">
        <v>2323988</v>
      </c>
      <c r="R2663">
        <v>3.02</v>
      </c>
      <c r="S2663">
        <v>0.99</v>
      </c>
      <c r="AA2663">
        <v>-1.23</v>
      </c>
      <c r="AB2663" t="s">
        <v>10760</v>
      </c>
      <c r="AC2663" t="s">
        <v>2841</v>
      </c>
      <c r="AD2663" t="s">
        <v>7083</v>
      </c>
      <c r="AE2663" t="s">
        <v>24882</v>
      </c>
      <c r="AH2663" t="s">
        <v>22798</v>
      </c>
      <c r="AI2663" t="s">
        <v>23520</v>
      </c>
      <c r="AJ2663" t="s">
        <v>1324</v>
      </c>
      <c r="AK2663" t="s">
        <v>9016</v>
      </c>
      <c r="AL2663">
        <v>3.27</v>
      </c>
      <c r="AM2663">
        <v>2.89</v>
      </c>
      <c r="AN2663">
        <v>0.08</v>
      </c>
      <c r="AO2663" t="s">
        <v>7361</v>
      </c>
      <c r="AP2663" t="s">
        <v>24883</v>
      </c>
      <c r="AQ2663" t="s">
        <v>24884</v>
      </c>
      <c r="AR2663" t="s">
        <v>4686</v>
      </c>
      <c r="AS2663" t="s">
        <v>3777</v>
      </c>
      <c r="AT2663" t="s">
        <v>7190</v>
      </c>
      <c r="AU2663" t="s">
        <v>16748</v>
      </c>
      <c r="AV2663" t="s">
        <v>24885</v>
      </c>
      <c r="AW2663" t="s">
        <v>24886</v>
      </c>
      <c r="AX2663" t="s">
        <v>8460</v>
      </c>
      <c r="AY2663" t="s">
        <v>24887</v>
      </c>
      <c r="AZ2663" t="s">
        <v>2692</v>
      </c>
      <c r="BA2663">
        <v>2.08</v>
      </c>
      <c r="BB2663">
        <v>16481.599999999999</v>
      </c>
      <c r="BC2663">
        <v>0.5</v>
      </c>
      <c r="BD2663">
        <v>2.02</v>
      </c>
      <c r="BE2663">
        <v>2.0499999999999998</v>
      </c>
      <c r="BF2663">
        <v>1.98</v>
      </c>
      <c r="BG2663" t="s">
        <v>24888</v>
      </c>
      <c r="BH2663" t="s">
        <v>17713</v>
      </c>
      <c r="BI2663" t="s">
        <v>13893</v>
      </c>
      <c r="BJ2663" t="s">
        <v>101</v>
      </c>
      <c r="BK2663" t="s">
        <v>14659</v>
      </c>
      <c r="BL2663" t="s">
        <v>24889</v>
      </c>
      <c r="BM2663" t="s">
        <v>21569</v>
      </c>
      <c r="BN2663" t="s">
        <v>23454</v>
      </c>
    </row>
    <row r="2664" spans="1:66" x14ac:dyDescent="0.25">
      <c r="A2664" t="str">
        <f>HYPERLINK("https://elite.finviz.com/quote.ashx?t=PFE&amp;ty=c&amp;p=d&amp;b=1", "PFE")</f>
        <v>PFE</v>
      </c>
      <c r="B2664">
        <v>5</v>
      </c>
      <c r="C2664">
        <v>116.22</v>
      </c>
      <c r="D2664">
        <v>38.61</v>
      </c>
      <c r="E2664" t="s">
        <v>24890</v>
      </c>
      <c r="F2664" t="s">
        <v>195</v>
      </c>
      <c r="G2664" t="s">
        <v>428</v>
      </c>
      <c r="H2664" t="s">
        <v>4701</v>
      </c>
      <c r="I2664" t="s">
        <v>70</v>
      </c>
      <c r="J2664" t="s">
        <v>71</v>
      </c>
      <c r="K2664">
        <v>134587.21</v>
      </c>
      <c r="L2664">
        <v>23.67</v>
      </c>
      <c r="M2664" t="s">
        <v>2641</v>
      </c>
      <c r="N2664">
        <v>9027590</v>
      </c>
      <c r="O2664">
        <v>12.59</v>
      </c>
      <c r="P2664">
        <v>7.51</v>
      </c>
      <c r="Q2664">
        <v>209.87</v>
      </c>
      <c r="R2664">
        <v>2.11</v>
      </c>
      <c r="S2664">
        <v>1.52</v>
      </c>
      <c r="T2664" t="s">
        <v>3432</v>
      </c>
      <c r="U2664">
        <v>1.71</v>
      </c>
      <c r="V2664" t="s">
        <v>12255</v>
      </c>
      <c r="W2664" t="s">
        <v>3208</v>
      </c>
      <c r="X2664" t="s">
        <v>2333</v>
      </c>
      <c r="Y2664" t="s">
        <v>2383</v>
      </c>
      <c r="Z2664" t="s">
        <v>24843</v>
      </c>
      <c r="AA2664">
        <v>1.88</v>
      </c>
      <c r="AB2664" t="s">
        <v>20979</v>
      </c>
      <c r="AC2664" t="s">
        <v>8333</v>
      </c>
      <c r="AD2664" t="s">
        <v>4507</v>
      </c>
      <c r="AE2664" t="s">
        <v>5082</v>
      </c>
      <c r="AF2664" t="s">
        <v>12610</v>
      </c>
      <c r="AG2664" t="s">
        <v>9623</v>
      </c>
      <c r="AH2664" t="s">
        <v>5914</v>
      </c>
      <c r="AI2664" t="s">
        <v>21262</v>
      </c>
      <c r="AJ2664" t="s">
        <v>164</v>
      </c>
      <c r="AK2664" t="s">
        <v>24891</v>
      </c>
      <c r="AL2664">
        <v>1.1599999999999999</v>
      </c>
      <c r="AM2664">
        <v>0.85</v>
      </c>
      <c r="AN2664">
        <v>0.7</v>
      </c>
      <c r="AO2664" t="s">
        <v>5412</v>
      </c>
      <c r="AP2664" t="s">
        <v>14714</v>
      </c>
      <c r="AQ2664" t="s">
        <v>6569</v>
      </c>
      <c r="AR2664" t="s">
        <v>909</v>
      </c>
      <c r="AS2664" t="s">
        <v>7338</v>
      </c>
      <c r="AT2664" t="s">
        <v>1272</v>
      </c>
      <c r="AU2664" t="s">
        <v>4927</v>
      </c>
      <c r="AV2664" t="s">
        <v>6499</v>
      </c>
      <c r="AW2664" t="s">
        <v>7049</v>
      </c>
      <c r="AX2664" t="s">
        <v>2582</v>
      </c>
      <c r="AY2664" t="s">
        <v>5616</v>
      </c>
      <c r="AZ2664" t="s">
        <v>604</v>
      </c>
      <c r="BA2664">
        <v>2.48</v>
      </c>
      <c r="BB2664">
        <v>43348.75</v>
      </c>
      <c r="BC2664">
        <v>0.73</v>
      </c>
      <c r="BD2664">
        <v>23.6</v>
      </c>
      <c r="BE2664">
        <v>23.81</v>
      </c>
      <c r="BF2664">
        <v>23.61</v>
      </c>
      <c r="BG2664" t="s">
        <v>24892</v>
      </c>
      <c r="BH2664" t="s">
        <v>16070</v>
      </c>
      <c r="BI2664" t="s">
        <v>24893</v>
      </c>
      <c r="BJ2664" t="s">
        <v>101</v>
      </c>
      <c r="BK2664" t="s">
        <v>9500</v>
      </c>
      <c r="BL2664" t="s">
        <v>4417</v>
      </c>
      <c r="BM2664" t="s">
        <v>15099</v>
      </c>
      <c r="BN2664" t="s">
        <v>23454</v>
      </c>
    </row>
    <row r="2665" spans="1:66" x14ac:dyDescent="0.25">
      <c r="A2665" t="str">
        <f>HYPERLINK("https://elite.finviz.com/quote.ashx?t=ADMA&amp;ty=c&amp;p=d&amp;b=1", "ADMA")</f>
        <v>ADMA</v>
      </c>
      <c r="B2665">
        <v>5</v>
      </c>
      <c r="C2665">
        <v>116.22</v>
      </c>
      <c r="D2665">
        <v>38.65</v>
      </c>
      <c r="E2665" t="s">
        <v>24894</v>
      </c>
      <c r="F2665" t="s">
        <v>67</v>
      </c>
      <c r="G2665" t="s">
        <v>428</v>
      </c>
      <c r="H2665" t="s">
        <v>429</v>
      </c>
      <c r="I2665" t="s">
        <v>70</v>
      </c>
      <c r="J2665" t="s">
        <v>321</v>
      </c>
      <c r="K2665">
        <v>3692.81</v>
      </c>
      <c r="L2665">
        <v>15.48</v>
      </c>
      <c r="M2665" t="s">
        <v>4689</v>
      </c>
      <c r="N2665">
        <v>330037</v>
      </c>
      <c r="O2665">
        <v>18.22</v>
      </c>
      <c r="P2665">
        <v>17.45</v>
      </c>
      <c r="Q2665">
        <v>0.59</v>
      </c>
      <c r="R2665">
        <v>7.79</v>
      </c>
      <c r="S2665">
        <v>9.3000000000000007</v>
      </c>
      <c r="Z2665" t="s">
        <v>164</v>
      </c>
      <c r="AA2665">
        <v>0.85</v>
      </c>
      <c r="AD2665" t="s">
        <v>24895</v>
      </c>
      <c r="AE2665" t="s">
        <v>17374</v>
      </c>
      <c r="AF2665" t="s">
        <v>24896</v>
      </c>
      <c r="AG2665" t="s">
        <v>8355</v>
      </c>
      <c r="AH2665" t="s">
        <v>981</v>
      </c>
      <c r="AI2665" t="s">
        <v>7622</v>
      </c>
      <c r="AJ2665" t="s">
        <v>10896</v>
      </c>
      <c r="AK2665" t="s">
        <v>4233</v>
      </c>
      <c r="AL2665">
        <v>5.33</v>
      </c>
      <c r="AM2665">
        <v>2.78</v>
      </c>
      <c r="AN2665">
        <v>0.21</v>
      </c>
      <c r="AO2665" t="s">
        <v>4854</v>
      </c>
      <c r="AP2665" t="s">
        <v>946</v>
      </c>
      <c r="AQ2665" t="s">
        <v>10910</v>
      </c>
      <c r="AR2665" t="s">
        <v>7154</v>
      </c>
      <c r="AS2665" t="s">
        <v>6770</v>
      </c>
      <c r="AT2665" t="s">
        <v>6080</v>
      </c>
      <c r="AU2665" t="s">
        <v>17325</v>
      </c>
      <c r="AV2665" t="s">
        <v>11612</v>
      </c>
      <c r="AW2665" t="s">
        <v>7339</v>
      </c>
      <c r="AX2665" t="s">
        <v>4133</v>
      </c>
      <c r="AY2665" t="s">
        <v>18274</v>
      </c>
      <c r="AZ2665" t="s">
        <v>4523</v>
      </c>
      <c r="BA2665">
        <v>1.5</v>
      </c>
      <c r="BB2665">
        <v>3134.64</v>
      </c>
      <c r="BC2665">
        <v>0.37</v>
      </c>
      <c r="BD2665">
        <v>15.32</v>
      </c>
      <c r="BE2665">
        <v>15.56</v>
      </c>
      <c r="BF2665">
        <v>15.39</v>
      </c>
      <c r="BG2665" t="s">
        <v>24897</v>
      </c>
      <c r="BH2665" t="s">
        <v>18274</v>
      </c>
      <c r="BI2665" t="s">
        <v>24898</v>
      </c>
      <c r="BJ2665" t="s">
        <v>101</v>
      </c>
      <c r="BK2665" t="s">
        <v>4405</v>
      </c>
      <c r="BL2665" t="s">
        <v>23541</v>
      </c>
      <c r="BM2665" t="s">
        <v>4389</v>
      </c>
      <c r="BN2665" t="s">
        <v>23454</v>
      </c>
    </row>
    <row r="2666" spans="1:66" x14ac:dyDescent="0.25">
      <c r="A2666" t="str">
        <f>HYPERLINK("https://elite.finviz.com/quote.ashx?t=ST&amp;ty=c&amp;p=d&amp;b=1", "ST")</f>
        <v>ST</v>
      </c>
      <c r="B2666">
        <v>5</v>
      </c>
      <c r="C2666">
        <v>116.22</v>
      </c>
      <c r="D2666">
        <v>38.74</v>
      </c>
      <c r="E2666" t="s">
        <v>24899</v>
      </c>
      <c r="F2666" t="s">
        <v>107</v>
      </c>
      <c r="G2666" t="s">
        <v>108</v>
      </c>
      <c r="H2666" t="s">
        <v>9222</v>
      </c>
      <c r="I2666" t="s">
        <v>70</v>
      </c>
      <c r="J2666" t="s">
        <v>71</v>
      </c>
      <c r="K2666">
        <v>4361.8900000000003</v>
      </c>
      <c r="L2666">
        <v>29.95</v>
      </c>
      <c r="M2666" t="s">
        <v>1764</v>
      </c>
      <c r="N2666">
        <v>155950</v>
      </c>
      <c r="O2666">
        <v>39.6</v>
      </c>
      <c r="P2666">
        <v>8.31</v>
      </c>
      <c r="Q2666">
        <v>8.9</v>
      </c>
      <c r="R2666">
        <v>1.1599999999999999</v>
      </c>
      <c r="S2666">
        <v>1.51</v>
      </c>
      <c r="T2666" t="s">
        <v>2186</v>
      </c>
      <c r="U2666">
        <v>0.48</v>
      </c>
      <c r="V2666" t="s">
        <v>8649</v>
      </c>
      <c r="W2666" t="s">
        <v>212</v>
      </c>
      <c r="Z2666" t="s">
        <v>16768</v>
      </c>
      <c r="AA2666">
        <v>0.76</v>
      </c>
      <c r="AB2666" t="s">
        <v>24900</v>
      </c>
      <c r="AC2666" t="s">
        <v>19697</v>
      </c>
      <c r="AD2666" t="s">
        <v>3480</v>
      </c>
      <c r="AE2666" t="s">
        <v>3300</v>
      </c>
      <c r="AF2666" t="s">
        <v>2644</v>
      </c>
      <c r="AG2666" t="s">
        <v>465</v>
      </c>
      <c r="AH2666" t="s">
        <v>4007</v>
      </c>
      <c r="AI2666" t="s">
        <v>3244</v>
      </c>
      <c r="AJ2666" t="s">
        <v>2423</v>
      </c>
      <c r="AK2666" t="s">
        <v>19055</v>
      </c>
      <c r="AL2666">
        <v>2.71</v>
      </c>
      <c r="AM2666">
        <v>1.94</v>
      </c>
      <c r="AN2666">
        <v>1.1100000000000001</v>
      </c>
      <c r="AO2666" t="s">
        <v>18279</v>
      </c>
      <c r="AP2666" t="s">
        <v>8594</v>
      </c>
      <c r="AQ2666" t="s">
        <v>2383</v>
      </c>
      <c r="AR2666" t="s">
        <v>3173</v>
      </c>
      <c r="AS2666" t="s">
        <v>205</v>
      </c>
      <c r="AT2666" t="s">
        <v>4404</v>
      </c>
      <c r="AU2666" t="s">
        <v>3321</v>
      </c>
      <c r="AV2666" t="s">
        <v>6584</v>
      </c>
      <c r="AW2666" t="s">
        <v>4784</v>
      </c>
      <c r="AX2666" t="s">
        <v>7154</v>
      </c>
      <c r="AY2666" t="s">
        <v>12547</v>
      </c>
      <c r="AZ2666" t="s">
        <v>24901</v>
      </c>
      <c r="BA2666">
        <v>2.44</v>
      </c>
      <c r="BB2666">
        <v>1545.11</v>
      </c>
      <c r="BC2666">
        <v>0.36</v>
      </c>
      <c r="BD2666">
        <v>29.73</v>
      </c>
      <c r="BE2666">
        <v>30.01</v>
      </c>
      <c r="BF2666">
        <v>29.7</v>
      </c>
      <c r="BG2666" t="s">
        <v>24902</v>
      </c>
      <c r="BH2666" t="s">
        <v>9504</v>
      </c>
      <c r="BI2666" t="s">
        <v>17946</v>
      </c>
      <c r="BJ2666" t="s">
        <v>101</v>
      </c>
      <c r="BK2666" t="s">
        <v>3598</v>
      </c>
      <c r="BL2666" t="s">
        <v>8848</v>
      </c>
      <c r="BM2666" t="s">
        <v>18646</v>
      </c>
      <c r="BN2666" t="s">
        <v>23454</v>
      </c>
    </row>
    <row r="2667" spans="1:66" x14ac:dyDescent="0.25">
      <c r="A2667" t="str">
        <f>HYPERLINK("https://elite.finviz.com/quote.ashx?t=ASBP&amp;ty=c&amp;p=d&amp;b=1", "ASBP")</f>
        <v>ASBP</v>
      </c>
      <c r="B2667">
        <v>5</v>
      </c>
      <c r="C2667">
        <v>116.22</v>
      </c>
      <c r="D2667">
        <v>38.75</v>
      </c>
      <c r="E2667" t="s">
        <v>24903</v>
      </c>
      <c r="F2667" t="s">
        <v>107</v>
      </c>
      <c r="G2667" t="s">
        <v>428</v>
      </c>
      <c r="H2667" t="s">
        <v>429</v>
      </c>
      <c r="I2667" t="s">
        <v>70</v>
      </c>
      <c r="J2667" t="s">
        <v>321</v>
      </c>
      <c r="K2667">
        <v>18.72</v>
      </c>
      <c r="L2667">
        <v>0.38</v>
      </c>
      <c r="M2667" t="s">
        <v>164</v>
      </c>
      <c r="N2667">
        <v>189889</v>
      </c>
      <c r="AA2667">
        <v>-1.68</v>
      </c>
      <c r="AJ2667" t="s">
        <v>164</v>
      </c>
      <c r="AK2667" t="s">
        <v>4299</v>
      </c>
      <c r="AL2667">
        <v>0.09</v>
      </c>
      <c r="AM2667">
        <v>0.09</v>
      </c>
      <c r="AR2667" t="s">
        <v>5212</v>
      </c>
      <c r="AS2667" t="s">
        <v>7407</v>
      </c>
      <c r="AT2667" t="s">
        <v>23650</v>
      </c>
      <c r="AU2667" t="s">
        <v>5980</v>
      </c>
      <c r="AV2667" t="s">
        <v>24904</v>
      </c>
      <c r="AW2667" t="s">
        <v>768</v>
      </c>
      <c r="AX2667" t="s">
        <v>5792</v>
      </c>
      <c r="AY2667" t="s">
        <v>17207</v>
      </c>
      <c r="AZ2667" t="s">
        <v>9781</v>
      </c>
      <c r="BB2667">
        <v>11606.64</v>
      </c>
      <c r="BC2667">
        <v>0.06</v>
      </c>
      <c r="BD2667">
        <v>0.38</v>
      </c>
      <c r="BE2667">
        <v>0.39</v>
      </c>
      <c r="BF2667">
        <v>0.37</v>
      </c>
      <c r="BG2667" t="s">
        <v>24905</v>
      </c>
      <c r="BH2667" t="s">
        <v>17207</v>
      </c>
      <c r="BI2667" t="s">
        <v>9781</v>
      </c>
      <c r="BJ2667" t="s">
        <v>101</v>
      </c>
      <c r="BK2667" t="s">
        <v>5500</v>
      </c>
      <c r="BL2667" t="s">
        <v>24906</v>
      </c>
      <c r="BM2667" t="s">
        <v>24907</v>
      </c>
      <c r="BN2667" t="s">
        <v>23454</v>
      </c>
    </row>
    <row r="2668" spans="1:66" x14ac:dyDescent="0.25">
      <c r="A2668" t="str">
        <f>HYPERLINK("https://elite.finviz.com/quote.ashx?t=MOVE&amp;ty=c&amp;p=d&amp;b=1", "MOVE")</f>
        <v>MOVE</v>
      </c>
      <c r="B2668">
        <v>5</v>
      </c>
      <c r="C2668">
        <v>116.22</v>
      </c>
      <c r="D2668">
        <v>38.75</v>
      </c>
      <c r="E2668" t="s">
        <v>24908</v>
      </c>
      <c r="F2668" t="s">
        <v>107</v>
      </c>
      <c r="G2668" t="s">
        <v>428</v>
      </c>
      <c r="H2668" t="s">
        <v>2051</v>
      </c>
      <c r="I2668" t="s">
        <v>70</v>
      </c>
      <c r="J2668" t="s">
        <v>321</v>
      </c>
      <c r="K2668">
        <v>4.53</v>
      </c>
      <c r="L2668">
        <v>0.54</v>
      </c>
      <c r="M2668" t="s">
        <v>969</v>
      </c>
      <c r="N2668">
        <v>204881</v>
      </c>
      <c r="R2668">
        <v>9.6300000000000008</v>
      </c>
      <c r="S2668">
        <v>2.75</v>
      </c>
      <c r="AA2668">
        <v>-2.87</v>
      </c>
      <c r="AB2668" t="s">
        <v>3819</v>
      </c>
      <c r="AC2668" t="s">
        <v>2794</v>
      </c>
      <c r="AE2668" t="s">
        <v>22341</v>
      </c>
      <c r="AI2668" t="s">
        <v>7138</v>
      </c>
      <c r="AJ2668" t="s">
        <v>164</v>
      </c>
      <c r="AK2668" t="s">
        <v>9681</v>
      </c>
      <c r="AL2668">
        <v>1.35</v>
      </c>
      <c r="AM2668">
        <v>0.66</v>
      </c>
      <c r="AN2668">
        <v>0.14000000000000001</v>
      </c>
      <c r="AO2668" t="s">
        <v>24909</v>
      </c>
      <c r="AP2668" t="s">
        <v>24910</v>
      </c>
      <c r="AQ2668" t="s">
        <v>24911</v>
      </c>
      <c r="AR2668" t="s">
        <v>1388</v>
      </c>
      <c r="AS2668" t="s">
        <v>10558</v>
      </c>
      <c r="AT2668" t="s">
        <v>15899</v>
      </c>
      <c r="AU2668" t="s">
        <v>19271</v>
      </c>
      <c r="AV2668" t="s">
        <v>24912</v>
      </c>
      <c r="AW2668" t="s">
        <v>24913</v>
      </c>
      <c r="AX2668" t="s">
        <v>9651</v>
      </c>
      <c r="AY2668" t="s">
        <v>24914</v>
      </c>
      <c r="AZ2668" t="s">
        <v>7090</v>
      </c>
      <c r="BA2668">
        <v>1</v>
      </c>
      <c r="BB2668">
        <v>2705.29</v>
      </c>
      <c r="BC2668">
        <v>0.27</v>
      </c>
      <c r="BD2668">
        <v>0.54</v>
      </c>
      <c r="BE2668">
        <v>0.57999999999999996</v>
      </c>
      <c r="BF2668">
        <v>0.54</v>
      </c>
      <c r="BG2668" t="s">
        <v>24915</v>
      </c>
      <c r="BH2668" t="s">
        <v>22979</v>
      </c>
      <c r="BI2668" t="s">
        <v>7090</v>
      </c>
      <c r="BJ2668" t="s">
        <v>101</v>
      </c>
      <c r="BK2668" t="s">
        <v>24916</v>
      </c>
      <c r="BL2668" t="s">
        <v>24917</v>
      </c>
      <c r="BM2668" t="s">
        <v>24918</v>
      </c>
      <c r="BN2668" t="s">
        <v>23454</v>
      </c>
    </row>
    <row r="2669" spans="1:66" x14ac:dyDescent="0.25">
      <c r="A2669" t="str">
        <f>HYPERLINK("https://elite.finviz.com/quote.ashx?t=RXO&amp;ty=c&amp;p=d&amp;b=1", "RXO")</f>
        <v>RXO</v>
      </c>
      <c r="B2669">
        <v>5</v>
      </c>
      <c r="C2669">
        <v>116.22</v>
      </c>
      <c r="D2669">
        <v>38.78</v>
      </c>
      <c r="E2669" t="s">
        <v>24919</v>
      </c>
      <c r="F2669" t="s">
        <v>67</v>
      </c>
      <c r="G2669" t="s">
        <v>260</v>
      </c>
      <c r="H2669" t="s">
        <v>6190</v>
      </c>
      <c r="I2669" t="s">
        <v>70</v>
      </c>
      <c r="J2669" t="s">
        <v>71</v>
      </c>
      <c r="K2669">
        <v>2430.29</v>
      </c>
      <c r="L2669">
        <v>14.82</v>
      </c>
      <c r="M2669" t="s">
        <v>580</v>
      </c>
      <c r="N2669">
        <v>178764</v>
      </c>
      <c r="P2669">
        <v>36.619999999999997</v>
      </c>
      <c r="R2669">
        <v>0.44</v>
      </c>
      <c r="S2669">
        <v>1.53</v>
      </c>
      <c r="AA2669">
        <v>-2.17</v>
      </c>
      <c r="AD2669" t="s">
        <v>18187</v>
      </c>
      <c r="AE2669" t="s">
        <v>5171</v>
      </c>
      <c r="AF2669" t="s">
        <v>3999</v>
      </c>
      <c r="AG2669" t="s">
        <v>2698</v>
      </c>
      <c r="AH2669" t="s">
        <v>23038</v>
      </c>
      <c r="AI2669" t="s">
        <v>24920</v>
      </c>
      <c r="AJ2669" t="s">
        <v>4801</v>
      </c>
      <c r="AK2669" t="s">
        <v>12381</v>
      </c>
      <c r="AL2669">
        <v>1.35</v>
      </c>
      <c r="AM2669">
        <v>1.35</v>
      </c>
      <c r="AN2669">
        <v>0.43</v>
      </c>
      <c r="AO2669" t="s">
        <v>8063</v>
      </c>
      <c r="AP2669" t="s">
        <v>3226</v>
      </c>
      <c r="AQ2669" t="s">
        <v>9738</v>
      </c>
      <c r="AR2669" t="s">
        <v>3506</v>
      </c>
      <c r="AS2669" t="s">
        <v>2809</v>
      </c>
      <c r="AT2669" t="s">
        <v>1861</v>
      </c>
      <c r="AU2669" t="s">
        <v>5506</v>
      </c>
      <c r="AV2669" t="s">
        <v>12330</v>
      </c>
      <c r="AW2669" t="s">
        <v>3796</v>
      </c>
      <c r="AX2669" t="s">
        <v>3127</v>
      </c>
      <c r="AY2669" t="s">
        <v>2916</v>
      </c>
      <c r="AZ2669" t="s">
        <v>6451</v>
      </c>
      <c r="BA2669">
        <v>2.95</v>
      </c>
      <c r="BB2669">
        <v>2032.22</v>
      </c>
      <c r="BC2669">
        <v>0.31</v>
      </c>
      <c r="BD2669">
        <v>14.81</v>
      </c>
      <c r="BE2669">
        <v>15.07</v>
      </c>
      <c r="BF2669">
        <v>14.75</v>
      </c>
      <c r="BG2669" t="s">
        <v>24921</v>
      </c>
      <c r="BH2669" t="s">
        <v>24922</v>
      </c>
      <c r="BI2669" t="s">
        <v>6451</v>
      </c>
      <c r="BJ2669" t="s">
        <v>101</v>
      </c>
      <c r="BK2669" t="s">
        <v>5880</v>
      </c>
      <c r="BL2669" t="s">
        <v>10986</v>
      </c>
      <c r="BM2669" t="s">
        <v>24923</v>
      </c>
      <c r="BN2669" t="s">
        <v>23454</v>
      </c>
    </row>
    <row r="2670" spans="1:66" x14ac:dyDescent="0.25">
      <c r="A2670" t="str">
        <f>HYPERLINK("https://elite.finviz.com/quote.ashx?t=SLS&amp;ty=c&amp;p=d&amp;b=1", "SLS")</f>
        <v>SLS</v>
      </c>
      <c r="B2670">
        <v>5</v>
      </c>
      <c r="C2670">
        <v>116.22</v>
      </c>
      <c r="D2670">
        <v>38.81</v>
      </c>
      <c r="E2670" t="s">
        <v>24924</v>
      </c>
      <c r="F2670" t="s">
        <v>67</v>
      </c>
      <c r="G2670" t="s">
        <v>428</v>
      </c>
      <c r="H2670" t="s">
        <v>429</v>
      </c>
      <c r="I2670" t="s">
        <v>70</v>
      </c>
      <c r="J2670" t="s">
        <v>321</v>
      </c>
      <c r="K2670">
        <v>166.9</v>
      </c>
      <c r="L2670">
        <v>1.59</v>
      </c>
      <c r="M2670" t="s">
        <v>5895</v>
      </c>
      <c r="N2670">
        <v>576804</v>
      </c>
      <c r="S2670">
        <v>6.08</v>
      </c>
      <c r="V2670" t="s">
        <v>24925</v>
      </c>
      <c r="AA2670">
        <v>-0.33</v>
      </c>
      <c r="AB2670" t="s">
        <v>1663</v>
      </c>
      <c r="AC2670" t="s">
        <v>6052</v>
      </c>
      <c r="AD2670" t="s">
        <v>3538</v>
      </c>
      <c r="AI2670" t="s">
        <v>776</v>
      </c>
      <c r="AJ2670" t="s">
        <v>1761</v>
      </c>
      <c r="AK2670" t="s">
        <v>1715</v>
      </c>
      <c r="AL2670">
        <v>4.91</v>
      </c>
      <c r="AM2670">
        <v>4.91</v>
      </c>
      <c r="AN2670">
        <v>0.03</v>
      </c>
      <c r="AR2670" t="s">
        <v>4907</v>
      </c>
      <c r="AS2670" t="s">
        <v>3115</v>
      </c>
      <c r="AT2670" t="s">
        <v>501</v>
      </c>
      <c r="AU2670" t="s">
        <v>19863</v>
      </c>
      <c r="AV2670" t="s">
        <v>1927</v>
      </c>
      <c r="AW2670" t="s">
        <v>24926</v>
      </c>
      <c r="AX2670" t="s">
        <v>7118</v>
      </c>
      <c r="AY2670" t="s">
        <v>24927</v>
      </c>
      <c r="AZ2670" t="s">
        <v>21634</v>
      </c>
      <c r="BA2670">
        <v>1</v>
      </c>
      <c r="BB2670">
        <v>2566.1999999999998</v>
      </c>
      <c r="BC2670">
        <v>0.79</v>
      </c>
      <c r="BD2670">
        <v>1.61</v>
      </c>
      <c r="BE2670">
        <v>1.62</v>
      </c>
      <c r="BF2670">
        <v>1.57</v>
      </c>
      <c r="BG2670" t="s">
        <v>24928</v>
      </c>
      <c r="BH2670" t="s">
        <v>579</v>
      </c>
      <c r="BI2670" t="s">
        <v>24929</v>
      </c>
      <c r="BJ2670" t="s">
        <v>101</v>
      </c>
      <c r="BK2670" t="s">
        <v>1527</v>
      </c>
      <c r="BL2670" t="s">
        <v>18281</v>
      </c>
      <c r="BM2670" t="s">
        <v>14099</v>
      </c>
      <c r="BN2670" t="s">
        <v>23454</v>
      </c>
    </row>
    <row r="2671" spans="1:66" x14ac:dyDescent="0.25">
      <c r="A2671" t="str">
        <f>HYPERLINK("https://elite.finviz.com/quote.ashx?t=BRBR&amp;ty=c&amp;p=d&amp;b=1", "BRBR")</f>
        <v>BRBR</v>
      </c>
      <c r="B2671">
        <v>5</v>
      </c>
      <c r="C2671">
        <v>116.22</v>
      </c>
      <c r="D2671">
        <v>38.83</v>
      </c>
      <c r="E2671" t="s">
        <v>24930</v>
      </c>
      <c r="F2671" t="s">
        <v>107</v>
      </c>
      <c r="G2671" t="s">
        <v>2244</v>
      </c>
      <c r="H2671" t="s">
        <v>3269</v>
      </c>
      <c r="I2671" t="s">
        <v>70</v>
      </c>
      <c r="J2671" t="s">
        <v>71</v>
      </c>
      <c r="K2671">
        <v>4583.13</v>
      </c>
      <c r="L2671">
        <v>36.380000000000003</v>
      </c>
      <c r="M2671" t="s">
        <v>4203</v>
      </c>
      <c r="N2671">
        <v>283418</v>
      </c>
      <c r="O2671">
        <v>20.8</v>
      </c>
      <c r="P2671">
        <v>15.53</v>
      </c>
      <c r="Q2671">
        <v>1.73</v>
      </c>
      <c r="R2671">
        <v>2.06</v>
      </c>
      <c r="Z2671" t="s">
        <v>164</v>
      </c>
      <c r="AA2671">
        <v>1.75</v>
      </c>
      <c r="AB2671" t="s">
        <v>2238</v>
      </c>
      <c r="AC2671" t="s">
        <v>8343</v>
      </c>
      <c r="AD2671" t="s">
        <v>2911</v>
      </c>
      <c r="AE2671" t="s">
        <v>16206</v>
      </c>
      <c r="AF2671" t="s">
        <v>10252</v>
      </c>
      <c r="AG2671" t="s">
        <v>13792</v>
      </c>
      <c r="AH2671" t="s">
        <v>216</v>
      </c>
      <c r="AI2671" t="s">
        <v>1676</v>
      </c>
      <c r="AJ2671" t="s">
        <v>4436</v>
      </c>
      <c r="AK2671" t="s">
        <v>2800</v>
      </c>
      <c r="AL2671">
        <v>2.5499999999999998</v>
      </c>
      <c r="AM2671">
        <v>1.1200000000000001</v>
      </c>
      <c r="AO2671" t="s">
        <v>2568</v>
      </c>
      <c r="AP2671" t="s">
        <v>6316</v>
      </c>
      <c r="AQ2671" t="s">
        <v>4835</v>
      </c>
      <c r="AR2671" t="s">
        <v>2146</v>
      </c>
      <c r="AS2671" t="s">
        <v>165</v>
      </c>
      <c r="AT2671" t="s">
        <v>759</v>
      </c>
      <c r="AU2671" t="s">
        <v>2110</v>
      </c>
      <c r="AV2671" t="s">
        <v>17945</v>
      </c>
      <c r="AW2671" t="s">
        <v>22078</v>
      </c>
      <c r="AX2671" t="s">
        <v>1955</v>
      </c>
      <c r="AY2671" t="s">
        <v>24931</v>
      </c>
      <c r="AZ2671" t="s">
        <v>1955</v>
      </c>
      <c r="BA2671">
        <v>1.31</v>
      </c>
      <c r="BB2671">
        <v>3446.98</v>
      </c>
      <c r="BC2671">
        <v>0.28999999999999998</v>
      </c>
      <c r="BD2671">
        <v>36.64</v>
      </c>
      <c r="BE2671">
        <v>36.85</v>
      </c>
      <c r="BF2671">
        <v>36.26</v>
      </c>
      <c r="BG2671" t="s">
        <v>24932</v>
      </c>
      <c r="BH2671" t="s">
        <v>24931</v>
      </c>
      <c r="BI2671" t="s">
        <v>24106</v>
      </c>
      <c r="BJ2671" t="s">
        <v>101</v>
      </c>
      <c r="BK2671" t="s">
        <v>7034</v>
      </c>
      <c r="BL2671" t="s">
        <v>8170</v>
      </c>
      <c r="BM2671" t="s">
        <v>7194</v>
      </c>
      <c r="BN2671" t="s">
        <v>23454</v>
      </c>
    </row>
    <row r="2672" spans="1:66" x14ac:dyDescent="0.25">
      <c r="A2672" t="str">
        <f>HYPERLINK("https://elite.finviz.com/quote.ashx?t=SUIG&amp;ty=c&amp;p=d&amp;b=1", "SUIG")</f>
        <v>SUIG</v>
      </c>
      <c r="B2672">
        <v>5</v>
      </c>
      <c r="C2672">
        <v>116.22</v>
      </c>
      <c r="D2672">
        <v>38.880000000000003</v>
      </c>
      <c r="E2672" t="s">
        <v>24933</v>
      </c>
      <c r="F2672" t="s">
        <v>107</v>
      </c>
      <c r="G2672" t="s">
        <v>550</v>
      </c>
      <c r="H2672" t="s">
        <v>3744</v>
      </c>
      <c r="I2672" t="s">
        <v>70</v>
      </c>
      <c r="J2672" t="s">
        <v>321</v>
      </c>
      <c r="K2672">
        <v>318.73</v>
      </c>
      <c r="L2672">
        <v>3.88</v>
      </c>
      <c r="M2672" t="s">
        <v>182</v>
      </c>
      <c r="N2672">
        <v>379594</v>
      </c>
      <c r="O2672">
        <v>16.190000000000001</v>
      </c>
      <c r="R2672">
        <v>146.88</v>
      </c>
      <c r="S2672">
        <v>1.1599999999999999</v>
      </c>
      <c r="Z2672" t="s">
        <v>164</v>
      </c>
      <c r="AA2672">
        <v>0.24</v>
      </c>
      <c r="AB2672" t="s">
        <v>22168</v>
      </c>
      <c r="AE2672" t="s">
        <v>24934</v>
      </c>
      <c r="AF2672" t="s">
        <v>3646</v>
      </c>
      <c r="AG2672" t="s">
        <v>8670</v>
      </c>
      <c r="AH2672" t="s">
        <v>23204</v>
      </c>
      <c r="AJ2672" t="s">
        <v>629</v>
      </c>
      <c r="AK2672" t="s">
        <v>6156</v>
      </c>
      <c r="AL2672">
        <v>45.2</v>
      </c>
      <c r="AM2672">
        <v>45.2</v>
      </c>
      <c r="AN2672">
        <v>0</v>
      </c>
      <c r="AP2672" t="s">
        <v>24935</v>
      </c>
      <c r="AQ2672" t="s">
        <v>19016</v>
      </c>
      <c r="AR2672" t="s">
        <v>1822</v>
      </c>
      <c r="AS2672" t="s">
        <v>7216</v>
      </c>
      <c r="AT2672" t="s">
        <v>1107</v>
      </c>
      <c r="AU2672" t="s">
        <v>19955</v>
      </c>
      <c r="AV2672" t="s">
        <v>14022</v>
      </c>
      <c r="AW2672" t="s">
        <v>24936</v>
      </c>
      <c r="AX2672" t="s">
        <v>24937</v>
      </c>
      <c r="AY2672" t="s">
        <v>24936</v>
      </c>
      <c r="AZ2672" t="s">
        <v>24938</v>
      </c>
      <c r="BA2672">
        <v>1</v>
      </c>
      <c r="BB2672">
        <v>3258.78</v>
      </c>
      <c r="BC2672">
        <v>0.41</v>
      </c>
      <c r="BD2672">
        <v>3.87</v>
      </c>
      <c r="BE2672">
        <v>3.94</v>
      </c>
      <c r="BF2672">
        <v>3.8</v>
      </c>
      <c r="BG2672" t="s">
        <v>24939</v>
      </c>
      <c r="BH2672" t="s">
        <v>24940</v>
      </c>
      <c r="BI2672" t="s">
        <v>24941</v>
      </c>
      <c r="BJ2672" t="s">
        <v>101</v>
      </c>
      <c r="BK2672" t="s">
        <v>24942</v>
      </c>
      <c r="BL2672" t="s">
        <v>19849</v>
      </c>
      <c r="BM2672" t="s">
        <v>24920</v>
      </c>
      <c r="BN2672" t="s">
        <v>23454</v>
      </c>
    </row>
    <row r="2673" spans="1:66" x14ac:dyDescent="0.25">
      <c r="A2673" t="str">
        <f>HYPERLINK("https://elite.finviz.com/quote.ashx?t=AVTR&amp;ty=c&amp;p=d&amp;b=1", "AVTR")</f>
        <v>AVTR</v>
      </c>
      <c r="B2673">
        <v>5</v>
      </c>
      <c r="C2673">
        <v>116.22</v>
      </c>
      <c r="D2673">
        <v>38.880000000000003</v>
      </c>
      <c r="E2673" t="s">
        <v>24943</v>
      </c>
      <c r="F2673" t="s">
        <v>107</v>
      </c>
      <c r="G2673" t="s">
        <v>428</v>
      </c>
      <c r="H2673" t="s">
        <v>2161</v>
      </c>
      <c r="I2673" t="s">
        <v>70</v>
      </c>
      <c r="J2673" t="s">
        <v>71</v>
      </c>
      <c r="K2673">
        <v>8061.56</v>
      </c>
      <c r="L2673">
        <v>11.82</v>
      </c>
      <c r="M2673" t="s">
        <v>3226</v>
      </c>
      <c r="N2673">
        <v>1360001</v>
      </c>
      <c r="O2673">
        <v>11.74</v>
      </c>
      <c r="P2673">
        <v>11.62</v>
      </c>
      <c r="Q2673">
        <v>2.58</v>
      </c>
      <c r="R2673">
        <v>1.21</v>
      </c>
      <c r="S2673">
        <v>1.28</v>
      </c>
      <c r="Z2673" t="s">
        <v>164</v>
      </c>
      <c r="AA2673">
        <v>1.01</v>
      </c>
      <c r="AB2673" t="s">
        <v>3432</v>
      </c>
      <c r="AD2673" t="s">
        <v>4104</v>
      </c>
      <c r="AE2673" t="s">
        <v>5809</v>
      </c>
      <c r="AF2673" t="s">
        <v>4646</v>
      </c>
      <c r="AG2673" t="s">
        <v>342</v>
      </c>
      <c r="AH2673" t="s">
        <v>5789</v>
      </c>
      <c r="AI2673" t="s">
        <v>5574</v>
      </c>
      <c r="AJ2673" t="s">
        <v>5380</v>
      </c>
      <c r="AK2673" t="s">
        <v>24944</v>
      </c>
      <c r="AL2673">
        <v>0.98</v>
      </c>
      <c r="AM2673">
        <v>0.67</v>
      </c>
      <c r="AN2673">
        <v>0.67</v>
      </c>
      <c r="AO2673" t="s">
        <v>8083</v>
      </c>
      <c r="AP2673" t="s">
        <v>6876</v>
      </c>
      <c r="AQ2673" t="s">
        <v>5914</v>
      </c>
      <c r="AR2673" t="s">
        <v>307</v>
      </c>
      <c r="AS2673" t="s">
        <v>4499</v>
      </c>
      <c r="AT2673" t="s">
        <v>137</v>
      </c>
      <c r="AU2673" t="s">
        <v>5134</v>
      </c>
      <c r="AV2673" t="s">
        <v>2552</v>
      </c>
      <c r="AW2673" t="s">
        <v>665</v>
      </c>
      <c r="AX2673" t="s">
        <v>268</v>
      </c>
      <c r="AY2673" t="s">
        <v>6181</v>
      </c>
      <c r="AZ2673" t="s">
        <v>268</v>
      </c>
      <c r="BA2673">
        <v>2.2599999999999998</v>
      </c>
      <c r="BB2673">
        <v>12136.32</v>
      </c>
      <c r="BC2673">
        <v>0.39</v>
      </c>
      <c r="BD2673">
        <v>11.78</v>
      </c>
      <c r="BE2673">
        <v>11.96</v>
      </c>
      <c r="BF2673">
        <v>11.76</v>
      </c>
      <c r="BG2673" t="s">
        <v>24945</v>
      </c>
      <c r="BH2673" t="s">
        <v>24946</v>
      </c>
      <c r="BI2673" t="s">
        <v>5523</v>
      </c>
      <c r="BJ2673" t="s">
        <v>101</v>
      </c>
      <c r="BK2673" t="s">
        <v>11786</v>
      </c>
      <c r="BL2673" t="s">
        <v>1176</v>
      </c>
      <c r="BM2673" t="s">
        <v>5234</v>
      </c>
      <c r="BN2673" t="s">
        <v>23454</v>
      </c>
    </row>
    <row r="2674" spans="1:66" x14ac:dyDescent="0.25">
      <c r="A2674" t="str">
        <f>HYPERLINK("https://elite.finviz.com/quote.ashx?t=AMZN&amp;ty=c&amp;p=d&amp;b=1", "AMZN")</f>
        <v>AMZN</v>
      </c>
      <c r="B2674">
        <v>5</v>
      </c>
      <c r="C2674">
        <v>116.22</v>
      </c>
      <c r="D2674">
        <v>38.880000000000003</v>
      </c>
      <c r="E2674" t="s">
        <v>24947</v>
      </c>
      <c r="F2674" t="s">
        <v>13356</v>
      </c>
      <c r="G2674" t="s">
        <v>813</v>
      </c>
      <c r="H2674" t="s">
        <v>4388</v>
      </c>
      <c r="I2674" t="s">
        <v>70</v>
      </c>
      <c r="J2674" t="s">
        <v>321</v>
      </c>
      <c r="K2674">
        <v>2338068.63</v>
      </c>
      <c r="L2674">
        <v>219.23</v>
      </c>
      <c r="M2674" t="s">
        <v>3336</v>
      </c>
      <c r="N2674">
        <v>15568994</v>
      </c>
      <c r="O2674">
        <v>33.46</v>
      </c>
      <c r="P2674">
        <v>28.88</v>
      </c>
      <c r="Q2674">
        <v>1.8</v>
      </c>
      <c r="R2674">
        <v>3.49</v>
      </c>
      <c r="S2674">
        <v>7</v>
      </c>
      <c r="Z2674" t="s">
        <v>164</v>
      </c>
      <c r="AA2674">
        <v>6.55</v>
      </c>
      <c r="AB2674" t="s">
        <v>17111</v>
      </c>
      <c r="AC2674" t="s">
        <v>839</v>
      </c>
      <c r="AD2674" t="s">
        <v>13661</v>
      </c>
      <c r="AE2674" t="s">
        <v>7777</v>
      </c>
      <c r="AF2674" t="s">
        <v>6532</v>
      </c>
      <c r="AG2674" t="s">
        <v>7055</v>
      </c>
      <c r="AH2674" t="s">
        <v>485</v>
      </c>
      <c r="AI2674" t="s">
        <v>1928</v>
      </c>
      <c r="AJ2674" t="s">
        <v>7272</v>
      </c>
      <c r="AK2674" t="s">
        <v>17398</v>
      </c>
      <c r="AL2674">
        <v>1.02</v>
      </c>
      <c r="AM2674">
        <v>0.81</v>
      </c>
      <c r="AN2674">
        <v>0.46</v>
      </c>
      <c r="AO2674" t="s">
        <v>13696</v>
      </c>
      <c r="AP2674" t="s">
        <v>8051</v>
      </c>
      <c r="AQ2674" t="s">
        <v>2376</v>
      </c>
      <c r="AR2674" t="s">
        <v>5660</v>
      </c>
      <c r="AS2674" t="s">
        <v>3118</v>
      </c>
      <c r="AT2674" t="s">
        <v>10747</v>
      </c>
      <c r="AU2674" t="s">
        <v>4927</v>
      </c>
      <c r="AV2674" t="s">
        <v>3671</v>
      </c>
      <c r="AW2674" t="s">
        <v>5932</v>
      </c>
      <c r="AX2674" t="s">
        <v>1453</v>
      </c>
      <c r="AY2674" t="s">
        <v>17437</v>
      </c>
      <c r="AZ2674" t="s">
        <v>20262</v>
      </c>
      <c r="BA2674">
        <v>1.24</v>
      </c>
      <c r="BB2674">
        <v>43642.57</v>
      </c>
      <c r="BC2674">
        <v>1.26</v>
      </c>
      <c r="BD2674">
        <v>218.15</v>
      </c>
      <c r="BE2674">
        <v>221.03</v>
      </c>
      <c r="BF2674">
        <v>218.02</v>
      </c>
      <c r="BG2674" t="s">
        <v>24948</v>
      </c>
      <c r="BH2674" t="s">
        <v>17437</v>
      </c>
      <c r="BI2674" t="s">
        <v>24949</v>
      </c>
      <c r="BJ2674" t="s">
        <v>101</v>
      </c>
      <c r="BK2674" t="s">
        <v>8053</v>
      </c>
      <c r="BL2674" t="s">
        <v>10542</v>
      </c>
      <c r="BM2674" t="s">
        <v>6278</v>
      </c>
      <c r="BN2674" t="s">
        <v>23454</v>
      </c>
    </row>
    <row r="2675" spans="1:66" x14ac:dyDescent="0.25">
      <c r="A2675" t="str">
        <f>HYPERLINK("https://elite.finviz.com/quote.ashx?t=HAS&amp;ty=c&amp;p=d&amp;b=1", "HAS")</f>
        <v>HAS</v>
      </c>
      <c r="B2675">
        <v>5</v>
      </c>
      <c r="C2675">
        <v>116.22</v>
      </c>
      <c r="D2675">
        <v>38.909999999999997</v>
      </c>
      <c r="E2675" t="s">
        <v>24950</v>
      </c>
      <c r="F2675" t="s">
        <v>195</v>
      </c>
      <c r="G2675" t="s">
        <v>813</v>
      </c>
      <c r="H2675" t="s">
        <v>5941</v>
      </c>
      <c r="I2675" t="s">
        <v>70</v>
      </c>
      <c r="J2675" t="s">
        <v>321</v>
      </c>
      <c r="K2675">
        <v>10448.73</v>
      </c>
      <c r="L2675">
        <v>74.510000000000005</v>
      </c>
      <c r="M2675" t="s">
        <v>171</v>
      </c>
      <c r="N2675">
        <v>182267</v>
      </c>
      <c r="P2675">
        <v>14.34</v>
      </c>
      <c r="R2675">
        <v>2.46</v>
      </c>
      <c r="S2675">
        <v>43.33</v>
      </c>
      <c r="T2675" t="s">
        <v>749</v>
      </c>
      <c r="U2675">
        <v>2.8</v>
      </c>
      <c r="V2675" t="s">
        <v>5737</v>
      </c>
      <c r="W2675" t="s">
        <v>1427</v>
      </c>
      <c r="X2675" t="s">
        <v>9537</v>
      </c>
      <c r="Y2675" t="s">
        <v>10194</v>
      </c>
      <c r="Z2675" t="s">
        <v>20953</v>
      </c>
      <c r="AA2675">
        <v>-4.0599999999999996</v>
      </c>
      <c r="AB2675" t="s">
        <v>6739</v>
      </c>
      <c r="AC2675" t="s">
        <v>10518</v>
      </c>
      <c r="AD2675" t="s">
        <v>4903</v>
      </c>
      <c r="AE2675" t="s">
        <v>9019</v>
      </c>
      <c r="AF2675" t="s">
        <v>10983</v>
      </c>
      <c r="AG2675" t="s">
        <v>7193</v>
      </c>
      <c r="AH2675" t="s">
        <v>7243</v>
      </c>
      <c r="AI2675" t="s">
        <v>24951</v>
      </c>
      <c r="AJ2675" t="s">
        <v>2426</v>
      </c>
      <c r="AK2675" t="s">
        <v>5201</v>
      </c>
      <c r="AL2675">
        <v>1.66</v>
      </c>
      <c r="AM2675">
        <v>1.32</v>
      </c>
      <c r="AN2675">
        <v>13.89</v>
      </c>
      <c r="AO2675" t="s">
        <v>5313</v>
      </c>
      <c r="AP2675" t="s">
        <v>8433</v>
      </c>
      <c r="AQ2675" t="s">
        <v>4115</v>
      </c>
      <c r="AR2675" t="s">
        <v>6336</v>
      </c>
      <c r="AS2675" t="s">
        <v>2307</v>
      </c>
      <c r="AT2675" t="s">
        <v>2136</v>
      </c>
      <c r="AU2675" t="s">
        <v>8109</v>
      </c>
      <c r="AV2675" t="s">
        <v>4068</v>
      </c>
      <c r="AW2675" t="s">
        <v>7049</v>
      </c>
      <c r="AX2675" t="s">
        <v>206</v>
      </c>
      <c r="AY2675" t="s">
        <v>7049</v>
      </c>
      <c r="AZ2675" t="s">
        <v>3709</v>
      </c>
      <c r="BA2675">
        <v>1.44</v>
      </c>
      <c r="BB2675">
        <v>2038.77</v>
      </c>
      <c r="BC2675">
        <v>0.31</v>
      </c>
      <c r="BD2675">
        <v>74.56</v>
      </c>
      <c r="BE2675">
        <v>75.59</v>
      </c>
      <c r="BF2675">
        <v>74.38</v>
      </c>
      <c r="BG2675" t="s">
        <v>24952</v>
      </c>
      <c r="BH2675" t="s">
        <v>24953</v>
      </c>
      <c r="BI2675" t="s">
        <v>24954</v>
      </c>
      <c r="BJ2675" t="s">
        <v>101</v>
      </c>
      <c r="BK2675" t="s">
        <v>2609</v>
      </c>
      <c r="BL2675" t="s">
        <v>5443</v>
      </c>
      <c r="BM2675" t="s">
        <v>6726</v>
      </c>
      <c r="BN2675" t="s">
        <v>23454</v>
      </c>
    </row>
    <row r="2676" spans="1:66" x14ac:dyDescent="0.25">
      <c r="A2676" t="str">
        <f>HYPERLINK("https://elite.finviz.com/quote.ashx?t=KKR&amp;ty=c&amp;p=d&amp;b=1", "KKR")</f>
        <v>KKR</v>
      </c>
      <c r="B2676">
        <v>5</v>
      </c>
      <c r="C2676">
        <v>116.22</v>
      </c>
      <c r="D2676">
        <v>38.909999999999997</v>
      </c>
      <c r="E2676" t="s">
        <v>24955</v>
      </c>
      <c r="F2676" t="s">
        <v>195</v>
      </c>
      <c r="G2676" t="s">
        <v>550</v>
      </c>
      <c r="H2676" t="s">
        <v>2597</v>
      </c>
      <c r="I2676" t="s">
        <v>70</v>
      </c>
      <c r="J2676" t="s">
        <v>71</v>
      </c>
      <c r="K2676">
        <v>120456.27</v>
      </c>
      <c r="L2676">
        <v>135.19999999999999</v>
      </c>
      <c r="M2676" t="s">
        <v>9925</v>
      </c>
      <c r="N2676">
        <v>895390</v>
      </c>
      <c r="O2676">
        <v>64.84</v>
      </c>
      <c r="P2676">
        <v>20.07</v>
      </c>
      <c r="Q2676">
        <v>3.26</v>
      </c>
      <c r="R2676">
        <v>6.75</v>
      </c>
      <c r="S2676">
        <v>4.6900000000000004</v>
      </c>
      <c r="T2676" t="s">
        <v>6842</v>
      </c>
      <c r="U2676">
        <v>0.72</v>
      </c>
      <c r="V2676" t="s">
        <v>893</v>
      </c>
      <c r="W2676" t="s">
        <v>4686</v>
      </c>
      <c r="X2676" t="s">
        <v>3429</v>
      </c>
      <c r="Y2676" t="s">
        <v>6330</v>
      </c>
      <c r="Z2676" t="s">
        <v>729</v>
      </c>
      <c r="AA2676">
        <v>2.09</v>
      </c>
      <c r="AB2676" t="s">
        <v>23834</v>
      </c>
      <c r="AC2676" t="s">
        <v>6257</v>
      </c>
      <c r="AD2676" t="s">
        <v>7789</v>
      </c>
      <c r="AE2676" t="s">
        <v>24956</v>
      </c>
      <c r="AF2676" t="s">
        <v>2823</v>
      </c>
      <c r="AG2676" t="s">
        <v>9402</v>
      </c>
      <c r="AH2676" t="s">
        <v>8736</v>
      </c>
      <c r="AI2676" t="s">
        <v>1088</v>
      </c>
      <c r="AJ2676" t="s">
        <v>7704</v>
      </c>
      <c r="AK2676" t="s">
        <v>14507</v>
      </c>
      <c r="AL2676">
        <v>6.04</v>
      </c>
      <c r="AM2676">
        <v>6.04</v>
      </c>
      <c r="AN2676">
        <v>1.87</v>
      </c>
      <c r="AO2676" t="s">
        <v>6252</v>
      </c>
      <c r="AP2676" t="s">
        <v>8611</v>
      </c>
      <c r="AQ2676" t="s">
        <v>6293</v>
      </c>
      <c r="AR2676" t="s">
        <v>2494</v>
      </c>
      <c r="AS2676" t="s">
        <v>5425</v>
      </c>
      <c r="AT2676" t="s">
        <v>818</v>
      </c>
      <c r="AU2676" t="s">
        <v>5628</v>
      </c>
      <c r="AV2676" t="s">
        <v>581</v>
      </c>
      <c r="AW2676" t="s">
        <v>13083</v>
      </c>
      <c r="AX2676" t="s">
        <v>2082</v>
      </c>
      <c r="AY2676" t="s">
        <v>15968</v>
      </c>
      <c r="AZ2676" t="s">
        <v>1774</v>
      </c>
      <c r="BA2676">
        <v>1.52</v>
      </c>
      <c r="BB2676">
        <v>3432.36</v>
      </c>
      <c r="BC2676">
        <v>0.92</v>
      </c>
      <c r="BD2676">
        <v>135.66</v>
      </c>
      <c r="BE2676">
        <v>137.22</v>
      </c>
      <c r="BF2676">
        <v>134.41999999999999</v>
      </c>
      <c r="BG2676" t="s">
        <v>24957</v>
      </c>
      <c r="BH2676" t="s">
        <v>15968</v>
      </c>
      <c r="BI2676" t="s">
        <v>24958</v>
      </c>
      <c r="BJ2676" t="s">
        <v>101</v>
      </c>
      <c r="BK2676" t="s">
        <v>5253</v>
      </c>
      <c r="BL2676" t="s">
        <v>6201</v>
      </c>
      <c r="BM2676" t="s">
        <v>5420</v>
      </c>
      <c r="BN2676" t="s">
        <v>23454</v>
      </c>
    </row>
    <row r="2677" spans="1:66" x14ac:dyDescent="0.25">
      <c r="A2677" t="str">
        <f>HYPERLINK("https://elite.finviz.com/quote.ashx?t=CRDF&amp;ty=c&amp;p=d&amp;b=1", "CRDF")</f>
        <v>CRDF</v>
      </c>
      <c r="B2677">
        <v>5</v>
      </c>
      <c r="C2677">
        <v>116.22</v>
      </c>
      <c r="D2677">
        <v>38.93</v>
      </c>
      <c r="E2677" t="s">
        <v>24959</v>
      </c>
      <c r="F2677" t="s">
        <v>67</v>
      </c>
      <c r="G2677" t="s">
        <v>428</v>
      </c>
      <c r="H2677" t="s">
        <v>429</v>
      </c>
      <c r="I2677" t="s">
        <v>70</v>
      </c>
      <c r="J2677" t="s">
        <v>321</v>
      </c>
      <c r="K2677">
        <v>133.38</v>
      </c>
      <c r="L2677">
        <v>2.0099999999999998</v>
      </c>
      <c r="M2677" t="s">
        <v>181</v>
      </c>
      <c r="N2677">
        <v>214413</v>
      </c>
      <c r="R2677">
        <v>242.51</v>
      </c>
      <c r="S2677">
        <v>2.2799999999999998</v>
      </c>
      <c r="AA2677">
        <v>-0.88</v>
      </c>
      <c r="AB2677" t="s">
        <v>119</v>
      </c>
      <c r="AC2677" t="s">
        <v>13712</v>
      </c>
      <c r="AD2677" t="s">
        <v>4078</v>
      </c>
      <c r="AE2677" t="s">
        <v>3556</v>
      </c>
      <c r="AF2677" t="s">
        <v>8943</v>
      </c>
      <c r="AG2677" t="s">
        <v>16257</v>
      </c>
      <c r="AH2677" t="s">
        <v>24960</v>
      </c>
      <c r="AI2677" t="s">
        <v>2632</v>
      </c>
      <c r="AJ2677" t="s">
        <v>3949</v>
      </c>
      <c r="AK2677" t="s">
        <v>1890</v>
      </c>
      <c r="AL2677">
        <v>4.42</v>
      </c>
      <c r="AM2677">
        <v>4.42</v>
      </c>
      <c r="AN2677">
        <v>0.02</v>
      </c>
      <c r="AO2677" t="s">
        <v>4389</v>
      </c>
      <c r="AP2677" t="s">
        <v>24961</v>
      </c>
      <c r="AQ2677" t="s">
        <v>24962</v>
      </c>
      <c r="AR2677" t="s">
        <v>5969</v>
      </c>
      <c r="AS2677" t="s">
        <v>7971</v>
      </c>
      <c r="AT2677" t="s">
        <v>6105</v>
      </c>
      <c r="AU2677" t="s">
        <v>17574</v>
      </c>
      <c r="AV2677" t="s">
        <v>18223</v>
      </c>
      <c r="AW2677" t="s">
        <v>24963</v>
      </c>
      <c r="AX2677" t="s">
        <v>5336</v>
      </c>
      <c r="AY2677" t="s">
        <v>24964</v>
      </c>
      <c r="AZ2677" t="s">
        <v>5336</v>
      </c>
      <c r="BA2677">
        <v>1.25</v>
      </c>
      <c r="BB2677">
        <v>1783.2</v>
      </c>
      <c r="BC2677">
        <v>0.42</v>
      </c>
      <c r="BD2677">
        <v>2.04</v>
      </c>
      <c r="BE2677">
        <v>2.0499999999999998</v>
      </c>
      <c r="BF2677">
        <v>1.98</v>
      </c>
      <c r="BG2677" t="s">
        <v>24965</v>
      </c>
      <c r="BH2677" t="s">
        <v>400</v>
      </c>
      <c r="BI2677" t="s">
        <v>24966</v>
      </c>
      <c r="BJ2677" t="s">
        <v>101</v>
      </c>
      <c r="BK2677" t="s">
        <v>1179</v>
      </c>
      <c r="BL2677" t="s">
        <v>6216</v>
      </c>
      <c r="BM2677" t="s">
        <v>3135</v>
      </c>
      <c r="BN2677" t="s">
        <v>23454</v>
      </c>
    </row>
    <row r="2678" spans="1:66" x14ac:dyDescent="0.25">
      <c r="A2678" t="str">
        <f>HYPERLINK("https://elite.finviz.com/quote.ashx?t=HLMN&amp;ty=c&amp;p=d&amp;b=1", "HLMN")</f>
        <v>HLMN</v>
      </c>
      <c r="B2678">
        <v>5</v>
      </c>
      <c r="C2678">
        <v>116.22</v>
      </c>
      <c r="D2678">
        <v>39.04</v>
      </c>
      <c r="E2678" t="s">
        <v>24967</v>
      </c>
      <c r="F2678" t="s">
        <v>67</v>
      </c>
      <c r="G2678" t="s">
        <v>260</v>
      </c>
      <c r="H2678" t="s">
        <v>16076</v>
      </c>
      <c r="I2678" t="s">
        <v>70</v>
      </c>
      <c r="J2678" t="s">
        <v>321</v>
      </c>
      <c r="K2678">
        <v>1792.59</v>
      </c>
      <c r="L2678">
        <v>9.07</v>
      </c>
      <c r="M2678" t="s">
        <v>211</v>
      </c>
      <c r="N2678">
        <v>120788</v>
      </c>
      <c r="O2678">
        <v>82.76</v>
      </c>
      <c r="P2678">
        <v>14.97</v>
      </c>
      <c r="Q2678">
        <v>7.49</v>
      </c>
      <c r="R2678">
        <v>1.19</v>
      </c>
      <c r="S2678">
        <v>1.48</v>
      </c>
      <c r="Z2678" t="s">
        <v>164</v>
      </c>
      <c r="AA2678">
        <v>0.11</v>
      </c>
      <c r="AD2678" t="s">
        <v>3600</v>
      </c>
      <c r="AE2678" t="s">
        <v>3832</v>
      </c>
      <c r="AF2678" t="s">
        <v>344</v>
      </c>
      <c r="AH2678" t="s">
        <v>3530</v>
      </c>
      <c r="AI2678" t="s">
        <v>12687</v>
      </c>
      <c r="AJ2678" t="s">
        <v>1050</v>
      </c>
      <c r="AK2678" t="s">
        <v>11656</v>
      </c>
      <c r="AL2678">
        <v>2.2799999999999998</v>
      </c>
      <c r="AM2678">
        <v>0.72</v>
      </c>
      <c r="AN2678">
        <v>0.64</v>
      </c>
      <c r="AO2678" t="s">
        <v>7887</v>
      </c>
      <c r="AP2678" t="s">
        <v>2386</v>
      </c>
      <c r="AQ2678" t="s">
        <v>3551</v>
      </c>
      <c r="AR2678" t="s">
        <v>1769</v>
      </c>
      <c r="AS2678" t="s">
        <v>5929</v>
      </c>
      <c r="AT2678" t="s">
        <v>2951</v>
      </c>
      <c r="AU2678" t="s">
        <v>7865</v>
      </c>
      <c r="AV2678" t="s">
        <v>352</v>
      </c>
      <c r="AW2678" t="s">
        <v>13240</v>
      </c>
      <c r="AX2678" t="s">
        <v>5719</v>
      </c>
      <c r="AY2678" t="s">
        <v>15605</v>
      </c>
      <c r="AZ2678" t="s">
        <v>16250</v>
      </c>
      <c r="BA2678">
        <v>1.62</v>
      </c>
      <c r="BB2678">
        <v>1545.97</v>
      </c>
      <c r="BC2678">
        <v>0.28000000000000003</v>
      </c>
      <c r="BD2678">
        <v>9.06</v>
      </c>
      <c r="BE2678">
        <v>9.16</v>
      </c>
      <c r="BF2678">
        <v>9.0399999999999991</v>
      </c>
      <c r="BG2678" t="s">
        <v>24968</v>
      </c>
      <c r="BH2678" t="s">
        <v>24969</v>
      </c>
      <c r="BI2678" t="s">
        <v>11763</v>
      </c>
      <c r="BJ2678" t="s">
        <v>101</v>
      </c>
      <c r="BK2678" t="s">
        <v>14149</v>
      </c>
      <c r="BL2678" t="s">
        <v>2418</v>
      </c>
      <c r="BM2678" t="s">
        <v>14455</v>
      </c>
      <c r="BN2678" t="s">
        <v>23454</v>
      </c>
    </row>
    <row r="2679" spans="1:66" x14ac:dyDescent="0.25">
      <c r="A2679" t="str">
        <f>HYPERLINK("https://elite.finviz.com/quote.ashx?t=UDR&amp;ty=c&amp;p=d&amp;b=1", "UDR")</f>
        <v>UDR</v>
      </c>
      <c r="B2679">
        <v>5</v>
      </c>
      <c r="C2679">
        <v>116.22</v>
      </c>
      <c r="D2679">
        <v>39.07</v>
      </c>
      <c r="E2679" t="s">
        <v>24970</v>
      </c>
      <c r="F2679" t="s">
        <v>195</v>
      </c>
      <c r="G2679" t="s">
        <v>68</v>
      </c>
      <c r="H2679" t="s">
        <v>5671</v>
      </c>
      <c r="I2679" t="s">
        <v>70</v>
      </c>
      <c r="J2679" t="s">
        <v>71</v>
      </c>
      <c r="K2679">
        <v>12264.82</v>
      </c>
      <c r="L2679">
        <v>37.01</v>
      </c>
      <c r="M2679" t="s">
        <v>2734</v>
      </c>
      <c r="N2679">
        <v>324045</v>
      </c>
      <c r="O2679">
        <v>96.54</v>
      </c>
      <c r="P2679">
        <v>61.53</v>
      </c>
      <c r="Q2679">
        <v>2.41</v>
      </c>
      <c r="R2679">
        <v>7.26</v>
      </c>
      <c r="S2679">
        <v>3.74</v>
      </c>
      <c r="T2679" t="s">
        <v>5685</v>
      </c>
      <c r="U2679">
        <v>1.69</v>
      </c>
      <c r="V2679" t="s">
        <v>228</v>
      </c>
      <c r="W2679" t="s">
        <v>5380</v>
      </c>
      <c r="X2679" t="s">
        <v>3435</v>
      </c>
      <c r="Y2679" t="s">
        <v>7699</v>
      </c>
      <c r="Z2679" t="s">
        <v>24971</v>
      </c>
      <c r="AA2679">
        <v>0.38</v>
      </c>
      <c r="AB2679" t="s">
        <v>17649</v>
      </c>
      <c r="AC2679" t="s">
        <v>658</v>
      </c>
      <c r="AD2679" t="s">
        <v>14724</v>
      </c>
      <c r="AE2679" t="s">
        <v>679</v>
      </c>
      <c r="AF2679" t="s">
        <v>2849</v>
      </c>
      <c r="AG2679" t="s">
        <v>5552</v>
      </c>
      <c r="AH2679" t="s">
        <v>2582</v>
      </c>
      <c r="AI2679" t="s">
        <v>16624</v>
      </c>
      <c r="AJ2679" t="s">
        <v>164</v>
      </c>
      <c r="AK2679" t="s">
        <v>24972</v>
      </c>
      <c r="AL2679">
        <v>0.2</v>
      </c>
      <c r="AM2679">
        <v>0.2</v>
      </c>
      <c r="AN2679">
        <v>1.85</v>
      </c>
      <c r="AO2679" t="s">
        <v>3241</v>
      </c>
      <c r="AP2679" t="s">
        <v>1550</v>
      </c>
      <c r="AQ2679" t="s">
        <v>2378</v>
      </c>
      <c r="AR2679" t="s">
        <v>3019</v>
      </c>
      <c r="AS2679" t="s">
        <v>2195</v>
      </c>
      <c r="AT2679" t="s">
        <v>11805</v>
      </c>
      <c r="AU2679" t="s">
        <v>13232</v>
      </c>
      <c r="AV2679" t="s">
        <v>24973</v>
      </c>
      <c r="AW2679" t="s">
        <v>618</v>
      </c>
      <c r="AX2679" t="s">
        <v>5577</v>
      </c>
      <c r="AY2679" t="s">
        <v>14231</v>
      </c>
      <c r="AZ2679" t="s">
        <v>3018</v>
      </c>
      <c r="BA2679">
        <v>2.39</v>
      </c>
      <c r="BB2679">
        <v>2270.2800000000002</v>
      </c>
      <c r="BC2679">
        <v>0.5</v>
      </c>
      <c r="BD2679">
        <v>36.71</v>
      </c>
      <c r="BE2679">
        <v>37.22</v>
      </c>
      <c r="BF2679">
        <v>36.79</v>
      </c>
      <c r="BG2679" t="s">
        <v>24974</v>
      </c>
      <c r="BH2679" t="s">
        <v>24975</v>
      </c>
      <c r="BI2679" t="s">
        <v>24976</v>
      </c>
      <c r="BJ2679" t="s">
        <v>101</v>
      </c>
      <c r="BK2679" t="s">
        <v>2271</v>
      </c>
      <c r="BL2679" t="s">
        <v>22294</v>
      </c>
      <c r="BM2679" t="s">
        <v>6676</v>
      </c>
      <c r="BN2679" t="s">
        <v>23454</v>
      </c>
    </row>
    <row r="2680" spans="1:66" x14ac:dyDescent="0.25">
      <c r="A2680" t="str">
        <f>HYPERLINK("https://elite.finviz.com/quote.ashx?t=SKIN&amp;ty=c&amp;p=d&amp;b=1", "SKIN")</f>
        <v>SKIN</v>
      </c>
      <c r="B2680">
        <v>5</v>
      </c>
      <c r="C2680">
        <v>116.22</v>
      </c>
      <c r="D2680">
        <v>39.119999999999997</v>
      </c>
      <c r="E2680" t="s">
        <v>24977</v>
      </c>
      <c r="F2680" t="s">
        <v>67</v>
      </c>
      <c r="G2680" t="s">
        <v>2244</v>
      </c>
      <c r="H2680" t="s">
        <v>5311</v>
      </c>
      <c r="I2680" t="s">
        <v>70</v>
      </c>
      <c r="J2680" t="s">
        <v>321</v>
      </c>
      <c r="K2680">
        <v>245.41</v>
      </c>
      <c r="L2680">
        <v>1.93</v>
      </c>
      <c r="M2680" t="s">
        <v>2402</v>
      </c>
      <c r="N2680">
        <v>183605</v>
      </c>
      <c r="R2680">
        <v>0.79</v>
      </c>
      <c r="S2680">
        <v>3.31</v>
      </c>
      <c r="AA2680">
        <v>-0.28000000000000003</v>
      </c>
      <c r="AB2680" t="s">
        <v>16695</v>
      </c>
      <c r="AC2680" t="s">
        <v>24978</v>
      </c>
      <c r="AD2680" t="s">
        <v>2579</v>
      </c>
      <c r="AE2680" t="s">
        <v>17119</v>
      </c>
      <c r="AF2680" t="s">
        <v>7858</v>
      </c>
      <c r="AG2680" t="s">
        <v>14687</v>
      </c>
      <c r="AH2680" t="s">
        <v>19383</v>
      </c>
      <c r="AI2680" t="s">
        <v>24979</v>
      </c>
      <c r="AJ2680" t="s">
        <v>164</v>
      </c>
      <c r="AK2680" t="s">
        <v>19765</v>
      </c>
      <c r="AL2680">
        <v>5.15</v>
      </c>
      <c r="AM2680">
        <v>4.1500000000000004</v>
      </c>
      <c r="AN2680">
        <v>5.09</v>
      </c>
      <c r="AO2680" t="s">
        <v>24980</v>
      </c>
      <c r="AP2680" t="s">
        <v>3109</v>
      </c>
      <c r="AQ2680" t="s">
        <v>4705</v>
      </c>
      <c r="AR2680" t="s">
        <v>1021</v>
      </c>
      <c r="AS2680" t="s">
        <v>2967</v>
      </c>
      <c r="AT2680" t="s">
        <v>16487</v>
      </c>
      <c r="AU2680" t="s">
        <v>3321</v>
      </c>
      <c r="AV2680" t="s">
        <v>3888</v>
      </c>
      <c r="AW2680" t="s">
        <v>20671</v>
      </c>
      <c r="AX2680" t="s">
        <v>15115</v>
      </c>
      <c r="AY2680" t="s">
        <v>20671</v>
      </c>
      <c r="AZ2680" t="s">
        <v>24981</v>
      </c>
      <c r="BA2680">
        <v>3.22</v>
      </c>
      <c r="BB2680">
        <v>1172.18</v>
      </c>
      <c r="BC2680">
        <v>0.55000000000000004</v>
      </c>
      <c r="BD2680">
        <v>1.94</v>
      </c>
      <c r="BE2680">
        <v>2.0299999999999998</v>
      </c>
      <c r="BF2680">
        <v>1.91</v>
      </c>
      <c r="BG2680" t="s">
        <v>24982</v>
      </c>
      <c r="BH2680" t="s">
        <v>24983</v>
      </c>
      <c r="BI2680" t="s">
        <v>24981</v>
      </c>
      <c r="BJ2680" t="s">
        <v>101</v>
      </c>
      <c r="BK2680" t="s">
        <v>1226</v>
      </c>
      <c r="BL2680" t="s">
        <v>1513</v>
      </c>
      <c r="BM2680" t="s">
        <v>16242</v>
      </c>
      <c r="BN2680" t="s">
        <v>23454</v>
      </c>
    </row>
    <row r="2681" spans="1:66" x14ac:dyDescent="0.25">
      <c r="A2681" t="str">
        <f>HYPERLINK("https://elite.finviz.com/quote.ashx?t=STSS&amp;ty=c&amp;p=d&amp;b=1", "STSS")</f>
        <v>STSS</v>
      </c>
      <c r="B2681">
        <v>5</v>
      </c>
      <c r="C2681">
        <v>116.22</v>
      </c>
      <c r="D2681">
        <v>39.14</v>
      </c>
      <c r="E2681" t="s">
        <v>24984</v>
      </c>
      <c r="F2681" t="s">
        <v>107</v>
      </c>
      <c r="G2681" t="s">
        <v>428</v>
      </c>
      <c r="H2681" t="s">
        <v>2161</v>
      </c>
      <c r="I2681" t="s">
        <v>70</v>
      </c>
      <c r="J2681" t="s">
        <v>321</v>
      </c>
      <c r="K2681">
        <v>175.45</v>
      </c>
      <c r="L2681">
        <v>6.62</v>
      </c>
      <c r="M2681" t="s">
        <v>9651</v>
      </c>
      <c r="N2681">
        <v>97257</v>
      </c>
      <c r="R2681">
        <v>797.5</v>
      </c>
      <c r="S2681">
        <v>0.47</v>
      </c>
      <c r="AA2681">
        <v>-1000.36</v>
      </c>
      <c r="AB2681" t="s">
        <v>2337</v>
      </c>
      <c r="AC2681" t="s">
        <v>11693</v>
      </c>
      <c r="AK2681" t="s">
        <v>183</v>
      </c>
      <c r="AL2681">
        <v>4.3499999999999996</v>
      </c>
      <c r="AM2681">
        <v>3.67</v>
      </c>
      <c r="AN2681">
        <v>0</v>
      </c>
      <c r="AO2681" t="s">
        <v>24985</v>
      </c>
      <c r="AP2681" t="s">
        <v>24986</v>
      </c>
      <c r="AQ2681" t="s">
        <v>24987</v>
      </c>
      <c r="AR2681" t="s">
        <v>223</v>
      </c>
      <c r="AS2681" t="s">
        <v>9194</v>
      </c>
      <c r="AT2681" t="s">
        <v>18097</v>
      </c>
      <c r="AU2681" t="s">
        <v>21737</v>
      </c>
      <c r="AV2681" t="s">
        <v>24988</v>
      </c>
      <c r="AW2681" t="s">
        <v>24989</v>
      </c>
      <c r="AX2681" t="s">
        <v>12309</v>
      </c>
      <c r="AY2681" t="s">
        <v>24990</v>
      </c>
      <c r="AZ2681" t="s">
        <v>24991</v>
      </c>
      <c r="BA2681">
        <v>1</v>
      </c>
      <c r="BB2681">
        <v>1191.18</v>
      </c>
      <c r="BC2681">
        <v>0.28999999999999998</v>
      </c>
      <c r="BD2681">
        <v>6.36</v>
      </c>
      <c r="BE2681">
        <v>6.88</v>
      </c>
      <c r="BF2681">
        <v>6.45</v>
      </c>
      <c r="BG2681" t="s">
        <v>24992</v>
      </c>
      <c r="BH2681" t="s">
        <v>5233</v>
      </c>
      <c r="BI2681" t="s">
        <v>24991</v>
      </c>
      <c r="BJ2681" t="s">
        <v>101</v>
      </c>
      <c r="BK2681" t="s">
        <v>10865</v>
      </c>
      <c r="BL2681" t="s">
        <v>24993</v>
      </c>
      <c r="BM2681" t="s">
        <v>11018</v>
      </c>
      <c r="BN2681" t="s">
        <v>23454</v>
      </c>
    </row>
    <row r="2682" spans="1:66" x14ac:dyDescent="0.25">
      <c r="A2682" t="str">
        <f>HYPERLINK("https://elite.finviz.com/quote.ashx?t=BF-B&amp;ty=c&amp;p=d&amp;b=1", "BF-B")</f>
        <v>BF-B</v>
      </c>
      <c r="B2682">
        <v>5</v>
      </c>
      <c r="C2682">
        <v>116.22</v>
      </c>
      <c r="D2682">
        <v>39.14</v>
      </c>
      <c r="E2682" t="s">
        <v>24994</v>
      </c>
      <c r="F2682" t="s">
        <v>195</v>
      </c>
      <c r="G2682" t="s">
        <v>2244</v>
      </c>
      <c r="H2682" t="s">
        <v>2245</v>
      </c>
      <c r="I2682" t="s">
        <v>70</v>
      </c>
      <c r="J2682" t="s">
        <v>71</v>
      </c>
      <c r="K2682">
        <v>12691.4</v>
      </c>
      <c r="L2682">
        <v>26.92</v>
      </c>
      <c r="M2682" t="s">
        <v>8179</v>
      </c>
      <c r="N2682">
        <v>407902</v>
      </c>
      <c r="O2682">
        <v>15.09</v>
      </c>
      <c r="P2682">
        <v>15.53</v>
      </c>
      <c r="Q2682">
        <v>39.71</v>
      </c>
      <c r="R2682">
        <v>3.22</v>
      </c>
      <c r="S2682">
        <v>3.19</v>
      </c>
      <c r="T2682" t="s">
        <v>4394</v>
      </c>
      <c r="U2682">
        <v>0.9</v>
      </c>
      <c r="V2682" t="s">
        <v>24995</v>
      </c>
      <c r="W2682" t="s">
        <v>3343</v>
      </c>
      <c r="X2682" t="s">
        <v>713</v>
      </c>
      <c r="Y2682" t="s">
        <v>5336</v>
      </c>
      <c r="Z2682" t="s">
        <v>963</v>
      </c>
      <c r="AA2682">
        <v>1.78</v>
      </c>
      <c r="AB2682" t="s">
        <v>5084</v>
      </c>
      <c r="AC2682" t="s">
        <v>1559</v>
      </c>
      <c r="AD2682" t="s">
        <v>3226</v>
      </c>
      <c r="AE2682" t="s">
        <v>5426</v>
      </c>
      <c r="AF2682" t="s">
        <v>2423</v>
      </c>
      <c r="AG2682" t="s">
        <v>2700</v>
      </c>
      <c r="AH2682" t="s">
        <v>7176</v>
      </c>
      <c r="AI2682" t="s">
        <v>2826</v>
      </c>
      <c r="AJ2682" t="s">
        <v>1249</v>
      </c>
      <c r="AK2682" t="s">
        <v>24996</v>
      </c>
      <c r="AL2682">
        <v>2.79</v>
      </c>
      <c r="AM2682">
        <v>1.06</v>
      </c>
      <c r="AN2682">
        <v>0.68</v>
      </c>
      <c r="AO2682" t="s">
        <v>24997</v>
      </c>
      <c r="AP2682" t="s">
        <v>2781</v>
      </c>
      <c r="AQ2682" t="s">
        <v>15794</v>
      </c>
      <c r="AR2682" t="s">
        <v>2789</v>
      </c>
      <c r="AS2682" t="s">
        <v>2543</v>
      </c>
      <c r="AT2682" t="s">
        <v>9854</v>
      </c>
      <c r="AU2682" t="s">
        <v>2023</v>
      </c>
      <c r="AV2682" t="s">
        <v>19748</v>
      </c>
      <c r="AW2682" t="s">
        <v>3725</v>
      </c>
      <c r="AX2682" t="s">
        <v>5036</v>
      </c>
      <c r="AY2682" t="s">
        <v>20556</v>
      </c>
      <c r="AZ2682" t="s">
        <v>5090</v>
      </c>
      <c r="BA2682">
        <v>3.09</v>
      </c>
      <c r="BB2682">
        <v>3792.4</v>
      </c>
      <c r="BC2682">
        <v>0.38</v>
      </c>
      <c r="BD2682">
        <v>26.74</v>
      </c>
      <c r="BE2682">
        <v>27.06</v>
      </c>
      <c r="BF2682">
        <v>26.71</v>
      </c>
      <c r="BG2682" t="s">
        <v>24998</v>
      </c>
      <c r="BH2682" t="s">
        <v>24999</v>
      </c>
      <c r="BI2682" t="s">
        <v>25000</v>
      </c>
      <c r="BJ2682" t="s">
        <v>101</v>
      </c>
      <c r="BK2682" t="s">
        <v>5084</v>
      </c>
      <c r="BL2682" t="s">
        <v>6709</v>
      </c>
      <c r="BM2682" t="s">
        <v>25001</v>
      </c>
      <c r="BN2682" t="s">
        <v>23454</v>
      </c>
    </row>
    <row r="2683" spans="1:66" x14ac:dyDescent="0.25">
      <c r="A2683" t="str">
        <f>HYPERLINK("https://elite.finviz.com/quote.ashx?t=DE&amp;ty=c&amp;p=d&amp;b=1", "DE")</f>
        <v>DE</v>
      </c>
      <c r="B2683">
        <v>5</v>
      </c>
      <c r="C2683">
        <v>116.22</v>
      </c>
      <c r="D2683">
        <v>39.159999999999997</v>
      </c>
      <c r="E2683" t="s">
        <v>25002</v>
      </c>
      <c r="F2683" t="s">
        <v>195</v>
      </c>
      <c r="G2683" t="s">
        <v>260</v>
      </c>
      <c r="H2683" t="s">
        <v>320</v>
      </c>
      <c r="I2683" t="s">
        <v>70</v>
      </c>
      <c r="J2683" t="s">
        <v>71</v>
      </c>
      <c r="K2683">
        <v>125898.49</v>
      </c>
      <c r="L2683">
        <v>465.72</v>
      </c>
      <c r="M2683" t="s">
        <v>2468</v>
      </c>
      <c r="N2683">
        <v>272261</v>
      </c>
      <c r="O2683">
        <v>24.35</v>
      </c>
      <c r="P2683">
        <v>22.76</v>
      </c>
      <c r="R2683">
        <v>2.83</v>
      </c>
      <c r="S2683">
        <v>5</v>
      </c>
      <c r="T2683" t="s">
        <v>2185</v>
      </c>
      <c r="U2683">
        <v>6.33</v>
      </c>
      <c r="V2683" t="s">
        <v>198</v>
      </c>
      <c r="W2683" t="s">
        <v>20369</v>
      </c>
      <c r="X2683" t="s">
        <v>1791</v>
      </c>
      <c r="Y2683" t="s">
        <v>5840</v>
      </c>
      <c r="Z2683" t="s">
        <v>3835</v>
      </c>
      <c r="AA2683">
        <v>19.13</v>
      </c>
      <c r="AB2683" t="s">
        <v>4996</v>
      </c>
      <c r="AC2683" t="s">
        <v>11965</v>
      </c>
      <c r="AD2683" t="s">
        <v>3752</v>
      </c>
      <c r="AE2683" t="s">
        <v>1197</v>
      </c>
      <c r="AF2683" t="s">
        <v>1871</v>
      </c>
      <c r="AG2683" t="s">
        <v>3949</v>
      </c>
      <c r="AH2683" t="s">
        <v>9998</v>
      </c>
      <c r="AI2683" t="s">
        <v>7117</v>
      </c>
      <c r="AJ2683" t="s">
        <v>164</v>
      </c>
      <c r="AK2683" t="s">
        <v>20906</v>
      </c>
      <c r="AL2683">
        <v>0.74</v>
      </c>
      <c r="AM2683">
        <v>0.53</v>
      </c>
      <c r="AN2683">
        <v>2.66</v>
      </c>
      <c r="AO2683" t="s">
        <v>25003</v>
      </c>
      <c r="AP2683" t="s">
        <v>7869</v>
      </c>
      <c r="AQ2683" t="s">
        <v>13358</v>
      </c>
      <c r="AR2683" t="s">
        <v>3494</v>
      </c>
      <c r="AS2683" t="s">
        <v>3832</v>
      </c>
      <c r="AT2683" t="s">
        <v>5153</v>
      </c>
      <c r="AU2683" t="s">
        <v>4553</v>
      </c>
      <c r="AV2683" t="s">
        <v>900</v>
      </c>
      <c r="AW2683" t="s">
        <v>1450</v>
      </c>
      <c r="AX2683" t="s">
        <v>4308</v>
      </c>
      <c r="AY2683" t="s">
        <v>998</v>
      </c>
      <c r="AZ2683" t="s">
        <v>948</v>
      </c>
      <c r="BA2683">
        <v>2.25</v>
      </c>
      <c r="BB2683">
        <v>1356.74</v>
      </c>
      <c r="BC2683">
        <v>0.71</v>
      </c>
      <c r="BD2683">
        <v>466.7</v>
      </c>
      <c r="BE2683">
        <v>471.02</v>
      </c>
      <c r="BF2683">
        <v>465.48</v>
      </c>
      <c r="BG2683" t="s">
        <v>25004</v>
      </c>
      <c r="BH2683" t="s">
        <v>998</v>
      </c>
      <c r="BI2683" t="s">
        <v>25005</v>
      </c>
      <c r="BJ2683" t="s">
        <v>101</v>
      </c>
      <c r="BK2683" t="s">
        <v>18824</v>
      </c>
      <c r="BL2683" t="s">
        <v>7742</v>
      </c>
      <c r="BM2683" t="s">
        <v>3924</v>
      </c>
      <c r="BN2683" t="s">
        <v>23454</v>
      </c>
    </row>
    <row r="2684" spans="1:66" x14ac:dyDescent="0.25">
      <c r="A2684" t="str">
        <f>HYPERLINK("https://elite.finviz.com/quote.ashx?t=AIRO&amp;ty=c&amp;p=d&amp;b=1", "AIRO")</f>
        <v>AIRO</v>
      </c>
      <c r="B2684">
        <v>5</v>
      </c>
      <c r="C2684">
        <v>116.22</v>
      </c>
      <c r="D2684">
        <v>39.299999999999997</v>
      </c>
      <c r="E2684" t="s">
        <v>25006</v>
      </c>
      <c r="F2684" t="s">
        <v>67</v>
      </c>
      <c r="G2684" t="s">
        <v>260</v>
      </c>
      <c r="H2684" t="s">
        <v>4779</v>
      </c>
      <c r="I2684" t="s">
        <v>70</v>
      </c>
      <c r="J2684" t="s">
        <v>321</v>
      </c>
      <c r="K2684">
        <v>590.04999999999995</v>
      </c>
      <c r="L2684">
        <v>18.66</v>
      </c>
      <c r="M2684" t="s">
        <v>3484</v>
      </c>
      <c r="N2684">
        <v>339153</v>
      </c>
      <c r="S2684">
        <v>0.74</v>
      </c>
      <c r="AB2684" t="s">
        <v>25007</v>
      </c>
      <c r="AC2684" t="s">
        <v>25008</v>
      </c>
      <c r="AH2684" t="s">
        <v>25009</v>
      </c>
      <c r="AI2684" t="s">
        <v>25010</v>
      </c>
      <c r="AJ2684" t="s">
        <v>6735</v>
      </c>
      <c r="AK2684" t="s">
        <v>3532</v>
      </c>
      <c r="AL2684">
        <v>1.19</v>
      </c>
      <c r="AM2684">
        <v>1.03</v>
      </c>
      <c r="AN2684">
        <v>0.03</v>
      </c>
      <c r="AR2684" t="s">
        <v>6956</v>
      </c>
      <c r="AS2684" t="s">
        <v>3951</v>
      </c>
      <c r="AT2684" t="s">
        <v>4282</v>
      </c>
      <c r="AU2684" t="s">
        <v>18148</v>
      </c>
      <c r="AV2684" t="s">
        <v>24819</v>
      </c>
      <c r="AW2684" t="s">
        <v>19920</v>
      </c>
      <c r="AX2684" t="s">
        <v>304</v>
      </c>
      <c r="AY2684" t="s">
        <v>5645</v>
      </c>
      <c r="AZ2684" t="s">
        <v>14417</v>
      </c>
      <c r="BA2684">
        <v>1</v>
      </c>
      <c r="BB2684">
        <v>1082.19</v>
      </c>
      <c r="BC2684">
        <v>1.1000000000000001</v>
      </c>
      <c r="BD2684">
        <v>18.899999999999999</v>
      </c>
      <c r="BE2684">
        <v>19.149999999999999</v>
      </c>
      <c r="BF2684">
        <v>18.52</v>
      </c>
      <c r="BG2684" t="s">
        <v>25011</v>
      </c>
      <c r="BH2684" t="s">
        <v>5645</v>
      </c>
      <c r="BI2684" t="s">
        <v>14417</v>
      </c>
      <c r="BJ2684" t="s">
        <v>101</v>
      </c>
      <c r="BK2684" t="s">
        <v>10324</v>
      </c>
      <c r="BN2684" t="s">
        <v>23454</v>
      </c>
    </row>
    <row r="2685" spans="1:66" x14ac:dyDescent="0.25">
      <c r="A2685" t="str">
        <f>HYPERLINK("https://elite.finviz.com/quote.ashx?t=WH&amp;ty=c&amp;p=d&amp;b=1", "WH")</f>
        <v>WH</v>
      </c>
      <c r="B2685">
        <v>5</v>
      </c>
      <c r="C2685">
        <v>116.22</v>
      </c>
      <c r="D2685">
        <v>39.36</v>
      </c>
      <c r="E2685" t="s">
        <v>25012</v>
      </c>
      <c r="F2685" t="s">
        <v>107</v>
      </c>
      <c r="G2685" t="s">
        <v>813</v>
      </c>
      <c r="H2685" t="s">
        <v>16375</v>
      </c>
      <c r="I2685" t="s">
        <v>70</v>
      </c>
      <c r="J2685" t="s">
        <v>71</v>
      </c>
      <c r="K2685">
        <v>6228</v>
      </c>
      <c r="L2685">
        <v>81.569999999999993</v>
      </c>
      <c r="M2685" t="s">
        <v>6572</v>
      </c>
      <c r="N2685">
        <v>148076</v>
      </c>
      <c r="O2685">
        <v>19.12</v>
      </c>
      <c r="P2685">
        <v>15.29</v>
      </c>
      <c r="Q2685">
        <v>1.71</v>
      </c>
      <c r="R2685">
        <v>4.3</v>
      </c>
      <c r="S2685">
        <v>10.98</v>
      </c>
      <c r="T2685" t="s">
        <v>1439</v>
      </c>
      <c r="U2685">
        <v>1.61</v>
      </c>
      <c r="V2685" t="s">
        <v>3833</v>
      </c>
      <c r="W2685" t="s">
        <v>4815</v>
      </c>
      <c r="X2685" t="s">
        <v>11840</v>
      </c>
      <c r="Y2685" t="s">
        <v>4403</v>
      </c>
      <c r="Z2685" t="s">
        <v>467</v>
      </c>
      <c r="AA2685">
        <v>4.2699999999999996</v>
      </c>
      <c r="AB2685" t="s">
        <v>7976</v>
      </c>
      <c r="AC2685" t="s">
        <v>11525</v>
      </c>
      <c r="AD2685" t="s">
        <v>11159</v>
      </c>
      <c r="AE2685" t="s">
        <v>891</v>
      </c>
      <c r="AF2685" t="s">
        <v>14948</v>
      </c>
      <c r="AG2685" t="s">
        <v>5573</v>
      </c>
      <c r="AH2685" t="s">
        <v>7511</v>
      </c>
      <c r="AI2685" t="s">
        <v>3789</v>
      </c>
      <c r="AJ2685" t="s">
        <v>2934</v>
      </c>
      <c r="AK2685" t="s">
        <v>25013</v>
      </c>
      <c r="AL2685">
        <v>1.03</v>
      </c>
      <c r="AM2685">
        <v>1.03</v>
      </c>
      <c r="AN2685">
        <v>4.5199999999999996</v>
      </c>
      <c r="AO2685" t="s">
        <v>20224</v>
      </c>
      <c r="AP2685" t="s">
        <v>10700</v>
      </c>
      <c r="AQ2685" t="s">
        <v>9229</v>
      </c>
      <c r="AR2685" t="s">
        <v>1952</v>
      </c>
      <c r="AS2685" t="s">
        <v>342</v>
      </c>
      <c r="AT2685" t="s">
        <v>9600</v>
      </c>
      <c r="AU2685" t="s">
        <v>7964</v>
      </c>
      <c r="AV2685" t="s">
        <v>411</v>
      </c>
      <c r="AW2685" t="s">
        <v>17881</v>
      </c>
      <c r="AX2685" t="s">
        <v>3024</v>
      </c>
      <c r="AY2685" t="s">
        <v>6009</v>
      </c>
      <c r="AZ2685" t="s">
        <v>3115</v>
      </c>
      <c r="BA2685">
        <v>1.47</v>
      </c>
      <c r="BB2685">
        <v>1073.42</v>
      </c>
      <c r="BC2685">
        <v>0.49</v>
      </c>
      <c r="BD2685">
        <v>80.959999999999994</v>
      </c>
      <c r="BE2685">
        <v>82.18</v>
      </c>
      <c r="BF2685">
        <v>81.2</v>
      </c>
      <c r="BG2685" t="s">
        <v>25014</v>
      </c>
      <c r="BH2685" t="s">
        <v>6009</v>
      </c>
      <c r="BI2685" t="s">
        <v>25015</v>
      </c>
      <c r="BJ2685" t="s">
        <v>101</v>
      </c>
      <c r="BK2685" t="s">
        <v>1364</v>
      </c>
      <c r="BL2685" t="s">
        <v>1443</v>
      </c>
      <c r="BM2685" t="s">
        <v>3487</v>
      </c>
      <c r="BN2685" t="s">
        <v>23454</v>
      </c>
    </row>
    <row r="2686" spans="1:66" x14ac:dyDescent="0.25">
      <c r="A2686" t="str">
        <f>HYPERLINK("https://elite.finviz.com/quote.ashx?t=LIDR&amp;ty=c&amp;p=d&amp;b=1", "LIDR")</f>
        <v>LIDR</v>
      </c>
      <c r="B2686">
        <v>5</v>
      </c>
      <c r="C2686">
        <v>116.22</v>
      </c>
      <c r="D2686">
        <v>39.369999999999997</v>
      </c>
      <c r="E2686" t="s">
        <v>25016</v>
      </c>
      <c r="F2686" t="s">
        <v>107</v>
      </c>
      <c r="G2686" t="s">
        <v>108</v>
      </c>
      <c r="H2686" t="s">
        <v>109</v>
      </c>
      <c r="I2686" t="s">
        <v>70</v>
      </c>
      <c r="J2686" t="s">
        <v>321</v>
      </c>
      <c r="K2686">
        <v>93.86</v>
      </c>
      <c r="L2686">
        <v>2.35</v>
      </c>
      <c r="M2686" t="s">
        <v>5000</v>
      </c>
      <c r="N2686">
        <v>597909</v>
      </c>
      <c r="R2686">
        <v>391.09</v>
      </c>
      <c r="S2686">
        <v>4.74</v>
      </c>
      <c r="AA2686">
        <v>-2.89</v>
      </c>
      <c r="AB2686" t="s">
        <v>10392</v>
      </c>
      <c r="AC2686" t="s">
        <v>25017</v>
      </c>
      <c r="AD2686" t="s">
        <v>21927</v>
      </c>
      <c r="AE2686" t="s">
        <v>22083</v>
      </c>
      <c r="AF2686" t="s">
        <v>25018</v>
      </c>
      <c r="AH2686" t="s">
        <v>24682</v>
      </c>
      <c r="AJ2686" t="s">
        <v>11896</v>
      </c>
      <c r="AK2686" t="s">
        <v>1129</v>
      </c>
      <c r="AL2686">
        <v>1.93</v>
      </c>
      <c r="AM2686">
        <v>1.91</v>
      </c>
      <c r="AN2686">
        <v>0.27</v>
      </c>
      <c r="AO2686" t="s">
        <v>25019</v>
      </c>
      <c r="AP2686" t="s">
        <v>25020</v>
      </c>
      <c r="AQ2686" t="s">
        <v>25021</v>
      </c>
      <c r="AR2686" t="s">
        <v>6183</v>
      </c>
      <c r="AS2686" t="s">
        <v>3126</v>
      </c>
      <c r="AT2686" t="s">
        <v>12147</v>
      </c>
      <c r="AU2686" t="s">
        <v>19351</v>
      </c>
      <c r="AV2686" t="s">
        <v>13214</v>
      </c>
      <c r="AW2686" t="s">
        <v>25022</v>
      </c>
      <c r="AX2686" t="s">
        <v>25023</v>
      </c>
      <c r="AY2686" t="s">
        <v>25022</v>
      </c>
      <c r="AZ2686" t="s">
        <v>25024</v>
      </c>
      <c r="BA2686">
        <v>1</v>
      </c>
      <c r="BB2686">
        <v>19120.62</v>
      </c>
      <c r="BC2686">
        <v>0.11</v>
      </c>
      <c r="BD2686">
        <v>2.39</v>
      </c>
      <c r="BE2686">
        <v>2.42</v>
      </c>
      <c r="BF2686">
        <v>2.31</v>
      </c>
      <c r="BG2686" t="s">
        <v>25025</v>
      </c>
      <c r="BH2686" t="s">
        <v>4459</v>
      </c>
      <c r="BI2686" t="s">
        <v>25024</v>
      </c>
      <c r="BJ2686" t="s">
        <v>101</v>
      </c>
      <c r="BK2686" t="s">
        <v>25026</v>
      </c>
      <c r="BL2686" t="s">
        <v>25027</v>
      </c>
      <c r="BM2686" t="s">
        <v>13063</v>
      </c>
      <c r="BN2686" t="s">
        <v>23454</v>
      </c>
    </row>
    <row r="2687" spans="1:66" x14ac:dyDescent="0.25">
      <c r="A2687" t="str">
        <f>HYPERLINK("https://elite.finviz.com/quote.ashx?t=MFA&amp;ty=c&amp;p=d&amp;b=1", "MFA")</f>
        <v>MFA</v>
      </c>
      <c r="B2687">
        <v>5</v>
      </c>
      <c r="C2687">
        <v>116.22</v>
      </c>
      <c r="D2687">
        <v>39.4</v>
      </c>
      <c r="E2687" t="s">
        <v>25028</v>
      </c>
      <c r="F2687" t="s">
        <v>67</v>
      </c>
      <c r="G2687" t="s">
        <v>68</v>
      </c>
      <c r="H2687" t="s">
        <v>5566</v>
      </c>
      <c r="I2687" t="s">
        <v>70</v>
      </c>
      <c r="J2687" t="s">
        <v>71</v>
      </c>
      <c r="K2687">
        <v>983.05</v>
      </c>
      <c r="L2687">
        <v>9.57</v>
      </c>
      <c r="M2687" t="s">
        <v>4955</v>
      </c>
      <c r="N2687">
        <v>198542</v>
      </c>
      <c r="O2687">
        <v>10.94</v>
      </c>
      <c r="P2687">
        <v>6.78</v>
      </c>
      <c r="R2687">
        <v>1.37</v>
      </c>
      <c r="S2687">
        <v>0.54</v>
      </c>
      <c r="T2687" t="s">
        <v>6201</v>
      </c>
      <c r="U2687">
        <v>1.42</v>
      </c>
      <c r="V2687" t="s">
        <v>198</v>
      </c>
      <c r="W2687" t="s">
        <v>164</v>
      </c>
      <c r="X2687" t="s">
        <v>7907</v>
      </c>
      <c r="Y2687" t="s">
        <v>9585</v>
      </c>
      <c r="Z2687" t="s">
        <v>24799</v>
      </c>
      <c r="AA2687">
        <v>0.88</v>
      </c>
      <c r="AB2687" t="s">
        <v>25029</v>
      </c>
      <c r="AC2687" t="s">
        <v>22575</v>
      </c>
      <c r="AD2687" t="s">
        <v>2486</v>
      </c>
      <c r="AE2687" t="s">
        <v>11348</v>
      </c>
      <c r="AF2687" t="s">
        <v>8533</v>
      </c>
      <c r="AG2687" t="s">
        <v>352</v>
      </c>
      <c r="AH2687" t="s">
        <v>13007</v>
      </c>
      <c r="AI2687" t="s">
        <v>9283</v>
      </c>
      <c r="AJ2687" t="s">
        <v>6871</v>
      </c>
      <c r="AK2687" t="s">
        <v>1912</v>
      </c>
      <c r="AL2687">
        <v>2.74</v>
      </c>
      <c r="AM2687">
        <v>2.21</v>
      </c>
      <c r="AN2687">
        <v>5.25</v>
      </c>
      <c r="AO2687" t="s">
        <v>25030</v>
      </c>
      <c r="AP2687" t="s">
        <v>25031</v>
      </c>
      <c r="AQ2687" t="s">
        <v>6124</v>
      </c>
      <c r="AR2687" t="s">
        <v>4276</v>
      </c>
      <c r="AS2687" t="s">
        <v>3118</v>
      </c>
      <c r="AT2687" t="s">
        <v>15052</v>
      </c>
      <c r="AU2687" t="s">
        <v>525</v>
      </c>
      <c r="AV2687" t="s">
        <v>1082</v>
      </c>
      <c r="AW2687" t="s">
        <v>13003</v>
      </c>
      <c r="AX2687" t="s">
        <v>2653</v>
      </c>
      <c r="AY2687" t="s">
        <v>9074</v>
      </c>
      <c r="AZ2687" t="s">
        <v>7869</v>
      </c>
      <c r="BA2687">
        <v>2.67</v>
      </c>
      <c r="BB2687">
        <v>1362.32</v>
      </c>
      <c r="BC2687">
        <v>0.51</v>
      </c>
      <c r="BD2687">
        <v>9.59</v>
      </c>
      <c r="BE2687">
        <v>9.66</v>
      </c>
      <c r="BF2687">
        <v>9.57</v>
      </c>
      <c r="BG2687" t="s">
        <v>25032</v>
      </c>
      <c r="BH2687" t="s">
        <v>23687</v>
      </c>
      <c r="BI2687" t="s">
        <v>25033</v>
      </c>
      <c r="BJ2687" t="s">
        <v>101</v>
      </c>
      <c r="BK2687" t="s">
        <v>3495</v>
      </c>
      <c r="BL2687" t="s">
        <v>704</v>
      </c>
      <c r="BM2687" t="s">
        <v>11825</v>
      </c>
      <c r="BN2687" t="s">
        <v>23454</v>
      </c>
    </row>
    <row r="2688" spans="1:66" x14ac:dyDescent="0.25">
      <c r="A2688" t="str">
        <f>HYPERLINK("https://elite.finviz.com/quote.ashx?t=ESI&amp;ty=c&amp;p=d&amp;b=1", "ESI")</f>
        <v>ESI</v>
      </c>
      <c r="B2688">
        <v>5</v>
      </c>
      <c r="C2688">
        <v>116.22</v>
      </c>
      <c r="D2688">
        <v>39.409999999999997</v>
      </c>
      <c r="E2688" t="s">
        <v>25034</v>
      </c>
      <c r="F2688" t="s">
        <v>107</v>
      </c>
      <c r="G2688" t="s">
        <v>355</v>
      </c>
      <c r="H2688" t="s">
        <v>1147</v>
      </c>
      <c r="I2688" t="s">
        <v>70</v>
      </c>
      <c r="J2688" t="s">
        <v>71</v>
      </c>
      <c r="K2688">
        <v>5967.94</v>
      </c>
      <c r="L2688">
        <v>24.7</v>
      </c>
      <c r="M2688" t="s">
        <v>4886</v>
      </c>
      <c r="N2688">
        <v>248527</v>
      </c>
      <c r="O2688">
        <v>24.94</v>
      </c>
      <c r="P2688">
        <v>15.08</v>
      </c>
      <c r="Q2688">
        <v>2.94</v>
      </c>
      <c r="R2688">
        <v>2.4</v>
      </c>
      <c r="S2688">
        <v>2.27</v>
      </c>
      <c r="T2688" t="s">
        <v>2630</v>
      </c>
      <c r="U2688">
        <v>0.32</v>
      </c>
      <c r="V2688" t="s">
        <v>2187</v>
      </c>
      <c r="W2688" t="s">
        <v>164</v>
      </c>
      <c r="X2688" t="s">
        <v>6607</v>
      </c>
      <c r="Z2688" t="s">
        <v>2915</v>
      </c>
      <c r="AA2688">
        <v>0.99</v>
      </c>
      <c r="AB2688" t="s">
        <v>661</v>
      </c>
      <c r="AC2688" t="s">
        <v>13432</v>
      </c>
      <c r="AD2688" t="s">
        <v>1927</v>
      </c>
      <c r="AE2688" t="s">
        <v>3602</v>
      </c>
      <c r="AF2688" t="s">
        <v>6463</v>
      </c>
      <c r="AG2688" t="s">
        <v>3601</v>
      </c>
      <c r="AH2688" t="s">
        <v>5968</v>
      </c>
      <c r="AI2688" t="s">
        <v>304</v>
      </c>
      <c r="AJ2688" t="s">
        <v>11830</v>
      </c>
      <c r="AK2688" t="s">
        <v>4555</v>
      </c>
      <c r="AL2688">
        <v>4.0999999999999996</v>
      </c>
      <c r="AM2688">
        <v>3.3</v>
      </c>
      <c r="AN2688">
        <v>0.62</v>
      </c>
      <c r="AO2688" t="s">
        <v>9150</v>
      </c>
      <c r="AP2688" t="s">
        <v>4074</v>
      </c>
      <c r="AQ2688" t="s">
        <v>419</v>
      </c>
      <c r="AR2688" t="s">
        <v>1933</v>
      </c>
      <c r="AS2688" t="s">
        <v>4255</v>
      </c>
      <c r="AT2688" t="s">
        <v>2498</v>
      </c>
      <c r="AU2688" t="s">
        <v>13117</v>
      </c>
      <c r="AV2688" t="s">
        <v>4873</v>
      </c>
      <c r="AW2688" t="s">
        <v>5409</v>
      </c>
      <c r="AX2688" t="s">
        <v>5557</v>
      </c>
      <c r="AY2688" t="s">
        <v>7065</v>
      </c>
      <c r="AZ2688" t="s">
        <v>4768</v>
      </c>
      <c r="BA2688">
        <v>1.23</v>
      </c>
      <c r="BB2688">
        <v>2087.5700000000002</v>
      </c>
      <c r="BC2688">
        <v>0.42</v>
      </c>
      <c r="BD2688">
        <v>24.82</v>
      </c>
      <c r="BE2688">
        <v>25.04</v>
      </c>
      <c r="BF2688">
        <v>24.67</v>
      </c>
      <c r="BG2688" t="s">
        <v>25035</v>
      </c>
      <c r="BH2688" t="s">
        <v>7065</v>
      </c>
      <c r="BI2688" t="s">
        <v>25036</v>
      </c>
      <c r="BJ2688" t="s">
        <v>101</v>
      </c>
      <c r="BK2688" t="s">
        <v>8050</v>
      </c>
      <c r="BL2688" t="s">
        <v>3874</v>
      </c>
      <c r="BM2688" t="s">
        <v>5578</v>
      </c>
      <c r="BN2688" t="s">
        <v>23454</v>
      </c>
    </row>
    <row r="2689" spans="1:66" x14ac:dyDescent="0.25">
      <c r="A2689" t="str">
        <f>HYPERLINK("https://elite.finviz.com/quote.ashx?t=BBWI&amp;ty=c&amp;p=d&amp;b=1", "BBWI")</f>
        <v>BBWI</v>
      </c>
      <c r="B2689">
        <v>5</v>
      </c>
      <c r="C2689">
        <v>116.22</v>
      </c>
      <c r="D2689">
        <v>39.450000000000003</v>
      </c>
      <c r="E2689" t="s">
        <v>25037</v>
      </c>
      <c r="F2689" t="s">
        <v>107</v>
      </c>
      <c r="G2689" t="s">
        <v>813</v>
      </c>
      <c r="H2689" t="s">
        <v>2262</v>
      </c>
      <c r="I2689" t="s">
        <v>70</v>
      </c>
      <c r="J2689" t="s">
        <v>71</v>
      </c>
      <c r="K2689">
        <v>5346.45</v>
      </c>
      <c r="L2689">
        <v>25.93</v>
      </c>
      <c r="M2689" t="s">
        <v>141</v>
      </c>
      <c r="N2689">
        <v>1290930</v>
      </c>
      <c r="O2689">
        <v>7.71</v>
      </c>
      <c r="P2689">
        <v>6.82</v>
      </c>
      <c r="Q2689">
        <v>0.89</v>
      </c>
      <c r="R2689">
        <v>0.73</v>
      </c>
      <c r="T2689" t="s">
        <v>3542</v>
      </c>
      <c r="U2689">
        <v>0.8</v>
      </c>
      <c r="V2689" t="s">
        <v>4186</v>
      </c>
      <c r="W2689" t="s">
        <v>164</v>
      </c>
      <c r="X2689" t="s">
        <v>10165</v>
      </c>
      <c r="Y2689" t="s">
        <v>7449</v>
      </c>
      <c r="Z2689" t="s">
        <v>10270</v>
      </c>
      <c r="AA2689">
        <v>3.36</v>
      </c>
      <c r="AB2689" t="s">
        <v>481</v>
      </c>
      <c r="AC2689" t="s">
        <v>749</v>
      </c>
      <c r="AD2689" t="s">
        <v>191</v>
      </c>
      <c r="AE2689" t="s">
        <v>2906</v>
      </c>
      <c r="AF2689" t="s">
        <v>2978</v>
      </c>
      <c r="AG2689" t="s">
        <v>2619</v>
      </c>
      <c r="AH2689" t="s">
        <v>2145</v>
      </c>
      <c r="AI2689" t="s">
        <v>9854</v>
      </c>
      <c r="AJ2689" t="s">
        <v>164</v>
      </c>
      <c r="AK2689" t="s">
        <v>25038</v>
      </c>
      <c r="AL2689">
        <v>1.31</v>
      </c>
      <c r="AM2689">
        <v>0.56000000000000005</v>
      </c>
      <c r="AO2689" t="s">
        <v>25039</v>
      </c>
      <c r="AP2689" t="s">
        <v>2866</v>
      </c>
      <c r="AQ2689" t="s">
        <v>341</v>
      </c>
      <c r="AR2689" t="s">
        <v>2647</v>
      </c>
      <c r="AS2689" t="s">
        <v>289</v>
      </c>
      <c r="AT2689" t="s">
        <v>625</v>
      </c>
      <c r="AU2689" t="s">
        <v>14444</v>
      </c>
      <c r="AV2689" t="s">
        <v>19182</v>
      </c>
      <c r="AW2689" t="s">
        <v>25040</v>
      </c>
      <c r="AX2689" t="s">
        <v>2821</v>
      </c>
      <c r="AY2689" t="s">
        <v>16236</v>
      </c>
      <c r="AZ2689" t="s">
        <v>2821</v>
      </c>
      <c r="BA2689">
        <v>1.65</v>
      </c>
      <c r="BB2689">
        <v>5929.01</v>
      </c>
      <c r="BC2689">
        <v>0.77</v>
      </c>
      <c r="BD2689">
        <v>25.84</v>
      </c>
      <c r="BE2689">
        <v>26.21</v>
      </c>
      <c r="BF2689">
        <v>25.81</v>
      </c>
      <c r="BG2689" t="s">
        <v>25041</v>
      </c>
      <c r="BH2689" t="s">
        <v>25042</v>
      </c>
      <c r="BI2689" t="s">
        <v>25043</v>
      </c>
      <c r="BJ2689" t="s">
        <v>101</v>
      </c>
      <c r="BK2689" t="s">
        <v>3010</v>
      </c>
      <c r="BL2689" t="s">
        <v>19815</v>
      </c>
      <c r="BM2689" t="s">
        <v>6991</v>
      </c>
      <c r="BN2689" t="s">
        <v>23454</v>
      </c>
    </row>
    <row r="2690" spans="1:66" x14ac:dyDescent="0.25">
      <c r="A2690" t="str">
        <f>HYPERLINK("https://elite.finviz.com/quote.ashx?t=NVST&amp;ty=c&amp;p=d&amp;b=1", "NVST")</f>
        <v>NVST</v>
      </c>
      <c r="B2690">
        <v>5</v>
      </c>
      <c r="C2690">
        <v>116.22</v>
      </c>
      <c r="D2690">
        <v>39.49</v>
      </c>
      <c r="E2690" t="s">
        <v>25044</v>
      </c>
      <c r="F2690" t="s">
        <v>107</v>
      </c>
      <c r="G2690" t="s">
        <v>428</v>
      </c>
      <c r="H2690" t="s">
        <v>2161</v>
      </c>
      <c r="I2690" t="s">
        <v>70</v>
      </c>
      <c r="J2690" t="s">
        <v>71</v>
      </c>
      <c r="K2690">
        <v>3326.96</v>
      </c>
      <c r="L2690">
        <v>20.02</v>
      </c>
      <c r="M2690" t="s">
        <v>183</v>
      </c>
      <c r="N2690">
        <v>227639</v>
      </c>
      <c r="O2690">
        <v>63.88</v>
      </c>
      <c r="P2690">
        <v>16.350000000000001</v>
      </c>
      <c r="Q2690">
        <v>2.66</v>
      </c>
      <c r="R2690">
        <v>1.3</v>
      </c>
      <c r="S2690">
        <v>1.06</v>
      </c>
      <c r="AA2690">
        <v>0.31</v>
      </c>
      <c r="AD2690" t="s">
        <v>21465</v>
      </c>
      <c r="AE2690" t="s">
        <v>6245</v>
      </c>
      <c r="AF2690" t="s">
        <v>2215</v>
      </c>
      <c r="AG2690" t="s">
        <v>8053</v>
      </c>
      <c r="AH2690" t="s">
        <v>3507</v>
      </c>
      <c r="AI2690" t="s">
        <v>3406</v>
      </c>
      <c r="AJ2690" t="s">
        <v>15000</v>
      </c>
      <c r="AK2690" t="s">
        <v>25045</v>
      </c>
      <c r="AL2690">
        <v>2.44</v>
      </c>
      <c r="AM2690">
        <v>2.08</v>
      </c>
      <c r="AN2690">
        <v>0.51</v>
      </c>
      <c r="AO2690" t="s">
        <v>2207</v>
      </c>
      <c r="AP2690" t="s">
        <v>234</v>
      </c>
      <c r="AQ2690" t="s">
        <v>206</v>
      </c>
      <c r="AR2690" t="s">
        <v>2876</v>
      </c>
      <c r="AS2690" t="s">
        <v>89</v>
      </c>
      <c r="AT2690" t="s">
        <v>2998</v>
      </c>
      <c r="AU2690" t="s">
        <v>6161</v>
      </c>
      <c r="AV2690" t="s">
        <v>4269</v>
      </c>
      <c r="AW2690" t="s">
        <v>8230</v>
      </c>
      <c r="AX2690" t="s">
        <v>8593</v>
      </c>
      <c r="AY2690" t="s">
        <v>5507</v>
      </c>
      <c r="AZ2690" t="s">
        <v>9306</v>
      </c>
      <c r="BA2690">
        <v>2.64</v>
      </c>
      <c r="BB2690">
        <v>2085.61</v>
      </c>
      <c r="BC2690">
        <v>0.38</v>
      </c>
      <c r="BD2690">
        <v>19.989999999999998</v>
      </c>
      <c r="BE2690">
        <v>20.2</v>
      </c>
      <c r="BF2690">
        <v>19.88</v>
      </c>
      <c r="BG2690" t="s">
        <v>25046</v>
      </c>
      <c r="BH2690" t="s">
        <v>25047</v>
      </c>
      <c r="BI2690" t="s">
        <v>8972</v>
      </c>
      <c r="BJ2690" t="s">
        <v>101</v>
      </c>
      <c r="BK2690" t="s">
        <v>1952</v>
      </c>
      <c r="BL2690" t="s">
        <v>1652</v>
      </c>
      <c r="BM2690" t="s">
        <v>3506</v>
      </c>
      <c r="BN2690" t="s">
        <v>23454</v>
      </c>
    </row>
    <row r="2691" spans="1:66" x14ac:dyDescent="0.25">
      <c r="A2691" t="str">
        <f>HYPERLINK("https://elite.finviz.com/quote.ashx?t=AGL&amp;ty=c&amp;p=d&amp;b=1", "AGL")</f>
        <v>AGL</v>
      </c>
      <c r="B2691">
        <v>5</v>
      </c>
      <c r="C2691">
        <v>116.22</v>
      </c>
      <c r="D2691">
        <v>39.49</v>
      </c>
      <c r="E2691" t="s">
        <v>25048</v>
      </c>
      <c r="F2691" t="s">
        <v>67</v>
      </c>
      <c r="G2691" t="s">
        <v>428</v>
      </c>
      <c r="H2691" t="s">
        <v>3160</v>
      </c>
      <c r="I2691" t="s">
        <v>70</v>
      </c>
      <c r="J2691" t="s">
        <v>71</v>
      </c>
      <c r="K2691">
        <v>451.72</v>
      </c>
      <c r="L2691">
        <v>1.0900000000000001</v>
      </c>
      <c r="M2691" t="s">
        <v>164</v>
      </c>
      <c r="N2691">
        <v>878212</v>
      </c>
      <c r="R2691">
        <v>0.08</v>
      </c>
      <c r="S2691">
        <v>1.1000000000000001</v>
      </c>
      <c r="AA2691">
        <v>-0.8</v>
      </c>
      <c r="AB2691" t="s">
        <v>6875</v>
      </c>
      <c r="AC2691" t="s">
        <v>5593</v>
      </c>
      <c r="AD2691" t="s">
        <v>4797</v>
      </c>
      <c r="AE2691" t="s">
        <v>3099</v>
      </c>
      <c r="AF2691" t="s">
        <v>9890</v>
      </c>
      <c r="AG2691" t="s">
        <v>25049</v>
      </c>
      <c r="AH2691" t="s">
        <v>10546</v>
      </c>
      <c r="AI2691" t="s">
        <v>25050</v>
      </c>
      <c r="AJ2691" t="s">
        <v>164</v>
      </c>
      <c r="AK2691" t="s">
        <v>25051</v>
      </c>
      <c r="AL2691">
        <v>1.1599999999999999</v>
      </c>
      <c r="AM2691">
        <v>1.1599999999999999</v>
      </c>
      <c r="AN2691">
        <v>0.1</v>
      </c>
      <c r="AO2691" t="s">
        <v>5444</v>
      </c>
      <c r="AP2691" t="s">
        <v>5857</v>
      </c>
      <c r="AQ2691" t="s">
        <v>8190</v>
      </c>
      <c r="AR2691" t="s">
        <v>1772</v>
      </c>
      <c r="AS2691" t="s">
        <v>1653</v>
      </c>
      <c r="AT2691" t="s">
        <v>3140</v>
      </c>
      <c r="AU2691" t="s">
        <v>3464</v>
      </c>
      <c r="AV2691" t="s">
        <v>21513</v>
      </c>
      <c r="AW2691" t="s">
        <v>25052</v>
      </c>
      <c r="AX2691" t="s">
        <v>641</v>
      </c>
      <c r="AY2691" t="s">
        <v>25053</v>
      </c>
      <c r="AZ2691" t="s">
        <v>641</v>
      </c>
      <c r="BA2691">
        <v>3.06</v>
      </c>
      <c r="BB2691">
        <v>10392.290000000001</v>
      </c>
      <c r="BC2691">
        <v>0.3</v>
      </c>
      <c r="BD2691">
        <v>1.0900000000000001</v>
      </c>
      <c r="BE2691">
        <v>1.1299999999999999</v>
      </c>
      <c r="BF2691">
        <v>1.0900000000000001</v>
      </c>
      <c r="BG2691" t="s">
        <v>25054</v>
      </c>
      <c r="BH2691" t="s">
        <v>25055</v>
      </c>
      <c r="BI2691" t="s">
        <v>641</v>
      </c>
      <c r="BJ2691" t="s">
        <v>101</v>
      </c>
      <c r="BK2691" t="s">
        <v>24717</v>
      </c>
      <c r="BL2691" t="s">
        <v>25056</v>
      </c>
      <c r="BM2691" t="s">
        <v>25057</v>
      </c>
      <c r="BN2691" t="s">
        <v>23454</v>
      </c>
    </row>
    <row r="2692" spans="1:66" x14ac:dyDescent="0.25">
      <c r="A2692" t="str">
        <f>HYPERLINK("https://elite.finviz.com/quote.ashx?t=HRTX&amp;ty=c&amp;p=d&amp;b=1", "HRTX")</f>
        <v>HRTX</v>
      </c>
      <c r="B2692">
        <v>5</v>
      </c>
      <c r="C2692">
        <v>116.22</v>
      </c>
      <c r="D2692">
        <v>39.49</v>
      </c>
      <c r="E2692" t="s">
        <v>25058</v>
      </c>
      <c r="F2692" t="s">
        <v>67</v>
      </c>
      <c r="G2692" t="s">
        <v>428</v>
      </c>
      <c r="H2692" t="s">
        <v>429</v>
      </c>
      <c r="I2692" t="s">
        <v>70</v>
      </c>
      <c r="J2692" t="s">
        <v>321</v>
      </c>
      <c r="K2692">
        <v>225.47</v>
      </c>
      <c r="L2692">
        <v>1.23</v>
      </c>
      <c r="M2692" t="s">
        <v>969</v>
      </c>
      <c r="N2692">
        <v>163164</v>
      </c>
      <c r="P2692">
        <v>20.5</v>
      </c>
      <c r="R2692">
        <v>1.51</v>
      </c>
      <c r="AA2692">
        <v>-0.01</v>
      </c>
      <c r="AB2692" t="s">
        <v>25059</v>
      </c>
      <c r="AC2692" t="s">
        <v>10022</v>
      </c>
      <c r="AE2692" t="s">
        <v>5653</v>
      </c>
      <c r="AF2692" t="s">
        <v>5970</v>
      </c>
      <c r="AG2692" t="s">
        <v>2294</v>
      </c>
      <c r="AH2692" t="s">
        <v>4499</v>
      </c>
      <c r="AI2692" t="s">
        <v>579</v>
      </c>
      <c r="AJ2692" t="s">
        <v>25060</v>
      </c>
      <c r="AK2692" t="s">
        <v>22619</v>
      </c>
      <c r="AL2692">
        <v>0.82</v>
      </c>
      <c r="AM2692">
        <v>0.53</v>
      </c>
      <c r="AO2692" t="s">
        <v>25061</v>
      </c>
      <c r="AP2692" t="s">
        <v>4759</v>
      </c>
      <c r="AQ2692" t="s">
        <v>8932</v>
      </c>
      <c r="AR2692" t="s">
        <v>3855</v>
      </c>
      <c r="AS2692" t="s">
        <v>215</v>
      </c>
      <c r="AT2692" t="s">
        <v>608</v>
      </c>
      <c r="AU2692" t="s">
        <v>6136</v>
      </c>
      <c r="AV2692" t="s">
        <v>21347</v>
      </c>
      <c r="AW2692" t="s">
        <v>22226</v>
      </c>
      <c r="AX2692" t="s">
        <v>3542</v>
      </c>
      <c r="AY2692" t="s">
        <v>25062</v>
      </c>
      <c r="AZ2692" t="s">
        <v>15197</v>
      </c>
      <c r="BA2692">
        <v>1</v>
      </c>
      <c r="BB2692">
        <v>1713.02</v>
      </c>
      <c r="BC2692">
        <v>0.34</v>
      </c>
      <c r="BD2692">
        <v>1.22</v>
      </c>
      <c r="BE2692">
        <v>1.25</v>
      </c>
      <c r="BF2692">
        <v>1.22</v>
      </c>
      <c r="BG2692" t="s">
        <v>25063</v>
      </c>
      <c r="BH2692" t="s">
        <v>400</v>
      </c>
      <c r="BI2692" t="s">
        <v>25064</v>
      </c>
      <c r="BJ2692" t="s">
        <v>101</v>
      </c>
      <c r="BK2692" t="s">
        <v>21475</v>
      </c>
      <c r="BL2692" t="s">
        <v>18711</v>
      </c>
      <c r="BM2692" t="s">
        <v>25065</v>
      </c>
      <c r="BN2692" t="s">
        <v>23454</v>
      </c>
    </row>
    <row r="2693" spans="1:66" x14ac:dyDescent="0.25">
      <c r="A2693" t="str">
        <f>HYPERLINK("https://elite.finviz.com/quote.ashx?t=GDDY&amp;ty=c&amp;p=d&amp;b=1", "GDDY")</f>
        <v>GDDY</v>
      </c>
      <c r="B2693">
        <v>5</v>
      </c>
      <c r="C2693">
        <v>116.22</v>
      </c>
      <c r="D2693">
        <v>39.49</v>
      </c>
      <c r="E2693" t="s">
        <v>25066</v>
      </c>
      <c r="F2693" t="s">
        <v>195</v>
      </c>
      <c r="G2693" t="s">
        <v>108</v>
      </c>
      <c r="H2693" t="s">
        <v>109</v>
      </c>
      <c r="I2693" t="s">
        <v>70</v>
      </c>
      <c r="J2693" t="s">
        <v>71</v>
      </c>
      <c r="K2693">
        <v>19534.47</v>
      </c>
      <c r="L2693">
        <v>141.1</v>
      </c>
      <c r="M2693" t="s">
        <v>171</v>
      </c>
      <c r="N2693">
        <v>173556</v>
      </c>
      <c r="O2693">
        <v>25.14</v>
      </c>
      <c r="P2693">
        <v>19.64</v>
      </c>
      <c r="Q2693">
        <v>2.17</v>
      </c>
      <c r="R2693">
        <v>4.1100000000000003</v>
      </c>
      <c r="S2693">
        <v>48.45</v>
      </c>
      <c r="Z2693" t="s">
        <v>164</v>
      </c>
      <c r="AA2693">
        <v>5.61</v>
      </c>
      <c r="AB2693" t="s">
        <v>5352</v>
      </c>
      <c r="AC2693" t="s">
        <v>20866</v>
      </c>
      <c r="AD2693" t="s">
        <v>5446</v>
      </c>
      <c r="AE2693" t="s">
        <v>3818</v>
      </c>
      <c r="AF2693" t="s">
        <v>5455</v>
      </c>
      <c r="AG2693" t="s">
        <v>660</v>
      </c>
      <c r="AH2693" t="s">
        <v>3050</v>
      </c>
      <c r="AI2693" t="s">
        <v>2810</v>
      </c>
      <c r="AJ2693" t="s">
        <v>10855</v>
      </c>
      <c r="AK2693" t="s">
        <v>5504</v>
      </c>
      <c r="AL2693">
        <v>0.64</v>
      </c>
      <c r="AM2693">
        <v>0.64</v>
      </c>
      <c r="AN2693">
        <v>9.6</v>
      </c>
      <c r="AO2693" t="s">
        <v>5821</v>
      </c>
      <c r="AP2693" t="s">
        <v>25067</v>
      </c>
      <c r="AQ2693" t="s">
        <v>5046</v>
      </c>
      <c r="AR2693" t="s">
        <v>1776</v>
      </c>
      <c r="AS2693" t="s">
        <v>180</v>
      </c>
      <c r="AT2693" t="s">
        <v>4646</v>
      </c>
      <c r="AU2693" t="s">
        <v>1200</v>
      </c>
      <c r="AV2693" t="s">
        <v>4858</v>
      </c>
      <c r="AW2693" t="s">
        <v>19999</v>
      </c>
      <c r="AX2693" t="s">
        <v>2398</v>
      </c>
      <c r="AY2693" t="s">
        <v>19457</v>
      </c>
      <c r="AZ2693" t="s">
        <v>2398</v>
      </c>
      <c r="BA2693">
        <v>1.95</v>
      </c>
      <c r="BB2693">
        <v>1763.89</v>
      </c>
      <c r="BC2693">
        <v>0.35</v>
      </c>
      <c r="BD2693">
        <v>141.19</v>
      </c>
      <c r="BE2693">
        <v>142.04</v>
      </c>
      <c r="BF2693">
        <v>140.94999999999999</v>
      </c>
      <c r="BG2693" t="s">
        <v>25068</v>
      </c>
      <c r="BH2693" t="s">
        <v>19457</v>
      </c>
      <c r="BI2693" t="s">
        <v>25069</v>
      </c>
      <c r="BJ2693" t="s">
        <v>101</v>
      </c>
      <c r="BK2693" t="s">
        <v>4948</v>
      </c>
      <c r="BL2693" t="s">
        <v>7506</v>
      </c>
      <c r="BM2693" t="s">
        <v>3610</v>
      </c>
      <c r="BN2693" t="s">
        <v>23454</v>
      </c>
    </row>
    <row r="2694" spans="1:66" x14ac:dyDescent="0.25">
      <c r="A2694" t="str">
        <f>HYPERLINK("https://elite.finviz.com/quote.ashx?t=SBUX&amp;ty=c&amp;p=d&amp;b=1", "SBUX")</f>
        <v>SBUX</v>
      </c>
      <c r="B2694">
        <v>5</v>
      </c>
      <c r="C2694">
        <v>116.22</v>
      </c>
      <c r="D2694">
        <v>39.5</v>
      </c>
      <c r="E2694" t="s">
        <v>25070</v>
      </c>
      <c r="F2694" t="s">
        <v>319</v>
      </c>
      <c r="G2694" t="s">
        <v>813</v>
      </c>
      <c r="H2694" t="s">
        <v>2285</v>
      </c>
      <c r="I2694" t="s">
        <v>70</v>
      </c>
      <c r="J2694" t="s">
        <v>321</v>
      </c>
      <c r="K2694">
        <v>94391.57</v>
      </c>
      <c r="L2694">
        <v>83.04</v>
      </c>
      <c r="M2694" t="s">
        <v>5721</v>
      </c>
      <c r="N2694">
        <v>2096331</v>
      </c>
      <c r="O2694">
        <v>35.909999999999997</v>
      </c>
      <c r="P2694">
        <v>31.25</v>
      </c>
      <c r="Q2694">
        <v>399.04</v>
      </c>
      <c r="R2694">
        <v>2.57</v>
      </c>
      <c r="T2694" t="s">
        <v>307</v>
      </c>
      <c r="U2694">
        <v>2.44</v>
      </c>
      <c r="V2694" t="s">
        <v>3046</v>
      </c>
      <c r="W2694" t="s">
        <v>2922</v>
      </c>
      <c r="X2694" t="s">
        <v>2861</v>
      </c>
      <c r="Y2694" t="s">
        <v>3230</v>
      </c>
      <c r="Z2694" t="s">
        <v>18899</v>
      </c>
      <c r="AA2694">
        <v>2.31</v>
      </c>
      <c r="AB2694" t="s">
        <v>10568</v>
      </c>
      <c r="AC2694" t="s">
        <v>1776</v>
      </c>
      <c r="AD2694" t="s">
        <v>1324</v>
      </c>
      <c r="AE2694" t="s">
        <v>1763</v>
      </c>
      <c r="AF2694" t="s">
        <v>2922</v>
      </c>
      <c r="AG2694" t="s">
        <v>3115</v>
      </c>
      <c r="AH2694" t="s">
        <v>756</v>
      </c>
      <c r="AI2694" t="s">
        <v>7149</v>
      </c>
      <c r="AJ2694" t="s">
        <v>164</v>
      </c>
      <c r="AK2694" t="s">
        <v>1993</v>
      </c>
      <c r="AL2694">
        <v>0.76</v>
      </c>
      <c r="AM2694">
        <v>0.55000000000000004</v>
      </c>
      <c r="AO2694" t="s">
        <v>12515</v>
      </c>
      <c r="AP2694" t="s">
        <v>3468</v>
      </c>
      <c r="AQ2694" t="s">
        <v>3121</v>
      </c>
      <c r="AR2694" t="s">
        <v>2087</v>
      </c>
      <c r="AS2694" t="s">
        <v>6692</v>
      </c>
      <c r="AT2694" t="s">
        <v>5765</v>
      </c>
      <c r="AU2694" t="s">
        <v>4967</v>
      </c>
      <c r="AV2694" t="s">
        <v>7794</v>
      </c>
      <c r="AW2694" t="s">
        <v>25071</v>
      </c>
      <c r="AX2694" t="s">
        <v>6003</v>
      </c>
      <c r="AY2694" t="s">
        <v>14509</v>
      </c>
      <c r="AZ2694" t="s">
        <v>6448</v>
      </c>
      <c r="BA2694">
        <v>2.37</v>
      </c>
      <c r="BB2694">
        <v>9596.92</v>
      </c>
      <c r="BC2694">
        <v>0.77</v>
      </c>
      <c r="BD2694">
        <v>83.83</v>
      </c>
      <c r="BE2694">
        <v>84.62</v>
      </c>
      <c r="BF2694">
        <v>83.01</v>
      </c>
      <c r="BG2694" t="s">
        <v>25072</v>
      </c>
      <c r="BH2694" t="s">
        <v>25073</v>
      </c>
      <c r="BI2694" t="s">
        <v>25074</v>
      </c>
      <c r="BJ2694" t="s">
        <v>101</v>
      </c>
      <c r="BK2694" t="s">
        <v>5640</v>
      </c>
      <c r="BL2694" t="s">
        <v>19710</v>
      </c>
      <c r="BM2694" t="s">
        <v>384</v>
      </c>
      <c r="BN2694" t="s">
        <v>23454</v>
      </c>
    </row>
    <row r="2695" spans="1:66" x14ac:dyDescent="0.25">
      <c r="A2695" t="str">
        <f>HYPERLINK("https://elite.finviz.com/quote.ashx?t=HPP&amp;ty=c&amp;p=d&amp;b=1", "HPP")</f>
        <v>HPP</v>
      </c>
      <c r="B2695">
        <v>5</v>
      </c>
      <c r="C2695">
        <v>116.22</v>
      </c>
      <c r="D2695">
        <v>39.549999999999997</v>
      </c>
      <c r="E2695" t="s">
        <v>25075</v>
      </c>
      <c r="F2695" t="s">
        <v>67</v>
      </c>
      <c r="G2695" t="s">
        <v>68</v>
      </c>
      <c r="H2695" t="s">
        <v>69</v>
      </c>
      <c r="I2695" t="s">
        <v>70</v>
      </c>
      <c r="J2695" t="s">
        <v>71</v>
      </c>
      <c r="K2695">
        <v>1006.32</v>
      </c>
      <c r="L2695">
        <v>2.62</v>
      </c>
      <c r="M2695" t="s">
        <v>3226</v>
      </c>
      <c r="N2695">
        <v>891088</v>
      </c>
      <c r="R2695">
        <v>1.26</v>
      </c>
      <c r="S2695">
        <v>0.34</v>
      </c>
      <c r="V2695" t="s">
        <v>25076</v>
      </c>
      <c r="AA2695">
        <v>-2.81</v>
      </c>
      <c r="AD2695" t="s">
        <v>10089</v>
      </c>
      <c r="AE2695" t="s">
        <v>5707</v>
      </c>
      <c r="AF2695" t="s">
        <v>1180</v>
      </c>
      <c r="AG2695" t="s">
        <v>1763</v>
      </c>
      <c r="AH2695" t="s">
        <v>12939</v>
      </c>
      <c r="AI2695" t="s">
        <v>25077</v>
      </c>
      <c r="AJ2695" t="s">
        <v>9009</v>
      </c>
      <c r="AK2695" t="s">
        <v>25078</v>
      </c>
      <c r="AL2695">
        <v>1.22</v>
      </c>
      <c r="AM2695">
        <v>1.22</v>
      </c>
      <c r="AN2695">
        <v>1.23</v>
      </c>
      <c r="AO2695" t="s">
        <v>9475</v>
      </c>
      <c r="AP2695" t="s">
        <v>6479</v>
      </c>
      <c r="AQ2695" t="s">
        <v>1841</v>
      </c>
      <c r="AR2695" t="s">
        <v>1087</v>
      </c>
      <c r="AS2695" t="s">
        <v>10226</v>
      </c>
      <c r="AT2695" t="s">
        <v>76</v>
      </c>
      <c r="AU2695" t="s">
        <v>6640</v>
      </c>
      <c r="AV2695" t="s">
        <v>4698</v>
      </c>
      <c r="AW2695" t="s">
        <v>5980</v>
      </c>
      <c r="AX2695" t="s">
        <v>3526</v>
      </c>
      <c r="AY2695" t="s">
        <v>1111</v>
      </c>
      <c r="AZ2695" t="s">
        <v>25079</v>
      </c>
      <c r="BA2695">
        <v>2.64</v>
      </c>
      <c r="BB2695">
        <v>6895.44</v>
      </c>
      <c r="BC2695">
        <v>0.46</v>
      </c>
      <c r="BD2695">
        <v>2.61</v>
      </c>
      <c r="BE2695">
        <v>2.64</v>
      </c>
      <c r="BF2695">
        <v>2.58</v>
      </c>
      <c r="BG2695" t="s">
        <v>25080</v>
      </c>
      <c r="BH2695" t="s">
        <v>25081</v>
      </c>
      <c r="BI2695" t="s">
        <v>25079</v>
      </c>
      <c r="BJ2695" t="s">
        <v>101</v>
      </c>
      <c r="BK2695" t="s">
        <v>6105</v>
      </c>
      <c r="BL2695" t="s">
        <v>5507</v>
      </c>
      <c r="BM2695" t="s">
        <v>25082</v>
      </c>
      <c r="BN2695" t="s">
        <v>23454</v>
      </c>
    </row>
    <row r="2696" spans="1:66" x14ac:dyDescent="0.25">
      <c r="A2696" t="str">
        <f>HYPERLINK("https://elite.finviz.com/quote.ashx?t=CAG&amp;ty=c&amp;p=d&amp;b=1", "CAG")</f>
        <v>CAG</v>
      </c>
      <c r="B2696">
        <v>5</v>
      </c>
      <c r="C2696">
        <v>116.22</v>
      </c>
      <c r="D2696">
        <v>39.549999999999997</v>
      </c>
      <c r="E2696" t="s">
        <v>25083</v>
      </c>
      <c r="F2696" t="s">
        <v>195</v>
      </c>
      <c r="G2696" t="s">
        <v>2244</v>
      </c>
      <c r="H2696" t="s">
        <v>3269</v>
      </c>
      <c r="I2696" t="s">
        <v>70</v>
      </c>
      <c r="J2696" t="s">
        <v>71</v>
      </c>
      <c r="K2696">
        <v>8691.85</v>
      </c>
      <c r="L2696">
        <v>18.2</v>
      </c>
      <c r="M2696" t="s">
        <v>8179</v>
      </c>
      <c r="N2696">
        <v>2300455</v>
      </c>
      <c r="O2696">
        <v>7.58</v>
      </c>
      <c r="P2696">
        <v>9.73</v>
      </c>
      <c r="R2696">
        <v>0.75</v>
      </c>
      <c r="S2696">
        <v>0.97</v>
      </c>
      <c r="T2696" t="s">
        <v>4512</v>
      </c>
      <c r="U2696">
        <v>1.4</v>
      </c>
      <c r="V2696" t="s">
        <v>10483</v>
      </c>
      <c r="W2696" t="s">
        <v>164</v>
      </c>
      <c r="X2696" t="s">
        <v>4324</v>
      </c>
      <c r="Y2696" t="s">
        <v>7106</v>
      </c>
      <c r="Z2696" t="s">
        <v>19128</v>
      </c>
      <c r="AA2696">
        <v>2.4</v>
      </c>
      <c r="AB2696" t="s">
        <v>10619</v>
      </c>
      <c r="AC2696" t="s">
        <v>4999</v>
      </c>
      <c r="AD2696" t="s">
        <v>4187</v>
      </c>
      <c r="AE2696" t="s">
        <v>4439</v>
      </c>
      <c r="AF2696" t="s">
        <v>430</v>
      </c>
      <c r="AG2696" t="s">
        <v>1338</v>
      </c>
      <c r="AH2696" t="s">
        <v>8109</v>
      </c>
      <c r="AI2696" t="s">
        <v>7959</v>
      </c>
      <c r="AJ2696" t="s">
        <v>164</v>
      </c>
      <c r="AK2696" t="s">
        <v>22645</v>
      </c>
      <c r="AL2696">
        <v>0.71</v>
      </c>
      <c r="AM2696">
        <v>0.24</v>
      </c>
      <c r="AN2696">
        <v>0.93</v>
      </c>
      <c r="AO2696" t="s">
        <v>9107</v>
      </c>
      <c r="AP2696" t="s">
        <v>604</v>
      </c>
      <c r="AQ2696" t="s">
        <v>230</v>
      </c>
      <c r="AR2696" t="s">
        <v>4600</v>
      </c>
      <c r="AS2696" t="s">
        <v>7322</v>
      </c>
      <c r="AT2696" t="s">
        <v>5763</v>
      </c>
      <c r="AU2696" t="s">
        <v>818</v>
      </c>
      <c r="AV2696" t="s">
        <v>13265</v>
      </c>
      <c r="AW2696" t="s">
        <v>5594</v>
      </c>
      <c r="AX2696" t="s">
        <v>84</v>
      </c>
      <c r="AY2696" t="s">
        <v>6910</v>
      </c>
      <c r="AZ2696" t="s">
        <v>84</v>
      </c>
      <c r="BA2696">
        <v>2.95</v>
      </c>
      <c r="BB2696">
        <v>11539.67</v>
      </c>
      <c r="BC2696">
        <v>0.7</v>
      </c>
      <c r="BD2696">
        <v>18.079999999999998</v>
      </c>
      <c r="BE2696">
        <v>18.36</v>
      </c>
      <c r="BF2696">
        <v>18.12</v>
      </c>
      <c r="BG2696" t="s">
        <v>25084</v>
      </c>
      <c r="BH2696" t="s">
        <v>25085</v>
      </c>
      <c r="BI2696" t="s">
        <v>25086</v>
      </c>
      <c r="BJ2696" t="s">
        <v>101</v>
      </c>
      <c r="BK2696" t="s">
        <v>12495</v>
      </c>
      <c r="BL2696" t="s">
        <v>10193</v>
      </c>
      <c r="BM2696" t="s">
        <v>17123</v>
      </c>
      <c r="BN2696" t="s">
        <v>23454</v>
      </c>
    </row>
    <row r="2697" spans="1:66" x14ac:dyDescent="0.25">
      <c r="A2697" t="str">
        <f>HYPERLINK("https://elite.finviz.com/quote.ashx?t=Z&amp;ty=c&amp;p=d&amp;b=1", "Z")</f>
        <v>Z</v>
      </c>
      <c r="B2697">
        <v>5</v>
      </c>
      <c r="C2697">
        <v>116.22</v>
      </c>
      <c r="D2697">
        <v>39.58</v>
      </c>
      <c r="E2697" t="s">
        <v>25087</v>
      </c>
      <c r="F2697" t="s">
        <v>107</v>
      </c>
      <c r="G2697" t="s">
        <v>598</v>
      </c>
      <c r="H2697" t="s">
        <v>599</v>
      </c>
      <c r="I2697" t="s">
        <v>70</v>
      </c>
      <c r="J2697" t="s">
        <v>321</v>
      </c>
      <c r="K2697">
        <v>18987.34</v>
      </c>
      <c r="L2697">
        <v>78.849999999999994</v>
      </c>
      <c r="M2697" t="s">
        <v>2554</v>
      </c>
      <c r="N2697">
        <v>470776</v>
      </c>
      <c r="P2697">
        <v>35.49</v>
      </c>
      <c r="R2697">
        <v>7.95</v>
      </c>
      <c r="S2697">
        <v>4.01</v>
      </c>
      <c r="AA2697">
        <v>-0.27</v>
      </c>
      <c r="AB2697" t="s">
        <v>412</v>
      </c>
      <c r="AC2697" t="s">
        <v>12922</v>
      </c>
      <c r="AD2697" t="s">
        <v>16590</v>
      </c>
      <c r="AE2697" t="s">
        <v>6387</v>
      </c>
      <c r="AF2697" t="s">
        <v>1760</v>
      </c>
      <c r="AG2697" t="s">
        <v>2998</v>
      </c>
      <c r="AH2697" t="s">
        <v>5901</v>
      </c>
      <c r="AI2697" t="s">
        <v>10364</v>
      </c>
      <c r="AJ2697" t="s">
        <v>600</v>
      </c>
      <c r="AK2697" t="s">
        <v>1961</v>
      </c>
      <c r="AL2697">
        <v>3.34</v>
      </c>
      <c r="AM2697">
        <v>3.34</v>
      </c>
      <c r="AN2697">
        <v>7.0000000000000007E-2</v>
      </c>
      <c r="AO2697" t="s">
        <v>3489</v>
      </c>
      <c r="AP2697" t="s">
        <v>8190</v>
      </c>
      <c r="AQ2697" t="s">
        <v>91</v>
      </c>
      <c r="AR2697" t="s">
        <v>9130</v>
      </c>
      <c r="AS2697" t="s">
        <v>4294</v>
      </c>
      <c r="AT2697" t="s">
        <v>6013</v>
      </c>
      <c r="AU2697" t="s">
        <v>8004</v>
      </c>
      <c r="AV2697" t="s">
        <v>169</v>
      </c>
      <c r="AW2697" t="s">
        <v>6435</v>
      </c>
      <c r="AX2697" t="s">
        <v>2735</v>
      </c>
      <c r="AY2697" t="s">
        <v>6435</v>
      </c>
      <c r="AZ2697" t="s">
        <v>8367</v>
      </c>
      <c r="BA2697">
        <v>2.23</v>
      </c>
      <c r="BB2697">
        <v>2755.25</v>
      </c>
      <c r="BC2697">
        <v>0.6</v>
      </c>
      <c r="BD2697">
        <v>77.75</v>
      </c>
      <c r="BE2697">
        <v>79.13</v>
      </c>
      <c r="BF2697">
        <v>77.709999999999994</v>
      </c>
      <c r="BG2697" t="s">
        <v>25088</v>
      </c>
      <c r="BH2697" t="s">
        <v>16350</v>
      </c>
      <c r="BI2697" t="s">
        <v>25089</v>
      </c>
      <c r="BJ2697" t="s">
        <v>101</v>
      </c>
      <c r="BK2697" t="s">
        <v>3449</v>
      </c>
      <c r="BL2697" t="s">
        <v>4110</v>
      </c>
      <c r="BM2697" t="s">
        <v>5564</v>
      </c>
      <c r="BN2697" t="s">
        <v>23454</v>
      </c>
    </row>
    <row r="2698" spans="1:66" x14ac:dyDescent="0.25">
      <c r="A2698" t="str">
        <f>HYPERLINK("https://elite.finviz.com/quote.ashx?t=COTY&amp;ty=c&amp;p=d&amp;b=1", "COTY")</f>
        <v>COTY</v>
      </c>
      <c r="B2698">
        <v>5</v>
      </c>
      <c r="C2698">
        <v>116.22</v>
      </c>
      <c r="D2698">
        <v>39.590000000000003</v>
      </c>
      <c r="E2698" t="s">
        <v>25090</v>
      </c>
      <c r="F2698" t="s">
        <v>107</v>
      </c>
      <c r="G2698" t="s">
        <v>2244</v>
      </c>
      <c r="H2698" t="s">
        <v>5311</v>
      </c>
      <c r="I2698" t="s">
        <v>70</v>
      </c>
      <c r="J2698" t="s">
        <v>71</v>
      </c>
      <c r="K2698">
        <v>3473.04</v>
      </c>
      <c r="L2698">
        <v>3.98</v>
      </c>
      <c r="M2698" t="s">
        <v>1559</v>
      </c>
      <c r="N2698">
        <v>845775</v>
      </c>
      <c r="P2698">
        <v>7.92</v>
      </c>
      <c r="R2698">
        <v>0.59</v>
      </c>
      <c r="S2698">
        <v>0.98</v>
      </c>
      <c r="V2698" t="s">
        <v>23718</v>
      </c>
      <c r="Z2698" t="s">
        <v>164</v>
      </c>
      <c r="AA2698">
        <v>-0.44</v>
      </c>
      <c r="AC2698" t="s">
        <v>8239</v>
      </c>
      <c r="AD2698" t="s">
        <v>7895</v>
      </c>
      <c r="AE2698" t="s">
        <v>2893</v>
      </c>
      <c r="AF2698" t="s">
        <v>975</v>
      </c>
      <c r="AG2698" t="s">
        <v>4104</v>
      </c>
      <c r="AH2698" t="s">
        <v>5176</v>
      </c>
      <c r="AI2698" t="s">
        <v>25091</v>
      </c>
      <c r="AJ2698" t="s">
        <v>580</v>
      </c>
      <c r="AK2698" t="s">
        <v>6621</v>
      </c>
      <c r="AL2698">
        <v>0.77</v>
      </c>
      <c r="AM2698">
        <v>0.46</v>
      </c>
      <c r="AN2698">
        <v>1.24</v>
      </c>
      <c r="AO2698" t="s">
        <v>2693</v>
      </c>
      <c r="AP2698" t="s">
        <v>7567</v>
      </c>
      <c r="AQ2698" t="s">
        <v>4947</v>
      </c>
      <c r="AR2698" t="s">
        <v>1768</v>
      </c>
      <c r="AS2698" t="s">
        <v>756</v>
      </c>
      <c r="AT2698" t="s">
        <v>6499</v>
      </c>
      <c r="AU2698" t="s">
        <v>612</v>
      </c>
      <c r="AV2698" t="s">
        <v>6511</v>
      </c>
      <c r="AW2698" t="s">
        <v>14090</v>
      </c>
      <c r="AX2698" t="s">
        <v>6028</v>
      </c>
      <c r="AY2698" t="s">
        <v>25092</v>
      </c>
      <c r="AZ2698" t="s">
        <v>6028</v>
      </c>
      <c r="BA2698">
        <v>2.83</v>
      </c>
      <c r="BB2698">
        <v>8997.48</v>
      </c>
      <c r="BC2698">
        <v>0.33</v>
      </c>
      <c r="BD2698">
        <v>3.93</v>
      </c>
      <c r="BE2698">
        <v>4</v>
      </c>
      <c r="BF2698">
        <v>3.91</v>
      </c>
      <c r="BG2698" t="s">
        <v>25093</v>
      </c>
      <c r="BH2698" t="s">
        <v>22929</v>
      </c>
      <c r="BI2698" t="s">
        <v>13135</v>
      </c>
      <c r="BJ2698" t="s">
        <v>101</v>
      </c>
      <c r="BK2698" t="s">
        <v>18890</v>
      </c>
      <c r="BL2698" t="s">
        <v>5768</v>
      </c>
      <c r="BM2698" t="s">
        <v>25094</v>
      </c>
      <c r="BN2698" t="s">
        <v>23454</v>
      </c>
    </row>
    <row r="2699" spans="1:66" x14ac:dyDescent="0.25">
      <c r="A2699" t="str">
        <f>HYPERLINK("https://elite.finviz.com/quote.ashx?t=BMRN&amp;ty=c&amp;p=d&amp;b=1", "BMRN")</f>
        <v>BMRN</v>
      </c>
      <c r="B2699">
        <v>5</v>
      </c>
      <c r="C2699">
        <v>116.22</v>
      </c>
      <c r="D2699">
        <v>39.61</v>
      </c>
      <c r="E2699" t="s">
        <v>25095</v>
      </c>
      <c r="F2699" t="s">
        <v>107</v>
      </c>
      <c r="G2699" t="s">
        <v>428</v>
      </c>
      <c r="H2699" t="s">
        <v>429</v>
      </c>
      <c r="I2699" t="s">
        <v>70</v>
      </c>
      <c r="J2699" t="s">
        <v>321</v>
      </c>
      <c r="K2699">
        <v>10212.82</v>
      </c>
      <c r="L2699">
        <v>53.19</v>
      </c>
      <c r="M2699" t="s">
        <v>344</v>
      </c>
      <c r="N2699">
        <v>308061</v>
      </c>
      <c r="O2699">
        <v>15.75</v>
      </c>
      <c r="P2699">
        <v>11.63</v>
      </c>
      <c r="Q2699">
        <v>0.46</v>
      </c>
      <c r="R2699">
        <v>3.36</v>
      </c>
      <c r="S2699">
        <v>1.69</v>
      </c>
      <c r="Z2699" t="s">
        <v>164</v>
      </c>
      <c r="AA2699">
        <v>3.38</v>
      </c>
      <c r="AD2699" t="s">
        <v>18760</v>
      </c>
      <c r="AE2699" t="s">
        <v>9972</v>
      </c>
      <c r="AF2699" t="s">
        <v>310</v>
      </c>
      <c r="AG2699" t="s">
        <v>8188</v>
      </c>
      <c r="AH2699" t="s">
        <v>7167</v>
      </c>
      <c r="AI2699" t="s">
        <v>6959</v>
      </c>
      <c r="AJ2699" t="s">
        <v>171</v>
      </c>
      <c r="AK2699" t="s">
        <v>16682</v>
      </c>
      <c r="AL2699">
        <v>5.56</v>
      </c>
      <c r="AM2699">
        <v>3.6</v>
      </c>
      <c r="AN2699">
        <v>0.1</v>
      </c>
      <c r="AO2699" t="s">
        <v>25096</v>
      </c>
      <c r="AP2699" t="s">
        <v>15401</v>
      </c>
      <c r="AQ2699" t="s">
        <v>11368</v>
      </c>
      <c r="AR2699" t="s">
        <v>4600</v>
      </c>
      <c r="AS2699" t="s">
        <v>2643</v>
      </c>
      <c r="AT2699" t="s">
        <v>2109</v>
      </c>
      <c r="AU2699" t="s">
        <v>3436</v>
      </c>
      <c r="AV2699" t="s">
        <v>12206</v>
      </c>
      <c r="AW2699" t="s">
        <v>16445</v>
      </c>
      <c r="AX2699" t="s">
        <v>4280</v>
      </c>
      <c r="AY2699" t="s">
        <v>13032</v>
      </c>
      <c r="AZ2699" t="s">
        <v>4280</v>
      </c>
      <c r="BA2699">
        <v>1.5</v>
      </c>
      <c r="BB2699">
        <v>2132.94</v>
      </c>
      <c r="BC2699">
        <v>0.51</v>
      </c>
      <c r="BD2699">
        <v>52.62</v>
      </c>
      <c r="BE2699">
        <v>53.46</v>
      </c>
      <c r="BF2699">
        <v>52.65</v>
      </c>
      <c r="BG2699" t="s">
        <v>25097</v>
      </c>
      <c r="BH2699" t="s">
        <v>25098</v>
      </c>
      <c r="BI2699" t="s">
        <v>25099</v>
      </c>
      <c r="BJ2699" t="s">
        <v>101</v>
      </c>
      <c r="BK2699" t="s">
        <v>9279</v>
      </c>
      <c r="BL2699" t="s">
        <v>17444</v>
      </c>
      <c r="BM2699" t="s">
        <v>14400</v>
      </c>
      <c r="BN2699" t="s">
        <v>23454</v>
      </c>
    </row>
    <row r="2700" spans="1:66" x14ac:dyDescent="0.25">
      <c r="A2700" t="str">
        <f>HYPERLINK("https://elite.finviz.com/quote.ashx?t=HNST&amp;ty=c&amp;p=d&amp;b=1", "HNST")</f>
        <v>HNST</v>
      </c>
      <c r="B2700">
        <v>5</v>
      </c>
      <c r="C2700">
        <v>116.22</v>
      </c>
      <c r="D2700">
        <v>39.64</v>
      </c>
      <c r="E2700" t="s">
        <v>25100</v>
      </c>
      <c r="F2700" t="s">
        <v>67</v>
      </c>
      <c r="G2700" t="s">
        <v>2244</v>
      </c>
      <c r="H2700" t="s">
        <v>5311</v>
      </c>
      <c r="I2700" t="s">
        <v>70</v>
      </c>
      <c r="J2700" t="s">
        <v>321</v>
      </c>
      <c r="K2700">
        <v>418.93</v>
      </c>
      <c r="L2700">
        <v>3.77</v>
      </c>
      <c r="M2700" t="s">
        <v>1842</v>
      </c>
      <c r="N2700">
        <v>585356</v>
      </c>
      <c r="O2700">
        <v>66.989999999999995</v>
      </c>
      <c r="P2700">
        <v>30.64</v>
      </c>
      <c r="R2700">
        <v>1.07</v>
      </c>
      <c r="S2700">
        <v>2.25</v>
      </c>
      <c r="AA2700">
        <v>0.06</v>
      </c>
      <c r="AB2700" t="s">
        <v>6618</v>
      </c>
      <c r="AC2700" t="s">
        <v>22506</v>
      </c>
      <c r="AE2700" t="s">
        <v>7209</v>
      </c>
      <c r="AF2700" t="s">
        <v>4551</v>
      </c>
      <c r="AG2700" t="s">
        <v>12974</v>
      </c>
      <c r="AH2700" t="s">
        <v>3112</v>
      </c>
      <c r="AI2700" t="s">
        <v>3611</v>
      </c>
      <c r="AJ2700" t="s">
        <v>14331</v>
      </c>
      <c r="AK2700" t="s">
        <v>25101</v>
      </c>
      <c r="AL2700">
        <v>4.1500000000000004</v>
      </c>
      <c r="AM2700">
        <v>2.36</v>
      </c>
      <c r="AN2700">
        <v>0.09</v>
      </c>
      <c r="AO2700" t="s">
        <v>6547</v>
      </c>
      <c r="AP2700" t="s">
        <v>5045</v>
      </c>
      <c r="AQ2700" t="s">
        <v>3494</v>
      </c>
      <c r="AR2700" t="s">
        <v>4569</v>
      </c>
      <c r="AS2700" t="s">
        <v>1088</v>
      </c>
      <c r="AT2700" t="s">
        <v>7468</v>
      </c>
      <c r="AU2700" t="s">
        <v>11385</v>
      </c>
      <c r="AV2700" t="s">
        <v>25102</v>
      </c>
      <c r="AW2700" t="s">
        <v>20979</v>
      </c>
      <c r="AX2700" t="s">
        <v>2521</v>
      </c>
      <c r="AY2700" t="s">
        <v>16635</v>
      </c>
      <c r="AZ2700" t="s">
        <v>7298</v>
      </c>
      <c r="BA2700">
        <v>1.57</v>
      </c>
      <c r="BB2700">
        <v>3626.14</v>
      </c>
      <c r="BC2700">
        <v>0.56999999999999995</v>
      </c>
      <c r="BD2700">
        <v>3.77</v>
      </c>
      <c r="BE2700">
        <v>3.8</v>
      </c>
      <c r="BF2700">
        <v>3.75</v>
      </c>
      <c r="BG2700" t="s">
        <v>25103</v>
      </c>
      <c r="BH2700" t="s">
        <v>25104</v>
      </c>
      <c r="BI2700" t="s">
        <v>25105</v>
      </c>
      <c r="BJ2700" t="s">
        <v>101</v>
      </c>
      <c r="BK2700" t="s">
        <v>14534</v>
      </c>
      <c r="BL2700" t="s">
        <v>14439</v>
      </c>
      <c r="BM2700" t="s">
        <v>4052</v>
      </c>
      <c r="BN2700" t="s">
        <v>23454</v>
      </c>
    </row>
    <row r="2701" spans="1:66" x14ac:dyDescent="0.25">
      <c r="A2701" t="str">
        <f>HYPERLINK("https://elite.finviz.com/quote.ashx?t=KIM&amp;ty=c&amp;p=d&amp;b=1", "KIM")</f>
        <v>KIM</v>
      </c>
      <c r="B2701">
        <v>5</v>
      </c>
      <c r="C2701">
        <v>116.22</v>
      </c>
      <c r="D2701">
        <v>39.65</v>
      </c>
      <c r="E2701" t="s">
        <v>25106</v>
      </c>
      <c r="F2701" t="s">
        <v>195</v>
      </c>
      <c r="G2701" t="s">
        <v>68</v>
      </c>
      <c r="H2701" t="s">
        <v>160</v>
      </c>
      <c r="I2701" t="s">
        <v>70</v>
      </c>
      <c r="J2701" t="s">
        <v>71</v>
      </c>
      <c r="K2701">
        <v>14549.72</v>
      </c>
      <c r="L2701">
        <v>21.49</v>
      </c>
      <c r="M2701" t="s">
        <v>2215</v>
      </c>
      <c r="N2701">
        <v>445315</v>
      </c>
      <c r="O2701">
        <v>25.92</v>
      </c>
      <c r="P2701">
        <v>28.7</v>
      </c>
      <c r="Q2701">
        <v>1.9</v>
      </c>
      <c r="R2701">
        <v>6.87</v>
      </c>
      <c r="S2701">
        <v>1.38</v>
      </c>
      <c r="T2701" t="s">
        <v>5370</v>
      </c>
      <c r="U2701">
        <v>0.92</v>
      </c>
      <c r="V2701" t="s">
        <v>4548</v>
      </c>
      <c r="W2701" t="s">
        <v>3025</v>
      </c>
      <c r="X2701" t="s">
        <v>8379</v>
      </c>
      <c r="Y2701" t="s">
        <v>2673</v>
      </c>
      <c r="Z2701" t="s">
        <v>25107</v>
      </c>
      <c r="AA2701">
        <v>0.83</v>
      </c>
      <c r="AB2701" t="s">
        <v>16759</v>
      </c>
      <c r="AC2701" t="s">
        <v>1659</v>
      </c>
      <c r="AD2701" t="s">
        <v>2338</v>
      </c>
      <c r="AE2701" t="s">
        <v>6122</v>
      </c>
      <c r="AF2701" t="s">
        <v>10918</v>
      </c>
      <c r="AG2701" t="s">
        <v>239</v>
      </c>
      <c r="AH2701" t="s">
        <v>6527</v>
      </c>
      <c r="AI2701" t="s">
        <v>11738</v>
      </c>
      <c r="AJ2701" t="s">
        <v>164</v>
      </c>
      <c r="AK2701" t="s">
        <v>25108</v>
      </c>
      <c r="AL2701">
        <v>2.15</v>
      </c>
      <c r="AM2701">
        <v>2.15</v>
      </c>
      <c r="AN2701">
        <v>0.79</v>
      </c>
      <c r="AO2701" t="s">
        <v>15874</v>
      </c>
      <c r="AP2701" t="s">
        <v>11835</v>
      </c>
      <c r="AQ2701" t="s">
        <v>5571</v>
      </c>
      <c r="AR2701" t="s">
        <v>2554</v>
      </c>
      <c r="AS2701" t="s">
        <v>7780</v>
      </c>
      <c r="AT2701" t="s">
        <v>7907</v>
      </c>
      <c r="AU2701" t="s">
        <v>7243</v>
      </c>
      <c r="AV2701" t="s">
        <v>2059</v>
      </c>
      <c r="AW2701" t="s">
        <v>10208</v>
      </c>
      <c r="AX2701" t="s">
        <v>4795</v>
      </c>
      <c r="AY2701" t="s">
        <v>6816</v>
      </c>
      <c r="AZ2701" t="s">
        <v>2387</v>
      </c>
      <c r="BA2701">
        <v>2.31</v>
      </c>
      <c r="BB2701">
        <v>4019.53</v>
      </c>
      <c r="BC2701">
        <v>0.39</v>
      </c>
      <c r="BD2701">
        <v>21.48</v>
      </c>
      <c r="BE2701">
        <v>21.73</v>
      </c>
      <c r="BF2701">
        <v>21.46</v>
      </c>
      <c r="BG2701" t="s">
        <v>25109</v>
      </c>
      <c r="BH2701" t="s">
        <v>25110</v>
      </c>
      <c r="BI2701" t="s">
        <v>25111</v>
      </c>
      <c r="BJ2701" t="s">
        <v>101</v>
      </c>
      <c r="BK2701" t="s">
        <v>213</v>
      </c>
      <c r="BL2701" t="s">
        <v>1599</v>
      </c>
      <c r="BM2701" t="s">
        <v>20212</v>
      </c>
      <c r="BN2701" t="s">
        <v>23454</v>
      </c>
    </row>
    <row r="2702" spans="1:66" x14ac:dyDescent="0.25">
      <c r="A2702" t="str">
        <f>HYPERLINK("https://elite.finviz.com/quote.ashx?t=NCNO&amp;ty=c&amp;p=d&amp;b=1", "NCNO")</f>
        <v>NCNO</v>
      </c>
      <c r="B2702">
        <v>5</v>
      </c>
      <c r="C2702">
        <v>116.22</v>
      </c>
      <c r="D2702">
        <v>39.659999999999997</v>
      </c>
      <c r="E2702" t="s">
        <v>25112</v>
      </c>
      <c r="F2702" t="s">
        <v>107</v>
      </c>
      <c r="G2702" t="s">
        <v>108</v>
      </c>
      <c r="H2702" t="s">
        <v>136</v>
      </c>
      <c r="I2702" t="s">
        <v>70</v>
      </c>
      <c r="J2702" t="s">
        <v>321</v>
      </c>
      <c r="K2702">
        <v>3256.18</v>
      </c>
      <c r="L2702">
        <v>28.12</v>
      </c>
      <c r="M2702" t="s">
        <v>2717</v>
      </c>
      <c r="N2702">
        <v>118011</v>
      </c>
      <c r="P2702">
        <v>28.65</v>
      </c>
      <c r="R2702">
        <v>5.68</v>
      </c>
      <c r="S2702">
        <v>3.07</v>
      </c>
      <c r="AA2702">
        <v>-0.28999999999999998</v>
      </c>
      <c r="AB2702" t="s">
        <v>5096</v>
      </c>
      <c r="AC2702" t="s">
        <v>10852</v>
      </c>
      <c r="AD2702" t="s">
        <v>3863</v>
      </c>
      <c r="AE2702" t="s">
        <v>5756</v>
      </c>
      <c r="AF2702" t="s">
        <v>18909</v>
      </c>
      <c r="AG2702" t="s">
        <v>3643</v>
      </c>
      <c r="AH2702" t="s">
        <v>7760</v>
      </c>
      <c r="AI2702" t="s">
        <v>8461</v>
      </c>
      <c r="AJ2702" t="s">
        <v>25113</v>
      </c>
      <c r="AK2702" t="s">
        <v>25114</v>
      </c>
      <c r="AL2702">
        <v>0.97</v>
      </c>
      <c r="AM2702">
        <v>0.97</v>
      </c>
      <c r="AN2702">
        <v>0.26</v>
      </c>
      <c r="AO2702" t="s">
        <v>6733</v>
      </c>
      <c r="AP2702" t="s">
        <v>3000</v>
      </c>
      <c r="AQ2702" t="s">
        <v>5623</v>
      </c>
      <c r="AR2702" t="s">
        <v>323</v>
      </c>
      <c r="AS2702" t="s">
        <v>749</v>
      </c>
      <c r="AT2702" t="s">
        <v>2401</v>
      </c>
      <c r="AU2702" t="s">
        <v>5621</v>
      </c>
      <c r="AV2702" t="s">
        <v>608</v>
      </c>
      <c r="AW2702" t="s">
        <v>18780</v>
      </c>
      <c r="AX2702" t="s">
        <v>2446</v>
      </c>
      <c r="AY2702" t="s">
        <v>9065</v>
      </c>
      <c r="AZ2702" t="s">
        <v>3938</v>
      </c>
      <c r="BA2702">
        <v>2.2799999999999998</v>
      </c>
      <c r="BB2702">
        <v>1829.83</v>
      </c>
      <c r="BC2702">
        <v>0.23</v>
      </c>
      <c r="BD2702">
        <v>28.15</v>
      </c>
      <c r="BE2702">
        <v>28.28</v>
      </c>
      <c r="BF2702">
        <v>28</v>
      </c>
      <c r="BG2702" t="s">
        <v>25115</v>
      </c>
      <c r="BH2702" t="s">
        <v>25116</v>
      </c>
      <c r="BI2702" t="s">
        <v>3938</v>
      </c>
      <c r="BJ2702" t="s">
        <v>101</v>
      </c>
      <c r="BK2702" t="s">
        <v>2175</v>
      </c>
      <c r="BL2702" t="s">
        <v>2431</v>
      </c>
      <c r="BM2702" t="s">
        <v>3376</v>
      </c>
      <c r="BN2702" t="s">
        <v>23454</v>
      </c>
    </row>
    <row r="2703" spans="1:66" x14ac:dyDescent="0.25">
      <c r="A2703" t="str">
        <f>HYPERLINK("https://elite.finviz.com/quote.ashx?t=LNTH&amp;ty=c&amp;p=d&amp;b=1", "LNTH")</f>
        <v>LNTH</v>
      </c>
      <c r="B2703">
        <v>5</v>
      </c>
      <c r="C2703">
        <v>116.22</v>
      </c>
      <c r="D2703">
        <v>39.71</v>
      </c>
      <c r="E2703" t="s">
        <v>25117</v>
      </c>
      <c r="F2703" t="s">
        <v>67</v>
      </c>
      <c r="G2703" t="s">
        <v>428</v>
      </c>
      <c r="H2703" t="s">
        <v>1296</v>
      </c>
      <c r="I2703" t="s">
        <v>70</v>
      </c>
      <c r="J2703" t="s">
        <v>321</v>
      </c>
      <c r="K2703">
        <v>3458.08</v>
      </c>
      <c r="L2703">
        <v>50.86</v>
      </c>
      <c r="M2703" t="s">
        <v>4879</v>
      </c>
      <c r="N2703">
        <v>222496</v>
      </c>
      <c r="O2703">
        <v>13.51</v>
      </c>
      <c r="P2703">
        <v>8.6999999999999993</v>
      </c>
      <c r="Q2703">
        <v>18.010000000000002</v>
      </c>
      <c r="R2703">
        <v>2.27</v>
      </c>
      <c r="S2703">
        <v>2.96</v>
      </c>
      <c r="Z2703" t="s">
        <v>164</v>
      </c>
      <c r="AA2703">
        <v>3.76</v>
      </c>
      <c r="AC2703" t="s">
        <v>5347</v>
      </c>
      <c r="AD2703" t="s">
        <v>6572</v>
      </c>
      <c r="AE2703" t="s">
        <v>1026</v>
      </c>
      <c r="AF2703" t="s">
        <v>1412</v>
      </c>
      <c r="AG2703" t="s">
        <v>3689</v>
      </c>
      <c r="AH2703" t="s">
        <v>5621</v>
      </c>
      <c r="AI2703" t="s">
        <v>5488</v>
      </c>
      <c r="AJ2703" t="s">
        <v>23893</v>
      </c>
      <c r="AK2703" t="s">
        <v>18255</v>
      </c>
      <c r="AL2703">
        <v>4.29</v>
      </c>
      <c r="AM2703">
        <v>4.07</v>
      </c>
      <c r="AN2703">
        <v>0.53</v>
      </c>
      <c r="AO2703" t="s">
        <v>10160</v>
      </c>
      <c r="AP2703" t="s">
        <v>5267</v>
      </c>
      <c r="AQ2703" t="s">
        <v>1325</v>
      </c>
      <c r="AR2703" t="s">
        <v>4394</v>
      </c>
      <c r="AS2703" t="s">
        <v>6121</v>
      </c>
      <c r="AT2703" t="s">
        <v>3005</v>
      </c>
      <c r="AU2703" t="s">
        <v>16487</v>
      </c>
      <c r="AV2703" t="s">
        <v>23922</v>
      </c>
      <c r="AW2703" t="s">
        <v>25118</v>
      </c>
      <c r="AX2703" t="s">
        <v>2406</v>
      </c>
      <c r="AY2703" t="s">
        <v>21382</v>
      </c>
      <c r="AZ2703" t="s">
        <v>2406</v>
      </c>
      <c r="BA2703">
        <v>1.31</v>
      </c>
      <c r="BB2703">
        <v>1646.1</v>
      </c>
      <c r="BC2703">
        <v>0.48</v>
      </c>
      <c r="BD2703">
        <v>51.47</v>
      </c>
      <c r="BE2703">
        <v>51.72</v>
      </c>
      <c r="BF2703">
        <v>50.62</v>
      </c>
      <c r="BG2703" t="s">
        <v>25119</v>
      </c>
      <c r="BH2703" t="s">
        <v>9658</v>
      </c>
      <c r="BI2703" t="s">
        <v>25120</v>
      </c>
      <c r="BJ2703" t="s">
        <v>101</v>
      </c>
      <c r="BK2703" t="s">
        <v>10678</v>
      </c>
      <c r="BL2703" t="s">
        <v>25121</v>
      </c>
      <c r="BM2703" t="s">
        <v>25122</v>
      </c>
      <c r="BN2703" t="s">
        <v>23454</v>
      </c>
    </row>
    <row r="2704" spans="1:66" x14ac:dyDescent="0.25">
      <c r="A2704" t="str">
        <f>HYPERLINK("https://elite.finviz.com/quote.ashx?t=BALL&amp;ty=c&amp;p=d&amp;b=1", "BALL")</f>
        <v>BALL</v>
      </c>
      <c r="B2704">
        <v>5</v>
      </c>
      <c r="C2704">
        <v>116.22</v>
      </c>
      <c r="D2704">
        <v>39.72</v>
      </c>
      <c r="E2704" t="s">
        <v>25123</v>
      </c>
      <c r="F2704" t="s">
        <v>195</v>
      </c>
      <c r="G2704" t="s">
        <v>813</v>
      </c>
      <c r="H2704" t="s">
        <v>7355</v>
      </c>
      <c r="I2704" t="s">
        <v>70</v>
      </c>
      <c r="J2704" t="s">
        <v>71</v>
      </c>
      <c r="K2704">
        <v>13430.55</v>
      </c>
      <c r="L2704">
        <v>49.35</v>
      </c>
      <c r="M2704" t="s">
        <v>1303</v>
      </c>
      <c r="N2704">
        <v>474382</v>
      </c>
      <c r="O2704">
        <v>23.04</v>
      </c>
      <c r="P2704">
        <v>12.26</v>
      </c>
      <c r="Q2704">
        <v>1.93</v>
      </c>
      <c r="R2704">
        <v>1.08</v>
      </c>
      <c r="S2704">
        <v>2.58</v>
      </c>
      <c r="T2704" t="s">
        <v>7423</v>
      </c>
      <c r="U2704">
        <v>0.8</v>
      </c>
      <c r="V2704" t="s">
        <v>2187</v>
      </c>
      <c r="W2704" t="s">
        <v>164</v>
      </c>
      <c r="X2704" t="s">
        <v>4104</v>
      </c>
      <c r="Y2704" t="s">
        <v>5122</v>
      </c>
      <c r="AA2704">
        <v>2.14</v>
      </c>
      <c r="AD2704" t="s">
        <v>3644</v>
      </c>
      <c r="AE2704" t="s">
        <v>13365</v>
      </c>
      <c r="AF2704" t="s">
        <v>9927</v>
      </c>
      <c r="AG2704" t="s">
        <v>4623</v>
      </c>
      <c r="AH2704" t="s">
        <v>330</v>
      </c>
      <c r="AI2704" t="s">
        <v>5187</v>
      </c>
      <c r="AJ2704" t="s">
        <v>8979</v>
      </c>
      <c r="AK2704" t="s">
        <v>21217</v>
      </c>
      <c r="AL2704">
        <v>1</v>
      </c>
      <c r="AM2704">
        <v>0.67</v>
      </c>
      <c r="AN2704">
        <v>1.42</v>
      </c>
      <c r="AO2704" t="s">
        <v>9681</v>
      </c>
      <c r="AP2704" t="s">
        <v>11728</v>
      </c>
      <c r="AQ2704" t="s">
        <v>3450</v>
      </c>
      <c r="AR2704" t="s">
        <v>2449</v>
      </c>
      <c r="AS2704" t="s">
        <v>2202</v>
      </c>
      <c r="AT2704" t="s">
        <v>2007</v>
      </c>
      <c r="AU2704" t="s">
        <v>3415</v>
      </c>
      <c r="AV2704" t="s">
        <v>5573</v>
      </c>
      <c r="AW2704" t="s">
        <v>1094</v>
      </c>
      <c r="AX2704" t="s">
        <v>5369</v>
      </c>
      <c r="AY2704" t="s">
        <v>21292</v>
      </c>
      <c r="AZ2704" t="s">
        <v>4558</v>
      </c>
      <c r="BA2704">
        <v>2.12</v>
      </c>
      <c r="BB2704">
        <v>2310.66</v>
      </c>
      <c r="BC2704">
        <v>0.72</v>
      </c>
      <c r="BD2704">
        <v>48.47</v>
      </c>
      <c r="BE2704">
        <v>49.5</v>
      </c>
      <c r="BF2704">
        <v>48.51</v>
      </c>
      <c r="BG2704" t="s">
        <v>25124</v>
      </c>
      <c r="BH2704" t="s">
        <v>25125</v>
      </c>
      <c r="BI2704" t="s">
        <v>25126</v>
      </c>
      <c r="BJ2704" t="s">
        <v>101</v>
      </c>
      <c r="BK2704" t="s">
        <v>20325</v>
      </c>
      <c r="BL2704" t="s">
        <v>9711</v>
      </c>
      <c r="BM2704" t="s">
        <v>8203</v>
      </c>
      <c r="BN2704" t="s">
        <v>23454</v>
      </c>
    </row>
    <row r="2705" spans="1:66" x14ac:dyDescent="0.25">
      <c r="A2705" t="str">
        <f>HYPERLINK("https://elite.finviz.com/quote.ashx?t=FUN&amp;ty=c&amp;p=d&amp;b=1", "FUN")</f>
        <v>FUN</v>
      </c>
      <c r="B2705">
        <v>5</v>
      </c>
      <c r="C2705">
        <v>116.22</v>
      </c>
      <c r="D2705">
        <v>39.74</v>
      </c>
      <c r="E2705" t="s">
        <v>25127</v>
      </c>
      <c r="F2705" t="s">
        <v>67</v>
      </c>
      <c r="G2705" t="s">
        <v>813</v>
      </c>
      <c r="H2705" t="s">
        <v>5941</v>
      </c>
      <c r="I2705" t="s">
        <v>70</v>
      </c>
      <c r="J2705" t="s">
        <v>71</v>
      </c>
      <c r="K2705">
        <v>2184.89</v>
      </c>
      <c r="L2705">
        <v>21.57</v>
      </c>
      <c r="M2705" t="s">
        <v>4800</v>
      </c>
      <c r="N2705">
        <v>1563970</v>
      </c>
      <c r="P2705">
        <v>25.22</v>
      </c>
      <c r="R2705">
        <v>0.69</v>
      </c>
      <c r="S2705">
        <v>1.23</v>
      </c>
      <c r="V2705" t="s">
        <v>24103</v>
      </c>
      <c r="AA2705">
        <v>-4.72</v>
      </c>
      <c r="AB2705" t="s">
        <v>24421</v>
      </c>
      <c r="AE2705" t="s">
        <v>9152</v>
      </c>
      <c r="AF2705" t="s">
        <v>6703</v>
      </c>
      <c r="AG2705" t="s">
        <v>9545</v>
      </c>
      <c r="AH2705" t="s">
        <v>23506</v>
      </c>
      <c r="AI2705" t="s">
        <v>25128</v>
      </c>
      <c r="AJ2705" t="s">
        <v>183</v>
      </c>
      <c r="AK2705" t="s">
        <v>25129</v>
      </c>
      <c r="AL2705">
        <v>0.52</v>
      </c>
      <c r="AM2705">
        <v>0.42</v>
      </c>
      <c r="AN2705">
        <v>3.11</v>
      </c>
      <c r="AO2705" t="s">
        <v>12584</v>
      </c>
      <c r="AP2705" t="s">
        <v>5658</v>
      </c>
      <c r="AQ2705" t="s">
        <v>14455</v>
      </c>
      <c r="AR2705" t="s">
        <v>3958</v>
      </c>
      <c r="AS2705" t="s">
        <v>3054</v>
      </c>
      <c r="AT2705" t="s">
        <v>11313</v>
      </c>
      <c r="AU2705" t="s">
        <v>22111</v>
      </c>
      <c r="AV2705" t="s">
        <v>3402</v>
      </c>
      <c r="AW2705" t="s">
        <v>21578</v>
      </c>
      <c r="AX2705" t="s">
        <v>1100</v>
      </c>
      <c r="AY2705" t="s">
        <v>25130</v>
      </c>
      <c r="AZ2705" t="s">
        <v>1100</v>
      </c>
      <c r="BA2705">
        <v>1.86</v>
      </c>
      <c r="BB2705">
        <v>3955.03</v>
      </c>
      <c r="BC2705">
        <v>1.39</v>
      </c>
      <c r="BD2705">
        <v>21.06</v>
      </c>
      <c r="BE2705">
        <v>22.75</v>
      </c>
      <c r="BF2705">
        <v>21.32</v>
      </c>
      <c r="BG2705" t="s">
        <v>25131</v>
      </c>
      <c r="BH2705" t="s">
        <v>5810</v>
      </c>
      <c r="BI2705" t="s">
        <v>25132</v>
      </c>
      <c r="BJ2705" t="s">
        <v>101</v>
      </c>
      <c r="BK2705" t="s">
        <v>8863</v>
      </c>
      <c r="BL2705" t="s">
        <v>15609</v>
      </c>
      <c r="BM2705" t="s">
        <v>25133</v>
      </c>
      <c r="BN2705" t="s">
        <v>23454</v>
      </c>
    </row>
    <row r="2706" spans="1:66" x14ac:dyDescent="0.25">
      <c r="A2706" t="str">
        <f>HYPERLINK("https://elite.finviz.com/quote.ashx?t=UPXI&amp;ty=c&amp;p=d&amp;b=1", "UPXI")</f>
        <v>UPXI</v>
      </c>
      <c r="B2706">
        <v>5</v>
      </c>
      <c r="C2706">
        <v>116.22</v>
      </c>
      <c r="D2706">
        <v>39.76</v>
      </c>
      <c r="E2706" t="s">
        <v>25134</v>
      </c>
      <c r="F2706" t="s">
        <v>107</v>
      </c>
      <c r="G2706" t="s">
        <v>598</v>
      </c>
      <c r="H2706" t="s">
        <v>599</v>
      </c>
      <c r="I2706" t="s">
        <v>70</v>
      </c>
      <c r="J2706" t="s">
        <v>321</v>
      </c>
      <c r="K2706">
        <v>303.86</v>
      </c>
      <c r="L2706">
        <v>5.16</v>
      </c>
      <c r="M2706" t="s">
        <v>10568</v>
      </c>
      <c r="N2706">
        <v>1724090</v>
      </c>
      <c r="R2706">
        <v>19.22</v>
      </c>
      <c r="S2706">
        <v>2.19</v>
      </c>
      <c r="AA2706">
        <v>-5.85</v>
      </c>
      <c r="AB2706" t="s">
        <v>14731</v>
      </c>
      <c r="AC2706" t="s">
        <v>10456</v>
      </c>
      <c r="AF2706" t="s">
        <v>25135</v>
      </c>
      <c r="AG2706" t="s">
        <v>9225</v>
      </c>
      <c r="AH2706" t="s">
        <v>25136</v>
      </c>
      <c r="AI2706" t="s">
        <v>164</v>
      </c>
      <c r="AJ2706" t="s">
        <v>7295</v>
      </c>
      <c r="AK2706" t="s">
        <v>16207</v>
      </c>
      <c r="AL2706">
        <v>1.74</v>
      </c>
      <c r="AM2706">
        <v>1.71</v>
      </c>
      <c r="AN2706">
        <v>0.31</v>
      </c>
      <c r="AO2706" t="s">
        <v>17284</v>
      </c>
      <c r="AP2706" t="s">
        <v>25137</v>
      </c>
      <c r="AQ2706" t="s">
        <v>25138</v>
      </c>
      <c r="AR2706" t="s">
        <v>336</v>
      </c>
      <c r="AS2706" t="s">
        <v>2635</v>
      </c>
      <c r="AT2706" t="s">
        <v>19245</v>
      </c>
      <c r="AU2706" t="s">
        <v>24507</v>
      </c>
      <c r="AV2706" t="s">
        <v>998</v>
      </c>
      <c r="AW2706" t="s">
        <v>20935</v>
      </c>
      <c r="AX2706" t="s">
        <v>8415</v>
      </c>
      <c r="AY2706" t="s">
        <v>18653</v>
      </c>
      <c r="AZ2706" t="s">
        <v>9127</v>
      </c>
      <c r="BA2706">
        <v>1</v>
      </c>
      <c r="BB2706">
        <v>8637.94</v>
      </c>
      <c r="BC2706">
        <v>0.7</v>
      </c>
      <c r="BD2706">
        <v>5.28</v>
      </c>
      <c r="BE2706">
        <v>5.36</v>
      </c>
      <c r="BF2706">
        <v>5.01</v>
      </c>
      <c r="BG2706" t="s">
        <v>25139</v>
      </c>
      <c r="BH2706" t="s">
        <v>23936</v>
      </c>
      <c r="BI2706" t="s">
        <v>9127</v>
      </c>
      <c r="BJ2706" t="s">
        <v>101</v>
      </c>
      <c r="BK2706" t="s">
        <v>25140</v>
      </c>
      <c r="BL2706" t="s">
        <v>25141</v>
      </c>
      <c r="BM2706" t="s">
        <v>8641</v>
      </c>
      <c r="BN2706" t="s">
        <v>23454</v>
      </c>
    </row>
    <row r="2707" spans="1:66" x14ac:dyDescent="0.25">
      <c r="A2707" t="str">
        <f>HYPERLINK("https://elite.finviz.com/quote.ashx?t=WY&amp;ty=c&amp;p=d&amp;b=1", "WY")</f>
        <v>WY</v>
      </c>
      <c r="B2707">
        <v>5</v>
      </c>
      <c r="C2707">
        <v>116.22</v>
      </c>
      <c r="D2707">
        <v>39.76</v>
      </c>
      <c r="E2707" t="s">
        <v>25142</v>
      </c>
      <c r="F2707" t="s">
        <v>195</v>
      </c>
      <c r="G2707" t="s">
        <v>68</v>
      </c>
      <c r="H2707" t="s">
        <v>7227</v>
      </c>
      <c r="I2707" t="s">
        <v>70</v>
      </c>
      <c r="J2707" t="s">
        <v>71</v>
      </c>
      <c r="K2707">
        <v>17424.490000000002</v>
      </c>
      <c r="L2707">
        <v>24.15</v>
      </c>
      <c r="M2707" t="s">
        <v>1547</v>
      </c>
      <c r="N2707">
        <v>880179</v>
      </c>
      <c r="O2707">
        <v>62.86</v>
      </c>
      <c r="P2707">
        <v>41.24</v>
      </c>
      <c r="Q2707">
        <v>3.59</v>
      </c>
      <c r="R2707">
        <v>2.48</v>
      </c>
      <c r="S2707">
        <v>1.83</v>
      </c>
      <c r="T2707" t="s">
        <v>4394</v>
      </c>
      <c r="U2707">
        <v>0.83</v>
      </c>
      <c r="V2707" t="s">
        <v>4882</v>
      </c>
      <c r="W2707" t="s">
        <v>3981</v>
      </c>
      <c r="X2707" t="s">
        <v>4697</v>
      </c>
      <c r="Y2707" t="s">
        <v>10769</v>
      </c>
      <c r="Z2707" t="s">
        <v>25143</v>
      </c>
      <c r="AA2707">
        <v>0.38</v>
      </c>
      <c r="AB2707" t="s">
        <v>16348</v>
      </c>
      <c r="AD2707" t="s">
        <v>4807</v>
      </c>
      <c r="AE2707" t="s">
        <v>137</v>
      </c>
      <c r="AF2707" t="s">
        <v>8812</v>
      </c>
      <c r="AG2707" t="s">
        <v>2217</v>
      </c>
      <c r="AH2707" t="s">
        <v>4257</v>
      </c>
      <c r="AI2707" t="s">
        <v>4876</v>
      </c>
      <c r="AJ2707" t="s">
        <v>4494</v>
      </c>
      <c r="AK2707" t="s">
        <v>7050</v>
      </c>
      <c r="AL2707">
        <v>1.04</v>
      </c>
      <c r="AM2707">
        <v>0.68</v>
      </c>
      <c r="AN2707">
        <v>0.55000000000000004</v>
      </c>
      <c r="AO2707" t="s">
        <v>2976</v>
      </c>
      <c r="AP2707" t="s">
        <v>7436</v>
      </c>
      <c r="AQ2707" t="s">
        <v>1148</v>
      </c>
      <c r="AR2707" t="s">
        <v>5258</v>
      </c>
      <c r="AS2707" t="s">
        <v>679</v>
      </c>
      <c r="AT2707" t="s">
        <v>3322</v>
      </c>
      <c r="AU2707" t="s">
        <v>4776</v>
      </c>
      <c r="AV2707" t="s">
        <v>9198</v>
      </c>
      <c r="AW2707" t="s">
        <v>16855</v>
      </c>
      <c r="AX2707" t="s">
        <v>5036</v>
      </c>
      <c r="AY2707" t="s">
        <v>25144</v>
      </c>
      <c r="AZ2707" t="s">
        <v>5036</v>
      </c>
      <c r="BA2707">
        <v>1.57</v>
      </c>
      <c r="BB2707">
        <v>4611.8</v>
      </c>
      <c r="BC2707">
        <v>0.67</v>
      </c>
      <c r="BD2707">
        <v>24.17</v>
      </c>
      <c r="BE2707">
        <v>24.43</v>
      </c>
      <c r="BF2707">
        <v>24.09</v>
      </c>
      <c r="BG2707" t="s">
        <v>25145</v>
      </c>
      <c r="BH2707" t="s">
        <v>25146</v>
      </c>
      <c r="BI2707" t="s">
        <v>25147</v>
      </c>
      <c r="BJ2707" t="s">
        <v>101</v>
      </c>
      <c r="BK2707" t="s">
        <v>6450</v>
      </c>
      <c r="BL2707" t="s">
        <v>10341</v>
      </c>
      <c r="BM2707" t="s">
        <v>11909</v>
      </c>
      <c r="BN2707" t="s">
        <v>23454</v>
      </c>
    </row>
    <row r="2708" spans="1:66" x14ac:dyDescent="0.25">
      <c r="A2708" t="str">
        <f>HYPERLINK("https://elite.finviz.com/quote.ashx?t=MKC&amp;ty=c&amp;p=d&amp;b=1", "MKC")</f>
        <v>MKC</v>
      </c>
      <c r="B2708">
        <v>5</v>
      </c>
      <c r="C2708">
        <v>116.22</v>
      </c>
      <c r="D2708">
        <v>39.78</v>
      </c>
      <c r="E2708" t="s">
        <v>25148</v>
      </c>
      <c r="F2708" t="s">
        <v>195</v>
      </c>
      <c r="G2708" t="s">
        <v>2244</v>
      </c>
      <c r="H2708" t="s">
        <v>3269</v>
      </c>
      <c r="I2708" t="s">
        <v>70</v>
      </c>
      <c r="J2708" t="s">
        <v>71</v>
      </c>
      <c r="K2708">
        <v>17571.54</v>
      </c>
      <c r="L2708">
        <v>65.459999999999994</v>
      </c>
      <c r="M2708" t="s">
        <v>2509</v>
      </c>
      <c r="N2708">
        <v>399859</v>
      </c>
      <c r="O2708">
        <v>22.73</v>
      </c>
      <c r="P2708">
        <v>19.829999999999998</v>
      </c>
      <c r="Q2708">
        <v>3.26</v>
      </c>
      <c r="R2708">
        <v>2.61</v>
      </c>
      <c r="S2708">
        <v>3.14</v>
      </c>
      <c r="T2708" t="s">
        <v>2743</v>
      </c>
      <c r="U2708">
        <v>1.77</v>
      </c>
      <c r="V2708" t="s">
        <v>15904</v>
      </c>
      <c r="W2708" t="s">
        <v>2698</v>
      </c>
      <c r="X2708" t="s">
        <v>3181</v>
      </c>
      <c r="Y2708" t="s">
        <v>9478</v>
      </c>
      <c r="Z2708" t="s">
        <v>17066</v>
      </c>
      <c r="AA2708">
        <v>2.88</v>
      </c>
      <c r="AB2708" t="s">
        <v>5116</v>
      </c>
      <c r="AC2708" t="s">
        <v>5660</v>
      </c>
      <c r="AD2708" t="s">
        <v>9751</v>
      </c>
      <c r="AE2708" t="s">
        <v>2125</v>
      </c>
      <c r="AF2708" t="s">
        <v>6975</v>
      </c>
      <c r="AG2708" t="s">
        <v>2523</v>
      </c>
      <c r="AH2708" t="s">
        <v>1338</v>
      </c>
      <c r="AI2708" t="s">
        <v>6183</v>
      </c>
      <c r="AJ2708" t="s">
        <v>15000</v>
      </c>
      <c r="AK2708" t="s">
        <v>12177</v>
      </c>
      <c r="AL2708">
        <v>0.68</v>
      </c>
      <c r="AM2708">
        <v>0.27</v>
      </c>
      <c r="AN2708">
        <v>0.8</v>
      </c>
      <c r="AO2708" t="s">
        <v>16380</v>
      </c>
      <c r="AP2708" t="s">
        <v>10359</v>
      </c>
      <c r="AQ2708" t="s">
        <v>1492</v>
      </c>
      <c r="AR2708" t="s">
        <v>2609</v>
      </c>
      <c r="AS2708" t="s">
        <v>3671</v>
      </c>
      <c r="AT2708" t="s">
        <v>2218</v>
      </c>
      <c r="AU2708" t="s">
        <v>3140</v>
      </c>
      <c r="AV2708" t="s">
        <v>11949</v>
      </c>
      <c r="AW2708" t="s">
        <v>10687</v>
      </c>
      <c r="AX2708" t="s">
        <v>7437</v>
      </c>
      <c r="AY2708" t="s">
        <v>24577</v>
      </c>
      <c r="AZ2708" t="s">
        <v>7437</v>
      </c>
      <c r="BA2708">
        <v>2.38</v>
      </c>
      <c r="BB2708">
        <v>2417.5100000000002</v>
      </c>
      <c r="BC2708">
        <v>0.57999999999999996</v>
      </c>
      <c r="BD2708">
        <v>64.62</v>
      </c>
      <c r="BE2708">
        <v>65.62</v>
      </c>
      <c r="BF2708">
        <v>64.650000000000006</v>
      </c>
      <c r="BG2708" t="s">
        <v>25149</v>
      </c>
      <c r="BH2708" t="s">
        <v>13420</v>
      </c>
      <c r="BI2708" t="s">
        <v>25150</v>
      </c>
      <c r="BJ2708" t="s">
        <v>101</v>
      </c>
      <c r="BK2708" t="s">
        <v>19619</v>
      </c>
      <c r="BL2708" t="s">
        <v>157</v>
      </c>
      <c r="BM2708" t="s">
        <v>25151</v>
      </c>
      <c r="BN2708" t="s">
        <v>23454</v>
      </c>
    </row>
    <row r="2709" spans="1:66" x14ac:dyDescent="0.25">
      <c r="A2709" t="str">
        <f>HYPERLINK("https://elite.finviz.com/quote.ashx?t=ALGM&amp;ty=c&amp;p=d&amp;b=1", "ALGM")</f>
        <v>ALGM</v>
      </c>
      <c r="B2709">
        <v>5</v>
      </c>
      <c r="C2709">
        <v>116.22</v>
      </c>
      <c r="D2709">
        <v>39.82</v>
      </c>
      <c r="E2709" t="s">
        <v>25152</v>
      </c>
      <c r="F2709" t="s">
        <v>107</v>
      </c>
      <c r="G2709" t="s">
        <v>108</v>
      </c>
      <c r="H2709" t="s">
        <v>1808</v>
      </c>
      <c r="I2709" t="s">
        <v>70</v>
      </c>
      <c r="J2709" t="s">
        <v>321</v>
      </c>
      <c r="K2709">
        <v>5486.45</v>
      </c>
      <c r="L2709">
        <v>29.65</v>
      </c>
      <c r="M2709" t="s">
        <v>5721</v>
      </c>
      <c r="N2709">
        <v>130756</v>
      </c>
      <c r="P2709">
        <v>29.95</v>
      </c>
      <c r="R2709">
        <v>7.2</v>
      </c>
      <c r="S2709">
        <v>5.94</v>
      </c>
      <c r="AA2709">
        <v>-0.37</v>
      </c>
      <c r="AD2709" t="s">
        <v>11175</v>
      </c>
      <c r="AE2709" t="s">
        <v>1894</v>
      </c>
      <c r="AF2709" t="s">
        <v>6152</v>
      </c>
      <c r="AG2709" t="s">
        <v>2808</v>
      </c>
      <c r="AH2709" t="s">
        <v>442</v>
      </c>
      <c r="AI2709" t="s">
        <v>3687</v>
      </c>
      <c r="AJ2709" t="s">
        <v>3752</v>
      </c>
      <c r="AK2709" t="s">
        <v>10828</v>
      </c>
      <c r="AL2709">
        <v>3.7</v>
      </c>
      <c r="AM2709">
        <v>2.2599999999999998</v>
      </c>
      <c r="AN2709">
        <v>0.36</v>
      </c>
      <c r="AO2709" t="s">
        <v>4049</v>
      </c>
      <c r="AP2709" t="s">
        <v>3486</v>
      </c>
      <c r="AQ2709" t="s">
        <v>17325</v>
      </c>
      <c r="AR2709" t="s">
        <v>2735</v>
      </c>
      <c r="AS2709" t="s">
        <v>2356</v>
      </c>
      <c r="AT2709" t="s">
        <v>6105</v>
      </c>
      <c r="AU2709" t="s">
        <v>14744</v>
      </c>
      <c r="AV2709" t="s">
        <v>8650</v>
      </c>
      <c r="AW2709" t="s">
        <v>13478</v>
      </c>
      <c r="AX2709" t="s">
        <v>5121</v>
      </c>
      <c r="AY2709" t="s">
        <v>17845</v>
      </c>
      <c r="AZ2709" t="s">
        <v>12701</v>
      </c>
      <c r="BA2709">
        <v>1.43</v>
      </c>
      <c r="BB2709">
        <v>1836.17</v>
      </c>
      <c r="BC2709">
        <v>0.25</v>
      </c>
      <c r="BD2709">
        <v>29.93</v>
      </c>
      <c r="BE2709">
        <v>30.42</v>
      </c>
      <c r="BF2709">
        <v>29.52</v>
      </c>
      <c r="BG2709" t="s">
        <v>25153</v>
      </c>
      <c r="BH2709" t="s">
        <v>25154</v>
      </c>
      <c r="BI2709" t="s">
        <v>12701</v>
      </c>
      <c r="BJ2709" t="s">
        <v>101</v>
      </c>
      <c r="BK2709" t="s">
        <v>7707</v>
      </c>
      <c r="BL2709" t="s">
        <v>1784</v>
      </c>
      <c r="BM2709" t="s">
        <v>12004</v>
      </c>
      <c r="BN2709" t="s">
        <v>23454</v>
      </c>
    </row>
    <row r="2710" spans="1:66" x14ac:dyDescent="0.25">
      <c r="A2710" t="str">
        <f>HYPERLINK("https://elite.finviz.com/quote.ashx?t=GMED&amp;ty=c&amp;p=d&amp;b=1", "GMED")</f>
        <v>GMED</v>
      </c>
      <c r="B2710">
        <v>5</v>
      </c>
      <c r="C2710">
        <v>116.22</v>
      </c>
      <c r="D2710">
        <v>39.85</v>
      </c>
      <c r="E2710" t="s">
        <v>25155</v>
      </c>
      <c r="F2710" t="s">
        <v>107</v>
      </c>
      <c r="G2710" t="s">
        <v>428</v>
      </c>
      <c r="H2710" t="s">
        <v>2051</v>
      </c>
      <c r="I2710" t="s">
        <v>70</v>
      </c>
      <c r="J2710" t="s">
        <v>71</v>
      </c>
      <c r="K2710">
        <v>7514.2</v>
      </c>
      <c r="L2710">
        <v>55.64</v>
      </c>
      <c r="M2710" t="s">
        <v>5055</v>
      </c>
      <c r="N2710">
        <v>143373</v>
      </c>
      <c r="O2710">
        <v>21.47</v>
      </c>
      <c r="P2710">
        <v>15.24</v>
      </c>
      <c r="Q2710">
        <v>2.4</v>
      </c>
      <c r="R2710">
        <v>2.86</v>
      </c>
      <c r="S2710">
        <v>1.75</v>
      </c>
      <c r="Z2710" t="s">
        <v>164</v>
      </c>
      <c r="AA2710">
        <v>2.59</v>
      </c>
      <c r="AB2710" t="s">
        <v>25156</v>
      </c>
      <c r="AC2710" t="s">
        <v>20524</v>
      </c>
      <c r="AD2710" t="s">
        <v>6272</v>
      </c>
      <c r="AE2710" t="s">
        <v>3390</v>
      </c>
      <c r="AF2710" t="s">
        <v>19315</v>
      </c>
      <c r="AG2710" t="s">
        <v>12395</v>
      </c>
      <c r="AH2710" t="s">
        <v>4533</v>
      </c>
      <c r="AI2710" t="s">
        <v>3420</v>
      </c>
      <c r="AJ2710" t="s">
        <v>3227</v>
      </c>
      <c r="AK2710" t="s">
        <v>11161</v>
      </c>
      <c r="AL2710">
        <v>4.07</v>
      </c>
      <c r="AM2710">
        <v>2.2599999999999998</v>
      </c>
      <c r="AN2710">
        <v>0.03</v>
      </c>
      <c r="AO2710" t="s">
        <v>762</v>
      </c>
      <c r="AP2710" t="s">
        <v>6967</v>
      </c>
      <c r="AQ2710" t="s">
        <v>1253</v>
      </c>
      <c r="AR2710" t="s">
        <v>179</v>
      </c>
      <c r="AS2710" t="s">
        <v>8016</v>
      </c>
      <c r="AT2710" t="s">
        <v>6074</v>
      </c>
      <c r="AU2710" t="s">
        <v>12575</v>
      </c>
      <c r="AV2710" t="s">
        <v>9565</v>
      </c>
      <c r="AW2710" t="s">
        <v>23276</v>
      </c>
      <c r="AX2710" t="s">
        <v>5847</v>
      </c>
      <c r="AY2710" t="s">
        <v>3242</v>
      </c>
      <c r="AZ2710" t="s">
        <v>5847</v>
      </c>
      <c r="BA2710">
        <v>1.86</v>
      </c>
      <c r="BB2710">
        <v>1439.74</v>
      </c>
      <c r="BC2710">
        <v>0.35</v>
      </c>
      <c r="BD2710">
        <v>55.1</v>
      </c>
      <c r="BE2710">
        <v>55.68</v>
      </c>
      <c r="BF2710">
        <v>55.16</v>
      </c>
      <c r="BG2710" t="s">
        <v>25157</v>
      </c>
      <c r="BH2710" t="s">
        <v>3242</v>
      </c>
      <c r="BI2710" t="s">
        <v>25158</v>
      </c>
      <c r="BJ2710" t="s">
        <v>101</v>
      </c>
      <c r="BK2710" t="s">
        <v>3577</v>
      </c>
      <c r="BL2710" t="s">
        <v>13616</v>
      </c>
      <c r="BM2710" t="s">
        <v>25159</v>
      </c>
      <c r="BN2710" t="s">
        <v>23454</v>
      </c>
    </row>
    <row r="2711" spans="1:66" x14ac:dyDescent="0.25">
      <c r="A2711" t="str">
        <f>HYPERLINK("https://elite.finviz.com/quote.ashx?t=DIS&amp;ty=c&amp;p=d&amp;b=1", "DIS")</f>
        <v>DIS</v>
      </c>
      <c r="B2711">
        <v>5</v>
      </c>
      <c r="C2711">
        <v>116.22</v>
      </c>
      <c r="D2711">
        <v>39.86</v>
      </c>
      <c r="E2711" t="s">
        <v>25160</v>
      </c>
      <c r="F2711" t="s">
        <v>1759</v>
      </c>
      <c r="G2711" t="s">
        <v>598</v>
      </c>
      <c r="H2711" t="s">
        <v>4247</v>
      </c>
      <c r="I2711" t="s">
        <v>70</v>
      </c>
      <c r="J2711" t="s">
        <v>71</v>
      </c>
      <c r="K2711">
        <v>203490.15</v>
      </c>
      <c r="L2711">
        <v>113.18</v>
      </c>
      <c r="M2711" t="s">
        <v>2560</v>
      </c>
      <c r="N2711">
        <v>1341097</v>
      </c>
      <c r="O2711">
        <v>17.739999999999998</v>
      </c>
      <c r="P2711">
        <v>17.43</v>
      </c>
      <c r="Q2711">
        <v>1.31</v>
      </c>
      <c r="R2711">
        <v>2.16</v>
      </c>
      <c r="S2711">
        <v>1.86</v>
      </c>
      <c r="T2711" t="s">
        <v>7124</v>
      </c>
      <c r="U2711">
        <v>1</v>
      </c>
      <c r="V2711" t="s">
        <v>25161</v>
      </c>
      <c r="Y2711" t="s">
        <v>25162</v>
      </c>
      <c r="Z2711" t="s">
        <v>14730</v>
      </c>
      <c r="AA2711">
        <v>6.38</v>
      </c>
      <c r="AB2711" t="s">
        <v>20120</v>
      </c>
      <c r="AC2711" t="s">
        <v>4364</v>
      </c>
      <c r="AD2711" t="s">
        <v>8916</v>
      </c>
      <c r="AE2711" t="s">
        <v>3450</v>
      </c>
      <c r="AF2711" t="s">
        <v>7106</v>
      </c>
      <c r="AG2711" t="s">
        <v>1871</v>
      </c>
      <c r="AH2711" t="s">
        <v>7322</v>
      </c>
      <c r="AI2711" t="s">
        <v>6810</v>
      </c>
      <c r="AJ2711" t="s">
        <v>2468</v>
      </c>
      <c r="AK2711" t="s">
        <v>25163</v>
      </c>
      <c r="AL2711">
        <v>0.67</v>
      </c>
      <c r="AM2711">
        <v>0.61</v>
      </c>
      <c r="AN2711">
        <v>0.39</v>
      </c>
      <c r="AO2711" t="s">
        <v>12155</v>
      </c>
      <c r="AP2711" t="s">
        <v>9122</v>
      </c>
      <c r="AQ2711" t="s">
        <v>2392</v>
      </c>
      <c r="AR2711" t="s">
        <v>3925</v>
      </c>
      <c r="AS2711" t="s">
        <v>3257</v>
      </c>
      <c r="AT2711" t="s">
        <v>7867</v>
      </c>
      <c r="AU2711" t="s">
        <v>4920</v>
      </c>
      <c r="AV2711" t="s">
        <v>2892</v>
      </c>
      <c r="AW2711" t="s">
        <v>3869</v>
      </c>
      <c r="AX2711" t="s">
        <v>3550</v>
      </c>
      <c r="AY2711" t="s">
        <v>2701</v>
      </c>
      <c r="AZ2711" t="s">
        <v>25164</v>
      </c>
      <c r="BA2711">
        <v>1.5</v>
      </c>
      <c r="BB2711">
        <v>8233.31</v>
      </c>
      <c r="BC2711">
        <v>0.56999999999999995</v>
      </c>
      <c r="BD2711">
        <v>112.99</v>
      </c>
      <c r="BE2711">
        <v>113.57</v>
      </c>
      <c r="BF2711">
        <v>112.77</v>
      </c>
      <c r="BG2711" t="s">
        <v>25165</v>
      </c>
      <c r="BH2711" t="s">
        <v>25166</v>
      </c>
      <c r="BI2711" t="s">
        <v>25167</v>
      </c>
      <c r="BJ2711" t="s">
        <v>101</v>
      </c>
      <c r="BK2711" t="s">
        <v>5663</v>
      </c>
      <c r="BL2711" t="s">
        <v>5676</v>
      </c>
      <c r="BM2711" t="s">
        <v>6974</v>
      </c>
      <c r="BN2711" t="s">
        <v>23454</v>
      </c>
    </row>
    <row r="2712" spans="1:66" x14ac:dyDescent="0.25">
      <c r="A2712" t="str">
        <f>HYPERLINK("https://elite.finviz.com/quote.ashx?t=BTCM&amp;ty=c&amp;p=d&amp;b=1", "BTCM")</f>
        <v>BTCM</v>
      </c>
      <c r="B2712">
        <v>5</v>
      </c>
      <c r="C2712">
        <v>116.22</v>
      </c>
      <c r="D2712">
        <v>39.880000000000003</v>
      </c>
      <c r="E2712" t="s">
        <v>25168</v>
      </c>
      <c r="F2712" t="s">
        <v>107</v>
      </c>
      <c r="G2712" t="s">
        <v>108</v>
      </c>
      <c r="H2712" t="s">
        <v>1322</v>
      </c>
      <c r="I2712" t="s">
        <v>70</v>
      </c>
      <c r="J2712" t="s">
        <v>71</v>
      </c>
      <c r="K2712">
        <v>40.03</v>
      </c>
      <c r="L2712">
        <v>2.5099999999999998</v>
      </c>
      <c r="M2712" t="s">
        <v>174</v>
      </c>
      <c r="N2712">
        <v>119721</v>
      </c>
      <c r="S2712">
        <v>0.7</v>
      </c>
      <c r="AB2712" t="s">
        <v>8171</v>
      </c>
      <c r="AC2712" t="s">
        <v>12089</v>
      </c>
      <c r="AF2712" t="s">
        <v>25169</v>
      </c>
      <c r="AG2712" t="s">
        <v>12403</v>
      </c>
      <c r="AH2712" t="s">
        <v>25170</v>
      </c>
      <c r="AJ2712" t="s">
        <v>164</v>
      </c>
      <c r="AK2712" t="s">
        <v>4552</v>
      </c>
      <c r="AL2712">
        <v>1.64</v>
      </c>
      <c r="AM2712">
        <v>1.64</v>
      </c>
      <c r="AN2712">
        <v>0.04</v>
      </c>
      <c r="AR2712" t="s">
        <v>7118</v>
      </c>
      <c r="AS2712" t="s">
        <v>4966</v>
      </c>
      <c r="AT2712" t="s">
        <v>3869</v>
      </c>
      <c r="AU2712" t="s">
        <v>16894</v>
      </c>
      <c r="AV2712" t="s">
        <v>3244</v>
      </c>
      <c r="AW2712" t="s">
        <v>22452</v>
      </c>
      <c r="AX2712" t="s">
        <v>416</v>
      </c>
      <c r="AY2712" t="s">
        <v>14001</v>
      </c>
      <c r="AZ2712" t="s">
        <v>25171</v>
      </c>
      <c r="BA2712">
        <v>3</v>
      </c>
      <c r="BB2712">
        <v>3642.89</v>
      </c>
      <c r="BC2712">
        <v>0.12</v>
      </c>
      <c r="BD2712">
        <v>2.5299999999999998</v>
      </c>
      <c r="BE2712">
        <v>2.62</v>
      </c>
      <c r="BF2712">
        <v>2.5</v>
      </c>
      <c r="BG2712" t="s">
        <v>25172</v>
      </c>
      <c r="BH2712" t="s">
        <v>18226</v>
      </c>
      <c r="BI2712" t="s">
        <v>25171</v>
      </c>
      <c r="BJ2712" t="s">
        <v>101</v>
      </c>
      <c r="BK2712" t="s">
        <v>5998</v>
      </c>
      <c r="BL2712" t="s">
        <v>5729</v>
      </c>
      <c r="BM2712" t="s">
        <v>12555</v>
      </c>
      <c r="BN2712" t="s">
        <v>23454</v>
      </c>
    </row>
    <row r="2713" spans="1:66" x14ac:dyDescent="0.25">
      <c r="A2713" t="str">
        <f>HYPERLINK("https://elite.finviz.com/quote.ashx?t=HAYW&amp;ty=c&amp;p=d&amp;b=1", "HAYW")</f>
        <v>HAYW</v>
      </c>
      <c r="B2713">
        <v>5</v>
      </c>
      <c r="C2713">
        <v>116.22</v>
      </c>
      <c r="D2713">
        <v>39.93</v>
      </c>
      <c r="E2713" t="s">
        <v>25173</v>
      </c>
      <c r="F2713" t="s">
        <v>107</v>
      </c>
      <c r="G2713" t="s">
        <v>260</v>
      </c>
      <c r="H2713" t="s">
        <v>1128</v>
      </c>
      <c r="I2713" t="s">
        <v>70</v>
      </c>
      <c r="J2713" t="s">
        <v>71</v>
      </c>
      <c r="K2713">
        <v>3202.05</v>
      </c>
      <c r="L2713">
        <v>14.78</v>
      </c>
      <c r="M2713" t="s">
        <v>2186</v>
      </c>
      <c r="N2713">
        <v>281505</v>
      </c>
      <c r="O2713">
        <v>25.14</v>
      </c>
      <c r="P2713">
        <v>17.989999999999998</v>
      </c>
      <c r="Q2713">
        <v>2.14</v>
      </c>
      <c r="R2713">
        <v>2.96</v>
      </c>
      <c r="S2713">
        <v>2.14</v>
      </c>
      <c r="Z2713" t="s">
        <v>164</v>
      </c>
      <c r="AA2713">
        <v>0.59</v>
      </c>
      <c r="AB2713" t="s">
        <v>6937</v>
      </c>
      <c r="AC2713" t="s">
        <v>25174</v>
      </c>
      <c r="AD2713" t="s">
        <v>8041</v>
      </c>
      <c r="AE2713" t="s">
        <v>147</v>
      </c>
      <c r="AF2713" t="s">
        <v>2364</v>
      </c>
      <c r="AG2713" t="s">
        <v>8808</v>
      </c>
      <c r="AH2713" t="s">
        <v>3957</v>
      </c>
      <c r="AI2713" t="s">
        <v>6183</v>
      </c>
      <c r="AJ2713" t="s">
        <v>14744</v>
      </c>
      <c r="AK2713" t="s">
        <v>9850</v>
      </c>
      <c r="AL2713">
        <v>2.84</v>
      </c>
      <c r="AM2713">
        <v>2.06</v>
      </c>
      <c r="AN2713">
        <v>0.68</v>
      </c>
      <c r="AO2713" t="s">
        <v>25175</v>
      </c>
      <c r="AP2713" t="s">
        <v>3538</v>
      </c>
      <c r="AQ2713" t="s">
        <v>13322</v>
      </c>
      <c r="AR2713" t="s">
        <v>8016</v>
      </c>
      <c r="AS2713" t="s">
        <v>744</v>
      </c>
      <c r="AT2713" t="s">
        <v>8520</v>
      </c>
      <c r="AU2713" t="s">
        <v>2498</v>
      </c>
      <c r="AV2713" t="s">
        <v>2720</v>
      </c>
      <c r="AW2713" t="s">
        <v>75</v>
      </c>
      <c r="AX2713" t="s">
        <v>5188</v>
      </c>
      <c r="AY2713" t="s">
        <v>1905</v>
      </c>
      <c r="AZ2713" t="s">
        <v>13782</v>
      </c>
      <c r="BA2713">
        <v>2.7</v>
      </c>
      <c r="BB2713">
        <v>2557.61</v>
      </c>
      <c r="BC2713">
        <v>0.39</v>
      </c>
      <c r="BD2713">
        <v>14.54</v>
      </c>
      <c r="BE2713">
        <v>14.88</v>
      </c>
      <c r="BF2713">
        <v>14.67</v>
      </c>
      <c r="BG2713" t="s">
        <v>25176</v>
      </c>
      <c r="BH2713" t="s">
        <v>2436</v>
      </c>
      <c r="BI2713" t="s">
        <v>4964</v>
      </c>
      <c r="BJ2713" t="s">
        <v>101</v>
      </c>
      <c r="BK2713" t="s">
        <v>1310</v>
      </c>
      <c r="BL2713" t="s">
        <v>272</v>
      </c>
      <c r="BM2713" t="s">
        <v>3890</v>
      </c>
      <c r="BN2713" t="s">
        <v>23454</v>
      </c>
    </row>
    <row r="2714" spans="1:66" x14ac:dyDescent="0.25">
      <c r="A2714" t="str">
        <f>HYPERLINK("https://elite.finviz.com/quote.ashx?t=TRU&amp;ty=c&amp;p=d&amp;b=1", "TRU")</f>
        <v>TRU</v>
      </c>
      <c r="B2714">
        <v>5</v>
      </c>
      <c r="C2714">
        <v>116.22</v>
      </c>
      <c r="D2714">
        <v>39.950000000000003</v>
      </c>
      <c r="E2714" t="s">
        <v>25177</v>
      </c>
      <c r="F2714" t="s">
        <v>107</v>
      </c>
      <c r="G2714" t="s">
        <v>550</v>
      </c>
      <c r="H2714" t="s">
        <v>16129</v>
      </c>
      <c r="I2714" t="s">
        <v>70</v>
      </c>
      <c r="J2714" t="s">
        <v>71</v>
      </c>
      <c r="K2714">
        <v>16550.21</v>
      </c>
      <c r="L2714">
        <v>84.96</v>
      </c>
      <c r="M2714" t="s">
        <v>84</v>
      </c>
      <c r="N2714">
        <v>220765</v>
      </c>
      <c r="O2714">
        <v>42.76</v>
      </c>
      <c r="P2714">
        <v>17.63</v>
      </c>
      <c r="Q2714">
        <v>3.2</v>
      </c>
      <c r="R2714">
        <v>3.8</v>
      </c>
      <c r="S2714">
        <v>3.66</v>
      </c>
      <c r="T2714" t="s">
        <v>4901</v>
      </c>
      <c r="U2714">
        <v>0.45</v>
      </c>
      <c r="V2714" t="s">
        <v>4186</v>
      </c>
      <c r="W2714" t="s">
        <v>164</v>
      </c>
      <c r="X2714" t="s">
        <v>8966</v>
      </c>
      <c r="Y2714" t="s">
        <v>9936</v>
      </c>
      <c r="Z2714" t="s">
        <v>9877</v>
      </c>
      <c r="AA2714">
        <v>1.99</v>
      </c>
      <c r="AB2714" t="s">
        <v>8184</v>
      </c>
      <c r="AC2714" t="s">
        <v>4528</v>
      </c>
      <c r="AD2714" t="s">
        <v>18007</v>
      </c>
      <c r="AE2714" t="s">
        <v>9789</v>
      </c>
      <c r="AF2714" t="s">
        <v>2471</v>
      </c>
      <c r="AG2714" t="s">
        <v>2200</v>
      </c>
      <c r="AH2714" t="s">
        <v>3141</v>
      </c>
      <c r="AI2714" t="s">
        <v>1133</v>
      </c>
      <c r="AJ2714" t="s">
        <v>3495</v>
      </c>
      <c r="AK2714" t="s">
        <v>693</v>
      </c>
      <c r="AL2714">
        <v>2.02</v>
      </c>
      <c r="AM2714">
        <v>2.02</v>
      </c>
      <c r="AN2714">
        <v>1.1499999999999999</v>
      </c>
      <c r="AO2714" t="s">
        <v>10754</v>
      </c>
      <c r="AP2714" t="s">
        <v>13600</v>
      </c>
      <c r="AQ2714" t="s">
        <v>1133</v>
      </c>
      <c r="AR2714" t="s">
        <v>3454</v>
      </c>
      <c r="AS2714" t="s">
        <v>6770</v>
      </c>
      <c r="AT2714" t="s">
        <v>8139</v>
      </c>
      <c r="AU2714" t="s">
        <v>11444</v>
      </c>
      <c r="AV2714" t="s">
        <v>5742</v>
      </c>
      <c r="AW2714" t="s">
        <v>19304</v>
      </c>
      <c r="AX2714" t="s">
        <v>4267</v>
      </c>
      <c r="AY2714" t="s">
        <v>15473</v>
      </c>
      <c r="AZ2714" t="s">
        <v>14588</v>
      </c>
      <c r="BA2714">
        <v>1.61</v>
      </c>
      <c r="BB2714">
        <v>2815.77</v>
      </c>
      <c r="BC2714">
        <v>0.28000000000000003</v>
      </c>
      <c r="BD2714">
        <v>84.31</v>
      </c>
      <c r="BE2714">
        <v>85.54</v>
      </c>
      <c r="BF2714">
        <v>84.27</v>
      </c>
      <c r="BG2714" t="s">
        <v>25178</v>
      </c>
      <c r="BH2714" t="s">
        <v>23563</v>
      </c>
      <c r="BI2714" t="s">
        <v>25179</v>
      </c>
      <c r="BJ2714" t="s">
        <v>101</v>
      </c>
      <c r="BK2714" t="s">
        <v>3328</v>
      </c>
      <c r="BL2714" t="s">
        <v>2290</v>
      </c>
      <c r="BM2714" t="s">
        <v>17611</v>
      </c>
      <c r="BN2714" t="s">
        <v>23454</v>
      </c>
    </row>
    <row r="2715" spans="1:66" x14ac:dyDescent="0.25">
      <c r="A2715" t="str">
        <f>HYPERLINK("https://elite.finviz.com/quote.ashx?t=USFD&amp;ty=c&amp;p=d&amp;b=1", "USFD")</f>
        <v>USFD</v>
      </c>
      <c r="B2715">
        <v>5</v>
      </c>
      <c r="C2715">
        <v>116.22</v>
      </c>
      <c r="D2715">
        <v>39.97</v>
      </c>
      <c r="E2715" t="s">
        <v>25180</v>
      </c>
      <c r="F2715" t="s">
        <v>107</v>
      </c>
      <c r="G2715" t="s">
        <v>2244</v>
      </c>
      <c r="H2715" t="s">
        <v>6825</v>
      </c>
      <c r="I2715" t="s">
        <v>70</v>
      </c>
      <c r="J2715" t="s">
        <v>71</v>
      </c>
      <c r="K2715">
        <v>17210.43</v>
      </c>
      <c r="L2715">
        <v>76.430000000000007</v>
      </c>
      <c r="M2715" t="s">
        <v>2638</v>
      </c>
      <c r="N2715">
        <v>325021</v>
      </c>
      <c r="O2715">
        <v>32.67</v>
      </c>
      <c r="P2715">
        <v>16.55</v>
      </c>
      <c r="Q2715">
        <v>1.66</v>
      </c>
      <c r="R2715">
        <v>0.45</v>
      </c>
      <c r="S2715">
        <v>3.78</v>
      </c>
      <c r="Z2715" t="s">
        <v>164</v>
      </c>
      <c r="AA2715">
        <v>2.34</v>
      </c>
      <c r="AB2715" t="s">
        <v>5644</v>
      </c>
      <c r="AC2715" t="s">
        <v>7154</v>
      </c>
      <c r="AD2715" t="s">
        <v>2928</v>
      </c>
      <c r="AE2715" t="s">
        <v>3054</v>
      </c>
      <c r="AF2715" t="s">
        <v>9159</v>
      </c>
      <c r="AG2715" t="s">
        <v>1114</v>
      </c>
      <c r="AH2715" t="s">
        <v>122</v>
      </c>
      <c r="AI2715" t="s">
        <v>3480</v>
      </c>
      <c r="AJ2715" t="s">
        <v>5765</v>
      </c>
      <c r="AK2715" t="s">
        <v>25181</v>
      </c>
      <c r="AL2715">
        <v>1.17</v>
      </c>
      <c r="AM2715">
        <v>0.73</v>
      </c>
      <c r="AN2715">
        <v>1.08</v>
      </c>
      <c r="AO2715" t="s">
        <v>2409</v>
      </c>
      <c r="AP2715" t="s">
        <v>5369</v>
      </c>
      <c r="AQ2715" t="s">
        <v>6829</v>
      </c>
      <c r="AR2715" t="s">
        <v>6056</v>
      </c>
      <c r="AS2715" t="s">
        <v>6493</v>
      </c>
      <c r="AT2715" t="s">
        <v>214</v>
      </c>
      <c r="AU2715" t="s">
        <v>82</v>
      </c>
      <c r="AV2715" t="s">
        <v>2429</v>
      </c>
      <c r="AW2715" t="s">
        <v>21630</v>
      </c>
      <c r="AX2715" t="s">
        <v>5577</v>
      </c>
      <c r="AY2715" t="s">
        <v>21630</v>
      </c>
      <c r="AZ2715" t="s">
        <v>5655</v>
      </c>
      <c r="BA2715">
        <v>1.47</v>
      </c>
      <c r="BB2715">
        <v>2221.33</v>
      </c>
      <c r="BC2715">
        <v>0.52</v>
      </c>
      <c r="BD2715">
        <v>76.510000000000005</v>
      </c>
      <c r="BE2715">
        <v>76.790000000000006</v>
      </c>
      <c r="BF2715">
        <v>76.260000000000005</v>
      </c>
      <c r="BG2715" t="s">
        <v>25182</v>
      </c>
      <c r="BH2715" t="s">
        <v>21630</v>
      </c>
      <c r="BI2715" t="s">
        <v>25183</v>
      </c>
      <c r="BJ2715" t="s">
        <v>101</v>
      </c>
      <c r="BK2715" t="s">
        <v>575</v>
      </c>
      <c r="BL2715" t="s">
        <v>14779</v>
      </c>
      <c r="BM2715" t="s">
        <v>7139</v>
      </c>
      <c r="BN2715" t="s">
        <v>23454</v>
      </c>
    </row>
    <row r="2716" spans="1:66" x14ac:dyDescent="0.25">
      <c r="A2716" t="str">
        <f>HYPERLINK("https://elite.finviz.com/quote.ashx?t=CPRX&amp;ty=c&amp;p=d&amp;b=1", "CPRX")</f>
        <v>CPRX</v>
      </c>
      <c r="B2716">
        <v>5</v>
      </c>
      <c r="C2716">
        <v>116.22</v>
      </c>
      <c r="D2716">
        <v>39.99</v>
      </c>
      <c r="E2716" t="s">
        <v>25184</v>
      </c>
      <c r="F2716" t="s">
        <v>67</v>
      </c>
      <c r="G2716" t="s">
        <v>428</v>
      </c>
      <c r="H2716" t="s">
        <v>429</v>
      </c>
      <c r="I2716" t="s">
        <v>70</v>
      </c>
      <c r="J2716" t="s">
        <v>321</v>
      </c>
      <c r="K2716">
        <v>2357.25</v>
      </c>
      <c r="L2716">
        <v>19.260000000000002</v>
      </c>
      <c r="M2716" t="s">
        <v>5253</v>
      </c>
      <c r="N2716">
        <v>196260</v>
      </c>
      <c r="O2716">
        <v>11.68</v>
      </c>
      <c r="P2716">
        <v>11.22</v>
      </c>
      <c r="Q2716">
        <v>1.03</v>
      </c>
      <c r="R2716">
        <v>4.22</v>
      </c>
      <c r="S2716">
        <v>2.75</v>
      </c>
      <c r="Z2716" t="s">
        <v>164</v>
      </c>
      <c r="AA2716">
        <v>1.65</v>
      </c>
      <c r="AB2716" t="s">
        <v>17155</v>
      </c>
      <c r="AC2716" t="s">
        <v>16681</v>
      </c>
      <c r="AD2716" t="s">
        <v>9718</v>
      </c>
      <c r="AE2716" t="s">
        <v>8851</v>
      </c>
      <c r="AF2716" t="s">
        <v>12309</v>
      </c>
      <c r="AG2716" t="s">
        <v>839</v>
      </c>
      <c r="AH2716" t="s">
        <v>14157</v>
      </c>
      <c r="AI2716" t="s">
        <v>4908</v>
      </c>
      <c r="AJ2716" t="s">
        <v>4446</v>
      </c>
      <c r="AK2716" t="s">
        <v>23463</v>
      </c>
      <c r="AL2716">
        <v>6.71</v>
      </c>
      <c r="AM2716">
        <v>6.55</v>
      </c>
      <c r="AN2716">
        <v>0</v>
      </c>
      <c r="AO2716" t="s">
        <v>17194</v>
      </c>
      <c r="AP2716" t="s">
        <v>17374</v>
      </c>
      <c r="AQ2716" t="s">
        <v>15196</v>
      </c>
      <c r="AR2716" t="s">
        <v>648</v>
      </c>
      <c r="AS2716" t="s">
        <v>3500</v>
      </c>
      <c r="AT2716" t="s">
        <v>5309</v>
      </c>
      <c r="AU2716" t="s">
        <v>10364</v>
      </c>
      <c r="AV2716" t="s">
        <v>4550</v>
      </c>
      <c r="AW2716" t="s">
        <v>24341</v>
      </c>
      <c r="AX2716" t="s">
        <v>1837</v>
      </c>
      <c r="AY2716" t="s">
        <v>18010</v>
      </c>
      <c r="AZ2716" t="s">
        <v>1837</v>
      </c>
      <c r="BA2716">
        <v>1.1399999999999999</v>
      </c>
      <c r="BB2716">
        <v>1486.47</v>
      </c>
      <c r="BC2716">
        <v>0.47</v>
      </c>
      <c r="BD2716">
        <v>19.13</v>
      </c>
      <c r="BE2716">
        <v>19.45</v>
      </c>
      <c r="BF2716">
        <v>19.3</v>
      </c>
      <c r="BG2716" t="s">
        <v>25185</v>
      </c>
      <c r="BH2716" t="s">
        <v>18010</v>
      </c>
      <c r="BI2716" t="s">
        <v>25186</v>
      </c>
      <c r="BJ2716" t="s">
        <v>101</v>
      </c>
      <c r="BK2716" t="s">
        <v>7856</v>
      </c>
      <c r="BL2716" t="s">
        <v>5074</v>
      </c>
      <c r="BM2716" t="s">
        <v>746</v>
      </c>
      <c r="BN2716" t="s">
        <v>23454</v>
      </c>
    </row>
    <row r="2717" spans="1:66" x14ac:dyDescent="0.25">
      <c r="A2717" t="str">
        <f>HYPERLINK("https://elite.finviz.com/quote.ashx?t=PGRE&amp;ty=c&amp;p=d&amp;b=1", "PGRE")</f>
        <v>PGRE</v>
      </c>
      <c r="B2717">
        <v>5</v>
      </c>
      <c r="C2717">
        <v>116.22</v>
      </c>
      <c r="D2717">
        <v>40</v>
      </c>
      <c r="E2717" t="s">
        <v>25187</v>
      </c>
      <c r="F2717" t="s">
        <v>67</v>
      </c>
      <c r="G2717" t="s">
        <v>68</v>
      </c>
      <c r="H2717" t="s">
        <v>69</v>
      </c>
      <c r="I2717" t="s">
        <v>70</v>
      </c>
      <c r="J2717" t="s">
        <v>71</v>
      </c>
      <c r="K2717">
        <v>1515.51</v>
      </c>
      <c r="L2717">
        <v>6.53</v>
      </c>
      <c r="M2717" t="s">
        <v>2880</v>
      </c>
      <c r="N2717">
        <v>722917</v>
      </c>
      <c r="R2717">
        <v>2.0299999999999998</v>
      </c>
      <c r="S2717">
        <v>0.48</v>
      </c>
      <c r="T2717" t="s">
        <v>4849</v>
      </c>
      <c r="V2717" t="s">
        <v>25188</v>
      </c>
      <c r="AA2717">
        <v>-0.36</v>
      </c>
      <c r="AB2717" t="s">
        <v>25189</v>
      </c>
      <c r="AC2717" t="s">
        <v>15100</v>
      </c>
      <c r="AE2717" t="s">
        <v>2741</v>
      </c>
      <c r="AF2717" t="s">
        <v>5058</v>
      </c>
      <c r="AG2717" t="s">
        <v>3000</v>
      </c>
      <c r="AH2717" t="s">
        <v>7256</v>
      </c>
      <c r="AI2717" t="s">
        <v>1579</v>
      </c>
      <c r="AJ2717" t="s">
        <v>164</v>
      </c>
      <c r="AK2717" t="s">
        <v>25190</v>
      </c>
      <c r="AL2717">
        <v>8.94</v>
      </c>
      <c r="AM2717">
        <v>8.94</v>
      </c>
      <c r="AN2717">
        <v>1.22</v>
      </c>
      <c r="AO2717" t="s">
        <v>14860</v>
      </c>
      <c r="AP2717" t="s">
        <v>4532</v>
      </c>
      <c r="AQ2717" t="s">
        <v>7798</v>
      </c>
      <c r="AR2717" t="s">
        <v>4840</v>
      </c>
      <c r="AS2717" t="s">
        <v>90</v>
      </c>
      <c r="AT2717" t="s">
        <v>6450</v>
      </c>
      <c r="AU2717" t="s">
        <v>81</v>
      </c>
      <c r="AV2717" t="s">
        <v>9884</v>
      </c>
      <c r="AW2717" t="s">
        <v>20993</v>
      </c>
      <c r="AX2717" t="s">
        <v>9843</v>
      </c>
      <c r="AY2717" t="s">
        <v>20993</v>
      </c>
      <c r="AZ2717" t="s">
        <v>25191</v>
      </c>
      <c r="BA2717">
        <v>3</v>
      </c>
      <c r="BB2717">
        <v>4164.87</v>
      </c>
      <c r="BC2717">
        <v>0.61</v>
      </c>
      <c r="BD2717">
        <v>6.52</v>
      </c>
      <c r="BE2717">
        <v>6.56</v>
      </c>
      <c r="BF2717">
        <v>6.53</v>
      </c>
      <c r="BG2717" t="s">
        <v>25192</v>
      </c>
      <c r="BH2717" t="s">
        <v>12111</v>
      </c>
      <c r="BI2717" t="s">
        <v>25191</v>
      </c>
      <c r="BJ2717" t="s">
        <v>101</v>
      </c>
      <c r="BK2717" t="s">
        <v>3746</v>
      </c>
      <c r="BL2717" t="s">
        <v>25193</v>
      </c>
      <c r="BM2717" t="s">
        <v>19337</v>
      </c>
      <c r="BN2717" t="s">
        <v>23454</v>
      </c>
    </row>
    <row r="2718" spans="1:66" x14ac:dyDescent="0.25">
      <c r="A2718" t="str">
        <f>HYPERLINK("https://elite.finviz.com/quote.ashx?t=RHI&amp;ty=c&amp;p=d&amp;b=1", "RHI")</f>
        <v>RHI</v>
      </c>
      <c r="B2718">
        <v>5</v>
      </c>
      <c r="C2718">
        <v>116.22</v>
      </c>
      <c r="D2718">
        <v>40</v>
      </c>
      <c r="E2718" t="s">
        <v>25194</v>
      </c>
      <c r="F2718" t="s">
        <v>107</v>
      </c>
      <c r="G2718" t="s">
        <v>260</v>
      </c>
      <c r="H2718" t="s">
        <v>8693</v>
      </c>
      <c r="I2718" t="s">
        <v>70</v>
      </c>
      <c r="J2718" t="s">
        <v>71</v>
      </c>
      <c r="K2718">
        <v>3440.6</v>
      </c>
      <c r="L2718">
        <v>33.82</v>
      </c>
      <c r="M2718" t="s">
        <v>5055</v>
      </c>
      <c r="N2718">
        <v>216329</v>
      </c>
      <c r="O2718">
        <v>19.32</v>
      </c>
      <c r="P2718">
        <v>15.41</v>
      </c>
      <c r="Q2718">
        <v>2.36</v>
      </c>
      <c r="R2718">
        <v>0.62</v>
      </c>
      <c r="S2718">
        <v>2.62</v>
      </c>
      <c r="T2718" t="s">
        <v>6330</v>
      </c>
      <c r="U2718">
        <v>2.2999999999999998</v>
      </c>
      <c r="V2718" t="s">
        <v>10943</v>
      </c>
      <c r="W2718" t="s">
        <v>9227</v>
      </c>
      <c r="X2718" t="s">
        <v>1206</v>
      </c>
      <c r="Y2718" t="s">
        <v>4565</v>
      </c>
      <c r="Z2718" t="s">
        <v>25195</v>
      </c>
      <c r="AA2718">
        <v>1.75</v>
      </c>
      <c r="AB2718" t="s">
        <v>25196</v>
      </c>
      <c r="AC2718" t="s">
        <v>16810</v>
      </c>
      <c r="AD2718" t="s">
        <v>7511</v>
      </c>
      <c r="AE2718" t="s">
        <v>12921</v>
      </c>
      <c r="AF2718" t="s">
        <v>7582</v>
      </c>
      <c r="AG2718" t="s">
        <v>3950</v>
      </c>
      <c r="AH2718" t="s">
        <v>5612</v>
      </c>
      <c r="AI2718" t="s">
        <v>2643</v>
      </c>
      <c r="AJ2718" t="s">
        <v>164</v>
      </c>
      <c r="AK2718" t="s">
        <v>25197</v>
      </c>
      <c r="AL2718">
        <v>1.55</v>
      </c>
      <c r="AM2718">
        <v>1.55</v>
      </c>
      <c r="AN2718">
        <v>0.19</v>
      </c>
      <c r="AO2718" t="s">
        <v>13286</v>
      </c>
      <c r="AP2718" t="s">
        <v>2383</v>
      </c>
      <c r="AQ2718" t="s">
        <v>170</v>
      </c>
      <c r="AR2718" t="s">
        <v>7484</v>
      </c>
      <c r="AS2718" t="s">
        <v>6104</v>
      </c>
      <c r="AT2718" t="s">
        <v>2076</v>
      </c>
      <c r="AU2718" t="s">
        <v>14732</v>
      </c>
      <c r="AV2718" t="s">
        <v>22382</v>
      </c>
      <c r="AW2718" t="s">
        <v>25151</v>
      </c>
      <c r="AX2718" t="s">
        <v>3118</v>
      </c>
      <c r="AY2718" t="s">
        <v>25198</v>
      </c>
      <c r="AZ2718" t="s">
        <v>3118</v>
      </c>
      <c r="BA2718">
        <v>3.31</v>
      </c>
      <c r="BB2718">
        <v>1956.7</v>
      </c>
      <c r="BC2718">
        <v>0.39</v>
      </c>
      <c r="BD2718">
        <v>33.49</v>
      </c>
      <c r="BE2718">
        <v>34.119999999999997</v>
      </c>
      <c r="BF2718">
        <v>33.47</v>
      </c>
      <c r="BG2718" t="s">
        <v>25199</v>
      </c>
      <c r="BH2718" t="s">
        <v>25200</v>
      </c>
      <c r="BI2718" t="s">
        <v>25201</v>
      </c>
      <c r="BJ2718" t="s">
        <v>101</v>
      </c>
      <c r="BK2718" t="s">
        <v>7220</v>
      </c>
      <c r="BL2718" t="s">
        <v>10907</v>
      </c>
      <c r="BM2718" t="s">
        <v>25202</v>
      </c>
      <c r="BN2718" t="s">
        <v>23454</v>
      </c>
    </row>
    <row r="2719" spans="1:66" x14ac:dyDescent="0.25">
      <c r="A2719" t="str">
        <f>HYPERLINK("https://elite.finviz.com/quote.ashx?t=AFRM&amp;ty=c&amp;p=d&amp;b=1", "AFRM")</f>
        <v>AFRM</v>
      </c>
      <c r="B2719">
        <v>5</v>
      </c>
      <c r="C2719">
        <v>116.22</v>
      </c>
      <c r="D2719">
        <v>40.03</v>
      </c>
      <c r="E2719" t="s">
        <v>25203</v>
      </c>
      <c r="F2719" t="s">
        <v>107</v>
      </c>
      <c r="G2719" t="s">
        <v>108</v>
      </c>
      <c r="H2719" t="s">
        <v>109</v>
      </c>
      <c r="I2719" t="s">
        <v>70</v>
      </c>
      <c r="J2719" t="s">
        <v>321</v>
      </c>
      <c r="K2719">
        <v>24616.03</v>
      </c>
      <c r="L2719">
        <v>75.59</v>
      </c>
      <c r="M2719" t="s">
        <v>10774</v>
      </c>
      <c r="N2719">
        <v>2491263</v>
      </c>
      <c r="O2719">
        <v>590.09</v>
      </c>
      <c r="P2719">
        <v>50.33</v>
      </c>
      <c r="Q2719">
        <v>4.01</v>
      </c>
      <c r="R2719">
        <v>7.63</v>
      </c>
      <c r="S2719">
        <v>8.01</v>
      </c>
      <c r="Z2719" t="s">
        <v>164</v>
      </c>
      <c r="AA2719">
        <v>0.13</v>
      </c>
      <c r="AD2719" t="s">
        <v>25204</v>
      </c>
      <c r="AE2719" t="s">
        <v>22042</v>
      </c>
      <c r="AF2719" t="s">
        <v>11879</v>
      </c>
      <c r="AG2719" t="s">
        <v>4049</v>
      </c>
      <c r="AH2719" t="s">
        <v>15159</v>
      </c>
      <c r="AI2719" t="s">
        <v>25205</v>
      </c>
      <c r="AJ2719" t="s">
        <v>5763</v>
      </c>
      <c r="AK2719" t="s">
        <v>25206</v>
      </c>
      <c r="AL2719">
        <v>6.56</v>
      </c>
      <c r="AM2719">
        <v>6.56</v>
      </c>
      <c r="AN2719">
        <v>2.4900000000000002</v>
      </c>
      <c r="AO2719" t="s">
        <v>18093</v>
      </c>
      <c r="AP2719" t="s">
        <v>2544</v>
      </c>
      <c r="AQ2719" t="s">
        <v>2186</v>
      </c>
      <c r="AR2719" t="s">
        <v>2035</v>
      </c>
      <c r="AS2719" t="s">
        <v>5336</v>
      </c>
      <c r="AT2719" t="s">
        <v>332</v>
      </c>
      <c r="AU2719" t="s">
        <v>3814</v>
      </c>
      <c r="AV2719" t="s">
        <v>8466</v>
      </c>
      <c r="AW2719" t="s">
        <v>10801</v>
      </c>
      <c r="AX2719" t="s">
        <v>1876</v>
      </c>
      <c r="AY2719" t="s">
        <v>10801</v>
      </c>
      <c r="AZ2719" t="s">
        <v>25207</v>
      </c>
      <c r="BA2719">
        <v>1.82</v>
      </c>
      <c r="BB2719">
        <v>7153.63</v>
      </c>
      <c r="BC2719">
        <v>1.23</v>
      </c>
      <c r="BD2719">
        <v>77.94</v>
      </c>
      <c r="BE2719">
        <v>78.75</v>
      </c>
      <c r="BF2719">
        <v>75.239999999999995</v>
      </c>
      <c r="BG2719" t="s">
        <v>25208</v>
      </c>
      <c r="BH2719" t="s">
        <v>25209</v>
      </c>
      <c r="BI2719" t="s">
        <v>25210</v>
      </c>
      <c r="BJ2719" t="s">
        <v>101</v>
      </c>
      <c r="BK2719" t="s">
        <v>18151</v>
      </c>
      <c r="BL2719" t="s">
        <v>1068</v>
      </c>
      <c r="BM2719" t="s">
        <v>15813</v>
      </c>
      <c r="BN2719" t="s">
        <v>23454</v>
      </c>
    </row>
    <row r="2720" spans="1:66" x14ac:dyDescent="0.25">
      <c r="A2720" t="str">
        <f>HYPERLINK("https://elite.finviz.com/quote.ashx?t=OLPX&amp;ty=c&amp;p=d&amp;b=1", "OLPX")</f>
        <v>OLPX</v>
      </c>
      <c r="B2720">
        <v>5</v>
      </c>
      <c r="C2720">
        <v>116.22</v>
      </c>
      <c r="D2720">
        <v>40.04</v>
      </c>
      <c r="E2720" t="s">
        <v>25211</v>
      </c>
      <c r="F2720" t="s">
        <v>67</v>
      </c>
      <c r="G2720" t="s">
        <v>813</v>
      </c>
      <c r="H2720" t="s">
        <v>2262</v>
      </c>
      <c r="I2720" t="s">
        <v>70</v>
      </c>
      <c r="J2720" t="s">
        <v>321</v>
      </c>
      <c r="K2720">
        <v>894.22</v>
      </c>
      <c r="L2720">
        <v>1.34</v>
      </c>
      <c r="M2720" t="s">
        <v>629</v>
      </c>
      <c r="N2720">
        <v>176820</v>
      </c>
      <c r="P2720">
        <v>17.37</v>
      </c>
      <c r="R2720">
        <v>2.11</v>
      </c>
      <c r="S2720">
        <v>1.02</v>
      </c>
      <c r="Z2720" t="s">
        <v>164</v>
      </c>
      <c r="AA2720">
        <v>0</v>
      </c>
      <c r="AB2720" t="s">
        <v>1958</v>
      </c>
      <c r="AC2720" t="s">
        <v>9766</v>
      </c>
      <c r="AD2720" t="s">
        <v>900</v>
      </c>
      <c r="AE2720" t="s">
        <v>1082</v>
      </c>
      <c r="AF2720" t="s">
        <v>5491</v>
      </c>
      <c r="AG2720" t="s">
        <v>1340</v>
      </c>
      <c r="AH2720" t="s">
        <v>8016</v>
      </c>
      <c r="AI2720" t="s">
        <v>25212</v>
      </c>
      <c r="AJ2720" t="s">
        <v>7709</v>
      </c>
      <c r="AK2720" t="s">
        <v>12631</v>
      </c>
      <c r="AL2720">
        <v>3.86</v>
      </c>
      <c r="AM2720">
        <v>3.2</v>
      </c>
      <c r="AN2720">
        <v>0.4</v>
      </c>
      <c r="AO2720" t="s">
        <v>25213</v>
      </c>
      <c r="AP2720" t="s">
        <v>2625</v>
      </c>
      <c r="AQ2720" t="s">
        <v>3890</v>
      </c>
      <c r="AR2720" t="s">
        <v>4173</v>
      </c>
      <c r="AS2720" t="s">
        <v>1872</v>
      </c>
      <c r="AT2720" t="s">
        <v>8506</v>
      </c>
      <c r="AU2720" t="s">
        <v>15100</v>
      </c>
      <c r="AV2720" t="s">
        <v>5134</v>
      </c>
      <c r="AW2720" t="s">
        <v>14673</v>
      </c>
      <c r="AX2720" t="s">
        <v>4403</v>
      </c>
      <c r="AY2720" t="s">
        <v>25214</v>
      </c>
      <c r="AZ2720" t="s">
        <v>7816</v>
      </c>
      <c r="BA2720">
        <v>3</v>
      </c>
      <c r="BB2720">
        <v>1127.19</v>
      </c>
      <c r="BC2720">
        <v>0.55000000000000004</v>
      </c>
      <c r="BD2720">
        <v>1.34</v>
      </c>
      <c r="BE2720">
        <v>1.37</v>
      </c>
      <c r="BF2720">
        <v>1.32</v>
      </c>
      <c r="BG2720" t="s">
        <v>25215</v>
      </c>
      <c r="BH2720" t="s">
        <v>25216</v>
      </c>
      <c r="BI2720" t="s">
        <v>7816</v>
      </c>
      <c r="BJ2720" t="s">
        <v>101</v>
      </c>
      <c r="BK2720" t="s">
        <v>411</v>
      </c>
      <c r="BL2720" t="s">
        <v>6463</v>
      </c>
      <c r="BM2720" t="s">
        <v>10814</v>
      </c>
      <c r="BN2720" t="s">
        <v>23454</v>
      </c>
    </row>
    <row r="2721" spans="1:66" x14ac:dyDescent="0.25">
      <c r="A2721" t="str">
        <f>HYPERLINK("https://elite.finviz.com/quote.ashx?t=AGAE&amp;ty=c&amp;p=d&amp;b=1", "AGAE")</f>
        <v>AGAE</v>
      </c>
      <c r="B2721">
        <v>5</v>
      </c>
      <c r="C2721">
        <v>116.22</v>
      </c>
      <c r="D2721">
        <v>40.049999999999997</v>
      </c>
      <c r="E2721" t="s">
        <v>25217</v>
      </c>
      <c r="F2721" t="s">
        <v>107</v>
      </c>
      <c r="G2721" t="s">
        <v>598</v>
      </c>
      <c r="H2721" t="s">
        <v>4247</v>
      </c>
      <c r="I2721" t="s">
        <v>70</v>
      </c>
      <c r="J2721" t="s">
        <v>321</v>
      </c>
      <c r="K2721">
        <v>35.74</v>
      </c>
      <c r="L2721">
        <v>0.94</v>
      </c>
      <c r="M2721" t="s">
        <v>6336</v>
      </c>
      <c r="N2721">
        <v>58241</v>
      </c>
      <c r="R2721">
        <v>4.33</v>
      </c>
      <c r="S2721">
        <v>0.62</v>
      </c>
      <c r="AA2721">
        <v>-0.52</v>
      </c>
      <c r="AB2721" t="s">
        <v>3031</v>
      </c>
      <c r="AC2721" t="s">
        <v>1562</v>
      </c>
      <c r="AE2721" t="s">
        <v>4271</v>
      </c>
      <c r="AF2721" t="s">
        <v>12927</v>
      </c>
      <c r="AG2721" t="s">
        <v>3670</v>
      </c>
      <c r="AH2721" t="s">
        <v>3072</v>
      </c>
      <c r="AJ2721" t="s">
        <v>164</v>
      </c>
      <c r="AK2721" t="s">
        <v>4873</v>
      </c>
      <c r="AL2721">
        <v>2.0499999999999998</v>
      </c>
      <c r="AM2721">
        <v>2.0499999999999998</v>
      </c>
      <c r="AN2721">
        <v>0.71</v>
      </c>
      <c r="AO2721" t="s">
        <v>6779</v>
      </c>
      <c r="AP2721" t="s">
        <v>25218</v>
      </c>
      <c r="AQ2721" t="s">
        <v>25219</v>
      </c>
      <c r="AR2721" t="s">
        <v>1207</v>
      </c>
      <c r="AS2721" t="s">
        <v>14687</v>
      </c>
      <c r="AT2721" t="s">
        <v>2850</v>
      </c>
      <c r="AU2721" t="s">
        <v>25220</v>
      </c>
      <c r="AV2721" t="s">
        <v>25221</v>
      </c>
      <c r="AW2721" t="s">
        <v>25222</v>
      </c>
      <c r="AX2721" t="s">
        <v>7407</v>
      </c>
      <c r="AY2721" t="s">
        <v>25223</v>
      </c>
      <c r="AZ2721" t="s">
        <v>18906</v>
      </c>
      <c r="BA2721">
        <v>1</v>
      </c>
      <c r="BB2721">
        <v>1915.05</v>
      </c>
      <c r="BC2721">
        <v>0.11</v>
      </c>
      <c r="BD2721">
        <v>0.92</v>
      </c>
      <c r="BE2721">
        <v>0.96</v>
      </c>
      <c r="BF2721">
        <v>0.92</v>
      </c>
      <c r="BG2721" t="s">
        <v>25224</v>
      </c>
      <c r="BH2721" t="s">
        <v>25225</v>
      </c>
      <c r="BI2721" t="s">
        <v>25226</v>
      </c>
      <c r="BJ2721" t="s">
        <v>101</v>
      </c>
      <c r="BK2721" t="s">
        <v>25227</v>
      </c>
      <c r="BL2721" t="s">
        <v>25228</v>
      </c>
      <c r="BM2721" t="s">
        <v>21930</v>
      </c>
      <c r="BN2721" t="s">
        <v>23454</v>
      </c>
    </row>
    <row r="2722" spans="1:66" x14ac:dyDescent="0.25">
      <c r="A2722" t="str">
        <f>HYPERLINK("https://elite.finviz.com/quote.ashx?t=REPL&amp;ty=c&amp;p=d&amp;b=1", "REPL")</f>
        <v>REPL</v>
      </c>
      <c r="B2722">
        <v>5</v>
      </c>
      <c r="C2722">
        <v>116.22</v>
      </c>
      <c r="D2722">
        <v>40.049999999999997</v>
      </c>
      <c r="E2722" t="s">
        <v>25229</v>
      </c>
      <c r="F2722" t="s">
        <v>67</v>
      </c>
      <c r="G2722" t="s">
        <v>428</v>
      </c>
      <c r="H2722" t="s">
        <v>429</v>
      </c>
      <c r="I2722" t="s">
        <v>70</v>
      </c>
      <c r="J2722" t="s">
        <v>321</v>
      </c>
      <c r="K2722">
        <v>324.33</v>
      </c>
      <c r="L2722">
        <v>4.16</v>
      </c>
      <c r="M2722" t="s">
        <v>90</v>
      </c>
      <c r="N2722">
        <v>499772</v>
      </c>
      <c r="S2722">
        <v>0.96</v>
      </c>
      <c r="AA2722">
        <v>-3.38</v>
      </c>
      <c r="AB2722" t="s">
        <v>18199</v>
      </c>
      <c r="AC2722" t="s">
        <v>25230</v>
      </c>
      <c r="AD2722" t="s">
        <v>3997</v>
      </c>
      <c r="AI2722" t="s">
        <v>5637</v>
      </c>
      <c r="AJ2722" t="s">
        <v>7270</v>
      </c>
      <c r="AK2722" t="s">
        <v>7911</v>
      </c>
      <c r="AL2722">
        <v>6.94</v>
      </c>
      <c r="AM2722">
        <v>6.94</v>
      </c>
      <c r="AN2722">
        <v>0.23</v>
      </c>
      <c r="AR2722" t="s">
        <v>511</v>
      </c>
      <c r="AS2722" t="s">
        <v>2653</v>
      </c>
      <c r="AT2722" t="s">
        <v>6197</v>
      </c>
      <c r="AU2722" t="s">
        <v>25231</v>
      </c>
      <c r="AV2722" t="s">
        <v>14784</v>
      </c>
      <c r="AW2722" t="s">
        <v>25232</v>
      </c>
      <c r="AX2722" t="s">
        <v>25233</v>
      </c>
      <c r="AY2722" t="s">
        <v>17750</v>
      </c>
      <c r="AZ2722" t="s">
        <v>25233</v>
      </c>
      <c r="BA2722">
        <v>3</v>
      </c>
      <c r="BB2722">
        <v>9927.56</v>
      </c>
      <c r="BC2722">
        <v>0.18</v>
      </c>
      <c r="BD2722">
        <v>4.05</v>
      </c>
      <c r="BE2722">
        <v>4.1900000000000004</v>
      </c>
      <c r="BF2722">
        <v>4.03</v>
      </c>
      <c r="BG2722" t="s">
        <v>25234</v>
      </c>
      <c r="BH2722" t="s">
        <v>23516</v>
      </c>
      <c r="BI2722" t="s">
        <v>25233</v>
      </c>
      <c r="BJ2722" t="s">
        <v>101</v>
      </c>
      <c r="BK2722" t="s">
        <v>9526</v>
      </c>
      <c r="BL2722" t="s">
        <v>25235</v>
      </c>
      <c r="BM2722" t="s">
        <v>25236</v>
      </c>
      <c r="BN2722" t="s">
        <v>23454</v>
      </c>
    </row>
    <row r="2723" spans="1:66" x14ac:dyDescent="0.25">
      <c r="A2723" t="str">
        <f>HYPERLINK("https://elite.finviz.com/quote.ashx?t=MAS&amp;ty=c&amp;p=d&amp;b=1", "MAS")</f>
        <v>MAS</v>
      </c>
      <c r="B2723">
        <v>5</v>
      </c>
      <c r="C2723">
        <v>116.22</v>
      </c>
      <c r="D2723">
        <v>40.08</v>
      </c>
      <c r="E2723" t="s">
        <v>25237</v>
      </c>
      <c r="F2723" t="s">
        <v>195</v>
      </c>
      <c r="G2723" t="s">
        <v>260</v>
      </c>
      <c r="H2723" t="s">
        <v>3225</v>
      </c>
      <c r="I2723" t="s">
        <v>70</v>
      </c>
      <c r="J2723" t="s">
        <v>71</v>
      </c>
      <c r="K2723">
        <v>14658.6</v>
      </c>
      <c r="L2723">
        <v>70.010000000000005</v>
      </c>
      <c r="M2723" t="s">
        <v>2331</v>
      </c>
      <c r="N2723">
        <v>318261</v>
      </c>
      <c r="O2723">
        <v>18.59</v>
      </c>
      <c r="P2723">
        <v>16.04</v>
      </c>
      <c r="Q2723">
        <v>3.26</v>
      </c>
      <c r="R2723">
        <v>1.91</v>
      </c>
      <c r="T2723" t="s">
        <v>5084</v>
      </c>
      <c r="U2723">
        <v>1.22</v>
      </c>
      <c r="V2723" t="s">
        <v>1762</v>
      </c>
      <c r="W2723" t="s">
        <v>451</v>
      </c>
      <c r="X2723" t="s">
        <v>3053</v>
      </c>
      <c r="Y2723" t="s">
        <v>15197</v>
      </c>
      <c r="Z2723" t="s">
        <v>7958</v>
      </c>
      <c r="AA2723">
        <v>3.77</v>
      </c>
      <c r="AB2723" t="s">
        <v>7588</v>
      </c>
      <c r="AC2723" t="s">
        <v>3532</v>
      </c>
      <c r="AD2723" t="s">
        <v>1772</v>
      </c>
      <c r="AE2723" t="s">
        <v>81</v>
      </c>
      <c r="AF2723" t="s">
        <v>3811</v>
      </c>
      <c r="AG2723" t="s">
        <v>911</v>
      </c>
      <c r="AH2723" t="s">
        <v>5765</v>
      </c>
      <c r="AI2723" t="s">
        <v>12410</v>
      </c>
      <c r="AJ2723" t="s">
        <v>13208</v>
      </c>
      <c r="AK2723" t="s">
        <v>25238</v>
      </c>
      <c r="AL2723">
        <v>1.82</v>
      </c>
      <c r="AM2723">
        <v>1.1399999999999999</v>
      </c>
      <c r="AO2723" t="s">
        <v>5977</v>
      </c>
      <c r="AP2723" t="s">
        <v>6249</v>
      </c>
      <c r="AQ2723" t="s">
        <v>1228</v>
      </c>
      <c r="AR2723" t="s">
        <v>2082</v>
      </c>
      <c r="AS2723" t="s">
        <v>5258</v>
      </c>
      <c r="AT2723" t="s">
        <v>552</v>
      </c>
      <c r="AU2723" t="s">
        <v>1119</v>
      </c>
      <c r="AV2723" t="s">
        <v>430</v>
      </c>
      <c r="AW2723" t="s">
        <v>10375</v>
      </c>
      <c r="AX2723" t="s">
        <v>3648</v>
      </c>
      <c r="AY2723" t="s">
        <v>14218</v>
      </c>
      <c r="AZ2723" t="s">
        <v>1472</v>
      </c>
      <c r="BA2723">
        <v>2.4300000000000002</v>
      </c>
      <c r="BB2723">
        <v>2318.89</v>
      </c>
      <c r="BC2723">
        <v>0.48</v>
      </c>
      <c r="BD2723">
        <v>70.48</v>
      </c>
      <c r="BE2723">
        <v>70.819999999999993</v>
      </c>
      <c r="BF2723">
        <v>69.73</v>
      </c>
      <c r="BG2723" t="s">
        <v>25239</v>
      </c>
      <c r="BH2723" t="s">
        <v>14218</v>
      </c>
      <c r="BI2723" t="s">
        <v>25240</v>
      </c>
      <c r="BJ2723" t="s">
        <v>101</v>
      </c>
      <c r="BK2723" t="s">
        <v>1775</v>
      </c>
      <c r="BL2723" t="s">
        <v>8374</v>
      </c>
      <c r="BM2723" t="s">
        <v>16159</v>
      </c>
      <c r="BN2723" t="s">
        <v>23454</v>
      </c>
    </row>
    <row r="2724" spans="1:66" x14ac:dyDescent="0.25">
      <c r="A2724" t="str">
        <f>HYPERLINK("https://elite.finviz.com/quote.ashx?t=VYNE&amp;ty=c&amp;p=d&amp;b=1", "VYNE")</f>
        <v>VYNE</v>
      </c>
      <c r="B2724">
        <v>5</v>
      </c>
      <c r="C2724">
        <v>116.22</v>
      </c>
      <c r="D2724">
        <v>40.11</v>
      </c>
      <c r="E2724" t="s">
        <v>25241</v>
      </c>
      <c r="F2724" t="s">
        <v>107</v>
      </c>
      <c r="G2724" t="s">
        <v>428</v>
      </c>
      <c r="H2724" t="s">
        <v>429</v>
      </c>
      <c r="I2724" t="s">
        <v>70</v>
      </c>
      <c r="J2724" t="s">
        <v>321</v>
      </c>
      <c r="K2724">
        <v>8.24</v>
      </c>
      <c r="L2724">
        <v>0.32</v>
      </c>
      <c r="M2724" t="s">
        <v>92</v>
      </c>
      <c r="N2724">
        <v>411964</v>
      </c>
      <c r="R2724">
        <v>17.170000000000002</v>
      </c>
      <c r="S2724">
        <v>0.16</v>
      </c>
      <c r="AA2724">
        <v>-0.9</v>
      </c>
      <c r="AB2724" t="s">
        <v>16661</v>
      </c>
      <c r="AC2724" t="s">
        <v>25059</v>
      </c>
      <c r="AD2724" t="s">
        <v>14653</v>
      </c>
      <c r="AE2724" t="s">
        <v>14331</v>
      </c>
      <c r="AF2724" t="s">
        <v>4702</v>
      </c>
      <c r="AG2724" t="s">
        <v>2333</v>
      </c>
      <c r="AH2724" t="s">
        <v>23358</v>
      </c>
      <c r="AI2724" t="s">
        <v>1604</v>
      </c>
      <c r="AJ2724" t="s">
        <v>164</v>
      </c>
      <c r="AK2724" t="s">
        <v>11359</v>
      </c>
      <c r="AL2724">
        <v>7.6</v>
      </c>
      <c r="AM2724">
        <v>7.6</v>
      </c>
      <c r="AN2724">
        <v>0</v>
      </c>
      <c r="AP2724" t="s">
        <v>25242</v>
      </c>
      <c r="AQ2724" t="s">
        <v>25243</v>
      </c>
      <c r="AR2724" t="s">
        <v>1243</v>
      </c>
      <c r="AS2724" t="s">
        <v>6008</v>
      </c>
      <c r="AT2724" t="s">
        <v>2838</v>
      </c>
      <c r="AU2724" t="s">
        <v>25244</v>
      </c>
      <c r="AV2724" t="s">
        <v>25245</v>
      </c>
      <c r="AW2724" t="s">
        <v>25246</v>
      </c>
      <c r="AX2724" t="s">
        <v>12145</v>
      </c>
      <c r="AY2724" t="s">
        <v>9078</v>
      </c>
      <c r="AZ2724" t="s">
        <v>12145</v>
      </c>
      <c r="BA2724">
        <v>2.5</v>
      </c>
      <c r="BB2724">
        <v>2366.0300000000002</v>
      </c>
      <c r="BC2724">
        <v>0.62</v>
      </c>
      <c r="BD2724">
        <v>0.32</v>
      </c>
      <c r="BE2724">
        <v>0.33</v>
      </c>
      <c r="BF2724">
        <v>0.32</v>
      </c>
      <c r="BG2724" t="s">
        <v>25247</v>
      </c>
      <c r="BH2724" t="s">
        <v>3320</v>
      </c>
      <c r="BI2724" t="s">
        <v>12145</v>
      </c>
      <c r="BJ2724" t="s">
        <v>101</v>
      </c>
      <c r="BK2724" t="s">
        <v>25248</v>
      </c>
      <c r="BL2724" t="s">
        <v>556</v>
      </c>
      <c r="BM2724" t="s">
        <v>25249</v>
      </c>
      <c r="BN2724" t="s">
        <v>23454</v>
      </c>
    </row>
    <row r="2725" spans="1:66" x14ac:dyDescent="0.25">
      <c r="A2725" t="str">
        <f>HYPERLINK("https://elite.finviz.com/quote.ashx?t=RWT&amp;ty=c&amp;p=d&amp;b=1", "RWT")</f>
        <v>RWT</v>
      </c>
      <c r="B2725">
        <v>5</v>
      </c>
      <c r="C2725">
        <v>116.22</v>
      </c>
      <c r="D2725">
        <v>40.119999999999997</v>
      </c>
      <c r="E2725" t="s">
        <v>25250</v>
      </c>
      <c r="F2725" t="s">
        <v>67</v>
      </c>
      <c r="G2725" t="s">
        <v>68</v>
      </c>
      <c r="H2725" t="s">
        <v>5566</v>
      </c>
      <c r="I2725" t="s">
        <v>70</v>
      </c>
      <c r="J2725" t="s">
        <v>71</v>
      </c>
      <c r="K2725">
        <v>751.44</v>
      </c>
      <c r="L2725">
        <v>5.82</v>
      </c>
      <c r="M2725" t="s">
        <v>182</v>
      </c>
      <c r="N2725">
        <v>157095</v>
      </c>
      <c r="P2725">
        <v>8.24</v>
      </c>
      <c r="R2725">
        <v>0.68</v>
      </c>
      <c r="S2725">
        <v>0.78</v>
      </c>
      <c r="T2725" t="s">
        <v>511</v>
      </c>
      <c r="U2725">
        <v>0.63</v>
      </c>
      <c r="V2725" t="s">
        <v>17449</v>
      </c>
      <c r="W2725" t="s">
        <v>15506</v>
      </c>
      <c r="X2725" t="s">
        <v>10703</v>
      </c>
      <c r="Y2725" t="s">
        <v>24165</v>
      </c>
      <c r="Z2725" t="s">
        <v>25251</v>
      </c>
      <c r="AA2725">
        <v>-0.65</v>
      </c>
      <c r="AB2725" t="s">
        <v>25252</v>
      </c>
      <c r="AC2725" t="s">
        <v>25253</v>
      </c>
      <c r="AD2725" t="s">
        <v>2297</v>
      </c>
      <c r="AE2725" t="s">
        <v>25254</v>
      </c>
      <c r="AF2725" t="s">
        <v>828</v>
      </c>
      <c r="AG2725" t="s">
        <v>3036</v>
      </c>
      <c r="AH2725" t="s">
        <v>3623</v>
      </c>
      <c r="AI2725" t="s">
        <v>25255</v>
      </c>
      <c r="AJ2725" t="s">
        <v>164</v>
      </c>
      <c r="AK2725" t="s">
        <v>25256</v>
      </c>
      <c r="AL2725">
        <v>0.38</v>
      </c>
      <c r="AM2725">
        <v>0.35</v>
      </c>
      <c r="AN2725">
        <v>18.739999999999998</v>
      </c>
      <c r="AO2725" t="s">
        <v>17946</v>
      </c>
      <c r="AP2725" t="s">
        <v>10891</v>
      </c>
      <c r="AQ2725" t="s">
        <v>2393</v>
      </c>
      <c r="AR2725" t="s">
        <v>633</v>
      </c>
      <c r="AS2725" t="s">
        <v>714</v>
      </c>
      <c r="AT2725" t="s">
        <v>2814</v>
      </c>
      <c r="AU2725" t="s">
        <v>2617</v>
      </c>
      <c r="AV2725" t="s">
        <v>8225</v>
      </c>
      <c r="AW2725" t="s">
        <v>13001</v>
      </c>
      <c r="AX2725" t="s">
        <v>346</v>
      </c>
      <c r="AY2725" t="s">
        <v>1010</v>
      </c>
      <c r="AZ2725" t="s">
        <v>5998</v>
      </c>
      <c r="BA2725">
        <v>2.25</v>
      </c>
      <c r="BB2725">
        <v>1091.58</v>
      </c>
      <c r="BC2725">
        <v>0.51</v>
      </c>
      <c r="BD2725">
        <v>5.8</v>
      </c>
      <c r="BE2725">
        <v>5.85</v>
      </c>
      <c r="BF2725">
        <v>5.76</v>
      </c>
      <c r="BG2725" t="s">
        <v>25257</v>
      </c>
      <c r="BH2725" t="s">
        <v>25258</v>
      </c>
      <c r="BI2725" t="s">
        <v>25259</v>
      </c>
      <c r="BJ2725" t="s">
        <v>101</v>
      </c>
      <c r="BK2725" t="s">
        <v>2402</v>
      </c>
      <c r="BL2725" t="s">
        <v>8121</v>
      </c>
      <c r="BM2725" t="s">
        <v>15215</v>
      </c>
      <c r="BN2725" t="s">
        <v>23454</v>
      </c>
    </row>
    <row r="2726" spans="1:66" x14ac:dyDescent="0.25">
      <c r="A2726" t="str">
        <f>HYPERLINK("https://elite.finviz.com/quote.ashx?t=UAL&amp;ty=c&amp;p=d&amp;b=1", "UAL")</f>
        <v>UAL</v>
      </c>
      <c r="B2726">
        <v>5</v>
      </c>
      <c r="C2726">
        <v>116.22</v>
      </c>
      <c r="D2726">
        <v>40.15</v>
      </c>
      <c r="E2726" t="s">
        <v>25260</v>
      </c>
      <c r="F2726" t="s">
        <v>195</v>
      </c>
      <c r="G2726" t="s">
        <v>260</v>
      </c>
      <c r="H2726" t="s">
        <v>5362</v>
      </c>
      <c r="I2726" t="s">
        <v>70</v>
      </c>
      <c r="J2726" t="s">
        <v>321</v>
      </c>
      <c r="K2726">
        <v>31963.69</v>
      </c>
      <c r="L2726">
        <v>98.74</v>
      </c>
      <c r="M2726" t="s">
        <v>15000</v>
      </c>
      <c r="N2726">
        <v>1399845</v>
      </c>
      <c r="O2726">
        <v>9.89</v>
      </c>
      <c r="P2726">
        <v>7.76</v>
      </c>
      <c r="Q2726">
        <v>0.9</v>
      </c>
      <c r="R2726">
        <v>0.55000000000000004</v>
      </c>
      <c r="S2726">
        <v>2.39</v>
      </c>
      <c r="V2726" t="s">
        <v>25261</v>
      </c>
      <c r="Z2726" t="s">
        <v>164</v>
      </c>
      <c r="AA2726">
        <v>9.98</v>
      </c>
      <c r="AC2726" t="s">
        <v>13745</v>
      </c>
      <c r="AD2726" t="s">
        <v>8188</v>
      </c>
      <c r="AE2726" t="s">
        <v>1302</v>
      </c>
      <c r="AF2726" t="s">
        <v>7631</v>
      </c>
      <c r="AG2726" t="s">
        <v>1772</v>
      </c>
      <c r="AH2726" t="s">
        <v>2082</v>
      </c>
      <c r="AI2726" t="s">
        <v>2720</v>
      </c>
      <c r="AJ2726" t="s">
        <v>19459</v>
      </c>
      <c r="AK2726" t="s">
        <v>20505</v>
      </c>
      <c r="AL2726">
        <v>0.7</v>
      </c>
      <c r="AM2726">
        <v>0.65</v>
      </c>
      <c r="AN2726">
        <v>2.4500000000000002</v>
      </c>
      <c r="AO2726" t="s">
        <v>3471</v>
      </c>
      <c r="AP2726" t="s">
        <v>6945</v>
      </c>
      <c r="AQ2726" t="s">
        <v>2064</v>
      </c>
      <c r="AR2726" t="s">
        <v>4916</v>
      </c>
      <c r="AS2726" t="s">
        <v>911</v>
      </c>
      <c r="AT2726" t="s">
        <v>10546</v>
      </c>
      <c r="AU2726" t="s">
        <v>1547</v>
      </c>
      <c r="AV2726" t="s">
        <v>483</v>
      </c>
      <c r="AW2726" t="s">
        <v>2249</v>
      </c>
      <c r="AX2726" t="s">
        <v>18702</v>
      </c>
      <c r="AY2726" t="s">
        <v>19919</v>
      </c>
      <c r="AZ2726" t="s">
        <v>25262</v>
      </c>
      <c r="BA2726">
        <v>1.52</v>
      </c>
      <c r="BB2726">
        <v>6105.65</v>
      </c>
      <c r="BC2726">
        <v>0.81</v>
      </c>
      <c r="BD2726">
        <v>99.15</v>
      </c>
      <c r="BE2726">
        <v>101.01</v>
      </c>
      <c r="BF2726">
        <v>98.27</v>
      </c>
      <c r="BG2726" t="s">
        <v>25263</v>
      </c>
      <c r="BH2726" t="s">
        <v>19919</v>
      </c>
      <c r="BI2726" t="s">
        <v>25264</v>
      </c>
      <c r="BJ2726" t="s">
        <v>101</v>
      </c>
      <c r="BK2726" t="s">
        <v>3931</v>
      </c>
      <c r="BL2726" t="s">
        <v>772</v>
      </c>
      <c r="BM2726" t="s">
        <v>25265</v>
      </c>
      <c r="BN2726" t="s">
        <v>23454</v>
      </c>
    </row>
    <row r="2727" spans="1:66" x14ac:dyDescent="0.25">
      <c r="A2727" t="str">
        <f>HYPERLINK("https://elite.finviz.com/quote.ashx?t=HLF&amp;ty=c&amp;p=d&amp;b=1", "HLF")</f>
        <v>HLF</v>
      </c>
      <c r="B2727">
        <v>5</v>
      </c>
      <c r="C2727">
        <v>116.22</v>
      </c>
      <c r="D2727">
        <v>40.19</v>
      </c>
      <c r="E2727" t="s">
        <v>25266</v>
      </c>
      <c r="F2727" t="s">
        <v>67</v>
      </c>
      <c r="G2727" t="s">
        <v>2244</v>
      </c>
      <c r="H2727" t="s">
        <v>3269</v>
      </c>
      <c r="I2727" t="s">
        <v>70</v>
      </c>
      <c r="J2727" t="s">
        <v>71</v>
      </c>
      <c r="K2727">
        <v>909.9</v>
      </c>
      <c r="L2727">
        <v>8.82</v>
      </c>
      <c r="M2727" t="s">
        <v>7388</v>
      </c>
      <c r="N2727">
        <v>170805</v>
      </c>
      <c r="O2727">
        <v>2.78</v>
      </c>
      <c r="P2727">
        <v>3.43</v>
      </c>
      <c r="Q2727">
        <v>0.13</v>
      </c>
      <c r="R2727">
        <v>0.18</v>
      </c>
      <c r="V2727" t="s">
        <v>25267</v>
      </c>
      <c r="Z2727" t="s">
        <v>164</v>
      </c>
      <c r="AA2727">
        <v>3.18</v>
      </c>
      <c r="AB2727" t="s">
        <v>18033</v>
      </c>
      <c r="AC2727" t="s">
        <v>213</v>
      </c>
      <c r="AD2727" t="s">
        <v>1990</v>
      </c>
      <c r="AE2727" t="s">
        <v>7867</v>
      </c>
      <c r="AF2727" t="s">
        <v>4893</v>
      </c>
      <c r="AG2727" t="s">
        <v>149</v>
      </c>
      <c r="AH2727" t="s">
        <v>181</v>
      </c>
      <c r="AI2727" t="s">
        <v>705</v>
      </c>
      <c r="AJ2727" t="s">
        <v>7464</v>
      </c>
      <c r="AK2727" t="s">
        <v>12681</v>
      </c>
      <c r="AL2727">
        <v>1.01</v>
      </c>
      <c r="AM2727">
        <v>0.54</v>
      </c>
      <c r="AO2727" t="s">
        <v>15238</v>
      </c>
      <c r="AP2727" t="s">
        <v>127</v>
      </c>
      <c r="AQ2727" t="s">
        <v>6075</v>
      </c>
      <c r="AR2727" t="s">
        <v>3456</v>
      </c>
      <c r="AS2727" t="s">
        <v>1934</v>
      </c>
      <c r="AT2727" t="s">
        <v>9412</v>
      </c>
      <c r="AU2727" t="s">
        <v>5359</v>
      </c>
      <c r="AV2727" t="s">
        <v>1009</v>
      </c>
      <c r="AW2727" t="s">
        <v>2931</v>
      </c>
      <c r="AX2727" t="s">
        <v>2123</v>
      </c>
      <c r="AY2727" t="s">
        <v>2931</v>
      </c>
      <c r="AZ2727" t="s">
        <v>25268</v>
      </c>
      <c r="BA2727">
        <v>2.75</v>
      </c>
      <c r="BB2727">
        <v>1808.62</v>
      </c>
      <c r="BC2727">
        <v>0.33</v>
      </c>
      <c r="BD2727">
        <v>8.75</v>
      </c>
      <c r="BE2727">
        <v>8.8800000000000008</v>
      </c>
      <c r="BF2727">
        <v>8.76</v>
      </c>
      <c r="BG2727" t="s">
        <v>25269</v>
      </c>
      <c r="BH2727" t="s">
        <v>18285</v>
      </c>
      <c r="BI2727" t="s">
        <v>25270</v>
      </c>
      <c r="BJ2727" t="s">
        <v>101</v>
      </c>
      <c r="BK2727" t="s">
        <v>581</v>
      </c>
      <c r="BL2727" t="s">
        <v>4839</v>
      </c>
      <c r="BM2727" t="s">
        <v>8579</v>
      </c>
      <c r="BN2727" t="s">
        <v>23454</v>
      </c>
    </row>
    <row r="2728" spans="1:66" x14ac:dyDescent="0.25">
      <c r="A2728" t="str">
        <f>HYPERLINK("https://elite.finviz.com/quote.ashx?t=URGN&amp;ty=c&amp;p=d&amp;b=1", "URGN")</f>
        <v>URGN</v>
      </c>
      <c r="B2728">
        <v>5</v>
      </c>
      <c r="C2728">
        <v>116.22</v>
      </c>
      <c r="D2728">
        <v>40.270000000000003</v>
      </c>
      <c r="E2728" t="s">
        <v>25271</v>
      </c>
      <c r="F2728" t="s">
        <v>67</v>
      </c>
      <c r="G2728" t="s">
        <v>428</v>
      </c>
      <c r="H2728" t="s">
        <v>429</v>
      </c>
      <c r="I2728" t="s">
        <v>70</v>
      </c>
      <c r="J2728" t="s">
        <v>321</v>
      </c>
      <c r="K2728">
        <v>797.4</v>
      </c>
      <c r="L2728">
        <v>17.239999999999998</v>
      </c>
      <c r="M2728" t="s">
        <v>770</v>
      </c>
      <c r="N2728">
        <v>280984</v>
      </c>
      <c r="R2728">
        <v>8.4600000000000009</v>
      </c>
      <c r="AA2728">
        <v>-3.32</v>
      </c>
      <c r="AB2728" t="s">
        <v>7477</v>
      </c>
      <c r="AC2728" t="s">
        <v>2312</v>
      </c>
      <c r="AE2728" t="s">
        <v>5839</v>
      </c>
      <c r="AF2728" t="s">
        <v>3748</v>
      </c>
      <c r="AG2728" t="s">
        <v>25272</v>
      </c>
      <c r="AH2728" t="s">
        <v>5877</v>
      </c>
      <c r="AI2728" t="s">
        <v>5406</v>
      </c>
      <c r="AJ2728" t="s">
        <v>2203</v>
      </c>
      <c r="AK2728" t="s">
        <v>25273</v>
      </c>
      <c r="AL2728">
        <v>4.1399999999999997</v>
      </c>
      <c r="AM2728">
        <v>3.99</v>
      </c>
      <c r="AO2728" t="s">
        <v>22201</v>
      </c>
      <c r="AP2728" t="s">
        <v>25274</v>
      </c>
      <c r="AQ2728" t="s">
        <v>25275</v>
      </c>
      <c r="AR2728" t="s">
        <v>1872</v>
      </c>
      <c r="AS2728" t="s">
        <v>7971</v>
      </c>
      <c r="AT2728" t="s">
        <v>5963</v>
      </c>
      <c r="AU2728" t="s">
        <v>11693</v>
      </c>
      <c r="AV2728" t="s">
        <v>9633</v>
      </c>
      <c r="AW2728" t="s">
        <v>9004</v>
      </c>
      <c r="AX2728" t="s">
        <v>2728</v>
      </c>
      <c r="AY2728" t="s">
        <v>9004</v>
      </c>
      <c r="AZ2728" t="s">
        <v>25276</v>
      </c>
      <c r="BA2728">
        <v>1.25</v>
      </c>
      <c r="BB2728">
        <v>1248.1600000000001</v>
      </c>
      <c r="BC2728">
        <v>0.79</v>
      </c>
      <c r="BD2728">
        <v>17.260000000000002</v>
      </c>
      <c r="BE2728">
        <v>17.66</v>
      </c>
      <c r="BF2728">
        <v>17.16</v>
      </c>
      <c r="BG2728" t="s">
        <v>25277</v>
      </c>
      <c r="BH2728" t="s">
        <v>25278</v>
      </c>
      <c r="BI2728" t="s">
        <v>25276</v>
      </c>
      <c r="BJ2728" t="s">
        <v>101</v>
      </c>
      <c r="BK2728" t="s">
        <v>1534</v>
      </c>
      <c r="BL2728" t="s">
        <v>25279</v>
      </c>
      <c r="BM2728" t="s">
        <v>20040</v>
      </c>
      <c r="BN2728" t="s">
        <v>23454</v>
      </c>
    </row>
    <row r="2729" spans="1:66" x14ac:dyDescent="0.25">
      <c r="A2729" t="str">
        <f>HYPERLINK("https://elite.finviz.com/quote.ashx?t=AWK&amp;ty=c&amp;p=d&amp;b=1", "AWK")</f>
        <v>AWK</v>
      </c>
      <c r="B2729">
        <v>5</v>
      </c>
      <c r="C2729">
        <v>116.22</v>
      </c>
      <c r="D2729">
        <v>40.369999999999997</v>
      </c>
      <c r="E2729" t="s">
        <v>25280</v>
      </c>
      <c r="F2729" t="s">
        <v>195</v>
      </c>
      <c r="G2729" t="s">
        <v>287</v>
      </c>
      <c r="H2729" t="s">
        <v>13133</v>
      </c>
      <c r="I2729" t="s">
        <v>70</v>
      </c>
      <c r="J2729" t="s">
        <v>71</v>
      </c>
      <c r="K2729">
        <v>27506.31</v>
      </c>
      <c r="L2729">
        <v>136.07</v>
      </c>
      <c r="M2729" t="s">
        <v>3871</v>
      </c>
      <c r="N2729">
        <v>173180</v>
      </c>
      <c r="O2729">
        <v>24.5</v>
      </c>
      <c r="P2729">
        <v>22.29</v>
      </c>
      <c r="Q2729">
        <v>3.79</v>
      </c>
      <c r="R2729">
        <v>5.57</v>
      </c>
      <c r="S2729">
        <v>2.4900000000000002</v>
      </c>
      <c r="T2729" t="s">
        <v>744</v>
      </c>
      <c r="U2729">
        <v>3.19</v>
      </c>
      <c r="V2729" t="s">
        <v>7906</v>
      </c>
      <c r="W2729" t="s">
        <v>6791</v>
      </c>
      <c r="X2729" t="s">
        <v>5389</v>
      </c>
      <c r="Y2729" t="s">
        <v>5697</v>
      </c>
      <c r="Z2729" t="s">
        <v>18714</v>
      </c>
      <c r="AA2729">
        <v>5.55</v>
      </c>
      <c r="AB2729" t="s">
        <v>8507</v>
      </c>
      <c r="AC2729" t="s">
        <v>5308</v>
      </c>
      <c r="AD2729" t="s">
        <v>3389</v>
      </c>
      <c r="AE2729" t="s">
        <v>18007</v>
      </c>
      <c r="AF2729" t="s">
        <v>1826</v>
      </c>
      <c r="AG2729" t="s">
        <v>3957</v>
      </c>
      <c r="AH2729" t="s">
        <v>3600</v>
      </c>
      <c r="AI2729" t="s">
        <v>5809</v>
      </c>
      <c r="AJ2729" t="s">
        <v>7270</v>
      </c>
      <c r="AK2729" t="s">
        <v>17997</v>
      </c>
      <c r="AL2729">
        <v>0.35</v>
      </c>
      <c r="AM2729">
        <v>0.32</v>
      </c>
      <c r="AN2729">
        <v>1.41</v>
      </c>
      <c r="AO2729" t="s">
        <v>2929</v>
      </c>
      <c r="AP2729" t="s">
        <v>6794</v>
      </c>
      <c r="AQ2729" t="s">
        <v>5471</v>
      </c>
      <c r="AR2729" t="s">
        <v>2175</v>
      </c>
      <c r="AS2729" t="s">
        <v>2449</v>
      </c>
      <c r="AT2729" t="s">
        <v>1413</v>
      </c>
      <c r="AU2729" t="s">
        <v>4636</v>
      </c>
      <c r="AV2729" t="s">
        <v>5153</v>
      </c>
      <c r="AW2729" t="s">
        <v>2587</v>
      </c>
      <c r="AX2729" t="s">
        <v>2421</v>
      </c>
      <c r="AY2729" t="s">
        <v>11949</v>
      </c>
      <c r="AZ2729" t="s">
        <v>5775</v>
      </c>
      <c r="BA2729">
        <v>3</v>
      </c>
      <c r="BB2729">
        <v>1306.54</v>
      </c>
      <c r="BC2729">
        <v>0.47</v>
      </c>
      <c r="BD2729">
        <v>135.1</v>
      </c>
      <c r="BE2729">
        <v>136.33000000000001</v>
      </c>
      <c r="BF2729">
        <v>135.36000000000001</v>
      </c>
      <c r="BG2729" t="s">
        <v>25281</v>
      </c>
      <c r="BH2729" t="s">
        <v>5783</v>
      </c>
      <c r="BI2729" t="s">
        <v>25282</v>
      </c>
      <c r="BJ2729" t="s">
        <v>101</v>
      </c>
      <c r="BK2729" t="s">
        <v>2826</v>
      </c>
      <c r="BL2729" t="s">
        <v>6480</v>
      </c>
      <c r="BM2729" t="s">
        <v>6775</v>
      </c>
      <c r="BN2729" t="s">
        <v>23454</v>
      </c>
    </row>
    <row r="2730" spans="1:66" x14ac:dyDescent="0.25">
      <c r="A2730" t="str">
        <f>HYPERLINK("https://elite.finviz.com/quote.ashx?t=VITL&amp;ty=c&amp;p=d&amp;b=1", "VITL")</f>
        <v>VITL</v>
      </c>
      <c r="B2730">
        <v>5</v>
      </c>
      <c r="C2730">
        <v>116.22</v>
      </c>
      <c r="D2730">
        <v>40.380000000000003</v>
      </c>
      <c r="E2730" t="s">
        <v>25283</v>
      </c>
      <c r="F2730" t="s">
        <v>67</v>
      </c>
      <c r="G2730" t="s">
        <v>2244</v>
      </c>
      <c r="H2730" t="s">
        <v>5735</v>
      </c>
      <c r="I2730" t="s">
        <v>70</v>
      </c>
      <c r="J2730" t="s">
        <v>321</v>
      </c>
      <c r="K2730">
        <v>1908.54</v>
      </c>
      <c r="L2730">
        <v>42.71</v>
      </c>
      <c r="M2730" t="s">
        <v>169</v>
      </c>
      <c r="N2730">
        <v>337002</v>
      </c>
      <c r="O2730">
        <v>37.869999999999997</v>
      </c>
      <c r="P2730">
        <v>26.24</v>
      </c>
      <c r="Q2730">
        <v>1.74</v>
      </c>
      <c r="R2730">
        <v>2.9</v>
      </c>
      <c r="S2730">
        <v>6.16</v>
      </c>
      <c r="Z2730" t="s">
        <v>164</v>
      </c>
      <c r="AA2730">
        <v>1.1299999999999999</v>
      </c>
      <c r="AB2730" t="s">
        <v>11137</v>
      </c>
      <c r="AC2730" t="s">
        <v>15640</v>
      </c>
      <c r="AD2730" t="s">
        <v>4693</v>
      </c>
      <c r="AE2730" t="s">
        <v>14500</v>
      </c>
      <c r="AF2730" t="s">
        <v>9686</v>
      </c>
      <c r="AG2730" t="s">
        <v>3771</v>
      </c>
      <c r="AH2730" t="s">
        <v>927</v>
      </c>
      <c r="AI2730" t="s">
        <v>10712</v>
      </c>
      <c r="AJ2730" t="s">
        <v>6538</v>
      </c>
      <c r="AK2730" t="s">
        <v>3669</v>
      </c>
      <c r="AL2730">
        <v>2.48</v>
      </c>
      <c r="AM2730">
        <v>2.1</v>
      </c>
      <c r="AN2730">
        <v>0.06</v>
      </c>
      <c r="AO2730" t="s">
        <v>25284</v>
      </c>
      <c r="AP2730" t="s">
        <v>5914</v>
      </c>
      <c r="AQ2730" t="s">
        <v>10610</v>
      </c>
      <c r="AR2730" t="s">
        <v>323</v>
      </c>
      <c r="AS2730" t="s">
        <v>4526</v>
      </c>
      <c r="AT2730" t="s">
        <v>4397</v>
      </c>
      <c r="AU2730" t="s">
        <v>15245</v>
      </c>
      <c r="AV2730" t="s">
        <v>1470</v>
      </c>
      <c r="AW2730" t="s">
        <v>8591</v>
      </c>
      <c r="AX2730" t="s">
        <v>2441</v>
      </c>
      <c r="AY2730" t="s">
        <v>8591</v>
      </c>
      <c r="AZ2730" t="s">
        <v>25285</v>
      </c>
      <c r="BA2730">
        <v>1</v>
      </c>
      <c r="BB2730">
        <v>1009.49</v>
      </c>
      <c r="BC2730">
        <v>1.18</v>
      </c>
      <c r="BD2730">
        <v>40.86</v>
      </c>
      <c r="BE2730">
        <v>42.87</v>
      </c>
      <c r="BF2730">
        <v>41.77</v>
      </c>
      <c r="BG2730" t="s">
        <v>25286</v>
      </c>
      <c r="BH2730" t="s">
        <v>8591</v>
      </c>
      <c r="BI2730" t="s">
        <v>25287</v>
      </c>
      <c r="BJ2730" t="s">
        <v>101</v>
      </c>
      <c r="BK2730" t="s">
        <v>6448</v>
      </c>
      <c r="BL2730" t="s">
        <v>17604</v>
      </c>
      <c r="BM2730" t="s">
        <v>8491</v>
      </c>
      <c r="BN2730" t="s">
        <v>23454</v>
      </c>
    </row>
    <row r="2731" spans="1:66" x14ac:dyDescent="0.25">
      <c r="A2731" t="str">
        <f>HYPERLINK("https://elite.finviz.com/quote.ashx?t=JBHT&amp;ty=c&amp;p=d&amp;b=1", "JBHT")</f>
        <v>JBHT</v>
      </c>
      <c r="B2731">
        <v>5</v>
      </c>
      <c r="C2731">
        <v>116.22</v>
      </c>
      <c r="D2731">
        <v>40.409999999999997</v>
      </c>
      <c r="E2731" t="s">
        <v>25288</v>
      </c>
      <c r="F2731" t="s">
        <v>195</v>
      </c>
      <c r="G2731" t="s">
        <v>260</v>
      </c>
      <c r="H2731" t="s">
        <v>7853</v>
      </c>
      <c r="I2731" t="s">
        <v>70</v>
      </c>
      <c r="J2731" t="s">
        <v>321</v>
      </c>
      <c r="K2731">
        <v>12914.97</v>
      </c>
      <c r="L2731">
        <v>133.41999999999999</v>
      </c>
      <c r="M2731" t="s">
        <v>84</v>
      </c>
      <c r="N2731">
        <v>175670</v>
      </c>
      <c r="O2731">
        <v>24.25</v>
      </c>
      <c r="P2731">
        <v>19.46</v>
      </c>
      <c r="Q2731">
        <v>1.8</v>
      </c>
      <c r="R2731">
        <v>1.07</v>
      </c>
      <c r="S2731">
        <v>3.53</v>
      </c>
      <c r="T2731" t="s">
        <v>1559</v>
      </c>
      <c r="U2731">
        <v>1.75</v>
      </c>
      <c r="V2731" t="s">
        <v>1762</v>
      </c>
      <c r="W2731" t="s">
        <v>4839</v>
      </c>
      <c r="X2731" t="s">
        <v>2685</v>
      </c>
      <c r="Y2731" t="s">
        <v>237</v>
      </c>
      <c r="Z2731" t="s">
        <v>3971</v>
      </c>
      <c r="AA2731">
        <v>5.5</v>
      </c>
      <c r="AB2731" t="s">
        <v>4374</v>
      </c>
      <c r="AC2731" t="s">
        <v>3500</v>
      </c>
      <c r="AD2731" t="s">
        <v>7775</v>
      </c>
      <c r="AE2731" t="s">
        <v>6640</v>
      </c>
      <c r="AF2731" t="s">
        <v>4191</v>
      </c>
      <c r="AG2731" t="s">
        <v>2205</v>
      </c>
      <c r="AH2731" t="s">
        <v>7709</v>
      </c>
      <c r="AI2731" t="s">
        <v>7388</v>
      </c>
      <c r="AJ2731" t="s">
        <v>2215</v>
      </c>
      <c r="AK2731" t="s">
        <v>2021</v>
      </c>
      <c r="AL2731">
        <v>0.87</v>
      </c>
      <c r="AM2731">
        <v>0.87</v>
      </c>
      <c r="AN2731">
        <v>0.47</v>
      </c>
      <c r="AO2731" t="s">
        <v>3064</v>
      </c>
      <c r="AP2731" t="s">
        <v>11629</v>
      </c>
      <c r="AQ2731" t="s">
        <v>4908</v>
      </c>
      <c r="AR2731" t="s">
        <v>5968</v>
      </c>
      <c r="AS2731" t="s">
        <v>5121</v>
      </c>
      <c r="AT2731" t="s">
        <v>16782</v>
      </c>
      <c r="AU2731" t="s">
        <v>6985</v>
      </c>
      <c r="AV2731" t="s">
        <v>12738</v>
      </c>
      <c r="AW2731" t="s">
        <v>6991</v>
      </c>
      <c r="AX2731" t="s">
        <v>2640</v>
      </c>
      <c r="AY2731" t="s">
        <v>25289</v>
      </c>
      <c r="AZ2731" t="s">
        <v>191</v>
      </c>
      <c r="BA2731">
        <v>2.14</v>
      </c>
      <c r="BB2731">
        <v>1101.08</v>
      </c>
      <c r="BC2731">
        <v>0.56000000000000005</v>
      </c>
      <c r="BD2731">
        <v>132.4</v>
      </c>
      <c r="BE2731">
        <v>134.38999999999999</v>
      </c>
      <c r="BF2731">
        <v>132.19999999999999</v>
      </c>
      <c r="BG2731" t="s">
        <v>25290</v>
      </c>
      <c r="BH2731" t="s">
        <v>14413</v>
      </c>
      <c r="BI2731" t="s">
        <v>25291</v>
      </c>
      <c r="BJ2731" t="s">
        <v>101</v>
      </c>
      <c r="BK2731" t="s">
        <v>2332</v>
      </c>
      <c r="BL2731" t="s">
        <v>1443</v>
      </c>
      <c r="BM2731" t="s">
        <v>24054</v>
      </c>
      <c r="BN2731" t="s">
        <v>23454</v>
      </c>
    </row>
    <row r="2732" spans="1:66" x14ac:dyDescent="0.25">
      <c r="A2732" t="str">
        <f>HYPERLINK("https://elite.finviz.com/quote.ashx?t=HSIC&amp;ty=c&amp;p=d&amp;b=1", "HSIC")</f>
        <v>HSIC</v>
      </c>
      <c r="B2732">
        <v>5</v>
      </c>
      <c r="C2732">
        <v>116.22</v>
      </c>
      <c r="D2732">
        <v>40.409999999999997</v>
      </c>
      <c r="E2732" t="s">
        <v>25292</v>
      </c>
      <c r="F2732" t="s">
        <v>195</v>
      </c>
      <c r="G2732" t="s">
        <v>428</v>
      </c>
      <c r="H2732" t="s">
        <v>10658</v>
      </c>
      <c r="I2732" t="s">
        <v>70</v>
      </c>
      <c r="J2732" t="s">
        <v>321</v>
      </c>
      <c r="K2732">
        <v>7978.24</v>
      </c>
      <c r="L2732">
        <v>65.790000000000006</v>
      </c>
      <c r="M2732" t="s">
        <v>822</v>
      </c>
      <c r="N2732">
        <v>126999</v>
      </c>
      <c r="O2732">
        <v>21.16</v>
      </c>
      <c r="P2732">
        <v>12.6</v>
      </c>
      <c r="Q2732">
        <v>3.22</v>
      </c>
      <c r="R2732">
        <v>0.62</v>
      </c>
      <c r="S2732">
        <v>2.33</v>
      </c>
      <c r="Z2732" t="s">
        <v>164</v>
      </c>
      <c r="AA2732">
        <v>3.11</v>
      </c>
      <c r="AB2732" t="s">
        <v>9472</v>
      </c>
      <c r="AC2732" t="s">
        <v>9475</v>
      </c>
      <c r="AD2732" t="s">
        <v>8960</v>
      </c>
      <c r="AE2732" t="s">
        <v>679</v>
      </c>
      <c r="AF2732" t="s">
        <v>5036</v>
      </c>
      <c r="AG2732" t="s">
        <v>2107</v>
      </c>
      <c r="AH2732" t="s">
        <v>4677</v>
      </c>
      <c r="AI2732" t="s">
        <v>6730</v>
      </c>
      <c r="AJ2732" t="s">
        <v>4507</v>
      </c>
      <c r="AK2732" t="s">
        <v>20827</v>
      </c>
      <c r="AL2732">
        <v>1.41</v>
      </c>
      <c r="AM2732">
        <v>0.78</v>
      </c>
      <c r="AN2732">
        <v>0.97</v>
      </c>
      <c r="AO2732" t="s">
        <v>3471</v>
      </c>
      <c r="AP2732" t="s">
        <v>3951</v>
      </c>
      <c r="AQ2732" t="s">
        <v>1769</v>
      </c>
      <c r="AR2732" t="s">
        <v>5968</v>
      </c>
      <c r="AS2732" t="s">
        <v>4839</v>
      </c>
      <c r="AT2732" t="s">
        <v>799</v>
      </c>
      <c r="AU2732" t="s">
        <v>12014</v>
      </c>
      <c r="AV2732" t="s">
        <v>15209</v>
      </c>
      <c r="AW2732" t="s">
        <v>15775</v>
      </c>
      <c r="AX2732" t="s">
        <v>5885</v>
      </c>
      <c r="AY2732" t="s">
        <v>21420</v>
      </c>
      <c r="AZ2732" t="s">
        <v>848</v>
      </c>
      <c r="BA2732">
        <v>2.5</v>
      </c>
      <c r="BB2732">
        <v>1769.3</v>
      </c>
      <c r="BC2732">
        <v>0.25</v>
      </c>
      <c r="BD2732">
        <v>65.64</v>
      </c>
      <c r="BE2732">
        <v>66.39</v>
      </c>
      <c r="BF2732">
        <v>65.680000000000007</v>
      </c>
      <c r="BG2732" t="s">
        <v>25293</v>
      </c>
      <c r="BH2732" t="s">
        <v>15425</v>
      </c>
      <c r="BI2732" t="s">
        <v>25294</v>
      </c>
      <c r="BJ2732" t="s">
        <v>101</v>
      </c>
      <c r="BK2732" t="s">
        <v>16855</v>
      </c>
      <c r="BL2732" t="s">
        <v>6060</v>
      </c>
      <c r="BM2732" t="s">
        <v>17624</v>
      </c>
      <c r="BN2732" t="s">
        <v>23454</v>
      </c>
    </row>
    <row r="2733" spans="1:66" x14ac:dyDescent="0.25">
      <c r="A2733" t="str">
        <f>HYPERLINK("https://elite.finviz.com/quote.ashx?t=PAYO&amp;ty=c&amp;p=d&amp;b=1", "PAYO")</f>
        <v>PAYO</v>
      </c>
      <c r="B2733">
        <v>5</v>
      </c>
      <c r="C2733">
        <v>116.22</v>
      </c>
      <c r="D2733">
        <v>40.42</v>
      </c>
      <c r="E2733" t="s">
        <v>25295</v>
      </c>
      <c r="F2733" t="s">
        <v>67</v>
      </c>
      <c r="G2733" t="s">
        <v>108</v>
      </c>
      <c r="H2733" t="s">
        <v>109</v>
      </c>
      <c r="I2733" t="s">
        <v>70</v>
      </c>
      <c r="J2733" t="s">
        <v>321</v>
      </c>
      <c r="K2733">
        <v>2280.8000000000002</v>
      </c>
      <c r="L2733">
        <v>6.33</v>
      </c>
      <c r="M2733" t="s">
        <v>5721</v>
      </c>
      <c r="N2733">
        <v>478928</v>
      </c>
      <c r="O2733">
        <v>24.04</v>
      </c>
      <c r="P2733">
        <v>23.07</v>
      </c>
      <c r="Q2733">
        <v>7.68</v>
      </c>
      <c r="R2733">
        <v>2.2400000000000002</v>
      </c>
      <c r="S2733">
        <v>2.97</v>
      </c>
      <c r="Z2733" t="s">
        <v>164</v>
      </c>
      <c r="AA2733">
        <v>0.26</v>
      </c>
      <c r="AD2733" t="s">
        <v>7088</v>
      </c>
      <c r="AE2733" t="s">
        <v>2516</v>
      </c>
      <c r="AF2733" t="s">
        <v>17883</v>
      </c>
      <c r="AG2733" t="s">
        <v>23909</v>
      </c>
      <c r="AH2733" t="s">
        <v>7781</v>
      </c>
      <c r="AI2733" t="s">
        <v>14673</v>
      </c>
      <c r="AJ2733" t="s">
        <v>13366</v>
      </c>
      <c r="AK2733" t="s">
        <v>11558</v>
      </c>
      <c r="AL2733">
        <v>1</v>
      </c>
      <c r="AM2733">
        <v>1</v>
      </c>
      <c r="AN2733">
        <v>0.06</v>
      </c>
      <c r="AO2733" t="s">
        <v>10013</v>
      </c>
      <c r="AP2733" t="s">
        <v>9097</v>
      </c>
      <c r="AQ2733" t="s">
        <v>9342</v>
      </c>
      <c r="AR2733" t="s">
        <v>4687</v>
      </c>
      <c r="AS2733" t="s">
        <v>1902</v>
      </c>
      <c r="AT2733" t="s">
        <v>8534</v>
      </c>
      <c r="AU2733" t="s">
        <v>5578</v>
      </c>
      <c r="AV2733" t="s">
        <v>15517</v>
      </c>
      <c r="AW2733" t="s">
        <v>21423</v>
      </c>
      <c r="AX2733" t="s">
        <v>3832</v>
      </c>
      <c r="AY2733" t="s">
        <v>25296</v>
      </c>
      <c r="AZ2733" t="s">
        <v>5248</v>
      </c>
      <c r="BA2733">
        <v>1.2</v>
      </c>
      <c r="BB2733">
        <v>3197.23</v>
      </c>
      <c r="BC2733">
        <v>0.53</v>
      </c>
      <c r="BD2733">
        <v>6.39</v>
      </c>
      <c r="BE2733">
        <v>6.41</v>
      </c>
      <c r="BF2733">
        <v>6.31</v>
      </c>
      <c r="BG2733" t="s">
        <v>25297</v>
      </c>
      <c r="BH2733" t="s">
        <v>25298</v>
      </c>
      <c r="BI2733" t="s">
        <v>12325</v>
      </c>
      <c r="BJ2733" t="s">
        <v>101</v>
      </c>
      <c r="BK2733" t="s">
        <v>5639</v>
      </c>
      <c r="BL2733" t="s">
        <v>9038</v>
      </c>
      <c r="BM2733" t="s">
        <v>15468</v>
      </c>
      <c r="BN2733" t="s">
        <v>23454</v>
      </c>
    </row>
    <row r="2734" spans="1:66" x14ac:dyDescent="0.25">
      <c r="A2734" t="str">
        <f>HYPERLINK("https://elite.finviz.com/quote.ashx?t=EEIQ&amp;ty=c&amp;p=d&amp;b=1", "EEIQ")</f>
        <v>EEIQ</v>
      </c>
      <c r="B2734">
        <v>5</v>
      </c>
      <c r="C2734">
        <v>116.22</v>
      </c>
      <c r="D2734">
        <v>40.44</v>
      </c>
      <c r="E2734" t="s">
        <v>25299</v>
      </c>
      <c r="F2734" t="s">
        <v>107</v>
      </c>
      <c r="G2734" t="s">
        <v>2244</v>
      </c>
      <c r="H2734" t="s">
        <v>2483</v>
      </c>
      <c r="I2734" t="s">
        <v>70</v>
      </c>
      <c r="J2734" t="s">
        <v>321</v>
      </c>
      <c r="K2734">
        <v>9.7799999999999994</v>
      </c>
      <c r="L2734">
        <v>0.42</v>
      </c>
      <c r="M2734" t="s">
        <v>744</v>
      </c>
      <c r="N2734">
        <v>73744</v>
      </c>
      <c r="R2734">
        <v>1.04</v>
      </c>
      <c r="S2734">
        <v>1.07</v>
      </c>
      <c r="AA2734">
        <v>-0.23</v>
      </c>
      <c r="AB2734" t="s">
        <v>25300</v>
      </c>
      <c r="AE2734" t="s">
        <v>12580</v>
      </c>
      <c r="AF2734" t="s">
        <v>1629</v>
      </c>
      <c r="AG2734" t="s">
        <v>1783</v>
      </c>
      <c r="AH2734" t="s">
        <v>20778</v>
      </c>
      <c r="AJ2734" t="s">
        <v>164</v>
      </c>
      <c r="AK2734" t="s">
        <v>1771</v>
      </c>
      <c r="AL2734">
        <v>0.38</v>
      </c>
      <c r="AM2734">
        <v>0.38</v>
      </c>
      <c r="AN2734">
        <v>0.55000000000000004</v>
      </c>
      <c r="AO2734" t="s">
        <v>21361</v>
      </c>
      <c r="AP2734" t="s">
        <v>25301</v>
      </c>
      <c r="AQ2734" t="s">
        <v>11196</v>
      </c>
      <c r="AR2734" t="s">
        <v>2406</v>
      </c>
      <c r="AS2734" t="s">
        <v>2499</v>
      </c>
      <c r="AT2734" t="s">
        <v>9853</v>
      </c>
      <c r="AU2734" t="s">
        <v>1978</v>
      </c>
      <c r="AV2734" t="s">
        <v>25302</v>
      </c>
      <c r="AW2734" t="s">
        <v>25303</v>
      </c>
      <c r="AX2734" t="s">
        <v>5100</v>
      </c>
      <c r="AY2734" t="s">
        <v>25303</v>
      </c>
      <c r="AZ2734" t="s">
        <v>5100</v>
      </c>
      <c r="BB2734">
        <v>4301.42</v>
      </c>
      <c r="BC2734">
        <v>0.06</v>
      </c>
      <c r="BD2734">
        <v>0.41</v>
      </c>
      <c r="BE2734">
        <v>0.42</v>
      </c>
      <c r="BF2734">
        <v>0.41</v>
      </c>
      <c r="BG2734" t="s">
        <v>25304</v>
      </c>
      <c r="BH2734" t="s">
        <v>11907</v>
      </c>
      <c r="BI2734" t="s">
        <v>5100</v>
      </c>
      <c r="BJ2734" t="s">
        <v>101</v>
      </c>
      <c r="BK2734" t="s">
        <v>5104</v>
      </c>
      <c r="BL2734" t="s">
        <v>15779</v>
      </c>
      <c r="BM2734" t="s">
        <v>24433</v>
      </c>
      <c r="BN2734" t="s">
        <v>23454</v>
      </c>
    </row>
    <row r="2735" spans="1:66" x14ac:dyDescent="0.25">
      <c r="A2735" t="str">
        <f>HYPERLINK("https://elite.finviz.com/quote.ashx?t=ZBH&amp;ty=c&amp;p=d&amp;b=1", "ZBH")</f>
        <v>ZBH</v>
      </c>
      <c r="B2735">
        <v>5</v>
      </c>
      <c r="C2735">
        <v>116.22</v>
      </c>
      <c r="D2735">
        <v>40.46</v>
      </c>
      <c r="E2735" t="s">
        <v>25305</v>
      </c>
      <c r="F2735" t="s">
        <v>195</v>
      </c>
      <c r="G2735" t="s">
        <v>428</v>
      </c>
      <c r="H2735" t="s">
        <v>2051</v>
      </c>
      <c r="I2735" t="s">
        <v>70</v>
      </c>
      <c r="J2735" t="s">
        <v>71</v>
      </c>
      <c r="K2735">
        <v>19417.75</v>
      </c>
      <c r="L2735">
        <v>98.02</v>
      </c>
      <c r="M2735" t="s">
        <v>344</v>
      </c>
      <c r="N2735">
        <v>167408</v>
      </c>
      <c r="O2735">
        <v>23.87</v>
      </c>
      <c r="P2735">
        <v>11.44</v>
      </c>
      <c r="Q2735">
        <v>4.6399999999999997</v>
      </c>
      <c r="R2735">
        <v>2.48</v>
      </c>
      <c r="S2735">
        <v>1.55</v>
      </c>
      <c r="T2735" t="s">
        <v>3344</v>
      </c>
      <c r="U2735">
        <v>0.96</v>
      </c>
      <c r="V2735" t="s">
        <v>198</v>
      </c>
      <c r="W2735" t="s">
        <v>164</v>
      </c>
      <c r="X2735" t="s">
        <v>164</v>
      </c>
      <c r="Y2735" t="s">
        <v>164</v>
      </c>
      <c r="Z2735" t="s">
        <v>233</v>
      </c>
      <c r="AA2735">
        <v>4.1100000000000003</v>
      </c>
      <c r="AB2735" t="s">
        <v>3273</v>
      </c>
      <c r="AC2735" t="s">
        <v>2304</v>
      </c>
      <c r="AD2735" t="s">
        <v>2316</v>
      </c>
      <c r="AE2735" t="s">
        <v>1981</v>
      </c>
      <c r="AF2735" t="s">
        <v>4142</v>
      </c>
      <c r="AG2735" t="s">
        <v>1226</v>
      </c>
      <c r="AH2735" t="s">
        <v>12450</v>
      </c>
      <c r="AI2735" t="s">
        <v>1872</v>
      </c>
      <c r="AJ2735" t="s">
        <v>2723</v>
      </c>
      <c r="AK2735" t="s">
        <v>23120</v>
      </c>
      <c r="AL2735">
        <v>1.87</v>
      </c>
      <c r="AM2735">
        <v>0.96</v>
      </c>
      <c r="AN2735">
        <v>0.6</v>
      </c>
      <c r="AO2735" t="s">
        <v>5874</v>
      </c>
      <c r="AP2735" t="s">
        <v>13792</v>
      </c>
      <c r="AQ2735" t="s">
        <v>1228</v>
      </c>
      <c r="AR2735" t="s">
        <v>2333</v>
      </c>
      <c r="AS2735" t="s">
        <v>3856</v>
      </c>
      <c r="AT2735" t="s">
        <v>944</v>
      </c>
      <c r="AU2735" t="s">
        <v>3466</v>
      </c>
      <c r="AV2735" t="s">
        <v>4281</v>
      </c>
      <c r="AW2735" t="s">
        <v>8910</v>
      </c>
      <c r="AX2735" t="s">
        <v>1809</v>
      </c>
      <c r="AY2735" t="s">
        <v>6040</v>
      </c>
      <c r="AZ2735" t="s">
        <v>7288</v>
      </c>
      <c r="BA2735">
        <v>2.48</v>
      </c>
      <c r="BB2735">
        <v>1692.99</v>
      </c>
      <c r="BC2735">
        <v>0.35</v>
      </c>
      <c r="BD2735">
        <v>96.97</v>
      </c>
      <c r="BE2735">
        <v>98.22</v>
      </c>
      <c r="BF2735">
        <v>97.01</v>
      </c>
      <c r="BG2735" t="s">
        <v>25306</v>
      </c>
      <c r="BH2735" t="s">
        <v>25307</v>
      </c>
      <c r="BI2735" t="s">
        <v>25308</v>
      </c>
      <c r="BJ2735" t="s">
        <v>101</v>
      </c>
      <c r="BK2735" t="s">
        <v>3688</v>
      </c>
      <c r="BL2735" t="s">
        <v>11786</v>
      </c>
      <c r="BM2735" t="s">
        <v>2271</v>
      </c>
      <c r="BN2735" t="s">
        <v>23454</v>
      </c>
    </row>
    <row r="2736" spans="1:66" x14ac:dyDescent="0.25">
      <c r="A2736" t="str">
        <f>HYPERLINK("https://elite.finviz.com/quote.ashx?t=SFNC&amp;ty=c&amp;p=d&amp;b=1", "SFNC")</f>
        <v>SFNC</v>
      </c>
      <c r="B2736">
        <v>5</v>
      </c>
      <c r="C2736">
        <v>116.22</v>
      </c>
      <c r="D2736">
        <v>40.46</v>
      </c>
      <c r="E2736" t="s">
        <v>25309</v>
      </c>
      <c r="F2736" t="s">
        <v>67</v>
      </c>
      <c r="G2736" t="s">
        <v>550</v>
      </c>
      <c r="H2736" t="s">
        <v>697</v>
      </c>
      <c r="I2736" t="s">
        <v>70</v>
      </c>
      <c r="J2736" t="s">
        <v>321</v>
      </c>
      <c r="K2736">
        <v>2838.31</v>
      </c>
      <c r="L2736">
        <v>19.61</v>
      </c>
      <c r="M2736" t="s">
        <v>5549</v>
      </c>
      <c r="N2736">
        <v>98846</v>
      </c>
      <c r="O2736">
        <v>15.46</v>
      </c>
      <c r="P2736">
        <v>9.7899999999999991</v>
      </c>
      <c r="R2736">
        <v>1.98</v>
      </c>
      <c r="S2736">
        <v>0.7</v>
      </c>
      <c r="T2736" t="s">
        <v>3520</v>
      </c>
      <c r="U2736">
        <v>0.85</v>
      </c>
      <c r="V2736" t="s">
        <v>3833</v>
      </c>
      <c r="W2736" t="s">
        <v>3450</v>
      </c>
      <c r="X2736" t="s">
        <v>8966</v>
      </c>
      <c r="Y2736" t="s">
        <v>3496</v>
      </c>
      <c r="Z2736" t="s">
        <v>25310</v>
      </c>
      <c r="AA2736">
        <v>1.27</v>
      </c>
      <c r="AB2736" t="s">
        <v>14407</v>
      </c>
      <c r="AC2736" t="s">
        <v>1024</v>
      </c>
      <c r="AE2736" t="s">
        <v>3890</v>
      </c>
      <c r="AF2736" t="s">
        <v>4331</v>
      </c>
      <c r="AG2736" t="s">
        <v>2093</v>
      </c>
      <c r="AH2736" t="s">
        <v>1770</v>
      </c>
      <c r="AI2736" t="s">
        <v>3231</v>
      </c>
      <c r="AJ2736" t="s">
        <v>1872</v>
      </c>
      <c r="AK2736" t="s">
        <v>25311</v>
      </c>
      <c r="AL2736">
        <v>0.17</v>
      </c>
      <c r="AN2736">
        <v>0.31</v>
      </c>
      <c r="AP2736" t="s">
        <v>2712</v>
      </c>
      <c r="AQ2736" t="s">
        <v>6076</v>
      </c>
      <c r="AR2736" t="s">
        <v>2609</v>
      </c>
      <c r="AS2736" t="s">
        <v>2424</v>
      </c>
      <c r="AT2736" t="s">
        <v>5426</v>
      </c>
      <c r="AU2736" t="s">
        <v>7808</v>
      </c>
      <c r="AV2736" t="s">
        <v>5913</v>
      </c>
      <c r="AW2736" t="s">
        <v>3729</v>
      </c>
      <c r="AX2736" t="s">
        <v>2776</v>
      </c>
      <c r="AY2736" t="s">
        <v>10801</v>
      </c>
      <c r="AZ2736" t="s">
        <v>7114</v>
      </c>
      <c r="BA2736">
        <v>2.67</v>
      </c>
      <c r="BB2736">
        <v>1218.1099999999999</v>
      </c>
      <c r="BC2736">
        <v>0.28999999999999998</v>
      </c>
      <c r="BD2736">
        <v>19.61</v>
      </c>
      <c r="BE2736">
        <v>19.809999999999999</v>
      </c>
      <c r="BF2736">
        <v>19.579999999999998</v>
      </c>
      <c r="BG2736" t="s">
        <v>25312</v>
      </c>
      <c r="BH2736" t="s">
        <v>25313</v>
      </c>
      <c r="BI2736" t="s">
        <v>25314</v>
      </c>
      <c r="BJ2736" t="s">
        <v>101</v>
      </c>
      <c r="BK2736" t="s">
        <v>3325</v>
      </c>
      <c r="BL2736" t="s">
        <v>4021</v>
      </c>
      <c r="BM2736" t="s">
        <v>6227</v>
      </c>
      <c r="BN2736" t="s">
        <v>23454</v>
      </c>
    </row>
    <row r="2737" spans="1:66" x14ac:dyDescent="0.25">
      <c r="A2737" t="str">
        <f>HYPERLINK("https://elite.finviz.com/quote.ashx?t=CBRE&amp;ty=c&amp;p=d&amp;b=1", "CBRE")</f>
        <v>CBRE</v>
      </c>
      <c r="B2737">
        <v>5</v>
      </c>
      <c r="C2737">
        <v>116.22</v>
      </c>
      <c r="D2737">
        <v>40.479999999999997</v>
      </c>
      <c r="E2737" t="s">
        <v>25315</v>
      </c>
      <c r="F2737" t="s">
        <v>195</v>
      </c>
      <c r="G2737" t="s">
        <v>68</v>
      </c>
      <c r="H2737" t="s">
        <v>7494</v>
      </c>
      <c r="I2737" t="s">
        <v>70</v>
      </c>
      <c r="J2737" t="s">
        <v>71</v>
      </c>
      <c r="K2737">
        <v>46475.01</v>
      </c>
      <c r="L2737">
        <v>156.19</v>
      </c>
      <c r="M2737" t="s">
        <v>171</v>
      </c>
      <c r="N2737">
        <v>280171</v>
      </c>
      <c r="O2737">
        <v>43.76</v>
      </c>
      <c r="P2737">
        <v>21.4</v>
      </c>
      <c r="Q2737">
        <v>2.37</v>
      </c>
      <c r="R2737">
        <v>1.22</v>
      </c>
      <c r="S2737">
        <v>5.63</v>
      </c>
      <c r="Z2737" t="s">
        <v>164</v>
      </c>
      <c r="AA2737">
        <v>3.57</v>
      </c>
      <c r="AB2737" t="s">
        <v>12798</v>
      </c>
      <c r="AC2737" t="s">
        <v>3586</v>
      </c>
      <c r="AD2737" t="s">
        <v>9865</v>
      </c>
      <c r="AE2737" t="s">
        <v>1625</v>
      </c>
      <c r="AF2737" t="s">
        <v>11728</v>
      </c>
      <c r="AG2737" t="s">
        <v>1252</v>
      </c>
      <c r="AH2737" t="s">
        <v>5239</v>
      </c>
      <c r="AI2737" t="s">
        <v>5865</v>
      </c>
      <c r="AJ2737" t="s">
        <v>6194</v>
      </c>
      <c r="AK2737" t="s">
        <v>17814</v>
      </c>
      <c r="AL2737">
        <v>1.1299999999999999</v>
      </c>
      <c r="AM2737">
        <v>1.1299999999999999</v>
      </c>
      <c r="AN2737">
        <v>1.18</v>
      </c>
      <c r="AO2737" t="s">
        <v>3390</v>
      </c>
      <c r="AP2737" t="s">
        <v>122</v>
      </c>
      <c r="AQ2737" t="s">
        <v>2146</v>
      </c>
      <c r="AR2737" t="s">
        <v>4891</v>
      </c>
      <c r="AS2737" t="s">
        <v>5084</v>
      </c>
      <c r="AT2737" t="s">
        <v>9600</v>
      </c>
      <c r="AU2737" t="s">
        <v>4436</v>
      </c>
      <c r="AV2737" t="s">
        <v>8345</v>
      </c>
      <c r="AW2737" t="s">
        <v>9725</v>
      </c>
      <c r="AX2737" t="s">
        <v>13511</v>
      </c>
      <c r="AY2737" t="s">
        <v>9725</v>
      </c>
      <c r="AZ2737" t="s">
        <v>19971</v>
      </c>
      <c r="BA2737">
        <v>1.92</v>
      </c>
      <c r="BB2737">
        <v>1573.13</v>
      </c>
      <c r="BC2737">
        <v>0.63</v>
      </c>
      <c r="BD2737">
        <v>156.30000000000001</v>
      </c>
      <c r="BE2737">
        <v>157.35</v>
      </c>
      <c r="BF2737">
        <v>155.51</v>
      </c>
      <c r="BG2737" t="s">
        <v>25316</v>
      </c>
      <c r="BH2737" t="s">
        <v>9725</v>
      </c>
      <c r="BI2737" t="s">
        <v>25317</v>
      </c>
      <c r="BJ2737" t="s">
        <v>101</v>
      </c>
      <c r="BK2737" t="s">
        <v>6388</v>
      </c>
      <c r="BL2737" t="s">
        <v>12209</v>
      </c>
      <c r="BM2737" t="s">
        <v>3427</v>
      </c>
      <c r="BN2737" t="s">
        <v>23454</v>
      </c>
    </row>
    <row r="2738" spans="1:66" x14ac:dyDescent="0.25">
      <c r="A2738" t="str">
        <f>HYPERLINK("https://elite.finviz.com/quote.ashx?t=TMUS&amp;ty=c&amp;p=d&amp;b=1", "TMUS")</f>
        <v>TMUS</v>
      </c>
      <c r="B2738">
        <v>5</v>
      </c>
      <c r="C2738">
        <v>116.22</v>
      </c>
      <c r="D2738">
        <v>40.479999999999997</v>
      </c>
      <c r="E2738" t="s">
        <v>25318</v>
      </c>
      <c r="F2738" t="s">
        <v>319</v>
      </c>
      <c r="G2738" t="s">
        <v>598</v>
      </c>
      <c r="H2738" t="s">
        <v>6147</v>
      </c>
      <c r="I2738" t="s">
        <v>70</v>
      </c>
      <c r="J2738" t="s">
        <v>321</v>
      </c>
      <c r="K2738">
        <v>268446.18</v>
      </c>
      <c r="L2738">
        <v>238.53</v>
      </c>
      <c r="M2738" t="s">
        <v>4266</v>
      </c>
      <c r="N2738">
        <v>492614</v>
      </c>
      <c r="O2738">
        <v>22.49</v>
      </c>
      <c r="P2738">
        <v>18.79</v>
      </c>
      <c r="Q2738">
        <v>1.4</v>
      </c>
      <c r="R2738">
        <v>3.19</v>
      </c>
      <c r="S2738">
        <v>4.4000000000000004</v>
      </c>
      <c r="T2738" t="s">
        <v>4780</v>
      </c>
      <c r="U2738">
        <v>3.52</v>
      </c>
      <c r="V2738" t="s">
        <v>25319</v>
      </c>
      <c r="W2738" t="s">
        <v>25320</v>
      </c>
      <c r="Z2738" t="s">
        <v>16054</v>
      </c>
      <c r="AA2738">
        <v>10.6</v>
      </c>
      <c r="AB2738" t="s">
        <v>17130</v>
      </c>
      <c r="AC2738" t="s">
        <v>8464</v>
      </c>
      <c r="AD2738" t="s">
        <v>11384</v>
      </c>
      <c r="AE2738" t="s">
        <v>6593</v>
      </c>
      <c r="AF2738" t="s">
        <v>2362</v>
      </c>
      <c r="AG2738" t="s">
        <v>920</v>
      </c>
      <c r="AH2738" t="s">
        <v>2150</v>
      </c>
      <c r="AI2738" t="s">
        <v>2174</v>
      </c>
      <c r="AJ2738" t="s">
        <v>9084</v>
      </c>
      <c r="AK2738" t="s">
        <v>25321</v>
      </c>
      <c r="AL2738">
        <v>1.21</v>
      </c>
      <c r="AM2738">
        <v>1.1299999999999999</v>
      </c>
      <c r="AN2738">
        <v>1.93</v>
      </c>
      <c r="AO2738" t="s">
        <v>15585</v>
      </c>
      <c r="AP2738" t="s">
        <v>1953</v>
      </c>
      <c r="AQ2738" t="s">
        <v>3815</v>
      </c>
      <c r="AR2738" t="s">
        <v>5420</v>
      </c>
      <c r="AS2738" t="s">
        <v>4267</v>
      </c>
      <c r="AT2738" t="s">
        <v>9618</v>
      </c>
      <c r="AU2738" t="s">
        <v>7272</v>
      </c>
      <c r="AV2738" t="s">
        <v>5746</v>
      </c>
      <c r="AW2738" t="s">
        <v>4397</v>
      </c>
      <c r="AX2738" t="s">
        <v>4697</v>
      </c>
      <c r="AY2738" t="s">
        <v>1865</v>
      </c>
      <c r="AZ2738" t="s">
        <v>10042</v>
      </c>
      <c r="BA2738">
        <v>2</v>
      </c>
      <c r="BB2738">
        <v>4131.75</v>
      </c>
      <c r="BC2738">
        <v>0.42</v>
      </c>
      <c r="BD2738">
        <v>237.94</v>
      </c>
      <c r="BE2738">
        <v>240.2</v>
      </c>
      <c r="BF2738">
        <v>238.46</v>
      </c>
      <c r="BG2738" t="s">
        <v>25322</v>
      </c>
      <c r="BH2738" t="s">
        <v>1865</v>
      </c>
      <c r="BI2738" t="s">
        <v>25323</v>
      </c>
      <c r="BJ2738" t="s">
        <v>101</v>
      </c>
      <c r="BK2738" t="s">
        <v>5058</v>
      </c>
      <c r="BL2738" t="s">
        <v>15281</v>
      </c>
      <c r="BM2738" t="s">
        <v>6917</v>
      </c>
      <c r="BN2738" t="s">
        <v>23454</v>
      </c>
    </row>
    <row r="2739" spans="1:66" x14ac:dyDescent="0.25">
      <c r="A2739" t="str">
        <f>HYPERLINK("https://elite.finviz.com/quote.ashx?t=OWL&amp;ty=c&amp;p=d&amp;b=1", "OWL")</f>
        <v>OWL</v>
      </c>
      <c r="B2739">
        <v>5</v>
      </c>
      <c r="C2739">
        <v>116.22</v>
      </c>
      <c r="D2739">
        <v>40.5</v>
      </c>
      <c r="E2739" t="s">
        <v>25324</v>
      </c>
      <c r="F2739" t="s">
        <v>107</v>
      </c>
      <c r="G2739" t="s">
        <v>550</v>
      </c>
      <c r="H2739" t="s">
        <v>2597</v>
      </c>
      <c r="I2739" t="s">
        <v>70</v>
      </c>
      <c r="J2739" t="s">
        <v>71</v>
      </c>
      <c r="K2739">
        <v>27426.22</v>
      </c>
      <c r="L2739">
        <v>17.7</v>
      </c>
      <c r="M2739" t="s">
        <v>1129</v>
      </c>
      <c r="N2739">
        <v>2049386</v>
      </c>
      <c r="O2739">
        <v>318.35000000000002</v>
      </c>
      <c r="P2739">
        <v>17.18</v>
      </c>
      <c r="Q2739">
        <v>19.14</v>
      </c>
      <c r="R2739">
        <v>10.47</v>
      </c>
      <c r="S2739">
        <v>4.9000000000000004</v>
      </c>
      <c r="T2739" t="s">
        <v>2429</v>
      </c>
      <c r="U2739">
        <v>0.81</v>
      </c>
      <c r="V2739" t="s">
        <v>2708</v>
      </c>
      <c r="W2739" t="s">
        <v>23897</v>
      </c>
      <c r="X2739" t="s">
        <v>13321</v>
      </c>
      <c r="Z2739" t="s">
        <v>25325</v>
      </c>
      <c r="AA2739">
        <v>0.06</v>
      </c>
      <c r="AD2739" t="s">
        <v>6064</v>
      </c>
      <c r="AE2739" t="s">
        <v>3850</v>
      </c>
      <c r="AF2739" t="s">
        <v>187</v>
      </c>
      <c r="AG2739" t="s">
        <v>25326</v>
      </c>
      <c r="AH2739" t="s">
        <v>12978</v>
      </c>
      <c r="AI2739" t="s">
        <v>1760</v>
      </c>
      <c r="AJ2739" t="s">
        <v>164</v>
      </c>
      <c r="AK2739" t="s">
        <v>25327</v>
      </c>
      <c r="AL2739">
        <v>1.51</v>
      </c>
      <c r="AM2739">
        <v>1.51</v>
      </c>
      <c r="AN2739">
        <v>1.55</v>
      </c>
      <c r="AO2739" t="s">
        <v>2142</v>
      </c>
      <c r="AP2739" t="s">
        <v>15794</v>
      </c>
      <c r="AQ2739" t="s">
        <v>5425</v>
      </c>
      <c r="AR2739" t="s">
        <v>2662</v>
      </c>
      <c r="AS2739" t="s">
        <v>5425</v>
      </c>
      <c r="AT2739" t="s">
        <v>4168</v>
      </c>
      <c r="AU2739" t="s">
        <v>8262</v>
      </c>
      <c r="AV2739" t="s">
        <v>6700</v>
      </c>
      <c r="AW2739" t="s">
        <v>25071</v>
      </c>
      <c r="AX2739" t="s">
        <v>3469</v>
      </c>
      <c r="AY2739" t="s">
        <v>25328</v>
      </c>
      <c r="AZ2739" t="s">
        <v>3291</v>
      </c>
      <c r="BA2739">
        <v>1.5</v>
      </c>
      <c r="BB2739">
        <v>7623.28</v>
      </c>
      <c r="BC2739">
        <v>0.95</v>
      </c>
      <c r="BD2739">
        <v>17.36</v>
      </c>
      <c r="BE2739">
        <v>17.77</v>
      </c>
      <c r="BF2739">
        <v>17.399999999999999</v>
      </c>
      <c r="BG2739" t="s">
        <v>25329</v>
      </c>
      <c r="BH2739" t="s">
        <v>25328</v>
      </c>
      <c r="BI2739" t="s">
        <v>25330</v>
      </c>
      <c r="BJ2739" t="s">
        <v>101</v>
      </c>
      <c r="BK2739" t="s">
        <v>17325</v>
      </c>
      <c r="BL2739" t="s">
        <v>8838</v>
      </c>
      <c r="BM2739" t="s">
        <v>5138</v>
      </c>
      <c r="BN2739" t="s">
        <v>23454</v>
      </c>
    </row>
    <row r="2740" spans="1:66" x14ac:dyDescent="0.25">
      <c r="A2740" t="str">
        <f>HYPERLINK("https://elite.finviz.com/quote.ashx?t=IQV&amp;ty=c&amp;p=d&amp;b=1", "IQV")</f>
        <v>IQV</v>
      </c>
      <c r="B2740">
        <v>5</v>
      </c>
      <c r="C2740">
        <v>116.22</v>
      </c>
      <c r="D2740">
        <v>40.51</v>
      </c>
      <c r="E2740" t="s">
        <v>25331</v>
      </c>
      <c r="F2740" t="s">
        <v>195</v>
      </c>
      <c r="G2740" t="s">
        <v>428</v>
      </c>
      <c r="H2740" t="s">
        <v>4202</v>
      </c>
      <c r="I2740" t="s">
        <v>70</v>
      </c>
      <c r="J2740" t="s">
        <v>71</v>
      </c>
      <c r="K2740">
        <v>30317.8</v>
      </c>
      <c r="L2740">
        <v>178.34</v>
      </c>
      <c r="M2740" t="s">
        <v>3761</v>
      </c>
      <c r="N2740">
        <v>211081</v>
      </c>
      <c r="O2740">
        <v>25.83</v>
      </c>
      <c r="P2740">
        <v>13.85</v>
      </c>
      <c r="Q2740">
        <v>3.06</v>
      </c>
      <c r="R2740">
        <v>1.93</v>
      </c>
      <c r="S2740">
        <v>5.25</v>
      </c>
      <c r="Z2740" t="s">
        <v>164</v>
      </c>
      <c r="AA2740">
        <v>6.9</v>
      </c>
      <c r="AB2740" t="s">
        <v>800</v>
      </c>
      <c r="AC2740" t="s">
        <v>16609</v>
      </c>
      <c r="AD2740" t="s">
        <v>418</v>
      </c>
      <c r="AE2740" t="s">
        <v>2822</v>
      </c>
      <c r="AF2740" t="s">
        <v>3205</v>
      </c>
      <c r="AG2740" t="s">
        <v>506</v>
      </c>
      <c r="AH2740" t="s">
        <v>8966</v>
      </c>
      <c r="AI2740" t="s">
        <v>3019</v>
      </c>
      <c r="AJ2740" t="s">
        <v>7346</v>
      </c>
      <c r="AK2740" t="s">
        <v>18561</v>
      </c>
      <c r="AL2740">
        <v>0.84</v>
      </c>
      <c r="AM2740">
        <v>0.84</v>
      </c>
      <c r="AN2740">
        <v>2.72</v>
      </c>
      <c r="AO2740" t="s">
        <v>4943</v>
      </c>
      <c r="AP2740" t="s">
        <v>2867</v>
      </c>
      <c r="AQ2740" t="s">
        <v>265</v>
      </c>
      <c r="AR2740" t="s">
        <v>92</v>
      </c>
      <c r="AS2740" t="s">
        <v>1560</v>
      </c>
      <c r="AT2740" t="s">
        <v>1770</v>
      </c>
      <c r="AU2740" t="s">
        <v>7468</v>
      </c>
      <c r="AV2740" t="s">
        <v>4865</v>
      </c>
      <c r="AW2740" t="s">
        <v>7857</v>
      </c>
      <c r="AX2740" t="s">
        <v>6278</v>
      </c>
      <c r="AY2740" t="s">
        <v>514</v>
      </c>
      <c r="AZ2740" t="s">
        <v>14389</v>
      </c>
      <c r="BA2740">
        <v>1.5</v>
      </c>
      <c r="BB2740">
        <v>1652.19</v>
      </c>
      <c r="BC2740">
        <v>0.45</v>
      </c>
      <c r="BD2740">
        <v>176.69</v>
      </c>
      <c r="BE2740">
        <v>178.99</v>
      </c>
      <c r="BF2740">
        <v>176.64</v>
      </c>
      <c r="BG2740" t="s">
        <v>25332</v>
      </c>
      <c r="BH2740" t="s">
        <v>12826</v>
      </c>
      <c r="BI2740" t="s">
        <v>25333</v>
      </c>
      <c r="BJ2740" t="s">
        <v>101</v>
      </c>
      <c r="BK2740" t="s">
        <v>8181</v>
      </c>
      <c r="BL2740" t="s">
        <v>3896</v>
      </c>
      <c r="BM2740" t="s">
        <v>6362</v>
      </c>
      <c r="BN2740" t="s">
        <v>23454</v>
      </c>
    </row>
    <row r="2741" spans="1:66" x14ac:dyDescent="0.25">
      <c r="A2741" t="str">
        <f>HYPERLINK("https://elite.finviz.com/quote.ashx?t=EVEX&amp;ty=c&amp;p=d&amp;b=1", "EVEX")</f>
        <v>EVEX</v>
      </c>
      <c r="B2741">
        <v>5</v>
      </c>
      <c r="C2741">
        <v>116.22</v>
      </c>
      <c r="D2741">
        <v>40.57</v>
      </c>
      <c r="E2741" t="s">
        <v>25334</v>
      </c>
      <c r="F2741" t="s">
        <v>67</v>
      </c>
      <c r="G2741" t="s">
        <v>260</v>
      </c>
      <c r="H2741" t="s">
        <v>4779</v>
      </c>
      <c r="I2741" t="s">
        <v>70</v>
      </c>
      <c r="J2741" t="s">
        <v>71</v>
      </c>
      <c r="K2741">
        <v>1167.9000000000001</v>
      </c>
      <c r="L2741">
        <v>3.88</v>
      </c>
      <c r="M2741" t="s">
        <v>3811</v>
      </c>
      <c r="N2741">
        <v>250701</v>
      </c>
      <c r="S2741">
        <v>86.07</v>
      </c>
      <c r="AA2741">
        <v>-0.63</v>
      </c>
      <c r="AB2741" t="s">
        <v>25335</v>
      </c>
      <c r="AC2741" t="s">
        <v>3874</v>
      </c>
      <c r="AD2741" t="s">
        <v>7300</v>
      </c>
      <c r="AI2741" t="s">
        <v>19411</v>
      </c>
      <c r="AJ2741" t="s">
        <v>164</v>
      </c>
      <c r="AK2741" t="s">
        <v>121</v>
      </c>
      <c r="AL2741">
        <v>2.77</v>
      </c>
      <c r="AM2741">
        <v>2.77</v>
      </c>
      <c r="AN2741">
        <v>11.5</v>
      </c>
      <c r="AR2741" t="s">
        <v>2932</v>
      </c>
      <c r="AS2741" t="s">
        <v>1452</v>
      </c>
      <c r="AT2741" t="s">
        <v>386</v>
      </c>
      <c r="AU2741" t="s">
        <v>19216</v>
      </c>
      <c r="AV2741" t="s">
        <v>9827</v>
      </c>
      <c r="AW2741" t="s">
        <v>6817</v>
      </c>
      <c r="AX2741" t="s">
        <v>327</v>
      </c>
      <c r="AY2741" t="s">
        <v>25336</v>
      </c>
      <c r="AZ2741" t="s">
        <v>9624</v>
      </c>
      <c r="BA2741">
        <v>1.5</v>
      </c>
      <c r="BB2741">
        <v>1019.29</v>
      </c>
      <c r="BC2741">
        <v>0.87</v>
      </c>
      <c r="BD2741">
        <v>3.97</v>
      </c>
      <c r="BE2741">
        <v>4.03</v>
      </c>
      <c r="BF2741">
        <v>3.86</v>
      </c>
      <c r="BG2741" t="s">
        <v>25337</v>
      </c>
      <c r="BH2741" t="s">
        <v>25338</v>
      </c>
      <c r="BI2741" t="s">
        <v>5482</v>
      </c>
      <c r="BJ2741" t="s">
        <v>101</v>
      </c>
      <c r="BK2741" t="s">
        <v>25339</v>
      </c>
      <c r="BL2741" t="s">
        <v>9789</v>
      </c>
      <c r="BM2741" t="s">
        <v>5938</v>
      </c>
      <c r="BN2741" t="s">
        <v>23454</v>
      </c>
    </row>
    <row r="2742" spans="1:66" x14ac:dyDescent="0.25">
      <c r="A2742" t="str">
        <f>HYPERLINK("https://elite.finviz.com/quote.ashx?t=FRSH&amp;ty=c&amp;p=d&amp;b=1", "FRSH")</f>
        <v>FRSH</v>
      </c>
      <c r="B2742">
        <v>5</v>
      </c>
      <c r="C2742">
        <v>116.22</v>
      </c>
      <c r="D2742">
        <v>40.590000000000003</v>
      </c>
      <c r="E2742" t="s">
        <v>25340</v>
      </c>
      <c r="F2742" t="s">
        <v>67</v>
      </c>
      <c r="G2742" t="s">
        <v>108</v>
      </c>
      <c r="H2742" t="s">
        <v>136</v>
      </c>
      <c r="I2742" t="s">
        <v>70</v>
      </c>
      <c r="J2742" t="s">
        <v>321</v>
      </c>
      <c r="K2742">
        <v>3625.37</v>
      </c>
      <c r="L2742">
        <v>12.44</v>
      </c>
      <c r="M2742" t="s">
        <v>164</v>
      </c>
      <c r="N2742">
        <v>434733</v>
      </c>
      <c r="P2742">
        <v>18.739999999999998</v>
      </c>
      <c r="R2742">
        <v>4.6399999999999997</v>
      </c>
      <c r="S2742">
        <v>3.69</v>
      </c>
      <c r="AA2742">
        <v>-0.18</v>
      </c>
      <c r="AB2742" t="s">
        <v>25341</v>
      </c>
      <c r="AC2742" t="s">
        <v>25342</v>
      </c>
      <c r="AD2742" t="s">
        <v>3533</v>
      </c>
      <c r="AE2742" t="s">
        <v>11602</v>
      </c>
      <c r="AF2742" t="s">
        <v>16083</v>
      </c>
      <c r="AG2742" t="s">
        <v>9252</v>
      </c>
      <c r="AH2742" t="s">
        <v>7874</v>
      </c>
      <c r="AI2742" t="s">
        <v>25343</v>
      </c>
      <c r="AJ2742" t="s">
        <v>2402</v>
      </c>
      <c r="AK2742" t="s">
        <v>25344</v>
      </c>
      <c r="AL2742">
        <v>2.56</v>
      </c>
      <c r="AM2742">
        <v>2.56</v>
      </c>
      <c r="AN2742">
        <v>0.04</v>
      </c>
      <c r="AO2742" t="s">
        <v>25345</v>
      </c>
      <c r="AP2742" t="s">
        <v>843</v>
      </c>
      <c r="AQ2742" t="s">
        <v>94</v>
      </c>
      <c r="AR2742" t="s">
        <v>4658</v>
      </c>
      <c r="AS2742" t="s">
        <v>203</v>
      </c>
      <c r="AT2742" t="s">
        <v>5763</v>
      </c>
      <c r="AU2742" t="s">
        <v>10449</v>
      </c>
      <c r="AV2742" t="s">
        <v>6138</v>
      </c>
      <c r="AW2742" t="s">
        <v>6924</v>
      </c>
      <c r="AX2742" t="s">
        <v>4552</v>
      </c>
      <c r="AY2742" t="s">
        <v>25346</v>
      </c>
      <c r="AZ2742" t="s">
        <v>4074</v>
      </c>
      <c r="BA2742">
        <v>1.6</v>
      </c>
      <c r="BB2742">
        <v>4524.29</v>
      </c>
      <c r="BC2742">
        <v>0.34</v>
      </c>
      <c r="BD2742">
        <v>12.44</v>
      </c>
      <c r="BE2742">
        <v>12.51</v>
      </c>
      <c r="BF2742">
        <v>12.32</v>
      </c>
      <c r="BG2742" t="s">
        <v>25347</v>
      </c>
      <c r="BH2742" t="s">
        <v>17585</v>
      </c>
      <c r="BI2742" t="s">
        <v>555</v>
      </c>
      <c r="BJ2742" t="s">
        <v>101</v>
      </c>
      <c r="BK2742" t="s">
        <v>2872</v>
      </c>
      <c r="BL2742" t="s">
        <v>23149</v>
      </c>
      <c r="BM2742" t="s">
        <v>6448</v>
      </c>
      <c r="BN2742" t="s">
        <v>23454</v>
      </c>
    </row>
    <row r="2743" spans="1:66" x14ac:dyDescent="0.25">
      <c r="A2743" t="str">
        <f>HYPERLINK("https://elite.finviz.com/quote.ashx?t=PRCT&amp;ty=c&amp;p=d&amp;b=1", "PRCT")</f>
        <v>PRCT</v>
      </c>
      <c r="B2743">
        <v>5</v>
      </c>
      <c r="C2743">
        <v>116.22</v>
      </c>
      <c r="D2743">
        <v>40.6</v>
      </c>
      <c r="E2743" t="s">
        <v>25348</v>
      </c>
      <c r="F2743" t="s">
        <v>67</v>
      </c>
      <c r="G2743" t="s">
        <v>428</v>
      </c>
      <c r="H2743" t="s">
        <v>2051</v>
      </c>
      <c r="I2743" t="s">
        <v>70</v>
      </c>
      <c r="J2743" t="s">
        <v>321</v>
      </c>
      <c r="K2743">
        <v>2053.88</v>
      </c>
      <c r="L2743">
        <v>36.92</v>
      </c>
      <c r="M2743" t="s">
        <v>4703</v>
      </c>
      <c r="N2743">
        <v>70374</v>
      </c>
      <c r="R2743">
        <v>7.47</v>
      </c>
      <c r="S2743">
        <v>5.32</v>
      </c>
      <c r="AA2743">
        <v>-1.56</v>
      </c>
      <c r="AB2743" t="s">
        <v>15469</v>
      </c>
      <c r="AC2743" t="s">
        <v>9761</v>
      </c>
      <c r="AD2743" t="s">
        <v>7344</v>
      </c>
      <c r="AE2743" t="s">
        <v>3209</v>
      </c>
      <c r="AF2743" t="s">
        <v>25349</v>
      </c>
      <c r="AG2743" t="s">
        <v>25350</v>
      </c>
      <c r="AH2743" t="s">
        <v>12998</v>
      </c>
      <c r="AI2743" t="s">
        <v>1552</v>
      </c>
      <c r="AJ2743" t="s">
        <v>11628</v>
      </c>
      <c r="AK2743" t="s">
        <v>21136</v>
      </c>
      <c r="AL2743">
        <v>9.1999999999999993</v>
      </c>
      <c r="AM2743">
        <v>7.86</v>
      </c>
      <c r="AN2743">
        <v>0.21</v>
      </c>
      <c r="AO2743" t="s">
        <v>7305</v>
      </c>
      <c r="AP2743" t="s">
        <v>23970</v>
      </c>
      <c r="AQ2743" t="s">
        <v>8316</v>
      </c>
      <c r="AR2743" t="s">
        <v>1104</v>
      </c>
      <c r="AS2743" t="s">
        <v>454</v>
      </c>
      <c r="AT2743" t="s">
        <v>308</v>
      </c>
      <c r="AU2743" t="s">
        <v>1339</v>
      </c>
      <c r="AV2743" t="s">
        <v>25351</v>
      </c>
      <c r="AW2743" t="s">
        <v>25352</v>
      </c>
      <c r="AX2743" t="s">
        <v>2838</v>
      </c>
      <c r="AY2743" t="s">
        <v>25353</v>
      </c>
      <c r="AZ2743" t="s">
        <v>2838</v>
      </c>
      <c r="BA2743">
        <v>1.31</v>
      </c>
      <c r="BB2743">
        <v>1138.17</v>
      </c>
      <c r="BC2743">
        <v>0.22</v>
      </c>
      <c r="BD2743">
        <v>37.020000000000003</v>
      </c>
      <c r="BE2743">
        <v>37.28</v>
      </c>
      <c r="BF2743">
        <v>36.840000000000003</v>
      </c>
      <c r="BG2743" t="s">
        <v>25354</v>
      </c>
      <c r="BH2743" t="s">
        <v>25353</v>
      </c>
      <c r="BI2743" t="s">
        <v>25355</v>
      </c>
      <c r="BJ2743" t="s">
        <v>101</v>
      </c>
      <c r="BK2743" t="s">
        <v>11588</v>
      </c>
      <c r="BL2743" t="s">
        <v>1023</v>
      </c>
      <c r="BM2743" t="s">
        <v>25356</v>
      </c>
      <c r="BN2743" t="s">
        <v>23454</v>
      </c>
    </row>
    <row r="2744" spans="1:66" x14ac:dyDescent="0.25">
      <c r="A2744" t="str">
        <f>HYPERLINK("https://elite.finviz.com/quote.ashx?t=AVPT&amp;ty=c&amp;p=d&amp;b=1", "AVPT")</f>
        <v>AVPT</v>
      </c>
      <c r="B2744">
        <v>5</v>
      </c>
      <c r="C2744">
        <v>116.22</v>
      </c>
      <c r="D2744">
        <v>40.6</v>
      </c>
      <c r="E2744" t="s">
        <v>25357</v>
      </c>
      <c r="F2744" t="s">
        <v>67</v>
      </c>
      <c r="G2744" t="s">
        <v>108</v>
      </c>
      <c r="H2744" t="s">
        <v>109</v>
      </c>
      <c r="I2744" t="s">
        <v>70</v>
      </c>
      <c r="J2744" t="s">
        <v>321</v>
      </c>
      <c r="K2744">
        <v>3225.53</v>
      </c>
      <c r="L2744">
        <v>15.22</v>
      </c>
      <c r="M2744" t="s">
        <v>164</v>
      </c>
      <c r="N2744">
        <v>282596</v>
      </c>
      <c r="P2744">
        <v>42.34</v>
      </c>
      <c r="R2744">
        <v>8.65</v>
      </c>
      <c r="S2744">
        <v>7.25</v>
      </c>
      <c r="AA2744">
        <v>-0.05</v>
      </c>
      <c r="AB2744" t="s">
        <v>11064</v>
      </c>
      <c r="AD2744" t="s">
        <v>25358</v>
      </c>
      <c r="AE2744" t="s">
        <v>5113</v>
      </c>
      <c r="AF2744" t="s">
        <v>21085</v>
      </c>
      <c r="AH2744" t="s">
        <v>252</v>
      </c>
      <c r="AI2744" t="s">
        <v>9736</v>
      </c>
      <c r="AJ2744" t="s">
        <v>4921</v>
      </c>
      <c r="AK2744" t="s">
        <v>5784</v>
      </c>
      <c r="AL2744">
        <v>2.37</v>
      </c>
      <c r="AM2744">
        <v>2.37</v>
      </c>
      <c r="AN2744">
        <v>0.04</v>
      </c>
      <c r="AO2744" t="s">
        <v>13391</v>
      </c>
      <c r="AP2744" t="s">
        <v>283</v>
      </c>
      <c r="AQ2744" t="s">
        <v>8293</v>
      </c>
      <c r="AR2744" t="s">
        <v>1761</v>
      </c>
      <c r="AS2744" t="s">
        <v>4892</v>
      </c>
      <c r="AT2744" t="s">
        <v>552</v>
      </c>
      <c r="AU2744" t="s">
        <v>5573</v>
      </c>
      <c r="AV2744" t="s">
        <v>10240</v>
      </c>
      <c r="AW2744" t="s">
        <v>16673</v>
      </c>
      <c r="AX2744" t="s">
        <v>2406</v>
      </c>
      <c r="AY2744" t="s">
        <v>15215</v>
      </c>
      <c r="AZ2744" t="s">
        <v>21338</v>
      </c>
      <c r="BA2744">
        <v>1.36</v>
      </c>
      <c r="BB2744">
        <v>1380.75</v>
      </c>
      <c r="BC2744">
        <v>0.72</v>
      </c>
      <c r="BD2744">
        <v>15.22</v>
      </c>
      <c r="BE2744">
        <v>15.32</v>
      </c>
      <c r="BF2744">
        <v>15.07</v>
      </c>
      <c r="BG2744" t="s">
        <v>25359</v>
      </c>
      <c r="BH2744" t="s">
        <v>15215</v>
      </c>
      <c r="BI2744" t="s">
        <v>25360</v>
      </c>
      <c r="BJ2744" t="s">
        <v>101</v>
      </c>
      <c r="BK2744" t="s">
        <v>21794</v>
      </c>
      <c r="BL2744" t="s">
        <v>304</v>
      </c>
      <c r="BM2744" t="s">
        <v>12034</v>
      </c>
      <c r="BN2744" t="s">
        <v>23454</v>
      </c>
    </row>
    <row r="2745" spans="1:66" x14ac:dyDescent="0.25">
      <c r="A2745" t="str">
        <f>HYPERLINK("https://elite.finviz.com/quote.ashx?t=SIRI&amp;ty=c&amp;p=d&amp;b=1", "SIRI")</f>
        <v>SIRI</v>
      </c>
      <c r="B2745">
        <v>5</v>
      </c>
      <c r="C2745">
        <v>116.22</v>
      </c>
      <c r="D2745">
        <v>40.6</v>
      </c>
      <c r="E2745" t="s">
        <v>25361</v>
      </c>
      <c r="F2745" t="s">
        <v>107</v>
      </c>
      <c r="G2745" t="s">
        <v>598</v>
      </c>
      <c r="H2745" t="s">
        <v>4247</v>
      </c>
      <c r="I2745" t="s">
        <v>70</v>
      </c>
      <c r="J2745" t="s">
        <v>321</v>
      </c>
      <c r="K2745">
        <v>7549.72</v>
      </c>
      <c r="L2745">
        <v>22.42</v>
      </c>
      <c r="M2745" t="s">
        <v>4794</v>
      </c>
      <c r="N2745">
        <v>517926</v>
      </c>
      <c r="P2745">
        <v>7.29</v>
      </c>
      <c r="R2745">
        <v>0.88</v>
      </c>
      <c r="S2745">
        <v>0.67</v>
      </c>
      <c r="T2745" t="s">
        <v>585</v>
      </c>
      <c r="U2745">
        <v>1.08</v>
      </c>
      <c r="V2745" t="s">
        <v>1762</v>
      </c>
      <c r="W2745" t="s">
        <v>9636</v>
      </c>
      <c r="X2745" t="s">
        <v>5003</v>
      </c>
      <c r="Y2745" t="s">
        <v>5119</v>
      </c>
      <c r="AA2745">
        <v>-5.31</v>
      </c>
      <c r="AE2745" t="s">
        <v>1269</v>
      </c>
      <c r="AF2745" t="s">
        <v>406</v>
      </c>
      <c r="AG2745" t="s">
        <v>5660</v>
      </c>
      <c r="AH2745" t="s">
        <v>9618</v>
      </c>
      <c r="AI2745" t="s">
        <v>20431</v>
      </c>
      <c r="AJ2745" t="s">
        <v>25362</v>
      </c>
      <c r="AK2745" t="s">
        <v>3489</v>
      </c>
      <c r="AL2745">
        <v>0.41</v>
      </c>
      <c r="AM2745">
        <v>0.41</v>
      </c>
      <c r="AN2745">
        <v>0.9</v>
      </c>
      <c r="AO2745" t="s">
        <v>6364</v>
      </c>
      <c r="AP2745" t="s">
        <v>15192</v>
      </c>
      <c r="AQ2745" t="s">
        <v>5629</v>
      </c>
      <c r="AR2745" t="s">
        <v>6151</v>
      </c>
      <c r="AS2745" t="s">
        <v>3635</v>
      </c>
      <c r="AT2745" t="s">
        <v>3665</v>
      </c>
      <c r="AU2745" t="s">
        <v>3811</v>
      </c>
      <c r="AV2745" t="s">
        <v>14607</v>
      </c>
      <c r="AW2745" t="s">
        <v>15856</v>
      </c>
      <c r="AX2745" t="s">
        <v>3099</v>
      </c>
      <c r="AY2745" t="s">
        <v>25363</v>
      </c>
      <c r="AZ2745" t="s">
        <v>6001</v>
      </c>
      <c r="BA2745">
        <v>3.07</v>
      </c>
      <c r="BB2745">
        <v>3683.47</v>
      </c>
      <c r="BC2745">
        <v>0.5</v>
      </c>
      <c r="BD2745">
        <v>22.38</v>
      </c>
      <c r="BE2745">
        <v>22.82</v>
      </c>
      <c r="BF2745">
        <v>22.41</v>
      </c>
      <c r="BG2745" t="s">
        <v>25364</v>
      </c>
      <c r="BH2745" t="s">
        <v>14327</v>
      </c>
      <c r="BI2745" t="s">
        <v>25365</v>
      </c>
      <c r="BJ2745" t="s">
        <v>101</v>
      </c>
      <c r="BK2745" t="s">
        <v>8932</v>
      </c>
      <c r="BL2745" t="s">
        <v>11702</v>
      </c>
      <c r="BM2745" t="s">
        <v>4236</v>
      </c>
      <c r="BN2745" t="s">
        <v>23454</v>
      </c>
    </row>
    <row r="2746" spans="1:66" x14ac:dyDescent="0.25">
      <c r="A2746" t="str">
        <f>HYPERLINK("https://elite.finviz.com/quote.ashx?t=AEMD&amp;ty=c&amp;p=d&amp;b=1", "AEMD")</f>
        <v>AEMD</v>
      </c>
      <c r="B2746">
        <v>5</v>
      </c>
      <c r="C2746">
        <v>116.22</v>
      </c>
      <c r="D2746">
        <v>40.619999999999997</v>
      </c>
      <c r="E2746" t="s">
        <v>25366</v>
      </c>
      <c r="F2746" t="s">
        <v>107</v>
      </c>
      <c r="G2746" t="s">
        <v>428</v>
      </c>
      <c r="H2746" t="s">
        <v>2051</v>
      </c>
      <c r="I2746" t="s">
        <v>70</v>
      </c>
      <c r="J2746" t="s">
        <v>321</v>
      </c>
      <c r="K2746">
        <v>1.94</v>
      </c>
      <c r="L2746">
        <v>0.75</v>
      </c>
      <c r="M2746" t="s">
        <v>5686</v>
      </c>
      <c r="N2746">
        <v>75004</v>
      </c>
      <c r="S2746">
        <v>0.56999999999999995</v>
      </c>
      <c r="AA2746">
        <v>-6.58</v>
      </c>
      <c r="AB2746" t="s">
        <v>5483</v>
      </c>
      <c r="AC2746" t="s">
        <v>15700</v>
      </c>
      <c r="AD2746" t="s">
        <v>15182</v>
      </c>
      <c r="AE2746" t="s">
        <v>579</v>
      </c>
      <c r="AI2746" t="s">
        <v>5745</v>
      </c>
      <c r="AJ2746" t="s">
        <v>164</v>
      </c>
      <c r="AK2746" t="s">
        <v>310</v>
      </c>
      <c r="AL2746">
        <v>2.48</v>
      </c>
      <c r="AM2746">
        <v>2.48</v>
      </c>
      <c r="AN2746">
        <v>0.2</v>
      </c>
      <c r="AR2746" t="s">
        <v>2450</v>
      </c>
      <c r="AS2746" t="s">
        <v>9196</v>
      </c>
      <c r="AT2746" t="s">
        <v>13401</v>
      </c>
      <c r="AU2746" t="s">
        <v>25367</v>
      </c>
      <c r="AV2746" t="s">
        <v>9011</v>
      </c>
      <c r="AW2746" t="s">
        <v>25368</v>
      </c>
      <c r="AX2746" t="s">
        <v>25369</v>
      </c>
      <c r="AY2746" t="s">
        <v>6807</v>
      </c>
      <c r="AZ2746" t="s">
        <v>25369</v>
      </c>
      <c r="BA2746">
        <v>3</v>
      </c>
      <c r="BB2746">
        <v>3081.4</v>
      </c>
      <c r="BC2746">
        <v>0.09</v>
      </c>
      <c r="BD2746">
        <v>0.77</v>
      </c>
      <c r="BE2746">
        <v>0.76</v>
      </c>
      <c r="BF2746">
        <v>0.74</v>
      </c>
      <c r="BG2746" t="s">
        <v>25370</v>
      </c>
      <c r="BH2746" t="s">
        <v>579</v>
      </c>
      <c r="BI2746" t="s">
        <v>25369</v>
      </c>
      <c r="BJ2746" t="s">
        <v>101</v>
      </c>
      <c r="BK2746" t="s">
        <v>25371</v>
      </c>
      <c r="BL2746" t="s">
        <v>25372</v>
      </c>
      <c r="BM2746" t="s">
        <v>25373</v>
      </c>
      <c r="BN2746" t="s">
        <v>23454</v>
      </c>
    </row>
    <row r="2747" spans="1:66" x14ac:dyDescent="0.25">
      <c r="A2747" t="str">
        <f>HYPERLINK("https://elite.finviz.com/quote.ashx?t=TEAM&amp;ty=c&amp;p=d&amp;b=1", "TEAM")</f>
        <v>TEAM</v>
      </c>
      <c r="B2747">
        <v>5</v>
      </c>
      <c r="C2747">
        <v>116.22</v>
      </c>
      <c r="D2747">
        <v>40.619999999999997</v>
      </c>
      <c r="E2747" t="s">
        <v>25374</v>
      </c>
      <c r="F2747" t="s">
        <v>2731</v>
      </c>
      <c r="G2747" t="s">
        <v>108</v>
      </c>
      <c r="H2747" t="s">
        <v>136</v>
      </c>
      <c r="I2747" t="s">
        <v>70</v>
      </c>
      <c r="J2747" t="s">
        <v>321</v>
      </c>
      <c r="K2747">
        <v>43130.42</v>
      </c>
      <c r="L2747">
        <v>164.41</v>
      </c>
      <c r="M2747" t="s">
        <v>343</v>
      </c>
      <c r="N2747">
        <v>618860</v>
      </c>
      <c r="P2747">
        <v>31.51</v>
      </c>
      <c r="R2747">
        <v>8.27</v>
      </c>
      <c r="S2747">
        <v>32.130000000000003</v>
      </c>
      <c r="AA2747">
        <v>-0.98</v>
      </c>
      <c r="AB2747" t="s">
        <v>8641</v>
      </c>
      <c r="AC2747" t="s">
        <v>3181</v>
      </c>
      <c r="AD2747" t="s">
        <v>233</v>
      </c>
      <c r="AE2747" t="s">
        <v>2008</v>
      </c>
      <c r="AF2747" t="s">
        <v>3161</v>
      </c>
      <c r="AG2747" t="s">
        <v>8196</v>
      </c>
      <c r="AH2747" t="s">
        <v>3453</v>
      </c>
      <c r="AI2747" t="s">
        <v>15372</v>
      </c>
      <c r="AJ2747" t="s">
        <v>133</v>
      </c>
      <c r="AK2747" t="s">
        <v>25375</v>
      </c>
      <c r="AL2747">
        <v>1.21</v>
      </c>
      <c r="AM2747">
        <v>1.21</v>
      </c>
      <c r="AN2747">
        <v>0.92</v>
      </c>
      <c r="AO2747" t="s">
        <v>8920</v>
      </c>
      <c r="AP2747" t="s">
        <v>8985</v>
      </c>
      <c r="AQ2747" t="s">
        <v>93</v>
      </c>
      <c r="AR2747" t="s">
        <v>3636</v>
      </c>
      <c r="AS2747" t="s">
        <v>3500</v>
      </c>
      <c r="AT2747" t="s">
        <v>11242</v>
      </c>
      <c r="AU2747" t="s">
        <v>14672</v>
      </c>
      <c r="AV2747" t="s">
        <v>25376</v>
      </c>
      <c r="AW2747" t="s">
        <v>18112</v>
      </c>
      <c r="AX2747" t="s">
        <v>2385</v>
      </c>
      <c r="AY2747" t="s">
        <v>23176</v>
      </c>
      <c r="AZ2747" t="s">
        <v>12712</v>
      </c>
      <c r="BA2747">
        <v>1.56</v>
      </c>
      <c r="BB2747">
        <v>2429.54</v>
      </c>
      <c r="BC2747">
        <v>0.9</v>
      </c>
      <c r="BD2747">
        <v>162.41999999999999</v>
      </c>
      <c r="BE2747">
        <v>165.41</v>
      </c>
      <c r="BF2747">
        <v>161.41</v>
      </c>
      <c r="BG2747" t="s">
        <v>25377</v>
      </c>
      <c r="BH2747" t="s">
        <v>15339</v>
      </c>
      <c r="BI2747" t="s">
        <v>25378</v>
      </c>
      <c r="BJ2747" t="s">
        <v>101</v>
      </c>
      <c r="BK2747" t="s">
        <v>9364</v>
      </c>
      <c r="BL2747" t="s">
        <v>25379</v>
      </c>
      <c r="BM2747" t="s">
        <v>1837</v>
      </c>
      <c r="BN2747" t="s">
        <v>23454</v>
      </c>
    </row>
    <row r="2748" spans="1:66" x14ac:dyDescent="0.25">
      <c r="A2748" t="str">
        <f>HYPERLINK("https://elite.finviz.com/quote.ashx?t=LW&amp;ty=c&amp;p=d&amp;b=1", "LW")</f>
        <v>LW</v>
      </c>
      <c r="B2748">
        <v>5</v>
      </c>
      <c r="C2748">
        <v>116.22</v>
      </c>
      <c r="D2748">
        <v>40.71</v>
      </c>
      <c r="E2748" t="s">
        <v>25380</v>
      </c>
      <c r="F2748" t="s">
        <v>195</v>
      </c>
      <c r="G2748" t="s">
        <v>2244</v>
      </c>
      <c r="H2748" t="s">
        <v>3269</v>
      </c>
      <c r="I2748" t="s">
        <v>70</v>
      </c>
      <c r="J2748" t="s">
        <v>71</v>
      </c>
      <c r="K2748">
        <v>7415.06</v>
      </c>
      <c r="L2748">
        <v>53.21</v>
      </c>
      <c r="M2748" t="s">
        <v>3871</v>
      </c>
      <c r="N2748">
        <v>224021</v>
      </c>
      <c r="O2748">
        <v>21.23</v>
      </c>
      <c r="P2748">
        <v>16.059999999999999</v>
      </c>
      <c r="Q2748">
        <v>5.4</v>
      </c>
      <c r="R2748">
        <v>1.1499999999999999</v>
      </c>
      <c r="S2748">
        <v>4.26</v>
      </c>
      <c r="T2748" t="s">
        <v>2080</v>
      </c>
      <c r="U2748">
        <v>1.47</v>
      </c>
      <c r="V2748" t="s">
        <v>10250</v>
      </c>
      <c r="W2748" t="s">
        <v>2626</v>
      </c>
      <c r="X2748" t="s">
        <v>3270</v>
      </c>
      <c r="Y2748" t="s">
        <v>5459</v>
      </c>
      <c r="Z2748" t="s">
        <v>1095</v>
      </c>
      <c r="AA2748">
        <v>2.5099999999999998</v>
      </c>
      <c r="AB2748" t="s">
        <v>5050</v>
      </c>
      <c r="AC2748" t="s">
        <v>4494</v>
      </c>
      <c r="AD2748" t="s">
        <v>3334</v>
      </c>
      <c r="AE2748" t="s">
        <v>4538</v>
      </c>
      <c r="AF2748" t="s">
        <v>4250</v>
      </c>
      <c r="AG2748" t="s">
        <v>11159</v>
      </c>
      <c r="AH2748" t="s">
        <v>6475</v>
      </c>
      <c r="AI2748" t="s">
        <v>23174</v>
      </c>
      <c r="AJ2748" t="s">
        <v>164</v>
      </c>
      <c r="AK2748" t="s">
        <v>10920</v>
      </c>
      <c r="AL2748">
        <v>1.38</v>
      </c>
      <c r="AM2748">
        <v>0.65</v>
      </c>
      <c r="AN2748">
        <v>2.4500000000000002</v>
      </c>
      <c r="AO2748" t="s">
        <v>7087</v>
      </c>
      <c r="AP2748" t="s">
        <v>2463</v>
      </c>
      <c r="AQ2748" t="s">
        <v>1871</v>
      </c>
      <c r="AR2748" t="s">
        <v>4216</v>
      </c>
      <c r="AS2748" t="s">
        <v>451</v>
      </c>
      <c r="AT2748" t="s">
        <v>1465</v>
      </c>
      <c r="AU2748" t="s">
        <v>3005</v>
      </c>
      <c r="AV2748" t="s">
        <v>4073</v>
      </c>
      <c r="AW2748" t="s">
        <v>6700</v>
      </c>
      <c r="AX2748" t="s">
        <v>1454</v>
      </c>
      <c r="AY2748" t="s">
        <v>17937</v>
      </c>
      <c r="AZ2748" t="s">
        <v>1454</v>
      </c>
      <c r="BA2748">
        <v>2.54</v>
      </c>
      <c r="BB2748">
        <v>1993.45</v>
      </c>
      <c r="BC2748">
        <v>0.4</v>
      </c>
      <c r="BD2748">
        <v>52.83</v>
      </c>
      <c r="BE2748">
        <v>53.63</v>
      </c>
      <c r="BF2748">
        <v>52.51</v>
      </c>
      <c r="BG2748" t="s">
        <v>25381</v>
      </c>
      <c r="BH2748" t="s">
        <v>25382</v>
      </c>
      <c r="BI2748" t="s">
        <v>12970</v>
      </c>
      <c r="BJ2748" t="s">
        <v>101</v>
      </c>
      <c r="BK2748" t="s">
        <v>1445</v>
      </c>
      <c r="BL2748" t="s">
        <v>6449</v>
      </c>
      <c r="BM2748" t="s">
        <v>23149</v>
      </c>
      <c r="BN2748" t="s">
        <v>23454</v>
      </c>
    </row>
    <row r="2749" spans="1:66" x14ac:dyDescent="0.25">
      <c r="A2749" t="str">
        <f>HYPERLINK("https://elite.finviz.com/quote.ashx?t=SMXT&amp;ty=c&amp;p=d&amp;b=1", "SMXT")</f>
        <v>SMXT</v>
      </c>
      <c r="B2749">
        <v>5</v>
      </c>
      <c r="C2749">
        <v>116.22</v>
      </c>
      <c r="D2749">
        <v>40.72</v>
      </c>
      <c r="E2749" t="s">
        <v>25383</v>
      </c>
      <c r="F2749" t="s">
        <v>107</v>
      </c>
      <c r="G2749" t="s">
        <v>108</v>
      </c>
      <c r="H2749" t="s">
        <v>2924</v>
      </c>
      <c r="I2749" t="s">
        <v>70</v>
      </c>
      <c r="J2749" t="s">
        <v>321</v>
      </c>
      <c r="K2749">
        <v>55.66</v>
      </c>
      <c r="L2749">
        <v>1.02</v>
      </c>
      <c r="M2749" t="s">
        <v>3550</v>
      </c>
      <c r="N2749">
        <v>31154</v>
      </c>
      <c r="R2749">
        <v>2.09</v>
      </c>
      <c r="AA2749">
        <v>-0.37</v>
      </c>
      <c r="AB2749" t="s">
        <v>21380</v>
      </c>
      <c r="AC2749" t="s">
        <v>14832</v>
      </c>
      <c r="AE2749" t="s">
        <v>13032</v>
      </c>
      <c r="AF2749" t="s">
        <v>2178</v>
      </c>
      <c r="AG2749" t="s">
        <v>14695</v>
      </c>
      <c r="AH2749" t="s">
        <v>13295</v>
      </c>
      <c r="AJ2749" t="s">
        <v>164</v>
      </c>
      <c r="AK2749" t="s">
        <v>305</v>
      </c>
      <c r="AL2749">
        <v>0.49</v>
      </c>
      <c r="AM2749">
        <v>0.44</v>
      </c>
      <c r="AO2749" t="s">
        <v>11086</v>
      </c>
      <c r="AP2749" t="s">
        <v>5422</v>
      </c>
      <c r="AQ2749" t="s">
        <v>4651</v>
      </c>
      <c r="AR2749" t="s">
        <v>1215</v>
      </c>
      <c r="AS2749" t="s">
        <v>614</v>
      </c>
      <c r="AT2749" t="s">
        <v>3266</v>
      </c>
      <c r="AU2749" t="s">
        <v>3164</v>
      </c>
      <c r="AV2749" t="s">
        <v>4917</v>
      </c>
      <c r="AW2749" t="s">
        <v>25384</v>
      </c>
      <c r="AX2749" t="s">
        <v>1325</v>
      </c>
      <c r="AY2749" t="s">
        <v>25385</v>
      </c>
      <c r="AZ2749" t="s">
        <v>7752</v>
      </c>
      <c r="BB2749">
        <v>5636.67</v>
      </c>
      <c r="BC2749">
        <v>0.02</v>
      </c>
      <c r="BD2749">
        <v>1.01</v>
      </c>
      <c r="BE2749">
        <v>1.04</v>
      </c>
      <c r="BF2749">
        <v>1.02</v>
      </c>
      <c r="BG2749" t="s">
        <v>25386</v>
      </c>
      <c r="BH2749" t="s">
        <v>25387</v>
      </c>
      <c r="BI2749" t="s">
        <v>7752</v>
      </c>
      <c r="BJ2749" t="s">
        <v>101</v>
      </c>
      <c r="BK2749" t="s">
        <v>5574</v>
      </c>
      <c r="BL2749" t="s">
        <v>4722</v>
      </c>
      <c r="BM2749" t="s">
        <v>1117</v>
      </c>
      <c r="BN2749" t="s">
        <v>23454</v>
      </c>
    </row>
    <row r="2750" spans="1:66" x14ac:dyDescent="0.25">
      <c r="A2750" t="str">
        <f>HYPERLINK("https://elite.finviz.com/quote.ashx?t=RPRX&amp;ty=c&amp;p=d&amp;b=1", "RPRX")</f>
        <v>RPRX</v>
      </c>
      <c r="B2750">
        <v>5</v>
      </c>
      <c r="C2750">
        <v>116.22</v>
      </c>
      <c r="D2750">
        <v>40.72</v>
      </c>
      <c r="E2750" t="s">
        <v>25388</v>
      </c>
      <c r="F2750" t="s">
        <v>107</v>
      </c>
      <c r="G2750" t="s">
        <v>428</v>
      </c>
      <c r="H2750" t="s">
        <v>429</v>
      </c>
      <c r="I2750" t="s">
        <v>70</v>
      </c>
      <c r="J2750" t="s">
        <v>321</v>
      </c>
      <c r="K2750">
        <v>20372.02</v>
      </c>
      <c r="L2750">
        <v>34.93</v>
      </c>
      <c r="M2750" t="s">
        <v>1324</v>
      </c>
      <c r="N2750">
        <v>767421</v>
      </c>
      <c r="O2750">
        <v>15.21</v>
      </c>
      <c r="P2750">
        <v>6.96</v>
      </c>
      <c r="Q2750">
        <v>1.43</v>
      </c>
      <c r="R2750">
        <v>8.84</v>
      </c>
      <c r="S2750">
        <v>2.38</v>
      </c>
      <c r="T2750" t="s">
        <v>4154</v>
      </c>
      <c r="U2750">
        <v>0.87</v>
      </c>
      <c r="V2750" t="s">
        <v>3046</v>
      </c>
      <c r="W2750" t="s">
        <v>3450</v>
      </c>
      <c r="X2750" t="s">
        <v>3181</v>
      </c>
      <c r="Z2750" t="s">
        <v>6586</v>
      </c>
      <c r="AA2750">
        <v>2.2999999999999998</v>
      </c>
      <c r="AB2750" t="s">
        <v>4815</v>
      </c>
      <c r="AC2750" t="s">
        <v>23363</v>
      </c>
      <c r="AD2750" t="s">
        <v>4857</v>
      </c>
      <c r="AE2750" t="s">
        <v>2624</v>
      </c>
      <c r="AF2750" t="s">
        <v>1564</v>
      </c>
      <c r="AG2750" t="s">
        <v>6459</v>
      </c>
      <c r="AH2750" t="s">
        <v>8155</v>
      </c>
      <c r="AI2750" t="s">
        <v>11544</v>
      </c>
      <c r="AJ2750" t="s">
        <v>3598</v>
      </c>
      <c r="AK2750" t="s">
        <v>25389</v>
      </c>
      <c r="AL2750">
        <v>1.26</v>
      </c>
      <c r="AM2750">
        <v>1.26</v>
      </c>
      <c r="AN2750">
        <v>1.26</v>
      </c>
      <c r="AP2750" t="s">
        <v>25390</v>
      </c>
      <c r="AQ2750" t="s">
        <v>22720</v>
      </c>
      <c r="AR2750" t="s">
        <v>3173</v>
      </c>
      <c r="AS2750" t="s">
        <v>92</v>
      </c>
      <c r="AT2750" t="s">
        <v>7391</v>
      </c>
      <c r="AU2750" t="s">
        <v>4704</v>
      </c>
      <c r="AV2750" t="s">
        <v>1576</v>
      </c>
      <c r="AW2750" t="s">
        <v>8507</v>
      </c>
      <c r="AX2750" t="s">
        <v>2333</v>
      </c>
      <c r="AY2750" t="s">
        <v>8507</v>
      </c>
      <c r="AZ2750" t="s">
        <v>25391</v>
      </c>
      <c r="BA2750">
        <v>1.5</v>
      </c>
      <c r="BB2750">
        <v>3995.15</v>
      </c>
      <c r="BC2750">
        <v>0.68</v>
      </c>
      <c r="BD2750">
        <v>34.9</v>
      </c>
      <c r="BE2750">
        <v>35.22</v>
      </c>
      <c r="BF2750">
        <v>34.65</v>
      </c>
      <c r="BG2750" t="s">
        <v>25392</v>
      </c>
      <c r="BH2750" t="s">
        <v>3211</v>
      </c>
      <c r="BI2750" t="s">
        <v>25391</v>
      </c>
      <c r="BJ2750" t="s">
        <v>101</v>
      </c>
      <c r="BK2750" t="s">
        <v>5120</v>
      </c>
      <c r="BL2750" t="s">
        <v>2555</v>
      </c>
      <c r="BM2750" t="s">
        <v>8874</v>
      </c>
      <c r="BN2750" t="s">
        <v>23454</v>
      </c>
    </row>
    <row r="2751" spans="1:66" x14ac:dyDescent="0.25">
      <c r="A2751" t="str">
        <f>HYPERLINK("https://elite.finviz.com/quote.ashx?t=CRMD&amp;ty=c&amp;p=d&amp;b=1", "CRMD")</f>
        <v>CRMD</v>
      </c>
      <c r="B2751">
        <v>5</v>
      </c>
      <c r="C2751">
        <v>116.22</v>
      </c>
      <c r="D2751">
        <v>40.74</v>
      </c>
      <c r="E2751" t="s">
        <v>25393</v>
      </c>
      <c r="F2751" t="s">
        <v>67</v>
      </c>
      <c r="G2751" t="s">
        <v>428</v>
      </c>
      <c r="H2751" t="s">
        <v>429</v>
      </c>
      <c r="I2751" t="s">
        <v>70</v>
      </c>
      <c r="J2751" t="s">
        <v>321</v>
      </c>
      <c r="K2751">
        <v>885.18</v>
      </c>
      <c r="L2751">
        <v>11.34</v>
      </c>
      <c r="M2751" t="s">
        <v>5258</v>
      </c>
      <c r="N2751">
        <v>588854</v>
      </c>
      <c r="O2751">
        <v>15.19</v>
      </c>
      <c r="P2751">
        <v>4.67</v>
      </c>
      <c r="R2751">
        <v>7.29</v>
      </c>
      <c r="S2751">
        <v>3.84</v>
      </c>
      <c r="AA2751">
        <v>0.75</v>
      </c>
      <c r="AB2751" t="s">
        <v>20209</v>
      </c>
      <c r="AC2751" t="s">
        <v>6996</v>
      </c>
      <c r="AE2751" t="s">
        <v>25394</v>
      </c>
      <c r="AF2751" t="s">
        <v>25395</v>
      </c>
      <c r="AG2751" t="s">
        <v>25396</v>
      </c>
      <c r="AH2751" t="s">
        <v>25397</v>
      </c>
      <c r="AI2751" t="s">
        <v>19789</v>
      </c>
      <c r="AJ2751" t="s">
        <v>1866</v>
      </c>
      <c r="AK2751" t="s">
        <v>25398</v>
      </c>
      <c r="AL2751">
        <v>7.82</v>
      </c>
      <c r="AM2751">
        <v>7.52</v>
      </c>
      <c r="AN2751">
        <v>0</v>
      </c>
      <c r="AO2751" t="s">
        <v>18536</v>
      </c>
      <c r="AP2751" t="s">
        <v>9047</v>
      </c>
      <c r="AQ2751" t="s">
        <v>11819</v>
      </c>
      <c r="AR2751" t="s">
        <v>3450</v>
      </c>
      <c r="AS2751" t="s">
        <v>3601</v>
      </c>
      <c r="AT2751" t="s">
        <v>3929</v>
      </c>
      <c r="AU2751" t="s">
        <v>10338</v>
      </c>
      <c r="AV2751" t="s">
        <v>5369</v>
      </c>
      <c r="AW2751" t="s">
        <v>23124</v>
      </c>
      <c r="AX2751" t="s">
        <v>3968</v>
      </c>
      <c r="AY2751" t="s">
        <v>10350</v>
      </c>
      <c r="AZ2751" t="s">
        <v>14229</v>
      </c>
      <c r="BA2751">
        <v>1.29</v>
      </c>
      <c r="BB2751">
        <v>3389.55</v>
      </c>
      <c r="BC2751">
        <v>0.61</v>
      </c>
      <c r="BD2751">
        <v>11.12</v>
      </c>
      <c r="BE2751">
        <v>11.36</v>
      </c>
      <c r="BF2751">
        <v>10.96</v>
      </c>
      <c r="BG2751" t="s">
        <v>25399</v>
      </c>
      <c r="BH2751" t="s">
        <v>25400</v>
      </c>
      <c r="BI2751" t="s">
        <v>25401</v>
      </c>
      <c r="BJ2751" t="s">
        <v>101</v>
      </c>
      <c r="BK2751" t="s">
        <v>18824</v>
      </c>
      <c r="BL2751" t="s">
        <v>25402</v>
      </c>
      <c r="BM2751" t="s">
        <v>25403</v>
      </c>
      <c r="BN2751" t="s">
        <v>23454</v>
      </c>
    </row>
    <row r="2752" spans="1:66" x14ac:dyDescent="0.25">
      <c r="A2752" t="str">
        <f>HYPERLINK("https://elite.finviz.com/quote.ashx?t=BTAI&amp;ty=c&amp;p=d&amp;b=1", "BTAI")</f>
        <v>BTAI</v>
      </c>
      <c r="B2752">
        <v>5</v>
      </c>
      <c r="C2752">
        <v>116.22</v>
      </c>
      <c r="D2752">
        <v>40.83</v>
      </c>
      <c r="E2752" t="s">
        <v>25404</v>
      </c>
      <c r="F2752" t="s">
        <v>107</v>
      </c>
      <c r="G2752" t="s">
        <v>428</v>
      </c>
      <c r="H2752" t="s">
        <v>429</v>
      </c>
      <c r="I2752" t="s">
        <v>70</v>
      </c>
      <c r="J2752" t="s">
        <v>321</v>
      </c>
      <c r="K2752">
        <v>53.96</v>
      </c>
      <c r="L2752">
        <v>2.75</v>
      </c>
      <c r="M2752" t="s">
        <v>1272</v>
      </c>
      <c r="N2752">
        <v>672170</v>
      </c>
      <c r="R2752">
        <v>62.02</v>
      </c>
      <c r="AA2752">
        <v>-12.67</v>
      </c>
      <c r="AB2752" t="s">
        <v>19643</v>
      </c>
      <c r="AC2752" t="s">
        <v>2777</v>
      </c>
      <c r="AD2752" t="s">
        <v>8472</v>
      </c>
      <c r="AE2752" t="s">
        <v>25405</v>
      </c>
      <c r="AH2752" t="s">
        <v>25406</v>
      </c>
      <c r="AI2752" t="s">
        <v>19920</v>
      </c>
      <c r="AJ2752" t="s">
        <v>164</v>
      </c>
      <c r="AK2752" t="s">
        <v>2811</v>
      </c>
      <c r="AL2752">
        <v>0.76</v>
      </c>
      <c r="AM2752">
        <v>0.74</v>
      </c>
      <c r="AO2752" t="s">
        <v>25407</v>
      </c>
      <c r="AP2752" t="s">
        <v>25408</v>
      </c>
      <c r="AQ2752" t="s">
        <v>25409</v>
      </c>
      <c r="AR2752" t="s">
        <v>5460</v>
      </c>
      <c r="AS2752" t="s">
        <v>2514</v>
      </c>
      <c r="AT2752" t="s">
        <v>21989</v>
      </c>
      <c r="AU2752" t="s">
        <v>15968</v>
      </c>
      <c r="AV2752" t="s">
        <v>3239</v>
      </c>
      <c r="AW2752" t="s">
        <v>9607</v>
      </c>
      <c r="AX2752" t="s">
        <v>25410</v>
      </c>
      <c r="AY2752" t="s">
        <v>25411</v>
      </c>
      <c r="AZ2752" t="s">
        <v>25412</v>
      </c>
      <c r="BA2752">
        <v>2</v>
      </c>
      <c r="BB2752">
        <v>9606.7800000000007</v>
      </c>
      <c r="BC2752">
        <v>0.25</v>
      </c>
      <c r="BD2752">
        <v>2.82</v>
      </c>
      <c r="BE2752">
        <v>2.96</v>
      </c>
      <c r="BF2752">
        <v>2.72</v>
      </c>
      <c r="BG2752" t="s">
        <v>25413</v>
      </c>
      <c r="BH2752" t="s">
        <v>12285</v>
      </c>
      <c r="BI2752" t="s">
        <v>25412</v>
      </c>
      <c r="BJ2752" t="s">
        <v>101</v>
      </c>
      <c r="BK2752" t="s">
        <v>21547</v>
      </c>
      <c r="BL2752" t="s">
        <v>4468</v>
      </c>
      <c r="BM2752" t="s">
        <v>25414</v>
      </c>
      <c r="BN2752" t="s">
        <v>23454</v>
      </c>
    </row>
    <row r="2753" spans="1:66" x14ac:dyDescent="0.25">
      <c r="A2753" t="str">
        <f>HYPERLINK("https://elite.finviz.com/quote.ashx?t=RMTI&amp;ty=c&amp;p=d&amp;b=1", "RMTI")</f>
        <v>RMTI</v>
      </c>
      <c r="B2753">
        <v>5</v>
      </c>
      <c r="C2753">
        <v>116.22</v>
      </c>
      <c r="D2753">
        <v>40.85</v>
      </c>
      <c r="E2753" t="s">
        <v>25415</v>
      </c>
      <c r="F2753" t="s">
        <v>107</v>
      </c>
      <c r="G2753" t="s">
        <v>428</v>
      </c>
      <c r="H2753" t="s">
        <v>1296</v>
      </c>
      <c r="I2753" t="s">
        <v>70</v>
      </c>
      <c r="J2753" t="s">
        <v>321</v>
      </c>
      <c r="K2753">
        <v>42.53</v>
      </c>
      <c r="L2753">
        <v>1.24</v>
      </c>
      <c r="M2753" t="s">
        <v>343</v>
      </c>
      <c r="N2753">
        <v>173470</v>
      </c>
      <c r="R2753">
        <v>0.48</v>
      </c>
      <c r="S2753">
        <v>1.4</v>
      </c>
      <c r="AA2753">
        <v>-7.0000000000000007E-2</v>
      </c>
      <c r="AB2753" t="s">
        <v>25416</v>
      </c>
      <c r="AC2753" t="s">
        <v>25417</v>
      </c>
      <c r="AE2753" t="s">
        <v>9725</v>
      </c>
      <c r="AF2753" t="s">
        <v>3834</v>
      </c>
      <c r="AG2753" t="s">
        <v>5227</v>
      </c>
      <c r="AH2753" t="s">
        <v>16888</v>
      </c>
      <c r="AI2753" t="s">
        <v>164</v>
      </c>
      <c r="AJ2753" t="s">
        <v>4552</v>
      </c>
      <c r="AK2753" t="s">
        <v>6965</v>
      </c>
      <c r="AL2753">
        <v>2.89</v>
      </c>
      <c r="AM2753">
        <v>2.5099999999999998</v>
      </c>
      <c r="AN2753">
        <v>0.46</v>
      </c>
      <c r="AO2753" t="s">
        <v>7082</v>
      </c>
      <c r="AP2753" t="s">
        <v>525</v>
      </c>
      <c r="AQ2753" t="s">
        <v>11805</v>
      </c>
      <c r="AR2753" t="s">
        <v>506</v>
      </c>
      <c r="AS2753" t="s">
        <v>7221</v>
      </c>
      <c r="AT2753" t="s">
        <v>17611</v>
      </c>
      <c r="AU2753" t="s">
        <v>5245</v>
      </c>
      <c r="AV2753" t="s">
        <v>7365</v>
      </c>
      <c r="AW2753" t="s">
        <v>7840</v>
      </c>
      <c r="AX2753" t="s">
        <v>11571</v>
      </c>
      <c r="AY2753" t="s">
        <v>25418</v>
      </c>
      <c r="AZ2753" t="s">
        <v>15558</v>
      </c>
      <c r="BA2753">
        <v>1</v>
      </c>
      <c r="BB2753">
        <v>1380.1</v>
      </c>
      <c r="BC2753">
        <v>0.45</v>
      </c>
      <c r="BD2753">
        <v>1.22</v>
      </c>
      <c r="BE2753">
        <v>1.27</v>
      </c>
      <c r="BF2753">
        <v>1.21</v>
      </c>
      <c r="BG2753" t="s">
        <v>25419</v>
      </c>
      <c r="BH2753" t="s">
        <v>11018</v>
      </c>
      <c r="BI2753" t="s">
        <v>15558</v>
      </c>
      <c r="BJ2753" t="s">
        <v>101</v>
      </c>
      <c r="BK2753" t="s">
        <v>25420</v>
      </c>
      <c r="BL2753" t="s">
        <v>6937</v>
      </c>
      <c r="BM2753" t="s">
        <v>5906</v>
      </c>
      <c r="BN2753" t="s">
        <v>23454</v>
      </c>
    </row>
    <row r="2754" spans="1:66" x14ac:dyDescent="0.25">
      <c r="A2754" t="str">
        <f>HYPERLINK("https://elite.finviz.com/quote.ashx?t=APVO&amp;ty=c&amp;p=d&amp;b=1", "APVO")</f>
        <v>APVO</v>
      </c>
      <c r="B2754">
        <v>5</v>
      </c>
      <c r="C2754">
        <v>116.22</v>
      </c>
      <c r="D2754">
        <v>40.880000000000003</v>
      </c>
      <c r="E2754" t="s">
        <v>25421</v>
      </c>
      <c r="F2754" t="s">
        <v>107</v>
      </c>
      <c r="G2754" t="s">
        <v>428</v>
      </c>
      <c r="H2754" t="s">
        <v>429</v>
      </c>
      <c r="I2754" t="s">
        <v>70</v>
      </c>
      <c r="J2754" t="s">
        <v>321</v>
      </c>
      <c r="K2754">
        <v>4.93</v>
      </c>
      <c r="L2754">
        <v>1.5</v>
      </c>
      <c r="M2754" t="s">
        <v>6755</v>
      </c>
      <c r="N2754">
        <v>752534</v>
      </c>
      <c r="S2754">
        <v>0.74</v>
      </c>
      <c r="AA2754">
        <v>-540.69000000000005</v>
      </c>
      <c r="AB2754" t="s">
        <v>7163</v>
      </c>
      <c r="AC2754" t="s">
        <v>25422</v>
      </c>
      <c r="AD2754" t="s">
        <v>25423</v>
      </c>
      <c r="AJ2754" t="s">
        <v>164</v>
      </c>
      <c r="AK2754" t="s">
        <v>3339</v>
      </c>
      <c r="AL2754">
        <v>2.27</v>
      </c>
      <c r="AM2754">
        <v>2.27</v>
      </c>
      <c r="AN2754">
        <v>0.65</v>
      </c>
      <c r="AR2754" t="s">
        <v>185</v>
      </c>
      <c r="AS2754" t="s">
        <v>2169</v>
      </c>
      <c r="AT2754" t="s">
        <v>10449</v>
      </c>
      <c r="AU2754" t="s">
        <v>25424</v>
      </c>
      <c r="AV2754" t="s">
        <v>25425</v>
      </c>
      <c r="AW2754" t="s">
        <v>25426</v>
      </c>
      <c r="AX2754" t="s">
        <v>5539</v>
      </c>
      <c r="AY2754" t="s">
        <v>9014</v>
      </c>
      <c r="AZ2754" t="s">
        <v>5539</v>
      </c>
      <c r="BA2754">
        <v>1</v>
      </c>
      <c r="BB2754">
        <v>4194.32</v>
      </c>
      <c r="BC2754">
        <v>0.63</v>
      </c>
      <c r="BD2754">
        <v>1.6</v>
      </c>
      <c r="BE2754">
        <v>1.61</v>
      </c>
      <c r="BF2754">
        <v>1.49</v>
      </c>
      <c r="BG2754" t="s">
        <v>25427</v>
      </c>
      <c r="BH2754" t="s">
        <v>579</v>
      </c>
      <c r="BI2754" t="s">
        <v>5539</v>
      </c>
      <c r="BJ2754" t="s">
        <v>101</v>
      </c>
      <c r="BK2754" t="s">
        <v>201</v>
      </c>
      <c r="BL2754" t="s">
        <v>25428</v>
      </c>
      <c r="BM2754" t="s">
        <v>1685</v>
      </c>
      <c r="BN2754" t="s">
        <v>23454</v>
      </c>
    </row>
    <row r="2755" spans="1:66" x14ac:dyDescent="0.25">
      <c r="A2755" t="str">
        <f>HYPERLINK("https://elite.finviz.com/quote.ashx?t=BDX&amp;ty=c&amp;p=d&amp;b=1", "BDX")</f>
        <v>BDX</v>
      </c>
      <c r="B2755">
        <v>5</v>
      </c>
      <c r="C2755">
        <v>116.22</v>
      </c>
      <c r="D2755">
        <v>40.89</v>
      </c>
      <c r="E2755" t="s">
        <v>25429</v>
      </c>
      <c r="F2755" t="s">
        <v>195</v>
      </c>
      <c r="G2755" t="s">
        <v>428</v>
      </c>
      <c r="H2755" t="s">
        <v>2161</v>
      </c>
      <c r="I2755" t="s">
        <v>70</v>
      </c>
      <c r="J2755" t="s">
        <v>71</v>
      </c>
      <c r="K2755">
        <v>52474.18</v>
      </c>
      <c r="L2755">
        <v>183.07</v>
      </c>
      <c r="M2755" t="s">
        <v>1025</v>
      </c>
      <c r="N2755">
        <v>196711</v>
      </c>
      <c r="O2755">
        <v>32.92</v>
      </c>
      <c r="P2755">
        <v>12.32</v>
      </c>
      <c r="Q2755">
        <v>5.15</v>
      </c>
      <c r="R2755">
        <v>2.4500000000000002</v>
      </c>
      <c r="S2755">
        <v>2.06</v>
      </c>
      <c r="T2755" t="s">
        <v>2876</v>
      </c>
      <c r="U2755">
        <v>4.16</v>
      </c>
      <c r="V2755" t="s">
        <v>9611</v>
      </c>
      <c r="W2755" t="s">
        <v>615</v>
      </c>
      <c r="X2755" t="s">
        <v>4269</v>
      </c>
      <c r="Y2755" t="s">
        <v>5672</v>
      </c>
      <c r="Z2755" t="s">
        <v>16234</v>
      </c>
      <c r="AA2755">
        <v>5.56</v>
      </c>
      <c r="AB2755" t="s">
        <v>19319</v>
      </c>
      <c r="AC2755" t="s">
        <v>5579</v>
      </c>
      <c r="AD2755" t="s">
        <v>3053</v>
      </c>
      <c r="AE2755" t="s">
        <v>1090</v>
      </c>
      <c r="AF2755" t="s">
        <v>2201</v>
      </c>
      <c r="AG2755" t="s">
        <v>5045</v>
      </c>
      <c r="AH2755" t="s">
        <v>702</v>
      </c>
      <c r="AI2755" t="s">
        <v>2861</v>
      </c>
      <c r="AJ2755" t="s">
        <v>211</v>
      </c>
      <c r="AK2755" t="s">
        <v>13663</v>
      </c>
      <c r="AL2755">
        <v>1.1000000000000001</v>
      </c>
      <c r="AM2755">
        <v>0.62</v>
      </c>
      <c r="AN2755">
        <v>0.76</v>
      </c>
      <c r="AO2755" t="s">
        <v>8213</v>
      </c>
      <c r="AP2755" t="s">
        <v>828</v>
      </c>
      <c r="AQ2755" t="s">
        <v>262</v>
      </c>
      <c r="AR2755" t="s">
        <v>2202</v>
      </c>
      <c r="AS2755" t="s">
        <v>2424</v>
      </c>
      <c r="AT2755" t="s">
        <v>5120</v>
      </c>
      <c r="AU2755" t="s">
        <v>7193</v>
      </c>
      <c r="AV2755" t="s">
        <v>16987</v>
      </c>
      <c r="AW2755" t="s">
        <v>9513</v>
      </c>
      <c r="AX2755" t="s">
        <v>3229</v>
      </c>
      <c r="AY2755" t="s">
        <v>7482</v>
      </c>
      <c r="AZ2755" t="s">
        <v>9196</v>
      </c>
      <c r="BA2755">
        <v>2.38</v>
      </c>
      <c r="BB2755">
        <v>2418.46</v>
      </c>
      <c r="BC2755">
        <v>0.28999999999999998</v>
      </c>
      <c r="BD2755">
        <v>180.59</v>
      </c>
      <c r="BE2755">
        <v>183.38</v>
      </c>
      <c r="BF2755">
        <v>181.18</v>
      </c>
      <c r="BG2755" t="s">
        <v>25430</v>
      </c>
      <c r="BH2755" t="s">
        <v>21384</v>
      </c>
      <c r="BI2755" t="s">
        <v>25431</v>
      </c>
      <c r="BJ2755" t="s">
        <v>101</v>
      </c>
      <c r="BK2755" t="s">
        <v>1767</v>
      </c>
      <c r="BL2755" t="s">
        <v>11311</v>
      </c>
      <c r="BM2755" t="s">
        <v>7149</v>
      </c>
      <c r="BN2755" t="s">
        <v>23454</v>
      </c>
    </row>
    <row r="2756" spans="1:66" x14ac:dyDescent="0.25">
      <c r="A2756" t="str">
        <f>HYPERLINK("https://elite.finviz.com/quote.ashx?t=AMIX&amp;ty=c&amp;p=d&amp;b=1", "AMIX")</f>
        <v>AMIX</v>
      </c>
      <c r="B2756">
        <v>5</v>
      </c>
      <c r="C2756">
        <v>116.22</v>
      </c>
      <c r="D2756">
        <v>40.89</v>
      </c>
      <c r="E2756" t="s">
        <v>25432</v>
      </c>
      <c r="F2756" t="s">
        <v>107</v>
      </c>
      <c r="G2756" t="s">
        <v>428</v>
      </c>
      <c r="H2756" t="s">
        <v>2051</v>
      </c>
      <c r="I2756" t="s">
        <v>70</v>
      </c>
      <c r="J2756" t="s">
        <v>321</v>
      </c>
      <c r="K2756">
        <v>6.38</v>
      </c>
      <c r="L2756">
        <v>1.03</v>
      </c>
      <c r="M2756" t="s">
        <v>406</v>
      </c>
      <c r="N2756">
        <v>32578</v>
      </c>
      <c r="S2756">
        <v>0.59</v>
      </c>
      <c r="AA2756">
        <v>-6.28</v>
      </c>
      <c r="AB2756" t="s">
        <v>16647</v>
      </c>
      <c r="AD2756" t="s">
        <v>9654</v>
      </c>
      <c r="AI2756" t="s">
        <v>164</v>
      </c>
      <c r="AJ2756" t="s">
        <v>164</v>
      </c>
      <c r="AK2756" t="s">
        <v>4678</v>
      </c>
      <c r="AL2756">
        <v>4.57</v>
      </c>
      <c r="AM2756">
        <v>4.57</v>
      </c>
      <c r="AN2756">
        <v>0</v>
      </c>
      <c r="AR2756" t="s">
        <v>4742</v>
      </c>
      <c r="AS2756" t="s">
        <v>224</v>
      </c>
      <c r="AT2756" t="s">
        <v>2393</v>
      </c>
      <c r="AU2756" t="s">
        <v>17856</v>
      </c>
      <c r="AV2756" t="s">
        <v>25433</v>
      </c>
      <c r="AW2756" t="s">
        <v>25434</v>
      </c>
      <c r="AX2756" t="s">
        <v>3688</v>
      </c>
      <c r="AY2756" t="s">
        <v>25435</v>
      </c>
      <c r="AZ2756" t="s">
        <v>3688</v>
      </c>
      <c r="BA2756">
        <v>1</v>
      </c>
      <c r="BB2756">
        <v>1398.16</v>
      </c>
      <c r="BC2756">
        <v>0.08</v>
      </c>
      <c r="BD2756">
        <v>1.03</v>
      </c>
      <c r="BE2756">
        <v>1.04</v>
      </c>
      <c r="BF2756">
        <v>1.01</v>
      </c>
      <c r="BG2756" t="s">
        <v>25436</v>
      </c>
      <c r="BH2756" t="s">
        <v>25437</v>
      </c>
      <c r="BI2756" t="s">
        <v>3688</v>
      </c>
      <c r="BJ2756" t="s">
        <v>101</v>
      </c>
      <c r="BK2756" t="s">
        <v>25438</v>
      </c>
      <c r="BL2756" t="s">
        <v>6035</v>
      </c>
      <c r="BM2756" t="s">
        <v>25439</v>
      </c>
      <c r="BN2756" t="s">
        <v>23454</v>
      </c>
    </row>
    <row r="2757" spans="1:66" x14ac:dyDescent="0.25">
      <c r="A2757" t="str">
        <f>HYPERLINK("https://elite.finviz.com/quote.ashx?t=BGC&amp;ty=c&amp;p=d&amp;b=1", "BGC")</f>
        <v>BGC</v>
      </c>
      <c r="B2757">
        <v>5</v>
      </c>
      <c r="C2757">
        <v>116.22</v>
      </c>
      <c r="D2757">
        <v>40.9</v>
      </c>
      <c r="E2757" t="s">
        <v>25440</v>
      </c>
      <c r="F2757" t="s">
        <v>67</v>
      </c>
      <c r="G2757" t="s">
        <v>550</v>
      </c>
      <c r="H2757" t="s">
        <v>551</v>
      </c>
      <c r="I2757" t="s">
        <v>70</v>
      </c>
      <c r="J2757" t="s">
        <v>321</v>
      </c>
      <c r="K2757">
        <v>4546.3100000000004</v>
      </c>
      <c r="L2757">
        <v>9.59</v>
      </c>
      <c r="M2757" t="s">
        <v>3752</v>
      </c>
      <c r="N2757">
        <v>266581</v>
      </c>
      <c r="O2757">
        <v>31.68</v>
      </c>
      <c r="P2757">
        <v>6.97</v>
      </c>
      <c r="R2757">
        <v>1.76</v>
      </c>
      <c r="S2757">
        <v>4.9000000000000004</v>
      </c>
      <c r="T2757" t="s">
        <v>2734</v>
      </c>
      <c r="U2757">
        <v>0.08</v>
      </c>
      <c r="V2757" t="s">
        <v>5737</v>
      </c>
      <c r="W2757" t="s">
        <v>6396</v>
      </c>
      <c r="X2757" t="s">
        <v>2871</v>
      </c>
      <c r="Y2757" t="s">
        <v>16333</v>
      </c>
      <c r="Z2757" t="s">
        <v>11359</v>
      </c>
      <c r="AA2757">
        <v>0.3</v>
      </c>
      <c r="AB2757" t="s">
        <v>14985</v>
      </c>
      <c r="AC2757" t="s">
        <v>13511</v>
      </c>
      <c r="AE2757" t="s">
        <v>7294</v>
      </c>
      <c r="AF2757" t="s">
        <v>4142</v>
      </c>
      <c r="AG2757" t="s">
        <v>2185</v>
      </c>
      <c r="AH2757" t="s">
        <v>18718</v>
      </c>
      <c r="AI2757" t="s">
        <v>164</v>
      </c>
      <c r="AJ2757" t="s">
        <v>3227</v>
      </c>
      <c r="AK2757" t="s">
        <v>25441</v>
      </c>
      <c r="AL2757">
        <v>2.09</v>
      </c>
      <c r="AM2757">
        <v>2.09</v>
      </c>
      <c r="AN2757">
        <v>2.29</v>
      </c>
      <c r="AO2757" t="s">
        <v>3039</v>
      </c>
      <c r="AP2757" t="s">
        <v>9342</v>
      </c>
      <c r="AQ2757" t="s">
        <v>5659</v>
      </c>
      <c r="AR2757" t="s">
        <v>1599</v>
      </c>
      <c r="AS2757" t="s">
        <v>4547</v>
      </c>
      <c r="AT2757" t="s">
        <v>6137</v>
      </c>
      <c r="AU2757" t="s">
        <v>2357</v>
      </c>
      <c r="AV2757" t="s">
        <v>2610</v>
      </c>
      <c r="AW2757" t="s">
        <v>411</v>
      </c>
      <c r="AX2757" t="s">
        <v>2772</v>
      </c>
      <c r="AY2757" t="s">
        <v>3464</v>
      </c>
      <c r="AZ2757" t="s">
        <v>7588</v>
      </c>
      <c r="BA2757">
        <v>1</v>
      </c>
      <c r="BB2757">
        <v>2950.13</v>
      </c>
      <c r="BC2757">
        <v>0.32</v>
      </c>
      <c r="BD2757">
        <v>9.59</v>
      </c>
      <c r="BE2757">
        <v>9.69</v>
      </c>
      <c r="BF2757">
        <v>9.56</v>
      </c>
      <c r="BG2757" t="s">
        <v>25442</v>
      </c>
      <c r="BH2757" t="s">
        <v>20029</v>
      </c>
      <c r="BI2757" t="s">
        <v>25443</v>
      </c>
      <c r="BJ2757" t="s">
        <v>101</v>
      </c>
      <c r="BK2757" t="s">
        <v>19319</v>
      </c>
      <c r="BL2757" t="s">
        <v>2125</v>
      </c>
      <c r="BM2757" t="s">
        <v>1783</v>
      </c>
      <c r="BN2757" t="s">
        <v>23454</v>
      </c>
    </row>
    <row r="2758" spans="1:66" x14ac:dyDescent="0.25">
      <c r="A2758" t="str">
        <f>HYPERLINK("https://elite.finviz.com/quote.ashx?t=DX&amp;ty=c&amp;p=d&amp;b=1", "DX")</f>
        <v>DX</v>
      </c>
      <c r="B2758">
        <v>5</v>
      </c>
      <c r="C2758">
        <v>116.22</v>
      </c>
      <c r="D2758">
        <v>40.950000000000003</v>
      </c>
      <c r="E2758" t="s">
        <v>25444</v>
      </c>
      <c r="F2758" t="s">
        <v>67</v>
      </c>
      <c r="G2758" t="s">
        <v>68</v>
      </c>
      <c r="H2758" t="s">
        <v>5566</v>
      </c>
      <c r="I2758" t="s">
        <v>70</v>
      </c>
      <c r="J2758" t="s">
        <v>71</v>
      </c>
      <c r="K2758">
        <v>1573.88</v>
      </c>
      <c r="L2758">
        <v>12.11</v>
      </c>
      <c r="M2758" t="s">
        <v>4308</v>
      </c>
      <c r="N2758">
        <v>1009120</v>
      </c>
      <c r="O2758">
        <v>15.47</v>
      </c>
      <c r="P2758">
        <v>7.81</v>
      </c>
      <c r="R2758">
        <v>4.16</v>
      </c>
      <c r="S2758">
        <v>1.01</v>
      </c>
      <c r="T2758" t="s">
        <v>5976</v>
      </c>
      <c r="U2758">
        <v>1.92</v>
      </c>
      <c r="V2758" t="s">
        <v>4676</v>
      </c>
      <c r="W2758" t="s">
        <v>1933</v>
      </c>
      <c r="X2758" t="s">
        <v>3013</v>
      </c>
      <c r="Y2758" t="s">
        <v>3444</v>
      </c>
      <c r="Z2758" t="s">
        <v>25445</v>
      </c>
      <c r="AA2758">
        <v>0.78</v>
      </c>
      <c r="AB2758" t="s">
        <v>1527</v>
      </c>
      <c r="AE2758" t="s">
        <v>16789</v>
      </c>
      <c r="AF2758" t="s">
        <v>18704</v>
      </c>
      <c r="AG2758" t="s">
        <v>5757</v>
      </c>
      <c r="AH2758" t="s">
        <v>14131</v>
      </c>
      <c r="AI2758" t="s">
        <v>3403</v>
      </c>
      <c r="AJ2758" t="s">
        <v>164</v>
      </c>
      <c r="AK2758" t="s">
        <v>3149</v>
      </c>
      <c r="AL2758">
        <v>0.09</v>
      </c>
      <c r="AM2758">
        <v>0.09</v>
      </c>
      <c r="AN2758">
        <v>5.34</v>
      </c>
      <c r="AO2758" t="s">
        <v>1647</v>
      </c>
      <c r="AP2758" t="s">
        <v>25446</v>
      </c>
      <c r="AQ2758" t="s">
        <v>3841</v>
      </c>
      <c r="AR2758" t="s">
        <v>2217</v>
      </c>
      <c r="AS2758" t="s">
        <v>3024</v>
      </c>
      <c r="AT2758" t="s">
        <v>81</v>
      </c>
      <c r="AU2758" t="s">
        <v>7429</v>
      </c>
      <c r="AV2758" t="s">
        <v>2267</v>
      </c>
      <c r="AW2758" t="s">
        <v>440</v>
      </c>
      <c r="AX2758" t="s">
        <v>5121</v>
      </c>
      <c r="AY2758" t="s">
        <v>16243</v>
      </c>
      <c r="AZ2758" t="s">
        <v>7221</v>
      </c>
      <c r="BA2758">
        <v>1.33</v>
      </c>
      <c r="BB2758">
        <v>4412.63</v>
      </c>
      <c r="BC2758">
        <v>0.81</v>
      </c>
      <c r="BD2758">
        <v>12.04</v>
      </c>
      <c r="BE2758">
        <v>12.2</v>
      </c>
      <c r="BF2758">
        <v>12.06</v>
      </c>
      <c r="BG2758" t="s">
        <v>25447</v>
      </c>
      <c r="BH2758" t="s">
        <v>25448</v>
      </c>
      <c r="BI2758" t="s">
        <v>25449</v>
      </c>
      <c r="BJ2758" t="s">
        <v>101</v>
      </c>
      <c r="BK2758" t="s">
        <v>3227</v>
      </c>
      <c r="BL2758" t="s">
        <v>7972</v>
      </c>
      <c r="BM2758" t="s">
        <v>156</v>
      </c>
      <c r="BN2758" t="s">
        <v>23454</v>
      </c>
    </row>
    <row r="2759" spans="1:66" x14ac:dyDescent="0.25">
      <c r="A2759" t="str">
        <f>HYPERLINK("https://elite.finviz.com/quote.ashx?t=INTS&amp;ty=c&amp;p=d&amp;b=1", "INTS")</f>
        <v>INTS</v>
      </c>
      <c r="B2759">
        <v>5</v>
      </c>
      <c r="C2759">
        <v>116.22</v>
      </c>
      <c r="D2759">
        <v>40.98</v>
      </c>
      <c r="E2759" t="s">
        <v>25450</v>
      </c>
      <c r="F2759" t="s">
        <v>107</v>
      </c>
      <c r="G2759" t="s">
        <v>428</v>
      </c>
      <c r="H2759" t="s">
        <v>429</v>
      </c>
      <c r="I2759" t="s">
        <v>70</v>
      </c>
      <c r="J2759" t="s">
        <v>321</v>
      </c>
      <c r="K2759">
        <v>11.94</v>
      </c>
      <c r="L2759">
        <v>0.24</v>
      </c>
      <c r="M2759" t="s">
        <v>13117</v>
      </c>
      <c r="N2759">
        <v>535498</v>
      </c>
      <c r="S2759">
        <v>2.93</v>
      </c>
      <c r="AA2759">
        <v>-0.83</v>
      </c>
      <c r="AB2759" t="s">
        <v>25451</v>
      </c>
      <c r="AC2759" t="s">
        <v>11657</v>
      </c>
      <c r="AD2759" t="s">
        <v>13643</v>
      </c>
      <c r="AI2759" t="s">
        <v>12726</v>
      </c>
      <c r="AJ2759" t="s">
        <v>164</v>
      </c>
      <c r="AK2759" t="s">
        <v>3469</v>
      </c>
      <c r="AL2759">
        <v>1.4</v>
      </c>
      <c r="AM2759">
        <v>1.4</v>
      </c>
      <c r="AN2759">
        <v>0.06</v>
      </c>
      <c r="AR2759" t="s">
        <v>4518</v>
      </c>
      <c r="AS2759" t="s">
        <v>1090</v>
      </c>
      <c r="AT2759" t="s">
        <v>5294</v>
      </c>
      <c r="AU2759" t="s">
        <v>17257</v>
      </c>
      <c r="AV2759" t="s">
        <v>25452</v>
      </c>
      <c r="AW2759" t="s">
        <v>14215</v>
      </c>
      <c r="AX2759" t="s">
        <v>7463</v>
      </c>
      <c r="AY2759" t="s">
        <v>9746</v>
      </c>
      <c r="AZ2759" t="s">
        <v>7463</v>
      </c>
      <c r="BA2759">
        <v>1.5</v>
      </c>
      <c r="BB2759">
        <v>4414.5600000000004</v>
      </c>
      <c r="BC2759">
        <v>0.43</v>
      </c>
      <c r="BD2759">
        <v>0.25</v>
      </c>
      <c r="BE2759">
        <v>0.25</v>
      </c>
      <c r="BF2759">
        <v>0.23</v>
      </c>
      <c r="BG2759" t="s">
        <v>25453</v>
      </c>
      <c r="BH2759" t="s">
        <v>23360</v>
      </c>
      <c r="BI2759" t="s">
        <v>7463</v>
      </c>
      <c r="BJ2759" t="s">
        <v>101</v>
      </c>
      <c r="BK2759" t="s">
        <v>12039</v>
      </c>
      <c r="BL2759" t="s">
        <v>25454</v>
      </c>
      <c r="BM2759" t="s">
        <v>25455</v>
      </c>
      <c r="BN2759" t="s">
        <v>23454</v>
      </c>
    </row>
    <row r="2760" spans="1:66" x14ac:dyDescent="0.25">
      <c r="A2760" t="str">
        <f>HYPERLINK("https://elite.finviz.com/quote.ashx?t=VSH&amp;ty=c&amp;p=d&amp;b=1", "VSH")</f>
        <v>VSH</v>
      </c>
      <c r="B2760">
        <v>5</v>
      </c>
      <c r="C2760">
        <v>116.22</v>
      </c>
      <c r="D2760">
        <v>40.99</v>
      </c>
      <c r="E2760" t="s">
        <v>25456</v>
      </c>
      <c r="F2760" t="s">
        <v>67</v>
      </c>
      <c r="G2760" t="s">
        <v>108</v>
      </c>
      <c r="H2760" t="s">
        <v>1808</v>
      </c>
      <c r="I2760" t="s">
        <v>70</v>
      </c>
      <c r="J2760" t="s">
        <v>71</v>
      </c>
      <c r="K2760">
        <v>1995.82</v>
      </c>
      <c r="L2760">
        <v>14.72</v>
      </c>
      <c r="M2760" t="s">
        <v>2518</v>
      </c>
      <c r="N2760">
        <v>92717</v>
      </c>
      <c r="P2760">
        <v>15.37</v>
      </c>
      <c r="R2760">
        <v>0.68</v>
      </c>
      <c r="S2760">
        <v>0.88</v>
      </c>
      <c r="T2760" t="s">
        <v>901</v>
      </c>
      <c r="U2760">
        <v>0.4</v>
      </c>
      <c r="V2760" t="s">
        <v>7788</v>
      </c>
      <c r="W2760" t="s">
        <v>164</v>
      </c>
      <c r="X2760" t="s">
        <v>3013</v>
      </c>
      <c r="Y2760" t="s">
        <v>2720</v>
      </c>
      <c r="AA2760">
        <v>-0.64</v>
      </c>
      <c r="AE2760" t="s">
        <v>5567</v>
      </c>
      <c r="AF2760" t="s">
        <v>345</v>
      </c>
      <c r="AG2760" t="s">
        <v>2202</v>
      </c>
      <c r="AH2760" t="s">
        <v>7437</v>
      </c>
      <c r="AI2760" t="s">
        <v>25457</v>
      </c>
      <c r="AJ2760" t="s">
        <v>6182</v>
      </c>
      <c r="AK2760" t="s">
        <v>13931</v>
      </c>
      <c r="AL2760">
        <v>2.7</v>
      </c>
      <c r="AM2760">
        <v>1.64</v>
      </c>
      <c r="AN2760">
        <v>0.5</v>
      </c>
      <c r="AO2760" t="s">
        <v>8415</v>
      </c>
      <c r="AP2760" t="s">
        <v>910</v>
      </c>
      <c r="AQ2760" t="s">
        <v>6130</v>
      </c>
      <c r="AR2760" t="s">
        <v>305</v>
      </c>
      <c r="AS2760" t="s">
        <v>89</v>
      </c>
      <c r="AT2760" t="s">
        <v>1779</v>
      </c>
      <c r="AU2760" t="s">
        <v>8933</v>
      </c>
      <c r="AV2760" t="s">
        <v>217</v>
      </c>
      <c r="AW2760" t="s">
        <v>19857</v>
      </c>
      <c r="AX2760" t="s">
        <v>1925</v>
      </c>
      <c r="AY2760" t="s">
        <v>22943</v>
      </c>
      <c r="AZ2760" t="s">
        <v>8890</v>
      </c>
      <c r="BA2760">
        <v>2.6</v>
      </c>
      <c r="BB2760">
        <v>1599.84</v>
      </c>
      <c r="BC2760">
        <v>0.2</v>
      </c>
      <c r="BD2760">
        <v>14.9</v>
      </c>
      <c r="BE2760">
        <v>14.95</v>
      </c>
      <c r="BF2760">
        <v>14.67</v>
      </c>
      <c r="BG2760" t="s">
        <v>25458</v>
      </c>
      <c r="BH2760" t="s">
        <v>24624</v>
      </c>
      <c r="BI2760" t="s">
        <v>25459</v>
      </c>
      <c r="BJ2760" t="s">
        <v>101</v>
      </c>
      <c r="BK2760" t="s">
        <v>3051</v>
      </c>
      <c r="BL2760" t="s">
        <v>10146</v>
      </c>
      <c r="BM2760" t="s">
        <v>7205</v>
      </c>
      <c r="BN2760" t="s">
        <v>23454</v>
      </c>
    </row>
    <row r="2761" spans="1:66" x14ac:dyDescent="0.25">
      <c r="A2761" t="str">
        <f>HYPERLINK("https://elite.finviz.com/quote.ashx?t=AVXL&amp;ty=c&amp;p=d&amp;b=1", "AVXL")</f>
        <v>AVXL</v>
      </c>
      <c r="B2761">
        <v>5</v>
      </c>
      <c r="C2761">
        <v>116.22</v>
      </c>
      <c r="D2761">
        <v>41.01</v>
      </c>
      <c r="E2761" t="s">
        <v>25460</v>
      </c>
      <c r="F2761" t="s">
        <v>67</v>
      </c>
      <c r="G2761" t="s">
        <v>428</v>
      </c>
      <c r="H2761" t="s">
        <v>429</v>
      </c>
      <c r="I2761" t="s">
        <v>70</v>
      </c>
      <c r="J2761" t="s">
        <v>321</v>
      </c>
      <c r="K2761">
        <v>739.63</v>
      </c>
      <c r="L2761">
        <v>8.61</v>
      </c>
      <c r="M2761" t="s">
        <v>2509</v>
      </c>
      <c r="N2761">
        <v>215797</v>
      </c>
      <c r="P2761">
        <v>3.64</v>
      </c>
      <c r="S2761">
        <v>8.09</v>
      </c>
      <c r="AA2761">
        <v>-0.56999999999999995</v>
      </c>
      <c r="AB2761" t="s">
        <v>2195</v>
      </c>
      <c r="AC2761" t="s">
        <v>3013</v>
      </c>
      <c r="AI2761" t="s">
        <v>15169</v>
      </c>
      <c r="AJ2761" t="s">
        <v>164</v>
      </c>
      <c r="AK2761" t="s">
        <v>6902</v>
      </c>
      <c r="AL2761">
        <v>8.93</v>
      </c>
      <c r="AM2761">
        <v>8.93</v>
      </c>
      <c r="AN2761">
        <v>0</v>
      </c>
      <c r="AR2761" t="s">
        <v>7453</v>
      </c>
      <c r="AS2761" t="s">
        <v>3496</v>
      </c>
      <c r="AT2761" t="s">
        <v>6494</v>
      </c>
      <c r="AU2761" t="s">
        <v>5718</v>
      </c>
      <c r="AV2761" t="s">
        <v>5354</v>
      </c>
      <c r="AW2761" t="s">
        <v>25461</v>
      </c>
      <c r="AX2761" t="s">
        <v>2700</v>
      </c>
      <c r="AY2761" t="s">
        <v>25462</v>
      </c>
      <c r="AZ2761" t="s">
        <v>6908</v>
      </c>
      <c r="BA2761">
        <v>1</v>
      </c>
      <c r="BB2761">
        <v>1080.55</v>
      </c>
      <c r="BC2761">
        <v>0.7</v>
      </c>
      <c r="BD2761">
        <v>8.5</v>
      </c>
      <c r="BE2761">
        <v>8.6999999999999993</v>
      </c>
      <c r="BF2761">
        <v>8.43</v>
      </c>
      <c r="BG2761" t="s">
        <v>25463</v>
      </c>
      <c r="BH2761" t="s">
        <v>25464</v>
      </c>
      <c r="BI2761" t="s">
        <v>25465</v>
      </c>
      <c r="BJ2761" t="s">
        <v>101</v>
      </c>
      <c r="BK2761" t="s">
        <v>1027</v>
      </c>
      <c r="BL2761" t="s">
        <v>3338</v>
      </c>
      <c r="BM2761" t="s">
        <v>3631</v>
      </c>
      <c r="BN2761" t="s">
        <v>23454</v>
      </c>
    </row>
    <row r="2762" spans="1:66" x14ac:dyDescent="0.25">
      <c r="A2762" t="str">
        <f>HYPERLINK("https://elite.finviz.com/quote.ashx?t=WEAV&amp;ty=c&amp;p=d&amp;b=1", "WEAV")</f>
        <v>WEAV</v>
      </c>
      <c r="B2762">
        <v>5</v>
      </c>
      <c r="C2762">
        <v>116.22</v>
      </c>
      <c r="D2762">
        <v>41.03</v>
      </c>
      <c r="E2762" t="s">
        <v>25466</v>
      </c>
      <c r="F2762" t="s">
        <v>67</v>
      </c>
      <c r="G2762" t="s">
        <v>428</v>
      </c>
      <c r="H2762" t="s">
        <v>2075</v>
      </c>
      <c r="I2762" t="s">
        <v>70</v>
      </c>
      <c r="J2762" t="s">
        <v>71</v>
      </c>
      <c r="K2762">
        <v>555.04</v>
      </c>
      <c r="L2762">
        <v>7.2</v>
      </c>
      <c r="M2762" t="s">
        <v>5780</v>
      </c>
      <c r="N2762">
        <v>192327</v>
      </c>
      <c r="P2762">
        <v>69.28</v>
      </c>
      <c r="R2762">
        <v>2.5099999999999998</v>
      </c>
      <c r="S2762">
        <v>7.02</v>
      </c>
      <c r="AA2762">
        <v>-0.41</v>
      </c>
      <c r="AB2762" t="s">
        <v>4398</v>
      </c>
      <c r="AC2762" t="s">
        <v>7118</v>
      </c>
      <c r="AD2762" t="s">
        <v>20898</v>
      </c>
      <c r="AE2762" t="s">
        <v>8063</v>
      </c>
      <c r="AF2762" t="s">
        <v>7902</v>
      </c>
      <c r="AG2762" t="s">
        <v>9951</v>
      </c>
      <c r="AH2762" t="s">
        <v>6875</v>
      </c>
      <c r="AI2762" t="s">
        <v>25467</v>
      </c>
      <c r="AJ2762" t="s">
        <v>4673</v>
      </c>
      <c r="AK2762" t="s">
        <v>1505</v>
      </c>
      <c r="AL2762">
        <v>1.07</v>
      </c>
      <c r="AM2762">
        <v>1.07</v>
      </c>
      <c r="AN2762">
        <v>0.69</v>
      </c>
      <c r="AO2762" t="s">
        <v>7600</v>
      </c>
      <c r="AP2762" t="s">
        <v>3473</v>
      </c>
      <c r="AQ2762" t="s">
        <v>5403</v>
      </c>
      <c r="AR2762" t="s">
        <v>2721</v>
      </c>
      <c r="AS2762" t="s">
        <v>2941</v>
      </c>
      <c r="AT2762" t="s">
        <v>8190</v>
      </c>
      <c r="AU2762" t="s">
        <v>1821</v>
      </c>
      <c r="AV2762" t="s">
        <v>25073</v>
      </c>
      <c r="AW2762" t="s">
        <v>303</v>
      </c>
      <c r="AX2762" t="s">
        <v>1160</v>
      </c>
      <c r="AY2762" t="s">
        <v>12786</v>
      </c>
      <c r="AZ2762" t="s">
        <v>1160</v>
      </c>
      <c r="BA2762">
        <v>1.67</v>
      </c>
      <c r="BB2762">
        <v>1070.1099999999999</v>
      </c>
      <c r="BC2762">
        <v>0.63</v>
      </c>
      <c r="BD2762">
        <v>7.01</v>
      </c>
      <c r="BE2762">
        <v>7.22</v>
      </c>
      <c r="BF2762">
        <v>6.95</v>
      </c>
      <c r="BG2762" t="s">
        <v>25468</v>
      </c>
      <c r="BH2762" t="s">
        <v>8305</v>
      </c>
      <c r="BI2762" t="s">
        <v>25469</v>
      </c>
      <c r="BJ2762" t="s">
        <v>101</v>
      </c>
      <c r="BK2762" t="s">
        <v>5596</v>
      </c>
      <c r="BL2762" t="s">
        <v>25470</v>
      </c>
      <c r="BM2762" t="s">
        <v>25471</v>
      </c>
      <c r="BN2762" t="s">
        <v>23454</v>
      </c>
    </row>
    <row r="2763" spans="1:66" x14ac:dyDescent="0.25">
      <c r="A2763" t="str">
        <f>HYPERLINK("https://elite.finviz.com/quote.ashx?t=BMBL&amp;ty=c&amp;p=d&amp;b=1", "BMBL")</f>
        <v>BMBL</v>
      </c>
      <c r="B2763">
        <v>5</v>
      </c>
      <c r="C2763">
        <v>116.22</v>
      </c>
      <c r="D2763">
        <v>41.04</v>
      </c>
      <c r="E2763" t="s">
        <v>25472</v>
      </c>
      <c r="F2763" t="s">
        <v>67</v>
      </c>
      <c r="G2763" t="s">
        <v>598</v>
      </c>
      <c r="H2763" t="s">
        <v>599</v>
      </c>
      <c r="I2763" t="s">
        <v>70</v>
      </c>
      <c r="J2763" t="s">
        <v>321</v>
      </c>
      <c r="K2763">
        <v>659.3</v>
      </c>
      <c r="L2763">
        <v>6.34</v>
      </c>
      <c r="M2763" t="s">
        <v>6614</v>
      </c>
      <c r="N2763">
        <v>392463</v>
      </c>
      <c r="P2763">
        <v>5.21</v>
      </c>
      <c r="R2763">
        <v>0.64</v>
      </c>
      <c r="S2763">
        <v>1.1399999999999999</v>
      </c>
      <c r="AA2763">
        <v>-7.35</v>
      </c>
      <c r="AE2763" t="s">
        <v>8830</v>
      </c>
      <c r="AF2763" t="s">
        <v>9196</v>
      </c>
      <c r="AG2763" t="s">
        <v>13470</v>
      </c>
      <c r="AH2763" t="s">
        <v>5781</v>
      </c>
      <c r="AI2763" t="s">
        <v>25473</v>
      </c>
      <c r="AJ2763" t="s">
        <v>25474</v>
      </c>
      <c r="AK2763" t="s">
        <v>12157</v>
      </c>
      <c r="AL2763">
        <v>3.22</v>
      </c>
      <c r="AM2763">
        <v>3.22</v>
      </c>
      <c r="AN2763">
        <v>1.0900000000000001</v>
      </c>
      <c r="AO2763" t="s">
        <v>1649</v>
      </c>
      <c r="AP2763" t="s">
        <v>23909</v>
      </c>
      <c r="AQ2763" t="s">
        <v>25475</v>
      </c>
      <c r="AR2763" t="s">
        <v>334</v>
      </c>
      <c r="AS2763" t="s">
        <v>2235</v>
      </c>
      <c r="AT2763" t="s">
        <v>4553</v>
      </c>
      <c r="AU2763" t="s">
        <v>7996</v>
      </c>
      <c r="AV2763" t="s">
        <v>4865</v>
      </c>
      <c r="AW2763" t="s">
        <v>15932</v>
      </c>
      <c r="AX2763" t="s">
        <v>10273</v>
      </c>
      <c r="AY2763" t="s">
        <v>24682</v>
      </c>
      <c r="AZ2763" t="s">
        <v>16543</v>
      </c>
      <c r="BA2763">
        <v>3</v>
      </c>
      <c r="BB2763">
        <v>3558.21</v>
      </c>
      <c r="BC2763">
        <v>0.39</v>
      </c>
      <c r="BD2763">
        <v>6.44</v>
      </c>
      <c r="BE2763">
        <v>6.49</v>
      </c>
      <c r="BF2763">
        <v>6.33</v>
      </c>
      <c r="BG2763" t="s">
        <v>25476</v>
      </c>
      <c r="BH2763" t="s">
        <v>12110</v>
      </c>
      <c r="BI2763" t="s">
        <v>16543</v>
      </c>
      <c r="BJ2763" t="s">
        <v>101</v>
      </c>
      <c r="BK2763" t="s">
        <v>181</v>
      </c>
      <c r="BL2763" t="s">
        <v>15103</v>
      </c>
      <c r="BM2763" t="s">
        <v>4275</v>
      </c>
      <c r="BN2763" t="s">
        <v>23454</v>
      </c>
    </row>
    <row r="2764" spans="1:66" x14ac:dyDescent="0.25">
      <c r="A2764" t="str">
        <f>HYPERLINK("https://elite.finviz.com/quote.ashx?t=EFC&amp;ty=c&amp;p=d&amp;b=1", "EFC")</f>
        <v>EFC</v>
      </c>
      <c r="B2764">
        <v>5</v>
      </c>
      <c r="C2764">
        <v>116.22</v>
      </c>
      <c r="D2764">
        <v>41.06</v>
      </c>
      <c r="E2764" t="s">
        <v>25477</v>
      </c>
      <c r="F2764" t="s">
        <v>67</v>
      </c>
      <c r="G2764" t="s">
        <v>68</v>
      </c>
      <c r="H2764" t="s">
        <v>5566</v>
      </c>
      <c r="I2764" t="s">
        <v>70</v>
      </c>
      <c r="J2764" t="s">
        <v>71</v>
      </c>
      <c r="K2764">
        <v>1311.25</v>
      </c>
      <c r="L2764">
        <v>13.13</v>
      </c>
      <c r="M2764" t="s">
        <v>7464</v>
      </c>
      <c r="N2764">
        <v>223210</v>
      </c>
      <c r="O2764">
        <v>10.82</v>
      </c>
      <c r="P2764">
        <v>7.35</v>
      </c>
      <c r="Q2764">
        <v>1.83</v>
      </c>
      <c r="R2764">
        <v>2.71</v>
      </c>
      <c r="S2764">
        <v>0.96</v>
      </c>
      <c r="T2764" t="s">
        <v>6531</v>
      </c>
      <c r="U2764">
        <v>1.56</v>
      </c>
      <c r="V2764" t="s">
        <v>198</v>
      </c>
      <c r="W2764" t="s">
        <v>8543</v>
      </c>
      <c r="X2764" t="s">
        <v>8634</v>
      </c>
      <c r="Y2764" t="s">
        <v>7272</v>
      </c>
      <c r="Z2764" t="s">
        <v>12372</v>
      </c>
      <c r="AA2764">
        <v>1.21</v>
      </c>
      <c r="AB2764" t="s">
        <v>12861</v>
      </c>
      <c r="AC2764" t="s">
        <v>786</v>
      </c>
      <c r="AD2764" t="s">
        <v>2196</v>
      </c>
      <c r="AE2764" t="s">
        <v>5681</v>
      </c>
      <c r="AF2764" t="s">
        <v>7804</v>
      </c>
      <c r="AG2764" t="s">
        <v>15580</v>
      </c>
      <c r="AH2764" t="s">
        <v>19518</v>
      </c>
      <c r="AI2764" t="s">
        <v>4944</v>
      </c>
      <c r="AJ2764" t="s">
        <v>164</v>
      </c>
      <c r="AK2764" t="s">
        <v>4433</v>
      </c>
      <c r="AL2764">
        <v>0.18</v>
      </c>
      <c r="AM2764">
        <v>0.17</v>
      </c>
      <c r="AN2764">
        <v>8.93</v>
      </c>
      <c r="AO2764" t="s">
        <v>15121</v>
      </c>
      <c r="AP2764" t="s">
        <v>25478</v>
      </c>
      <c r="AQ2764" t="s">
        <v>16116</v>
      </c>
      <c r="AR2764" t="s">
        <v>192</v>
      </c>
      <c r="AS2764" t="s">
        <v>6829</v>
      </c>
      <c r="AT2764" t="s">
        <v>4537</v>
      </c>
      <c r="AU2764" t="s">
        <v>11830</v>
      </c>
      <c r="AV2764" t="s">
        <v>3349</v>
      </c>
      <c r="AW2764" t="s">
        <v>6538</v>
      </c>
      <c r="AX2764" t="s">
        <v>5467</v>
      </c>
      <c r="AY2764" t="s">
        <v>10064</v>
      </c>
      <c r="AZ2764" t="s">
        <v>1843</v>
      </c>
      <c r="BA2764">
        <v>1.29</v>
      </c>
      <c r="BB2764">
        <v>1261.0899999999999</v>
      </c>
      <c r="BC2764">
        <v>0.62</v>
      </c>
      <c r="BD2764">
        <v>13.07</v>
      </c>
      <c r="BE2764">
        <v>13.23</v>
      </c>
      <c r="BF2764">
        <v>13.1</v>
      </c>
      <c r="BG2764" t="s">
        <v>25479</v>
      </c>
      <c r="BH2764" t="s">
        <v>25480</v>
      </c>
      <c r="BI2764" t="s">
        <v>25481</v>
      </c>
      <c r="BJ2764" t="s">
        <v>101</v>
      </c>
      <c r="BK2764" t="s">
        <v>273</v>
      </c>
      <c r="BL2764" t="s">
        <v>11830</v>
      </c>
      <c r="BM2764" t="s">
        <v>4494</v>
      </c>
      <c r="BN2764" t="s">
        <v>23454</v>
      </c>
    </row>
    <row r="2765" spans="1:66" x14ac:dyDescent="0.25">
      <c r="A2765" t="str">
        <f>HYPERLINK("https://elite.finviz.com/quote.ashx?t=EPRT&amp;ty=c&amp;p=d&amp;b=1", "EPRT")</f>
        <v>EPRT</v>
      </c>
      <c r="B2765">
        <v>5</v>
      </c>
      <c r="C2765">
        <v>116.22</v>
      </c>
      <c r="D2765">
        <v>41.18</v>
      </c>
      <c r="E2765" t="s">
        <v>25482</v>
      </c>
      <c r="F2765" t="s">
        <v>67</v>
      </c>
      <c r="G2765" t="s">
        <v>68</v>
      </c>
      <c r="H2765" t="s">
        <v>160</v>
      </c>
      <c r="I2765" t="s">
        <v>70</v>
      </c>
      <c r="J2765" t="s">
        <v>71</v>
      </c>
      <c r="K2765">
        <v>5888.28</v>
      </c>
      <c r="L2765">
        <v>29.64</v>
      </c>
      <c r="M2765" t="s">
        <v>4623</v>
      </c>
      <c r="N2765">
        <v>80746</v>
      </c>
      <c r="O2765">
        <v>24.97</v>
      </c>
      <c r="P2765">
        <v>22.49</v>
      </c>
      <c r="Q2765">
        <v>4.13</v>
      </c>
      <c r="R2765">
        <v>11.64</v>
      </c>
      <c r="S2765">
        <v>1.53</v>
      </c>
      <c r="T2765" t="s">
        <v>3469</v>
      </c>
      <c r="U2765">
        <v>1.18</v>
      </c>
      <c r="V2765" t="s">
        <v>198</v>
      </c>
      <c r="W2765" t="s">
        <v>975</v>
      </c>
      <c r="X2765" t="s">
        <v>3887</v>
      </c>
      <c r="Y2765" t="s">
        <v>5659</v>
      </c>
      <c r="Z2765" t="s">
        <v>25483</v>
      </c>
      <c r="AA2765">
        <v>1.19</v>
      </c>
      <c r="AB2765" t="s">
        <v>1514</v>
      </c>
      <c r="AC2765" t="s">
        <v>3751</v>
      </c>
      <c r="AD2765" t="s">
        <v>4077</v>
      </c>
      <c r="AE2765" t="s">
        <v>15084</v>
      </c>
      <c r="AF2765" t="s">
        <v>11506</v>
      </c>
      <c r="AG2765" t="s">
        <v>12475</v>
      </c>
      <c r="AH2765" t="s">
        <v>7404</v>
      </c>
      <c r="AI2765" t="s">
        <v>2892</v>
      </c>
      <c r="AJ2765" t="s">
        <v>10518</v>
      </c>
      <c r="AK2765" t="s">
        <v>12874</v>
      </c>
      <c r="AL2765">
        <v>2.0099999999999998</v>
      </c>
      <c r="AM2765">
        <v>2.0099999999999998</v>
      </c>
      <c r="AN2765">
        <v>0.61</v>
      </c>
      <c r="AO2765" t="s">
        <v>2531</v>
      </c>
      <c r="AP2765" t="s">
        <v>25484</v>
      </c>
      <c r="AQ2765" t="s">
        <v>5044</v>
      </c>
      <c r="AR2765" t="s">
        <v>1952</v>
      </c>
      <c r="AS2765" t="s">
        <v>6990</v>
      </c>
      <c r="AT2765" t="s">
        <v>5000</v>
      </c>
      <c r="AU2765" t="s">
        <v>4131</v>
      </c>
      <c r="AV2765" t="s">
        <v>11702</v>
      </c>
      <c r="AW2765" t="s">
        <v>137</v>
      </c>
      <c r="AX2765" t="s">
        <v>3976</v>
      </c>
      <c r="AY2765" t="s">
        <v>18581</v>
      </c>
      <c r="AZ2765" t="s">
        <v>238</v>
      </c>
      <c r="BA2765">
        <v>1.39</v>
      </c>
      <c r="BB2765">
        <v>1792.69</v>
      </c>
      <c r="BC2765">
        <v>0.16</v>
      </c>
      <c r="BD2765">
        <v>29.46</v>
      </c>
      <c r="BE2765">
        <v>29.79</v>
      </c>
      <c r="BF2765">
        <v>29.56</v>
      </c>
      <c r="BG2765" t="s">
        <v>25485</v>
      </c>
      <c r="BH2765" t="s">
        <v>18581</v>
      </c>
      <c r="BI2765" t="s">
        <v>25486</v>
      </c>
      <c r="BJ2765" t="s">
        <v>101</v>
      </c>
      <c r="BK2765" t="s">
        <v>2101</v>
      </c>
      <c r="BL2765" t="s">
        <v>2701</v>
      </c>
      <c r="BM2765" t="s">
        <v>15316</v>
      </c>
      <c r="BN2765" t="s">
        <v>23454</v>
      </c>
    </row>
    <row r="2766" spans="1:66" x14ac:dyDescent="0.25">
      <c r="A2766" t="str">
        <f>HYPERLINK("https://elite.finviz.com/quote.ashx?t=IVR&amp;ty=c&amp;p=d&amp;b=1", "IVR")</f>
        <v>IVR</v>
      </c>
      <c r="B2766">
        <v>5</v>
      </c>
      <c r="C2766">
        <v>116.22</v>
      </c>
      <c r="D2766">
        <v>41.19</v>
      </c>
      <c r="E2766" t="s">
        <v>25487</v>
      </c>
      <c r="F2766" t="s">
        <v>67</v>
      </c>
      <c r="G2766" t="s">
        <v>68</v>
      </c>
      <c r="H2766" t="s">
        <v>5566</v>
      </c>
      <c r="I2766" t="s">
        <v>70</v>
      </c>
      <c r="J2766" t="s">
        <v>71</v>
      </c>
      <c r="K2766">
        <v>490.35</v>
      </c>
      <c r="L2766">
        <v>7.39</v>
      </c>
      <c r="M2766" t="s">
        <v>3736</v>
      </c>
      <c r="N2766">
        <v>250225</v>
      </c>
      <c r="O2766">
        <v>18.77</v>
      </c>
      <c r="P2766">
        <v>3.28</v>
      </c>
      <c r="R2766">
        <v>1.91</v>
      </c>
      <c r="S2766">
        <v>0.91</v>
      </c>
      <c r="T2766" t="s">
        <v>705</v>
      </c>
      <c r="U2766">
        <v>1.48</v>
      </c>
      <c r="V2766" t="s">
        <v>11435</v>
      </c>
      <c r="W2766" t="s">
        <v>164</v>
      </c>
      <c r="X2766" t="s">
        <v>23541</v>
      </c>
      <c r="Y2766" t="s">
        <v>21309</v>
      </c>
      <c r="Z2766" t="s">
        <v>7831</v>
      </c>
      <c r="AA2766">
        <v>0.39</v>
      </c>
      <c r="AC2766" t="s">
        <v>25488</v>
      </c>
      <c r="AD2766" t="s">
        <v>4048</v>
      </c>
      <c r="AE2766" t="s">
        <v>273</v>
      </c>
      <c r="AF2766" t="s">
        <v>25489</v>
      </c>
      <c r="AG2766" t="s">
        <v>9097</v>
      </c>
      <c r="AH2766" t="s">
        <v>22829</v>
      </c>
      <c r="AI2766" t="s">
        <v>4552</v>
      </c>
      <c r="AJ2766" t="s">
        <v>164</v>
      </c>
      <c r="AK2766" t="s">
        <v>9894</v>
      </c>
      <c r="AL2766">
        <v>0.05</v>
      </c>
      <c r="AM2766">
        <v>0.05</v>
      </c>
      <c r="AN2766">
        <v>6.54</v>
      </c>
      <c r="AO2766" t="s">
        <v>1494</v>
      </c>
      <c r="AP2766" t="s">
        <v>25490</v>
      </c>
      <c r="AQ2766" t="s">
        <v>2351</v>
      </c>
      <c r="AR2766" t="s">
        <v>3257</v>
      </c>
      <c r="AS2766" t="s">
        <v>3494</v>
      </c>
      <c r="AT2766" t="s">
        <v>4257</v>
      </c>
      <c r="AU2766" t="s">
        <v>10469</v>
      </c>
      <c r="AV2766" t="s">
        <v>7402</v>
      </c>
      <c r="AW2766" t="s">
        <v>10375</v>
      </c>
      <c r="AX2766" t="s">
        <v>2496</v>
      </c>
      <c r="AY2766" t="s">
        <v>9868</v>
      </c>
      <c r="AZ2766" t="s">
        <v>3961</v>
      </c>
      <c r="BA2766">
        <v>3.25</v>
      </c>
      <c r="BB2766">
        <v>1680.44</v>
      </c>
      <c r="BC2766">
        <v>0.52</v>
      </c>
      <c r="BD2766">
        <v>7.37</v>
      </c>
      <c r="BE2766">
        <v>7.44</v>
      </c>
      <c r="BF2766">
        <v>7.33</v>
      </c>
      <c r="BG2766" t="s">
        <v>25491</v>
      </c>
      <c r="BH2766" t="s">
        <v>23761</v>
      </c>
      <c r="BI2766" t="s">
        <v>3961</v>
      </c>
      <c r="BJ2766" t="s">
        <v>101</v>
      </c>
      <c r="BK2766" t="s">
        <v>1929</v>
      </c>
      <c r="BL2766" t="s">
        <v>7190</v>
      </c>
      <c r="BM2766" t="s">
        <v>15929</v>
      </c>
      <c r="BN2766" t="s">
        <v>23454</v>
      </c>
    </row>
    <row r="2767" spans="1:66" x14ac:dyDescent="0.25">
      <c r="A2767" t="str">
        <f>HYPERLINK("https://elite.finviz.com/quote.ashx?t=PTC&amp;ty=c&amp;p=d&amp;b=1", "PTC")</f>
        <v>PTC</v>
      </c>
      <c r="B2767">
        <v>5</v>
      </c>
      <c r="C2767">
        <v>116.22</v>
      </c>
      <c r="D2767">
        <v>41.21</v>
      </c>
      <c r="E2767" t="s">
        <v>25492</v>
      </c>
      <c r="F2767" t="s">
        <v>195</v>
      </c>
      <c r="G2767" t="s">
        <v>108</v>
      </c>
      <c r="H2767" t="s">
        <v>136</v>
      </c>
      <c r="I2767" t="s">
        <v>70</v>
      </c>
      <c r="J2767" t="s">
        <v>321</v>
      </c>
      <c r="K2767">
        <v>24290.37</v>
      </c>
      <c r="L2767">
        <v>202.77</v>
      </c>
      <c r="M2767" t="s">
        <v>5549</v>
      </c>
      <c r="N2767">
        <v>83581</v>
      </c>
      <c r="O2767">
        <v>47.8</v>
      </c>
      <c r="P2767">
        <v>27.29</v>
      </c>
      <c r="Q2767">
        <v>2.81</v>
      </c>
      <c r="R2767">
        <v>9.83</v>
      </c>
      <c r="S2767">
        <v>6.91</v>
      </c>
      <c r="Z2767" t="s">
        <v>164</v>
      </c>
      <c r="AA2767">
        <v>4.24</v>
      </c>
      <c r="AB2767" t="s">
        <v>2332</v>
      </c>
      <c r="AD2767" t="s">
        <v>13470</v>
      </c>
      <c r="AE2767" t="s">
        <v>1532</v>
      </c>
      <c r="AF2767" t="s">
        <v>2783</v>
      </c>
      <c r="AG2767" t="s">
        <v>9097</v>
      </c>
      <c r="AH2767" t="s">
        <v>9215</v>
      </c>
      <c r="AI2767" t="s">
        <v>8832</v>
      </c>
      <c r="AJ2767" t="s">
        <v>13366</v>
      </c>
      <c r="AK2767" t="s">
        <v>25493</v>
      </c>
      <c r="AL2767">
        <v>0.89</v>
      </c>
      <c r="AM2767">
        <v>0.89</v>
      </c>
      <c r="AN2767">
        <v>0.4</v>
      </c>
      <c r="AO2767" t="s">
        <v>1505</v>
      </c>
      <c r="AP2767" t="s">
        <v>5348</v>
      </c>
      <c r="AQ2767" t="s">
        <v>3065</v>
      </c>
      <c r="AR2767" t="s">
        <v>5058</v>
      </c>
      <c r="AS2767" t="s">
        <v>4267</v>
      </c>
      <c r="AT2767" t="s">
        <v>2723</v>
      </c>
      <c r="AU2767" t="s">
        <v>7332</v>
      </c>
      <c r="AV2767" t="s">
        <v>3921</v>
      </c>
      <c r="AW2767" t="s">
        <v>11348</v>
      </c>
      <c r="AX2767" t="s">
        <v>3435</v>
      </c>
      <c r="AY2767" t="s">
        <v>11348</v>
      </c>
      <c r="AZ2767" t="s">
        <v>24101</v>
      </c>
      <c r="BA2767">
        <v>2</v>
      </c>
      <c r="BB2767">
        <v>1107.68</v>
      </c>
      <c r="BC2767">
        <v>0.27</v>
      </c>
      <c r="BD2767">
        <v>202.71</v>
      </c>
      <c r="BE2767">
        <v>203.64</v>
      </c>
      <c r="BF2767">
        <v>202.43</v>
      </c>
      <c r="BG2767" t="s">
        <v>25494</v>
      </c>
      <c r="BH2767" t="s">
        <v>11348</v>
      </c>
      <c r="BI2767" t="s">
        <v>25495</v>
      </c>
      <c r="BJ2767" t="s">
        <v>101</v>
      </c>
      <c r="BK2767" t="s">
        <v>2812</v>
      </c>
      <c r="BL2767" t="s">
        <v>3255</v>
      </c>
      <c r="BM2767" t="s">
        <v>14993</v>
      </c>
      <c r="BN2767" t="s">
        <v>23454</v>
      </c>
    </row>
    <row r="2768" spans="1:66" x14ac:dyDescent="0.25">
      <c r="A2768" t="str">
        <f>HYPERLINK("https://elite.finviz.com/quote.ashx?t=MTCH&amp;ty=c&amp;p=d&amp;b=1", "MTCH")</f>
        <v>MTCH</v>
      </c>
      <c r="B2768">
        <v>5</v>
      </c>
      <c r="C2768">
        <v>116.22</v>
      </c>
      <c r="D2768">
        <v>41.25</v>
      </c>
      <c r="E2768" t="s">
        <v>25496</v>
      </c>
      <c r="F2768" t="s">
        <v>195</v>
      </c>
      <c r="G2768" t="s">
        <v>598</v>
      </c>
      <c r="H2768" t="s">
        <v>599</v>
      </c>
      <c r="I2768" t="s">
        <v>70</v>
      </c>
      <c r="J2768" t="s">
        <v>321</v>
      </c>
      <c r="K2768">
        <v>8633.5</v>
      </c>
      <c r="L2768">
        <v>35.880000000000003</v>
      </c>
      <c r="M2768" t="s">
        <v>3598</v>
      </c>
      <c r="N2768">
        <v>395062</v>
      </c>
      <c r="O2768">
        <v>17.670000000000002</v>
      </c>
      <c r="P2768">
        <v>13.19</v>
      </c>
      <c r="Q2768">
        <v>1.02</v>
      </c>
      <c r="R2768">
        <v>2.5</v>
      </c>
      <c r="T2768" t="s">
        <v>4946</v>
      </c>
      <c r="U2768">
        <v>0.56999999999999995</v>
      </c>
      <c r="V2768" t="s">
        <v>4105</v>
      </c>
      <c r="Z2768" t="s">
        <v>684</v>
      </c>
      <c r="AA2768">
        <v>2.0299999999999998</v>
      </c>
      <c r="AB2768" t="s">
        <v>7006</v>
      </c>
      <c r="AC2768" t="s">
        <v>8932</v>
      </c>
      <c r="AD2768" t="s">
        <v>9972</v>
      </c>
      <c r="AE2768" t="s">
        <v>7270</v>
      </c>
      <c r="AF2768" t="s">
        <v>3981</v>
      </c>
      <c r="AG2768" t="s">
        <v>5865</v>
      </c>
      <c r="AH2768" t="s">
        <v>3227</v>
      </c>
      <c r="AI2768" t="s">
        <v>164</v>
      </c>
      <c r="AJ2768" t="s">
        <v>307</v>
      </c>
      <c r="AK2768" t="s">
        <v>20885</v>
      </c>
      <c r="AL2768">
        <v>0.7</v>
      </c>
      <c r="AM2768">
        <v>0.7</v>
      </c>
      <c r="AO2768" t="s">
        <v>19183</v>
      </c>
      <c r="AP2768" t="s">
        <v>1267</v>
      </c>
      <c r="AQ2768" t="s">
        <v>6875</v>
      </c>
      <c r="AR2768" t="s">
        <v>1769</v>
      </c>
      <c r="AS2768" t="s">
        <v>352</v>
      </c>
      <c r="AT2768" t="s">
        <v>6080</v>
      </c>
      <c r="AU2768" t="s">
        <v>5879</v>
      </c>
      <c r="AV2768" t="s">
        <v>3305</v>
      </c>
      <c r="AW2768" t="s">
        <v>5354</v>
      </c>
      <c r="AX2768" t="s">
        <v>2629</v>
      </c>
      <c r="AY2768" t="s">
        <v>5354</v>
      </c>
      <c r="AZ2768" t="s">
        <v>13030</v>
      </c>
      <c r="BA2768">
        <v>2.39</v>
      </c>
      <c r="BB2768">
        <v>4223.7700000000004</v>
      </c>
      <c r="BC2768">
        <v>0.33</v>
      </c>
      <c r="BD2768">
        <v>35.89</v>
      </c>
      <c r="BE2768">
        <v>36.04</v>
      </c>
      <c r="BF2768">
        <v>35.75</v>
      </c>
      <c r="BG2768" t="s">
        <v>25497</v>
      </c>
      <c r="BH2768" t="s">
        <v>24594</v>
      </c>
      <c r="BI2768" t="s">
        <v>25498</v>
      </c>
      <c r="BJ2768" t="s">
        <v>101</v>
      </c>
      <c r="BK2768" t="s">
        <v>5060</v>
      </c>
      <c r="BL2768" t="s">
        <v>3751</v>
      </c>
      <c r="BM2768" t="s">
        <v>7689</v>
      </c>
      <c r="BN2768" t="s">
        <v>23454</v>
      </c>
    </row>
    <row r="2769" spans="1:66" x14ac:dyDescent="0.25">
      <c r="A2769" t="str">
        <f>HYPERLINK("https://elite.finviz.com/quote.ashx?t=TTAN&amp;ty=c&amp;p=d&amp;b=1", "TTAN")</f>
        <v>TTAN</v>
      </c>
      <c r="B2769">
        <v>5</v>
      </c>
      <c r="C2769">
        <v>116.22</v>
      </c>
      <c r="D2769">
        <v>41.26</v>
      </c>
      <c r="E2769" t="s">
        <v>25499</v>
      </c>
      <c r="F2769" t="s">
        <v>107</v>
      </c>
      <c r="G2769" t="s">
        <v>108</v>
      </c>
      <c r="H2769" t="s">
        <v>136</v>
      </c>
      <c r="I2769" t="s">
        <v>70</v>
      </c>
      <c r="J2769" t="s">
        <v>321</v>
      </c>
      <c r="K2769">
        <v>9637.3700000000008</v>
      </c>
      <c r="L2769">
        <v>103.68</v>
      </c>
      <c r="M2769" t="s">
        <v>183</v>
      </c>
      <c r="N2769">
        <v>125981</v>
      </c>
      <c r="P2769">
        <v>109.65</v>
      </c>
      <c r="R2769">
        <v>11.12</v>
      </c>
      <c r="S2769">
        <v>6.46</v>
      </c>
      <c r="AA2769">
        <v>-3.54</v>
      </c>
      <c r="AB2769" t="s">
        <v>10968</v>
      </c>
      <c r="AD2769" t="s">
        <v>25500</v>
      </c>
      <c r="AE2769" t="s">
        <v>6446</v>
      </c>
      <c r="AF2769" t="s">
        <v>14969</v>
      </c>
      <c r="AH2769" t="s">
        <v>23658</v>
      </c>
      <c r="AI2769" t="s">
        <v>719</v>
      </c>
      <c r="AJ2769" t="s">
        <v>7621</v>
      </c>
      <c r="AK2769" t="s">
        <v>13937</v>
      </c>
      <c r="AL2769">
        <v>4.4000000000000004</v>
      </c>
      <c r="AM2769">
        <v>4.4000000000000004</v>
      </c>
      <c r="AN2769">
        <v>0.11</v>
      </c>
      <c r="AO2769" t="s">
        <v>6031</v>
      </c>
      <c r="AP2769" t="s">
        <v>1301</v>
      </c>
      <c r="AQ2769" t="s">
        <v>4998</v>
      </c>
      <c r="AR2769" t="s">
        <v>2810</v>
      </c>
      <c r="AS2769" t="s">
        <v>122</v>
      </c>
      <c r="AT2769" t="s">
        <v>3085</v>
      </c>
      <c r="AU2769" t="s">
        <v>3140</v>
      </c>
      <c r="AV2769" t="s">
        <v>10819</v>
      </c>
      <c r="AW2769" t="s">
        <v>17165</v>
      </c>
      <c r="AX2769" t="s">
        <v>2772</v>
      </c>
      <c r="AY2769" t="s">
        <v>14407</v>
      </c>
      <c r="AZ2769" t="s">
        <v>12335</v>
      </c>
      <c r="BA2769">
        <v>1.65</v>
      </c>
      <c r="BB2769">
        <v>1211.6199999999999</v>
      </c>
      <c r="BC2769">
        <v>0.37</v>
      </c>
      <c r="BD2769">
        <v>103.53</v>
      </c>
      <c r="BE2769">
        <v>106.31</v>
      </c>
      <c r="BF2769">
        <v>102.7</v>
      </c>
      <c r="BG2769" t="s">
        <v>25501</v>
      </c>
      <c r="BH2769" t="s">
        <v>14407</v>
      </c>
      <c r="BI2769" t="s">
        <v>12335</v>
      </c>
      <c r="BJ2769" t="s">
        <v>101</v>
      </c>
      <c r="BK2769" t="s">
        <v>12014</v>
      </c>
      <c r="BL2769" t="s">
        <v>7567</v>
      </c>
      <c r="BN2769" t="s">
        <v>23454</v>
      </c>
    </row>
    <row r="2770" spans="1:66" x14ac:dyDescent="0.25">
      <c r="A2770" t="str">
        <f>HYPERLINK("https://elite.finviz.com/quote.ashx?t=MRKR&amp;ty=c&amp;p=d&amp;b=1", "MRKR")</f>
        <v>MRKR</v>
      </c>
      <c r="B2770">
        <v>5</v>
      </c>
      <c r="C2770">
        <v>116.22</v>
      </c>
      <c r="D2770">
        <v>41.31</v>
      </c>
      <c r="E2770" t="s">
        <v>25502</v>
      </c>
      <c r="F2770" t="s">
        <v>107</v>
      </c>
      <c r="G2770" t="s">
        <v>428</v>
      </c>
      <c r="H2770" t="s">
        <v>429</v>
      </c>
      <c r="I2770" t="s">
        <v>70</v>
      </c>
      <c r="J2770" t="s">
        <v>321</v>
      </c>
      <c r="K2770">
        <v>11.61</v>
      </c>
      <c r="L2770">
        <v>0.9</v>
      </c>
      <c r="M2770" t="s">
        <v>2201</v>
      </c>
      <c r="N2770">
        <v>234205</v>
      </c>
      <c r="R2770">
        <v>2.15</v>
      </c>
      <c r="S2770">
        <v>0.97</v>
      </c>
      <c r="AA2770">
        <v>-1.37</v>
      </c>
      <c r="AB2770" t="s">
        <v>7919</v>
      </c>
      <c r="AC2770" t="s">
        <v>7659</v>
      </c>
      <c r="AD2770" t="s">
        <v>7854</v>
      </c>
      <c r="AE2770" t="s">
        <v>6609</v>
      </c>
      <c r="AF2770" t="s">
        <v>20437</v>
      </c>
      <c r="AG2770" t="s">
        <v>9901</v>
      </c>
      <c r="AH2770" t="s">
        <v>8596</v>
      </c>
      <c r="AI2770" t="s">
        <v>8063</v>
      </c>
      <c r="AJ2770" t="s">
        <v>164</v>
      </c>
      <c r="AK2770" t="s">
        <v>801</v>
      </c>
      <c r="AL2770">
        <v>3.45</v>
      </c>
      <c r="AM2770">
        <v>3.45</v>
      </c>
      <c r="AN2770">
        <v>0</v>
      </c>
      <c r="AP2770" t="s">
        <v>25503</v>
      </c>
      <c r="AQ2770" t="s">
        <v>25504</v>
      </c>
      <c r="AR2770" t="s">
        <v>3229</v>
      </c>
      <c r="AS2770" t="s">
        <v>11494</v>
      </c>
      <c r="AT2770" t="s">
        <v>7039</v>
      </c>
      <c r="AU2770" t="s">
        <v>25505</v>
      </c>
      <c r="AV2770" t="s">
        <v>25506</v>
      </c>
      <c r="AW2770" t="s">
        <v>25507</v>
      </c>
      <c r="AX2770" t="s">
        <v>8319</v>
      </c>
      <c r="AY2770" t="s">
        <v>25508</v>
      </c>
      <c r="AZ2770" t="s">
        <v>8319</v>
      </c>
      <c r="BA2770">
        <v>1</v>
      </c>
      <c r="BB2770">
        <v>1988.23</v>
      </c>
      <c r="BC2770">
        <v>0.42</v>
      </c>
      <c r="BD2770">
        <v>0.88</v>
      </c>
      <c r="BE2770">
        <v>0.9</v>
      </c>
      <c r="BF2770">
        <v>0.87</v>
      </c>
      <c r="BG2770" t="s">
        <v>25509</v>
      </c>
      <c r="BH2770" t="s">
        <v>579</v>
      </c>
      <c r="BI2770" t="s">
        <v>14187</v>
      </c>
      <c r="BJ2770" t="s">
        <v>101</v>
      </c>
      <c r="BK2770" t="s">
        <v>25510</v>
      </c>
      <c r="BL2770" t="s">
        <v>2830</v>
      </c>
      <c r="BM2770" t="s">
        <v>25511</v>
      </c>
      <c r="BN2770" t="s">
        <v>23454</v>
      </c>
    </row>
    <row r="2771" spans="1:66" x14ac:dyDescent="0.25">
      <c r="A2771" t="str">
        <f>HYPERLINK("https://elite.finviz.com/quote.ashx?t=STAG&amp;ty=c&amp;p=d&amp;b=1", "STAG")</f>
        <v>STAG</v>
      </c>
      <c r="B2771">
        <v>5</v>
      </c>
      <c r="C2771">
        <v>116.22</v>
      </c>
      <c r="D2771">
        <v>41.33</v>
      </c>
      <c r="E2771" t="s">
        <v>25512</v>
      </c>
      <c r="F2771" t="s">
        <v>107</v>
      </c>
      <c r="G2771" t="s">
        <v>68</v>
      </c>
      <c r="H2771" t="s">
        <v>6342</v>
      </c>
      <c r="I2771" t="s">
        <v>70</v>
      </c>
      <c r="J2771" t="s">
        <v>71</v>
      </c>
      <c r="K2771">
        <v>6626.05</v>
      </c>
      <c r="L2771">
        <v>34.76</v>
      </c>
      <c r="M2771" t="s">
        <v>3047</v>
      </c>
      <c r="N2771">
        <v>205067</v>
      </c>
      <c r="O2771">
        <v>27.51</v>
      </c>
      <c r="P2771">
        <v>37.53</v>
      </c>
      <c r="Q2771">
        <v>15.72</v>
      </c>
      <c r="R2771">
        <v>8.25</v>
      </c>
      <c r="S2771">
        <v>1.88</v>
      </c>
      <c r="T2771" t="s">
        <v>3025</v>
      </c>
      <c r="U2771">
        <v>1.45</v>
      </c>
      <c r="V2771" t="s">
        <v>198</v>
      </c>
      <c r="W2771" t="s">
        <v>5253</v>
      </c>
      <c r="X2771" t="s">
        <v>5253</v>
      </c>
      <c r="Y2771" t="s">
        <v>8179</v>
      </c>
      <c r="Z2771" t="s">
        <v>21535</v>
      </c>
      <c r="AA2771">
        <v>1.26</v>
      </c>
      <c r="AB2771" t="s">
        <v>799</v>
      </c>
      <c r="AC2771" t="s">
        <v>8082</v>
      </c>
      <c r="AD2771" t="s">
        <v>4946</v>
      </c>
      <c r="AE2771" t="s">
        <v>2053</v>
      </c>
      <c r="AF2771" t="s">
        <v>9108</v>
      </c>
      <c r="AG2771" t="s">
        <v>1253</v>
      </c>
      <c r="AH2771" t="s">
        <v>2210</v>
      </c>
      <c r="AI2771" t="s">
        <v>13491</v>
      </c>
      <c r="AJ2771" t="s">
        <v>706</v>
      </c>
      <c r="AK2771" t="s">
        <v>25513</v>
      </c>
      <c r="AL2771">
        <v>0.46</v>
      </c>
      <c r="AM2771">
        <v>0.46</v>
      </c>
      <c r="AN2771">
        <v>0.9</v>
      </c>
      <c r="AO2771" t="s">
        <v>19587</v>
      </c>
      <c r="AP2771" t="s">
        <v>5844</v>
      </c>
      <c r="AQ2771" t="s">
        <v>7450</v>
      </c>
      <c r="AR2771" t="s">
        <v>4280</v>
      </c>
      <c r="AS2771" t="s">
        <v>2720</v>
      </c>
      <c r="AT2771" t="s">
        <v>7742</v>
      </c>
      <c r="AU2771" t="s">
        <v>8293</v>
      </c>
      <c r="AV2771" t="s">
        <v>240</v>
      </c>
      <c r="AW2771" t="s">
        <v>6757</v>
      </c>
      <c r="AX2771" t="s">
        <v>5188</v>
      </c>
      <c r="AY2771" t="s">
        <v>10227</v>
      </c>
      <c r="AZ2771" t="s">
        <v>1990</v>
      </c>
      <c r="BA2771">
        <v>2.36</v>
      </c>
      <c r="BB2771">
        <v>1434.93</v>
      </c>
      <c r="BC2771">
        <v>0.5</v>
      </c>
      <c r="BD2771">
        <v>34.520000000000003</v>
      </c>
      <c r="BE2771">
        <v>34.93</v>
      </c>
      <c r="BF2771">
        <v>34.6</v>
      </c>
      <c r="BG2771" t="s">
        <v>25514</v>
      </c>
      <c r="BH2771" t="s">
        <v>25515</v>
      </c>
      <c r="BI2771" t="s">
        <v>25516</v>
      </c>
      <c r="BJ2771" t="s">
        <v>101</v>
      </c>
      <c r="BK2771" t="s">
        <v>13745</v>
      </c>
      <c r="BL2771" t="s">
        <v>1866</v>
      </c>
      <c r="BM2771" t="s">
        <v>23568</v>
      </c>
      <c r="BN2771" t="s">
        <v>23454</v>
      </c>
    </row>
    <row r="2772" spans="1:66" x14ac:dyDescent="0.25">
      <c r="A2772" t="str">
        <f>HYPERLINK("https://elite.finviz.com/quote.ashx?t=FLS&amp;ty=c&amp;p=d&amp;b=1", "FLS")</f>
        <v>FLS</v>
      </c>
      <c r="B2772">
        <v>5</v>
      </c>
      <c r="C2772">
        <v>116.22</v>
      </c>
      <c r="D2772">
        <v>41.34</v>
      </c>
      <c r="E2772" t="s">
        <v>25517</v>
      </c>
      <c r="F2772" t="s">
        <v>107</v>
      </c>
      <c r="G2772" t="s">
        <v>260</v>
      </c>
      <c r="H2772" t="s">
        <v>261</v>
      </c>
      <c r="I2772" t="s">
        <v>70</v>
      </c>
      <c r="J2772" t="s">
        <v>71</v>
      </c>
      <c r="K2772">
        <v>7015.82</v>
      </c>
      <c r="L2772">
        <v>53.65</v>
      </c>
      <c r="M2772" t="s">
        <v>3598</v>
      </c>
      <c r="N2772">
        <v>367297</v>
      </c>
      <c r="O2772">
        <v>24.32</v>
      </c>
      <c r="P2772">
        <v>14.13</v>
      </c>
      <c r="Q2772">
        <v>1.44</v>
      </c>
      <c r="R2772">
        <v>1.51</v>
      </c>
      <c r="S2772">
        <v>3.15</v>
      </c>
      <c r="T2772" t="s">
        <v>2449</v>
      </c>
      <c r="U2772">
        <v>0.84</v>
      </c>
      <c r="V2772" t="s">
        <v>4741</v>
      </c>
      <c r="W2772" t="s">
        <v>3450</v>
      </c>
      <c r="X2772" t="s">
        <v>3487</v>
      </c>
      <c r="Y2772" t="s">
        <v>6692</v>
      </c>
      <c r="Z2772" t="s">
        <v>25518</v>
      </c>
      <c r="AA2772">
        <v>2.21</v>
      </c>
      <c r="AB2772" t="s">
        <v>17490</v>
      </c>
      <c r="AC2772" t="s">
        <v>4189</v>
      </c>
      <c r="AD2772" t="s">
        <v>7629</v>
      </c>
      <c r="AE2772" t="s">
        <v>5779</v>
      </c>
      <c r="AF2772" t="s">
        <v>2250</v>
      </c>
      <c r="AG2772" t="s">
        <v>7154</v>
      </c>
      <c r="AH2772" t="s">
        <v>648</v>
      </c>
      <c r="AI2772" t="s">
        <v>16733</v>
      </c>
      <c r="AJ2772" t="s">
        <v>7391</v>
      </c>
      <c r="AK2772" t="s">
        <v>25519</v>
      </c>
      <c r="AL2772">
        <v>2.1</v>
      </c>
      <c r="AM2772">
        <v>1.5</v>
      </c>
      <c r="AN2772">
        <v>0.75</v>
      </c>
      <c r="AO2772" t="s">
        <v>13782</v>
      </c>
      <c r="AP2772" t="s">
        <v>4903</v>
      </c>
      <c r="AQ2772" t="s">
        <v>414</v>
      </c>
      <c r="AR2772" t="s">
        <v>2361</v>
      </c>
      <c r="AS2772" t="s">
        <v>6003</v>
      </c>
      <c r="AT2772" t="s">
        <v>2149</v>
      </c>
      <c r="AU2772" t="s">
        <v>5895</v>
      </c>
      <c r="AV2772" t="s">
        <v>3013</v>
      </c>
      <c r="AW2772" t="s">
        <v>1766</v>
      </c>
      <c r="AX2772" t="s">
        <v>8625</v>
      </c>
      <c r="AY2772" t="s">
        <v>12239</v>
      </c>
      <c r="AZ2772" t="s">
        <v>7658</v>
      </c>
      <c r="BA2772">
        <v>1.42</v>
      </c>
      <c r="BB2772">
        <v>2559.77</v>
      </c>
      <c r="BC2772">
        <v>0.51</v>
      </c>
      <c r="BD2772">
        <v>53.66</v>
      </c>
      <c r="BE2772">
        <v>54.2</v>
      </c>
      <c r="BF2772">
        <v>53.51</v>
      </c>
      <c r="BG2772" t="s">
        <v>25520</v>
      </c>
      <c r="BH2772" t="s">
        <v>12231</v>
      </c>
      <c r="BI2772" t="s">
        <v>25521</v>
      </c>
      <c r="BJ2772" t="s">
        <v>101</v>
      </c>
      <c r="BK2772" t="s">
        <v>406</v>
      </c>
      <c r="BL2772" t="s">
        <v>4476</v>
      </c>
      <c r="BM2772" t="s">
        <v>2892</v>
      </c>
      <c r="BN2772" t="s">
        <v>23454</v>
      </c>
    </row>
    <row r="2773" spans="1:66" x14ac:dyDescent="0.25">
      <c r="A2773" t="str">
        <f>HYPERLINK("https://elite.finviz.com/quote.ashx?t=PEP&amp;ty=c&amp;p=d&amp;b=1", "PEP")</f>
        <v>PEP</v>
      </c>
      <c r="B2773">
        <v>5</v>
      </c>
      <c r="C2773">
        <v>116.22</v>
      </c>
      <c r="D2773">
        <v>41.35</v>
      </c>
      <c r="E2773" t="s">
        <v>25522</v>
      </c>
      <c r="F2773" t="s">
        <v>319</v>
      </c>
      <c r="G2773" t="s">
        <v>2244</v>
      </c>
      <c r="H2773" t="s">
        <v>4568</v>
      </c>
      <c r="I2773" t="s">
        <v>70</v>
      </c>
      <c r="J2773" t="s">
        <v>321</v>
      </c>
      <c r="K2773">
        <v>191985.7</v>
      </c>
      <c r="L2773">
        <v>140.22999999999999</v>
      </c>
      <c r="M2773" t="s">
        <v>430</v>
      </c>
      <c r="N2773">
        <v>1159909</v>
      </c>
      <c r="O2773">
        <v>25.57</v>
      </c>
      <c r="P2773">
        <v>16.47</v>
      </c>
      <c r="Q2773">
        <v>7.77</v>
      </c>
      <c r="R2773">
        <v>2.09</v>
      </c>
      <c r="S2773">
        <v>10.43</v>
      </c>
      <c r="T2773" t="s">
        <v>3433</v>
      </c>
      <c r="U2773">
        <v>5.55</v>
      </c>
      <c r="V2773" t="s">
        <v>4548</v>
      </c>
      <c r="W2773" t="s">
        <v>7403</v>
      </c>
      <c r="X2773" t="s">
        <v>10610</v>
      </c>
      <c r="Y2773" t="s">
        <v>2869</v>
      </c>
      <c r="Z2773" t="s">
        <v>632</v>
      </c>
      <c r="AA2773">
        <v>5.49</v>
      </c>
      <c r="AB2773" t="s">
        <v>2848</v>
      </c>
      <c r="AC2773" t="s">
        <v>5152</v>
      </c>
      <c r="AD2773" t="s">
        <v>5593</v>
      </c>
      <c r="AE2773" t="s">
        <v>9925</v>
      </c>
      <c r="AF2773" t="s">
        <v>912</v>
      </c>
      <c r="AG2773" t="s">
        <v>3389</v>
      </c>
      <c r="AH2773" t="s">
        <v>1338</v>
      </c>
      <c r="AI2773" t="s">
        <v>8229</v>
      </c>
      <c r="AJ2773" t="s">
        <v>164</v>
      </c>
      <c r="AK2773" t="s">
        <v>10705</v>
      </c>
      <c r="AL2773">
        <v>0.78</v>
      </c>
      <c r="AM2773">
        <v>0.6</v>
      </c>
      <c r="AN2773">
        <v>2.79</v>
      </c>
      <c r="AO2773" t="s">
        <v>5475</v>
      </c>
      <c r="AP2773" t="s">
        <v>7683</v>
      </c>
      <c r="AQ2773" t="s">
        <v>9204</v>
      </c>
      <c r="AR2773" t="s">
        <v>5116</v>
      </c>
      <c r="AS2773" t="s">
        <v>3757</v>
      </c>
      <c r="AT2773" t="s">
        <v>4155</v>
      </c>
      <c r="AU2773" t="s">
        <v>4408</v>
      </c>
      <c r="AV2773" t="s">
        <v>1444</v>
      </c>
      <c r="AW2773" t="s">
        <v>12908</v>
      </c>
      <c r="AX2773" t="s">
        <v>910</v>
      </c>
      <c r="AY2773" t="s">
        <v>10636</v>
      </c>
      <c r="AZ2773" t="s">
        <v>7698</v>
      </c>
      <c r="BA2773">
        <v>2.54</v>
      </c>
      <c r="BB2773">
        <v>8886.26</v>
      </c>
      <c r="BC2773">
        <v>0.46</v>
      </c>
      <c r="BD2773">
        <v>139.91999999999999</v>
      </c>
      <c r="BE2773">
        <v>140.93</v>
      </c>
      <c r="BF2773">
        <v>139.85</v>
      </c>
      <c r="BG2773" t="s">
        <v>25523</v>
      </c>
      <c r="BH2773" t="s">
        <v>25524</v>
      </c>
      <c r="BI2773" t="s">
        <v>25525</v>
      </c>
      <c r="BJ2773" t="s">
        <v>101</v>
      </c>
      <c r="BK2773" t="s">
        <v>7942</v>
      </c>
      <c r="BL2773" t="s">
        <v>12466</v>
      </c>
      <c r="BM2773" t="s">
        <v>158</v>
      </c>
      <c r="BN2773" t="s">
        <v>23454</v>
      </c>
    </row>
    <row r="2774" spans="1:66" x14ac:dyDescent="0.25">
      <c r="A2774" t="str">
        <f>HYPERLINK("https://elite.finviz.com/quote.ashx?t=ADIL&amp;ty=c&amp;p=d&amp;b=1", "ADIL")</f>
        <v>ADIL</v>
      </c>
      <c r="B2774">
        <v>5</v>
      </c>
      <c r="C2774">
        <v>116.22</v>
      </c>
      <c r="D2774">
        <v>41.37</v>
      </c>
      <c r="E2774" t="s">
        <v>25526</v>
      </c>
      <c r="F2774" t="s">
        <v>107</v>
      </c>
      <c r="G2774" t="s">
        <v>428</v>
      </c>
      <c r="H2774" t="s">
        <v>429</v>
      </c>
      <c r="I2774" t="s">
        <v>70</v>
      </c>
      <c r="J2774" t="s">
        <v>321</v>
      </c>
      <c r="K2774">
        <v>7.53</v>
      </c>
      <c r="L2774">
        <v>0.34</v>
      </c>
      <c r="M2774" t="s">
        <v>1769</v>
      </c>
      <c r="N2774">
        <v>442522</v>
      </c>
      <c r="S2774">
        <v>1.33</v>
      </c>
      <c r="AA2774">
        <v>-1.22</v>
      </c>
      <c r="AB2774" t="s">
        <v>1535</v>
      </c>
      <c r="AC2774" t="s">
        <v>6304</v>
      </c>
      <c r="AD2774" t="s">
        <v>2476</v>
      </c>
      <c r="AI2774" t="s">
        <v>4084</v>
      </c>
      <c r="AJ2774" t="s">
        <v>164</v>
      </c>
      <c r="AK2774" t="s">
        <v>344</v>
      </c>
      <c r="AL2774">
        <v>5.0199999999999996</v>
      </c>
      <c r="AM2774">
        <v>5.0199999999999996</v>
      </c>
      <c r="AN2774">
        <v>0</v>
      </c>
      <c r="AR2774" t="s">
        <v>1449</v>
      </c>
      <c r="AS2774" t="s">
        <v>2542</v>
      </c>
      <c r="AT2774" t="s">
        <v>4431</v>
      </c>
      <c r="AU2774" t="s">
        <v>7212</v>
      </c>
      <c r="AV2774" t="s">
        <v>21648</v>
      </c>
      <c r="AW2774" t="s">
        <v>25527</v>
      </c>
      <c r="AX2774" t="s">
        <v>5122</v>
      </c>
      <c r="AY2774" t="s">
        <v>6818</v>
      </c>
      <c r="AZ2774" t="s">
        <v>18714</v>
      </c>
      <c r="BA2774">
        <v>1.67</v>
      </c>
      <c r="BB2774">
        <v>6822.75</v>
      </c>
      <c r="BC2774">
        <v>0.23</v>
      </c>
      <c r="BD2774">
        <v>0.33</v>
      </c>
      <c r="BE2774">
        <v>0.36</v>
      </c>
      <c r="BF2774">
        <v>0.33</v>
      </c>
      <c r="BG2774" t="s">
        <v>25528</v>
      </c>
      <c r="BH2774" t="s">
        <v>1432</v>
      </c>
      <c r="BI2774" t="s">
        <v>18714</v>
      </c>
      <c r="BJ2774" t="s">
        <v>101</v>
      </c>
      <c r="BK2774" t="s">
        <v>6937</v>
      </c>
      <c r="BL2774" t="s">
        <v>15040</v>
      </c>
      <c r="BM2774" t="s">
        <v>25529</v>
      </c>
      <c r="BN2774" t="s">
        <v>23454</v>
      </c>
    </row>
    <row r="2775" spans="1:66" x14ac:dyDescent="0.25">
      <c r="A2775" t="str">
        <f>HYPERLINK("https://elite.finviz.com/quote.ashx?t=FIGS&amp;ty=c&amp;p=d&amp;b=1", "FIGS")</f>
        <v>FIGS</v>
      </c>
      <c r="B2775">
        <v>5</v>
      </c>
      <c r="C2775">
        <v>116.22</v>
      </c>
      <c r="D2775">
        <v>41.41</v>
      </c>
      <c r="E2775" t="s">
        <v>25530</v>
      </c>
      <c r="F2775" t="s">
        <v>67</v>
      </c>
      <c r="G2775" t="s">
        <v>813</v>
      </c>
      <c r="H2775" t="s">
        <v>7446</v>
      </c>
      <c r="I2775" t="s">
        <v>70</v>
      </c>
      <c r="J2775" t="s">
        <v>71</v>
      </c>
      <c r="K2775">
        <v>1068.78</v>
      </c>
      <c r="L2775">
        <v>6.55</v>
      </c>
      <c r="M2775" t="s">
        <v>1364</v>
      </c>
      <c r="N2775">
        <v>277080</v>
      </c>
      <c r="O2775">
        <v>159.66</v>
      </c>
      <c r="P2775">
        <v>81.83</v>
      </c>
      <c r="Q2775">
        <v>1.76</v>
      </c>
      <c r="R2775">
        <v>1.88</v>
      </c>
      <c r="S2775">
        <v>2.69</v>
      </c>
      <c r="Z2775" t="s">
        <v>164</v>
      </c>
      <c r="AA2775">
        <v>0.04</v>
      </c>
      <c r="AC2775" t="s">
        <v>3730</v>
      </c>
      <c r="AD2775" t="s">
        <v>17103</v>
      </c>
      <c r="AE2775" t="s">
        <v>4495</v>
      </c>
      <c r="AF2775" t="s">
        <v>9342</v>
      </c>
      <c r="AG2775" t="s">
        <v>25531</v>
      </c>
      <c r="AH2775" t="s">
        <v>2581</v>
      </c>
      <c r="AI2775" t="s">
        <v>25532</v>
      </c>
      <c r="AJ2775" t="s">
        <v>7568</v>
      </c>
      <c r="AK2775" t="s">
        <v>25031</v>
      </c>
      <c r="AL2775">
        <v>5.0199999999999996</v>
      </c>
      <c r="AM2775">
        <v>3.29</v>
      </c>
      <c r="AN2775">
        <v>0.13</v>
      </c>
      <c r="AO2775" t="s">
        <v>15727</v>
      </c>
      <c r="AP2775" t="s">
        <v>4946</v>
      </c>
      <c r="AQ2775" t="s">
        <v>80</v>
      </c>
      <c r="AR2775" t="s">
        <v>169</v>
      </c>
      <c r="AS2775" t="s">
        <v>2484</v>
      </c>
      <c r="AT2775" t="s">
        <v>2220</v>
      </c>
      <c r="AU2775" t="s">
        <v>4168</v>
      </c>
      <c r="AV2775" t="s">
        <v>9460</v>
      </c>
      <c r="AW2775" t="s">
        <v>25533</v>
      </c>
      <c r="AX2775" t="s">
        <v>5676</v>
      </c>
      <c r="AY2775" t="s">
        <v>25533</v>
      </c>
      <c r="AZ2775" t="s">
        <v>25534</v>
      </c>
      <c r="BA2775">
        <v>3.1</v>
      </c>
      <c r="BB2775">
        <v>2125.67</v>
      </c>
      <c r="BC2775">
        <v>0.46</v>
      </c>
      <c r="BD2775">
        <v>6.57</v>
      </c>
      <c r="BE2775">
        <v>6.62</v>
      </c>
      <c r="BF2775">
        <v>6.53</v>
      </c>
      <c r="BG2775" t="s">
        <v>25535</v>
      </c>
      <c r="BH2775" t="s">
        <v>24598</v>
      </c>
      <c r="BI2775" t="s">
        <v>25534</v>
      </c>
      <c r="BJ2775" t="s">
        <v>101</v>
      </c>
      <c r="BK2775" t="s">
        <v>2656</v>
      </c>
      <c r="BL2775" t="s">
        <v>2297</v>
      </c>
      <c r="BM2775" t="s">
        <v>5692</v>
      </c>
      <c r="BN2775" t="s">
        <v>23454</v>
      </c>
    </row>
    <row r="2776" spans="1:66" x14ac:dyDescent="0.25">
      <c r="A2776" t="str">
        <f>HYPERLINK("https://elite.finviz.com/quote.ashx?t=DOW&amp;ty=c&amp;p=d&amp;b=1", "DOW")</f>
        <v>DOW</v>
      </c>
      <c r="B2776">
        <v>5</v>
      </c>
      <c r="C2776">
        <v>116.22</v>
      </c>
      <c r="D2776">
        <v>41.41</v>
      </c>
      <c r="E2776" t="s">
        <v>25536</v>
      </c>
      <c r="F2776" t="s">
        <v>195</v>
      </c>
      <c r="G2776" t="s">
        <v>355</v>
      </c>
      <c r="H2776" t="s">
        <v>5130</v>
      </c>
      <c r="I2776" t="s">
        <v>70</v>
      </c>
      <c r="J2776" t="s">
        <v>71</v>
      </c>
      <c r="K2776">
        <v>16158.1</v>
      </c>
      <c r="L2776">
        <v>22.8</v>
      </c>
      <c r="M2776" t="s">
        <v>4976</v>
      </c>
      <c r="N2776">
        <v>3447088</v>
      </c>
      <c r="P2776">
        <v>199.62</v>
      </c>
      <c r="R2776">
        <v>0.39</v>
      </c>
      <c r="S2776">
        <v>0.94</v>
      </c>
      <c r="T2776" t="s">
        <v>1960</v>
      </c>
      <c r="U2776">
        <v>2.4500000000000002</v>
      </c>
      <c r="V2776" t="s">
        <v>4882</v>
      </c>
      <c r="W2776" t="s">
        <v>164</v>
      </c>
      <c r="X2776" t="s">
        <v>164</v>
      </c>
      <c r="Y2776" t="s">
        <v>351</v>
      </c>
      <c r="Z2776" t="s">
        <v>25537</v>
      </c>
      <c r="AA2776">
        <v>-1.4</v>
      </c>
      <c r="AB2776" t="s">
        <v>12665</v>
      </c>
      <c r="AD2776" t="s">
        <v>601</v>
      </c>
      <c r="AE2776" t="s">
        <v>4113</v>
      </c>
      <c r="AF2776" t="s">
        <v>4841</v>
      </c>
      <c r="AG2776" t="s">
        <v>406</v>
      </c>
      <c r="AH2776" t="s">
        <v>5703</v>
      </c>
      <c r="AI2776" t="s">
        <v>25538</v>
      </c>
      <c r="AJ2776" t="s">
        <v>164</v>
      </c>
      <c r="AK2776" t="s">
        <v>18178</v>
      </c>
      <c r="AL2776">
        <v>1.69</v>
      </c>
      <c r="AM2776">
        <v>1.05</v>
      </c>
      <c r="AN2776">
        <v>1.05</v>
      </c>
      <c r="AO2776" t="s">
        <v>2816</v>
      </c>
      <c r="AP2776" t="s">
        <v>2307</v>
      </c>
      <c r="AQ2776" t="s">
        <v>10819</v>
      </c>
      <c r="AR2776" t="s">
        <v>295</v>
      </c>
      <c r="AS2776" t="s">
        <v>2764</v>
      </c>
      <c r="AT2776" t="s">
        <v>5742</v>
      </c>
      <c r="AU2776" t="s">
        <v>3232</v>
      </c>
      <c r="AV2776" t="s">
        <v>2749</v>
      </c>
      <c r="AW2776" t="s">
        <v>11825</v>
      </c>
      <c r="AX2776" t="s">
        <v>1206</v>
      </c>
      <c r="AY2776" t="s">
        <v>25539</v>
      </c>
      <c r="AZ2776" t="s">
        <v>1206</v>
      </c>
      <c r="BA2776">
        <v>2.8</v>
      </c>
      <c r="BB2776">
        <v>15139.73</v>
      </c>
      <c r="BC2776">
        <v>0.8</v>
      </c>
      <c r="BD2776">
        <v>22.2</v>
      </c>
      <c r="BE2776">
        <v>23.15</v>
      </c>
      <c r="BF2776">
        <v>22.34</v>
      </c>
      <c r="BG2776" t="s">
        <v>25540</v>
      </c>
      <c r="BH2776" t="s">
        <v>25541</v>
      </c>
      <c r="BI2776" t="s">
        <v>1206</v>
      </c>
      <c r="BJ2776" t="s">
        <v>101</v>
      </c>
      <c r="BK2776" t="s">
        <v>6734</v>
      </c>
      <c r="BL2776" t="s">
        <v>8969</v>
      </c>
      <c r="BM2776" t="s">
        <v>25542</v>
      </c>
      <c r="BN2776" t="s">
        <v>23454</v>
      </c>
    </row>
    <row r="2777" spans="1:66" x14ac:dyDescent="0.25">
      <c r="A2777" t="str">
        <f>HYPERLINK("https://elite.finviz.com/quote.ashx?t=ISRG&amp;ty=c&amp;p=d&amp;b=1", "ISRG")</f>
        <v>ISRG</v>
      </c>
      <c r="B2777">
        <v>5</v>
      </c>
      <c r="C2777">
        <v>116.22</v>
      </c>
      <c r="D2777">
        <v>41.44</v>
      </c>
      <c r="E2777" t="s">
        <v>25543</v>
      </c>
      <c r="F2777" t="s">
        <v>319</v>
      </c>
      <c r="G2777" t="s">
        <v>428</v>
      </c>
      <c r="H2777" t="s">
        <v>2161</v>
      </c>
      <c r="I2777" t="s">
        <v>70</v>
      </c>
      <c r="J2777" t="s">
        <v>321</v>
      </c>
      <c r="K2777">
        <v>158489.63</v>
      </c>
      <c r="L2777">
        <v>442.12</v>
      </c>
      <c r="M2777" t="s">
        <v>3344</v>
      </c>
      <c r="N2777">
        <v>572214</v>
      </c>
      <c r="O2777">
        <v>61.7</v>
      </c>
      <c r="P2777">
        <v>47.74</v>
      </c>
      <c r="Q2777">
        <v>4.53</v>
      </c>
      <c r="R2777">
        <v>17.329999999999998</v>
      </c>
      <c r="S2777">
        <v>8.8800000000000008</v>
      </c>
      <c r="Z2777" t="s">
        <v>164</v>
      </c>
      <c r="AA2777">
        <v>7.17</v>
      </c>
      <c r="AB2777" t="s">
        <v>2933</v>
      </c>
      <c r="AC2777" t="s">
        <v>6810</v>
      </c>
      <c r="AD2777" t="s">
        <v>6087</v>
      </c>
      <c r="AE2777" t="s">
        <v>12784</v>
      </c>
      <c r="AF2777" t="s">
        <v>9614</v>
      </c>
      <c r="AG2777" t="s">
        <v>6946</v>
      </c>
      <c r="AH2777" t="s">
        <v>13872</v>
      </c>
      <c r="AI2777" t="s">
        <v>7727</v>
      </c>
      <c r="AJ2777" t="s">
        <v>14569</v>
      </c>
      <c r="AK2777" t="s">
        <v>25544</v>
      </c>
      <c r="AL2777">
        <v>5.17</v>
      </c>
      <c r="AM2777">
        <v>4.18</v>
      </c>
      <c r="AN2777">
        <v>0</v>
      </c>
      <c r="AO2777" t="s">
        <v>25545</v>
      </c>
      <c r="AP2777" t="s">
        <v>10391</v>
      </c>
      <c r="AQ2777" t="s">
        <v>4524</v>
      </c>
      <c r="AR2777" t="s">
        <v>3856</v>
      </c>
      <c r="AS2777" t="s">
        <v>179</v>
      </c>
      <c r="AT2777" t="s">
        <v>7039</v>
      </c>
      <c r="AU2777" t="s">
        <v>8156</v>
      </c>
      <c r="AV2777" t="s">
        <v>10404</v>
      </c>
      <c r="AW2777" t="s">
        <v>5410</v>
      </c>
      <c r="AX2777" t="s">
        <v>2892</v>
      </c>
      <c r="AY2777" t="s">
        <v>3139</v>
      </c>
      <c r="AZ2777" t="s">
        <v>926</v>
      </c>
      <c r="BA2777">
        <v>1.88</v>
      </c>
      <c r="BB2777">
        <v>2159.85</v>
      </c>
      <c r="BC2777">
        <v>0.93</v>
      </c>
      <c r="BD2777">
        <v>438.12</v>
      </c>
      <c r="BE2777">
        <v>443.45</v>
      </c>
      <c r="BF2777">
        <v>435.94</v>
      </c>
      <c r="BG2777" t="s">
        <v>25546</v>
      </c>
      <c r="BH2777" t="s">
        <v>3139</v>
      </c>
      <c r="BI2777" t="s">
        <v>25547</v>
      </c>
      <c r="BJ2777" t="s">
        <v>101</v>
      </c>
      <c r="BK2777" t="s">
        <v>410</v>
      </c>
      <c r="BL2777" t="s">
        <v>11993</v>
      </c>
      <c r="BM2777" t="s">
        <v>3705</v>
      </c>
      <c r="BN2777" t="s">
        <v>23454</v>
      </c>
    </row>
    <row r="2778" spans="1:66" x14ac:dyDescent="0.25">
      <c r="A2778" t="str">
        <f>HYPERLINK("https://elite.finviz.com/quote.ashx?t=VLTO&amp;ty=c&amp;p=d&amp;b=1", "VLTO")</f>
        <v>VLTO</v>
      </c>
      <c r="B2778">
        <v>5</v>
      </c>
      <c r="C2778">
        <v>116.22</v>
      </c>
      <c r="D2778">
        <v>41.45</v>
      </c>
      <c r="E2778" t="s">
        <v>25548</v>
      </c>
      <c r="F2778" t="s">
        <v>195</v>
      </c>
      <c r="G2778" t="s">
        <v>260</v>
      </c>
      <c r="H2778" t="s">
        <v>4347</v>
      </c>
      <c r="I2778" t="s">
        <v>70</v>
      </c>
      <c r="J2778" t="s">
        <v>71</v>
      </c>
      <c r="K2778">
        <v>25929.09</v>
      </c>
      <c r="L2778">
        <v>104.49</v>
      </c>
      <c r="M2778" t="s">
        <v>5242</v>
      </c>
      <c r="N2778">
        <v>269782</v>
      </c>
      <c r="O2778">
        <v>29.26</v>
      </c>
      <c r="P2778">
        <v>25.21</v>
      </c>
      <c r="Q2778">
        <v>3.49</v>
      </c>
      <c r="R2778">
        <v>4.84</v>
      </c>
      <c r="S2778">
        <v>9.77</v>
      </c>
      <c r="T2778" t="s">
        <v>141</v>
      </c>
      <c r="U2778">
        <v>0.42</v>
      </c>
      <c r="V2778" t="s">
        <v>198</v>
      </c>
      <c r="W2778" t="s">
        <v>25549</v>
      </c>
      <c r="Z2778" t="s">
        <v>6923</v>
      </c>
      <c r="AA2778">
        <v>3.57</v>
      </c>
      <c r="AB2778" t="s">
        <v>5070</v>
      </c>
      <c r="AC2778" t="s">
        <v>170</v>
      </c>
      <c r="AD2778" t="s">
        <v>8050</v>
      </c>
      <c r="AE2778" t="s">
        <v>7971</v>
      </c>
      <c r="AF2778" t="s">
        <v>2662</v>
      </c>
      <c r="AG2778" t="s">
        <v>10226</v>
      </c>
      <c r="AH2778" t="s">
        <v>1474</v>
      </c>
      <c r="AI2778" t="s">
        <v>3435</v>
      </c>
      <c r="AJ2778" t="s">
        <v>9731</v>
      </c>
      <c r="AK2778" t="s">
        <v>25550</v>
      </c>
      <c r="AL2778">
        <v>2.3199999999999998</v>
      </c>
      <c r="AM2778">
        <v>2.06</v>
      </c>
      <c r="AN2778">
        <v>1.01</v>
      </c>
      <c r="AO2778" t="s">
        <v>14432</v>
      </c>
      <c r="AP2778" t="s">
        <v>9341</v>
      </c>
      <c r="AQ2778" t="s">
        <v>14743</v>
      </c>
      <c r="AR2778" t="s">
        <v>6990</v>
      </c>
      <c r="AS2778" t="s">
        <v>192</v>
      </c>
      <c r="AT2778" t="s">
        <v>1413</v>
      </c>
      <c r="AU2778" t="s">
        <v>14607</v>
      </c>
      <c r="AV2778" t="s">
        <v>2233</v>
      </c>
      <c r="AW2778" t="s">
        <v>8690</v>
      </c>
      <c r="AX2778" t="s">
        <v>2811</v>
      </c>
      <c r="AY2778" t="s">
        <v>2364</v>
      </c>
      <c r="AZ2778" t="s">
        <v>13820</v>
      </c>
      <c r="BA2778">
        <v>2</v>
      </c>
      <c r="BB2778">
        <v>1218.0899999999999</v>
      </c>
      <c r="BC2778">
        <v>0.78</v>
      </c>
      <c r="BD2778">
        <v>104.49</v>
      </c>
      <c r="BE2778">
        <v>104.77</v>
      </c>
      <c r="BF2778">
        <v>103.82</v>
      </c>
      <c r="BG2778" t="s">
        <v>25551</v>
      </c>
      <c r="BH2778" t="s">
        <v>2364</v>
      </c>
      <c r="BI2778" t="s">
        <v>17637</v>
      </c>
      <c r="BJ2778" t="s">
        <v>101</v>
      </c>
      <c r="BK2778" t="s">
        <v>2662</v>
      </c>
      <c r="BL2778" t="s">
        <v>2823</v>
      </c>
      <c r="BM2778" t="s">
        <v>4101</v>
      </c>
      <c r="BN2778" t="s">
        <v>23454</v>
      </c>
    </row>
    <row r="2779" spans="1:66" x14ac:dyDescent="0.25">
      <c r="A2779" t="str">
        <f>HYPERLINK("https://elite.finviz.com/quote.ashx?t=TMO&amp;ty=c&amp;p=d&amp;b=1", "TMO")</f>
        <v>TMO</v>
      </c>
      <c r="B2779">
        <v>5</v>
      </c>
      <c r="C2779">
        <v>116.22</v>
      </c>
      <c r="D2779">
        <v>41.49</v>
      </c>
      <c r="E2779" t="s">
        <v>25552</v>
      </c>
      <c r="F2779" t="s">
        <v>195</v>
      </c>
      <c r="G2779" t="s">
        <v>428</v>
      </c>
      <c r="H2779" t="s">
        <v>4202</v>
      </c>
      <c r="I2779" t="s">
        <v>70</v>
      </c>
      <c r="J2779" t="s">
        <v>71</v>
      </c>
      <c r="K2779">
        <v>174596.52</v>
      </c>
      <c r="L2779">
        <v>462.37</v>
      </c>
      <c r="M2779" t="s">
        <v>8179</v>
      </c>
      <c r="N2779">
        <v>413181</v>
      </c>
      <c r="O2779">
        <v>26.76</v>
      </c>
      <c r="P2779">
        <v>18.989999999999998</v>
      </c>
      <c r="Q2779">
        <v>3.74</v>
      </c>
      <c r="R2779">
        <v>4.04</v>
      </c>
      <c r="S2779">
        <v>3.46</v>
      </c>
      <c r="T2779" t="s">
        <v>2642</v>
      </c>
      <c r="U2779">
        <v>1.68</v>
      </c>
      <c r="V2779" t="s">
        <v>3833</v>
      </c>
      <c r="W2779" t="s">
        <v>6331</v>
      </c>
      <c r="X2779" t="s">
        <v>5699</v>
      </c>
      <c r="Y2779" t="s">
        <v>849</v>
      </c>
      <c r="Z2779" t="s">
        <v>10114</v>
      </c>
      <c r="AA2779">
        <v>17.28</v>
      </c>
      <c r="AB2779" t="s">
        <v>11445</v>
      </c>
      <c r="AC2779" t="s">
        <v>13198</v>
      </c>
      <c r="AD2779" t="s">
        <v>6420</v>
      </c>
      <c r="AE2779" t="s">
        <v>6151</v>
      </c>
      <c r="AF2779" t="s">
        <v>2735</v>
      </c>
      <c r="AG2779" t="s">
        <v>5551</v>
      </c>
      <c r="AH2779" t="s">
        <v>304</v>
      </c>
      <c r="AI2779" t="s">
        <v>1933</v>
      </c>
      <c r="AJ2779" t="s">
        <v>4404</v>
      </c>
      <c r="AK2779" t="s">
        <v>25553</v>
      </c>
      <c r="AL2779">
        <v>1.93</v>
      </c>
      <c r="AM2779">
        <v>1.5</v>
      </c>
      <c r="AN2779">
        <v>0.7</v>
      </c>
      <c r="AO2779" t="s">
        <v>8750</v>
      </c>
      <c r="AP2779" t="s">
        <v>9865</v>
      </c>
      <c r="AQ2779" t="s">
        <v>2415</v>
      </c>
      <c r="AR2779" t="s">
        <v>6975</v>
      </c>
      <c r="AS2779" t="s">
        <v>4255</v>
      </c>
      <c r="AT2779" t="s">
        <v>8542</v>
      </c>
      <c r="AU2779" t="s">
        <v>11805</v>
      </c>
      <c r="AV2779" t="s">
        <v>5356</v>
      </c>
      <c r="AW2779" t="s">
        <v>2587</v>
      </c>
      <c r="AX2779" t="s">
        <v>4523</v>
      </c>
      <c r="AY2779" t="s">
        <v>6027</v>
      </c>
      <c r="AZ2779" t="s">
        <v>1551</v>
      </c>
      <c r="BA2779">
        <v>1.61</v>
      </c>
      <c r="BB2779">
        <v>2459</v>
      </c>
      <c r="BC2779">
        <v>0.59</v>
      </c>
      <c r="BD2779">
        <v>459.22</v>
      </c>
      <c r="BE2779">
        <v>465.74</v>
      </c>
      <c r="BF2779">
        <v>460.31</v>
      </c>
      <c r="BG2779" t="s">
        <v>25554</v>
      </c>
      <c r="BH2779" t="s">
        <v>15536</v>
      </c>
      <c r="BI2779" t="s">
        <v>25555</v>
      </c>
      <c r="BJ2779" t="s">
        <v>101</v>
      </c>
      <c r="BK2779" t="s">
        <v>8181</v>
      </c>
      <c r="BL2779" t="s">
        <v>12163</v>
      </c>
      <c r="BM2779" t="s">
        <v>23854</v>
      </c>
      <c r="BN2779" t="s">
        <v>23454</v>
      </c>
    </row>
    <row r="2780" spans="1:66" x14ac:dyDescent="0.25">
      <c r="A2780" t="str">
        <f>HYPERLINK("https://elite.finviz.com/quote.ashx?t=XAGE&amp;ty=c&amp;p=d&amp;b=1", "XAGE")</f>
        <v>XAGE</v>
      </c>
      <c r="B2780">
        <v>5</v>
      </c>
      <c r="C2780">
        <v>116.22</v>
      </c>
      <c r="D2780">
        <v>41.56</v>
      </c>
      <c r="E2780" t="s">
        <v>25556</v>
      </c>
      <c r="F2780" t="s">
        <v>107</v>
      </c>
      <c r="G2780" t="s">
        <v>2244</v>
      </c>
      <c r="H2780" t="s">
        <v>5311</v>
      </c>
      <c r="I2780" t="s">
        <v>70</v>
      </c>
      <c r="J2780" t="s">
        <v>321</v>
      </c>
      <c r="K2780">
        <v>4.13</v>
      </c>
      <c r="L2780">
        <v>2.3199999999999998</v>
      </c>
      <c r="M2780" t="s">
        <v>164</v>
      </c>
      <c r="N2780">
        <v>0</v>
      </c>
      <c r="R2780">
        <v>3.93</v>
      </c>
      <c r="AA2780">
        <v>-8.65</v>
      </c>
      <c r="AB2780" t="s">
        <v>25557</v>
      </c>
      <c r="AH2780" t="s">
        <v>25558</v>
      </c>
      <c r="AJ2780" t="s">
        <v>164</v>
      </c>
      <c r="AK2780" t="s">
        <v>4324</v>
      </c>
      <c r="AR2780" t="s">
        <v>6085</v>
      </c>
      <c r="AS2780" t="s">
        <v>12383</v>
      </c>
      <c r="AT2780" t="s">
        <v>2227</v>
      </c>
      <c r="AU2780" t="s">
        <v>866</v>
      </c>
      <c r="AV2780" t="s">
        <v>25559</v>
      </c>
      <c r="AW2780" t="s">
        <v>25560</v>
      </c>
      <c r="AX2780" t="s">
        <v>3687</v>
      </c>
      <c r="AY2780" t="s">
        <v>14255</v>
      </c>
      <c r="AZ2780" t="s">
        <v>3687</v>
      </c>
      <c r="BB2780">
        <v>1786.1</v>
      </c>
      <c r="BC2780">
        <v>0</v>
      </c>
      <c r="BD2780">
        <v>2.3199999999999998</v>
      </c>
      <c r="BE2780">
        <v>2.3199999999999998</v>
      </c>
      <c r="BF2780">
        <v>2.3199999999999998</v>
      </c>
      <c r="BG2780" t="s">
        <v>25561</v>
      </c>
      <c r="BH2780" t="s">
        <v>7802</v>
      </c>
      <c r="BI2780" t="s">
        <v>3687</v>
      </c>
      <c r="BJ2780" t="s">
        <v>101</v>
      </c>
      <c r="BK2780" t="s">
        <v>5596</v>
      </c>
      <c r="BL2780" t="s">
        <v>9696</v>
      </c>
      <c r="BM2780" t="s">
        <v>24251</v>
      </c>
      <c r="BN2780" t="s">
        <v>23454</v>
      </c>
    </row>
    <row r="2781" spans="1:66" x14ac:dyDescent="0.25">
      <c r="A2781" t="str">
        <f>HYPERLINK("https://elite.finviz.com/quote.ashx?t=DFDV&amp;ty=c&amp;p=d&amp;b=1", "DFDV")</f>
        <v>DFDV</v>
      </c>
      <c r="B2781">
        <v>5</v>
      </c>
      <c r="C2781">
        <v>116.22</v>
      </c>
      <c r="D2781">
        <v>41.61</v>
      </c>
      <c r="E2781" t="s">
        <v>25562</v>
      </c>
      <c r="F2781" t="s">
        <v>107</v>
      </c>
      <c r="G2781" t="s">
        <v>108</v>
      </c>
      <c r="H2781" t="s">
        <v>109</v>
      </c>
      <c r="I2781" t="s">
        <v>70</v>
      </c>
      <c r="J2781" t="s">
        <v>321</v>
      </c>
      <c r="K2781">
        <v>375.93</v>
      </c>
      <c r="L2781">
        <v>14.7</v>
      </c>
      <c r="M2781" t="s">
        <v>5159</v>
      </c>
      <c r="N2781">
        <v>674827</v>
      </c>
      <c r="O2781">
        <v>23.59</v>
      </c>
      <c r="R2781">
        <v>106.8</v>
      </c>
      <c r="S2781">
        <v>3.21</v>
      </c>
      <c r="AA2781">
        <v>0.62</v>
      </c>
      <c r="AB2781" t="s">
        <v>16544</v>
      </c>
      <c r="AE2781" t="s">
        <v>25563</v>
      </c>
      <c r="AF2781" t="s">
        <v>2087</v>
      </c>
      <c r="AG2781" t="s">
        <v>2698</v>
      </c>
      <c r="AH2781" t="s">
        <v>25564</v>
      </c>
      <c r="AI2781" t="s">
        <v>164</v>
      </c>
      <c r="AJ2781" t="s">
        <v>786</v>
      </c>
      <c r="AK2781" t="s">
        <v>6607</v>
      </c>
      <c r="AL2781">
        <v>0.92</v>
      </c>
      <c r="AM2781">
        <v>0.92</v>
      </c>
      <c r="AN2781">
        <v>0.27</v>
      </c>
      <c r="AO2781" t="s">
        <v>7641</v>
      </c>
      <c r="AP2781" t="s">
        <v>25565</v>
      </c>
      <c r="AQ2781" t="s">
        <v>25566</v>
      </c>
      <c r="AR2781" t="s">
        <v>5527</v>
      </c>
      <c r="AS2781" t="s">
        <v>418</v>
      </c>
      <c r="AT2781" t="s">
        <v>10517</v>
      </c>
      <c r="AU2781" t="s">
        <v>17752</v>
      </c>
      <c r="AV2781" t="s">
        <v>20116</v>
      </c>
      <c r="AW2781" t="s">
        <v>23291</v>
      </c>
      <c r="AX2781" t="s">
        <v>2230</v>
      </c>
      <c r="AY2781" t="s">
        <v>25567</v>
      </c>
      <c r="AZ2781" t="s">
        <v>25568</v>
      </c>
      <c r="BA2781">
        <v>1</v>
      </c>
      <c r="BB2781">
        <v>2712.42</v>
      </c>
      <c r="BC2781">
        <v>0.88</v>
      </c>
      <c r="BD2781">
        <v>14.94</v>
      </c>
      <c r="BE2781">
        <v>15.18</v>
      </c>
      <c r="BF2781">
        <v>14.87</v>
      </c>
      <c r="BG2781" t="s">
        <v>25569</v>
      </c>
      <c r="BH2781" t="s">
        <v>25567</v>
      </c>
      <c r="BI2781" t="s">
        <v>25570</v>
      </c>
      <c r="BJ2781" t="s">
        <v>101</v>
      </c>
      <c r="BK2781" t="s">
        <v>11786</v>
      </c>
      <c r="BL2781" t="s">
        <v>25571</v>
      </c>
      <c r="BM2781" t="s">
        <v>25572</v>
      </c>
      <c r="BN2781" t="s">
        <v>23454</v>
      </c>
    </row>
    <row r="2782" spans="1:66" x14ac:dyDescent="0.25">
      <c r="A2782" t="str">
        <f>HYPERLINK("https://elite.finviz.com/quote.ashx?t=SBET&amp;ty=c&amp;p=d&amp;b=1", "SBET")</f>
        <v>SBET</v>
      </c>
      <c r="B2782">
        <v>5</v>
      </c>
      <c r="C2782">
        <v>116.22</v>
      </c>
      <c r="D2782">
        <v>41.66</v>
      </c>
      <c r="E2782" t="s">
        <v>25573</v>
      </c>
      <c r="F2782" t="s">
        <v>107</v>
      </c>
      <c r="G2782" t="s">
        <v>813</v>
      </c>
      <c r="H2782" t="s">
        <v>10266</v>
      </c>
      <c r="I2782" t="s">
        <v>70</v>
      </c>
      <c r="J2782" t="s">
        <v>321</v>
      </c>
      <c r="K2782">
        <v>3063.06</v>
      </c>
      <c r="L2782">
        <v>15.78</v>
      </c>
      <c r="M2782" t="s">
        <v>4168</v>
      </c>
      <c r="N2782">
        <v>5762006</v>
      </c>
      <c r="R2782">
        <v>975.5</v>
      </c>
      <c r="S2782">
        <v>2.31</v>
      </c>
      <c r="AA2782">
        <v>-11.72</v>
      </c>
      <c r="AB2782" t="s">
        <v>9876</v>
      </c>
      <c r="AC2782" t="s">
        <v>3316</v>
      </c>
      <c r="AF2782" t="s">
        <v>1675</v>
      </c>
      <c r="AG2782" t="s">
        <v>2252</v>
      </c>
      <c r="AH2782" t="s">
        <v>15780</v>
      </c>
      <c r="AJ2782" t="s">
        <v>2745</v>
      </c>
      <c r="AK2782" t="s">
        <v>6421</v>
      </c>
      <c r="AL2782">
        <v>6.83</v>
      </c>
      <c r="AM2782">
        <v>6.83</v>
      </c>
      <c r="AN2782">
        <v>0</v>
      </c>
      <c r="AO2782" t="s">
        <v>11368</v>
      </c>
      <c r="AP2782" t="s">
        <v>25574</v>
      </c>
      <c r="AQ2782" t="s">
        <v>25575</v>
      </c>
      <c r="AR2782" t="s">
        <v>7150</v>
      </c>
      <c r="AS2782" t="s">
        <v>8054</v>
      </c>
      <c r="AT2782" t="s">
        <v>786</v>
      </c>
      <c r="AU2782" t="s">
        <v>19227</v>
      </c>
      <c r="AV2782" t="s">
        <v>4451</v>
      </c>
      <c r="AW2782" t="s">
        <v>25576</v>
      </c>
      <c r="AX2782" t="s">
        <v>9841</v>
      </c>
      <c r="AY2782" t="s">
        <v>25577</v>
      </c>
      <c r="AZ2782" t="s">
        <v>25578</v>
      </c>
      <c r="BA2782">
        <v>1</v>
      </c>
      <c r="BB2782">
        <v>40621.599999999999</v>
      </c>
      <c r="BC2782">
        <v>0.5</v>
      </c>
      <c r="BD2782">
        <v>16.309999999999999</v>
      </c>
      <c r="BE2782">
        <v>16.52</v>
      </c>
      <c r="BF2782">
        <v>15.67</v>
      </c>
      <c r="BG2782" t="s">
        <v>25579</v>
      </c>
      <c r="BH2782" t="s">
        <v>446</v>
      </c>
      <c r="BI2782" t="s">
        <v>25578</v>
      </c>
      <c r="BJ2782" t="s">
        <v>101</v>
      </c>
      <c r="BK2782" t="s">
        <v>16020</v>
      </c>
      <c r="BL2782" t="s">
        <v>25580</v>
      </c>
      <c r="BM2782" t="s">
        <v>25581</v>
      </c>
      <c r="BN2782" t="s">
        <v>23454</v>
      </c>
    </row>
    <row r="2783" spans="1:66" x14ac:dyDescent="0.25">
      <c r="A2783" t="str">
        <f>HYPERLINK("https://elite.finviz.com/quote.ashx?t=SLQT&amp;ty=c&amp;p=d&amp;b=1", "SLQT")</f>
        <v>SLQT</v>
      </c>
      <c r="B2783">
        <v>5</v>
      </c>
      <c r="C2783">
        <v>116.22</v>
      </c>
      <c r="D2783">
        <v>41.67</v>
      </c>
      <c r="E2783" t="s">
        <v>25582</v>
      </c>
      <c r="F2783" t="s">
        <v>67</v>
      </c>
      <c r="G2783" t="s">
        <v>550</v>
      </c>
      <c r="H2783" t="s">
        <v>10916</v>
      </c>
      <c r="I2783" t="s">
        <v>70</v>
      </c>
      <c r="J2783" t="s">
        <v>71</v>
      </c>
      <c r="K2783">
        <v>339.48</v>
      </c>
      <c r="L2783">
        <v>1.96</v>
      </c>
      <c r="M2783" t="s">
        <v>6659</v>
      </c>
      <c r="N2783">
        <v>149528</v>
      </c>
      <c r="R2783">
        <v>0.22</v>
      </c>
      <c r="S2783">
        <v>0.97</v>
      </c>
      <c r="Z2783" t="s">
        <v>164</v>
      </c>
      <c r="AA2783">
        <v>-0.03</v>
      </c>
      <c r="AE2783" t="s">
        <v>644</v>
      </c>
      <c r="AF2783" t="s">
        <v>1059</v>
      </c>
      <c r="AG2783" t="s">
        <v>3844</v>
      </c>
      <c r="AH2783" t="s">
        <v>2365</v>
      </c>
      <c r="AI2783" t="s">
        <v>25583</v>
      </c>
      <c r="AJ2783" t="s">
        <v>164</v>
      </c>
      <c r="AK2783" t="s">
        <v>8126</v>
      </c>
      <c r="AL2783">
        <v>1.6</v>
      </c>
      <c r="AM2783">
        <v>1.6</v>
      </c>
      <c r="AN2783">
        <v>0.73</v>
      </c>
      <c r="AO2783" t="s">
        <v>682</v>
      </c>
      <c r="AP2783" t="s">
        <v>7685</v>
      </c>
      <c r="AQ2783" t="s">
        <v>3487</v>
      </c>
      <c r="AR2783" t="s">
        <v>3613</v>
      </c>
      <c r="AS2783" t="s">
        <v>3981</v>
      </c>
      <c r="AT2783" t="s">
        <v>1465</v>
      </c>
      <c r="AU2783" t="s">
        <v>4396</v>
      </c>
      <c r="AV2783" t="s">
        <v>25584</v>
      </c>
      <c r="AW2783" t="s">
        <v>25585</v>
      </c>
      <c r="AX2783" t="s">
        <v>139</v>
      </c>
      <c r="AY2783" t="s">
        <v>11268</v>
      </c>
      <c r="AZ2783" t="s">
        <v>510</v>
      </c>
      <c r="BA2783">
        <v>2</v>
      </c>
      <c r="BB2783">
        <v>1650.7</v>
      </c>
      <c r="BC2783">
        <v>0.32</v>
      </c>
      <c r="BD2783">
        <v>2</v>
      </c>
      <c r="BE2783">
        <v>2.02</v>
      </c>
      <c r="BF2783">
        <v>1.96</v>
      </c>
      <c r="BG2783" t="s">
        <v>25586</v>
      </c>
      <c r="BH2783" t="s">
        <v>25587</v>
      </c>
      <c r="BI2783" t="s">
        <v>25588</v>
      </c>
      <c r="BJ2783" t="s">
        <v>101</v>
      </c>
      <c r="BK2783" t="s">
        <v>18389</v>
      </c>
      <c r="BL2783" t="s">
        <v>6910</v>
      </c>
      <c r="BM2783" t="s">
        <v>4559</v>
      </c>
      <c r="BN2783" t="s">
        <v>23454</v>
      </c>
    </row>
    <row r="2784" spans="1:66" x14ac:dyDescent="0.25">
      <c r="A2784" t="str">
        <f>HYPERLINK("https://elite.finviz.com/quote.ashx?t=SNV&amp;ty=c&amp;p=d&amp;b=1", "SNV")</f>
        <v>SNV</v>
      </c>
      <c r="B2784">
        <v>5</v>
      </c>
      <c r="C2784">
        <v>116.22</v>
      </c>
      <c r="D2784">
        <v>41.68</v>
      </c>
      <c r="E2784" t="s">
        <v>25589</v>
      </c>
      <c r="F2784" t="s">
        <v>107</v>
      </c>
      <c r="G2784" t="s">
        <v>550</v>
      </c>
      <c r="H2784" t="s">
        <v>697</v>
      </c>
      <c r="I2784" t="s">
        <v>70</v>
      </c>
      <c r="J2784" t="s">
        <v>71</v>
      </c>
      <c r="K2784">
        <v>6861.09</v>
      </c>
      <c r="L2784">
        <v>49.43</v>
      </c>
      <c r="M2784" t="s">
        <v>2213</v>
      </c>
      <c r="N2784">
        <v>126999</v>
      </c>
      <c r="O2784">
        <v>9.49</v>
      </c>
      <c r="P2784">
        <v>8.81</v>
      </c>
      <c r="Q2784">
        <v>0.86</v>
      </c>
      <c r="R2784">
        <v>1.88</v>
      </c>
      <c r="S2784">
        <v>1.35</v>
      </c>
      <c r="T2784" t="s">
        <v>5779</v>
      </c>
      <c r="U2784">
        <v>1.55</v>
      </c>
      <c r="V2784" t="s">
        <v>8236</v>
      </c>
      <c r="W2784" t="s">
        <v>164</v>
      </c>
      <c r="X2784" t="s">
        <v>121</v>
      </c>
      <c r="Y2784" t="s">
        <v>5969</v>
      </c>
      <c r="Z2784" t="s">
        <v>25049</v>
      </c>
      <c r="AA2784">
        <v>5.21</v>
      </c>
      <c r="AB2784" t="s">
        <v>8999</v>
      </c>
      <c r="AC2784" t="s">
        <v>3328</v>
      </c>
      <c r="AD2784" t="s">
        <v>3600</v>
      </c>
      <c r="AE2784" t="s">
        <v>330</v>
      </c>
      <c r="AF2784" t="s">
        <v>7255</v>
      </c>
      <c r="AG2784" t="s">
        <v>262</v>
      </c>
      <c r="AH2784" t="s">
        <v>9534</v>
      </c>
      <c r="AI2784" t="s">
        <v>3451</v>
      </c>
      <c r="AJ2784" t="s">
        <v>4689</v>
      </c>
      <c r="AK2784" t="s">
        <v>15734</v>
      </c>
      <c r="AL2784">
        <v>0.2</v>
      </c>
      <c r="AN2784">
        <v>0.71</v>
      </c>
      <c r="AP2784" t="s">
        <v>10765</v>
      </c>
      <c r="AQ2784" t="s">
        <v>4832</v>
      </c>
      <c r="AR2784" t="s">
        <v>2808</v>
      </c>
      <c r="AS2784" t="s">
        <v>352</v>
      </c>
      <c r="AT2784" t="s">
        <v>9022</v>
      </c>
      <c r="AU2784" t="s">
        <v>8985</v>
      </c>
      <c r="AV2784" t="s">
        <v>8357</v>
      </c>
      <c r="AW2784" t="s">
        <v>11587</v>
      </c>
      <c r="AX2784" t="s">
        <v>2635</v>
      </c>
      <c r="AY2784" t="s">
        <v>11587</v>
      </c>
      <c r="AZ2784" t="s">
        <v>22082</v>
      </c>
      <c r="BA2784">
        <v>2.06</v>
      </c>
      <c r="BB2784">
        <v>2155.6999999999998</v>
      </c>
      <c r="BC2784">
        <v>0.21</v>
      </c>
      <c r="BD2784">
        <v>49.53</v>
      </c>
      <c r="BE2784">
        <v>50.26</v>
      </c>
      <c r="BF2784">
        <v>49.37</v>
      </c>
      <c r="BG2784" t="s">
        <v>25590</v>
      </c>
      <c r="BH2784" t="s">
        <v>25591</v>
      </c>
      <c r="BI2784" t="s">
        <v>25592</v>
      </c>
      <c r="BJ2784" t="s">
        <v>101</v>
      </c>
      <c r="BK2784" t="s">
        <v>8520</v>
      </c>
      <c r="BL2784" t="s">
        <v>2811</v>
      </c>
      <c r="BM2784" t="s">
        <v>3449</v>
      </c>
      <c r="BN2784" t="s">
        <v>23454</v>
      </c>
    </row>
    <row r="2785" spans="1:66" x14ac:dyDescent="0.25">
      <c r="A2785" t="str">
        <f>HYPERLINK("https://elite.finviz.com/quote.ashx?t=PCT&amp;ty=c&amp;p=d&amp;b=1", "PCT")</f>
        <v>PCT</v>
      </c>
      <c r="B2785">
        <v>5</v>
      </c>
      <c r="C2785">
        <v>116.22</v>
      </c>
      <c r="D2785">
        <v>41.72</v>
      </c>
      <c r="E2785" t="s">
        <v>25593</v>
      </c>
      <c r="F2785" t="s">
        <v>67</v>
      </c>
      <c r="G2785" t="s">
        <v>260</v>
      </c>
      <c r="H2785" t="s">
        <v>4347</v>
      </c>
      <c r="I2785" t="s">
        <v>70</v>
      </c>
      <c r="J2785" t="s">
        <v>321</v>
      </c>
      <c r="K2785">
        <v>2315.1</v>
      </c>
      <c r="L2785">
        <v>12.85</v>
      </c>
      <c r="M2785" t="s">
        <v>4707</v>
      </c>
      <c r="N2785">
        <v>497517</v>
      </c>
      <c r="R2785">
        <v>716.75</v>
      </c>
      <c r="S2785">
        <v>23.38</v>
      </c>
      <c r="AA2785">
        <v>-1.67</v>
      </c>
      <c r="AB2785" t="s">
        <v>16299</v>
      </c>
      <c r="AC2785" t="s">
        <v>25594</v>
      </c>
      <c r="AD2785" t="s">
        <v>9215</v>
      </c>
      <c r="AI2785" t="s">
        <v>25595</v>
      </c>
      <c r="AJ2785" t="s">
        <v>164</v>
      </c>
      <c r="AK2785" t="s">
        <v>2347</v>
      </c>
      <c r="AL2785">
        <v>2.14</v>
      </c>
      <c r="AM2785">
        <v>2.0699999999999998</v>
      </c>
      <c r="AN2785">
        <v>7.32</v>
      </c>
      <c r="AO2785" t="s">
        <v>25596</v>
      </c>
      <c r="AP2785" t="s">
        <v>25597</v>
      </c>
      <c r="AQ2785" t="s">
        <v>25598</v>
      </c>
      <c r="AR2785" t="s">
        <v>3958</v>
      </c>
      <c r="AS2785" t="s">
        <v>4678</v>
      </c>
      <c r="AT2785" t="s">
        <v>8358</v>
      </c>
      <c r="AU2785" t="s">
        <v>5880</v>
      </c>
      <c r="AV2785" t="s">
        <v>1531</v>
      </c>
      <c r="AW2785" t="s">
        <v>11769</v>
      </c>
      <c r="AX2785" t="s">
        <v>1159</v>
      </c>
      <c r="AY2785" t="s">
        <v>11769</v>
      </c>
      <c r="AZ2785" t="s">
        <v>25599</v>
      </c>
      <c r="BA2785">
        <v>1.57</v>
      </c>
      <c r="BB2785">
        <v>3002.72</v>
      </c>
      <c r="BC2785">
        <v>0.57999999999999996</v>
      </c>
      <c r="BD2785">
        <v>13.1</v>
      </c>
      <c r="BE2785">
        <v>13.27</v>
      </c>
      <c r="BF2785">
        <v>12.77</v>
      </c>
      <c r="BG2785" t="s">
        <v>25600</v>
      </c>
      <c r="BH2785" t="s">
        <v>16165</v>
      </c>
      <c r="BI2785" t="s">
        <v>25601</v>
      </c>
      <c r="BJ2785" t="s">
        <v>101</v>
      </c>
      <c r="BK2785" t="s">
        <v>6741</v>
      </c>
      <c r="BL2785" t="s">
        <v>25191</v>
      </c>
      <c r="BM2785" t="s">
        <v>7897</v>
      </c>
      <c r="BN2785" t="s">
        <v>23454</v>
      </c>
    </row>
    <row r="2786" spans="1:66" x14ac:dyDescent="0.25">
      <c r="A2786" t="str">
        <f>HYPERLINK("https://elite.finviz.com/quote.ashx?t=DAL&amp;ty=c&amp;p=d&amp;b=1", "DAL")</f>
        <v>DAL</v>
      </c>
      <c r="B2786">
        <v>5</v>
      </c>
      <c r="C2786">
        <v>116.22</v>
      </c>
      <c r="D2786">
        <v>41.73</v>
      </c>
      <c r="E2786" t="s">
        <v>25602</v>
      </c>
      <c r="F2786" t="s">
        <v>195</v>
      </c>
      <c r="G2786" t="s">
        <v>260</v>
      </c>
      <c r="H2786" t="s">
        <v>5362</v>
      </c>
      <c r="I2786" t="s">
        <v>70</v>
      </c>
      <c r="J2786" t="s">
        <v>71</v>
      </c>
      <c r="K2786">
        <v>37280.089999999997</v>
      </c>
      <c r="L2786">
        <v>57.1</v>
      </c>
      <c r="M2786" t="s">
        <v>4840</v>
      </c>
      <c r="N2786">
        <v>1473158</v>
      </c>
      <c r="O2786">
        <v>8.2799999999999994</v>
      </c>
      <c r="P2786">
        <v>8.18</v>
      </c>
      <c r="Q2786">
        <v>0.9</v>
      </c>
      <c r="R2786">
        <v>0.6</v>
      </c>
      <c r="S2786">
        <v>2.14</v>
      </c>
      <c r="T2786" t="s">
        <v>5166</v>
      </c>
      <c r="U2786">
        <v>0.64</v>
      </c>
      <c r="V2786" t="s">
        <v>3518</v>
      </c>
      <c r="W2786" t="s">
        <v>1588</v>
      </c>
      <c r="Y2786" t="s">
        <v>5828</v>
      </c>
      <c r="Z2786" t="s">
        <v>1468</v>
      </c>
      <c r="AA2786">
        <v>6.89</v>
      </c>
      <c r="AB2786" t="s">
        <v>25603</v>
      </c>
      <c r="AC2786" t="s">
        <v>9412</v>
      </c>
      <c r="AD2786" t="s">
        <v>2237</v>
      </c>
      <c r="AE2786" t="s">
        <v>295</v>
      </c>
      <c r="AF2786" t="s">
        <v>3001</v>
      </c>
      <c r="AG2786" t="s">
        <v>4697</v>
      </c>
      <c r="AH2786" t="s">
        <v>2745</v>
      </c>
      <c r="AI2786" t="s">
        <v>909</v>
      </c>
      <c r="AJ2786" t="s">
        <v>16056</v>
      </c>
      <c r="AK2786" t="s">
        <v>6803</v>
      </c>
      <c r="AL2786">
        <v>0.38</v>
      </c>
      <c r="AM2786">
        <v>0.33</v>
      </c>
      <c r="AN2786">
        <v>1.22</v>
      </c>
      <c r="AO2786" t="s">
        <v>7874</v>
      </c>
      <c r="AP2786" t="s">
        <v>9789</v>
      </c>
      <c r="AQ2786" t="s">
        <v>1653</v>
      </c>
      <c r="AR2786" t="s">
        <v>4547</v>
      </c>
      <c r="AS2786" t="s">
        <v>7437</v>
      </c>
      <c r="AT2786" t="s">
        <v>9672</v>
      </c>
      <c r="AU2786" t="s">
        <v>525</v>
      </c>
      <c r="AV2786" t="s">
        <v>169</v>
      </c>
      <c r="AW2786" t="s">
        <v>5846</v>
      </c>
      <c r="AX2786" t="s">
        <v>604</v>
      </c>
      <c r="AY2786" t="s">
        <v>21008</v>
      </c>
      <c r="AZ2786" t="s">
        <v>4811</v>
      </c>
      <c r="BA2786">
        <v>1.48</v>
      </c>
      <c r="BB2786">
        <v>8969.32</v>
      </c>
      <c r="BC2786">
        <v>0.57999999999999996</v>
      </c>
      <c r="BD2786">
        <v>56.74</v>
      </c>
      <c r="BE2786">
        <v>57.92</v>
      </c>
      <c r="BF2786">
        <v>56.88</v>
      </c>
      <c r="BG2786" t="s">
        <v>25604</v>
      </c>
      <c r="BH2786" t="s">
        <v>21008</v>
      </c>
      <c r="BI2786" t="s">
        <v>25605</v>
      </c>
      <c r="BJ2786" t="s">
        <v>101</v>
      </c>
      <c r="BK2786" t="s">
        <v>9681</v>
      </c>
      <c r="BL2786" t="s">
        <v>2465</v>
      </c>
      <c r="BM2786" t="s">
        <v>218</v>
      </c>
      <c r="BN2786" t="s">
        <v>23454</v>
      </c>
    </row>
    <row r="2787" spans="1:66" x14ac:dyDescent="0.25">
      <c r="A2787" t="str">
        <f>HYPERLINK("https://elite.finviz.com/quote.ashx?t=BSY&amp;ty=c&amp;p=d&amp;b=1", "BSY")</f>
        <v>BSY</v>
      </c>
      <c r="B2787">
        <v>5</v>
      </c>
      <c r="C2787">
        <v>116.22</v>
      </c>
      <c r="D2787">
        <v>41.73</v>
      </c>
      <c r="E2787" t="s">
        <v>25606</v>
      </c>
      <c r="F2787" t="s">
        <v>107</v>
      </c>
      <c r="G2787" t="s">
        <v>108</v>
      </c>
      <c r="H2787" t="s">
        <v>136</v>
      </c>
      <c r="I2787" t="s">
        <v>70</v>
      </c>
      <c r="J2787" t="s">
        <v>321</v>
      </c>
      <c r="K2787">
        <v>15855.61</v>
      </c>
      <c r="L2787">
        <v>52.22</v>
      </c>
      <c r="M2787" t="s">
        <v>497</v>
      </c>
      <c r="N2787">
        <v>134178</v>
      </c>
      <c r="O2787">
        <v>66.73</v>
      </c>
      <c r="P2787">
        <v>38.909999999999997</v>
      </c>
      <c r="Q2787">
        <v>5.14</v>
      </c>
      <c r="R2787">
        <v>11.17</v>
      </c>
      <c r="S2787">
        <v>13.64</v>
      </c>
      <c r="T2787" t="s">
        <v>2362</v>
      </c>
      <c r="U2787">
        <v>0.27</v>
      </c>
      <c r="V2787" t="s">
        <v>17449</v>
      </c>
      <c r="W2787" t="s">
        <v>1746</v>
      </c>
      <c r="X2787" t="s">
        <v>3397</v>
      </c>
      <c r="Z2787" t="s">
        <v>21338</v>
      </c>
      <c r="AA2787">
        <v>0.78</v>
      </c>
      <c r="AB2787" t="s">
        <v>2297</v>
      </c>
      <c r="AC2787" t="s">
        <v>6124</v>
      </c>
      <c r="AD2787" t="s">
        <v>9987</v>
      </c>
      <c r="AE2787" t="s">
        <v>1110</v>
      </c>
      <c r="AF2787" t="s">
        <v>5387</v>
      </c>
      <c r="AG2787" t="s">
        <v>9545</v>
      </c>
      <c r="AH2787" t="s">
        <v>14933</v>
      </c>
      <c r="AI2787" t="s">
        <v>2913</v>
      </c>
      <c r="AJ2787" t="s">
        <v>2197</v>
      </c>
      <c r="AK2787" t="s">
        <v>20150</v>
      </c>
      <c r="AL2787">
        <v>0.51</v>
      </c>
      <c r="AM2787">
        <v>0.51</v>
      </c>
      <c r="AN2787">
        <v>1.1000000000000001</v>
      </c>
      <c r="AO2787" t="s">
        <v>25607</v>
      </c>
      <c r="AP2787" t="s">
        <v>10268</v>
      </c>
      <c r="AQ2787" t="s">
        <v>9350</v>
      </c>
      <c r="AR2787" t="s">
        <v>206</v>
      </c>
      <c r="AS2787" t="s">
        <v>6692</v>
      </c>
      <c r="AT2787" t="s">
        <v>6533</v>
      </c>
      <c r="AU2787" t="s">
        <v>13232</v>
      </c>
      <c r="AV2787" t="s">
        <v>262</v>
      </c>
      <c r="AW2787" t="s">
        <v>2266</v>
      </c>
      <c r="AX2787" t="s">
        <v>192</v>
      </c>
      <c r="AY2787" t="s">
        <v>2266</v>
      </c>
      <c r="AZ2787" t="s">
        <v>25608</v>
      </c>
      <c r="BA2787">
        <v>2.2400000000000002</v>
      </c>
      <c r="BB2787">
        <v>1604.7</v>
      </c>
      <c r="BC2787">
        <v>0.28999999999999998</v>
      </c>
      <c r="BD2787">
        <v>52.11</v>
      </c>
      <c r="BE2787">
        <v>52.39</v>
      </c>
      <c r="BF2787">
        <v>51.93</v>
      </c>
      <c r="BG2787" t="s">
        <v>25609</v>
      </c>
      <c r="BH2787" t="s">
        <v>22348</v>
      </c>
      <c r="BI2787" t="s">
        <v>6447</v>
      </c>
      <c r="BJ2787" t="s">
        <v>101</v>
      </c>
      <c r="BK2787" t="s">
        <v>174</v>
      </c>
      <c r="BL2787" t="s">
        <v>6926</v>
      </c>
      <c r="BM2787" t="s">
        <v>2822</v>
      </c>
      <c r="BN2787" t="s">
        <v>23454</v>
      </c>
    </row>
    <row r="2788" spans="1:66" x14ac:dyDescent="0.25">
      <c r="A2788" t="str">
        <f>HYPERLINK("https://elite.finviz.com/quote.ashx?t=RCL&amp;ty=c&amp;p=d&amp;b=1", "RCL")</f>
        <v>RCL</v>
      </c>
      <c r="B2788">
        <v>5</v>
      </c>
      <c r="C2788">
        <v>116.22</v>
      </c>
      <c r="D2788">
        <v>41.79</v>
      </c>
      <c r="E2788" t="s">
        <v>25610</v>
      </c>
      <c r="F2788" t="s">
        <v>195</v>
      </c>
      <c r="G2788" t="s">
        <v>813</v>
      </c>
      <c r="H2788" t="s">
        <v>1997</v>
      </c>
      <c r="I2788" t="s">
        <v>70</v>
      </c>
      <c r="J2788" t="s">
        <v>71</v>
      </c>
      <c r="K2788">
        <v>88048.1</v>
      </c>
      <c r="L2788">
        <v>324.14999999999998</v>
      </c>
      <c r="M2788" t="s">
        <v>2717</v>
      </c>
      <c r="N2788">
        <v>264061</v>
      </c>
      <c r="O2788">
        <v>24.43</v>
      </c>
      <c r="P2788">
        <v>17.72</v>
      </c>
      <c r="Q2788">
        <v>1.1499999999999999</v>
      </c>
      <c r="R2788">
        <v>5.12</v>
      </c>
      <c r="S2788">
        <v>9.6</v>
      </c>
      <c r="T2788" t="s">
        <v>2125</v>
      </c>
      <c r="U2788">
        <v>3.05</v>
      </c>
      <c r="V2788" t="s">
        <v>2651</v>
      </c>
      <c r="Y2788" t="s">
        <v>16260</v>
      </c>
      <c r="Z2788" t="s">
        <v>1388</v>
      </c>
      <c r="AA2788">
        <v>13.27</v>
      </c>
      <c r="AC2788" t="s">
        <v>2647</v>
      </c>
      <c r="AD2788" t="s">
        <v>315</v>
      </c>
      <c r="AE2788" t="s">
        <v>14148</v>
      </c>
      <c r="AF2788" t="s">
        <v>25611</v>
      </c>
      <c r="AG2788" t="s">
        <v>466</v>
      </c>
      <c r="AH2788" t="s">
        <v>12553</v>
      </c>
      <c r="AI2788" t="s">
        <v>3121</v>
      </c>
      <c r="AJ2788" t="s">
        <v>3890</v>
      </c>
      <c r="AK2788" t="s">
        <v>25612</v>
      </c>
      <c r="AL2788">
        <v>0.23</v>
      </c>
      <c r="AM2788">
        <v>0.21</v>
      </c>
      <c r="AN2788">
        <v>2.15</v>
      </c>
      <c r="AO2788" t="s">
        <v>7500</v>
      </c>
      <c r="AP2788" t="s">
        <v>1669</v>
      </c>
      <c r="AQ2788" t="s">
        <v>1035</v>
      </c>
      <c r="AR2788" t="s">
        <v>6937</v>
      </c>
      <c r="AS2788" t="s">
        <v>2383</v>
      </c>
      <c r="AT2788" t="s">
        <v>10842</v>
      </c>
      <c r="AU2788" t="s">
        <v>6541</v>
      </c>
      <c r="AV2788" t="s">
        <v>8087</v>
      </c>
      <c r="AW2788" t="s">
        <v>10222</v>
      </c>
      <c r="AX2788" t="s">
        <v>11728</v>
      </c>
      <c r="AY2788" t="s">
        <v>10222</v>
      </c>
      <c r="AZ2788" t="s">
        <v>13244</v>
      </c>
      <c r="BA2788">
        <v>1.79</v>
      </c>
      <c r="BB2788">
        <v>2282.33</v>
      </c>
      <c r="BC2788">
        <v>0.41</v>
      </c>
      <c r="BD2788">
        <v>324.52999999999997</v>
      </c>
      <c r="BE2788">
        <v>326.99</v>
      </c>
      <c r="BF2788">
        <v>323.5</v>
      </c>
      <c r="BG2788" t="s">
        <v>25613</v>
      </c>
      <c r="BH2788" t="s">
        <v>10222</v>
      </c>
      <c r="BI2788" t="s">
        <v>25614</v>
      </c>
      <c r="BJ2788" t="s">
        <v>101</v>
      </c>
      <c r="BK2788" t="s">
        <v>3524</v>
      </c>
      <c r="BL2788" t="s">
        <v>8563</v>
      </c>
      <c r="BM2788" t="s">
        <v>25615</v>
      </c>
      <c r="BN2788" t="s">
        <v>23454</v>
      </c>
    </row>
    <row r="2789" spans="1:66" x14ac:dyDescent="0.25">
      <c r="A2789" t="str">
        <f>HYPERLINK("https://elite.finviz.com/quote.ashx?t=TROW&amp;ty=c&amp;p=d&amp;b=1", "TROW")</f>
        <v>TROW</v>
      </c>
      <c r="B2789">
        <v>5</v>
      </c>
      <c r="C2789">
        <v>116.22</v>
      </c>
      <c r="D2789">
        <v>41.83</v>
      </c>
      <c r="E2789" t="s">
        <v>25616</v>
      </c>
      <c r="F2789" t="s">
        <v>195</v>
      </c>
      <c r="G2789" t="s">
        <v>550</v>
      </c>
      <c r="H2789" t="s">
        <v>2597</v>
      </c>
      <c r="I2789" t="s">
        <v>70</v>
      </c>
      <c r="J2789" t="s">
        <v>321</v>
      </c>
      <c r="K2789">
        <v>22702.080000000002</v>
      </c>
      <c r="L2789">
        <v>103.32</v>
      </c>
      <c r="M2789" t="s">
        <v>211</v>
      </c>
      <c r="N2789">
        <v>202371</v>
      </c>
      <c r="O2789">
        <v>11.55</v>
      </c>
      <c r="P2789">
        <v>10.77</v>
      </c>
      <c r="Q2789">
        <v>16.05</v>
      </c>
      <c r="R2789">
        <v>3.2</v>
      </c>
      <c r="S2789">
        <v>2.15</v>
      </c>
      <c r="T2789" t="s">
        <v>5163</v>
      </c>
      <c r="U2789">
        <v>5.05</v>
      </c>
      <c r="V2789" t="s">
        <v>3833</v>
      </c>
      <c r="W2789" t="s">
        <v>3487</v>
      </c>
      <c r="X2789" t="s">
        <v>3343</v>
      </c>
      <c r="Y2789" t="s">
        <v>2627</v>
      </c>
      <c r="Z2789" t="s">
        <v>25617</v>
      </c>
      <c r="AA2789">
        <v>8.94</v>
      </c>
      <c r="AB2789" t="s">
        <v>5247</v>
      </c>
      <c r="AC2789" t="s">
        <v>5577</v>
      </c>
      <c r="AD2789" t="s">
        <v>3871</v>
      </c>
      <c r="AE2789" t="s">
        <v>5885</v>
      </c>
      <c r="AF2789" t="s">
        <v>7193</v>
      </c>
      <c r="AG2789" t="s">
        <v>9228</v>
      </c>
      <c r="AH2789" t="s">
        <v>1086</v>
      </c>
      <c r="AI2789" t="s">
        <v>1449</v>
      </c>
      <c r="AJ2789" t="s">
        <v>4538</v>
      </c>
      <c r="AK2789" t="s">
        <v>12701</v>
      </c>
      <c r="AL2789">
        <v>2.62</v>
      </c>
      <c r="AM2789">
        <v>2.62</v>
      </c>
      <c r="AN2789">
        <v>0.05</v>
      </c>
      <c r="AO2789" t="s">
        <v>25618</v>
      </c>
      <c r="AP2789" t="s">
        <v>10090</v>
      </c>
      <c r="AQ2789" t="s">
        <v>14588</v>
      </c>
      <c r="AR2789" t="s">
        <v>1760</v>
      </c>
      <c r="AS2789" t="s">
        <v>3856</v>
      </c>
      <c r="AT2789" t="s">
        <v>5809</v>
      </c>
      <c r="AU2789" t="s">
        <v>91</v>
      </c>
      <c r="AV2789" t="s">
        <v>273</v>
      </c>
      <c r="AW2789" t="s">
        <v>11786</v>
      </c>
      <c r="AX2789" t="s">
        <v>5592</v>
      </c>
      <c r="AY2789" t="s">
        <v>16763</v>
      </c>
      <c r="AZ2789" t="s">
        <v>7816</v>
      </c>
      <c r="BA2789">
        <v>3.6</v>
      </c>
      <c r="BB2789">
        <v>1574.81</v>
      </c>
      <c r="BC2789">
        <v>0.45</v>
      </c>
      <c r="BD2789">
        <v>103.21</v>
      </c>
      <c r="BE2789">
        <v>104.33</v>
      </c>
      <c r="BF2789">
        <v>103.32</v>
      </c>
      <c r="BG2789" t="s">
        <v>25619</v>
      </c>
      <c r="BH2789" t="s">
        <v>8968</v>
      </c>
      <c r="BI2789" t="s">
        <v>25620</v>
      </c>
      <c r="BJ2789" t="s">
        <v>101</v>
      </c>
      <c r="BK2789" t="s">
        <v>2378</v>
      </c>
      <c r="BL2789" t="s">
        <v>1775</v>
      </c>
      <c r="BM2789" t="s">
        <v>4021</v>
      </c>
      <c r="BN2789" t="s">
        <v>23454</v>
      </c>
    </row>
    <row r="2790" spans="1:66" x14ac:dyDescent="0.25">
      <c r="A2790" t="str">
        <f>HYPERLINK("https://elite.finviz.com/quote.ashx?t=MGNI&amp;ty=c&amp;p=d&amp;b=1", "MGNI")</f>
        <v>MGNI</v>
      </c>
      <c r="B2790">
        <v>5</v>
      </c>
      <c r="C2790">
        <v>116.22</v>
      </c>
      <c r="D2790">
        <v>41.91</v>
      </c>
      <c r="E2790" t="s">
        <v>25621</v>
      </c>
      <c r="F2790" t="s">
        <v>67</v>
      </c>
      <c r="G2790" t="s">
        <v>598</v>
      </c>
      <c r="H2790" t="s">
        <v>1020</v>
      </c>
      <c r="I2790" t="s">
        <v>70</v>
      </c>
      <c r="J2790" t="s">
        <v>321</v>
      </c>
      <c r="K2790">
        <v>3192.59</v>
      </c>
      <c r="L2790">
        <v>22.42</v>
      </c>
      <c r="M2790" t="s">
        <v>164</v>
      </c>
      <c r="N2790">
        <v>429137</v>
      </c>
      <c r="O2790">
        <v>79.760000000000005</v>
      </c>
      <c r="P2790">
        <v>19.78</v>
      </c>
      <c r="R2790">
        <v>4.66</v>
      </c>
      <c r="S2790">
        <v>4.1500000000000004</v>
      </c>
      <c r="Z2790" t="s">
        <v>164</v>
      </c>
      <c r="AA2790">
        <v>0.28000000000000003</v>
      </c>
      <c r="AB2790" t="s">
        <v>25622</v>
      </c>
      <c r="AE2790" t="s">
        <v>4995</v>
      </c>
      <c r="AF2790" t="s">
        <v>8379</v>
      </c>
      <c r="AG2790" t="s">
        <v>8354</v>
      </c>
      <c r="AH2790" t="s">
        <v>4742</v>
      </c>
      <c r="AI2790" t="s">
        <v>5792</v>
      </c>
      <c r="AJ2790" t="s">
        <v>19983</v>
      </c>
      <c r="AK2790" t="s">
        <v>25623</v>
      </c>
      <c r="AL2790">
        <v>1</v>
      </c>
      <c r="AM2790">
        <v>1</v>
      </c>
      <c r="AN2790">
        <v>0.81</v>
      </c>
      <c r="AO2790" t="s">
        <v>25624</v>
      </c>
      <c r="AP2790" t="s">
        <v>4672</v>
      </c>
      <c r="AQ2790" t="s">
        <v>2386</v>
      </c>
      <c r="AR2790" t="s">
        <v>8855</v>
      </c>
      <c r="AS2790" t="s">
        <v>5611</v>
      </c>
      <c r="AT2790" t="s">
        <v>14653</v>
      </c>
      <c r="AU2790" t="s">
        <v>6822</v>
      </c>
      <c r="AV2790" t="s">
        <v>1628</v>
      </c>
      <c r="AW2790" t="s">
        <v>20477</v>
      </c>
      <c r="AX2790" t="s">
        <v>2861</v>
      </c>
      <c r="AY2790" t="s">
        <v>20477</v>
      </c>
      <c r="AZ2790" t="s">
        <v>25625</v>
      </c>
      <c r="BA2790">
        <v>1.25</v>
      </c>
      <c r="BB2790">
        <v>3238.88</v>
      </c>
      <c r="BC2790">
        <v>0.47</v>
      </c>
      <c r="BD2790">
        <v>22.42</v>
      </c>
      <c r="BE2790">
        <v>22.77</v>
      </c>
      <c r="BF2790">
        <v>22.23</v>
      </c>
      <c r="BG2790" t="s">
        <v>25626</v>
      </c>
      <c r="BH2790" t="s">
        <v>17493</v>
      </c>
      <c r="BI2790" t="s">
        <v>25627</v>
      </c>
      <c r="BJ2790" t="s">
        <v>101</v>
      </c>
      <c r="BK2790" t="s">
        <v>3506</v>
      </c>
      <c r="BL2790" t="s">
        <v>8089</v>
      </c>
      <c r="BM2790" t="s">
        <v>25628</v>
      </c>
      <c r="BN2790" t="s">
        <v>23454</v>
      </c>
    </row>
    <row r="2791" spans="1:66" x14ac:dyDescent="0.25">
      <c r="A2791" t="str">
        <f>HYPERLINK("https://elite.finviz.com/quote.ashx?t=WORX&amp;ty=c&amp;p=d&amp;b=1", "WORX")</f>
        <v>WORX</v>
      </c>
      <c r="B2791">
        <v>5</v>
      </c>
      <c r="C2791">
        <v>116.22</v>
      </c>
      <c r="D2791">
        <v>41.95</v>
      </c>
      <c r="E2791" t="s">
        <v>25629</v>
      </c>
      <c r="F2791" t="s">
        <v>107</v>
      </c>
      <c r="G2791" t="s">
        <v>428</v>
      </c>
      <c r="H2791" t="s">
        <v>2075</v>
      </c>
      <c r="I2791" t="s">
        <v>70</v>
      </c>
      <c r="J2791" t="s">
        <v>321</v>
      </c>
      <c r="K2791">
        <v>2.27</v>
      </c>
      <c r="L2791">
        <v>0.28999999999999998</v>
      </c>
      <c r="M2791" t="s">
        <v>3315</v>
      </c>
      <c r="N2791">
        <v>124499</v>
      </c>
      <c r="R2791">
        <v>0.8</v>
      </c>
      <c r="S2791">
        <v>0.34</v>
      </c>
      <c r="AA2791">
        <v>-1.08</v>
      </c>
      <c r="AB2791" t="s">
        <v>23525</v>
      </c>
      <c r="AC2791" t="s">
        <v>5876</v>
      </c>
      <c r="AE2791" t="s">
        <v>3728</v>
      </c>
      <c r="AF2791" t="s">
        <v>7237</v>
      </c>
      <c r="AG2791" t="s">
        <v>19716</v>
      </c>
      <c r="AH2791" t="s">
        <v>5963</v>
      </c>
      <c r="AJ2791" t="s">
        <v>164</v>
      </c>
      <c r="AK2791" t="s">
        <v>212</v>
      </c>
      <c r="AL2791">
        <v>0.68</v>
      </c>
      <c r="AM2791">
        <v>0.68</v>
      </c>
      <c r="AN2791">
        <v>0.01</v>
      </c>
      <c r="AO2791" t="s">
        <v>3982</v>
      </c>
      <c r="AP2791" t="s">
        <v>23582</v>
      </c>
      <c r="AQ2791" t="s">
        <v>25630</v>
      </c>
      <c r="AR2791" t="s">
        <v>521</v>
      </c>
      <c r="AS2791" t="s">
        <v>5697</v>
      </c>
      <c r="AT2791" t="s">
        <v>9412</v>
      </c>
      <c r="AU2791" t="s">
        <v>14968</v>
      </c>
      <c r="AV2791" t="s">
        <v>24989</v>
      </c>
      <c r="AW2791" t="s">
        <v>25122</v>
      </c>
      <c r="AX2791" t="s">
        <v>2363</v>
      </c>
      <c r="AY2791" t="s">
        <v>935</v>
      </c>
      <c r="AZ2791" t="s">
        <v>2363</v>
      </c>
      <c r="BB2791">
        <v>3064.85</v>
      </c>
      <c r="BC2791">
        <v>0.14000000000000001</v>
      </c>
      <c r="BD2791">
        <v>0.3</v>
      </c>
      <c r="BE2791">
        <v>0.3</v>
      </c>
      <c r="BF2791">
        <v>0.28000000000000003</v>
      </c>
      <c r="BG2791" t="s">
        <v>25631</v>
      </c>
      <c r="BH2791" t="s">
        <v>3265</v>
      </c>
      <c r="BI2791" t="s">
        <v>2363</v>
      </c>
      <c r="BJ2791" t="s">
        <v>101</v>
      </c>
      <c r="BK2791" t="s">
        <v>22132</v>
      </c>
      <c r="BL2791" t="s">
        <v>6698</v>
      </c>
      <c r="BM2791" t="s">
        <v>25632</v>
      </c>
      <c r="BN2791" t="s">
        <v>23454</v>
      </c>
    </row>
    <row r="2792" spans="1:66" x14ac:dyDescent="0.25">
      <c r="A2792" t="str">
        <f>HYPERLINK("https://elite.finviz.com/quote.ashx?t=TENB&amp;ty=c&amp;p=d&amp;b=1", "TENB")</f>
        <v>TENB</v>
      </c>
      <c r="B2792">
        <v>5</v>
      </c>
      <c r="C2792">
        <v>116.22</v>
      </c>
      <c r="D2792">
        <v>42.01</v>
      </c>
      <c r="E2792" t="s">
        <v>25633</v>
      </c>
      <c r="F2792" t="s">
        <v>67</v>
      </c>
      <c r="G2792" t="s">
        <v>108</v>
      </c>
      <c r="H2792" t="s">
        <v>109</v>
      </c>
      <c r="I2792" t="s">
        <v>70</v>
      </c>
      <c r="J2792" t="s">
        <v>321</v>
      </c>
      <c r="K2792">
        <v>3568.2</v>
      </c>
      <c r="L2792">
        <v>29.47</v>
      </c>
      <c r="M2792" t="s">
        <v>2263</v>
      </c>
      <c r="N2792">
        <v>201563</v>
      </c>
      <c r="P2792">
        <v>16.989999999999998</v>
      </c>
      <c r="R2792">
        <v>3.76</v>
      </c>
      <c r="S2792">
        <v>10.17</v>
      </c>
      <c r="AA2792">
        <v>-0.37</v>
      </c>
      <c r="AB2792" t="s">
        <v>4903</v>
      </c>
      <c r="AC2792" t="s">
        <v>6437</v>
      </c>
      <c r="AD2792" t="s">
        <v>15941</v>
      </c>
      <c r="AE2792" t="s">
        <v>3647</v>
      </c>
      <c r="AF2792" t="s">
        <v>10331</v>
      </c>
      <c r="AG2792" t="s">
        <v>9884</v>
      </c>
      <c r="AH2792" t="s">
        <v>3327</v>
      </c>
      <c r="AI2792" t="s">
        <v>6388</v>
      </c>
      <c r="AJ2792" t="s">
        <v>6976</v>
      </c>
      <c r="AK2792" t="s">
        <v>24474</v>
      </c>
      <c r="AL2792">
        <v>0.87</v>
      </c>
      <c r="AM2792">
        <v>0.87</v>
      </c>
      <c r="AN2792">
        <v>1.2</v>
      </c>
      <c r="AO2792" t="s">
        <v>25634</v>
      </c>
      <c r="AP2792" t="s">
        <v>6298</v>
      </c>
      <c r="AQ2792" t="s">
        <v>5264</v>
      </c>
      <c r="AR2792" t="s">
        <v>901</v>
      </c>
      <c r="AS2792" t="s">
        <v>2619</v>
      </c>
      <c r="AT2792" t="s">
        <v>1272</v>
      </c>
      <c r="AU2792" t="s">
        <v>11242</v>
      </c>
      <c r="AV2792" t="s">
        <v>14819</v>
      </c>
      <c r="AW2792" t="s">
        <v>410</v>
      </c>
      <c r="AX2792" t="s">
        <v>2522</v>
      </c>
      <c r="AY2792" t="s">
        <v>11644</v>
      </c>
      <c r="AZ2792" t="s">
        <v>2522</v>
      </c>
      <c r="BA2792">
        <v>1.96</v>
      </c>
      <c r="BB2792">
        <v>1447.99</v>
      </c>
      <c r="BC2792">
        <v>0.49</v>
      </c>
      <c r="BD2792">
        <v>29.57</v>
      </c>
      <c r="BE2792">
        <v>29.63</v>
      </c>
      <c r="BF2792">
        <v>29.33</v>
      </c>
      <c r="BG2792" t="s">
        <v>25635</v>
      </c>
      <c r="BH2792" t="s">
        <v>6032</v>
      </c>
      <c r="BI2792" t="s">
        <v>15640</v>
      </c>
      <c r="BJ2792" t="s">
        <v>101</v>
      </c>
      <c r="BK2792" t="s">
        <v>3048</v>
      </c>
      <c r="BL2792" t="s">
        <v>15634</v>
      </c>
      <c r="BM2792" t="s">
        <v>21319</v>
      </c>
      <c r="BN2792" t="s">
        <v>23454</v>
      </c>
    </row>
    <row r="2793" spans="1:66" x14ac:dyDescent="0.25">
      <c r="A2793" t="str">
        <f>HYPERLINK("https://elite.finviz.com/quote.ashx?t=CDW&amp;ty=c&amp;p=d&amp;b=1", "CDW")</f>
        <v>CDW</v>
      </c>
      <c r="B2793">
        <v>5</v>
      </c>
      <c r="C2793">
        <v>116.22</v>
      </c>
      <c r="D2793">
        <v>42.04</v>
      </c>
      <c r="E2793" t="s">
        <v>25636</v>
      </c>
      <c r="F2793" t="s">
        <v>319</v>
      </c>
      <c r="G2793" t="s">
        <v>108</v>
      </c>
      <c r="H2793" t="s">
        <v>1322</v>
      </c>
      <c r="I2793" t="s">
        <v>70</v>
      </c>
      <c r="J2793" t="s">
        <v>321</v>
      </c>
      <c r="K2793">
        <v>20936.3</v>
      </c>
      <c r="L2793">
        <v>159.74</v>
      </c>
      <c r="M2793" t="s">
        <v>3757</v>
      </c>
      <c r="N2793">
        <v>326000</v>
      </c>
      <c r="O2793">
        <v>19.86</v>
      </c>
      <c r="P2793">
        <v>15.41</v>
      </c>
      <c r="Q2793">
        <v>3.46</v>
      </c>
      <c r="R2793">
        <v>0.96</v>
      </c>
      <c r="S2793">
        <v>8.49</v>
      </c>
      <c r="T2793" t="s">
        <v>2572</v>
      </c>
      <c r="U2793">
        <v>2.5</v>
      </c>
      <c r="V2793" t="s">
        <v>10943</v>
      </c>
      <c r="W2793" t="s">
        <v>1100</v>
      </c>
      <c r="X2793" t="s">
        <v>3002</v>
      </c>
      <c r="Y2793" t="s">
        <v>6795</v>
      </c>
      <c r="Z2793" t="s">
        <v>11454</v>
      </c>
      <c r="AA2793">
        <v>8.0399999999999991</v>
      </c>
      <c r="AB2793" t="s">
        <v>353</v>
      </c>
      <c r="AC2793" t="s">
        <v>3793</v>
      </c>
      <c r="AD2793" t="s">
        <v>3088</v>
      </c>
      <c r="AE2793" t="s">
        <v>5045</v>
      </c>
      <c r="AF2793" t="s">
        <v>193</v>
      </c>
      <c r="AG2793" t="s">
        <v>3638</v>
      </c>
      <c r="AH2793" t="s">
        <v>3468</v>
      </c>
      <c r="AI2793" t="s">
        <v>3020</v>
      </c>
      <c r="AJ2793" t="s">
        <v>7307</v>
      </c>
      <c r="AK2793" t="s">
        <v>21675</v>
      </c>
      <c r="AL2793">
        <v>1.35</v>
      </c>
      <c r="AM2793">
        <v>1.22</v>
      </c>
      <c r="AN2793">
        <v>2.5099999999999998</v>
      </c>
      <c r="AO2793" t="s">
        <v>791</v>
      </c>
      <c r="AP2793" t="s">
        <v>8155</v>
      </c>
      <c r="AQ2793" t="s">
        <v>5102</v>
      </c>
      <c r="AR2793" t="s">
        <v>3916</v>
      </c>
      <c r="AS2793" t="s">
        <v>92</v>
      </c>
      <c r="AT2793" t="s">
        <v>1000</v>
      </c>
      <c r="AU2793" t="s">
        <v>8139</v>
      </c>
      <c r="AV2793" t="s">
        <v>2332</v>
      </c>
      <c r="AW2793" t="s">
        <v>5863</v>
      </c>
      <c r="AX2793" t="s">
        <v>4256</v>
      </c>
      <c r="AY2793" t="s">
        <v>10667</v>
      </c>
      <c r="AZ2793" t="s">
        <v>7192</v>
      </c>
      <c r="BA2793">
        <v>1.92</v>
      </c>
      <c r="BB2793">
        <v>1219.44</v>
      </c>
      <c r="BC2793">
        <v>0.94</v>
      </c>
      <c r="BD2793">
        <v>156.97</v>
      </c>
      <c r="BE2793">
        <v>159.80000000000001</v>
      </c>
      <c r="BF2793">
        <v>156.77000000000001</v>
      </c>
      <c r="BG2793" t="s">
        <v>25637</v>
      </c>
      <c r="BH2793" t="s">
        <v>22317</v>
      </c>
      <c r="BI2793" t="s">
        <v>25638</v>
      </c>
      <c r="BJ2793" t="s">
        <v>101</v>
      </c>
      <c r="BK2793" t="s">
        <v>7054</v>
      </c>
      <c r="BL2793" t="s">
        <v>6464</v>
      </c>
      <c r="BM2793" t="s">
        <v>25524</v>
      </c>
      <c r="BN2793" t="s">
        <v>23454</v>
      </c>
    </row>
    <row r="2794" spans="1:66" x14ac:dyDescent="0.25">
      <c r="A2794" t="str">
        <f>HYPERLINK("https://elite.finviz.com/quote.ashx?t=LGVN&amp;ty=c&amp;p=d&amp;b=1", "LGVN")</f>
        <v>LGVN</v>
      </c>
      <c r="B2794">
        <v>5</v>
      </c>
      <c r="C2794">
        <v>116.22</v>
      </c>
      <c r="D2794">
        <v>42.04</v>
      </c>
      <c r="E2794" t="s">
        <v>25639</v>
      </c>
      <c r="F2794" t="s">
        <v>107</v>
      </c>
      <c r="G2794" t="s">
        <v>428</v>
      </c>
      <c r="H2794" t="s">
        <v>429</v>
      </c>
      <c r="I2794" t="s">
        <v>70</v>
      </c>
      <c r="J2794" t="s">
        <v>321</v>
      </c>
      <c r="K2794">
        <v>16.63</v>
      </c>
      <c r="L2794">
        <v>0.79</v>
      </c>
      <c r="M2794" t="s">
        <v>4886</v>
      </c>
      <c r="N2794">
        <v>179880</v>
      </c>
      <c r="R2794">
        <v>8.0299999999999994</v>
      </c>
      <c r="S2794">
        <v>0.94</v>
      </c>
      <c r="AA2794">
        <v>-1.28</v>
      </c>
      <c r="AB2794" t="s">
        <v>22655</v>
      </c>
      <c r="AC2794" t="s">
        <v>1828</v>
      </c>
      <c r="AD2794" t="s">
        <v>4612</v>
      </c>
      <c r="AE2794" t="s">
        <v>14696</v>
      </c>
      <c r="AF2794" t="s">
        <v>16344</v>
      </c>
      <c r="AG2794" t="s">
        <v>6591</v>
      </c>
      <c r="AH2794" t="s">
        <v>5820</v>
      </c>
      <c r="AI2794" t="s">
        <v>2064</v>
      </c>
      <c r="AJ2794" t="s">
        <v>15000</v>
      </c>
      <c r="AK2794" t="s">
        <v>2000</v>
      </c>
      <c r="AL2794">
        <v>3.43</v>
      </c>
      <c r="AM2794">
        <v>3.43</v>
      </c>
      <c r="AN2794">
        <v>0.09</v>
      </c>
      <c r="AO2794" t="s">
        <v>18081</v>
      </c>
      <c r="AP2794" t="s">
        <v>25640</v>
      </c>
      <c r="AQ2794" t="s">
        <v>25641</v>
      </c>
      <c r="AR2794" t="s">
        <v>3874</v>
      </c>
      <c r="AS2794" t="s">
        <v>4133</v>
      </c>
      <c r="AT2794" t="s">
        <v>5242</v>
      </c>
      <c r="AU2794" t="s">
        <v>8548</v>
      </c>
      <c r="AV2794" t="s">
        <v>25296</v>
      </c>
      <c r="AW2794" t="s">
        <v>25642</v>
      </c>
      <c r="AX2794" t="s">
        <v>17249</v>
      </c>
      <c r="AY2794" t="s">
        <v>25643</v>
      </c>
      <c r="AZ2794" t="s">
        <v>17249</v>
      </c>
      <c r="BA2794">
        <v>1</v>
      </c>
      <c r="BB2794">
        <v>1009.15</v>
      </c>
      <c r="BC2794">
        <v>0.63</v>
      </c>
      <c r="BD2794">
        <v>0.79</v>
      </c>
      <c r="BE2794">
        <v>0.82</v>
      </c>
      <c r="BF2794">
        <v>0.77</v>
      </c>
      <c r="BG2794" t="s">
        <v>25644</v>
      </c>
      <c r="BH2794" t="s">
        <v>18753</v>
      </c>
      <c r="BI2794" t="s">
        <v>17249</v>
      </c>
      <c r="BJ2794" t="s">
        <v>101</v>
      </c>
      <c r="BK2794" t="s">
        <v>25371</v>
      </c>
      <c r="BL2794" t="s">
        <v>14265</v>
      </c>
      <c r="BM2794" t="s">
        <v>4251</v>
      </c>
      <c r="BN2794" t="s">
        <v>23454</v>
      </c>
    </row>
    <row r="2795" spans="1:66" x14ac:dyDescent="0.25">
      <c r="A2795" t="str">
        <f>HYPERLINK("https://elite.finviz.com/quote.ashx?t=PYPL&amp;ty=c&amp;p=d&amp;b=1", "PYPL")</f>
        <v>PYPL</v>
      </c>
      <c r="B2795">
        <v>5</v>
      </c>
      <c r="C2795">
        <v>116.22</v>
      </c>
      <c r="D2795">
        <v>42.05</v>
      </c>
      <c r="E2795" t="s">
        <v>25645</v>
      </c>
      <c r="F2795" t="s">
        <v>319</v>
      </c>
      <c r="G2795" t="s">
        <v>550</v>
      </c>
      <c r="H2795" t="s">
        <v>3744</v>
      </c>
      <c r="I2795" t="s">
        <v>70</v>
      </c>
      <c r="J2795" t="s">
        <v>321</v>
      </c>
      <c r="K2795">
        <v>63790.61</v>
      </c>
      <c r="L2795">
        <v>66.77</v>
      </c>
      <c r="M2795" t="s">
        <v>629</v>
      </c>
      <c r="N2795">
        <v>2263344</v>
      </c>
      <c r="O2795">
        <v>14.3</v>
      </c>
      <c r="P2795">
        <v>11.47</v>
      </c>
      <c r="Q2795">
        <v>1.1499999999999999</v>
      </c>
      <c r="R2795">
        <v>1.97</v>
      </c>
      <c r="S2795">
        <v>3.17</v>
      </c>
      <c r="Z2795" t="s">
        <v>164</v>
      </c>
      <c r="AA2795">
        <v>4.67</v>
      </c>
      <c r="AB2795" t="s">
        <v>3443</v>
      </c>
      <c r="AC2795" t="s">
        <v>6413</v>
      </c>
      <c r="AD2795" t="s">
        <v>5405</v>
      </c>
      <c r="AE2795" t="s">
        <v>3469</v>
      </c>
      <c r="AF2795" t="s">
        <v>1495</v>
      </c>
      <c r="AG2795" t="s">
        <v>1609</v>
      </c>
      <c r="AH2795" t="s">
        <v>3148</v>
      </c>
      <c r="AI2795" t="s">
        <v>7854</v>
      </c>
      <c r="AJ2795" t="s">
        <v>6149</v>
      </c>
      <c r="AK2795" t="s">
        <v>7791</v>
      </c>
      <c r="AL2795">
        <v>1.33</v>
      </c>
      <c r="AM2795">
        <v>1.33</v>
      </c>
      <c r="AN2795">
        <v>0.6</v>
      </c>
      <c r="AO2795" t="s">
        <v>1285</v>
      </c>
      <c r="AP2795" t="s">
        <v>3843</v>
      </c>
      <c r="AQ2795" t="s">
        <v>2230</v>
      </c>
      <c r="AR2795" t="s">
        <v>5071</v>
      </c>
      <c r="AS2795" t="s">
        <v>2876</v>
      </c>
      <c r="AT2795" t="s">
        <v>3172</v>
      </c>
      <c r="AU2795" t="s">
        <v>5273</v>
      </c>
      <c r="AV2795" t="s">
        <v>10972</v>
      </c>
      <c r="AW2795" t="s">
        <v>6435</v>
      </c>
      <c r="AX2795" t="s">
        <v>342</v>
      </c>
      <c r="AY2795" t="s">
        <v>25646</v>
      </c>
      <c r="AZ2795" t="s">
        <v>18550</v>
      </c>
      <c r="BA2795">
        <v>2.33</v>
      </c>
      <c r="BB2795">
        <v>10957.22</v>
      </c>
      <c r="BC2795">
        <v>0.73</v>
      </c>
      <c r="BD2795">
        <v>66.739999999999995</v>
      </c>
      <c r="BE2795">
        <v>67.13</v>
      </c>
      <c r="BF2795">
        <v>66.319999999999993</v>
      </c>
      <c r="BG2795" t="s">
        <v>25647</v>
      </c>
      <c r="BH2795" t="s">
        <v>25648</v>
      </c>
      <c r="BI2795" t="s">
        <v>6306</v>
      </c>
      <c r="BJ2795" t="s">
        <v>101</v>
      </c>
      <c r="BK2795" t="s">
        <v>11663</v>
      </c>
      <c r="BL2795" t="s">
        <v>1175</v>
      </c>
      <c r="BM2795" t="s">
        <v>7973</v>
      </c>
      <c r="BN2795" t="s">
        <v>23454</v>
      </c>
    </row>
    <row r="2796" spans="1:66" x14ac:dyDescent="0.25">
      <c r="A2796" t="str">
        <f>HYPERLINK("https://elite.finviz.com/quote.ashx?t=MRNA&amp;ty=c&amp;p=d&amp;b=1", "MRNA")</f>
        <v>MRNA</v>
      </c>
      <c r="B2796">
        <v>5</v>
      </c>
      <c r="C2796">
        <v>116.22</v>
      </c>
      <c r="D2796">
        <v>42.05</v>
      </c>
      <c r="E2796" t="s">
        <v>25649</v>
      </c>
      <c r="F2796" t="s">
        <v>195</v>
      </c>
      <c r="G2796" t="s">
        <v>428</v>
      </c>
      <c r="H2796" t="s">
        <v>429</v>
      </c>
      <c r="I2796" t="s">
        <v>70</v>
      </c>
      <c r="J2796" t="s">
        <v>321</v>
      </c>
      <c r="K2796">
        <v>9390.7900000000009</v>
      </c>
      <c r="L2796">
        <v>24.14</v>
      </c>
      <c r="M2796" t="s">
        <v>6152</v>
      </c>
      <c r="N2796">
        <v>2705480</v>
      </c>
      <c r="R2796">
        <v>3.05</v>
      </c>
      <c r="S2796">
        <v>1</v>
      </c>
      <c r="AA2796">
        <v>-7.52</v>
      </c>
      <c r="AC2796" t="s">
        <v>25650</v>
      </c>
      <c r="AD2796" t="s">
        <v>8694</v>
      </c>
      <c r="AE2796" t="s">
        <v>25651</v>
      </c>
      <c r="AF2796" t="s">
        <v>25652</v>
      </c>
      <c r="AG2796" t="s">
        <v>25653</v>
      </c>
      <c r="AH2796" t="s">
        <v>18355</v>
      </c>
      <c r="AI2796" t="s">
        <v>7633</v>
      </c>
      <c r="AJ2796" t="s">
        <v>5242</v>
      </c>
      <c r="AK2796" t="s">
        <v>23968</v>
      </c>
      <c r="AL2796">
        <v>3.93</v>
      </c>
      <c r="AM2796">
        <v>3.77</v>
      </c>
      <c r="AN2796">
        <v>0.08</v>
      </c>
      <c r="AO2796" t="s">
        <v>12132</v>
      </c>
      <c r="AP2796" t="s">
        <v>25654</v>
      </c>
      <c r="AQ2796" t="s">
        <v>4781</v>
      </c>
      <c r="AR2796" t="s">
        <v>1104</v>
      </c>
      <c r="AS2796" t="s">
        <v>5102</v>
      </c>
      <c r="AT2796" t="s">
        <v>1272</v>
      </c>
      <c r="AU2796" t="s">
        <v>16801</v>
      </c>
      <c r="AV2796" t="s">
        <v>15857</v>
      </c>
      <c r="AW2796" t="s">
        <v>16881</v>
      </c>
      <c r="AX2796" t="s">
        <v>2170</v>
      </c>
      <c r="AY2796" t="s">
        <v>25655</v>
      </c>
      <c r="AZ2796" t="s">
        <v>165</v>
      </c>
      <c r="BA2796">
        <v>2.89</v>
      </c>
      <c r="BB2796">
        <v>10335.32</v>
      </c>
      <c r="BC2796">
        <v>0.92</v>
      </c>
      <c r="BD2796">
        <v>24.61</v>
      </c>
      <c r="BE2796">
        <v>24.77</v>
      </c>
      <c r="BF2796">
        <v>24.02</v>
      </c>
      <c r="BG2796" t="s">
        <v>25656</v>
      </c>
      <c r="BH2796" t="s">
        <v>25657</v>
      </c>
      <c r="BI2796" t="s">
        <v>25658</v>
      </c>
      <c r="BJ2796" t="s">
        <v>101</v>
      </c>
      <c r="BK2796" t="s">
        <v>12908</v>
      </c>
      <c r="BL2796" t="s">
        <v>514</v>
      </c>
      <c r="BM2796" t="s">
        <v>25659</v>
      </c>
      <c r="BN2796" t="s">
        <v>23454</v>
      </c>
    </row>
    <row r="2797" spans="1:66" x14ac:dyDescent="0.25">
      <c r="A2797" t="str">
        <f>HYPERLINK("https://elite.finviz.com/quote.ashx?t=ANF&amp;ty=c&amp;p=d&amp;b=1", "ANF")</f>
        <v>ANF</v>
      </c>
      <c r="B2797">
        <v>5</v>
      </c>
      <c r="C2797">
        <v>116.22</v>
      </c>
      <c r="D2797">
        <v>42.06</v>
      </c>
      <c r="E2797" t="s">
        <v>25660</v>
      </c>
      <c r="F2797" t="s">
        <v>67</v>
      </c>
      <c r="G2797" t="s">
        <v>813</v>
      </c>
      <c r="H2797" t="s">
        <v>4488</v>
      </c>
      <c r="I2797" t="s">
        <v>70</v>
      </c>
      <c r="J2797" t="s">
        <v>71</v>
      </c>
      <c r="K2797">
        <v>4119.3100000000004</v>
      </c>
      <c r="L2797">
        <v>87.51</v>
      </c>
      <c r="M2797" t="s">
        <v>3388</v>
      </c>
      <c r="N2797">
        <v>222470</v>
      </c>
      <c r="O2797">
        <v>8.2799999999999994</v>
      </c>
      <c r="P2797">
        <v>8.4600000000000009</v>
      </c>
      <c r="Q2797">
        <v>7.08</v>
      </c>
      <c r="R2797">
        <v>0.81</v>
      </c>
      <c r="S2797">
        <v>3.19</v>
      </c>
      <c r="V2797" t="s">
        <v>2765</v>
      </c>
      <c r="Z2797" t="s">
        <v>164</v>
      </c>
      <c r="AA2797">
        <v>10.57</v>
      </c>
      <c r="AB2797" t="s">
        <v>1093</v>
      </c>
      <c r="AC2797" t="s">
        <v>25661</v>
      </c>
      <c r="AD2797" t="s">
        <v>6732</v>
      </c>
      <c r="AE2797" t="s">
        <v>9789</v>
      </c>
      <c r="AF2797" t="s">
        <v>7232</v>
      </c>
      <c r="AG2797" t="s">
        <v>8286</v>
      </c>
      <c r="AH2797" t="s">
        <v>3429</v>
      </c>
      <c r="AI2797" t="s">
        <v>4782</v>
      </c>
      <c r="AJ2797" t="s">
        <v>4879</v>
      </c>
      <c r="AK2797" t="s">
        <v>25662</v>
      </c>
      <c r="AL2797">
        <v>1.43</v>
      </c>
      <c r="AM2797">
        <v>0.86</v>
      </c>
      <c r="AN2797">
        <v>0.85</v>
      </c>
      <c r="AO2797" t="s">
        <v>9209</v>
      </c>
      <c r="AP2797" t="s">
        <v>11292</v>
      </c>
      <c r="AQ2797" t="s">
        <v>5227</v>
      </c>
      <c r="AR2797" t="s">
        <v>2494</v>
      </c>
      <c r="AS2797" t="s">
        <v>3025</v>
      </c>
      <c r="AT2797" t="s">
        <v>4927</v>
      </c>
      <c r="AU2797" t="s">
        <v>11163</v>
      </c>
      <c r="AV2797" t="s">
        <v>1766</v>
      </c>
      <c r="AW2797" t="s">
        <v>7065</v>
      </c>
      <c r="AX2797" t="s">
        <v>4125</v>
      </c>
      <c r="AY2797" t="s">
        <v>25663</v>
      </c>
      <c r="AZ2797" t="s">
        <v>15004</v>
      </c>
      <c r="BA2797">
        <v>1.83</v>
      </c>
      <c r="BB2797">
        <v>2022.42</v>
      </c>
      <c r="BC2797">
        <v>0.39</v>
      </c>
      <c r="BD2797">
        <v>87.86</v>
      </c>
      <c r="BE2797">
        <v>88.04</v>
      </c>
      <c r="BF2797">
        <v>86.62</v>
      </c>
      <c r="BG2797" t="s">
        <v>25664</v>
      </c>
      <c r="BH2797" t="s">
        <v>25665</v>
      </c>
      <c r="BI2797" t="s">
        <v>25666</v>
      </c>
      <c r="BJ2797" t="s">
        <v>101</v>
      </c>
      <c r="BK2797" t="s">
        <v>3036</v>
      </c>
      <c r="BL2797" t="s">
        <v>584</v>
      </c>
      <c r="BM2797" t="s">
        <v>25667</v>
      </c>
      <c r="BN2797" t="s">
        <v>23454</v>
      </c>
    </row>
    <row r="2798" spans="1:66" x14ac:dyDescent="0.25">
      <c r="A2798" t="str">
        <f>HYPERLINK("https://elite.finviz.com/quote.ashx?t=PRGS&amp;ty=c&amp;p=d&amp;b=1", "PRGS")</f>
        <v>PRGS</v>
      </c>
      <c r="B2798">
        <v>5</v>
      </c>
      <c r="C2798">
        <v>116.22</v>
      </c>
      <c r="D2798">
        <v>42.07</v>
      </c>
      <c r="E2798" t="s">
        <v>25668</v>
      </c>
      <c r="F2798" t="s">
        <v>67</v>
      </c>
      <c r="G2798" t="s">
        <v>108</v>
      </c>
      <c r="H2798" t="s">
        <v>109</v>
      </c>
      <c r="I2798" t="s">
        <v>70</v>
      </c>
      <c r="J2798" t="s">
        <v>321</v>
      </c>
      <c r="K2798">
        <v>1807.96</v>
      </c>
      <c r="L2798">
        <v>41.94</v>
      </c>
      <c r="M2798" t="s">
        <v>7338</v>
      </c>
      <c r="N2798">
        <v>225605</v>
      </c>
      <c r="O2798">
        <v>32.11</v>
      </c>
      <c r="P2798">
        <v>7.47</v>
      </c>
      <c r="Q2798">
        <v>6.45</v>
      </c>
      <c r="R2798">
        <v>2.08</v>
      </c>
      <c r="S2798">
        <v>3.99</v>
      </c>
      <c r="V2798" t="s">
        <v>25669</v>
      </c>
      <c r="Z2798" t="s">
        <v>263</v>
      </c>
      <c r="AA2798">
        <v>1.31</v>
      </c>
      <c r="AB2798" t="s">
        <v>7468</v>
      </c>
      <c r="AC2798" t="s">
        <v>5556</v>
      </c>
      <c r="AD2798" t="s">
        <v>4824</v>
      </c>
      <c r="AE2798" t="s">
        <v>16647</v>
      </c>
      <c r="AF2798" t="s">
        <v>11924</v>
      </c>
      <c r="AG2798" t="s">
        <v>2905</v>
      </c>
      <c r="AH2798" t="s">
        <v>7323</v>
      </c>
      <c r="AI2798" t="s">
        <v>7403</v>
      </c>
      <c r="AJ2798" t="s">
        <v>309</v>
      </c>
      <c r="AK2798" t="s">
        <v>25670</v>
      </c>
      <c r="AL2798">
        <v>0.43</v>
      </c>
      <c r="AM2798">
        <v>0.43</v>
      </c>
      <c r="AN2798">
        <v>3.29</v>
      </c>
      <c r="AO2798" t="s">
        <v>15268</v>
      </c>
      <c r="AP2798" t="s">
        <v>9217</v>
      </c>
      <c r="AQ2798" t="s">
        <v>7935</v>
      </c>
      <c r="AR2798" t="s">
        <v>2496</v>
      </c>
      <c r="AS2798" t="s">
        <v>4216</v>
      </c>
      <c r="AT2798" t="s">
        <v>6152</v>
      </c>
      <c r="AU2798" t="s">
        <v>14915</v>
      </c>
      <c r="AV2798" t="s">
        <v>16656</v>
      </c>
      <c r="AW2798" t="s">
        <v>4820</v>
      </c>
      <c r="AX2798" t="s">
        <v>2647</v>
      </c>
      <c r="AY2798" t="s">
        <v>3145</v>
      </c>
      <c r="AZ2798" t="s">
        <v>2647</v>
      </c>
      <c r="BA2798">
        <v>1.86</v>
      </c>
      <c r="BB2798">
        <v>1016.21</v>
      </c>
      <c r="BC2798">
        <v>0.78</v>
      </c>
      <c r="BD2798">
        <v>41.2</v>
      </c>
      <c r="BE2798">
        <v>41.94</v>
      </c>
      <c r="BF2798">
        <v>40.950000000000003</v>
      </c>
      <c r="BG2798" t="s">
        <v>25671</v>
      </c>
      <c r="BH2798" t="s">
        <v>3145</v>
      </c>
      <c r="BI2798" t="s">
        <v>25672</v>
      </c>
      <c r="BJ2798" t="s">
        <v>101</v>
      </c>
      <c r="BK2798" t="s">
        <v>20989</v>
      </c>
      <c r="BL2798" t="s">
        <v>4948</v>
      </c>
      <c r="BM2798" t="s">
        <v>10285</v>
      </c>
      <c r="BN2798" t="s">
        <v>23454</v>
      </c>
    </row>
    <row r="2799" spans="1:66" x14ac:dyDescent="0.25">
      <c r="A2799" t="str">
        <f>HYPERLINK("https://elite.finviz.com/quote.ashx?t=T&amp;ty=c&amp;p=d&amp;b=1", "T")</f>
        <v>T</v>
      </c>
      <c r="B2799">
        <v>5</v>
      </c>
      <c r="C2799">
        <v>116.22</v>
      </c>
      <c r="D2799">
        <v>42.12</v>
      </c>
      <c r="E2799" t="s">
        <v>25673</v>
      </c>
      <c r="F2799" t="s">
        <v>195</v>
      </c>
      <c r="G2799" t="s">
        <v>598</v>
      </c>
      <c r="H2799" t="s">
        <v>6147</v>
      </c>
      <c r="I2799" t="s">
        <v>70</v>
      </c>
      <c r="J2799" t="s">
        <v>71</v>
      </c>
      <c r="K2799">
        <v>203251.86</v>
      </c>
      <c r="L2799">
        <v>28.43</v>
      </c>
      <c r="M2799" t="s">
        <v>3112</v>
      </c>
      <c r="N2799">
        <v>5540160</v>
      </c>
      <c r="O2799">
        <v>16.2</v>
      </c>
      <c r="P2799">
        <v>12.79</v>
      </c>
      <c r="Q2799">
        <v>4.62</v>
      </c>
      <c r="R2799">
        <v>1.64</v>
      </c>
      <c r="S2799">
        <v>1.93</v>
      </c>
      <c r="T2799" t="s">
        <v>316</v>
      </c>
      <c r="U2799">
        <v>1.1100000000000001</v>
      </c>
      <c r="V2799" t="s">
        <v>5056</v>
      </c>
      <c r="W2799" t="s">
        <v>164</v>
      </c>
      <c r="X2799" t="s">
        <v>19132</v>
      </c>
      <c r="Y2799" t="s">
        <v>1450</v>
      </c>
      <c r="Z2799" t="s">
        <v>24622</v>
      </c>
      <c r="AA2799">
        <v>1.75</v>
      </c>
      <c r="AB2799" t="s">
        <v>4820</v>
      </c>
      <c r="AC2799" t="s">
        <v>8358</v>
      </c>
      <c r="AD2799" t="s">
        <v>1926</v>
      </c>
      <c r="AE2799" t="s">
        <v>3024</v>
      </c>
      <c r="AF2799" t="s">
        <v>6130</v>
      </c>
      <c r="AG2799" t="s">
        <v>4259</v>
      </c>
      <c r="AH2799" t="s">
        <v>2495</v>
      </c>
      <c r="AI2799" t="s">
        <v>1129</v>
      </c>
      <c r="AJ2799" t="s">
        <v>7709</v>
      </c>
      <c r="AK2799" t="s">
        <v>2828</v>
      </c>
      <c r="AL2799">
        <v>0.7</v>
      </c>
      <c r="AM2799">
        <v>0.65</v>
      </c>
      <c r="AN2799">
        <v>1.43</v>
      </c>
      <c r="AO2799" t="s">
        <v>14738</v>
      </c>
      <c r="AP2799" t="s">
        <v>876</v>
      </c>
      <c r="AQ2799" t="s">
        <v>7669</v>
      </c>
      <c r="AR2799" t="s">
        <v>192</v>
      </c>
      <c r="AS2799" t="s">
        <v>6990</v>
      </c>
      <c r="AT2799" t="s">
        <v>5778</v>
      </c>
      <c r="AU2799" t="s">
        <v>4886</v>
      </c>
      <c r="AV2799" t="s">
        <v>6684</v>
      </c>
      <c r="AW2799" t="s">
        <v>706</v>
      </c>
      <c r="AX2799" t="s">
        <v>1064</v>
      </c>
      <c r="AY2799" t="s">
        <v>706</v>
      </c>
      <c r="AZ2799" t="s">
        <v>2253</v>
      </c>
      <c r="BA2799">
        <v>1.97</v>
      </c>
      <c r="BB2799">
        <v>31298.22</v>
      </c>
      <c r="BC2799">
        <v>0.62</v>
      </c>
      <c r="BD2799">
        <v>28.3</v>
      </c>
      <c r="BE2799">
        <v>28.57</v>
      </c>
      <c r="BF2799">
        <v>28.39</v>
      </c>
      <c r="BG2799" t="s">
        <v>25674</v>
      </c>
      <c r="BH2799" t="s">
        <v>10346</v>
      </c>
      <c r="BI2799" t="s">
        <v>25675</v>
      </c>
      <c r="BJ2799" t="s">
        <v>101</v>
      </c>
      <c r="BK2799" t="s">
        <v>343</v>
      </c>
      <c r="BL2799" t="s">
        <v>2785</v>
      </c>
      <c r="BM2799" t="s">
        <v>15710</v>
      </c>
      <c r="BN2799" t="s">
        <v>23454</v>
      </c>
    </row>
    <row r="2800" spans="1:66" x14ac:dyDescent="0.25">
      <c r="A2800" t="str">
        <f>HYPERLINK("https://elite.finviz.com/quote.ashx?t=ARHS&amp;ty=c&amp;p=d&amp;b=1", "ARHS")</f>
        <v>ARHS</v>
      </c>
      <c r="B2800">
        <v>5</v>
      </c>
      <c r="C2800">
        <v>116.22</v>
      </c>
      <c r="D2800">
        <v>42.13</v>
      </c>
      <c r="E2800" t="s">
        <v>25676</v>
      </c>
      <c r="F2800" t="s">
        <v>67</v>
      </c>
      <c r="G2800" t="s">
        <v>813</v>
      </c>
      <c r="H2800" t="s">
        <v>2262</v>
      </c>
      <c r="I2800" t="s">
        <v>70</v>
      </c>
      <c r="J2800" t="s">
        <v>321</v>
      </c>
      <c r="K2800">
        <v>1499.97</v>
      </c>
      <c r="L2800">
        <v>10.64</v>
      </c>
      <c r="M2800" t="s">
        <v>2518</v>
      </c>
      <c r="N2800">
        <v>135072</v>
      </c>
      <c r="O2800">
        <v>21.07</v>
      </c>
      <c r="P2800">
        <v>20.95</v>
      </c>
      <c r="Q2800">
        <v>3.14</v>
      </c>
      <c r="R2800">
        <v>1.1200000000000001</v>
      </c>
      <c r="S2800">
        <v>3.89</v>
      </c>
      <c r="V2800" t="s">
        <v>25677</v>
      </c>
      <c r="Z2800" t="s">
        <v>164</v>
      </c>
      <c r="AA2800">
        <v>0.51</v>
      </c>
      <c r="AB2800" t="s">
        <v>12557</v>
      </c>
      <c r="AC2800" t="s">
        <v>18049</v>
      </c>
      <c r="AD2800" t="s">
        <v>8855</v>
      </c>
      <c r="AE2800" t="s">
        <v>995</v>
      </c>
      <c r="AF2800" t="s">
        <v>2211</v>
      </c>
      <c r="AG2800" t="s">
        <v>7123</v>
      </c>
      <c r="AH2800" t="s">
        <v>11116</v>
      </c>
      <c r="AI2800" t="s">
        <v>16520</v>
      </c>
      <c r="AJ2800" t="s">
        <v>164</v>
      </c>
      <c r="AK2800" t="s">
        <v>6347</v>
      </c>
      <c r="AL2800">
        <v>1.33</v>
      </c>
      <c r="AM2800">
        <v>0.61</v>
      </c>
      <c r="AN2800">
        <v>1.43</v>
      </c>
      <c r="AO2800" t="s">
        <v>232</v>
      </c>
      <c r="AP2800" t="s">
        <v>4966</v>
      </c>
      <c r="AQ2800" t="s">
        <v>3066</v>
      </c>
      <c r="AR2800" t="s">
        <v>5045</v>
      </c>
      <c r="AS2800" t="s">
        <v>316</v>
      </c>
      <c r="AT2800" t="s">
        <v>6976</v>
      </c>
      <c r="AU2800" t="s">
        <v>3466</v>
      </c>
      <c r="AV2800" t="s">
        <v>2447</v>
      </c>
      <c r="AW2800" t="s">
        <v>9827</v>
      </c>
      <c r="AX2800" t="s">
        <v>5167</v>
      </c>
      <c r="AY2800" t="s">
        <v>1362</v>
      </c>
      <c r="AZ2800" t="s">
        <v>25678</v>
      </c>
      <c r="BA2800">
        <v>2.4</v>
      </c>
      <c r="BB2800">
        <v>2074.3000000000002</v>
      </c>
      <c r="BC2800">
        <v>0.23</v>
      </c>
      <c r="BD2800">
        <v>10.77</v>
      </c>
      <c r="BE2800">
        <v>10.95</v>
      </c>
      <c r="BF2800">
        <v>10.64</v>
      </c>
      <c r="BG2800" t="s">
        <v>25679</v>
      </c>
      <c r="BH2800" t="s">
        <v>25680</v>
      </c>
      <c r="BI2800" t="s">
        <v>25681</v>
      </c>
      <c r="BJ2800" t="s">
        <v>101</v>
      </c>
      <c r="BK2800" t="s">
        <v>2729</v>
      </c>
      <c r="BL2800" t="s">
        <v>1455</v>
      </c>
      <c r="BM2800" t="s">
        <v>14173</v>
      </c>
      <c r="BN2800" t="s">
        <v>23454</v>
      </c>
    </row>
    <row r="2801" spans="1:66" x14ac:dyDescent="0.25">
      <c r="A2801" t="str">
        <f>HYPERLINK("https://elite.finviz.com/quote.ashx?t=AUUD&amp;ty=c&amp;p=d&amp;b=1", "AUUD")</f>
        <v>AUUD</v>
      </c>
      <c r="B2801">
        <v>5</v>
      </c>
      <c r="C2801">
        <v>116.22</v>
      </c>
      <c r="D2801">
        <v>42.13</v>
      </c>
      <c r="E2801" t="s">
        <v>25682</v>
      </c>
      <c r="F2801" t="s">
        <v>107</v>
      </c>
      <c r="G2801" t="s">
        <v>108</v>
      </c>
      <c r="H2801" t="s">
        <v>136</v>
      </c>
      <c r="I2801" t="s">
        <v>70</v>
      </c>
      <c r="J2801" t="s">
        <v>321</v>
      </c>
      <c r="K2801">
        <v>4.54</v>
      </c>
      <c r="L2801">
        <v>2.12</v>
      </c>
      <c r="M2801" t="s">
        <v>7808</v>
      </c>
      <c r="N2801">
        <v>20708</v>
      </c>
      <c r="S2801">
        <v>0.48</v>
      </c>
      <c r="AA2801">
        <v>-20.94</v>
      </c>
      <c r="AB2801" t="s">
        <v>25683</v>
      </c>
      <c r="AC2801" t="s">
        <v>25067</v>
      </c>
      <c r="AI2801" t="s">
        <v>4943</v>
      </c>
      <c r="AJ2801" t="s">
        <v>164</v>
      </c>
      <c r="AK2801" t="s">
        <v>714</v>
      </c>
      <c r="AL2801">
        <v>2.2200000000000002</v>
      </c>
      <c r="AM2801">
        <v>2.2200000000000002</v>
      </c>
      <c r="AN2801">
        <v>0.02</v>
      </c>
      <c r="AR2801" t="s">
        <v>7945</v>
      </c>
      <c r="AS2801" t="s">
        <v>4819</v>
      </c>
      <c r="AT2801" t="s">
        <v>8357</v>
      </c>
      <c r="AU2801" t="s">
        <v>20756</v>
      </c>
      <c r="AV2801" t="s">
        <v>15102</v>
      </c>
      <c r="AW2801" t="s">
        <v>25684</v>
      </c>
      <c r="AX2801" t="s">
        <v>4666</v>
      </c>
      <c r="AY2801" t="s">
        <v>7459</v>
      </c>
      <c r="AZ2801" t="s">
        <v>4666</v>
      </c>
      <c r="BA2801">
        <v>1</v>
      </c>
      <c r="BB2801">
        <v>1776</v>
      </c>
      <c r="BC2801">
        <v>0.04</v>
      </c>
      <c r="BD2801">
        <v>2.16</v>
      </c>
      <c r="BE2801">
        <v>2.15</v>
      </c>
      <c r="BF2801">
        <v>2.1</v>
      </c>
      <c r="BG2801" t="s">
        <v>25685</v>
      </c>
      <c r="BH2801" t="s">
        <v>14593</v>
      </c>
      <c r="BI2801" t="s">
        <v>4666</v>
      </c>
      <c r="BJ2801" t="s">
        <v>101</v>
      </c>
      <c r="BK2801" t="s">
        <v>25686</v>
      </c>
      <c r="BL2801" t="s">
        <v>25687</v>
      </c>
      <c r="BM2801" t="s">
        <v>25688</v>
      </c>
      <c r="BN2801" t="s">
        <v>23454</v>
      </c>
    </row>
    <row r="2802" spans="1:66" x14ac:dyDescent="0.25">
      <c r="A2802" t="str">
        <f>HYPERLINK("https://elite.finviz.com/quote.ashx?t=UP&amp;ty=c&amp;p=d&amp;b=1", "UP")</f>
        <v>UP</v>
      </c>
      <c r="B2802">
        <v>5</v>
      </c>
      <c r="C2802">
        <v>116.22</v>
      </c>
      <c r="D2802">
        <v>42.15</v>
      </c>
      <c r="E2802" t="s">
        <v>25689</v>
      </c>
      <c r="F2802" t="s">
        <v>107</v>
      </c>
      <c r="G2802" t="s">
        <v>260</v>
      </c>
      <c r="H2802" t="s">
        <v>7188</v>
      </c>
      <c r="I2802" t="s">
        <v>70</v>
      </c>
      <c r="J2802" t="s">
        <v>71</v>
      </c>
      <c r="K2802">
        <v>1285.58</v>
      </c>
      <c r="L2802">
        <v>1.84</v>
      </c>
      <c r="M2802" t="s">
        <v>9500</v>
      </c>
      <c r="N2802">
        <v>2411055</v>
      </c>
      <c r="R2802">
        <v>1.68</v>
      </c>
      <c r="AA2802">
        <v>-0.47</v>
      </c>
      <c r="AB2802" t="s">
        <v>25690</v>
      </c>
      <c r="AC2802" t="s">
        <v>17011</v>
      </c>
      <c r="AE2802" t="s">
        <v>9116</v>
      </c>
      <c r="AF2802" t="s">
        <v>13240</v>
      </c>
      <c r="AG2802" t="s">
        <v>4677</v>
      </c>
      <c r="AH2802" t="s">
        <v>12575</v>
      </c>
      <c r="AJ2802" t="s">
        <v>1547</v>
      </c>
      <c r="AK2802" t="s">
        <v>20178</v>
      </c>
      <c r="AL2802">
        <v>0.25</v>
      </c>
      <c r="AM2802">
        <v>0.24</v>
      </c>
      <c r="AO2802" t="s">
        <v>2385</v>
      </c>
      <c r="AP2802" t="s">
        <v>25691</v>
      </c>
      <c r="AQ2802" t="s">
        <v>10911</v>
      </c>
      <c r="AR2802" t="s">
        <v>7655</v>
      </c>
      <c r="AS2802" t="s">
        <v>7683</v>
      </c>
      <c r="AT2802" t="s">
        <v>20222</v>
      </c>
      <c r="AU2802" t="s">
        <v>15172</v>
      </c>
      <c r="AV2802" t="s">
        <v>12627</v>
      </c>
      <c r="AW2802" t="s">
        <v>25692</v>
      </c>
      <c r="AX2802" t="s">
        <v>24211</v>
      </c>
      <c r="AY2802" t="s">
        <v>25692</v>
      </c>
      <c r="AZ2802" t="s">
        <v>25693</v>
      </c>
      <c r="BA2802">
        <v>1.67</v>
      </c>
      <c r="BB2802">
        <v>5984.58</v>
      </c>
      <c r="BC2802">
        <v>1.42</v>
      </c>
      <c r="BD2802">
        <v>1.88</v>
      </c>
      <c r="BE2802">
        <v>1.94</v>
      </c>
      <c r="BF2802">
        <v>1.79</v>
      </c>
      <c r="BG2802" t="s">
        <v>25694</v>
      </c>
      <c r="BH2802" t="s">
        <v>19948</v>
      </c>
      <c r="BI2802" t="s">
        <v>25693</v>
      </c>
      <c r="BJ2802" t="s">
        <v>101</v>
      </c>
      <c r="BK2802" t="s">
        <v>13368</v>
      </c>
      <c r="BL2802" t="s">
        <v>16598</v>
      </c>
      <c r="BM2802" t="s">
        <v>1450</v>
      </c>
      <c r="BN2802" t="s">
        <v>23454</v>
      </c>
    </row>
    <row r="2803" spans="1:66" x14ac:dyDescent="0.25">
      <c r="A2803" t="str">
        <f>HYPERLINK("https://elite.finviz.com/quote.ashx?t=IMAB&amp;ty=c&amp;p=d&amp;b=1", "IMAB")</f>
        <v>IMAB</v>
      </c>
      <c r="B2803">
        <v>5</v>
      </c>
      <c r="C2803">
        <v>116.22</v>
      </c>
      <c r="D2803">
        <v>42.15</v>
      </c>
      <c r="E2803" t="s">
        <v>25695</v>
      </c>
      <c r="F2803" t="s">
        <v>107</v>
      </c>
      <c r="G2803" t="s">
        <v>428</v>
      </c>
      <c r="H2803" t="s">
        <v>429</v>
      </c>
      <c r="I2803" t="s">
        <v>70</v>
      </c>
      <c r="J2803" t="s">
        <v>321</v>
      </c>
      <c r="K2803">
        <v>274.79000000000002</v>
      </c>
      <c r="L2803">
        <v>3.47</v>
      </c>
      <c r="M2803" t="s">
        <v>7089</v>
      </c>
      <c r="N2803">
        <v>128435</v>
      </c>
      <c r="S2803">
        <v>1.4</v>
      </c>
      <c r="AA2803">
        <v>-0.71</v>
      </c>
      <c r="AB2803" t="s">
        <v>4768</v>
      </c>
      <c r="AC2803" t="s">
        <v>1873</v>
      </c>
      <c r="AE2803" t="s">
        <v>579</v>
      </c>
      <c r="AI2803" t="s">
        <v>7635</v>
      </c>
      <c r="AJ2803" t="s">
        <v>164</v>
      </c>
      <c r="AK2803" t="s">
        <v>2913</v>
      </c>
      <c r="AL2803">
        <v>22.82</v>
      </c>
      <c r="AM2803">
        <v>22.82</v>
      </c>
      <c r="AN2803">
        <v>0.02</v>
      </c>
      <c r="AR2803" t="s">
        <v>238</v>
      </c>
      <c r="AS2803" t="s">
        <v>5404</v>
      </c>
      <c r="AT2803" t="s">
        <v>9202</v>
      </c>
      <c r="AU2803" t="s">
        <v>4475</v>
      </c>
      <c r="AV2803" t="s">
        <v>7050</v>
      </c>
      <c r="AW2803" t="s">
        <v>7840</v>
      </c>
      <c r="AX2803" t="s">
        <v>25696</v>
      </c>
      <c r="AY2803" t="s">
        <v>7840</v>
      </c>
      <c r="AZ2803" t="s">
        <v>25697</v>
      </c>
      <c r="BA2803">
        <v>1</v>
      </c>
      <c r="BB2803">
        <v>2151.3200000000002</v>
      </c>
      <c r="BC2803">
        <v>0.21</v>
      </c>
      <c r="BD2803">
        <v>3.52</v>
      </c>
      <c r="BE2803">
        <v>3.6</v>
      </c>
      <c r="BF2803">
        <v>3.45</v>
      </c>
      <c r="BG2803" t="s">
        <v>25698</v>
      </c>
      <c r="BH2803" t="s">
        <v>2345</v>
      </c>
      <c r="BI2803" t="s">
        <v>25697</v>
      </c>
      <c r="BJ2803" t="s">
        <v>101</v>
      </c>
      <c r="BK2803" t="s">
        <v>13386</v>
      </c>
      <c r="BL2803" t="s">
        <v>25699</v>
      </c>
      <c r="BM2803" t="s">
        <v>25700</v>
      </c>
      <c r="BN2803" t="s">
        <v>23454</v>
      </c>
    </row>
    <row r="2804" spans="1:66" x14ac:dyDescent="0.25">
      <c r="A2804" t="str">
        <f>HYPERLINK("https://elite.finviz.com/quote.ashx?t=TPG&amp;ty=c&amp;p=d&amp;b=1", "TPG")</f>
        <v>TPG</v>
      </c>
      <c r="B2804">
        <v>5</v>
      </c>
      <c r="C2804">
        <v>116.22</v>
      </c>
      <c r="D2804">
        <v>42.15</v>
      </c>
      <c r="E2804" t="s">
        <v>25701</v>
      </c>
      <c r="F2804" t="s">
        <v>107</v>
      </c>
      <c r="G2804" t="s">
        <v>550</v>
      </c>
      <c r="H2804" t="s">
        <v>2597</v>
      </c>
      <c r="I2804" t="s">
        <v>70</v>
      </c>
      <c r="J2804" t="s">
        <v>321</v>
      </c>
      <c r="K2804">
        <v>22343.53</v>
      </c>
      <c r="L2804">
        <v>59.13</v>
      </c>
      <c r="M2804" t="s">
        <v>11369</v>
      </c>
      <c r="N2804">
        <v>124964</v>
      </c>
      <c r="P2804">
        <v>19.48</v>
      </c>
      <c r="R2804">
        <v>5.75</v>
      </c>
      <c r="S2804">
        <v>8.6199999999999992</v>
      </c>
      <c r="T2804" t="s">
        <v>5736</v>
      </c>
      <c r="U2804">
        <v>1.91</v>
      </c>
      <c r="V2804" t="s">
        <v>1440</v>
      </c>
      <c r="W2804" t="s">
        <v>7055</v>
      </c>
      <c r="AA2804">
        <v>-0.18</v>
      </c>
      <c r="AD2804" t="s">
        <v>7087</v>
      </c>
      <c r="AE2804" t="s">
        <v>23368</v>
      </c>
      <c r="AF2804" t="s">
        <v>528</v>
      </c>
      <c r="AG2804" t="s">
        <v>8594</v>
      </c>
      <c r="AH2804" t="s">
        <v>5011</v>
      </c>
      <c r="AI2804" t="s">
        <v>3985</v>
      </c>
      <c r="AJ2804" t="s">
        <v>23195</v>
      </c>
      <c r="AK2804" t="s">
        <v>13469</v>
      </c>
      <c r="AL2804">
        <v>1.51</v>
      </c>
      <c r="AM2804">
        <v>1.51</v>
      </c>
      <c r="AN2804">
        <v>2.23</v>
      </c>
      <c r="AO2804" t="s">
        <v>25702</v>
      </c>
      <c r="AP2804" t="s">
        <v>6378</v>
      </c>
      <c r="AQ2804" t="s">
        <v>6842</v>
      </c>
      <c r="AR2804" t="s">
        <v>4204</v>
      </c>
      <c r="AS2804" t="s">
        <v>248</v>
      </c>
      <c r="AT2804" t="s">
        <v>7742</v>
      </c>
      <c r="AU2804" t="s">
        <v>7039</v>
      </c>
      <c r="AV2804" t="s">
        <v>3088</v>
      </c>
      <c r="AW2804" t="s">
        <v>501</v>
      </c>
      <c r="AX2804" t="s">
        <v>10273</v>
      </c>
      <c r="AY2804" t="s">
        <v>19182</v>
      </c>
      <c r="AZ2804" t="s">
        <v>12984</v>
      </c>
      <c r="BA2804">
        <v>2.08</v>
      </c>
      <c r="BB2804">
        <v>1768.82</v>
      </c>
      <c r="BC2804">
        <v>0.25</v>
      </c>
      <c r="BD2804">
        <v>59.71</v>
      </c>
      <c r="BE2804">
        <v>60.23</v>
      </c>
      <c r="BF2804">
        <v>59</v>
      </c>
      <c r="BG2804" t="s">
        <v>25703</v>
      </c>
      <c r="BH2804" t="s">
        <v>19182</v>
      </c>
      <c r="BI2804" t="s">
        <v>25704</v>
      </c>
      <c r="BJ2804" t="s">
        <v>101</v>
      </c>
      <c r="BK2804" t="s">
        <v>8086</v>
      </c>
      <c r="BL2804" t="s">
        <v>13712</v>
      </c>
      <c r="BM2804" t="s">
        <v>84</v>
      </c>
      <c r="BN2804" t="s">
        <v>23454</v>
      </c>
    </row>
    <row r="2805" spans="1:66" x14ac:dyDescent="0.25">
      <c r="A2805" t="str">
        <f>HYPERLINK("https://elite.finviz.com/quote.ashx?t=FIVN&amp;ty=c&amp;p=d&amp;b=1", "FIVN")</f>
        <v>FIVN</v>
      </c>
      <c r="B2805">
        <v>5</v>
      </c>
      <c r="C2805">
        <v>116.22</v>
      </c>
      <c r="D2805">
        <v>42.15</v>
      </c>
      <c r="E2805" t="s">
        <v>25705</v>
      </c>
      <c r="F2805" t="s">
        <v>67</v>
      </c>
      <c r="G2805" t="s">
        <v>108</v>
      </c>
      <c r="H2805" t="s">
        <v>109</v>
      </c>
      <c r="I2805" t="s">
        <v>70</v>
      </c>
      <c r="J2805" t="s">
        <v>321</v>
      </c>
      <c r="K2805">
        <v>1931.56</v>
      </c>
      <c r="L2805">
        <v>25</v>
      </c>
      <c r="M2805" t="s">
        <v>1547</v>
      </c>
      <c r="N2805">
        <v>449059</v>
      </c>
      <c r="O2805">
        <v>276.85000000000002</v>
      </c>
      <c r="P2805">
        <v>7.93</v>
      </c>
      <c r="Q2805">
        <v>20.49</v>
      </c>
      <c r="R2805">
        <v>1.75</v>
      </c>
      <c r="S2805">
        <v>2.69</v>
      </c>
      <c r="AA2805">
        <v>0.09</v>
      </c>
      <c r="AB2805" t="s">
        <v>12445</v>
      </c>
      <c r="AC2805" t="s">
        <v>3556</v>
      </c>
      <c r="AD2805" t="s">
        <v>9614</v>
      </c>
      <c r="AE2805" t="s">
        <v>1476</v>
      </c>
      <c r="AF2805" t="s">
        <v>12847</v>
      </c>
      <c r="AG2805" t="s">
        <v>432</v>
      </c>
      <c r="AH2805" t="s">
        <v>3857</v>
      </c>
      <c r="AI2805" t="s">
        <v>16116</v>
      </c>
      <c r="AJ2805" t="s">
        <v>8225</v>
      </c>
      <c r="AK2805" t="s">
        <v>25706</v>
      </c>
      <c r="AL2805">
        <v>4.03</v>
      </c>
      <c r="AM2805">
        <v>4.03</v>
      </c>
      <c r="AN2805">
        <v>1.1100000000000001</v>
      </c>
      <c r="AO2805" t="s">
        <v>14880</v>
      </c>
      <c r="AP2805" t="s">
        <v>1226</v>
      </c>
      <c r="AQ2805" t="s">
        <v>2785</v>
      </c>
      <c r="AR2805" t="s">
        <v>6475</v>
      </c>
      <c r="AS2805" t="s">
        <v>8818</v>
      </c>
      <c r="AT2805" t="s">
        <v>8225</v>
      </c>
      <c r="AU2805" t="s">
        <v>7165</v>
      </c>
      <c r="AV2805" t="s">
        <v>11189</v>
      </c>
      <c r="AW2805" t="s">
        <v>4580</v>
      </c>
      <c r="AX2805" t="s">
        <v>4697</v>
      </c>
      <c r="AY2805" t="s">
        <v>25707</v>
      </c>
      <c r="AZ2805" t="s">
        <v>7211</v>
      </c>
      <c r="BA2805">
        <v>1.57</v>
      </c>
      <c r="BB2805">
        <v>2191.11</v>
      </c>
      <c r="BC2805">
        <v>0.72</v>
      </c>
      <c r="BD2805">
        <v>25.02</v>
      </c>
      <c r="BE2805">
        <v>25.21</v>
      </c>
      <c r="BF2805">
        <v>24.67</v>
      </c>
      <c r="BG2805" t="s">
        <v>25708</v>
      </c>
      <c r="BH2805" t="s">
        <v>25709</v>
      </c>
      <c r="BI2805" t="s">
        <v>25710</v>
      </c>
      <c r="BJ2805" t="s">
        <v>101</v>
      </c>
      <c r="BK2805" t="s">
        <v>3401</v>
      </c>
      <c r="BL2805" t="s">
        <v>14961</v>
      </c>
      <c r="BM2805" t="s">
        <v>9710</v>
      </c>
      <c r="BN2805" t="s">
        <v>23454</v>
      </c>
    </row>
    <row r="2806" spans="1:66" x14ac:dyDescent="0.25">
      <c r="A2806" t="str">
        <f>HYPERLINK("https://elite.finviz.com/quote.ashx?t=DHAI&amp;ty=c&amp;p=d&amp;b=1", "DHAI")</f>
        <v>DHAI</v>
      </c>
      <c r="B2806">
        <v>5</v>
      </c>
      <c r="C2806">
        <v>116.22</v>
      </c>
      <c r="D2806">
        <v>42.16</v>
      </c>
      <c r="E2806" t="s">
        <v>25711</v>
      </c>
      <c r="F2806" t="s">
        <v>107</v>
      </c>
      <c r="G2806" t="s">
        <v>428</v>
      </c>
      <c r="H2806" t="s">
        <v>2051</v>
      </c>
      <c r="I2806" t="s">
        <v>70</v>
      </c>
      <c r="J2806" t="s">
        <v>321</v>
      </c>
      <c r="K2806">
        <v>9.3000000000000007</v>
      </c>
      <c r="L2806">
        <v>0.2</v>
      </c>
      <c r="M2806" t="s">
        <v>2941</v>
      </c>
      <c r="N2806">
        <v>176088</v>
      </c>
      <c r="R2806">
        <v>0.13</v>
      </c>
      <c r="AA2806">
        <v>-0.32</v>
      </c>
      <c r="AH2806" t="s">
        <v>14231</v>
      </c>
      <c r="AJ2806" t="s">
        <v>164</v>
      </c>
      <c r="AK2806" t="s">
        <v>926</v>
      </c>
      <c r="AL2806">
        <v>0.44</v>
      </c>
      <c r="AM2806">
        <v>0.26</v>
      </c>
      <c r="AO2806" t="s">
        <v>25712</v>
      </c>
      <c r="AP2806" t="s">
        <v>5639</v>
      </c>
      <c r="AQ2806" t="s">
        <v>4405</v>
      </c>
      <c r="AR2806" t="s">
        <v>297</v>
      </c>
      <c r="AS2806" t="s">
        <v>863</v>
      </c>
      <c r="AT2806" t="s">
        <v>2101</v>
      </c>
      <c r="AU2806" t="s">
        <v>17709</v>
      </c>
      <c r="AV2806" t="s">
        <v>25713</v>
      </c>
      <c r="AW2806" t="s">
        <v>24923</v>
      </c>
      <c r="AX2806" t="s">
        <v>7019</v>
      </c>
      <c r="AY2806" t="s">
        <v>24226</v>
      </c>
      <c r="AZ2806" t="s">
        <v>22380</v>
      </c>
      <c r="BB2806">
        <v>5777.73</v>
      </c>
      <c r="BC2806">
        <v>0.11</v>
      </c>
      <c r="BD2806">
        <v>0.19</v>
      </c>
      <c r="BE2806">
        <v>0.2</v>
      </c>
      <c r="BF2806">
        <v>0.19</v>
      </c>
      <c r="BG2806" t="s">
        <v>25714</v>
      </c>
      <c r="BH2806" t="s">
        <v>2181</v>
      </c>
      <c r="BI2806" t="s">
        <v>22380</v>
      </c>
      <c r="BJ2806" t="s">
        <v>101</v>
      </c>
      <c r="BK2806" t="s">
        <v>7259</v>
      </c>
      <c r="BL2806" t="s">
        <v>8791</v>
      </c>
      <c r="BM2806" t="s">
        <v>25715</v>
      </c>
      <c r="BN2806" t="s">
        <v>23454</v>
      </c>
    </row>
    <row r="2807" spans="1:66" x14ac:dyDescent="0.25">
      <c r="A2807" t="str">
        <f>HYPERLINK("https://elite.finviz.com/quote.ashx?t=UE&amp;ty=c&amp;p=d&amp;b=1", "UE")</f>
        <v>UE</v>
      </c>
      <c r="B2807">
        <v>5</v>
      </c>
      <c r="C2807">
        <v>116.22</v>
      </c>
      <c r="D2807">
        <v>42.17</v>
      </c>
      <c r="E2807" t="s">
        <v>25716</v>
      </c>
      <c r="F2807" t="s">
        <v>67</v>
      </c>
      <c r="G2807" t="s">
        <v>68</v>
      </c>
      <c r="H2807" t="s">
        <v>160</v>
      </c>
      <c r="I2807" t="s">
        <v>70</v>
      </c>
      <c r="J2807" t="s">
        <v>71</v>
      </c>
      <c r="K2807">
        <v>2650.69</v>
      </c>
      <c r="L2807">
        <v>20.02</v>
      </c>
      <c r="M2807" t="s">
        <v>4266</v>
      </c>
      <c r="N2807">
        <v>46102</v>
      </c>
      <c r="O2807">
        <v>24.07</v>
      </c>
      <c r="P2807">
        <v>46.56</v>
      </c>
      <c r="R2807">
        <v>5.75</v>
      </c>
      <c r="S2807">
        <v>1.92</v>
      </c>
      <c r="T2807" t="s">
        <v>756</v>
      </c>
      <c r="U2807">
        <v>0.72</v>
      </c>
      <c r="V2807" t="s">
        <v>3833</v>
      </c>
      <c r="W2807" t="s">
        <v>229</v>
      </c>
      <c r="X2807" t="s">
        <v>165</v>
      </c>
      <c r="Y2807" t="s">
        <v>4500</v>
      </c>
      <c r="Z2807" t="s">
        <v>25717</v>
      </c>
      <c r="AA2807">
        <v>0.83</v>
      </c>
      <c r="AB2807" t="s">
        <v>12912</v>
      </c>
      <c r="AC2807" t="s">
        <v>5176</v>
      </c>
      <c r="AD2807" t="s">
        <v>1779</v>
      </c>
      <c r="AE2807" t="s">
        <v>614</v>
      </c>
      <c r="AF2807" t="s">
        <v>2572</v>
      </c>
      <c r="AG2807" t="s">
        <v>3173</v>
      </c>
      <c r="AH2807" t="s">
        <v>2448</v>
      </c>
      <c r="AI2807" t="s">
        <v>25718</v>
      </c>
      <c r="AJ2807" t="s">
        <v>20462</v>
      </c>
      <c r="AK2807" t="s">
        <v>7208</v>
      </c>
      <c r="AL2807">
        <v>6.66</v>
      </c>
      <c r="AM2807">
        <v>6.66</v>
      </c>
      <c r="AN2807">
        <v>1.41</v>
      </c>
      <c r="AO2807" t="s">
        <v>4644</v>
      </c>
      <c r="AP2807" t="s">
        <v>17740</v>
      </c>
      <c r="AQ2807" t="s">
        <v>235</v>
      </c>
      <c r="AR2807" t="s">
        <v>7423</v>
      </c>
      <c r="AS2807" t="s">
        <v>2195</v>
      </c>
      <c r="AT2807" t="s">
        <v>1081</v>
      </c>
      <c r="AU2807" t="s">
        <v>2197</v>
      </c>
      <c r="AV2807" t="s">
        <v>3544</v>
      </c>
      <c r="AW2807" t="s">
        <v>4282</v>
      </c>
      <c r="AX2807" t="s">
        <v>6956</v>
      </c>
      <c r="AY2807" t="s">
        <v>19824</v>
      </c>
      <c r="AZ2807" t="s">
        <v>21981</v>
      </c>
      <c r="BA2807">
        <v>2</v>
      </c>
      <c r="BB2807">
        <v>1090.8800000000001</v>
      </c>
      <c r="BC2807">
        <v>0.15</v>
      </c>
      <c r="BD2807">
        <v>19.97</v>
      </c>
      <c r="BE2807">
        <v>20.14</v>
      </c>
      <c r="BF2807">
        <v>19.89</v>
      </c>
      <c r="BG2807" t="s">
        <v>25719</v>
      </c>
      <c r="BH2807" t="s">
        <v>2182</v>
      </c>
      <c r="BI2807" t="s">
        <v>25720</v>
      </c>
      <c r="BJ2807" t="s">
        <v>101</v>
      </c>
      <c r="BK2807" t="s">
        <v>614</v>
      </c>
      <c r="BL2807" t="s">
        <v>614</v>
      </c>
      <c r="BM2807" t="s">
        <v>2538</v>
      </c>
      <c r="BN2807" t="s">
        <v>23454</v>
      </c>
    </row>
    <row r="2808" spans="1:66" x14ac:dyDescent="0.25">
      <c r="A2808" t="str">
        <f>HYPERLINK("https://elite.finviz.com/quote.ashx?t=DEI&amp;ty=c&amp;p=d&amp;b=1", "DEI")</f>
        <v>DEI</v>
      </c>
      <c r="B2808">
        <v>5</v>
      </c>
      <c r="C2808">
        <v>116.22</v>
      </c>
      <c r="D2808">
        <v>42.17</v>
      </c>
      <c r="E2808" t="s">
        <v>25721</v>
      </c>
      <c r="F2808" t="s">
        <v>67</v>
      </c>
      <c r="G2808" t="s">
        <v>68</v>
      </c>
      <c r="H2808" t="s">
        <v>69</v>
      </c>
      <c r="I2808" t="s">
        <v>70</v>
      </c>
      <c r="J2808" t="s">
        <v>71</v>
      </c>
      <c r="K2808">
        <v>3138.56</v>
      </c>
      <c r="L2808">
        <v>15.47</v>
      </c>
      <c r="M2808" t="s">
        <v>2757</v>
      </c>
      <c r="N2808">
        <v>154069</v>
      </c>
      <c r="O2808">
        <v>71.459999999999994</v>
      </c>
      <c r="R2808">
        <v>3.14</v>
      </c>
      <c r="S2808">
        <v>1.3</v>
      </c>
      <c r="T2808" t="s">
        <v>7978</v>
      </c>
      <c r="U2808">
        <v>0.57999999999999996</v>
      </c>
      <c r="V2808" t="s">
        <v>198</v>
      </c>
      <c r="W2808" t="s">
        <v>164</v>
      </c>
      <c r="X2808" t="s">
        <v>13083</v>
      </c>
      <c r="Y2808" t="s">
        <v>7383</v>
      </c>
      <c r="Z2808" t="s">
        <v>25722</v>
      </c>
      <c r="AA2808">
        <v>0.22</v>
      </c>
      <c r="AB2808" t="s">
        <v>8757</v>
      </c>
      <c r="AC2808" t="s">
        <v>24230</v>
      </c>
      <c r="AE2808" t="s">
        <v>3896</v>
      </c>
      <c r="AF2808" t="s">
        <v>92</v>
      </c>
      <c r="AG2808" t="s">
        <v>2610</v>
      </c>
      <c r="AH2808" t="s">
        <v>2496</v>
      </c>
      <c r="AI2808" t="s">
        <v>10712</v>
      </c>
      <c r="AJ2808" t="s">
        <v>164</v>
      </c>
      <c r="AK2808" t="s">
        <v>25723</v>
      </c>
      <c r="AL2808">
        <v>2.17</v>
      </c>
      <c r="AM2808">
        <v>2.17</v>
      </c>
      <c r="AN2808">
        <v>2.79</v>
      </c>
      <c r="AO2808" t="s">
        <v>8684</v>
      </c>
      <c r="AP2808" t="s">
        <v>5653</v>
      </c>
      <c r="AQ2808" t="s">
        <v>3325</v>
      </c>
      <c r="AR2808" t="s">
        <v>1761</v>
      </c>
      <c r="AS2808" t="s">
        <v>92</v>
      </c>
      <c r="AT2808" t="s">
        <v>309</v>
      </c>
      <c r="AU2808" t="s">
        <v>2899</v>
      </c>
      <c r="AV2808" t="s">
        <v>6130</v>
      </c>
      <c r="AW2808" t="s">
        <v>5939</v>
      </c>
      <c r="AX2808" t="s">
        <v>6448</v>
      </c>
      <c r="AY2808" t="s">
        <v>20495</v>
      </c>
      <c r="AZ2808" t="s">
        <v>3760</v>
      </c>
      <c r="BA2808">
        <v>2.58</v>
      </c>
      <c r="BB2808">
        <v>1583.91</v>
      </c>
      <c r="BC2808">
        <v>0.34</v>
      </c>
      <c r="BD2808">
        <v>15.45</v>
      </c>
      <c r="BE2808">
        <v>15.55</v>
      </c>
      <c r="BF2808">
        <v>15.42</v>
      </c>
      <c r="BG2808" t="s">
        <v>25724</v>
      </c>
      <c r="BH2808" t="s">
        <v>25474</v>
      </c>
      <c r="BI2808" t="s">
        <v>25725</v>
      </c>
      <c r="BJ2808" t="s">
        <v>101</v>
      </c>
      <c r="BK2808" t="s">
        <v>3925</v>
      </c>
      <c r="BL2808" t="s">
        <v>3509</v>
      </c>
      <c r="BM2808" t="s">
        <v>12495</v>
      </c>
      <c r="BN2808" t="s">
        <v>23454</v>
      </c>
    </row>
    <row r="2809" spans="1:66" x14ac:dyDescent="0.25">
      <c r="A2809" t="str">
        <f>HYPERLINK("https://elite.finviz.com/quote.ashx?t=ALDX&amp;ty=c&amp;p=d&amp;b=1", "ALDX")</f>
        <v>ALDX</v>
      </c>
      <c r="B2809">
        <v>5</v>
      </c>
      <c r="C2809">
        <v>116.22</v>
      </c>
      <c r="D2809">
        <v>42.2</v>
      </c>
      <c r="E2809" t="s">
        <v>25726</v>
      </c>
      <c r="F2809" t="s">
        <v>67</v>
      </c>
      <c r="G2809" t="s">
        <v>428</v>
      </c>
      <c r="H2809" t="s">
        <v>429</v>
      </c>
      <c r="I2809" t="s">
        <v>70</v>
      </c>
      <c r="J2809" t="s">
        <v>321</v>
      </c>
      <c r="K2809">
        <v>300.97000000000003</v>
      </c>
      <c r="L2809">
        <v>5.03</v>
      </c>
      <c r="M2809" t="s">
        <v>3349</v>
      </c>
      <c r="N2809">
        <v>96380</v>
      </c>
      <c r="P2809">
        <v>33.880000000000003</v>
      </c>
      <c r="S2809">
        <v>5.46</v>
      </c>
      <c r="AA2809">
        <v>-0.85</v>
      </c>
      <c r="AB2809" t="s">
        <v>3519</v>
      </c>
      <c r="AC2809" t="s">
        <v>10361</v>
      </c>
      <c r="AI2809" t="s">
        <v>10378</v>
      </c>
      <c r="AJ2809" t="s">
        <v>22607</v>
      </c>
      <c r="AK2809" t="s">
        <v>18772</v>
      </c>
      <c r="AL2809">
        <v>2.82</v>
      </c>
      <c r="AM2809">
        <v>2.82</v>
      </c>
      <c r="AN2809">
        <v>0.28000000000000003</v>
      </c>
      <c r="AR2809" t="s">
        <v>3020</v>
      </c>
      <c r="AS2809" t="s">
        <v>6525</v>
      </c>
      <c r="AT2809" t="s">
        <v>7380</v>
      </c>
      <c r="AU2809" t="s">
        <v>2354</v>
      </c>
      <c r="AV2809" t="s">
        <v>3147</v>
      </c>
      <c r="AW2809" t="s">
        <v>14241</v>
      </c>
      <c r="AX2809" t="s">
        <v>7287</v>
      </c>
      <c r="AY2809" t="s">
        <v>25727</v>
      </c>
      <c r="AZ2809" t="s">
        <v>15693</v>
      </c>
      <c r="BA2809">
        <v>1</v>
      </c>
      <c r="BB2809">
        <v>1027.1400000000001</v>
      </c>
      <c r="BC2809">
        <v>0.33</v>
      </c>
      <c r="BD2809">
        <v>4.95</v>
      </c>
      <c r="BE2809">
        <v>5.03</v>
      </c>
      <c r="BF2809">
        <v>4.91</v>
      </c>
      <c r="BG2809" t="s">
        <v>25728</v>
      </c>
      <c r="BH2809" t="s">
        <v>25729</v>
      </c>
      <c r="BI2809" t="s">
        <v>15693</v>
      </c>
      <c r="BJ2809" t="s">
        <v>101</v>
      </c>
      <c r="BK2809" t="s">
        <v>5033</v>
      </c>
      <c r="BL2809" t="s">
        <v>5828</v>
      </c>
      <c r="BM2809" t="s">
        <v>10906</v>
      </c>
      <c r="BN2809" t="s">
        <v>23454</v>
      </c>
    </row>
    <row r="2810" spans="1:66" x14ac:dyDescent="0.25">
      <c r="A2810" t="str">
        <f>HYPERLINK("https://elite.finviz.com/quote.ashx?t=ARR&amp;ty=c&amp;p=d&amp;b=1", "ARR")</f>
        <v>ARR</v>
      </c>
      <c r="B2810">
        <v>5</v>
      </c>
      <c r="C2810">
        <v>116.22</v>
      </c>
      <c r="D2810">
        <v>42.2</v>
      </c>
      <c r="E2810" t="s">
        <v>25730</v>
      </c>
      <c r="F2810" t="s">
        <v>67</v>
      </c>
      <c r="G2810" t="s">
        <v>68</v>
      </c>
      <c r="H2810" t="s">
        <v>5566</v>
      </c>
      <c r="I2810" t="s">
        <v>70</v>
      </c>
      <c r="J2810" t="s">
        <v>71</v>
      </c>
      <c r="K2810">
        <v>1641.34</v>
      </c>
      <c r="L2810">
        <v>14.58</v>
      </c>
      <c r="M2810" t="s">
        <v>2217</v>
      </c>
      <c r="N2810">
        <v>883679</v>
      </c>
      <c r="P2810">
        <v>4.46</v>
      </c>
      <c r="R2810">
        <v>2.1800000000000002</v>
      </c>
      <c r="S2810">
        <v>0.77</v>
      </c>
      <c r="T2810" t="s">
        <v>3413</v>
      </c>
      <c r="U2810">
        <v>2.88</v>
      </c>
      <c r="V2810" t="s">
        <v>7373</v>
      </c>
      <c r="W2810" t="s">
        <v>21399</v>
      </c>
      <c r="X2810" t="s">
        <v>15454</v>
      </c>
      <c r="Y2810" t="s">
        <v>10564</v>
      </c>
      <c r="AA2810">
        <v>-0.23</v>
      </c>
      <c r="AC2810" t="s">
        <v>5327</v>
      </c>
      <c r="AD2810" t="s">
        <v>9513</v>
      </c>
      <c r="AE2810" t="s">
        <v>25731</v>
      </c>
      <c r="AF2810" t="s">
        <v>25732</v>
      </c>
      <c r="AG2810" t="s">
        <v>92</v>
      </c>
      <c r="AH2810" t="s">
        <v>25733</v>
      </c>
      <c r="AI2810" t="s">
        <v>1580</v>
      </c>
      <c r="AJ2810" t="s">
        <v>164</v>
      </c>
      <c r="AK2810" t="s">
        <v>25734</v>
      </c>
      <c r="AL2810">
        <v>1.1599999999999999</v>
      </c>
      <c r="AM2810">
        <v>1.1599999999999999</v>
      </c>
      <c r="AN2810">
        <v>7.72</v>
      </c>
      <c r="AO2810" t="s">
        <v>2254</v>
      </c>
      <c r="AP2810" t="s">
        <v>14533</v>
      </c>
      <c r="AQ2810" t="s">
        <v>1929</v>
      </c>
      <c r="AR2810" t="s">
        <v>2582</v>
      </c>
      <c r="AS2810" t="s">
        <v>2219</v>
      </c>
      <c r="AT2810" t="s">
        <v>7391</v>
      </c>
      <c r="AU2810" t="s">
        <v>16493</v>
      </c>
      <c r="AV2810" t="s">
        <v>19779</v>
      </c>
      <c r="AW2810" t="s">
        <v>19383</v>
      </c>
      <c r="AX2810" t="s">
        <v>3025</v>
      </c>
      <c r="AY2810" t="s">
        <v>15919</v>
      </c>
      <c r="AZ2810" t="s">
        <v>3549</v>
      </c>
      <c r="BA2810">
        <v>2.6</v>
      </c>
      <c r="BB2810">
        <v>3726.28</v>
      </c>
      <c r="BC2810">
        <v>0.84</v>
      </c>
      <c r="BD2810">
        <v>14.34</v>
      </c>
      <c r="BE2810">
        <v>14.66</v>
      </c>
      <c r="BF2810">
        <v>14.36</v>
      </c>
      <c r="BG2810" t="s">
        <v>25735</v>
      </c>
      <c r="BH2810" t="s">
        <v>12716</v>
      </c>
      <c r="BI2810" t="s">
        <v>3549</v>
      </c>
      <c r="BJ2810" t="s">
        <v>101</v>
      </c>
      <c r="BK2810" t="s">
        <v>968</v>
      </c>
      <c r="BL2810" t="s">
        <v>7065</v>
      </c>
      <c r="BM2810" t="s">
        <v>17166</v>
      </c>
      <c r="BN2810" t="s">
        <v>23454</v>
      </c>
    </row>
    <row r="2811" spans="1:66" x14ac:dyDescent="0.25">
      <c r="A2811" t="str">
        <f>HYPERLINK("https://elite.finviz.com/quote.ashx?t=SNOA&amp;ty=c&amp;p=d&amp;b=1", "SNOA")</f>
        <v>SNOA</v>
      </c>
      <c r="B2811">
        <v>5</v>
      </c>
      <c r="C2811">
        <v>116.22</v>
      </c>
      <c r="D2811">
        <v>42.22</v>
      </c>
      <c r="E2811" t="s">
        <v>25736</v>
      </c>
      <c r="F2811" t="s">
        <v>107</v>
      </c>
      <c r="G2811" t="s">
        <v>428</v>
      </c>
      <c r="H2811" t="s">
        <v>1296</v>
      </c>
      <c r="I2811" t="s">
        <v>70</v>
      </c>
      <c r="J2811" t="s">
        <v>321</v>
      </c>
      <c r="K2811">
        <v>6.57</v>
      </c>
      <c r="L2811">
        <v>4</v>
      </c>
      <c r="M2811" t="s">
        <v>3286</v>
      </c>
      <c r="N2811">
        <v>4788</v>
      </c>
      <c r="R2811">
        <v>0.44</v>
      </c>
      <c r="S2811">
        <v>1.62</v>
      </c>
      <c r="AA2811">
        <v>-2.46</v>
      </c>
      <c r="AB2811" t="s">
        <v>23036</v>
      </c>
      <c r="AC2811" t="s">
        <v>8388</v>
      </c>
      <c r="AE2811" t="s">
        <v>3390</v>
      </c>
      <c r="AF2811" t="s">
        <v>5331</v>
      </c>
      <c r="AG2811" t="s">
        <v>15245</v>
      </c>
      <c r="AH2811" t="s">
        <v>9488</v>
      </c>
      <c r="AI2811" t="s">
        <v>3685</v>
      </c>
      <c r="AJ2811" t="s">
        <v>164</v>
      </c>
      <c r="AK2811" t="s">
        <v>4393</v>
      </c>
      <c r="AL2811">
        <v>2.66</v>
      </c>
      <c r="AM2811">
        <v>1.87</v>
      </c>
      <c r="AN2811">
        <v>0.17</v>
      </c>
      <c r="AO2811" t="s">
        <v>19093</v>
      </c>
      <c r="AP2811" t="s">
        <v>17578</v>
      </c>
      <c r="AQ2811" t="s">
        <v>6958</v>
      </c>
      <c r="AR2811" t="s">
        <v>1981</v>
      </c>
      <c r="AS2811" t="s">
        <v>2235</v>
      </c>
      <c r="AT2811" t="s">
        <v>4410</v>
      </c>
      <c r="AU2811" t="s">
        <v>11830</v>
      </c>
      <c r="AV2811" t="s">
        <v>606</v>
      </c>
      <c r="AW2811" t="s">
        <v>9988</v>
      </c>
      <c r="AX2811" t="s">
        <v>16470</v>
      </c>
      <c r="AY2811" t="s">
        <v>9988</v>
      </c>
      <c r="AZ2811" t="s">
        <v>25737</v>
      </c>
      <c r="BA2811">
        <v>1</v>
      </c>
      <c r="BB2811">
        <v>1267.97</v>
      </c>
      <c r="BC2811">
        <v>0.01</v>
      </c>
      <c r="BD2811">
        <v>4.0599999999999996</v>
      </c>
      <c r="BE2811">
        <v>4.1500000000000004</v>
      </c>
      <c r="BF2811">
        <v>4.05</v>
      </c>
      <c r="BG2811" t="s">
        <v>25738</v>
      </c>
      <c r="BH2811" t="s">
        <v>3320</v>
      </c>
      <c r="BI2811" t="s">
        <v>25737</v>
      </c>
      <c r="BJ2811" t="s">
        <v>101</v>
      </c>
      <c r="BK2811" t="s">
        <v>16235</v>
      </c>
      <c r="BL2811" t="s">
        <v>16282</v>
      </c>
      <c r="BM2811" t="s">
        <v>6969</v>
      </c>
      <c r="BN2811" t="s">
        <v>23454</v>
      </c>
    </row>
    <row r="2812" spans="1:66" x14ac:dyDescent="0.25">
      <c r="A2812" t="str">
        <f>HYPERLINK("https://elite.finviz.com/quote.ashx?t=HAIN&amp;ty=c&amp;p=d&amp;b=1", "HAIN")</f>
        <v>HAIN</v>
      </c>
      <c r="B2812">
        <v>5</v>
      </c>
      <c r="C2812">
        <v>116.22</v>
      </c>
      <c r="D2812">
        <v>42.23</v>
      </c>
      <c r="E2812" t="s">
        <v>25739</v>
      </c>
      <c r="F2812" t="s">
        <v>67</v>
      </c>
      <c r="G2812" t="s">
        <v>2244</v>
      </c>
      <c r="H2812" t="s">
        <v>3269</v>
      </c>
      <c r="I2812" t="s">
        <v>70</v>
      </c>
      <c r="J2812" t="s">
        <v>321</v>
      </c>
      <c r="K2812">
        <v>140.91</v>
      </c>
      <c r="L2812">
        <v>1.56</v>
      </c>
      <c r="M2812" t="s">
        <v>5549</v>
      </c>
      <c r="N2812">
        <v>357802</v>
      </c>
      <c r="P2812">
        <v>8.67</v>
      </c>
      <c r="R2812">
        <v>0.09</v>
      </c>
      <c r="S2812">
        <v>0.3</v>
      </c>
      <c r="AA2812">
        <v>-5.93</v>
      </c>
      <c r="AC2812" t="s">
        <v>25740</v>
      </c>
      <c r="AD2812" t="s">
        <v>4418</v>
      </c>
      <c r="AE2812" t="s">
        <v>11625</v>
      </c>
      <c r="AF2812" t="s">
        <v>4517</v>
      </c>
      <c r="AG2812" t="s">
        <v>3595</v>
      </c>
      <c r="AH2812" t="s">
        <v>8838</v>
      </c>
      <c r="AI2812" t="s">
        <v>25741</v>
      </c>
      <c r="AJ2812" t="s">
        <v>25742</v>
      </c>
      <c r="AK2812" t="s">
        <v>25743</v>
      </c>
      <c r="AL2812">
        <v>1.91</v>
      </c>
      <c r="AM2812">
        <v>1.02</v>
      </c>
      <c r="AN2812">
        <v>1.64</v>
      </c>
      <c r="AO2812" t="s">
        <v>20144</v>
      </c>
      <c r="AP2812" t="s">
        <v>1100</v>
      </c>
      <c r="AQ2812" t="s">
        <v>25113</v>
      </c>
      <c r="AR2812" t="s">
        <v>4819</v>
      </c>
      <c r="AS2812" t="s">
        <v>3181</v>
      </c>
      <c r="AT2812" t="s">
        <v>14960</v>
      </c>
      <c r="AU2812" t="s">
        <v>503</v>
      </c>
      <c r="AV2812" t="s">
        <v>11834</v>
      </c>
      <c r="AW2812" t="s">
        <v>3523</v>
      </c>
      <c r="AX2812" t="s">
        <v>4728</v>
      </c>
      <c r="AY2812" t="s">
        <v>8304</v>
      </c>
      <c r="AZ2812" t="s">
        <v>6316</v>
      </c>
      <c r="BA2812">
        <v>2.56</v>
      </c>
      <c r="BB2812">
        <v>1589.23</v>
      </c>
      <c r="BC2812">
        <v>0.79</v>
      </c>
      <c r="BD2812">
        <v>1.56</v>
      </c>
      <c r="BE2812">
        <v>1.56</v>
      </c>
      <c r="BF2812">
        <v>1.54</v>
      </c>
      <c r="BG2812" t="s">
        <v>25744</v>
      </c>
      <c r="BH2812" t="s">
        <v>25745</v>
      </c>
      <c r="BI2812" t="s">
        <v>6681</v>
      </c>
      <c r="BJ2812" t="s">
        <v>101</v>
      </c>
      <c r="BK2812" t="s">
        <v>3524</v>
      </c>
      <c r="BL2812" t="s">
        <v>25746</v>
      </c>
      <c r="BM2812" t="s">
        <v>25747</v>
      </c>
      <c r="BN2812" t="s">
        <v>23454</v>
      </c>
    </row>
    <row r="2813" spans="1:66" x14ac:dyDescent="0.25">
      <c r="A2813" t="str">
        <f>HYPERLINK("https://elite.finviz.com/quote.ashx?t=PGY&amp;ty=c&amp;p=d&amp;b=1", "PGY")</f>
        <v>PGY</v>
      </c>
      <c r="B2813">
        <v>5</v>
      </c>
      <c r="C2813">
        <v>116.22</v>
      </c>
      <c r="D2813">
        <v>42.25</v>
      </c>
      <c r="E2813" t="s">
        <v>25748</v>
      </c>
      <c r="F2813" t="s">
        <v>67</v>
      </c>
      <c r="G2813" t="s">
        <v>108</v>
      </c>
      <c r="H2813" t="s">
        <v>109</v>
      </c>
      <c r="I2813" t="s">
        <v>70</v>
      </c>
      <c r="J2813" t="s">
        <v>321</v>
      </c>
      <c r="K2813">
        <v>2623.03</v>
      </c>
      <c r="L2813">
        <v>34.24</v>
      </c>
      <c r="M2813" t="s">
        <v>5895</v>
      </c>
      <c r="N2813">
        <v>1527129</v>
      </c>
      <c r="P2813">
        <v>22.12</v>
      </c>
      <c r="R2813">
        <v>2.33</v>
      </c>
      <c r="S2813">
        <v>7.11</v>
      </c>
      <c r="AA2813">
        <v>-3.84</v>
      </c>
      <c r="AB2813" t="s">
        <v>25749</v>
      </c>
      <c r="AE2813" t="s">
        <v>5690</v>
      </c>
      <c r="AF2813" t="s">
        <v>25750</v>
      </c>
      <c r="AG2813" t="s">
        <v>6046</v>
      </c>
      <c r="AH2813" t="s">
        <v>11064</v>
      </c>
      <c r="AI2813" t="s">
        <v>4903</v>
      </c>
      <c r="AJ2813" t="s">
        <v>5623</v>
      </c>
      <c r="AK2813" t="s">
        <v>1385</v>
      </c>
      <c r="AL2813">
        <v>1.42</v>
      </c>
      <c r="AM2813">
        <v>1.42</v>
      </c>
      <c r="AN2813">
        <v>2.2799999999999998</v>
      </c>
      <c r="AO2813" t="s">
        <v>8824</v>
      </c>
      <c r="AP2813" t="s">
        <v>9545</v>
      </c>
      <c r="AQ2813" t="s">
        <v>6986</v>
      </c>
      <c r="AR2813" t="s">
        <v>484</v>
      </c>
      <c r="AS2813" t="s">
        <v>1243</v>
      </c>
      <c r="AT2813" t="s">
        <v>14502</v>
      </c>
      <c r="AU2813" t="s">
        <v>6298</v>
      </c>
      <c r="AV2813" t="s">
        <v>3730</v>
      </c>
      <c r="AW2813" t="s">
        <v>16968</v>
      </c>
      <c r="AX2813" t="s">
        <v>12527</v>
      </c>
      <c r="AY2813" t="s">
        <v>16968</v>
      </c>
      <c r="AZ2813" t="s">
        <v>25751</v>
      </c>
      <c r="BA2813">
        <v>1.2</v>
      </c>
      <c r="BB2813">
        <v>3698.95</v>
      </c>
      <c r="BC2813">
        <v>1.45</v>
      </c>
      <c r="BD2813">
        <v>34.78</v>
      </c>
      <c r="BE2813">
        <v>35.47</v>
      </c>
      <c r="BF2813">
        <v>34.049999999999997</v>
      </c>
      <c r="BG2813" t="s">
        <v>25752</v>
      </c>
      <c r="BH2813" t="s">
        <v>25753</v>
      </c>
      <c r="BI2813" t="s">
        <v>25754</v>
      </c>
      <c r="BJ2813" t="s">
        <v>101</v>
      </c>
      <c r="BK2813" t="s">
        <v>10145</v>
      </c>
      <c r="BL2813" t="s">
        <v>25755</v>
      </c>
      <c r="BM2813" t="s">
        <v>25756</v>
      </c>
      <c r="BN2813" t="s">
        <v>23454</v>
      </c>
    </row>
    <row r="2814" spans="1:66" x14ac:dyDescent="0.25">
      <c r="A2814" t="str">
        <f>HYPERLINK("https://elite.finviz.com/quote.ashx?t=AUR&amp;ty=c&amp;p=d&amp;b=1", "AUR")</f>
        <v>AUR</v>
      </c>
      <c r="B2814">
        <v>5</v>
      </c>
      <c r="C2814">
        <v>116.22</v>
      </c>
      <c r="D2814">
        <v>42.27</v>
      </c>
      <c r="E2814" t="s">
        <v>25757</v>
      </c>
      <c r="F2814" t="s">
        <v>107</v>
      </c>
      <c r="G2814" t="s">
        <v>108</v>
      </c>
      <c r="H2814" t="s">
        <v>1322</v>
      </c>
      <c r="I2814" t="s">
        <v>70</v>
      </c>
      <c r="J2814" t="s">
        <v>321</v>
      </c>
      <c r="K2814">
        <v>10253.959999999999</v>
      </c>
      <c r="L2814">
        <v>5.56</v>
      </c>
      <c r="M2814" t="s">
        <v>7270</v>
      </c>
      <c r="N2814">
        <v>3147359</v>
      </c>
      <c r="R2814">
        <v>10253.959999999999</v>
      </c>
      <c r="S2814">
        <v>5.13</v>
      </c>
      <c r="AA2814">
        <v>-0.47</v>
      </c>
      <c r="AB2814" t="s">
        <v>1199</v>
      </c>
      <c r="AC2814" t="s">
        <v>15906</v>
      </c>
      <c r="AD2814" t="s">
        <v>2941</v>
      </c>
      <c r="AE2814" t="s">
        <v>579</v>
      </c>
      <c r="AI2814" t="s">
        <v>1114</v>
      </c>
      <c r="AJ2814" t="s">
        <v>2215</v>
      </c>
      <c r="AK2814" t="s">
        <v>20702</v>
      </c>
      <c r="AL2814">
        <v>16.96</v>
      </c>
      <c r="AM2814">
        <v>16.96</v>
      </c>
      <c r="AN2814">
        <v>0.06</v>
      </c>
      <c r="AO2814" t="s">
        <v>25758</v>
      </c>
      <c r="AP2814" t="s">
        <v>25759</v>
      </c>
      <c r="AQ2814" t="s">
        <v>25760</v>
      </c>
      <c r="AR2814" t="s">
        <v>5336</v>
      </c>
      <c r="AS2814" t="s">
        <v>3524</v>
      </c>
      <c r="AT2814" t="s">
        <v>2109</v>
      </c>
      <c r="AU2814" t="s">
        <v>15209</v>
      </c>
      <c r="AV2814" t="s">
        <v>20286</v>
      </c>
      <c r="AW2814" t="s">
        <v>11532</v>
      </c>
      <c r="AX2814" t="s">
        <v>9130</v>
      </c>
      <c r="AY2814" t="s">
        <v>23474</v>
      </c>
      <c r="AZ2814" t="s">
        <v>10252</v>
      </c>
      <c r="BA2814">
        <v>2</v>
      </c>
      <c r="BB2814">
        <v>21559.23</v>
      </c>
      <c r="BC2814">
        <v>0.51</v>
      </c>
      <c r="BD2814">
        <v>5.59</v>
      </c>
      <c r="BE2814">
        <v>5.63</v>
      </c>
      <c r="BF2814">
        <v>5.53</v>
      </c>
      <c r="BG2814" t="s">
        <v>25761</v>
      </c>
      <c r="BH2814" t="s">
        <v>25762</v>
      </c>
      <c r="BI2814" t="s">
        <v>25763</v>
      </c>
      <c r="BJ2814" t="s">
        <v>101</v>
      </c>
      <c r="BK2814" t="s">
        <v>1283</v>
      </c>
      <c r="BL2814" t="s">
        <v>25764</v>
      </c>
      <c r="BM2814" t="s">
        <v>7672</v>
      </c>
      <c r="BN2814" t="s">
        <v>23454</v>
      </c>
    </row>
    <row r="2815" spans="1:66" x14ac:dyDescent="0.25">
      <c r="A2815" t="str">
        <f>HYPERLINK("https://elite.finviz.com/quote.ashx?t=HCTI&amp;ty=c&amp;p=d&amp;b=1", "HCTI")</f>
        <v>HCTI</v>
      </c>
      <c r="B2815">
        <v>5</v>
      </c>
      <c r="C2815">
        <v>116.22</v>
      </c>
      <c r="D2815">
        <v>42.27</v>
      </c>
      <c r="E2815" t="s">
        <v>25765</v>
      </c>
      <c r="F2815" t="s">
        <v>107</v>
      </c>
      <c r="G2815" t="s">
        <v>428</v>
      </c>
      <c r="H2815" t="s">
        <v>2075</v>
      </c>
      <c r="I2815" t="s">
        <v>70</v>
      </c>
      <c r="J2815" t="s">
        <v>321</v>
      </c>
      <c r="K2815">
        <v>14.4</v>
      </c>
      <c r="L2815">
        <v>2.4700000000000002</v>
      </c>
      <c r="M2815" t="s">
        <v>3322</v>
      </c>
      <c r="N2815">
        <v>114628</v>
      </c>
      <c r="R2815">
        <v>1.21</v>
      </c>
      <c r="S2815">
        <v>5.19</v>
      </c>
      <c r="AA2815">
        <v>-157.69999999999999</v>
      </c>
      <c r="AB2815" t="s">
        <v>1570</v>
      </c>
      <c r="AE2815" t="s">
        <v>25766</v>
      </c>
      <c r="AF2815" t="s">
        <v>20522</v>
      </c>
      <c r="AG2815" t="s">
        <v>14754</v>
      </c>
      <c r="AH2815" t="s">
        <v>8464</v>
      </c>
      <c r="AJ2815" t="s">
        <v>164</v>
      </c>
      <c r="AK2815" t="s">
        <v>3552</v>
      </c>
      <c r="AL2815">
        <v>2.81</v>
      </c>
      <c r="AM2815">
        <v>2.81</v>
      </c>
      <c r="AN2815">
        <v>0.04</v>
      </c>
      <c r="AO2815" t="s">
        <v>2018</v>
      </c>
      <c r="AP2815" t="s">
        <v>25767</v>
      </c>
      <c r="AQ2815" t="s">
        <v>25768</v>
      </c>
      <c r="AR2815" t="s">
        <v>7236</v>
      </c>
      <c r="AS2815" t="s">
        <v>5607</v>
      </c>
      <c r="AT2815" t="s">
        <v>6056</v>
      </c>
      <c r="AU2815" t="s">
        <v>25769</v>
      </c>
      <c r="AV2815" t="s">
        <v>24907</v>
      </c>
      <c r="AW2815" t="s">
        <v>25770</v>
      </c>
      <c r="AX2815" t="s">
        <v>8521</v>
      </c>
      <c r="AY2815" t="s">
        <v>11217</v>
      </c>
      <c r="AZ2815" t="s">
        <v>25771</v>
      </c>
      <c r="BA2815">
        <v>1</v>
      </c>
      <c r="BB2815">
        <v>1365.29</v>
      </c>
      <c r="BC2815">
        <v>0.3</v>
      </c>
      <c r="BD2815">
        <v>2.5499999999999998</v>
      </c>
      <c r="BE2815">
        <v>2.5299999999999998</v>
      </c>
      <c r="BF2815">
        <v>2.4300000000000002</v>
      </c>
      <c r="BG2815" t="s">
        <v>25772</v>
      </c>
      <c r="BH2815" t="s">
        <v>3265</v>
      </c>
      <c r="BI2815" t="s">
        <v>25771</v>
      </c>
      <c r="BJ2815" t="s">
        <v>101</v>
      </c>
      <c r="BK2815" t="s">
        <v>25773</v>
      </c>
      <c r="BL2815" t="s">
        <v>21020</v>
      </c>
      <c r="BM2815" t="s">
        <v>23728</v>
      </c>
      <c r="BN2815" t="s">
        <v>23454</v>
      </c>
    </row>
    <row r="2816" spans="1:66" x14ac:dyDescent="0.25">
      <c r="A2816" t="str">
        <f>HYPERLINK("https://elite.finviz.com/quote.ashx?t=ACDC&amp;ty=c&amp;p=d&amp;b=1", "ACDC")</f>
        <v>ACDC</v>
      </c>
      <c r="B2816">
        <v>5</v>
      </c>
      <c r="C2816">
        <v>116.22</v>
      </c>
      <c r="D2816">
        <v>42.27</v>
      </c>
      <c r="E2816" t="s">
        <v>25774</v>
      </c>
      <c r="F2816" t="s">
        <v>67</v>
      </c>
      <c r="G2816" t="s">
        <v>1048</v>
      </c>
      <c r="H2816" t="s">
        <v>8341</v>
      </c>
      <c r="I2816" t="s">
        <v>70</v>
      </c>
      <c r="J2816" t="s">
        <v>321</v>
      </c>
      <c r="K2816">
        <v>621.9</v>
      </c>
      <c r="L2816">
        <v>3.84</v>
      </c>
      <c r="M2816" t="s">
        <v>6121</v>
      </c>
      <c r="N2816">
        <v>575132</v>
      </c>
      <c r="R2816">
        <v>0.28999999999999998</v>
      </c>
      <c r="S2816">
        <v>0.7</v>
      </c>
      <c r="AA2816">
        <v>-1.74</v>
      </c>
      <c r="AB2816" t="s">
        <v>9666</v>
      </c>
      <c r="AC2816" t="s">
        <v>4148</v>
      </c>
      <c r="AD2816" t="s">
        <v>8181</v>
      </c>
      <c r="AE2816" t="s">
        <v>6074</v>
      </c>
      <c r="AF2816" t="s">
        <v>10300</v>
      </c>
      <c r="AG2816" t="s">
        <v>13270</v>
      </c>
      <c r="AH2816" t="s">
        <v>17752</v>
      </c>
      <c r="AI2816" t="s">
        <v>25775</v>
      </c>
      <c r="AJ2816" t="s">
        <v>2838</v>
      </c>
      <c r="AK2816" t="s">
        <v>4518</v>
      </c>
      <c r="AL2816">
        <v>0.91</v>
      </c>
      <c r="AM2816">
        <v>0.62</v>
      </c>
      <c r="AN2816">
        <v>1.3</v>
      </c>
      <c r="AO2816" t="s">
        <v>1676</v>
      </c>
      <c r="AP2816" t="s">
        <v>6204</v>
      </c>
      <c r="AQ2816" t="s">
        <v>25776</v>
      </c>
      <c r="AR2816" t="s">
        <v>8593</v>
      </c>
      <c r="AS2816" t="s">
        <v>2196</v>
      </c>
      <c r="AT2816" t="s">
        <v>3019</v>
      </c>
      <c r="AU2816" t="s">
        <v>426</v>
      </c>
      <c r="AV2816" t="s">
        <v>21399</v>
      </c>
      <c r="AW2816" t="s">
        <v>25426</v>
      </c>
      <c r="AX2816" t="s">
        <v>845</v>
      </c>
      <c r="AY2816" t="s">
        <v>13759</v>
      </c>
      <c r="AZ2816" t="s">
        <v>845</v>
      </c>
      <c r="BA2816">
        <v>3.6</v>
      </c>
      <c r="BB2816">
        <v>1370.23</v>
      </c>
      <c r="BC2816">
        <v>1.48</v>
      </c>
      <c r="BD2816">
        <v>3.71</v>
      </c>
      <c r="BE2816">
        <v>3.92</v>
      </c>
      <c r="BF2816">
        <v>3.71</v>
      </c>
      <c r="BG2816" t="s">
        <v>25777</v>
      </c>
      <c r="BH2816" t="s">
        <v>24255</v>
      </c>
      <c r="BI2816" t="s">
        <v>845</v>
      </c>
      <c r="BJ2816" t="s">
        <v>101</v>
      </c>
      <c r="BK2816" t="s">
        <v>25778</v>
      </c>
      <c r="BL2816" t="s">
        <v>25779</v>
      </c>
      <c r="BM2816" t="s">
        <v>25146</v>
      </c>
      <c r="BN2816" t="s">
        <v>23454</v>
      </c>
    </row>
    <row r="2817" spans="1:66" x14ac:dyDescent="0.25">
      <c r="A2817" t="str">
        <f>HYPERLINK("https://elite.finviz.com/quote.ashx?t=PGNY&amp;ty=c&amp;p=d&amp;b=1", "PGNY")</f>
        <v>PGNY</v>
      </c>
      <c r="B2817">
        <v>5</v>
      </c>
      <c r="C2817">
        <v>116.22</v>
      </c>
      <c r="D2817">
        <v>42.29</v>
      </c>
      <c r="E2817" t="s">
        <v>25780</v>
      </c>
      <c r="F2817" t="s">
        <v>67</v>
      </c>
      <c r="G2817" t="s">
        <v>428</v>
      </c>
      <c r="H2817" t="s">
        <v>7264</v>
      </c>
      <c r="I2817" t="s">
        <v>70</v>
      </c>
      <c r="J2817" t="s">
        <v>321</v>
      </c>
      <c r="K2817">
        <v>1844.75</v>
      </c>
      <c r="L2817">
        <v>21.45</v>
      </c>
      <c r="M2817" t="s">
        <v>3112</v>
      </c>
      <c r="N2817">
        <v>207945</v>
      </c>
      <c r="O2817">
        <v>36.43</v>
      </c>
      <c r="P2817">
        <v>23.87</v>
      </c>
      <c r="Q2817">
        <v>1.41</v>
      </c>
      <c r="R2817">
        <v>1.49</v>
      </c>
      <c r="S2817">
        <v>3.58</v>
      </c>
      <c r="Z2817" t="s">
        <v>164</v>
      </c>
      <c r="AA2817">
        <v>0.59</v>
      </c>
      <c r="AB2817" t="s">
        <v>706</v>
      </c>
      <c r="AD2817" t="s">
        <v>116</v>
      </c>
      <c r="AE2817" t="s">
        <v>7209</v>
      </c>
      <c r="AF2817" t="s">
        <v>20418</v>
      </c>
      <c r="AG2817" t="s">
        <v>17176</v>
      </c>
      <c r="AH2817" t="s">
        <v>369</v>
      </c>
      <c r="AI2817" t="s">
        <v>8533</v>
      </c>
      <c r="AJ2817" t="s">
        <v>2745</v>
      </c>
      <c r="AK2817" t="s">
        <v>18275</v>
      </c>
      <c r="AL2817">
        <v>2.7</v>
      </c>
      <c r="AM2817">
        <v>2.7</v>
      </c>
      <c r="AN2817">
        <v>0.06</v>
      </c>
      <c r="AO2817" t="s">
        <v>3453</v>
      </c>
      <c r="AP2817" t="s">
        <v>2839</v>
      </c>
      <c r="AQ2817" t="s">
        <v>2811</v>
      </c>
      <c r="AR2817" t="s">
        <v>6104</v>
      </c>
      <c r="AS2817" t="s">
        <v>304</v>
      </c>
      <c r="AT2817" t="s">
        <v>6976</v>
      </c>
      <c r="AU2817" t="s">
        <v>2677</v>
      </c>
      <c r="AV2817" t="s">
        <v>3388</v>
      </c>
      <c r="AW2817" t="s">
        <v>25781</v>
      </c>
      <c r="AX2817" t="s">
        <v>5058</v>
      </c>
      <c r="AY2817" t="s">
        <v>11452</v>
      </c>
      <c r="AZ2817" t="s">
        <v>7771</v>
      </c>
      <c r="BA2817">
        <v>2</v>
      </c>
      <c r="BB2817">
        <v>1116.3399999999999</v>
      </c>
      <c r="BC2817">
        <v>0.66</v>
      </c>
      <c r="BD2817">
        <v>21.36</v>
      </c>
      <c r="BE2817">
        <v>21.65</v>
      </c>
      <c r="BF2817">
        <v>21.33</v>
      </c>
      <c r="BG2817" t="s">
        <v>25782</v>
      </c>
      <c r="BH2817" t="s">
        <v>25783</v>
      </c>
      <c r="BI2817" t="s">
        <v>11083</v>
      </c>
      <c r="BJ2817" t="s">
        <v>101</v>
      </c>
      <c r="BK2817" t="s">
        <v>1313</v>
      </c>
      <c r="BL2817" t="s">
        <v>2870</v>
      </c>
      <c r="BM2817" t="s">
        <v>7515</v>
      </c>
      <c r="BN2817" t="s">
        <v>23454</v>
      </c>
    </row>
    <row r="2818" spans="1:66" x14ac:dyDescent="0.25">
      <c r="A2818" t="str">
        <f>HYPERLINK("https://elite.finviz.com/quote.ashx?t=TPH&amp;ty=c&amp;p=d&amp;b=1", "TPH")</f>
        <v>TPH</v>
      </c>
      <c r="B2818">
        <v>5</v>
      </c>
      <c r="C2818">
        <v>116.22</v>
      </c>
      <c r="D2818">
        <v>42.3</v>
      </c>
      <c r="E2818" t="s">
        <v>25784</v>
      </c>
      <c r="F2818" t="s">
        <v>67</v>
      </c>
      <c r="G2818" t="s">
        <v>813</v>
      </c>
      <c r="H2818" t="s">
        <v>5054</v>
      </c>
      <c r="I2818" t="s">
        <v>70</v>
      </c>
      <c r="J2818" t="s">
        <v>71</v>
      </c>
      <c r="K2818">
        <v>2929.72</v>
      </c>
      <c r="L2818">
        <v>33.479999999999997</v>
      </c>
      <c r="M2818" t="s">
        <v>3552</v>
      </c>
      <c r="N2818">
        <v>70066</v>
      </c>
      <c r="O2818">
        <v>8.5299999999999994</v>
      </c>
      <c r="P2818">
        <v>11.65</v>
      </c>
      <c r="R2818">
        <v>0.72</v>
      </c>
      <c r="S2818">
        <v>0.89</v>
      </c>
      <c r="Z2818" t="s">
        <v>164</v>
      </c>
      <c r="AA2818">
        <v>3.93</v>
      </c>
      <c r="AB2818" t="s">
        <v>2580</v>
      </c>
      <c r="AC2818" t="s">
        <v>13363</v>
      </c>
      <c r="AD2818" t="s">
        <v>7856</v>
      </c>
      <c r="AE2818" t="s">
        <v>9279</v>
      </c>
      <c r="AF2818" t="s">
        <v>2647</v>
      </c>
      <c r="AG2818" t="s">
        <v>4437</v>
      </c>
      <c r="AH2818" t="s">
        <v>5398</v>
      </c>
      <c r="AI2818" t="s">
        <v>4266</v>
      </c>
      <c r="AJ2818" t="s">
        <v>1149</v>
      </c>
      <c r="AK2818" t="s">
        <v>11759</v>
      </c>
      <c r="AL2818">
        <v>10.81</v>
      </c>
      <c r="AM2818">
        <v>2.2999999999999998</v>
      </c>
      <c r="AN2818">
        <v>0.33</v>
      </c>
      <c r="AO2818" t="s">
        <v>12482</v>
      </c>
      <c r="AP2818" t="s">
        <v>8530</v>
      </c>
      <c r="AQ2818" t="s">
        <v>2653</v>
      </c>
      <c r="AR2818" t="s">
        <v>90</v>
      </c>
      <c r="AS2818" t="s">
        <v>1933</v>
      </c>
      <c r="AT2818" t="s">
        <v>10842</v>
      </c>
      <c r="AU2818" t="s">
        <v>14331</v>
      </c>
      <c r="AV2818" t="s">
        <v>3226</v>
      </c>
      <c r="AW2818" t="s">
        <v>12495</v>
      </c>
      <c r="AX2818" t="s">
        <v>6573</v>
      </c>
      <c r="AY2818" t="s">
        <v>22003</v>
      </c>
      <c r="AZ2818" t="s">
        <v>1746</v>
      </c>
      <c r="BA2818">
        <v>1.67</v>
      </c>
      <c r="BB2818">
        <v>1126.27</v>
      </c>
      <c r="BC2818">
        <v>0.22</v>
      </c>
      <c r="BD2818">
        <v>33.130000000000003</v>
      </c>
      <c r="BE2818">
        <v>33.6</v>
      </c>
      <c r="BF2818">
        <v>33.26</v>
      </c>
      <c r="BG2818" t="s">
        <v>25785</v>
      </c>
      <c r="BH2818" t="s">
        <v>12972</v>
      </c>
      <c r="BI2818" t="s">
        <v>25786</v>
      </c>
      <c r="BJ2818" t="s">
        <v>101</v>
      </c>
      <c r="BK2818" t="s">
        <v>995</v>
      </c>
      <c r="BL2818" t="s">
        <v>248</v>
      </c>
      <c r="BM2818" t="s">
        <v>6254</v>
      </c>
      <c r="BN2818" t="s">
        <v>23454</v>
      </c>
    </row>
    <row r="2819" spans="1:66" x14ac:dyDescent="0.25">
      <c r="A2819" t="str">
        <f>HYPERLINK("https://elite.finviz.com/quote.ashx?t=RARE&amp;ty=c&amp;p=d&amp;b=1", "RARE")</f>
        <v>RARE</v>
      </c>
      <c r="B2819">
        <v>5</v>
      </c>
      <c r="C2819">
        <v>116.22</v>
      </c>
      <c r="D2819">
        <v>42.3</v>
      </c>
      <c r="E2819" t="s">
        <v>25787</v>
      </c>
      <c r="F2819" t="s">
        <v>107</v>
      </c>
      <c r="G2819" t="s">
        <v>428</v>
      </c>
      <c r="H2819" t="s">
        <v>429</v>
      </c>
      <c r="I2819" t="s">
        <v>70</v>
      </c>
      <c r="J2819" t="s">
        <v>321</v>
      </c>
      <c r="K2819">
        <v>2718.64</v>
      </c>
      <c r="L2819">
        <v>28.21</v>
      </c>
      <c r="M2819" t="s">
        <v>7780</v>
      </c>
      <c r="N2819">
        <v>336900</v>
      </c>
      <c r="R2819">
        <v>4.46</v>
      </c>
      <c r="S2819">
        <v>17.93</v>
      </c>
      <c r="AA2819">
        <v>-5.53</v>
      </c>
      <c r="AB2819" t="s">
        <v>3671</v>
      </c>
      <c r="AC2819" t="s">
        <v>5121</v>
      </c>
      <c r="AD2819" t="s">
        <v>8587</v>
      </c>
      <c r="AE2819" t="s">
        <v>4112</v>
      </c>
      <c r="AF2819" t="s">
        <v>10760</v>
      </c>
      <c r="AG2819" t="s">
        <v>9705</v>
      </c>
      <c r="AH2819" t="s">
        <v>5756</v>
      </c>
      <c r="AI2819" t="s">
        <v>9342</v>
      </c>
      <c r="AJ2819" t="s">
        <v>6192</v>
      </c>
      <c r="AK2819" t="s">
        <v>13239</v>
      </c>
      <c r="AL2819">
        <v>2.4500000000000002</v>
      </c>
      <c r="AM2819">
        <v>2.2999999999999998</v>
      </c>
      <c r="AN2819">
        <v>5.84</v>
      </c>
      <c r="AO2819" t="s">
        <v>5608</v>
      </c>
      <c r="AP2819" t="s">
        <v>25688</v>
      </c>
      <c r="AQ2819" t="s">
        <v>25788</v>
      </c>
      <c r="AR2819" t="s">
        <v>3480</v>
      </c>
      <c r="AS2819" t="s">
        <v>975</v>
      </c>
      <c r="AT2819" t="s">
        <v>1200</v>
      </c>
      <c r="AU2819" t="s">
        <v>9085</v>
      </c>
      <c r="AV2819" t="s">
        <v>7506</v>
      </c>
      <c r="AW2819" t="s">
        <v>1951</v>
      </c>
      <c r="AX2819" t="s">
        <v>2363</v>
      </c>
      <c r="AY2819" t="s">
        <v>25789</v>
      </c>
      <c r="AZ2819" t="s">
        <v>2363</v>
      </c>
      <c r="BA2819">
        <v>1.19</v>
      </c>
      <c r="BB2819">
        <v>2086.4</v>
      </c>
      <c r="BC2819">
        <v>0.56999999999999995</v>
      </c>
      <c r="BD2819">
        <v>27.82</v>
      </c>
      <c r="BE2819">
        <v>28.52</v>
      </c>
      <c r="BF2819">
        <v>27.99</v>
      </c>
      <c r="BG2819" t="s">
        <v>25790</v>
      </c>
      <c r="BH2819" t="s">
        <v>25791</v>
      </c>
      <c r="BI2819" t="s">
        <v>2363</v>
      </c>
      <c r="BJ2819" t="s">
        <v>101</v>
      </c>
      <c r="BK2819" t="s">
        <v>8914</v>
      </c>
      <c r="BL2819" t="s">
        <v>9103</v>
      </c>
      <c r="BM2819" t="s">
        <v>16622</v>
      </c>
      <c r="BN2819" t="s">
        <v>23454</v>
      </c>
    </row>
    <row r="2820" spans="1:66" x14ac:dyDescent="0.25">
      <c r="A2820" t="str">
        <f>HYPERLINK("https://elite.finviz.com/quote.ashx?t=AGH&amp;ty=c&amp;p=d&amp;b=1", "AGH")</f>
        <v>AGH</v>
      </c>
      <c r="B2820">
        <v>5</v>
      </c>
      <c r="C2820">
        <v>116.22</v>
      </c>
      <c r="D2820">
        <v>42.34</v>
      </c>
      <c r="E2820" t="s">
        <v>25792</v>
      </c>
      <c r="F2820" t="s">
        <v>107</v>
      </c>
      <c r="G2820" t="s">
        <v>813</v>
      </c>
      <c r="H2820" t="s">
        <v>5941</v>
      </c>
      <c r="I2820" t="s">
        <v>70</v>
      </c>
      <c r="J2820" t="s">
        <v>321</v>
      </c>
      <c r="K2820">
        <v>36.090000000000003</v>
      </c>
      <c r="L2820">
        <v>2.4700000000000002</v>
      </c>
      <c r="M2820" t="s">
        <v>485</v>
      </c>
      <c r="N2820">
        <v>110428</v>
      </c>
      <c r="R2820">
        <v>11.91</v>
      </c>
      <c r="S2820">
        <v>3.13</v>
      </c>
      <c r="AA2820">
        <v>-0.03</v>
      </c>
      <c r="AB2820" t="s">
        <v>5534</v>
      </c>
      <c r="AC2820" t="s">
        <v>3289</v>
      </c>
      <c r="AE2820" t="s">
        <v>19459</v>
      </c>
      <c r="AF2820" t="s">
        <v>9843</v>
      </c>
      <c r="AG2820" t="s">
        <v>14634</v>
      </c>
      <c r="AH2820" t="s">
        <v>1659</v>
      </c>
      <c r="AJ2820" t="s">
        <v>25793</v>
      </c>
      <c r="AK2820" t="s">
        <v>5212</v>
      </c>
      <c r="AL2820">
        <v>6.89</v>
      </c>
      <c r="AM2820">
        <v>6.86</v>
      </c>
      <c r="AN2820">
        <v>0.09</v>
      </c>
      <c r="AO2820" t="s">
        <v>8928</v>
      </c>
      <c r="AP2820" t="s">
        <v>924</v>
      </c>
      <c r="AQ2820" t="s">
        <v>7558</v>
      </c>
      <c r="AR2820" t="s">
        <v>12411</v>
      </c>
      <c r="AS2820" t="s">
        <v>1860</v>
      </c>
      <c r="AT2820" t="s">
        <v>4713</v>
      </c>
      <c r="AU2820" t="s">
        <v>10504</v>
      </c>
      <c r="AV2820" t="s">
        <v>4051</v>
      </c>
      <c r="AW2820" t="s">
        <v>25794</v>
      </c>
      <c r="AX2820" t="s">
        <v>25795</v>
      </c>
      <c r="AY2820" t="s">
        <v>19917</v>
      </c>
      <c r="AZ2820" t="s">
        <v>25796</v>
      </c>
      <c r="BB2820">
        <v>1008.26</v>
      </c>
      <c r="BC2820">
        <v>0.39</v>
      </c>
      <c r="BD2820">
        <v>2.1800000000000002</v>
      </c>
      <c r="BE2820">
        <v>2.5</v>
      </c>
      <c r="BF2820">
        <v>2.12</v>
      </c>
      <c r="BG2820" t="s">
        <v>25797</v>
      </c>
      <c r="BH2820" t="s">
        <v>19917</v>
      </c>
      <c r="BI2820" t="s">
        <v>25796</v>
      </c>
      <c r="BJ2820" t="s">
        <v>101</v>
      </c>
      <c r="BK2820" t="s">
        <v>25798</v>
      </c>
      <c r="BL2820" t="s">
        <v>12824</v>
      </c>
      <c r="BN2820" t="s">
        <v>23454</v>
      </c>
    </row>
    <row r="2821" spans="1:66" x14ac:dyDescent="0.25">
      <c r="A2821" t="str">
        <f>HYPERLINK("https://elite.finviz.com/quote.ashx?t=VRTX&amp;ty=c&amp;p=d&amp;b=1", "VRTX")</f>
        <v>VRTX</v>
      </c>
      <c r="B2821">
        <v>5</v>
      </c>
      <c r="C2821">
        <v>116.22</v>
      </c>
      <c r="D2821">
        <v>42.36</v>
      </c>
      <c r="E2821" t="s">
        <v>25799</v>
      </c>
      <c r="F2821" t="s">
        <v>319</v>
      </c>
      <c r="G2821" t="s">
        <v>428</v>
      </c>
      <c r="H2821" t="s">
        <v>429</v>
      </c>
      <c r="I2821" t="s">
        <v>70</v>
      </c>
      <c r="J2821" t="s">
        <v>321</v>
      </c>
      <c r="K2821">
        <v>98589.9</v>
      </c>
      <c r="L2821">
        <v>384.53</v>
      </c>
      <c r="M2821" t="s">
        <v>3047</v>
      </c>
      <c r="N2821">
        <v>435882</v>
      </c>
      <c r="O2821">
        <v>27.49</v>
      </c>
      <c r="P2821">
        <v>18.670000000000002</v>
      </c>
      <c r="R2821">
        <v>8.65</v>
      </c>
      <c r="S2821">
        <v>5.74</v>
      </c>
      <c r="AA2821">
        <v>13.99</v>
      </c>
      <c r="AE2821" t="s">
        <v>6981</v>
      </c>
      <c r="AF2821" t="s">
        <v>1470</v>
      </c>
      <c r="AG2821" t="s">
        <v>18380</v>
      </c>
      <c r="AH2821" t="s">
        <v>485</v>
      </c>
      <c r="AI2821" t="s">
        <v>3036</v>
      </c>
      <c r="AJ2821" t="s">
        <v>3757</v>
      </c>
      <c r="AK2821" t="s">
        <v>16247</v>
      </c>
      <c r="AL2821">
        <v>2.52</v>
      </c>
      <c r="AM2821">
        <v>2.16</v>
      </c>
      <c r="AN2821">
        <v>0.09</v>
      </c>
      <c r="AO2821" t="s">
        <v>25800</v>
      </c>
      <c r="AP2821" t="s">
        <v>13643</v>
      </c>
      <c r="AQ2821" t="s">
        <v>11983</v>
      </c>
      <c r="AR2821" t="s">
        <v>4493</v>
      </c>
      <c r="AS2821" t="s">
        <v>4267</v>
      </c>
      <c r="AT2821" t="s">
        <v>7089</v>
      </c>
      <c r="AU2821" t="s">
        <v>7289</v>
      </c>
      <c r="AV2821" t="s">
        <v>831</v>
      </c>
      <c r="AW2821" t="s">
        <v>9002</v>
      </c>
      <c r="AX2821" t="s">
        <v>1204</v>
      </c>
      <c r="AY2821" t="s">
        <v>2068</v>
      </c>
      <c r="AZ2821" t="s">
        <v>1204</v>
      </c>
      <c r="BA2821">
        <v>1.82</v>
      </c>
      <c r="BB2821">
        <v>1747.54</v>
      </c>
      <c r="BC2821">
        <v>0.88</v>
      </c>
      <c r="BD2821">
        <v>381.87</v>
      </c>
      <c r="BE2821">
        <v>386.3</v>
      </c>
      <c r="BF2821">
        <v>381.91</v>
      </c>
      <c r="BG2821" t="s">
        <v>25801</v>
      </c>
      <c r="BH2821" t="s">
        <v>2068</v>
      </c>
      <c r="BI2821" t="s">
        <v>25802</v>
      </c>
      <c r="BJ2821" t="s">
        <v>101</v>
      </c>
      <c r="BK2821" t="s">
        <v>15316</v>
      </c>
      <c r="BL2821" t="s">
        <v>23834</v>
      </c>
      <c r="BM2821" t="s">
        <v>6138</v>
      </c>
      <c r="BN2821" t="s">
        <v>23454</v>
      </c>
    </row>
    <row r="2822" spans="1:66" x14ac:dyDescent="0.25">
      <c r="A2822" t="str">
        <f>HYPERLINK("https://elite.finviz.com/quote.ashx?t=SNCY&amp;ty=c&amp;p=d&amp;b=1", "SNCY")</f>
        <v>SNCY</v>
      </c>
      <c r="B2822">
        <v>5</v>
      </c>
      <c r="C2822">
        <v>116.22</v>
      </c>
      <c r="D2822">
        <v>42.41</v>
      </c>
      <c r="E2822" t="s">
        <v>25803</v>
      </c>
      <c r="F2822" t="s">
        <v>67</v>
      </c>
      <c r="G2822" t="s">
        <v>260</v>
      </c>
      <c r="H2822" t="s">
        <v>5362</v>
      </c>
      <c r="I2822" t="s">
        <v>70</v>
      </c>
      <c r="J2822" t="s">
        <v>321</v>
      </c>
      <c r="K2822">
        <v>638.73</v>
      </c>
      <c r="L2822">
        <v>11.98</v>
      </c>
      <c r="M2822" t="s">
        <v>3761</v>
      </c>
      <c r="N2822">
        <v>70678</v>
      </c>
      <c r="O2822">
        <v>11.26</v>
      </c>
      <c r="P2822">
        <v>6.48</v>
      </c>
      <c r="Q2822">
        <v>0.34</v>
      </c>
      <c r="R2822">
        <v>0.57999999999999996</v>
      </c>
      <c r="S2822">
        <v>1.04</v>
      </c>
      <c r="Z2822" t="s">
        <v>164</v>
      </c>
      <c r="AA2822">
        <v>1.06</v>
      </c>
      <c r="AB2822" t="s">
        <v>25804</v>
      </c>
      <c r="AC2822" t="s">
        <v>3244</v>
      </c>
      <c r="AD2822" t="s">
        <v>1366</v>
      </c>
      <c r="AE2822" t="s">
        <v>3670</v>
      </c>
      <c r="AF2822" t="s">
        <v>10803</v>
      </c>
      <c r="AG2822" t="s">
        <v>4193</v>
      </c>
      <c r="AH2822" t="s">
        <v>3613</v>
      </c>
      <c r="AI2822" t="s">
        <v>5039</v>
      </c>
      <c r="AJ2822" t="s">
        <v>1364</v>
      </c>
      <c r="AK2822" t="s">
        <v>18054</v>
      </c>
      <c r="AL2822">
        <v>0.63</v>
      </c>
      <c r="AM2822">
        <v>0.59</v>
      </c>
      <c r="AN2822">
        <v>0.92</v>
      </c>
      <c r="AO2822" t="s">
        <v>7045</v>
      </c>
      <c r="AP2822" t="s">
        <v>2085</v>
      </c>
      <c r="AQ2822" t="s">
        <v>3957</v>
      </c>
      <c r="AR2822" t="s">
        <v>5672</v>
      </c>
      <c r="AS2822" t="s">
        <v>1872</v>
      </c>
      <c r="AT2822" t="s">
        <v>5766</v>
      </c>
      <c r="AU2822" t="s">
        <v>2617</v>
      </c>
      <c r="AV2822" t="s">
        <v>6303</v>
      </c>
      <c r="AW2822" t="s">
        <v>15888</v>
      </c>
      <c r="AX2822" t="s">
        <v>3741</v>
      </c>
      <c r="AY2822" t="s">
        <v>18229</v>
      </c>
      <c r="AZ2822" t="s">
        <v>22980</v>
      </c>
      <c r="BA2822">
        <v>1.56</v>
      </c>
      <c r="BB2822">
        <v>1031.76</v>
      </c>
      <c r="BC2822">
        <v>0.24</v>
      </c>
      <c r="BD2822">
        <v>11.87</v>
      </c>
      <c r="BE2822">
        <v>12.06</v>
      </c>
      <c r="BF2822">
        <v>11.81</v>
      </c>
      <c r="BG2822" t="s">
        <v>25805</v>
      </c>
      <c r="BH2822" t="s">
        <v>25806</v>
      </c>
      <c r="BI2822" t="s">
        <v>22980</v>
      </c>
      <c r="BJ2822" t="s">
        <v>101</v>
      </c>
      <c r="BK2822" t="s">
        <v>3761</v>
      </c>
      <c r="BL2822" t="s">
        <v>14563</v>
      </c>
      <c r="BM2822" t="s">
        <v>5027</v>
      </c>
      <c r="BN2822" t="s">
        <v>23454</v>
      </c>
    </row>
    <row r="2823" spans="1:66" x14ac:dyDescent="0.25">
      <c r="A2823" t="str">
        <f>HYPERLINK("https://elite.finviz.com/quote.ashx?t=ABNB&amp;ty=c&amp;p=d&amp;b=1", "ABNB")</f>
        <v>ABNB</v>
      </c>
      <c r="B2823">
        <v>5</v>
      </c>
      <c r="C2823">
        <v>116.22</v>
      </c>
      <c r="D2823">
        <v>42.43</v>
      </c>
      <c r="E2823" t="s">
        <v>25807</v>
      </c>
      <c r="F2823" t="s">
        <v>319</v>
      </c>
      <c r="G2823" t="s">
        <v>813</v>
      </c>
      <c r="H2823" t="s">
        <v>1997</v>
      </c>
      <c r="I2823" t="s">
        <v>70</v>
      </c>
      <c r="J2823" t="s">
        <v>321</v>
      </c>
      <c r="K2823">
        <v>75945.649999999994</v>
      </c>
      <c r="L2823">
        <v>122.21</v>
      </c>
      <c r="M2823" t="s">
        <v>3226</v>
      </c>
      <c r="N2823">
        <v>833149</v>
      </c>
      <c r="O2823">
        <v>29.49</v>
      </c>
      <c r="P2823">
        <v>25.5</v>
      </c>
      <c r="Q2823">
        <v>2.73</v>
      </c>
      <c r="R2823">
        <v>6.56</v>
      </c>
      <c r="S2823">
        <v>9.6300000000000008</v>
      </c>
      <c r="Z2823" t="s">
        <v>164</v>
      </c>
      <c r="AA2823">
        <v>4.1399999999999997</v>
      </c>
      <c r="AD2823" t="s">
        <v>8319</v>
      </c>
      <c r="AE2823" t="s">
        <v>8240</v>
      </c>
      <c r="AF2823" t="s">
        <v>18081</v>
      </c>
      <c r="AG2823" t="s">
        <v>9684</v>
      </c>
      <c r="AH2823" t="s">
        <v>2712</v>
      </c>
      <c r="AI2823" t="s">
        <v>7698</v>
      </c>
      <c r="AJ2823" t="s">
        <v>2741</v>
      </c>
      <c r="AK2823" t="s">
        <v>9749</v>
      </c>
      <c r="AL2823">
        <v>1.23</v>
      </c>
      <c r="AM2823">
        <v>1.23</v>
      </c>
      <c r="AN2823">
        <v>0.28999999999999998</v>
      </c>
      <c r="AO2823" t="s">
        <v>13327</v>
      </c>
      <c r="AP2823" t="s">
        <v>2134</v>
      </c>
      <c r="AQ2823" t="s">
        <v>4988</v>
      </c>
      <c r="AR2823" t="s">
        <v>5121</v>
      </c>
      <c r="AS2823" t="s">
        <v>5420</v>
      </c>
      <c r="AT2823" t="s">
        <v>6265</v>
      </c>
      <c r="AU2823" t="s">
        <v>8058</v>
      </c>
      <c r="AV2823" t="s">
        <v>4517</v>
      </c>
      <c r="AW2823" t="s">
        <v>11358</v>
      </c>
      <c r="AX2823" t="s">
        <v>5331</v>
      </c>
      <c r="AY2823" t="s">
        <v>18847</v>
      </c>
      <c r="AZ2823" t="s">
        <v>12927</v>
      </c>
      <c r="BA2823">
        <v>2.72</v>
      </c>
      <c r="BB2823">
        <v>4713.05</v>
      </c>
      <c r="BC2823">
        <v>0.62</v>
      </c>
      <c r="BD2823">
        <v>121.75</v>
      </c>
      <c r="BE2823">
        <v>123.55</v>
      </c>
      <c r="BF2823">
        <v>121.65</v>
      </c>
      <c r="BG2823" t="s">
        <v>25808</v>
      </c>
      <c r="BH2823" t="s">
        <v>20504</v>
      </c>
      <c r="BI2823" t="s">
        <v>25809</v>
      </c>
      <c r="BJ2823" t="s">
        <v>101</v>
      </c>
      <c r="BK2823" t="s">
        <v>1851</v>
      </c>
      <c r="BL2823" t="s">
        <v>9085</v>
      </c>
      <c r="BM2823" t="s">
        <v>7455</v>
      </c>
      <c r="BN2823" t="s">
        <v>23454</v>
      </c>
    </row>
    <row r="2824" spans="1:66" x14ac:dyDescent="0.25">
      <c r="A2824" t="str">
        <f>HYPERLINK("https://elite.finviz.com/quote.ashx?t=GNPX&amp;ty=c&amp;p=d&amp;b=1", "GNPX")</f>
        <v>GNPX</v>
      </c>
      <c r="B2824">
        <v>5</v>
      </c>
      <c r="C2824">
        <v>116.22</v>
      </c>
      <c r="D2824">
        <v>42.45</v>
      </c>
      <c r="E2824" t="s">
        <v>25810</v>
      </c>
      <c r="F2824" t="s">
        <v>107</v>
      </c>
      <c r="G2824" t="s">
        <v>428</v>
      </c>
      <c r="H2824" t="s">
        <v>429</v>
      </c>
      <c r="I2824" t="s">
        <v>70</v>
      </c>
      <c r="J2824" t="s">
        <v>321</v>
      </c>
      <c r="K2824">
        <v>8.11</v>
      </c>
      <c r="L2824">
        <v>0.19</v>
      </c>
      <c r="M2824" t="s">
        <v>6692</v>
      </c>
      <c r="N2824">
        <v>1203567</v>
      </c>
      <c r="S2824">
        <v>4.5</v>
      </c>
      <c r="AA2824">
        <v>-2.09</v>
      </c>
      <c r="AB2824" t="s">
        <v>15193</v>
      </c>
      <c r="AC2824" t="s">
        <v>12556</v>
      </c>
      <c r="AI2824" t="s">
        <v>164</v>
      </c>
      <c r="AJ2824" t="s">
        <v>164</v>
      </c>
      <c r="AK2824" t="s">
        <v>2424</v>
      </c>
      <c r="AL2824">
        <v>0.84</v>
      </c>
      <c r="AM2824">
        <v>0.84</v>
      </c>
      <c r="AN2824">
        <v>0</v>
      </c>
      <c r="AR2824" t="s">
        <v>847</v>
      </c>
      <c r="AS2824" t="s">
        <v>5792</v>
      </c>
      <c r="AT2824" t="s">
        <v>20326</v>
      </c>
      <c r="AU2824" t="s">
        <v>16402</v>
      </c>
      <c r="AV2824" t="s">
        <v>12061</v>
      </c>
      <c r="AW2824" t="s">
        <v>25811</v>
      </c>
      <c r="AX2824" t="s">
        <v>13939</v>
      </c>
      <c r="AY2824" t="s">
        <v>25812</v>
      </c>
      <c r="AZ2824" t="s">
        <v>13939</v>
      </c>
      <c r="BA2824">
        <v>1</v>
      </c>
      <c r="BB2824">
        <v>8600.39</v>
      </c>
      <c r="BC2824">
        <v>0.5</v>
      </c>
      <c r="BD2824">
        <v>0.19</v>
      </c>
      <c r="BE2824">
        <v>0.19</v>
      </c>
      <c r="BF2824">
        <v>0.18</v>
      </c>
      <c r="BG2824" t="s">
        <v>25813</v>
      </c>
      <c r="BH2824" t="s">
        <v>3265</v>
      </c>
      <c r="BI2824" t="s">
        <v>13939</v>
      </c>
      <c r="BJ2824" t="s">
        <v>101</v>
      </c>
      <c r="BK2824" t="s">
        <v>9638</v>
      </c>
      <c r="BL2824" t="s">
        <v>9701</v>
      </c>
      <c r="BM2824" t="s">
        <v>25814</v>
      </c>
      <c r="BN2824" t="s">
        <v>23454</v>
      </c>
    </row>
    <row r="2825" spans="1:66" x14ac:dyDescent="0.25">
      <c r="A2825" t="str">
        <f>HYPERLINK("https://elite.finviz.com/quote.ashx?t=LEN&amp;ty=c&amp;p=d&amp;b=1", "LEN")</f>
        <v>LEN</v>
      </c>
      <c r="B2825">
        <v>5</v>
      </c>
      <c r="C2825">
        <v>116.22</v>
      </c>
      <c r="D2825">
        <v>42.47</v>
      </c>
      <c r="E2825" t="s">
        <v>25815</v>
      </c>
      <c r="F2825" t="s">
        <v>195</v>
      </c>
      <c r="G2825" t="s">
        <v>813</v>
      </c>
      <c r="H2825" t="s">
        <v>5054</v>
      </c>
      <c r="I2825" t="s">
        <v>70</v>
      </c>
      <c r="J2825" t="s">
        <v>71</v>
      </c>
      <c r="K2825">
        <v>32242.1</v>
      </c>
      <c r="L2825">
        <v>125.26</v>
      </c>
      <c r="M2825" t="s">
        <v>1457</v>
      </c>
      <c r="N2825">
        <v>441824</v>
      </c>
      <c r="O2825">
        <v>12.37</v>
      </c>
      <c r="P2825">
        <v>13.97</v>
      </c>
      <c r="R2825">
        <v>0.93</v>
      </c>
      <c r="S2825">
        <v>1.44</v>
      </c>
      <c r="T2825" t="s">
        <v>1760</v>
      </c>
      <c r="U2825">
        <v>1.98</v>
      </c>
      <c r="V2825" t="s">
        <v>16932</v>
      </c>
      <c r="W2825" t="s">
        <v>10378</v>
      </c>
      <c r="X2825" t="s">
        <v>3397</v>
      </c>
      <c r="Y2825" t="s">
        <v>9411</v>
      </c>
      <c r="Z2825" t="s">
        <v>1161</v>
      </c>
      <c r="AA2825">
        <v>10.119999999999999</v>
      </c>
      <c r="AB2825" t="s">
        <v>211</v>
      </c>
      <c r="AC2825" t="s">
        <v>6316</v>
      </c>
      <c r="AD2825" t="s">
        <v>3164</v>
      </c>
      <c r="AE2825" t="s">
        <v>103</v>
      </c>
      <c r="AF2825" t="s">
        <v>9789</v>
      </c>
      <c r="AG2825" t="s">
        <v>8650</v>
      </c>
      <c r="AH2825" t="s">
        <v>10713</v>
      </c>
      <c r="AI2825" t="s">
        <v>7387</v>
      </c>
      <c r="AJ2825" t="s">
        <v>4763</v>
      </c>
      <c r="AK2825" t="s">
        <v>25816</v>
      </c>
      <c r="AL2825">
        <v>4.49</v>
      </c>
      <c r="AM2825">
        <v>0.68</v>
      </c>
      <c r="AN2825">
        <v>0.16</v>
      </c>
      <c r="AO2825" t="s">
        <v>8627</v>
      </c>
      <c r="AP2825" t="s">
        <v>4728</v>
      </c>
      <c r="AQ2825" t="s">
        <v>1771</v>
      </c>
      <c r="AR2825" t="s">
        <v>4204</v>
      </c>
      <c r="AS2825" t="s">
        <v>5929</v>
      </c>
      <c r="AT2825" t="s">
        <v>10364</v>
      </c>
      <c r="AU2825" t="s">
        <v>4634</v>
      </c>
      <c r="AV2825" t="s">
        <v>3670</v>
      </c>
      <c r="AW2825" t="s">
        <v>3096</v>
      </c>
      <c r="AX2825" t="s">
        <v>6497</v>
      </c>
      <c r="AY2825" t="s">
        <v>5147</v>
      </c>
      <c r="AZ2825" t="s">
        <v>3001</v>
      </c>
      <c r="BA2825">
        <v>2.57</v>
      </c>
      <c r="BB2825">
        <v>3519.58</v>
      </c>
      <c r="BC2825">
        <v>0.44</v>
      </c>
      <c r="BD2825">
        <v>124.02</v>
      </c>
      <c r="BE2825">
        <v>125.84</v>
      </c>
      <c r="BF2825">
        <v>124.2</v>
      </c>
      <c r="BG2825" t="s">
        <v>25817</v>
      </c>
      <c r="BH2825" t="s">
        <v>4979</v>
      </c>
      <c r="BI2825" t="s">
        <v>25818</v>
      </c>
      <c r="BJ2825" t="s">
        <v>101</v>
      </c>
      <c r="BK2825" t="s">
        <v>2338</v>
      </c>
      <c r="BL2825" t="s">
        <v>2776</v>
      </c>
      <c r="BM2825" t="s">
        <v>8166</v>
      </c>
      <c r="BN2825" t="s">
        <v>23454</v>
      </c>
    </row>
    <row r="2826" spans="1:66" x14ac:dyDescent="0.25">
      <c r="A2826" t="str">
        <f>HYPERLINK("https://elite.finviz.com/quote.ashx?t=VYX&amp;ty=c&amp;p=d&amp;b=1", "VYX")</f>
        <v>VYX</v>
      </c>
      <c r="B2826">
        <v>5</v>
      </c>
      <c r="C2826">
        <v>116.22</v>
      </c>
      <c r="D2826">
        <v>42.48</v>
      </c>
      <c r="E2826" t="s">
        <v>25819</v>
      </c>
      <c r="F2826" t="s">
        <v>67</v>
      </c>
      <c r="G2826" t="s">
        <v>108</v>
      </c>
      <c r="H2826" t="s">
        <v>1322</v>
      </c>
      <c r="I2826" t="s">
        <v>70</v>
      </c>
      <c r="J2826" t="s">
        <v>71</v>
      </c>
      <c r="K2826">
        <v>1733.46</v>
      </c>
      <c r="L2826">
        <v>12.54</v>
      </c>
      <c r="M2826" t="s">
        <v>2486</v>
      </c>
      <c r="N2826">
        <v>79608</v>
      </c>
      <c r="P2826">
        <v>12.81</v>
      </c>
      <c r="R2826">
        <v>0.65</v>
      </c>
      <c r="S2826">
        <v>1.99</v>
      </c>
      <c r="T2826" t="s">
        <v>4759</v>
      </c>
      <c r="AA2826">
        <v>-3.38</v>
      </c>
      <c r="AE2826" t="s">
        <v>25820</v>
      </c>
      <c r="AF2826" t="s">
        <v>15932</v>
      </c>
      <c r="AG2826" t="s">
        <v>11213</v>
      </c>
      <c r="AH2826" t="s">
        <v>20808</v>
      </c>
      <c r="AI2826" t="s">
        <v>10066</v>
      </c>
      <c r="AJ2826" t="s">
        <v>165</v>
      </c>
      <c r="AK2826" t="s">
        <v>12862</v>
      </c>
      <c r="AL2826">
        <v>1.1599999999999999</v>
      </c>
      <c r="AM2826">
        <v>0.96</v>
      </c>
      <c r="AN2826">
        <v>1.17</v>
      </c>
      <c r="AO2826" t="s">
        <v>16344</v>
      </c>
      <c r="AP2826" t="s">
        <v>6936</v>
      </c>
      <c r="AQ2826" t="s">
        <v>10490</v>
      </c>
      <c r="AR2826" t="s">
        <v>901</v>
      </c>
      <c r="AS2826" t="s">
        <v>1769</v>
      </c>
      <c r="AT2826" t="s">
        <v>3328</v>
      </c>
      <c r="AU2826" t="s">
        <v>922</v>
      </c>
      <c r="AV2826" t="s">
        <v>4957</v>
      </c>
      <c r="AW2826" t="s">
        <v>19304</v>
      </c>
      <c r="AX2826" t="s">
        <v>6956</v>
      </c>
      <c r="AY2826" t="s">
        <v>3516</v>
      </c>
      <c r="AZ2826" t="s">
        <v>3410</v>
      </c>
      <c r="BA2826">
        <v>1.25</v>
      </c>
      <c r="BB2826">
        <v>1690.29</v>
      </c>
      <c r="BC2826">
        <v>0.17</v>
      </c>
      <c r="BD2826">
        <v>12.59</v>
      </c>
      <c r="BE2826">
        <v>12.69</v>
      </c>
      <c r="BF2826">
        <v>12.47</v>
      </c>
      <c r="BG2826" t="s">
        <v>25821</v>
      </c>
      <c r="BH2826" t="s">
        <v>20415</v>
      </c>
      <c r="BI2826" t="s">
        <v>25822</v>
      </c>
      <c r="BJ2826" t="s">
        <v>101</v>
      </c>
      <c r="BK2826" t="s">
        <v>2232</v>
      </c>
      <c r="BL2826" t="s">
        <v>1746</v>
      </c>
      <c r="BM2826" t="s">
        <v>6403</v>
      </c>
      <c r="BN2826" t="s">
        <v>23454</v>
      </c>
    </row>
    <row r="2827" spans="1:66" x14ac:dyDescent="0.25">
      <c r="A2827" t="str">
        <f>HYPERLINK("https://elite.finviz.com/quote.ashx?t=CTRI&amp;ty=c&amp;p=d&amp;b=1", "CTRI")</f>
        <v>CTRI</v>
      </c>
      <c r="B2827">
        <v>5</v>
      </c>
      <c r="C2827">
        <v>116.22</v>
      </c>
      <c r="D2827">
        <v>42.48</v>
      </c>
      <c r="E2827" t="s">
        <v>25823</v>
      </c>
      <c r="F2827" t="s">
        <v>67</v>
      </c>
      <c r="G2827" t="s">
        <v>287</v>
      </c>
      <c r="H2827" t="s">
        <v>3541</v>
      </c>
      <c r="I2827" t="s">
        <v>70</v>
      </c>
      <c r="J2827" t="s">
        <v>71</v>
      </c>
      <c r="K2827">
        <v>1838.55</v>
      </c>
      <c r="L2827">
        <v>20.74</v>
      </c>
      <c r="M2827" t="s">
        <v>2571</v>
      </c>
      <c r="N2827">
        <v>193316</v>
      </c>
      <c r="P2827">
        <v>22.64</v>
      </c>
      <c r="R2827">
        <v>0.68</v>
      </c>
      <c r="S2827">
        <v>3.24</v>
      </c>
      <c r="AA2827">
        <v>-0.04</v>
      </c>
      <c r="AD2827" t="s">
        <v>1509</v>
      </c>
      <c r="AF2827" t="s">
        <v>6674</v>
      </c>
      <c r="AG2827" t="s">
        <v>1090</v>
      </c>
      <c r="AH2827" t="s">
        <v>5552</v>
      </c>
      <c r="AI2827" t="s">
        <v>25824</v>
      </c>
      <c r="AJ2827" t="s">
        <v>25825</v>
      </c>
      <c r="AK2827" t="s">
        <v>25826</v>
      </c>
      <c r="AL2827">
        <v>1.72</v>
      </c>
      <c r="AM2827">
        <v>1.72</v>
      </c>
      <c r="AN2827">
        <v>1.85</v>
      </c>
      <c r="AO2827" t="s">
        <v>1771</v>
      </c>
      <c r="AP2827" t="s">
        <v>5592</v>
      </c>
      <c r="AQ2827" t="s">
        <v>2717</v>
      </c>
      <c r="AR2827" t="s">
        <v>1926</v>
      </c>
      <c r="AS2827" t="s">
        <v>6150</v>
      </c>
      <c r="AT2827" t="s">
        <v>4559</v>
      </c>
      <c r="AU2827" t="s">
        <v>708</v>
      </c>
      <c r="AV2827" t="s">
        <v>2941</v>
      </c>
      <c r="AW2827" t="s">
        <v>7469</v>
      </c>
      <c r="AX2827" t="s">
        <v>464</v>
      </c>
      <c r="AY2827" t="s">
        <v>22446</v>
      </c>
      <c r="AZ2827" t="s">
        <v>23368</v>
      </c>
      <c r="BA2827">
        <v>2.71</v>
      </c>
      <c r="BB2827">
        <v>1822.98</v>
      </c>
      <c r="BC2827">
        <v>0.37</v>
      </c>
      <c r="BD2827">
        <v>20.62</v>
      </c>
      <c r="BE2827">
        <v>20.9</v>
      </c>
      <c r="BF2827">
        <v>20.6</v>
      </c>
      <c r="BG2827" t="s">
        <v>25827</v>
      </c>
      <c r="BH2827" t="s">
        <v>17215</v>
      </c>
      <c r="BI2827" t="s">
        <v>23368</v>
      </c>
      <c r="BJ2827" t="s">
        <v>101</v>
      </c>
      <c r="BK2827" t="s">
        <v>2354</v>
      </c>
      <c r="BL2827" t="s">
        <v>12158</v>
      </c>
      <c r="BM2827" t="s">
        <v>15685</v>
      </c>
      <c r="BN2827" t="s">
        <v>23454</v>
      </c>
    </row>
    <row r="2828" spans="1:66" x14ac:dyDescent="0.25">
      <c r="A2828" t="str">
        <f>HYPERLINK("https://elite.finviz.com/quote.ashx?t=CXM&amp;ty=c&amp;p=d&amp;b=1", "CXM")</f>
        <v>CXM</v>
      </c>
      <c r="B2828">
        <v>5</v>
      </c>
      <c r="C2828">
        <v>116.22</v>
      </c>
      <c r="D2828">
        <v>42.48</v>
      </c>
      <c r="E2828" t="s">
        <v>25828</v>
      </c>
      <c r="F2828" t="s">
        <v>67</v>
      </c>
      <c r="G2828" t="s">
        <v>108</v>
      </c>
      <c r="H2828" t="s">
        <v>136</v>
      </c>
      <c r="I2828" t="s">
        <v>70</v>
      </c>
      <c r="J2828" t="s">
        <v>71</v>
      </c>
      <c r="K2828">
        <v>1904.12</v>
      </c>
      <c r="L2828">
        <v>7.8</v>
      </c>
      <c r="M2828" t="s">
        <v>1842</v>
      </c>
      <c r="N2828">
        <v>124751</v>
      </c>
      <c r="O2828">
        <v>17.28</v>
      </c>
      <c r="P2828">
        <v>17.260000000000002</v>
      </c>
      <c r="Q2828">
        <v>1.24</v>
      </c>
      <c r="R2828">
        <v>2.3199999999999998</v>
      </c>
      <c r="S2828">
        <v>3.52</v>
      </c>
      <c r="Z2828" t="s">
        <v>164</v>
      </c>
      <c r="AA2828">
        <v>0.45</v>
      </c>
      <c r="AD2828" t="s">
        <v>10380</v>
      </c>
      <c r="AE2828" t="s">
        <v>1204</v>
      </c>
      <c r="AF2828" t="s">
        <v>9972</v>
      </c>
      <c r="AG2828" t="s">
        <v>2636</v>
      </c>
      <c r="AH2828" t="s">
        <v>2378</v>
      </c>
      <c r="AI2828" t="s">
        <v>21334</v>
      </c>
      <c r="AJ2828" t="s">
        <v>5573</v>
      </c>
      <c r="AK2828" t="s">
        <v>8587</v>
      </c>
      <c r="AL2828">
        <v>1.45</v>
      </c>
      <c r="AM2828">
        <v>1.45</v>
      </c>
      <c r="AN2828">
        <v>0.09</v>
      </c>
      <c r="AO2828" t="s">
        <v>8412</v>
      </c>
      <c r="AP2828" t="s">
        <v>755</v>
      </c>
      <c r="AQ2828" t="s">
        <v>1511</v>
      </c>
      <c r="AR2828" t="s">
        <v>6151</v>
      </c>
      <c r="AS2828" t="s">
        <v>4093</v>
      </c>
      <c r="AT2828" t="s">
        <v>5153</v>
      </c>
      <c r="AU2828" t="s">
        <v>6538</v>
      </c>
      <c r="AV2828" t="s">
        <v>6436</v>
      </c>
      <c r="AW2828" t="s">
        <v>10629</v>
      </c>
      <c r="AX2828" t="s">
        <v>7117</v>
      </c>
      <c r="AY2828" t="s">
        <v>15379</v>
      </c>
      <c r="AZ2828" t="s">
        <v>328</v>
      </c>
      <c r="BA2828">
        <v>2.5499999999999998</v>
      </c>
      <c r="BB2828">
        <v>2420.35</v>
      </c>
      <c r="BC2828">
        <v>0.18</v>
      </c>
      <c r="BD2828">
        <v>7.81</v>
      </c>
      <c r="BE2828">
        <v>7.84</v>
      </c>
      <c r="BF2828">
        <v>7.76</v>
      </c>
      <c r="BG2828" t="s">
        <v>25829</v>
      </c>
      <c r="BH2828" t="s">
        <v>21746</v>
      </c>
      <c r="BI2828" t="s">
        <v>328</v>
      </c>
      <c r="BJ2828" t="s">
        <v>101</v>
      </c>
      <c r="BK2828" t="s">
        <v>10175</v>
      </c>
      <c r="BL2828" t="s">
        <v>16522</v>
      </c>
      <c r="BM2828" t="s">
        <v>3671</v>
      </c>
      <c r="BN2828" t="s">
        <v>23454</v>
      </c>
    </row>
    <row r="2829" spans="1:66" x14ac:dyDescent="0.25">
      <c r="A2829" t="str">
        <f>HYPERLINK("https://elite.finviz.com/quote.ashx?t=ARLO&amp;ty=c&amp;p=d&amp;b=1", "ARLO")</f>
        <v>ARLO</v>
      </c>
      <c r="B2829">
        <v>5</v>
      </c>
      <c r="C2829">
        <v>116.22</v>
      </c>
      <c r="D2829">
        <v>42.52</v>
      </c>
      <c r="E2829" t="s">
        <v>25830</v>
      </c>
      <c r="F2829" t="s">
        <v>67</v>
      </c>
      <c r="G2829" t="s">
        <v>260</v>
      </c>
      <c r="H2829" t="s">
        <v>3225</v>
      </c>
      <c r="I2829" t="s">
        <v>70</v>
      </c>
      <c r="J2829" t="s">
        <v>71</v>
      </c>
      <c r="K2829">
        <v>1757.08</v>
      </c>
      <c r="L2829">
        <v>16.829999999999998</v>
      </c>
      <c r="M2829" t="s">
        <v>3486</v>
      </c>
      <c r="N2829">
        <v>234125</v>
      </c>
      <c r="P2829">
        <v>21.39</v>
      </c>
      <c r="R2829">
        <v>3.46</v>
      </c>
      <c r="S2829">
        <v>14.84</v>
      </c>
      <c r="AA2829">
        <v>-7.0000000000000007E-2</v>
      </c>
      <c r="AB2829" t="s">
        <v>3161</v>
      </c>
      <c r="AC2829" t="s">
        <v>6973</v>
      </c>
      <c r="AE2829" t="s">
        <v>11830</v>
      </c>
      <c r="AF2829" t="s">
        <v>1475</v>
      </c>
      <c r="AG2829" t="s">
        <v>8843</v>
      </c>
      <c r="AH2829" t="s">
        <v>2572</v>
      </c>
      <c r="AI2829" t="s">
        <v>9387</v>
      </c>
      <c r="AJ2829" t="s">
        <v>25831</v>
      </c>
      <c r="AK2829" t="s">
        <v>25832</v>
      </c>
      <c r="AL2829">
        <v>1.47</v>
      </c>
      <c r="AM2829">
        <v>1.3</v>
      </c>
      <c r="AN2829">
        <v>0.17</v>
      </c>
      <c r="AO2829" t="s">
        <v>10348</v>
      </c>
      <c r="AP2829" t="s">
        <v>1119</v>
      </c>
      <c r="AQ2829" t="s">
        <v>1510</v>
      </c>
      <c r="AR2829" t="s">
        <v>3670</v>
      </c>
      <c r="AS2829" t="s">
        <v>4956</v>
      </c>
      <c r="AT2829" t="s">
        <v>3577</v>
      </c>
      <c r="AU2829" t="s">
        <v>6614</v>
      </c>
      <c r="AV2829" t="s">
        <v>4745</v>
      </c>
      <c r="AW2829" t="s">
        <v>15002</v>
      </c>
      <c r="AX2829" t="s">
        <v>2984</v>
      </c>
      <c r="AY2829" t="s">
        <v>15002</v>
      </c>
      <c r="AZ2829" t="s">
        <v>25833</v>
      </c>
      <c r="BA2829">
        <v>1.4</v>
      </c>
      <c r="BB2829">
        <v>1484.71</v>
      </c>
      <c r="BC2829">
        <v>0.56000000000000005</v>
      </c>
      <c r="BD2829">
        <v>16.91</v>
      </c>
      <c r="BE2829">
        <v>16.95</v>
      </c>
      <c r="BF2829">
        <v>16.78</v>
      </c>
      <c r="BG2829" t="s">
        <v>25834</v>
      </c>
      <c r="BH2829" t="s">
        <v>14434</v>
      </c>
      <c r="BI2829" t="s">
        <v>25835</v>
      </c>
      <c r="BJ2829" t="s">
        <v>101</v>
      </c>
      <c r="BK2829" t="s">
        <v>1119</v>
      </c>
      <c r="BL2829" t="s">
        <v>20745</v>
      </c>
      <c r="BM2829" t="s">
        <v>2512</v>
      </c>
      <c r="BN2829" t="s">
        <v>23454</v>
      </c>
    </row>
    <row r="2830" spans="1:66" x14ac:dyDescent="0.25">
      <c r="A2830" t="str">
        <f>HYPERLINK("https://elite.finviz.com/quote.ashx?t=ETHZ&amp;ty=c&amp;p=d&amp;b=1", "ETHZ")</f>
        <v>ETHZ</v>
      </c>
      <c r="B2830">
        <v>5</v>
      </c>
      <c r="C2830">
        <v>116.22</v>
      </c>
      <c r="D2830">
        <v>42.54</v>
      </c>
      <c r="E2830" t="s">
        <v>25836</v>
      </c>
      <c r="F2830" t="s">
        <v>107</v>
      </c>
      <c r="G2830" t="s">
        <v>428</v>
      </c>
      <c r="H2830" t="s">
        <v>429</v>
      </c>
      <c r="I2830" t="s">
        <v>70</v>
      </c>
      <c r="J2830" t="s">
        <v>321</v>
      </c>
      <c r="K2830">
        <v>390.86</v>
      </c>
      <c r="L2830">
        <v>2.38</v>
      </c>
      <c r="M2830" t="s">
        <v>2307</v>
      </c>
      <c r="N2830">
        <v>1885381</v>
      </c>
      <c r="S2830">
        <v>2.67</v>
      </c>
      <c r="AA2830">
        <v>-5.69</v>
      </c>
      <c r="AB2830" t="s">
        <v>7771</v>
      </c>
      <c r="AC2830" t="s">
        <v>22585</v>
      </c>
      <c r="AJ2830" t="s">
        <v>13554</v>
      </c>
      <c r="AK2830" t="s">
        <v>3952</v>
      </c>
      <c r="AL2830">
        <v>0.56999999999999995</v>
      </c>
      <c r="AM2830">
        <v>0.56999999999999995</v>
      </c>
      <c r="AN2830">
        <v>0.26</v>
      </c>
      <c r="AR2830" t="s">
        <v>2010</v>
      </c>
      <c r="AS2830" t="s">
        <v>6587</v>
      </c>
      <c r="AT2830" t="s">
        <v>2218</v>
      </c>
      <c r="AU2830" t="s">
        <v>25118</v>
      </c>
      <c r="AV2830" t="s">
        <v>7631</v>
      </c>
      <c r="AW2830" t="s">
        <v>25837</v>
      </c>
      <c r="AX2830" t="s">
        <v>25838</v>
      </c>
      <c r="AY2830" t="s">
        <v>2953</v>
      </c>
      <c r="AZ2830" t="s">
        <v>25839</v>
      </c>
      <c r="BA2830">
        <v>1</v>
      </c>
      <c r="BB2830">
        <v>14334.76</v>
      </c>
      <c r="BC2830">
        <v>0.46</v>
      </c>
      <c r="BD2830">
        <v>2.33</v>
      </c>
      <c r="BE2830">
        <v>2.44</v>
      </c>
      <c r="BF2830">
        <v>2.36</v>
      </c>
      <c r="BG2830" t="s">
        <v>25840</v>
      </c>
      <c r="BH2830" t="s">
        <v>14593</v>
      </c>
      <c r="BI2830" t="s">
        <v>25839</v>
      </c>
      <c r="BJ2830" t="s">
        <v>101</v>
      </c>
      <c r="BK2830" t="s">
        <v>20613</v>
      </c>
      <c r="BL2830" t="s">
        <v>25841</v>
      </c>
      <c r="BM2830" t="s">
        <v>13604</v>
      </c>
      <c r="BN2830" t="s">
        <v>23454</v>
      </c>
    </row>
    <row r="2831" spans="1:66" x14ac:dyDescent="0.25">
      <c r="A2831" t="str">
        <f>HYPERLINK("https://elite.finviz.com/quote.ashx?t=LLY&amp;ty=c&amp;p=d&amp;b=1", "LLY")</f>
        <v>LLY</v>
      </c>
      <c r="B2831">
        <v>5</v>
      </c>
      <c r="C2831">
        <v>116.22</v>
      </c>
      <c r="D2831">
        <v>42.55</v>
      </c>
      <c r="E2831" t="s">
        <v>25842</v>
      </c>
      <c r="F2831" t="s">
        <v>195</v>
      </c>
      <c r="G2831" t="s">
        <v>428</v>
      </c>
      <c r="H2831" t="s">
        <v>4701</v>
      </c>
      <c r="I2831" t="s">
        <v>70</v>
      </c>
      <c r="J2831" t="s">
        <v>71</v>
      </c>
      <c r="K2831">
        <v>682165.91</v>
      </c>
      <c r="L2831">
        <v>720.76</v>
      </c>
      <c r="M2831" t="s">
        <v>7388</v>
      </c>
      <c r="N2831">
        <v>1169078</v>
      </c>
      <c r="O2831">
        <v>47.79</v>
      </c>
      <c r="P2831">
        <v>23.88</v>
      </c>
      <c r="Q2831">
        <v>1.1499999999999999</v>
      </c>
      <c r="R2831">
        <v>12.81</v>
      </c>
      <c r="S2831">
        <v>37.35</v>
      </c>
      <c r="T2831" t="s">
        <v>747</v>
      </c>
      <c r="U2831">
        <v>5.8</v>
      </c>
      <c r="V2831" t="s">
        <v>3046</v>
      </c>
      <c r="W2831" t="s">
        <v>3841</v>
      </c>
      <c r="X2831" t="s">
        <v>11141</v>
      </c>
      <c r="Y2831" t="s">
        <v>10498</v>
      </c>
      <c r="Z2831" t="s">
        <v>242</v>
      </c>
      <c r="AA2831">
        <v>15.08</v>
      </c>
      <c r="AB2831" t="s">
        <v>5344</v>
      </c>
      <c r="AC2831" t="s">
        <v>7625</v>
      </c>
      <c r="AD2831" t="s">
        <v>12619</v>
      </c>
      <c r="AE2831" t="s">
        <v>8698</v>
      </c>
      <c r="AF2831" t="s">
        <v>1205</v>
      </c>
      <c r="AG2831" t="s">
        <v>4074</v>
      </c>
      <c r="AH2831" t="s">
        <v>21713</v>
      </c>
      <c r="AI2831" t="s">
        <v>2622</v>
      </c>
      <c r="AJ2831" t="s">
        <v>15000</v>
      </c>
      <c r="AK2831" t="s">
        <v>13350</v>
      </c>
      <c r="AL2831">
        <v>1.28</v>
      </c>
      <c r="AM2831">
        <v>1</v>
      </c>
      <c r="AN2831">
        <v>2.1800000000000002</v>
      </c>
      <c r="AO2831" t="s">
        <v>12434</v>
      </c>
      <c r="AP2831" t="s">
        <v>467</v>
      </c>
      <c r="AQ2831" t="s">
        <v>20209</v>
      </c>
      <c r="AR2831" t="s">
        <v>633</v>
      </c>
      <c r="AS2831" t="s">
        <v>5420</v>
      </c>
      <c r="AT2831" t="s">
        <v>2218</v>
      </c>
      <c r="AU2831" t="s">
        <v>1119</v>
      </c>
      <c r="AV2831" t="s">
        <v>8251</v>
      </c>
      <c r="AW2831" t="s">
        <v>13083</v>
      </c>
      <c r="AX2831" t="s">
        <v>1847</v>
      </c>
      <c r="AY2831" t="s">
        <v>19508</v>
      </c>
      <c r="AZ2831" t="s">
        <v>1847</v>
      </c>
      <c r="BA2831">
        <v>1.6</v>
      </c>
      <c r="BB2831">
        <v>4415.5600000000004</v>
      </c>
      <c r="BC2831">
        <v>0.93</v>
      </c>
      <c r="BD2831">
        <v>714.59</v>
      </c>
      <c r="BE2831">
        <v>728.98</v>
      </c>
      <c r="BF2831">
        <v>718.55</v>
      </c>
      <c r="BG2831" t="s">
        <v>25843</v>
      </c>
      <c r="BH2831" t="s">
        <v>21319</v>
      </c>
      <c r="BI2831" t="s">
        <v>25844</v>
      </c>
      <c r="BJ2831" t="s">
        <v>101</v>
      </c>
      <c r="BK2831" t="s">
        <v>7455</v>
      </c>
      <c r="BL2831" t="s">
        <v>11846</v>
      </c>
      <c r="BM2831" t="s">
        <v>881</v>
      </c>
      <c r="BN2831" t="s">
        <v>23454</v>
      </c>
    </row>
    <row r="2832" spans="1:66" x14ac:dyDescent="0.25">
      <c r="A2832" t="str">
        <f>HYPERLINK("https://elite.finviz.com/quote.ashx?t=SOLV&amp;ty=c&amp;p=d&amp;b=1", "SOLV")</f>
        <v>SOLV</v>
      </c>
      <c r="B2832">
        <v>5</v>
      </c>
      <c r="C2832">
        <v>116.22</v>
      </c>
      <c r="D2832">
        <v>42.62</v>
      </c>
      <c r="E2832" t="s">
        <v>25845</v>
      </c>
      <c r="F2832" t="s">
        <v>195</v>
      </c>
      <c r="G2832" t="s">
        <v>428</v>
      </c>
      <c r="H2832" t="s">
        <v>2161</v>
      </c>
      <c r="I2832" t="s">
        <v>70</v>
      </c>
      <c r="J2832" t="s">
        <v>71</v>
      </c>
      <c r="K2832">
        <v>12340.82</v>
      </c>
      <c r="L2832">
        <v>71.17</v>
      </c>
      <c r="M2832" t="s">
        <v>4689</v>
      </c>
      <c r="N2832">
        <v>215900</v>
      </c>
      <c r="O2832">
        <v>32.79</v>
      </c>
      <c r="P2832">
        <v>11.4</v>
      </c>
      <c r="Q2832">
        <v>21.29</v>
      </c>
      <c r="R2832">
        <v>1.47</v>
      </c>
      <c r="S2832">
        <v>3.39</v>
      </c>
      <c r="Z2832" t="s">
        <v>164</v>
      </c>
      <c r="AA2832">
        <v>2.17</v>
      </c>
      <c r="AB2832" t="s">
        <v>21725</v>
      </c>
      <c r="AD2832" t="s">
        <v>2572</v>
      </c>
      <c r="AE2832" t="s">
        <v>4547</v>
      </c>
      <c r="AF2832" t="s">
        <v>3736</v>
      </c>
      <c r="AH2832" t="s">
        <v>246</v>
      </c>
      <c r="AI2832" t="s">
        <v>12025</v>
      </c>
      <c r="AJ2832" t="s">
        <v>17413</v>
      </c>
      <c r="AK2832" t="s">
        <v>1658</v>
      </c>
      <c r="AL2832">
        <v>1.22</v>
      </c>
      <c r="AM2832">
        <v>0.86</v>
      </c>
      <c r="AN2832">
        <v>2.14</v>
      </c>
      <c r="AO2832" t="s">
        <v>25846</v>
      </c>
      <c r="AP2832" t="s">
        <v>1253</v>
      </c>
      <c r="AQ2832" t="s">
        <v>1091</v>
      </c>
      <c r="AR2832" t="s">
        <v>2307</v>
      </c>
      <c r="AS2832" t="s">
        <v>4891</v>
      </c>
      <c r="AT2832" t="s">
        <v>4688</v>
      </c>
      <c r="AU2832" t="s">
        <v>8985</v>
      </c>
      <c r="AV2832" t="s">
        <v>6659</v>
      </c>
      <c r="AW2832" t="s">
        <v>3292</v>
      </c>
      <c r="AX2832" t="s">
        <v>2273</v>
      </c>
      <c r="AY2832" t="s">
        <v>410</v>
      </c>
      <c r="AZ2832" t="s">
        <v>3348</v>
      </c>
      <c r="BA2832">
        <v>2.5</v>
      </c>
      <c r="BB2832">
        <v>1018.45</v>
      </c>
      <c r="BC2832">
        <v>0.75</v>
      </c>
      <c r="BD2832">
        <v>70.459999999999994</v>
      </c>
      <c r="BE2832">
        <v>71.319999999999993</v>
      </c>
      <c r="BF2832">
        <v>70.459999999999994</v>
      </c>
      <c r="BG2832" t="s">
        <v>25847</v>
      </c>
      <c r="BH2832" t="s">
        <v>5284</v>
      </c>
      <c r="BI2832" t="s">
        <v>5709</v>
      </c>
      <c r="BJ2832" t="s">
        <v>101</v>
      </c>
      <c r="BK2832" t="s">
        <v>4234</v>
      </c>
      <c r="BL2832" t="s">
        <v>5584</v>
      </c>
      <c r="BM2832" t="s">
        <v>2186</v>
      </c>
      <c r="BN2832" t="s">
        <v>23454</v>
      </c>
    </row>
    <row r="2833" spans="1:66" x14ac:dyDescent="0.25">
      <c r="A2833" t="str">
        <f>HYPERLINK("https://elite.finviz.com/quote.ashx?t=SWK&amp;ty=c&amp;p=d&amp;b=1", "SWK")</f>
        <v>SWK</v>
      </c>
      <c r="B2833">
        <v>5</v>
      </c>
      <c r="C2833">
        <v>116.22</v>
      </c>
      <c r="D2833">
        <v>42.68</v>
      </c>
      <c r="E2833" t="s">
        <v>25848</v>
      </c>
      <c r="F2833" t="s">
        <v>195</v>
      </c>
      <c r="G2833" t="s">
        <v>260</v>
      </c>
      <c r="H2833" t="s">
        <v>16076</v>
      </c>
      <c r="I2833" t="s">
        <v>70</v>
      </c>
      <c r="J2833" t="s">
        <v>71</v>
      </c>
      <c r="K2833">
        <v>11292.87</v>
      </c>
      <c r="L2833">
        <v>72.959999999999994</v>
      </c>
      <c r="M2833" t="s">
        <v>3495</v>
      </c>
      <c r="N2833">
        <v>361037</v>
      </c>
      <c r="O2833">
        <v>23.13</v>
      </c>
      <c r="P2833">
        <v>12.6</v>
      </c>
      <c r="Q2833">
        <v>1.4</v>
      </c>
      <c r="R2833">
        <v>0.74</v>
      </c>
      <c r="S2833">
        <v>1.25</v>
      </c>
      <c r="T2833" t="s">
        <v>2842</v>
      </c>
      <c r="U2833">
        <v>3.29</v>
      </c>
      <c r="V2833" t="s">
        <v>2187</v>
      </c>
      <c r="W2833" t="s">
        <v>2650</v>
      </c>
      <c r="X2833" t="s">
        <v>2624</v>
      </c>
      <c r="Y2833" t="s">
        <v>122</v>
      </c>
      <c r="Z2833" t="s">
        <v>25849</v>
      </c>
      <c r="AA2833">
        <v>3.15</v>
      </c>
      <c r="AB2833" t="s">
        <v>25850</v>
      </c>
      <c r="AC2833" t="s">
        <v>23783</v>
      </c>
      <c r="AD2833" t="s">
        <v>2963</v>
      </c>
      <c r="AE2833" t="s">
        <v>72</v>
      </c>
      <c r="AF2833" t="s">
        <v>4794</v>
      </c>
      <c r="AG2833" t="s">
        <v>3205</v>
      </c>
      <c r="AH2833" t="s">
        <v>4537</v>
      </c>
      <c r="AI2833" t="s">
        <v>25851</v>
      </c>
      <c r="AJ2833" t="s">
        <v>164</v>
      </c>
      <c r="AK2833" t="s">
        <v>25852</v>
      </c>
      <c r="AL2833">
        <v>1.04</v>
      </c>
      <c r="AM2833">
        <v>0.34</v>
      </c>
      <c r="AN2833">
        <v>0.74</v>
      </c>
      <c r="AO2833" t="s">
        <v>479</v>
      </c>
      <c r="AP2833" t="s">
        <v>2698</v>
      </c>
      <c r="AQ2833" t="s">
        <v>5779</v>
      </c>
      <c r="AR2833" t="s">
        <v>744</v>
      </c>
      <c r="AS2833" t="s">
        <v>901</v>
      </c>
      <c r="AT2833" t="s">
        <v>6092</v>
      </c>
      <c r="AU2833" t="s">
        <v>4436</v>
      </c>
      <c r="AV2833" t="s">
        <v>9475</v>
      </c>
      <c r="AW2833" t="s">
        <v>6687</v>
      </c>
      <c r="AX2833" t="s">
        <v>7510</v>
      </c>
      <c r="AY2833" t="s">
        <v>23336</v>
      </c>
      <c r="AZ2833" t="s">
        <v>5654</v>
      </c>
      <c r="BA2833">
        <v>2.67</v>
      </c>
      <c r="BB2833">
        <v>2149.79</v>
      </c>
      <c r="BC2833">
        <v>0.59</v>
      </c>
      <c r="BD2833">
        <v>73.45</v>
      </c>
      <c r="BE2833">
        <v>73.760000000000005</v>
      </c>
      <c r="BF2833">
        <v>72.819999999999993</v>
      </c>
      <c r="BG2833" t="s">
        <v>25853</v>
      </c>
      <c r="BH2833" t="s">
        <v>25854</v>
      </c>
      <c r="BI2833" t="s">
        <v>25855</v>
      </c>
      <c r="BJ2833" t="s">
        <v>101</v>
      </c>
      <c r="BK2833" t="s">
        <v>10610</v>
      </c>
      <c r="BL2833" t="s">
        <v>2538</v>
      </c>
      <c r="BM2833" t="s">
        <v>25856</v>
      </c>
      <c r="BN2833" t="s">
        <v>23454</v>
      </c>
    </row>
    <row r="2834" spans="1:66" x14ac:dyDescent="0.25">
      <c r="A2834" t="str">
        <f>HYPERLINK("https://elite.finviz.com/quote.ashx?t=SKYQ&amp;ty=c&amp;p=d&amp;b=1", "SKYQ")</f>
        <v>SKYQ</v>
      </c>
      <c r="B2834">
        <v>5</v>
      </c>
      <c r="C2834">
        <v>116.22</v>
      </c>
      <c r="D2834">
        <v>42.68</v>
      </c>
      <c r="E2834" t="s">
        <v>25857</v>
      </c>
      <c r="F2834" t="s">
        <v>107</v>
      </c>
      <c r="G2834" t="s">
        <v>1048</v>
      </c>
      <c r="H2834" t="s">
        <v>10235</v>
      </c>
      <c r="I2834" t="s">
        <v>70</v>
      </c>
      <c r="J2834" t="s">
        <v>321</v>
      </c>
      <c r="K2834">
        <v>10.130000000000001</v>
      </c>
      <c r="L2834">
        <v>0.43</v>
      </c>
      <c r="M2834" t="s">
        <v>4765</v>
      </c>
      <c r="N2834">
        <v>43117</v>
      </c>
      <c r="R2834">
        <v>0.51</v>
      </c>
      <c r="S2834">
        <v>1.22</v>
      </c>
      <c r="AA2834">
        <v>-0.71</v>
      </c>
      <c r="AB2834" t="s">
        <v>25858</v>
      </c>
      <c r="AE2834" t="s">
        <v>8053</v>
      </c>
      <c r="AF2834" t="s">
        <v>2812</v>
      </c>
      <c r="AJ2834" t="s">
        <v>158</v>
      </c>
      <c r="AK2834" t="s">
        <v>10073</v>
      </c>
      <c r="AL2834">
        <v>0.27</v>
      </c>
      <c r="AM2834">
        <v>0.1</v>
      </c>
      <c r="AN2834">
        <v>1.31</v>
      </c>
      <c r="AO2834" t="s">
        <v>23695</v>
      </c>
      <c r="AP2834" t="s">
        <v>5108</v>
      </c>
      <c r="AQ2834" t="s">
        <v>21823</v>
      </c>
      <c r="AR2834" t="s">
        <v>563</v>
      </c>
      <c r="AS2834" t="s">
        <v>4592</v>
      </c>
      <c r="AT2834" t="s">
        <v>12901</v>
      </c>
      <c r="AU2834" t="s">
        <v>11238</v>
      </c>
      <c r="AV2834" t="s">
        <v>25859</v>
      </c>
      <c r="AW2834" t="s">
        <v>22327</v>
      </c>
      <c r="AX2834" t="s">
        <v>3647</v>
      </c>
      <c r="AY2834" t="s">
        <v>25860</v>
      </c>
      <c r="AZ2834" t="s">
        <v>3647</v>
      </c>
      <c r="BB2834">
        <v>4384.93</v>
      </c>
      <c r="BC2834">
        <v>0.03</v>
      </c>
      <c r="BD2834">
        <v>0.42</v>
      </c>
      <c r="BE2834">
        <v>0.43</v>
      </c>
      <c r="BF2834">
        <v>0.41</v>
      </c>
      <c r="BG2834" t="s">
        <v>25861</v>
      </c>
      <c r="BH2834" t="s">
        <v>25860</v>
      </c>
      <c r="BI2834" t="s">
        <v>3647</v>
      </c>
      <c r="BJ2834" t="s">
        <v>101</v>
      </c>
      <c r="BK2834" t="s">
        <v>24306</v>
      </c>
      <c r="BL2834" t="s">
        <v>11516</v>
      </c>
      <c r="BN2834" t="s">
        <v>23454</v>
      </c>
    </row>
    <row r="2835" spans="1:66" x14ac:dyDescent="0.25">
      <c r="A2835" t="str">
        <f>HYPERLINK("https://elite.finviz.com/quote.ashx?t=ELS&amp;ty=c&amp;p=d&amp;b=1", "ELS")</f>
        <v>ELS</v>
      </c>
      <c r="B2835">
        <v>5</v>
      </c>
      <c r="C2835">
        <v>116.22</v>
      </c>
      <c r="D2835">
        <v>42.68</v>
      </c>
      <c r="E2835" t="s">
        <v>25862</v>
      </c>
      <c r="F2835" t="s">
        <v>107</v>
      </c>
      <c r="G2835" t="s">
        <v>68</v>
      </c>
      <c r="H2835" t="s">
        <v>5671</v>
      </c>
      <c r="I2835" t="s">
        <v>70</v>
      </c>
      <c r="J2835" t="s">
        <v>71</v>
      </c>
      <c r="K2835">
        <v>12108.58</v>
      </c>
      <c r="L2835">
        <v>59.69</v>
      </c>
      <c r="M2835" t="s">
        <v>4886</v>
      </c>
      <c r="N2835">
        <v>328029</v>
      </c>
      <c r="O2835">
        <v>32.31</v>
      </c>
      <c r="P2835">
        <v>28.89</v>
      </c>
      <c r="Q2835">
        <v>7.01</v>
      </c>
      <c r="R2835">
        <v>7.9</v>
      </c>
      <c r="S2835">
        <v>6.59</v>
      </c>
      <c r="T2835" t="s">
        <v>4394</v>
      </c>
      <c r="U2835">
        <v>1.99</v>
      </c>
      <c r="V2835" t="s">
        <v>4741</v>
      </c>
      <c r="W2835" t="s">
        <v>616</v>
      </c>
      <c r="X2835" t="s">
        <v>7209</v>
      </c>
      <c r="Y2835" t="s">
        <v>10812</v>
      </c>
      <c r="Z2835" t="s">
        <v>16357</v>
      </c>
      <c r="AA2835">
        <v>1.85</v>
      </c>
      <c r="AB2835" t="s">
        <v>5265</v>
      </c>
      <c r="AC2835" t="s">
        <v>585</v>
      </c>
      <c r="AD2835" t="s">
        <v>1872</v>
      </c>
      <c r="AE2835" t="s">
        <v>3598</v>
      </c>
      <c r="AF2835" t="s">
        <v>896</v>
      </c>
      <c r="AG2835" t="s">
        <v>6348</v>
      </c>
      <c r="AH2835" t="s">
        <v>3940</v>
      </c>
      <c r="AI2835" t="s">
        <v>3019</v>
      </c>
      <c r="AJ2835" t="s">
        <v>2213</v>
      </c>
      <c r="AK2835" t="s">
        <v>25863</v>
      </c>
      <c r="AL2835">
        <v>0.51</v>
      </c>
      <c r="AM2835">
        <v>0.51</v>
      </c>
      <c r="AN2835">
        <v>1.89</v>
      </c>
      <c r="AO2835" t="s">
        <v>25531</v>
      </c>
      <c r="AP2835" t="s">
        <v>469</v>
      </c>
      <c r="AQ2835" t="s">
        <v>7659</v>
      </c>
      <c r="AR2835" t="s">
        <v>3350</v>
      </c>
      <c r="AS2835" t="s">
        <v>6056</v>
      </c>
      <c r="AT2835" t="s">
        <v>5895</v>
      </c>
      <c r="AU2835" t="s">
        <v>2176</v>
      </c>
      <c r="AV2835" t="s">
        <v>9725</v>
      </c>
      <c r="AW2835" t="s">
        <v>7392</v>
      </c>
      <c r="AX2835" t="s">
        <v>213</v>
      </c>
      <c r="AY2835" t="s">
        <v>14832</v>
      </c>
      <c r="AZ2835" t="s">
        <v>213</v>
      </c>
      <c r="BA2835">
        <v>1.75</v>
      </c>
      <c r="BB2835">
        <v>1694.82</v>
      </c>
      <c r="BC2835">
        <v>0.68</v>
      </c>
      <c r="BD2835">
        <v>59.98</v>
      </c>
      <c r="BE2835">
        <v>59.92</v>
      </c>
      <c r="BF2835">
        <v>59.39</v>
      </c>
      <c r="BG2835" t="s">
        <v>25864</v>
      </c>
      <c r="BH2835" t="s">
        <v>8029</v>
      </c>
      <c r="BI2835" t="s">
        <v>25865</v>
      </c>
      <c r="BJ2835" t="s">
        <v>101</v>
      </c>
      <c r="BK2835" t="s">
        <v>3485</v>
      </c>
      <c r="BL2835" t="s">
        <v>2701</v>
      </c>
      <c r="BM2835" t="s">
        <v>6571</v>
      </c>
      <c r="BN2835" t="s">
        <v>23454</v>
      </c>
    </row>
    <row r="2836" spans="1:66" x14ac:dyDescent="0.25">
      <c r="A2836" t="str">
        <f>HYPERLINK("https://elite.finviz.com/quote.ashx?t=EW&amp;ty=c&amp;p=d&amp;b=1", "EW")</f>
        <v>EW</v>
      </c>
      <c r="B2836">
        <v>5</v>
      </c>
      <c r="C2836">
        <v>116.22</v>
      </c>
      <c r="D2836">
        <v>42.68</v>
      </c>
      <c r="E2836" t="s">
        <v>25866</v>
      </c>
      <c r="F2836" t="s">
        <v>195</v>
      </c>
      <c r="G2836" t="s">
        <v>428</v>
      </c>
      <c r="H2836" t="s">
        <v>2051</v>
      </c>
      <c r="I2836" t="s">
        <v>70</v>
      </c>
      <c r="J2836" t="s">
        <v>71</v>
      </c>
      <c r="K2836">
        <v>44619.59</v>
      </c>
      <c r="L2836">
        <v>76</v>
      </c>
      <c r="M2836" t="s">
        <v>2630</v>
      </c>
      <c r="N2836">
        <v>704019</v>
      </c>
      <c r="O2836">
        <v>51.88</v>
      </c>
      <c r="P2836">
        <v>27.19</v>
      </c>
      <c r="Q2836">
        <v>5.73</v>
      </c>
      <c r="R2836">
        <v>7.85</v>
      </c>
      <c r="S2836">
        <v>4.24</v>
      </c>
      <c r="Z2836" t="s">
        <v>164</v>
      </c>
      <c r="AA2836">
        <v>1.46</v>
      </c>
      <c r="AB2836" t="s">
        <v>4336</v>
      </c>
      <c r="AC2836" t="s">
        <v>5661</v>
      </c>
      <c r="AD2836" t="s">
        <v>2653</v>
      </c>
      <c r="AE2836" t="s">
        <v>15164</v>
      </c>
      <c r="AF2836" t="s">
        <v>2509</v>
      </c>
      <c r="AG2836" t="s">
        <v>4052</v>
      </c>
      <c r="AH2836" t="s">
        <v>5738</v>
      </c>
      <c r="AI2836" t="s">
        <v>699</v>
      </c>
      <c r="AJ2836" t="s">
        <v>2197</v>
      </c>
      <c r="AK2836" t="s">
        <v>25867</v>
      </c>
      <c r="AL2836">
        <v>4.68</v>
      </c>
      <c r="AM2836">
        <v>3.87</v>
      </c>
      <c r="AN2836">
        <v>7.0000000000000007E-2</v>
      </c>
      <c r="AO2836" t="s">
        <v>18372</v>
      </c>
      <c r="AP2836" t="s">
        <v>9223</v>
      </c>
      <c r="AQ2836" t="s">
        <v>3042</v>
      </c>
      <c r="AR2836" t="s">
        <v>3832</v>
      </c>
      <c r="AS2836" t="s">
        <v>1439</v>
      </c>
      <c r="AT2836" t="s">
        <v>5765</v>
      </c>
      <c r="AU2836" t="s">
        <v>8216</v>
      </c>
      <c r="AV2836" t="s">
        <v>2217</v>
      </c>
      <c r="AW2836" t="s">
        <v>278</v>
      </c>
      <c r="AX2836" t="s">
        <v>4795</v>
      </c>
      <c r="AY2836" t="s">
        <v>278</v>
      </c>
      <c r="AZ2836" t="s">
        <v>9483</v>
      </c>
      <c r="BA2836">
        <v>2.06</v>
      </c>
      <c r="BB2836">
        <v>4384.53</v>
      </c>
      <c r="BC2836">
        <v>0.56999999999999995</v>
      </c>
      <c r="BD2836">
        <v>75.27</v>
      </c>
      <c r="BE2836">
        <v>76.36</v>
      </c>
      <c r="BF2836">
        <v>75.39</v>
      </c>
      <c r="BG2836" t="s">
        <v>25868</v>
      </c>
      <c r="BH2836" t="s">
        <v>18896</v>
      </c>
      <c r="BI2836" t="s">
        <v>25869</v>
      </c>
      <c r="BJ2836" t="s">
        <v>101</v>
      </c>
      <c r="BK2836" t="s">
        <v>2673</v>
      </c>
      <c r="BL2836" t="s">
        <v>4966</v>
      </c>
      <c r="BM2836" t="s">
        <v>2722</v>
      </c>
      <c r="BN2836" t="s">
        <v>23454</v>
      </c>
    </row>
    <row r="2837" spans="1:66" x14ac:dyDescent="0.25">
      <c r="A2837" t="str">
        <f>HYPERLINK("https://elite.finviz.com/quote.ashx?t=VERX&amp;ty=c&amp;p=d&amp;b=1", "VERX")</f>
        <v>VERX</v>
      </c>
      <c r="B2837">
        <v>5</v>
      </c>
      <c r="C2837">
        <v>116.22</v>
      </c>
      <c r="D2837">
        <v>42.7</v>
      </c>
      <c r="E2837" t="s">
        <v>25870</v>
      </c>
      <c r="F2837" t="s">
        <v>67</v>
      </c>
      <c r="G2837" t="s">
        <v>108</v>
      </c>
      <c r="H2837" t="s">
        <v>136</v>
      </c>
      <c r="I2837" t="s">
        <v>70</v>
      </c>
      <c r="J2837" t="s">
        <v>321</v>
      </c>
      <c r="K2837">
        <v>3921.64</v>
      </c>
      <c r="L2837">
        <v>24.59</v>
      </c>
      <c r="M2837" t="s">
        <v>1547</v>
      </c>
      <c r="N2837">
        <v>197097</v>
      </c>
      <c r="P2837">
        <v>32.28</v>
      </c>
      <c r="R2837">
        <v>5.52</v>
      </c>
      <c r="S2837">
        <v>15.8</v>
      </c>
      <c r="AA2837">
        <v>-0.32</v>
      </c>
      <c r="AB2837" t="s">
        <v>25871</v>
      </c>
      <c r="AD2837" t="s">
        <v>16008</v>
      </c>
      <c r="AE2837" t="s">
        <v>3270</v>
      </c>
      <c r="AF2837" t="s">
        <v>2912</v>
      </c>
      <c r="AG2837" t="s">
        <v>1497</v>
      </c>
      <c r="AH2837" t="s">
        <v>1581</v>
      </c>
      <c r="AI2837" t="s">
        <v>276</v>
      </c>
      <c r="AJ2837" t="s">
        <v>2012</v>
      </c>
      <c r="AK2837" t="s">
        <v>13294</v>
      </c>
      <c r="AL2837">
        <v>0.98</v>
      </c>
      <c r="AM2837">
        <v>0.98</v>
      </c>
      <c r="AN2837">
        <v>1.42</v>
      </c>
      <c r="AO2837" t="s">
        <v>10639</v>
      </c>
      <c r="AP2837" t="s">
        <v>1338</v>
      </c>
      <c r="AQ2837" t="s">
        <v>440</v>
      </c>
      <c r="AR2837" t="s">
        <v>3542</v>
      </c>
      <c r="AS2837" t="s">
        <v>2484</v>
      </c>
      <c r="AT2837" t="s">
        <v>3634</v>
      </c>
      <c r="AU2837" t="s">
        <v>1323</v>
      </c>
      <c r="AV2837" t="s">
        <v>12336</v>
      </c>
      <c r="AW2837" t="s">
        <v>25872</v>
      </c>
      <c r="AX2837" t="s">
        <v>2386</v>
      </c>
      <c r="AY2837" t="s">
        <v>25873</v>
      </c>
      <c r="AZ2837" t="s">
        <v>2386</v>
      </c>
      <c r="BA2837">
        <v>1.94</v>
      </c>
      <c r="BB2837">
        <v>1563.44</v>
      </c>
      <c r="BC2837">
        <v>0.44</v>
      </c>
      <c r="BD2837">
        <v>24.61</v>
      </c>
      <c r="BE2837">
        <v>25.01</v>
      </c>
      <c r="BF2837">
        <v>24.51</v>
      </c>
      <c r="BG2837" t="s">
        <v>25874</v>
      </c>
      <c r="BH2837" t="s">
        <v>25873</v>
      </c>
      <c r="BI2837" t="s">
        <v>25875</v>
      </c>
      <c r="BJ2837" t="s">
        <v>101</v>
      </c>
      <c r="BK2837" t="s">
        <v>19614</v>
      </c>
      <c r="BL2837" t="s">
        <v>25876</v>
      </c>
      <c r="BM2837" t="s">
        <v>10838</v>
      </c>
      <c r="BN2837" t="s">
        <v>23454</v>
      </c>
    </row>
    <row r="2838" spans="1:66" x14ac:dyDescent="0.25">
      <c r="A2838" t="str">
        <f>HYPERLINK("https://elite.finviz.com/quote.ashx?t=VOYG&amp;ty=c&amp;p=d&amp;b=1", "VOYG")</f>
        <v>VOYG</v>
      </c>
      <c r="B2838">
        <v>5</v>
      </c>
      <c r="C2838">
        <v>116.22</v>
      </c>
      <c r="D2838">
        <v>42.71</v>
      </c>
      <c r="E2838" t="s">
        <v>25877</v>
      </c>
      <c r="F2838" t="s">
        <v>67</v>
      </c>
      <c r="G2838" t="s">
        <v>260</v>
      </c>
      <c r="H2838" t="s">
        <v>4779</v>
      </c>
      <c r="I2838" t="s">
        <v>70</v>
      </c>
      <c r="J2838" t="s">
        <v>71</v>
      </c>
      <c r="K2838">
        <v>1688.3</v>
      </c>
      <c r="L2838">
        <v>28.63</v>
      </c>
      <c r="M2838" t="s">
        <v>5444</v>
      </c>
      <c r="N2838">
        <v>173735</v>
      </c>
      <c r="S2838">
        <v>3.05</v>
      </c>
      <c r="AI2838" t="s">
        <v>25648</v>
      </c>
      <c r="AJ2838" t="s">
        <v>343</v>
      </c>
      <c r="AK2838" t="s">
        <v>5712</v>
      </c>
      <c r="AL2838">
        <v>5.6</v>
      </c>
      <c r="AM2838">
        <v>5.59</v>
      </c>
      <c r="AN2838">
        <v>0.02</v>
      </c>
      <c r="AR2838" t="s">
        <v>6421</v>
      </c>
      <c r="AS2838" t="s">
        <v>3601</v>
      </c>
      <c r="AT2838" t="s">
        <v>4222</v>
      </c>
      <c r="AU2838" t="s">
        <v>14846</v>
      </c>
      <c r="AV2838" t="s">
        <v>16276</v>
      </c>
      <c r="AW2838" t="s">
        <v>25878</v>
      </c>
      <c r="AX2838" t="s">
        <v>2403</v>
      </c>
      <c r="AY2838" t="s">
        <v>25879</v>
      </c>
      <c r="AZ2838" t="s">
        <v>2403</v>
      </c>
      <c r="BA2838">
        <v>1.57</v>
      </c>
      <c r="BB2838">
        <v>1037.1300000000001</v>
      </c>
      <c r="BC2838">
        <v>0.59</v>
      </c>
      <c r="BD2838">
        <v>29.28</v>
      </c>
      <c r="BE2838">
        <v>29.62</v>
      </c>
      <c r="BF2838">
        <v>28.5</v>
      </c>
      <c r="BG2838" t="s">
        <v>25880</v>
      </c>
      <c r="BH2838" t="s">
        <v>25879</v>
      </c>
      <c r="BI2838" t="s">
        <v>2403</v>
      </c>
      <c r="BJ2838" t="s">
        <v>101</v>
      </c>
      <c r="BK2838" t="s">
        <v>4861</v>
      </c>
      <c r="BN2838" t="s">
        <v>23454</v>
      </c>
    </row>
    <row r="2839" spans="1:66" x14ac:dyDescent="0.25">
      <c r="A2839" t="str">
        <f>HYPERLINK("https://elite.finviz.com/quote.ashx?t=OSRH&amp;ty=c&amp;p=d&amp;b=1", "OSRH")</f>
        <v>OSRH</v>
      </c>
      <c r="B2839">
        <v>5</v>
      </c>
      <c r="C2839">
        <v>116.22</v>
      </c>
      <c r="D2839">
        <v>42.72</v>
      </c>
      <c r="E2839" t="s">
        <v>25881</v>
      </c>
      <c r="F2839" t="s">
        <v>107</v>
      </c>
      <c r="G2839" t="s">
        <v>428</v>
      </c>
      <c r="H2839" t="s">
        <v>429</v>
      </c>
      <c r="I2839" t="s">
        <v>70</v>
      </c>
      <c r="J2839" t="s">
        <v>321</v>
      </c>
      <c r="K2839">
        <v>12.9</v>
      </c>
      <c r="L2839">
        <v>0.6</v>
      </c>
      <c r="M2839" t="s">
        <v>2486</v>
      </c>
      <c r="N2839">
        <v>60494</v>
      </c>
      <c r="R2839">
        <v>6.79</v>
      </c>
      <c r="S2839">
        <v>0.14000000000000001</v>
      </c>
      <c r="AA2839">
        <v>-1.96</v>
      </c>
      <c r="AB2839" t="s">
        <v>25882</v>
      </c>
      <c r="AC2839" t="s">
        <v>25883</v>
      </c>
      <c r="AJ2839" t="s">
        <v>164</v>
      </c>
      <c r="AK2839" t="s">
        <v>1765</v>
      </c>
      <c r="AL2839">
        <v>0.18</v>
      </c>
      <c r="AM2839">
        <v>0.17</v>
      </c>
      <c r="AN2839">
        <v>0.06</v>
      </c>
      <c r="AO2839" t="s">
        <v>25884</v>
      </c>
      <c r="AP2839" t="s">
        <v>25885</v>
      </c>
      <c r="AQ2839" t="s">
        <v>25886</v>
      </c>
      <c r="AR2839" t="s">
        <v>9703</v>
      </c>
      <c r="AS2839" t="s">
        <v>2019</v>
      </c>
      <c r="AT2839" t="s">
        <v>15469</v>
      </c>
      <c r="AU2839" t="s">
        <v>16527</v>
      </c>
      <c r="AV2839" t="s">
        <v>25887</v>
      </c>
      <c r="AW2839" t="s">
        <v>7325</v>
      </c>
      <c r="AX2839" t="s">
        <v>25888</v>
      </c>
      <c r="AY2839" t="s">
        <v>10939</v>
      </c>
      <c r="AZ2839" t="s">
        <v>25888</v>
      </c>
      <c r="BB2839">
        <v>4869.49</v>
      </c>
      <c r="BC2839">
        <v>0.04</v>
      </c>
      <c r="BD2839">
        <v>0.6</v>
      </c>
      <c r="BE2839">
        <v>0.62</v>
      </c>
      <c r="BF2839">
        <v>0.59</v>
      </c>
      <c r="BG2839" t="s">
        <v>25889</v>
      </c>
      <c r="BH2839" t="s">
        <v>10939</v>
      </c>
      <c r="BI2839" t="s">
        <v>25888</v>
      </c>
      <c r="BJ2839" t="s">
        <v>101</v>
      </c>
      <c r="BK2839" t="s">
        <v>25890</v>
      </c>
      <c r="BL2839" t="s">
        <v>25891</v>
      </c>
      <c r="BM2839" t="s">
        <v>17225</v>
      </c>
      <c r="BN2839" t="s">
        <v>23454</v>
      </c>
    </row>
    <row r="2840" spans="1:66" x14ac:dyDescent="0.25">
      <c r="A2840" t="str">
        <f>HYPERLINK("https://elite.finviz.com/quote.ashx?t=ADC&amp;ty=c&amp;p=d&amp;b=1", "ADC")</f>
        <v>ADC</v>
      </c>
      <c r="B2840">
        <v>5</v>
      </c>
      <c r="C2840">
        <v>116.22</v>
      </c>
      <c r="D2840">
        <v>42.74</v>
      </c>
      <c r="E2840" t="s">
        <v>25892</v>
      </c>
      <c r="F2840" t="s">
        <v>107</v>
      </c>
      <c r="G2840" t="s">
        <v>68</v>
      </c>
      <c r="H2840" t="s">
        <v>160</v>
      </c>
      <c r="I2840" t="s">
        <v>70</v>
      </c>
      <c r="J2840" t="s">
        <v>71</v>
      </c>
      <c r="K2840">
        <v>7864.08</v>
      </c>
      <c r="L2840">
        <v>71.06</v>
      </c>
      <c r="M2840" t="s">
        <v>5253</v>
      </c>
      <c r="N2840">
        <v>83303</v>
      </c>
      <c r="O2840">
        <v>42.38</v>
      </c>
      <c r="P2840">
        <v>37.299999999999997</v>
      </c>
      <c r="Q2840">
        <v>14.82</v>
      </c>
      <c r="R2840">
        <v>11.91</v>
      </c>
      <c r="S2840">
        <v>1.44</v>
      </c>
      <c r="T2840" t="s">
        <v>3443</v>
      </c>
      <c r="U2840">
        <v>3.05</v>
      </c>
      <c r="V2840" t="s">
        <v>198</v>
      </c>
      <c r="W2840" t="s">
        <v>4658</v>
      </c>
      <c r="X2840" t="s">
        <v>585</v>
      </c>
      <c r="Y2840" t="s">
        <v>7231</v>
      </c>
      <c r="Z2840" t="s">
        <v>25893</v>
      </c>
      <c r="AA2840">
        <v>1.68</v>
      </c>
      <c r="AB2840" t="s">
        <v>1547</v>
      </c>
      <c r="AC2840" t="s">
        <v>14607</v>
      </c>
      <c r="AD2840" t="s">
        <v>2146</v>
      </c>
      <c r="AE2840" t="s">
        <v>6946</v>
      </c>
      <c r="AF2840" t="s">
        <v>4838</v>
      </c>
      <c r="AG2840" t="s">
        <v>13363</v>
      </c>
      <c r="AH2840" t="s">
        <v>3841</v>
      </c>
      <c r="AI2840" t="s">
        <v>16056</v>
      </c>
      <c r="AJ2840" t="s">
        <v>180</v>
      </c>
      <c r="AK2840" t="s">
        <v>1188</v>
      </c>
      <c r="AL2840">
        <v>0.22</v>
      </c>
      <c r="AM2840">
        <v>0.22</v>
      </c>
      <c r="AN2840">
        <v>0.57999999999999996</v>
      </c>
      <c r="AO2840" t="s">
        <v>6070</v>
      </c>
      <c r="AP2840" t="s">
        <v>13229</v>
      </c>
      <c r="AQ2840" t="s">
        <v>13040</v>
      </c>
      <c r="AR2840" t="s">
        <v>3018</v>
      </c>
      <c r="AS2840" t="s">
        <v>80</v>
      </c>
      <c r="AT2840" t="s">
        <v>4953</v>
      </c>
      <c r="AU2840" t="s">
        <v>1080</v>
      </c>
      <c r="AV2840" t="s">
        <v>5426</v>
      </c>
      <c r="AW2840" t="s">
        <v>7380</v>
      </c>
      <c r="AX2840" t="s">
        <v>5055</v>
      </c>
      <c r="AY2840" t="s">
        <v>2249</v>
      </c>
      <c r="AZ2840" t="s">
        <v>6527</v>
      </c>
      <c r="BA2840">
        <v>1.71</v>
      </c>
      <c r="BB2840">
        <v>1036.49</v>
      </c>
      <c r="BC2840">
        <v>0.28000000000000003</v>
      </c>
      <c r="BD2840">
        <v>70.58</v>
      </c>
      <c r="BE2840">
        <v>71.48</v>
      </c>
      <c r="BF2840">
        <v>70.849999999999994</v>
      </c>
      <c r="BG2840" t="s">
        <v>25894</v>
      </c>
      <c r="BH2840" t="s">
        <v>13837</v>
      </c>
      <c r="BI2840" t="s">
        <v>25895</v>
      </c>
      <c r="BJ2840" t="s">
        <v>101</v>
      </c>
      <c r="BK2840" t="s">
        <v>6659</v>
      </c>
      <c r="BL2840" t="s">
        <v>2594</v>
      </c>
      <c r="BM2840" t="s">
        <v>3423</v>
      </c>
      <c r="BN2840" t="s">
        <v>23454</v>
      </c>
    </row>
    <row r="2841" spans="1:66" x14ac:dyDescent="0.25">
      <c r="A2841" t="str">
        <f>HYPERLINK("https://elite.finviz.com/quote.ashx?t=XRX&amp;ty=c&amp;p=d&amp;b=1", "XRX")</f>
        <v>XRX</v>
      </c>
      <c r="B2841">
        <v>5</v>
      </c>
      <c r="C2841">
        <v>116.22</v>
      </c>
      <c r="D2841">
        <v>42.77</v>
      </c>
      <c r="E2841" t="s">
        <v>25896</v>
      </c>
      <c r="F2841" t="s">
        <v>67</v>
      </c>
      <c r="G2841" t="s">
        <v>108</v>
      </c>
      <c r="H2841" t="s">
        <v>1322</v>
      </c>
      <c r="I2841" t="s">
        <v>70</v>
      </c>
      <c r="J2841" t="s">
        <v>321</v>
      </c>
      <c r="K2841">
        <v>465.19</v>
      </c>
      <c r="L2841">
        <v>3.7</v>
      </c>
      <c r="M2841" t="s">
        <v>2720</v>
      </c>
      <c r="N2841">
        <v>773638</v>
      </c>
      <c r="P2841">
        <v>2.38</v>
      </c>
      <c r="R2841">
        <v>0.08</v>
      </c>
      <c r="S2841">
        <v>0.41</v>
      </c>
      <c r="T2841" t="s">
        <v>4834</v>
      </c>
      <c r="U2841">
        <v>0.65</v>
      </c>
      <c r="V2841" t="s">
        <v>198</v>
      </c>
      <c r="W2841" t="s">
        <v>164</v>
      </c>
      <c r="X2841" t="s">
        <v>164</v>
      </c>
      <c r="Y2841" t="s">
        <v>164</v>
      </c>
      <c r="AA2841">
        <v>-11.53</v>
      </c>
      <c r="AB2841" t="s">
        <v>23074</v>
      </c>
      <c r="AD2841" t="s">
        <v>3748</v>
      </c>
      <c r="AE2841" t="s">
        <v>10175</v>
      </c>
      <c r="AF2841" t="s">
        <v>11242</v>
      </c>
      <c r="AG2841" t="s">
        <v>3266</v>
      </c>
      <c r="AH2841" t="s">
        <v>1842</v>
      </c>
      <c r="AI2841" t="s">
        <v>25897</v>
      </c>
      <c r="AJ2841" t="s">
        <v>343</v>
      </c>
      <c r="AK2841" t="s">
        <v>25898</v>
      </c>
      <c r="AL2841">
        <v>1.46</v>
      </c>
      <c r="AM2841">
        <v>1.1000000000000001</v>
      </c>
      <c r="AN2841">
        <v>3.1</v>
      </c>
      <c r="AO2841" t="s">
        <v>5782</v>
      </c>
      <c r="AP2841" t="s">
        <v>3671</v>
      </c>
      <c r="AQ2841" t="s">
        <v>23204</v>
      </c>
      <c r="AR2841" t="s">
        <v>4760</v>
      </c>
      <c r="AS2841" t="s">
        <v>322</v>
      </c>
      <c r="AT2841" t="s">
        <v>79</v>
      </c>
      <c r="AU2841" t="s">
        <v>1024</v>
      </c>
      <c r="AV2841" t="s">
        <v>18526</v>
      </c>
      <c r="AW2841" t="s">
        <v>25899</v>
      </c>
      <c r="AX2841" t="s">
        <v>6726</v>
      </c>
      <c r="AY2841" t="s">
        <v>12111</v>
      </c>
      <c r="AZ2841" t="s">
        <v>5151</v>
      </c>
      <c r="BA2841">
        <v>3.67</v>
      </c>
      <c r="BB2841">
        <v>4764.1899999999996</v>
      </c>
      <c r="BC2841">
        <v>0.56999999999999995</v>
      </c>
      <c r="BD2841">
        <v>3.64</v>
      </c>
      <c r="BE2841">
        <v>3.72</v>
      </c>
      <c r="BF2841">
        <v>3.59</v>
      </c>
      <c r="BG2841" t="s">
        <v>25900</v>
      </c>
      <c r="BH2841" t="s">
        <v>25901</v>
      </c>
      <c r="BI2841" t="s">
        <v>5151</v>
      </c>
      <c r="BJ2841" t="s">
        <v>101</v>
      </c>
      <c r="BK2841" t="s">
        <v>5397</v>
      </c>
      <c r="BL2841" t="s">
        <v>23211</v>
      </c>
      <c r="BM2841" t="s">
        <v>17388</v>
      </c>
      <c r="BN2841" t="s">
        <v>23454</v>
      </c>
    </row>
    <row r="2842" spans="1:66" x14ac:dyDescent="0.25">
      <c r="A2842" t="str">
        <f>HYPERLINK("https://elite.finviz.com/quote.ashx?t=TWLO&amp;ty=c&amp;p=d&amp;b=1", "TWLO")</f>
        <v>TWLO</v>
      </c>
      <c r="B2842">
        <v>5</v>
      </c>
      <c r="C2842">
        <v>116.22</v>
      </c>
      <c r="D2842">
        <v>42.77</v>
      </c>
      <c r="E2842" t="s">
        <v>25902</v>
      </c>
      <c r="F2842" t="s">
        <v>107</v>
      </c>
      <c r="G2842" t="s">
        <v>108</v>
      </c>
      <c r="H2842" t="s">
        <v>109</v>
      </c>
      <c r="I2842" t="s">
        <v>70</v>
      </c>
      <c r="J2842" t="s">
        <v>71</v>
      </c>
      <c r="K2842">
        <v>15630.28</v>
      </c>
      <c r="L2842">
        <v>101.87</v>
      </c>
      <c r="M2842" t="s">
        <v>2362</v>
      </c>
      <c r="N2842">
        <v>623517</v>
      </c>
      <c r="O2842">
        <v>836.37</v>
      </c>
      <c r="P2842">
        <v>19.59</v>
      </c>
      <c r="Q2842">
        <v>45.09</v>
      </c>
      <c r="R2842">
        <v>3.3</v>
      </c>
      <c r="S2842">
        <v>1.94</v>
      </c>
      <c r="AA2842">
        <v>0.12</v>
      </c>
      <c r="AB2842" t="s">
        <v>13607</v>
      </c>
      <c r="AC2842" t="s">
        <v>3052</v>
      </c>
      <c r="AD2842" t="s">
        <v>6574</v>
      </c>
      <c r="AE2842" t="s">
        <v>7976</v>
      </c>
      <c r="AF2842" t="s">
        <v>6501</v>
      </c>
      <c r="AG2842" t="s">
        <v>10699</v>
      </c>
      <c r="AH2842" t="s">
        <v>6608</v>
      </c>
      <c r="AI2842" t="s">
        <v>6737</v>
      </c>
      <c r="AJ2842" t="s">
        <v>9075</v>
      </c>
      <c r="AK2842" t="s">
        <v>85</v>
      </c>
      <c r="AL2842">
        <v>4.9000000000000004</v>
      </c>
      <c r="AM2842">
        <v>4.9000000000000004</v>
      </c>
      <c r="AN2842">
        <v>0.14000000000000001</v>
      </c>
      <c r="AO2842" t="s">
        <v>25903</v>
      </c>
      <c r="AP2842" t="s">
        <v>1952</v>
      </c>
      <c r="AQ2842" t="s">
        <v>7464</v>
      </c>
      <c r="AR2842" t="s">
        <v>1560</v>
      </c>
      <c r="AS2842" t="s">
        <v>2383</v>
      </c>
      <c r="AT2842" t="s">
        <v>4698</v>
      </c>
      <c r="AU2842" t="s">
        <v>14481</v>
      </c>
      <c r="AV2842" t="s">
        <v>21015</v>
      </c>
      <c r="AW2842" t="s">
        <v>15906</v>
      </c>
      <c r="AX2842" t="s">
        <v>5551</v>
      </c>
      <c r="AY2842" t="s">
        <v>16069</v>
      </c>
      <c r="AZ2842" t="s">
        <v>22438</v>
      </c>
      <c r="BA2842">
        <v>1.78</v>
      </c>
      <c r="BB2842">
        <v>3606.78</v>
      </c>
      <c r="BC2842">
        <v>0.61</v>
      </c>
      <c r="BD2842">
        <v>101.33</v>
      </c>
      <c r="BE2842">
        <v>102.58</v>
      </c>
      <c r="BF2842">
        <v>101.17</v>
      </c>
      <c r="BG2842" t="s">
        <v>25904</v>
      </c>
      <c r="BH2842" t="s">
        <v>25905</v>
      </c>
      <c r="BI2842" t="s">
        <v>25906</v>
      </c>
      <c r="BJ2842" t="s">
        <v>101</v>
      </c>
      <c r="BK2842" t="s">
        <v>25907</v>
      </c>
      <c r="BL2842" t="s">
        <v>4237</v>
      </c>
      <c r="BM2842" t="s">
        <v>22664</v>
      </c>
      <c r="BN2842" t="s">
        <v>23454</v>
      </c>
    </row>
    <row r="2843" spans="1:66" x14ac:dyDescent="0.25">
      <c r="A2843" t="str">
        <f>HYPERLINK("https://elite.finviz.com/quote.ashx?t=HOMB&amp;ty=c&amp;p=d&amp;b=1", "HOMB")</f>
        <v>HOMB</v>
      </c>
      <c r="B2843">
        <v>5</v>
      </c>
      <c r="C2843">
        <v>116.22</v>
      </c>
      <c r="D2843">
        <v>42.78</v>
      </c>
      <c r="E2843" t="s">
        <v>25908</v>
      </c>
      <c r="F2843" t="s">
        <v>67</v>
      </c>
      <c r="G2843" t="s">
        <v>550</v>
      </c>
      <c r="H2843" t="s">
        <v>697</v>
      </c>
      <c r="I2843" t="s">
        <v>70</v>
      </c>
      <c r="J2843" t="s">
        <v>71</v>
      </c>
      <c r="K2843">
        <v>5633.95</v>
      </c>
      <c r="L2843">
        <v>28.59</v>
      </c>
      <c r="M2843" t="s">
        <v>4507</v>
      </c>
      <c r="N2843">
        <v>84542</v>
      </c>
      <c r="O2843">
        <v>13.08</v>
      </c>
      <c r="P2843">
        <v>11.9</v>
      </c>
      <c r="Q2843">
        <v>1.8</v>
      </c>
      <c r="R2843">
        <v>3.85</v>
      </c>
      <c r="S2843">
        <v>1.38</v>
      </c>
      <c r="T2843" t="s">
        <v>3456</v>
      </c>
      <c r="U2843">
        <v>0.79</v>
      </c>
      <c r="V2843" t="s">
        <v>8649</v>
      </c>
      <c r="W2843" t="s">
        <v>2841</v>
      </c>
      <c r="X2843" t="s">
        <v>8240</v>
      </c>
      <c r="Y2843" t="s">
        <v>7938</v>
      </c>
      <c r="Z2843" t="s">
        <v>12624</v>
      </c>
      <c r="AA2843">
        <v>2.19</v>
      </c>
      <c r="AB2843" t="s">
        <v>5158</v>
      </c>
      <c r="AC2843" t="s">
        <v>1932</v>
      </c>
      <c r="AD2843" t="s">
        <v>7970</v>
      </c>
      <c r="AE2843" t="s">
        <v>615</v>
      </c>
      <c r="AF2843" t="s">
        <v>15374</v>
      </c>
      <c r="AG2843" t="s">
        <v>11924</v>
      </c>
      <c r="AH2843" t="s">
        <v>3446</v>
      </c>
      <c r="AI2843" t="s">
        <v>1599</v>
      </c>
      <c r="AJ2843" t="s">
        <v>13366</v>
      </c>
      <c r="AK2843" t="s">
        <v>22512</v>
      </c>
      <c r="AL2843">
        <v>0.28999999999999998</v>
      </c>
      <c r="AN2843">
        <v>0.28999999999999998</v>
      </c>
      <c r="AP2843" t="s">
        <v>20412</v>
      </c>
      <c r="AQ2843" t="s">
        <v>4581</v>
      </c>
      <c r="AR2843" t="s">
        <v>3925</v>
      </c>
      <c r="AS2843" t="s">
        <v>5968</v>
      </c>
      <c r="AT2843" t="s">
        <v>14462</v>
      </c>
      <c r="AU2843" t="s">
        <v>7598</v>
      </c>
      <c r="AV2843" t="s">
        <v>1938</v>
      </c>
      <c r="AW2843" t="s">
        <v>4101</v>
      </c>
      <c r="AX2843" t="s">
        <v>2744</v>
      </c>
      <c r="AY2843" t="s">
        <v>4464</v>
      </c>
      <c r="AZ2843" t="s">
        <v>5063</v>
      </c>
      <c r="BA2843">
        <v>2.11</v>
      </c>
      <c r="BB2843">
        <v>1036.97</v>
      </c>
      <c r="BC2843">
        <v>0.28999999999999998</v>
      </c>
      <c r="BD2843">
        <v>28.57</v>
      </c>
      <c r="BE2843">
        <v>28.89</v>
      </c>
      <c r="BF2843">
        <v>28.57</v>
      </c>
      <c r="BG2843" t="s">
        <v>25909</v>
      </c>
      <c r="BH2843" t="s">
        <v>4464</v>
      </c>
      <c r="BI2843" t="s">
        <v>25910</v>
      </c>
      <c r="BJ2843" t="s">
        <v>101</v>
      </c>
      <c r="BK2843" t="s">
        <v>2757</v>
      </c>
      <c r="BL2843" t="s">
        <v>4507</v>
      </c>
      <c r="BM2843" t="s">
        <v>5336</v>
      </c>
      <c r="BN2843" t="s">
        <v>23454</v>
      </c>
    </row>
    <row r="2844" spans="1:66" x14ac:dyDescent="0.25">
      <c r="A2844" t="str">
        <f>HYPERLINK("https://elite.finviz.com/quote.ashx?t=NN&amp;ty=c&amp;p=d&amp;b=1", "NN")</f>
        <v>NN</v>
      </c>
      <c r="B2844">
        <v>5</v>
      </c>
      <c r="C2844">
        <v>116.22</v>
      </c>
      <c r="D2844">
        <v>42.79</v>
      </c>
      <c r="E2844" t="s">
        <v>25911</v>
      </c>
      <c r="F2844" t="s">
        <v>67</v>
      </c>
      <c r="G2844" t="s">
        <v>108</v>
      </c>
      <c r="H2844" t="s">
        <v>109</v>
      </c>
      <c r="I2844" t="s">
        <v>70</v>
      </c>
      <c r="J2844" t="s">
        <v>321</v>
      </c>
      <c r="K2844">
        <v>2098.13</v>
      </c>
      <c r="L2844">
        <v>15.76</v>
      </c>
      <c r="M2844" t="s">
        <v>8634</v>
      </c>
      <c r="N2844">
        <v>290397</v>
      </c>
      <c r="R2844">
        <v>335.17</v>
      </c>
      <c r="AA2844">
        <v>-1.28</v>
      </c>
      <c r="AB2844" t="s">
        <v>23505</v>
      </c>
      <c r="AC2844" t="s">
        <v>6784</v>
      </c>
      <c r="AE2844" t="s">
        <v>15260</v>
      </c>
      <c r="AF2844" t="s">
        <v>25550</v>
      </c>
      <c r="AG2844" t="s">
        <v>25912</v>
      </c>
      <c r="AH2844" t="s">
        <v>2250</v>
      </c>
      <c r="AI2844" t="s">
        <v>25913</v>
      </c>
      <c r="AJ2844" t="s">
        <v>6871</v>
      </c>
      <c r="AK2844" t="s">
        <v>20476</v>
      </c>
      <c r="AL2844">
        <v>14.97</v>
      </c>
      <c r="AM2844">
        <v>14.97</v>
      </c>
      <c r="AO2844" t="s">
        <v>25914</v>
      </c>
      <c r="AP2844" t="s">
        <v>25915</v>
      </c>
      <c r="AQ2844" t="s">
        <v>25916</v>
      </c>
      <c r="AR2844" t="s">
        <v>4172</v>
      </c>
      <c r="AS2844" t="s">
        <v>1204</v>
      </c>
      <c r="AT2844" t="s">
        <v>11313</v>
      </c>
      <c r="AU2844" t="s">
        <v>1564</v>
      </c>
      <c r="AV2844" t="s">
        <v>1161</v>
      </c>
      <c r="AW2844" t="s">
        <v>5403</v>
      </c>
      <c r="AX2844" t="s">
        <v>2395</v>
      </c>
      <c r="AY2844" t="s">
        <v>4054</v>
      </c>
      <c r="AZ2844" t="s">
        <v>25917</v>
      </c>
      <c r="BA2844">
        <v>2</v>
      </c>
      <c r="BB2844">
        <v>1408.58</v>
      </c>
      <c r="BC2844">
        <v>0.73</v>
      </c>
      <c r="BD2844">
        <v>15.89</v>
      </c>
      <c r="BE2844">
        <v>16.149999999999999</v>
      </c>
      <c r="BF2844">
        <v>15.66</v>
      </c>
      <c r="BG2844" t="s">
        <v>25918</v>
      </c>
      <c r="BH2844" t="s">
        <v>4054</v>
      </c>
      <c r="BI2844" t="s">
        <v>25919</v>
      </c>
      <c r="BJ2844" t="s">
        <v>101</v>
      </c>
      <c r="BK2844" t="s">
        <v>4052</v>
      </c>
      <c r="BL2844" t="s">
        <v>11501</v>
      </c>
      <c r="BM2844" t="s">
        <v>22243</v>
      </c>
      <c r="BN2844" t="s">
        <v>23454</v>
      </c>
    </row>
    <row r="2845" spans="1:66" x14ac:dyDescent="0.25">
      <c r="A2845" t="str">
        <f>HYPERLINK("https://elite.finviz.com/quote.ashx?t=TSN&amp;ty=c&amp;p=d&amp;b=1", "TSN")</f>
        <v>TSN</v>
      </c>
      <c r="B2845">
        <v>5</v>
      </c>
      <c r="C2845">
        <v>116.22</v>
      </c>
      <c r="D2845">
        <v>42.79</v>
      </c>
      <c r="E2845" t="s">
        <v>25920</v>
      </c>
      <c r="F2845" t="s">
        <v>195</v>
      </c>
      <c r="G2845" t="s">
        <v>2244</v>
      </c>
      <c r="H2845" t="s">
        <v>5735</v>
      </c>
      <c r="I2845" t="s">
        <v>70</v>
      </c>
      <c r="J2845" t="s">
        <v>71</v>
      </c>
      <c r="K2845">
        <v>18875.349999999999</v>
      </c>
      <c r="L2845">
        <v>54.12</v>
      </c>
      <c r="M2845" t="s">
        <v>8179</v>
      </c>
      <c r="N2845">
        <v>352355</v>
      </c>
      <c r="O2845">
        <v>24.05</v>
      </c>
      <c r="P2845">
        <v>13.78</v>
      </c>
      <c r="Q2845">
        <v>1.64</v>
      </c>
      <c r="R2845">
        <v>0.35</v>
      </c>
      <c r="S2845">
        <v>1.03</v>
      </c>
      <c r="T2845" t="s">
        <v>891</v>
      </c>
      <c r="U2845">
        <v>2</v>
      </c>
      <c r="V2845" t="s">
        <v>25921</v>
      </c>
      <c r="W2845" t="s">
        <v>4276</v>
      </c>
      <c r="X2845" t="s">
        <v>7484</v>
      </c>
      <c r="Y2845" t="s">
        <v>6525</v>
      </c>
      <c r="Z2845" t="s">
        <v>25922</v>
      </c>
      <c r="AA2845">
        <v>2.25</v>
      </c>
      <c r="AB2845" t="s">
        <v>7966</v>
      </c>
      <c r="AC2845" t="s">
        <v>6435</v>
      </c>
      <c r="AD2845" t="s">
        <v>3405</v>
      </c>
      <c r="AE2845" t="s">
        <v>3856</v>
      </c>
      <c r="AF2845" t="s">
        <v>353</v>
      </c>
      <c r="AG2845" t="s">
        <v>5907</v>
      </c>
      <c r="AH2845" t="s">
        <v>4323</v>
      </c>
      <c r="AI2845" t="s">
        <v>9614</v>
      </c>
      <c r="AJ2845" t="s">
        <v>164</v>
      </c>
      <c r="AK2845" t="s">
        <v>25923</v>
      </c>
      <c r="AL2845">
        <v>1.73</v>
      </c>
      <c r="AM2845">
        <v>0.78</v>
      </c>
      <c r="AN2845">
        <v>0.49</v>
      </c>
      <c r="AO2845" t="s">
        <v>3181</v>
      </c>
      <c r="AP2845" t="s">
        <v>3482</v>
      </c>
      <c r="AQ2845" t="s">
        <v>907</v>
      </c>
      <c r="AR2845" t="s">
        <v>2720</v>
      </c>
      <c r="AS2845" t="s">
        <v>7423</v>
      </c>
      <c r="AT2845" t="s">
        <v>9511</v>
      </c>
      <c r="AU2845" t="s">
        <v>14331</v>
      </c>
      <c r="AV2845" t="s">
        <v>2604</v>
      </c>
      <c r="AW2845" t="s">
        <v>5488</v>
      </c>
      <c r="AX2845" t="s">
        <v>3020</v>
      </c>
      <c r="AY2845" t="s">
        <v>23149</v>
      </c>
      <c r="AZ2845" t="s">
        <v>3020</v>
      </c>
      <c r="BA2845">
        <v>2.6</v>
      </c>
      <c r="BB2845">
        <v>2621.88</v>
      </c>
      <c r="BC2845">
        <v>0.47</v>
      </c>
      <c r="BD2845">
        <v>53.75</v>
      </c>
      <c r="BE2845">
        <v>54.32</v>
      </c>
      <c r="BF2845">
        <v>53.87</v>
      </c>
      <c r="BG2845" t="s">
        <v>25924</v>
      </c>
      <c r="BH2845" t="s">
        <v>19588</v>
      </c>
      <c r="BI2845" t="s">
        <v>25925</v>
      </c>
      <c r="BJ2845" t="s">
        <v>101</v>
      </c>
      <c r="BK2845" t="s">
        <v>10581</v>
      </c>
      <c r="BL2845" t="s">
        <v>8838</v>
      </c>
      <c r="BM2845" t="s">
        <v>8794</v>
      </c>
      <c r="BN2845" t="s">
        <v>23454</v>
      </c>
    </row>
    <row r="2846" spans="1:66" x14ac:dyDescent="0.25">
      <c r="A2846" t="str">
        <f>HYPERLINK("https://elite.finviz.com/quote.ashx?t=ODFL&amp;ty=c&amp;p=d&amp;b=1", "ODFL")</f>
        <v>ODFL</v>
      </c>
      <c r="B2846">
        <v>5</v>
      </c>
      <c r="C2846">
        <v>116.22</v>
      </c>
      <c r="D2846">
        <v>42.8</v>
      </c>
      <c r="E2846" t="s">
        <v>25926</v>
      </c>
      <c r="F2846" t="s">
        <v>319</v>
      </c>
      <c r="G2846" t="s">
        <v>260</v>
      </c>
      <c r="H2846" t="s">
        <v>6190</v>
      </c>
      <c r="I2846" t="s">
        <v>70</v>
      </c>
      <c r="J2846" t="s">
        <v>321</v>
      </c>
      <c r="K2846">
        <v>29899.57</v>
      </c>
      <c r="L2846">
        <v>142.26</v>
      </c>
      <c r="M2846" t="s">
        <v>1559</v>
      </c>
      <c r="N2846">
        <v>250451</v>
      </c>
      <c r="O2846">
        <v>27.79</v>
      </c>
      <c r="P2846">
        <v>25.69</v>
      </c>
      <c r="Q2846">
        <v>5.07</v>
      </c>
      <c r="R2846">
        <v>5.3</v>
      </c>
      <c r="S2846">
        <v>7.08</v>
      </c>
      <c r="T2846" t="s">
        <v>84</v>
      </c>
      <c r="U2846">
        <v>1.1000000000000001</v>
      </c>
      <c r="V2846" t="s">
        <v>7315</v>
      </c>
      <c r="W2846" t="s">
        <v>6934</v>
      </c>
      <c r="X2846" t="s">
        <v>23895</v>
      </c>
      <c r="Y2846" t="s">
        <v>643</v>
      </c>
      <c r="Z2846" t="s">
        <v>1284</v>
      </c>
      <c r="AA2846">
        <v>5.12</v>
      </c>
      <c r="AB2846" t="s">
        <v>1653</v>
      </c>
      <c r="AC2846" t="s">
        <v>980</v>
      </c>
      <c r="AD2846" t="s">
        <v>7682</v>
      </c>
      <c r="AE2846" t="s">
        <v>7380</v>
      </c>
      <c r="AF2846" t="s">
        <v>5369</v>
      </c>
      <c r="AG2846" t="s">
        <v>3432</v>
      </c>
      <c r="AH2846" t="s">
        <v>14744</v>
      </c>
      <c r="AI2846" t="s">
        <v>4328</v>
      </c>
      <c r="AJ2846" t="s">
        <v>164</v>
      </c>
      <c r="AK2846" t="s">
        <v>25927</v>
      </c>
      <c r="AL2846">
        <v>1.38</v>
      </c>
      <c r="AM2846">
        <v>1.38</v>
      </c>
      <c r="AN2846">
        <v>0.04</v>
      </c>
      <c r="AO2846" t="s">
        <v>8083</v>
      </c>
      <c r="AP2846" t="s">
        <v>20209</v>
      </c>
      <c r="AQ2846" t="s">
        <v>4515</v>
      </c>
      <c r="AR2846" t="s">
        <v>4256</v>
      </c>
      <c r="AS2846" t="s">
        <v>3173</v>
      </c>
      <c r="AT2846" t="s">
        <v>9475</v>
      </c>
      <c r="AU2846" t="s">
        <v>1929</v>
      </c>
      <c r="AV2846" t="s">
        <v>487</v>
      </c>
      <c r="AW2846" t="s">
        <v>14281</v>
      </c>
      <c r="AX2846" t="s">
        <v>2742</v>
      </c>
      <c r="AY2846" t="s">
        <v>25928</v>
      </c>
      <c r="AZ2846" t="s">
        <v>2742</v>
      </c>
      <c r="BA2846">
        <v>2.69</v>
      </c>
      <c r="BB2846">
        <v>1956.62</v>
      </c>
      <c r="BC2846">
        <v>0.45</v>
      </c>
      <c r="BD2846">
        <v>140.43</v>
      </c>
      <c r="BE2846">
        <v>143.4</v>
      </c>
      <c r="BF2846">
        <v>140.11000000000001</v>
      </c>
      <c r="BG2846" t="s">
        <v>25929</v>
      </c>
      <c r="BH2846" t="s">
        <v>25928</v>
      </c>
      <c r="BI2846" t="s">
        <v>25930</v>
      </c>
      <c r="BJ2846" t="s">
        <v>101</v>
      </c>
      <c r="BK2846" t="s">
        <v>12528</v>
      </c>
      <c r="BL2846" t="s">
        <v>5002</v>
      </c>
      <c r="BM2846" t="s">
        <v>7448</v>
      </c>
      <c r="BN2846" t="s">
        <v>23454</v>
      </c>
    </row>
    <row r="2847" spans="1:66" x14ac:dyDescent="0.25">
      <c r="A2847" t="str">
        <f>HYPERLINK("https://elite.finviz.com/quote.ashx?t=COIN&amp;ty=c&amp;p=d&amp;b=1", "COIN")</f>
        <v>COIN</v>
      </c>
      <c r="B2847">
        <v>5</v>
      </c>
      <c r="C2847">
        <v>116.22</v>
      </c>
      <c r="D2847">
        <v>42.8</v>
      </c>
      <c r="E2847" t="s">
        <v>25931</v>
      </c>
      <c r="F2847" t="s">
        <v>195</v>
      </c>
      <c r="G2847" t="s">
        <v>550</v>
      </c>
      <c r="H2847" t="s">
        <v>16129</v>
      </c>
      <c r="I2847" t="s">
        <v>70</v>
      </c>
      <c r="J2847" t="s">
        <v>321</v>
      </c>
      <c r="K2847">
        <v>78971.23</v>
      </c>
      <c r="L2847">
        <v>307.36</v>
      </c>
      <c r="M2847" t="s">
        <v>430</v>
      </c>
      <c r="N2847">
        <v>2515142</v>
      </c>
      <c r="O2847">
        <v>29.73</v>
      </c>
      <c r="P2847">
        <v>41.41</v>
      </c>
      <c r="R2847">
        <v>9.32</v>
      </c>
      <c r="S2847">
        <v>6.52</v>
      </c>
      <c r="Z2847" t="s">
        <v>164</v>
      </c>
      <c r="AA2847">
        <v>10.34</v>
      </c>
      <c r="AB2847" t="s">
        <v>4363</v>
      </c>
      <c r="AD2847" t="s">
        <v>405</v>
      </c>
      <c r="AE2847" t="s">
        <v>25932</v>
      </c>
      <c r="AF2847" t="s">
        <v>8670</v>
      </c>
      <c r="AG2847" t="s">
        <v>10529</v>
      </c>
      <c r="AH2847" t="s">
        <v>25933</v>
      </c>
      <c r="AI2847" t="s">
        <v>25934</v>
      </c>
      <c r="AJ2847" t="s">
        <v>997</v>
      </c>
      <c r="AK2847" t="s">
        <v>4392</v>
      </c>
      <c r="AL2847">
        <v>2.13</v>
      </c>
      <c r="AM2847">
        <v>2.13</v>
      </c>
      <c r="AN2847">
        <v>0.39</v>
      </c>
      <c r="AO2847" t="s">
        <v>25935</v>
      </c>
      <c r="AP2847" t="s">
        <v>3609</v>
      </c>
      <c r="AQ2847" t="s">
        <v>1936</v>
      </c>
      <c r="AR2847" t="s">
        <v>5111</v>
      </c>
      <c r="AS2847" t="s">
        <v>4142</v>
      </c>
      <c r="AT2847" t="s">
        <v>3322</v>
      </c>
      <c r="AU2847" t="s">
        <v>3091</v>
      </c>
      <c r="AV2847" t="s">
        <v>302</v>
      </c>
      <c r="AW2847" t="s">
        <v>12930</v>
      </c>
      <c r="AX2847" t="s">
        <v>3435</v>
      </c>
      <c r="AY2847" t="s">
        <v>12930</v>
      </c>
      <c r="AZ2847" t="s">
        <v>25936</v>
      </c>
      <c r="BA2847">
        <v>2.46</v>
      </c>
      <c r="BB2847">
        <v>11761.77</v>
      </c>
      <c r="BC2847">
        <v>0.75</v>
      </c>
      <c r="BD2847">
        <v>306.69</v>
      </c>
      <c r="BE2847">
        <v>310</v>
      </c>
      <c r="BF2847">
        <v>303.39999999999998</v>
      </c>
      <c r="BG2847" t="s">
        <v>25937</v>
      </c>
      <c r="BH2847" t="s">
        <v>12930</v>
      </c>
      <c r="BI2847" t="s">
        <v>25938</v>
      </c>
      <c r="BJ2847" t="s">
        <v>101</v>
      </c>
      <c r="BK2847" t="s">
        <v>14902</v>
      </c>
      <c r="BL2847" t="s">
        <v>15405</v>
      </c>
      <c r="BM2847" t="s">
        <v>19454</v>
      </c>
      <c r="BN2847" t="s">
        <v>23454</v>
      </c>
    </row>
    <row r="2848" spans="1:66" x14ac:dyDescent="0.25">
      <c r="A2848" t="str">
        <f>HYPERLINK("https://elite.finviz.com/quote.ashx?t=AMT&amp;ty=c&amp;p=d&amp;b=1", "AMT")</f>
        <v>AMT</v>
      </c>
      <c r="B2848">
        <v>5</v>
      </c>
      <c r="C2848">
        <v>116.22</v>
      </c>
      <c r="D2848">
        <v>42.8</v>
      </c>
      <c r="E2848" t="s">
        <v>25939</v>
      </c>
      <c r="F2848" t="s">
        <v>195</v>
      </c>
      <c r="G2848" t="s">
        <v>68</v>
      </c>
      <c r="H2848" t="s">
        <v>7227</v>
      </c>
      <c r="I2848" t="s">
        <v>70</v>
      </c>
      <c r="J2848" t="s">
        <v>71</v>
      </c>
      <c r="K2848">
        <v>91189.58</v>
      </c>
      <c r="L2848">
        <v>194.74</v>
      </c>
      <c r="M2848" t="s">
        <v>2362</v>
      </c>
      <c r="N2848">
        <v>509759</v>
      </c>
      <c r="O2848">
        <v>70.7</v>
      </c>
      <c r="P2848">
        <v>27.54</v>
      </c>
      <c r="Q2848">
        <v>4.42</v>
      </c>
      <c r="R2848">
        <v>8.89</v>
      </c>
      <c r="S2848">
        <v>24.56</v>
      </c>
      <c r="T2848" t="s">
        <v>1926</v>
      </c>
      <c r="U2848">
        <v>6.64</v>
      </c>
      <c r="V2848" t="s">
        <v>198</v>
      </c>
      <c r="W2848" t="s">
        <v>149</v>
      </c>
      <c r="X2848" t="s">
        <v>1495</v>
      </c>
      <c r="Y2848" t="s">
        <v>8086</v>
      </c>
      <c r="Z2848" t="s">
        <v>4657</v>
      </c>
      <c r="AA2848">
        <v>2.75</v>
      </c>
      <c r="AB2848" t="s">
        <v>786</v>
      </c>
      <c r="AC2848" t="s">
        <v>2742</v>
      </c>
      <c r="AD2848" t="s">
        <v>10359</v>
      </c>
      <c r="AE2848" t="s">
        <v>1245</v>
      </c>
      <c r="AF2848" t="s">
        <v>4216</v>
      </c>
      <c r="AG2848" t="s">
        <v>1496</v>
      </c>
      <c r="AH2848" t="s">
        <v>11605</v>
      </c>
      <c r="AI2848" t="s">
        <v>25940</v>
      </c>
      <c r="AJ2848" t="s">
        <v>171</v>
      </c>
      <c r="AK2848" t="s">
        <v>25941</v>
      </c>
      <c r="AL2848">
        <v>0.61</v>
      </c>
      <c r="AM2848">
        <v>0.61</v>
      </c>
      <c r="AN2848">
        <v>12.18</v>
      </c>
      <c r="AO2848" t="s">
        <v>16003</v>
      </c>
      <c r="AP2848" t="s">
        <v>17551</v>
      </c>
      <c r="AQ2848" t="s">
        <v>14731</v>
      </c>
      <c r="AR2848" t="s">
        <v>6493</v>
      </c>
      <c r="AS2848" t="s">
        <v>212</v>
      </c>
      <c r="AT2848" t="s">
        <v>386</v>
      </c>
      <c r="AU2848" t="s">
        <v>3595</v>
      </c>
      <c r="AV2848" t="s">
        <v>4073</v>
      </c>
      <c r="AW2848" t="s">
        <v>24241</v>
      </c>
      <c r="AX2848" t="s">
        <v>5593</v>
      </c>
      <c r="AY2848" t="s">
        <v>19748</v>
      </c>
      <c r="AZ2848" t="s">
        <v>1369</v>
      </c>
      <c r="BA2848">
        <v>1.46</v>
      </c>
      <c r="BB2848">
        <v>2505.9</v>
      </c>
      <c r="BC2848">
        <v>0.72</v>
      </c>
      <c r="BD2848">
        <v>193.71</v>
      </c>
      <c r="BE2848">
        <v>195.37</v>
      </c>
      <c r="BF2848">
        <v>193.67</v>
      </c>
      <c r="BG2848" t="s">
        <v>25942</v>
      </c>
      <c r="BH2848" t="s">
        <v>25943</v>
      </c>
      <c r="BI2848" t="s">
        <v>25944</v>
      </c>
      <c r="BJ2848" t="s">
        <v>101</v>
      </c>
      <c r="BK2848" t="s">
        <v>8794</v>
      </c>
      <c r="BL2848" t="s">
        <v>2746</v>
      </c>
      <c r="BM2848" t="s">
        <v>18918</v>
      </c>
      <c r="BN2848" t="s">
        <v>23454</v>
      </c>
    </row>
    <row r="2849" spans="1:66" x14ac:dyDescent="0.25">
      <c r="A2849" t="str">
        <f>HYPERLINK("https://elite.finviz.com/quote.ashx?t=KIDZ&amp;ty=c&amp;p=d&amp;b=1", "KIDZ")</f>
        <v>KIDZ</v>
      </c>
      <c r="B2849">
        <v>5</v>
      </c>
      <c r="C2849">
        <v>116.22</v>
      </c>
      <c r="D2849">
        <v>42.83</v>
      </c>
      <c r="E2849" t="s">
        <v>25945</v>
      </c>
      <c r="F2849" t="s">
        <v>107</v>
      </c>
      <c r="G2849" t="s">
        <v>2244</v>
      </c>
      <c r="H2849" t="s">
        <v>2483</v>
      </c>
      <c r="I2849" t="s">
        <v>70</v>
      </c>
      <c r="J2849" t="s">
        <v>321</v>
      </c>
      <c r="K2849">
        <v>28.44</v>
      </c>
      <c r="L2849">
        <v>1.1499999999999999</v>
      </c>
      <c r="M2849" t="s">
        <v>4881</v>
      </c>
      <c r="N2849">
        <v>50286</v>
      </c>
      <c r="R2849">
        <v>11.8</v>
      </c>
      <c r="S2849">
        <v>10.51</v>
      </c>
      <c r="AA2849">
        <v>-0.38</v>
      </c>
      <c r="AJ2849" t="s">
        <v>164</v>
      </c>
      <c r="AK2849" t="s">
        <v>7453</v>
      </c>
      <c r="AL2849">
        <v>1.31</v>
      </c>
      <c r="AM2849">
        <v>1.31</v>
      </c>
      <c r="AN2849">
        <v>4.76</v>
      </c>
      <c r="AO2849" t="s">
        <v>659</v>
      </c>
      <c r="AP2849" t="s">
        <v>25946</v>
      </c>
      <c r="AQ2849" t="s">
        <v>25947</v>
      </c>
      <c r="AR2849" t="s">
        <v>4437</v>
      </c>
      <c r="AS2849" t="s">
        <v>20158</v>
      </c>
      <c r="AT2849" t="s">
        <v>968</v>
      </c>
      <c r="AU2849" t="s">
        <v>23123</v>
      </c>
      <c r="AV2849" t="s">
        <v>25948</v>
      </c>
      <c r="AW2849" t="s">
        <v>25949</v>
      </c>
      <c r="AX2849" t="s">
        <v>10499</v>
      </c>
      <c r="AY2849" t="s">
        <v>25950</v>
      </c>
      <c r="AZ2849" t="s">
        <v>10499</v>
      </c>
      <c r="BB2849">
        <v>1595.35</v>
      </c>
      <c r="BC2849">
        <v>0.11</v>
      </c>
      <c r="BD2849">
        <v>1.1399999999999999</v>
      </c>
      <c r="BE2849">
        <v>1.2</v>
      </c>
      <c r="BF2849">
        <v>1.1200000000000001</v>
      </c>
      <c r="BG2849" t="s">
        <v>25951</v>
      </c>
      <c r="BH2849" t="s">
        <v>25950</v>
      </c>
      <c r="BI2849" t="s">
        <v>10499</v>
      </c>
      <c r="BJ2849" t="s">
        <v>101</v>
      </c>
      <c r="BK2849" t="s">
        <v>25952</v>
      </c>
      <c r="BL2849" t="s">
        <v>5599</v>
      </c>
      <c r="BM2849" t="s">
        <v>10289</v>
      </c>
      <c r="BN2849" t="s">
        <v>23454</v>
      </c>
    </row>
    <row r="2850" spans="1:66" x14ac:dyDescent="0.25">
      <c r="A2850" t="str">
        <f>HYPERLINK("https://elite.finviz.com/quote.ashx?t=YETI&amp;ty=c&amp;p=d&amp;b=1", "YETI")</f>
        <v>YETI</v>
      </c>
      <c r="B2850">
        <v>5</v>
      </c>
      <c r="C2850">
        <v>116.22</v>
      </c>
      <c r="D2850">
        <v>42.84</v>
      </c>
      <c r="E2850" t="s">
        <v>25953</v>
      </c>
      <c r="F2850" t="s">
        <v>107</v>
      </c>
      <c r="G2850" t="s">
        <v>813</v>
      </c>
      <c r="H2850" t="s">
        <v>5941</v>
      </c>
      <c r="I2850" t="s">
        <v>70</v>
      </c>
      <c r="J2850" t="s">
        <v>71</v>
      </c>
      <c r="K2850">
        <v>2756.75</v>
      </c>
      <c r="L2850">
        <v>33.94</v>
      </c>
      <c r="M2850" t="s">
        <v>337</v>
      </c>
      <c r="N2850">
        <v>218568</v>
      </c>
      <c r="O2850">
        <v>16.190000000000001</v>
      </c>
      <c r="P2850">
        <v>12.3</v>
      </c>
      <c r="Q2850">
        <v>4.33</v>
      </c>
      <c r="R2850">
        <v>1.51</v>
      </c>
      <c r="S2850">
        <v>3.47</v>
      </c>
      <c r="T2850" t="s">
        <v>6732</v>
      </c>
      <c r="Z2850" t="s">
        <v>164</v>
      </c>
      <c r="AA2850">
        <v>2.1</v>
      </c>
      <c r="AB2850" t="s">
        <v>8690</v>
      </c>
      <c r="AC2850" t="s">
        <v>15180</v>
      </c>
      <c r="AD2850" t="s">
        <v>5592</v>
      </c>
      <c r="AE2850" t="s">
        <v>3613</v>
      </c>
      <c r="AF2850" t="s">
        <v>2653</v>
      </c>
      <c r="AG2850" t="s">
        <v>1231</v>
      </c>
      <c r="AH2850" t="s">
        <v>3005</v>
      </c>
      <c r="AI2850" t="s">
        <v>9884</v>
      </c>
      <c r="AJ2850" t="s">
        <v>164</v>
      </c>
      <c r="AK2850" t="s">
        <v>14697</v>
      </c>
      <c r="AL2850">
        <v>2.52</v>
      </c>
      <c r="AM2850">
        <v>1.48</v>
      </c>
      <c r="AN2850">
        <v>0.22</v>
      </c>
      <c r="AO2850" t="s">
        <v>15267</v>
      </c>
      <c r="AP2850" t="s">
        <v>12293</v>
      </c>
      <c r="AQ2850" t="s">
        <v>2400</v>
      </c>
      <c r="AR2850" t="s">
        <v>862</v>
      </c>
      <c r="AS2850" t="s">
        <v>2543</v>
      </c>
      <c r="AT2850" t="s">
        <v>331</v>
      </c>
      <c r="AU2850" t="s">
        <v>4528</v>
      </c>
      <c r="AV2850" t="s">
        <v>2768</v>
      </c>
      <c r="AW2850" t="s">
        <v>4405</v>
      </c>
      <c r="AX2850" t="s">
        <v>3920</v>
      </c>
      <c r="AY2850" t="s">
        <v>6294</v>
      </c>
      <c r="AZ2850" t="s">
        <v>4332</v>
      </c>
      <c r="BA2850">
        <v>2.41</v>
      </c>
      <c r="BB2850">
        <v>2063.5100000000002</v>
      </c>
      <c r="BC2850">
        <v>0.37</v>
      </c>
      <c r="BD2850">
        <v>34.08</v>
      </c>
      <c r="BE2850">
        <v>34.090000000000003</v>
      </c>
      <c r="BF2850">
        <v>33.68</v>
      </c>
      <c r="BG2850" t="s">
        <v>25954</v>
      </c>
      <c r="BH2850" t="s">
        <v>25955</v>
      </c>
      <c r="BI2850" t="s">
        <v>25956</v>
      </c>
      <c r="BJ2850" t="s">
        <v>101</v>
      </c>
      <c r="BK2850" t="s">
        <v>6587</v>
      </c>
      <c r="BL2850" t="s">
        <v>3598</v>
      </c>
      <c r="BM2850" t="s">
        <v>16894</v>
      </c>
      <c r="BN2850" t="s">
        <v>23454</v>
      </c>
    </row>
    <row r="2851" spans="1:66" x14ac:dyDescent="0.25">
      <c r="A2851" t="str">
        <f>HYPERLINK("https://elite.finviz.com/quote.ashx?t=GILD&amp;ty=c&amp;p=d&amp;b=1", "GILD")</f>
        <v>GILD</v>
      </c>
      <c r="B2851">
        <v>5</v>
      </c>
      <c r="C2851">
        <v>116.22</v>
      </c>
      <c r="D2851">
        <v>42.84</v>
      </c>
      <c r="E2851" t="s">
        <v>25957</v>
      </c>
      <c r="F2851" t="s">
        <v>319</v>
      </c>
      <c r="G2851" t="s">
        <v>428</v>
      </c>
      <c r="H2851" t="s">
        <v>4701</v>
      </c>
      <c r="I2851" t="s">
        <v>70</v>
      </c>
      <c r="J2851" t="s">
        <v>321</v>
      </c>
      <c r="K2851">
        <v>137965.32</v>
      </c>
      <c r="L2851">
        <v>111.19</v>
      </c>
      <c r="M2851" t="s">
        <v>4794</v>
      </c>
      <c r="N2851">
        <v>1384093</v>
      </c>
      <c r="O2851">
        <v>22.12</v>
      </c>
      <c r="P2851">
        <v>12.9</v>
      </c>
      <c r="Q2851">
        <v>0.83</v>
      </c>
      <c r="R2851">
        <v>4.79</v>
      </c>
      <c r="S2851">
        <v>7.02</v>
      </c>
      <c r="T2851" t="s">
        <v>7437</v>
      </c>
      <c r="U2851">
        <v>3.14</v>
      </c>
      <c r="V2851" t="s">
        <v>3833</v>
      </c>
      <c r="W2851" t="s">
        <v>4216</v>
      </c>
      <c r="X2851" t="s">
        <v>4658</v>
      </c>
      <c r="Y2851" t="s">
        <v>2647</v>
      </c>
      <c r="Z2851" t="s">
        <v>25958</v>
      </c>
      <c r="AA2851">
        <v>5.03</v>
      </c>
      <c r="AB2851" t="s">
        <v>25959</v>
      </c>
      <c r="AC2851" t="s">
        <v>17566</v>
      </c>
      <c r="AD2851" t="s">
        <v>279</v>
      </c>
      <c r="AE2851" t="s">
        <v>1453</v>
      </c>
      <c r="AF2851" t="s">
        <v>2186</v>
      </c>
      <c r="AG2851" t="s">
        <v>4393</v>
      </c>
      <c r="AH2851" t="s">
        <v>3487</v>
      </c>
      <c r="AI2851" t="s">
        <v>1560</v>
      </c>
      <c r="AJ2851" t="s">
        <v>4665</v>
      </c>
      <c r="AK2851" t="s">
        <v>25960</v>
      </c>
      <c r="AL2851">
        <v>1.32</v>
      </c>
      <c r="AM2851">
        <v>1.1499999999999999</v>
      </c>
      <c r="AN2851">
        <v>1.27</v>
      </c>
      <c r="AO2851" t="s">
        <v>23905</v>
      </c>
      <c r="AP2851" t="s">
        <v>14087</v>
      </c>
      <c r="AQ2851" t="s">
        <v>5471</v>
      </c>
      <c r="AR2851" t="s">
        <v>4154</v>
      </c>
      <c r="AS2851" t="s">
        <v>206</v>
      </c>
      <c r="AT2851" t="s">
        <v>2723</v>
      </c>
      <c r="AU2851" t="s">
        <v>2968</v>
      </c>
      <c r="AV2851" t="s">
        <v>1449</v>
      </c>
      <c r="AW2851" t="s">
        <v>3705</v>
      </c>
      <c r="AX2851" t="s">
        <v>1391</v>
      </c>
      <c r="AY2851" t="s">
        <v>3705</v>
      </c>
      <c r="AZ2851" t="s">
        <v>25961</v>
      </c>
      <c r="BA2851">
        <v>1.73</v>
      </c>
      <c r="BB2851">
        <v>6498.39</v>
      </c>
      <c r="BC2851">
        <v>0.75</v>
      </c>
      <c r="BD2851">
        <v>110.99</v>
      </c>
      <c r="BE2851">
        <v>112.24</v>
      </c>
      <c r="BF2851">
        <v>111.35</v>
      </c>
      <c r="BG2851" t="s">
        <v>25962</v>
      </c>
      <c r="BH2851" t="s">
        <v>13982</v>
      </c>
      <c r="BI2851" t="s">
        <v>25963</v>
      </c>
      <c r="BJ2851" t="s">
        <v>101</v>
      </c>
      <c r="BK2851" t="s">
        <v>149</v>
      </c>
      <c r="BL2851" t="s">
        <v>5549</v>
      </c>
      <c r="BM2851" t="s">
        <v>9001</v>
      </c>
      <c r="BN2851" t="s">
        <v>23454</v>
      </c>
    </row>
    <row r="2852" spans="1:66" x14ac:dyDescent="0.25">
      <c r="A2852" t="str">
        <f>HYPERLINK("https://elite.finviz.com/quote.ashx?t=PLRX&amp;ty=c&amp;p=d&amp;b=1", "PLRX")</f>
        <v>PLRX</v>
      </c>
      <c r="B2852">
        <v>5</v>
      </c>
      <c r="C2852">
        <v>116.22</v>
      </c>
      <c r="D2852">
        <v>42.88</v>
      </c>
      <c r="E2852" t="s">
        <v>25964</v>
      </c>
      <c r="F2852" t="s">
        <v>107</v>
      </c>
      <c r="G2852" t="s">
        <v>428</v>
      </c>
      <c r="H2852" t="s">
        <v>429</v>
      </c>
      <c r="I2852" t="s">
        <v>70</v>
      </c>
      <c r="J2852" t="s">
        <v>321</v>
      </c>
      <c r="K2852">
        <v>89.32</v>
      </c>
      <c r="L2852">
        <v>1.46</v>
      </c>
      <c r="M2852" t="s">
        <v>2610</v>
      </c>
      <c r="N2852">
        <v>67925</v>
      </c>
      <c r="S2852">
        <v>0.41</v>
      </c>
      <c r="AA2852">
        <v>-3.39</v>
      </c>
      <c r="AB2852" t="s">
        <v>5964</v>
      </c>
      <c r="AC2852" t="s">
        <v>25965</v>
      </c>
      <c r="AD2852" t="s">
        <v>17779</v>
      </c>
      <c r="AE2852" t="s">
        <v>579</v>
      </c>
      <c r="AI2852" t="s">
        <v>18188</v>
      </c>
      <c r="AJ2852" t="s">
        <v>164</v>
      </c>
      <c r="AK2852" t="s">
        <v>25966</v>
      </c>
      <c r="AL2852">
        <v>12.99</v>
      </c>
      <c r="AM2852">
        <v>12.99</v>
      </c>
      <c r="AN2852">
        <v>0.27</v>
      </c>
      <c r="AR2852" t="s">
        <v>4824</v>
      </c>
      <c r="AS2852" t="s">
        <v>1215</v>
      </c>
      <c r="AT2852" t="s">
        <v>5176</v>
      </c>
      <c r="AU2852" t="s">
        <v>8055</v>
      </c>
      <c r="AV2852" t="s">
        <v>25967</v>
      </c>
      <c r="AW2852" t="s">
        <v>12663</v>
      </c>
      <c r="AX2852" t="s">
        <v>684</v>
      </c>
      <c r="AY2852" t="s">
        <v>25968</v>
      </c>
      <c r="AZ2852" t="s">
        <v>9303</v>
      </c>
      <c r="BA2852">
        <v>2.78</v>
      </c>
      <c r="BB2852">
        <v>1147.43</v>
      </c>
      <c r="BC2852">
        <v>0.21</v>
      </c>
      <c r="BD2852">
        <v>1.44</v>
      </c>
      <c r="BE2852">
        <v>1.46</v>
      </c>
      <c r="BF2852">
        <v>1.43</v>
      </c>
      <c r="BG2852" t="s">
        <v>25969</v>
      </c>
      <c r="BH2852" t="s">
        <v>25970</v>
      </c>
      <c r="BI2852" t="s">
        <v>9303</v>
      </c>
      <c r="BJ2852" t="s">
        <v>101</v>
      </c>
      <c r="BK2852" t="s">
        <v>2589</v>
      </c>
      <c r="BL2852" t="s">
        <v>4439</v>
      </c>
      <c r="BM2852" t="s">
        <v>25971</v>
      </c>
      <c r="BN2852" t="s">
        <v>23454</v>
      </c>
    </row>
    <row r="2853" spans="1:66" x14ac:dyDescent="0.25">
      <c r="A2853" t="str">
        <f>HYPERLINK("https://elite.finviz.com/quote.ashx?t=UNIT&amp;ty=c&amp;p=d&amp;b=1", "UNIT")</f>
        <v>UNIT</v>
      </c>
      <c r="B2853">
        <v>5</v>
      </c>
      <c r="C2853">
        <v>116.22</v>
      </c>
      <c r="D2853">
        <v>42.89</v>
      </c>
      <c r="E2853" t="s">
        <v>25972</v>
      </c>
      <c r="F2853" t="s">
        <v>67</v>
      </c>
      <c r="G2853" t="s">
        <v>68</v>
      </c>
      <c r="H2853" t="s">
        <v>7227</v>
      </c>
      <c r="I2853" t="s">
        <v>70</v>
      </c>
      <c r="J2853" t="s">
        <v>321</v>
      </c>
      <c r="K2853">
        <v>1493.26</v>
      </c>
      <c r="L2853">
        <v>6.26</v>
      </c>
      <c r="M2853" t="s">
        <v>3463</v>
      </c>
      <c r="N2853">
        <v>245890</v>
      </c>
      <c r="O2853">
        <v>26.33</v>
      </c>
      <c r="R2853">
        <v>1.27</v>
      </c>
      <c r="V2853" t="s">
        <v>25973</v>
      </c>
      <c r="Z2853" t="s">
        <v>25974</v>
      </c>
      <c r="AA2853">
        <v>0.24</v>
      </c>
      <c r="AB2853" t="s">
        <v>11264</v>
      </c>
      <c r="AC2853" t="s">
        <v>13077</v>
      </c>
      <c r="AE2853" t="s">
        <v>2087</v>
      </c>
      <c r="AF2853" t="s">
        <v>4256</v>
      </c>
      <c r="AG2853" t="s">
        <v>3856</v>
      </c>
      <c r="AH2853" t="s">
        <v>1129</v>
      </c>
      <c r="AI2853" t="s">
        <v>25975</v>
      </c>
      <c r="AJ2853" t="s">
        <v>164</v>
      </c>
      <c r="AK2853" t="s">
        <v>19197</v>
      </c>
      <c r="AL2853">
        <v>2.91</v>
      </c>
      <c r="AM2853">
        <v>2.91</v>
      </c>
      <c r="AO2853" t="s">
        <v>25344</v>
      </c>
      <c r="AP2853" t="s">
        <v>21422</v>
      </c>
      <c r="AQ2853" t="s">
        <v>5425</v>
      </c>
      <c r="AR2853" t="s">
        <v>1474</v>
      </c>
      <c r="AS2853" t="s">
        <v>3601</v>
      </c>
      <c r="AT2853" t="s">
        <v>11628</v>
      </c>
      <c r="AU2853" t="s">
        <v>9592</v>
      </c>
      <c r="AV2853" t="s">
        <v>866</v>
      </c>
      <c r="AW2853" t="s">
        <v>25976</v>
      </c>
      <c r="AX2853" t="s">
        <v>5404</v>
      </c>
      <c r="AY2853" t="s">
        <v>4097</v>
      </c>
      <c r="AZ2853" t="s">
        <v>5404</v>
      </c>
      <c r="BA2853">
        <v>2.71</v>
      </c>
      <c r="BB2853">
        <v>2698.32</v>
      </c>
      <c r="BC2853">
        <v>0.32</v>
      </c>
      <c r="BD2853">
        <v>6.22</v>
      </c>
      <c r="BE2853">
        <v>6.28</v>
      </c>
      <c r="BF2853">
        <v>6.17</v>
      </c>
      <c r="BG2853" t="s">
        <v>25977</v>
      </c>
      <c r="BH2853" t="s">
        <v>25978</v>
      </c>
      <c r="BI2853" t="s">
        <v>4006</v>
      </c>
      <c r="BJ2853" t="s">
        <v>101</v>
      </c>
      <c r="BK2853" t="s">
        <v>4218</v>
      </c>
      <c r="BL2853" t="s">
        <v>881</v>
      </c>
      <c r="BM2853" t="s">
        <v>15095</v>
      </c>
      <c r="BN2853" t="s">
        <v>23454</v>
      </c>
    </row>
    <row r="2854" spans="1:66" x14ac:dyDescent="0.25">
      <c r="A2854" t="str">
        <f>HYPERLINK("https://elite.finviz.com/quote.ashx?t=LUCD&amp;ty=c&amp;p=d&amp;b=1", "LUCD")</f>
        <v>LUCD</v>
      </c>
      <c r="B2854">
        <v>5</v>
      </c>
      <c r="C2854">
        <v>116.22</v>
      </c>
      <c r="D2854">
        <v>42.96</v>
      </c>
      <c r="E2854" t="s">
        <v>25979</v>
      </c>
      <c r="F2854" t="s">
        <v>67</v>
      </c>
      <c r="G2854" t="s">
        <v>428</v>
      </c>
      <c r="H2854" t="s">
        <v>2051</v>
      </c>
      <c r="I2854" t="s">
        <v>70</v>
      </c>
      <c r="J2854" t="s">
        <v>321</v>
      </c>
      <c r="K2854">
        <v>142.49</v>
      </c>
      <c r="L2854">
        <v>1.04</v>
      </c>
      <c r="M2854" t="s">
        <v>4955</v>
      </c>
      <c r="N2854">
        <v>170341</v>
      </c>
      <c r="R2854">
        <v>32.68</v>
      </c>
      <c r="AA2854">
        <v>-1.05</v>
      </c>
      <c r="AB2854" t="s">
        <v>21015</v>
      </c>
      <c r="AC2854" t="s">
        <v>25980</v>
      </c>
      <c r="AD2854" t="s">
        <v>17838</v>
      </c>
      <c r="AE2854" t="s">
        <v>2612</v>
      </c>
      <c r="AF2854" t="s">
        <v>14664</v>
      </c>
      <c r="AH2854" t="s">
        <v>1645</v>
      </c>
      <c r="AI2854" t="s">
        <v>7221</v>
      </c>
      <c r="AJ2854" t="s">
        <v>4271</v>
      </c>
      <c r="AK2854" t="s">
        <v>5706</v>
      </c>
      <c r="AL2854">
        <v>1.1499999999999999</v>
      </c>
      <c r="AM2854">
        <v>1.1200000000000001</v>
      </c>
      <c r="AN2854">
        <v>3.51</v>
      </c>
      <c r="AO2854" t="s">
        <v>8622</v>
      </c>
      <c r="AP2854" t="s">
        <v>25981</v>
      </c>
      <c r="AQ2854" t="s">
        <v>25982</v>
      </c>
      <c r="AR2854" t="s">
        <v>2522</v>
      </c>
      <c r="AS2854" t="s">
        <v>7150</v>
      </c>
      <c r="AT2854" t="s">
        <v>125</v>
      </c>
      <c r="AU2854" t="s">
        <v>18188</v>
      </c>
      <c r="AV2854" t="s">
        <v>618</v>
      </c>
      <c r="AW2854" t="s">
        <v>25983</v>
      </c>
      <c r="AX2854" t="s">
        <v>3189</v>
      </c>
      <c r="AY2854" t="s">
        <v>25984</v>
      </c>
      <c r="AZ2854" t="s">
        <v>17176</v>
      </c>
      <c r="BA2854">
        <v>1</v>
      </c>
      <c r="BB2854">
        <v>1281.72</v>
      </c>
      <c r="BC2854">
        <v>0.47</v>
      </c>
      <c r="BD2854">
        <v>1.04</v>
      </c>
      <c r="BE2854">
        <v>1.06</v>
      </c>
      <c r="BF2854">
        <v>1.03</v>
      </c>
      <c r="BG2854" t="s">
        <v>25985</v>
      </c>
      <c r="BH2854" t="s">
        <v>25986</v>
      </c>
      <c r="BI2854" t="s">
        <v>15557</v>
      </c>
      <c r="BJ2854" t="s">
        <v>101</v>
      </c>
      <c r="BK2854" t="s">
        <v>24312</v>
      </c>
      <c r="BL2854" t="s">
        <v>17467</v>
      </c>
      <c r="BM2854" t="s">
        <v>18906</v>
      </c>
      <c r="BN2854" t="s">
        <v>23454</v>
      </c>
    </row>
    <row r="2855" spans="1:66" x14ac:dyDescent="0.25">
      <c r="A2855" t="str">
        <f>HYPERLINK("https://elite.finviz.com/quote.ashx?t=V&amp;ty=c&amp;p=d&amp;b=1", "V")</f>
        <v>V</v>
      </c>
      <c r="B2855">
        <v>5</v>
      </c>
      <c r="C2855">
        <v>116.22</v>
      </c>
      <c r="D2855">
        <v>43</v>
      </c>
      <c r="E2855" t="s">
        <v>25987</v>
      </c>
      <c r="F2855" t="s">
        <v>1759</v>
      </c>
      <c r="G2855" t="s">
        <v>550</v>
      </c>
      <c r="H2855" t="s">
        <v>3744</v>
      </c>
      <c r="I2855" t="s">
        <v>70</v>
      </c>
      <c r="J2855" t="s">
        <v>71</v>
      </c>
      <c r="K2855">
        <v>648763.55000000005</v>
      </c>
      <c r="L2855">
        <v>336.74</v>
      </c>
      <c r="M2855" t="s">
        <v>4901</v>
      </c>
      <c r="N2855">
        <v>1146432</v>
      </c>
      <c r="O2855">
        <v>33.24</v>
      </c>
      <c r="P2855">
        <v>26.2</v>
      </c>
      <c r="Q2855">
        <v>2.5499999999999998</v>
      </c>
      <c r="R2855">
        <v>16.68</v>
      </c>
      <c r="S2855">
        <v>17.2</v>
      </c>
      <c r="T2855" t="s">
        <v>4865</v>
      </c>
      <c r="U2855">
        <v>2.36</v>
      </c>
      <c r="V2855" t="s">
        <v>7906</v>
      </c>
      <c r="W2855" t="s">
        <v>328</v>
      </c>
      <c r="X2855" t="s">
        <v>5038</v>
      </c>
      <c r="Y2855" t="s">
        <v>10648</v>
      </c>
      <c r="Z2855" t="s">
        <v>4598</v>
      </c>
      <c r="AA2855">
        <v>10.130000000000001</v>
      </c>
      <c r="AB2855" t="s">
        <v>25988</v>
      </c>
      <c r="AC2855" t="s">
        <v>3924</v>
      </c>
      <c r="AD2855" t="s">
        <v>2516</v>
      </c>
      <c r="AE2855" t="s">
        <v>8086</v>
      </c>
      <c r="AF2855" t="s">
        <v>3490</v>
      </c>
      <c r="AG2855" t="s">
        <v>3189</v>
      </c>
      <c r="AH2855" t="s">
        <v>2169</v>
      </c>
      <c r="AI2855" t="s">
        <v>2235</v>
      </c>
      <c r="AJ2855" t="s">
        <v>6192</v>
      </c>
      <c r="AK2855" t="s">
        <v>22187</v>
      </c>
      <c r="AL2855">
        <v>1.1200000000000001</v>
      </c>
      <c r="AM2855">
        <v>1.1200000000000001</v>
      </c>
      <c r="AN2855">
        <v>0.65</v>
      </c>
      <c r="AO2855" t="s">
        <v>20294</v>
      </c>
      <c r="AP2855" t="s">
        <v>21864</v>
      </c>
      <c r="AQ2855" t="s">
        <v>16660</v>
      </c>
      <c r="AR2855" t="s">
        <v>2572</v>
      </c>
      <c r="AS2855" t="s">
        <v>3349</v>
      </c>
      <c r="AT2855" t="s">
        <v>181</v>
      </c>
      <c r="AU2855" t="s">
        <v>8985</v>
      </c>
      <c r="AV2855" t="s">
        <v>6265</v>
      </c>
      <c r="AW2855" t="s">
        <v>5880</v>
      </c>
      <c r="AX2855" t="s">
        <v>5121</v>
      </c>
      <c r="AY2855" t="s">
        <v>5773</v>
      </c>
      <c r="AZ2855" t="s">
        <v>1737</v>
      </c>
      <c r="BA2855">
        <v>1.59</v>
      </c>
      <c r="BB2855">
        <v>6022.38</v>
      </c>
      <c r="BC2855">
        <v>0.67</v>
      </c>
      <c r="BD2855">
        <v>334.93</v>
      </c>
      <c r="BE2855">
        <v>339.47</v>
      </c>
      <c r="BF2855">
        <v>336.23</v>
      </c>
      <c r="BG2855" t="s">
        <v>25989</v>
      </c>
      <c r="BH2855" t="s">
        <v>5773</v>
      </c>
      <c r="BI2855" t="s">
        <v>25990</v>
      </c>
      <c r="BJ2855" t="s">
        <v>101</v>
      </c>
      <c r="BK2855" t="s">
        <v>4529</v>
      </c>
      <c r="BL2855" t="s">
        <v>1269</v>
      </c>
      <c r="BM2855" t="s">
        <v>8521</v>
      </c>
      <c r="BN2855" t="s">
        <v>23454</v>
      </c>
    </row>
    <row r="2856" spans="1:66" x14ac:dyDescent="0.25">
      <c r="A2856" t="str">
        <f>HYPERLINK("https://elite.finviz.com/quote.ashx?t=NSA&amp;ty=c&amp;p=d&amp;b=1", "NSA")</f>
        <v>NSA</v>
      </c>
      <c r="B2856">
        <v>5</v>
      </c>
      <c r="C2856">
        <v>116.22</v>
      </c>
      <c r="D2856">
        <v>43.02</v>
      </c>
      <c r="E2856" t="s">
        <v>25991</v>
      </c>
      <c r="F2856" t="s">
        <v>107</v>
      </c>
      <c r="G2856" t="s">
        <v>68</v>
      </c>
      <c r="H2856" t="s">
        <v>6342</v>
      </c>
      <c r="I2856" t="s">
        <v>70</v>
      </c>
      <c r="J2856" t="s">
        <v>71</v>
      </c>
      <c r="K2856">
        <v>4098.05</v>
      </c>
      <c r="L2856">
        <v>30.31</v>
      </c>
      <c r="M2856" t="s">
        <v>6493</v>
      </c>
      <c r="N2856">
        <v>99010</v>
      </c>
      <c r="O2856">
        <v>48.72</v>
      </c>
      <c r="P2856">
        <v>53.97</v>
      </c>
      <c r="R2856">
        <v>5.39</v>
      </c>
      <c r="S2856">
        <v>3.51</v>
      </c>
      <c r="T2856" t="s">
        <v>262</v>
      </c>
      <c r="U2856">
        <v>2.0299999999999998</v>
      </c>
      <c r="V2856" t="s">
        <v>3833</v>
      </c>
      <c r="W2856" t="s">
        <v>3493</v>
      </c>
      <c r="X2856" t="s">
        <v>2392</v>
      </c>
      <c r="Y2856" t="s">
        <v>709</v>
      </c>
      <c r="Z2856" t="s">
        <v>25992</v>
      </c>
      <c r="AA2856">
        <v>0.62</v>
      </c>
      <c r="AB2856" t="s">
        <v>7542</v>
      </c>
      <c r="AD2856" t="s">
        <v>6284</v>
      </c>
      <c r="AE2856" t="s">
        <v>14840</v>
      </c>
      <c r="AF2856" t="s">
        <v>4223</v>
      </c>
      <c r="AG2856" t="s">
        <v>5795</v>
      </c>
      <c r="AH2856" t="s">
        <v>5424</v>
      </c>
      <c r="AI2856" t="s">
        <v>8625</v>
      </c>
      <c r="AJ2856" t="s">
        <v>164</v>
      </c>
      <c r="AK2856" t="s">
        <v>18083</v>
      </c>
      <c r="AL2856">
        <v>0.45</v>
      </c>
      <c r="AM2856">
        <v>0.45</v>
      </c>
      <c r="AN2856">
        <v>3.42</v>
      </c>
      <c r="AO2856" t="s">
        <v>4922</v>
      </c>
      <c r="AP2856" t="s">
        <v>1306</v>
      </c>
      <c r="AQ2856" t="s">
        <v>216</v>
      </c>
      <c r="AR2856" t="s">
        <v>9136</v>
      </c>
      <c r="AS2856" t="s">
        <v>2201</v>
      </c>
      <c r="AT2856" t="s">
        <v>7429</v>
      </c>
      <c r="AU2856" t="s">
        <v>10568</v>
      </c>
      <c r="AV2856" t="s">
        <v>5714</v>
      </c>
      <c r="AW2856" t="s">
        <v>3338</v>
      </c>
      <c r="AX2856" t="s">
        <v>7511</v>
      </c>
      <c r="AY2856" t="s">
        <v>25993</v>
      </c>
      <c r="AZ2856" t="s">
        <v>7511</v>
      </c>
      <c r="BA2856">
        <v>3.56</v>
      </c>
      <c r="BB2856">
        <v>1155.8399999999999</v>
      </c>
      <c r="BC2856">
        <v>0.3</v>
      </c>
      <c r="BD2856">
        <v>29.8</v>
      </c>
      <c r="BE2856">
        <v>30.33</v>
      </c>
      <c r="BF2856">
        <v>29.86</v>
      </c>
      <c r="BG2856" t="s">
        <v>25994</v>
      </c>
      <c r="BH2856" t="s">
        <v>25995</v>
      </c>
      <c r="BI2856" t="s">
        <v>25996</v>
      </c>
      <c r="BJ2856" t="s">
        <v>101</v>
      </c>
      <c r="BK2856" t="s">
        <v>2076</v>
      </c>
      <c r="BL2856" t="s">
        <v>7155</v>
      </c>
      <c r="BM2856" t="s">
        <v>9580</v>
      </c>
      <c r="BN2856" t="s">
        <v>23454</v>
      </c>
    </row>
    <row r="2857" spans="1:66" x14ac:dyDescent="0.25">
      <c r="A2857" t="str">
        <f>HYPERLINK("https://elite.finviz.com/quote.ashx?t=CARM&amp;ty=c&amp;p=d&amp;b=1", "CARM")</f>
        <v>CARM</v>
      </c>
      <c r="B2857">
        <v>5</v>
      </c>
      <c r="C2857">
        <v>116.22</v>
      </c>
      <c r="D2857">
        <v>43.09</v>
      </c>
      <c r="E2857" t="s">
        <v>25997</v>
      </c>
      <c r="F2857" t="s">
        <v>107</v>
      </c>
      <c r="G2857" t="s">
        <v>428</v>
      </c>
      <c r="H2857" t="s">
        <v>429</v>
      </c>
      <c r="I2857" t="s">
        <v>70</v>
      </c>
      <c r="J2857" t="s">
        <v>321</v>
      </c>
      <c r="K2857">
        <v>11.17</v>
      </c>
      <c r="L2857">
        <v>0.27</v>
      </c>
      <c r="M2857" t="s">
        <v>8374</v>
      </c>
      <c r="N2857">
        <v>198999</v>
      </c>
      <c r="R2857">
        <v>1.04</v>
      </c>
      <c r="V2857" t="s">
        <v>25998</v>
      </c>
      <c r="AA2857">
        <v>-1.18</v>
      </c>
      <c r="AB2857" t="s">
        <v>25999</v>
      </c>
      <c r="AC2857" t="s">
        <v>26000</v>
      </c>
      <c r="AD2857" t="s">
        <v>15159</v>
      </c>
      <c r="AE2857" t="s">
        <v>26001</v>
      </c>
      <c r="AF2857" t="s">
        <v>481</v>
      </c>
      <c r="AH2857" t="s">
        <v>579</v>
      </c>
      <c r="AI2857" t="s">
        <v>26002</v>
      </c>
      <c r="AJ2857" t="s">
        <v>164</v>
      </c>
      <c r="AK2857" t="s">
        <v>5672</v>
      </c>
      <c r="AL2857">
        <v>0.48</v>
      </c>
      <c r="AM2857">
        <v>0.48</v>
      </c>
      <c r="AO2857" t="s">
        <v>26003</v>
      </c>
      <c r="AP2857" t="s">
        <v>26004</v>
      </c>
      <c r="AQ2857" t="s">
        <v>26005</v>
      </c>
      <c r="AR2857" t="s">
        <v>3122</v>
      </c>
      <c r="AS2857" t="s">
        <v>14942</v>
      </c>
      <c r="AT2857" t="s">
        <v>17571</v>
      </c>
      <c r="AU2857" t="s">
        <v>7973</v>
      </c>
      <c r="AV2857" t="s">
        <v>26006</v>
      </c>
      <c r="AW2857" t="s">
        <v>23539</v>
      </c>
      <c r="AX2857" t="s">
        <v>18659</v>
      </c>
      <c r="AY2857" t="s">
        <v>12509</v>
      </c>
      <c r="AZ2857" t="s">
        <v>21881</v>
      </c>
      <c r="BA2857">
        <v>1</v>
      </c>
      <c r="BB2857">
        <v>8531.4</v>
      </c>
      <c r="BC2857">
        <v>0.08</v>
      </c>
      <c r="BD2857">
        <v>0.27</v>
      </c>
      <c r="BE2857">
        <v>0.27</v>
      </c>
      <c r="BF2857">
        <v>0.26</v>
      </c>
      <c r="BG2857" t="s">
        <v>26007</v>
      </c>
      <c r="BH2857" t="s">
        <v>21446</v>
      </c>
      <c r="BI2857" t="s">
        <v>21881</v>
      </c>
      <c r="BJ2857" t="s">
        <v>101</v>
      </c>
      <c r="BK2857" t="s">
        <v>18140</v>
      </c>
      <c r="BL2857" t="s">
        <v>9554</v>
      </c>
      <c r="BM2857" t="s">
        <v>26008</v>
      </c>
      <c r="BN2857" t="s">
        <v>23454</v>
      </c>
    </row>
    <row r="2858" spans="1:66" x14ac:dyDescent="0.25">
      <c r="A2858" t="str">
        <f>HYPERLINK("https://elite.finviz.com/quote.ashx?t=META&amp;ty=c&amp;p=d&amp;b=1", "META")</f>
        <v>META</v>
      </c>
      <c r="B2858">
        <v>5</v>
      </c>
      <c r="C2858">
        <v>116.22</v>
      </c>
      <c r="D2858">
        <v>43.1</v>
      </c>
      <c r="E2858" t="s">
        <v>26009</v>
      </c>
      <c r="F2858" t="s">
        <v>319</v>
      </c>
      <c r="G2858" t="s">
        <v>598</v>
      </c>
      <c r="H2858" t="s">
        <v>599</v>
      </c>
      <c r="I2858" t="s">
        <v>70</v>
      </c>
      <c r="J2858" t="s">
        <v>321</v>
      </c>
      <c r="K2858">
        <v>1864139.81</v>
      </c>
      <c r="L2858">
        <v>742.1</v>
      </c>
      <c r="M2858" t="s">
        <v>2374</v>
      </c>
      <c r="N2858">
        <v>3432260</v>
      </c>
      <c r="O2858">
        <v>26.88</v>
      </c>
      <c r="P2858">
        <v>24.75</v>
      </c>
      <c r="Q2858">
        <v>2.09</v>
      </c>
      <c r="R2858">
        <v>10.43</v>
      </c>
      <c r="S2858">
        <v>9.57</v>
      </c>
      <c r="T2858" t="s">
        <v>6182</v>
      </c>
      <c r="U2858">
        <v>2.08</v>
      </c>
      <c r="V2858" t="s">
        <v>4676</v>
      </c>
      <c r="Z2858" t="s">
        <v>8050</v>
      </c>
      <c r="AA2858">
        <v>27.61</v>
      </c>
      <c r="AB2858" t="s">
        <v>8533</v>
      </c>
      <c r="AC2858" t="s">
        <v>26010</v>
      </c>
      <c r="AD2858" t="s">
        <v>3798</v>
      </c>
      <c r="AE2858" t="s">
        <v>8212</v>
      </c>
      <c r="AF2858" t="s">
        <v>1206</v>
      </c>
      <c r="AG2858" t="s">
        <v>9488</v>
      </c>
      <c r="AH2858" t="s">
        <v>18380</v>
      </c>
      <c r="AI2858" t="s">
        <v>1415</v>
      </c>
      <c r="AJ2858" t="s">
        <v>770</v>
      </c>
      <c r="AK2858" t="s">
        <v>2043</v>
      </c>
      <c r="AL2858">
        <v>1.97</v>
      </c>
      <c r="AM2858">
        <v>1.97</v>
      </c>
      <c r="AN2858">
        <v>0.25</v>
      </c>
      <c r="AO2858" t="s">
        <v>26011</v>
      </c>
      <c r="AP2858" t="s">
        <v>25398</v>
      </c>
      <c r="AQ2858" t="s">
        <v>20400</v>
      </c>
      <c r="AR2858" t="s">
        <v>633</v>
      </c>
      <c r="AS2858" t="s">
        <v>3118</v>
      </c>
      <c r="AT2858" t="s">
        <v>1225</v>
      </c>
      <c r="AU2858" t="s">
        <v>4879</v>
      </c>
      <c r="AV2858" t="s">
        <v>8530</v>
      </c>
      <c r="AW2858" t="s">
        <v>14672</v>
      </c>
      <c r="AX2858" t="s">
        <v>11494</v>
      </c>
      <c r="AY2858" t="s">
        <v>14672</v>
      </c>
      <c r="AZ2858" t="s">
        <v>13571</v>
      </c>
      <c r="BA2858">
        <v>1.44</v>
      </c>
      <c r="BB2858">
        <v>11641.51</v>
      </c>
      <c r="BC2858">
        <v>1.04</v>
      </c>
      <c r="BD2858">
        <v>748.91</v>
      </c>
      <c r="BE2858">
        <v>751.4</v>
      </c>
      <c r="BF2858">
        <v>739.92</v>
      </c>
      <c r="BG2858" t="s">
        <v>26012</v>
      </c>
      <c r="BH2858" t="s">
        <v>14672</v>
      </c>
      <c r="BI2858" t="s">
        <v>26013</v>
      </c>
      <c r="BJ2858" t="s">
        <v>101</v>
      </c>
      <c r="BK2858" t="s">
        <v>5166</v>
      </c>
      <c r="BL2858" t="s">
        <v>3015</v>
      </c>
      <c r="BM2858" t="s">
        <v>16538</v>
      </c>
      <c r="BN2858" t="s">
        <v>23454</v>
      </c>
    </row>
    <row r="2859" spans="1:66" x14ac:dyDescent="0.25">
      <c r="A2859" t="str">
        <f>HYPERLINK("https://elite.finviz.com/quote.ashx?t=TNDM&amp;ty=c&amp;p=d&amp;b=1", "TNDM")</f>
        <v>TNDM</v>
      </c>
      <c r="B2859">
        <v>5</v>
      </c>
      <c r="C2859">
        <v>116.22</v>
      </c>
      <c r="D2859">
        <v>43.1</v>
      </c>
      <c r="E2859" t="s">
        <v>26014</v>
      </c>
      <c r="F2859" t="s">
        <v>67</v>
      </c>
      <c r="G2859" t="s">
        <v>428</v>
      </c>
      <c r="H2859" t="s">
        <v>2051</v>
      </c>
      <c r="I2859" t="s">
        <v>70</v>
      </c>
      <c r="J2859" t="s">
        <v>321</v>
      </c>
      <c r="K2859">
        <v>803.4</v>
      </c>
      <c r="L2859">
        <v>11.89</v>
      </c>
      <c r="M2859" t="s">
        <v>8979</v>
      </c>
      <c r="N2859">
        <v>237303</v>
      </c>
      <c r="R2859">
        <v>0.8</v>
      </c>
      <c r="S2859">
        <v>6.02</v>
      </c>
      <c r="AA2859">
        <v>-3.09</v>
      </c>
      <c r="AC2859" t="s">
        <v>3139</v>
      </c>
      <c r="AD2859" t="s">
        <v>8289</v>
      </c>
      <c r="AE2859" t="s">
        <v>78</v>
      </c>
      <c r="AF2859" t="s">
        <v>185</v>
      </c>
      <c r="AG2859" t="s">
        <v>1367</v>
      </c>
      <c r="AH2859" t="s">
        <v>4378</v>
      </c>
      <c r="AI2859" t="s">
        <v>11631</v>
      </c>
      <c r="AJ2859" t="s">
        <v>6726</v>
      </c>
      <c r="AK2859" t="s">
        <v>26015</v>
      </c>
      <c r="AL2859">
        <v>2.44</v>
      </c>
      <c r="AM2859">
        <v>1.88</v>
      </c>
      <c r="AN2859">
        <v>3.37</v>
      </c>
      <c r="AO2859" t="s">
        <v>13516</v>
      </c>
      <c r="AP2859" t="s">
        <v>14563</v>
      </c>
      <c r="AQ2859" t="s">
        <v>5034</v>
      </c>
      <c r="AR2859" t="s">
        <v>1886</v>
      </c>
      <c r="AS2859" t="s">
        <v>4403</v>
      </c>
      <c r="AT2859" t="s">
        <v>2329</v>
      </c>
      <c r="AU2859" t="s">
        <v>5371</v>
      </c>
      <c r="AV2859" t="s">
        <v>2936</v>
      </c>
      <c r="AW2859" t="s">
        <v>14488</v>
      </c>
      <c r="AX2859" t="s">
        <v>7001</v>
      </c>
      <c r="AY2859" t="s">
        <v>26016</v>
      </c>
      <c r="AZ2859" t="s">
        <v>7001</v>
      </c>
      <c r="BA2859">
        <v>2.38</v>
      </c>
      <c r="BB2859">
        <v>2138.54</v>
      </c>
      <c r="BC2859">
        <v>0.39</v>
      </c>
      <c r="BD2859">
        <v>11.96</v>
      </c>
      <c r="BE2859">
        <v>12.16</v>
      </c>
      <c r="BF2859">
        <v>11.78</v>
      </c>
      <c r="BG2859" t="s">
        <v>26017</v>
      </c>
      <c r="BH2859" t="s">
        <v>1336</v>
      </c>
      <c r="BI2859" t="s">
        <v>26018</v>
      </c>
      <c r="BJ2859" t="s">
        <v>101</v>
      </c>
      <c r="BK2859" t="s">
        <v>17911</v>
      </c>
      <c r="BL2859" t="s">
        <v>3355</v>
      </c>
      <c r="BM2859" t="s">
        <v>17764</v>
      </c>
      <c r="BN2859" t="s">
        <v>23454</v>
      </c>
    </row>
    <row r="2860" spans="1:66" x14ac:dyDescent="0.25">
      <c r="A2860" t="str">
        <f>HYPERLINK("https://elite.finviz.com/quote.ashx?t=ECVT&amp;ty=c&amp;p=d&amp;b=1", "ECVT")</f>
        <v>ECVT</v>
      </c>
      <c r="B2860">
        <v>5</v>
      </c>
      <c r="C2860">
        <v>116.22</v>
      </c>
      <c r="D2860">
        <v>43.11</v>
      </c>
      <c r="E2860" t="s">
        <v>26019</v>
      </c>
      <c r="F2860" t="s">
        <v>67</v>
      </c>
      <c r="G2860" t="s">
        <v>355</v>
      </c>
      <c r="H2860" t="s">
        <v>1147</v>
      </c>
      <c r="I2860" t="s">
        <v>70</v>
      </c>
      <c r="J2860" t="s">
        <v>71</v>
      </c>
      <c r="K2860">
        <v>1000.58</v>
      </c>
      <c r="L2860">
        <v>8.74</v>
      </c>
      <c r="M2860" t="s">
        <v>4507</v>
      </c>
      <c r="N2860">
        <v>140193</v>
      </c>
      <c r="P2860">
        <v>13.31</v>
      </c>
      <c r="R2860">
        <v>1.38</v>
      </c>
      <c r="S2860">
        <v>1.45</v>
      </c>
      <c r="V2860" t="s">
        <v>26020</v>
      </c>
      <c r="AA2860">
        <v>-0.12</v>
      </c>
      <c r="AB2860" t="s">
        <v>7302</v>
      </c>
      <c r="AD2860" t="s">
        <v>8594</v>
      </c>
      <c r="AE2860" t="s">
        <v>2385</v>
      </c>
      <c r="AF2860" t="s">
        <v>4872</v>
      </c>
      <c r="AG2860" t="s">
        <v>225</v>
      </c>
      <c r="AH2860" t="s">
        <v>369</v>
      </c>
      <c r="AI2860" t="s">
        <v>4833</v>
      </c>
      <c r="AJ2860" t="s">
        <v>164</v>
      </c>
      <c r="AK2860" t="s">
        <v>1434</v>
      </c>
      <c r="AL2860">
        <v>2.25</v>
      </c>
      <c r="AM2860">
        <v>1.69</v>
      </c>
      <c r="AN2860">
        <v>1.29</v>
      </c>
      <c r="AO2860" t="s">
        <v>16827</v>
      </c>
      <c r="AP2860" t="s">
        <v>1206</v>
      </c>
      <c r="AQ2860" t="s">
        <v>1866</v>
      </c>
      <c r="AR2860" t="s">
        <v>5929</v>
      </c>
      <c r="AS2860" t="s">
        <v>304</v>
      </c>
      <c r="AT2860" t="s">
        <v>12575</v>
      </c>
      <c r="AU2860" t="s">
        <v>6257</v>
      </c>
      <c r="AV2860" t="s">
        <v>1470</v>
      </c>
      <c r="AW2860" t="s">
        <v>501</v>
      </c>
      <c r="AX2860" t="s">
        <v>147</v>
      </c>
      <c r="AY2860" t="s">
        <v>501</v>
      </c>
      <c r="AZ2860" t="s">
        <v>18220</v>
      </c>
      <c r="BA2860">
        <v>1.5</v>
      </c>
      <c r="BB2860">
        <v>1818.94</v>
      </c>
      <c r="BC2860">
        <v>0.27</v>
      </c>
      <c r="BD2860">
        <v>8.74</v>
      </c>
      <c r="BE2860">
        <v>8.8800000000000008</v>
      </c>
      <c r="BF2860">
        <v>8.7100000000000009</v>
      </c>
      <c r="BG2860" t="s">
        <v>26021</v>
      </c>
      <c r="BH2860" t="s">
        <v>26022</v>
      </c>
      <c r="BI2860" t="s">
        <v>18220</v>
      </c>
      <c r="BJ2860" t="s">
        <v>101</v>
      </c>
      <c r="BK2860" t="s">
        <v>3118</v>
      </c>
      <c r="BL2860" t="s">
        <v>7544</v>
      </c>
      <c r="BM2860" t="s">
        <v>15797</v>
      </c>
      <c r="BN2860" t="s">
        <v>23454</v>
      </c>
    </row>
    <row r="2861" spans="1:66" x14ac:dyDescent="0.25">
      <c r="A2861" t="str">
        <f>HYPERLINK("https://elite.finviz.com/quote.ashx?t=RVTY&amp;ty=c&amp;p=d&amp;b=1", "RVTY")</f>
        <v>RVTY</v>
      </c>
      <c r="B2861">
        <v>5</v>
      </c>
      <c r="C2861">
        <v>116.22</v>
      </c>
      <c r="D2861">
        <v>43.13</v>
      </c>
      <c r="E2861" t="s">
        <v>26023</v>
      </c>
      <c r="F2861" t="s">
        <v>195</v>
      </c>
      <c r="G2861" t="s">
        <v>428</v>
      </c>
      <c r="H2861" t="s">
        <v>4202</v>
      </c>
      <c r="I2861" t="s">
        <v>70</v>
      </c>
      <c r="J2861" t="s">
        <v>71</v>
      </c>
      <c r="K2861">
        <v>9739.07</v>
      </c>
      <c r="L2861">
        <v>83.9</v>
      </c>
      <c r="M2861" t="s">
        <v>2610</v>
      </c>
      <c r="N2861">
        <v>114388</v>
      </c>
      <c r="O2861">
        <v>35.6</v>
      </c>
      <c r="P2861">
        <v>15.64</v>
      </c>
      <c r="Q2861">
        <v>5.04</v>
      </c>
      <c r="R2861">
        <v>3.48</v>
      </c>
      <c r="S2861">
        <v>1.29</v>
      </c>
      <c r="T2861" t="s">
        <v>3446</v>
      </c>
      <c r="U2861">
        <v>0.28000000000000003</v>
      </c>
      <c r="V2861" t="s">
        <v>3662</v>
      </c>
      <c r="W2861" t="s">
        <v>164</v>
      </c>
      <c r="X2861" t="s">
        <v>164</v>
      </c>
      <c r="Y2861" t="s">
        <v>164</v>
      </c>
      <c r="Z2861" t="s">
        <v>5128</v>
      </c>
      <c r="AA2861">
        <v>2.36</v>
      </c>
      <c r="AB2861" t="s">
        <v>26024</v>
      </c>
      <c r="AC2861" t="s">
        <v>3454</v>
      </c>
      <c r="AD2861" t="s">
        <v>2869</v>
      </c>
      <c r="AE2861" t="s">
        <v>4189</v>
      </c>
      <c r="AF2861" t="s">
        <v>24973</v>
      </c>
      <c r="AG2861" t="s">
        <v>2374</v>
      </c>
      <c r="AH2861" t="s">
        <v>4299</v>
      </c>
      <c r="AI2861" t="s">
        <v>5780</v>
      </c>
      <c r="AJ2861" t="s">
        <v>2294</v>
      </c>
      <c r="AK2861" t="s">
        <v>24310</v>
      </c>
      <c r="AL2861">
        <v>3.33</v>
      </c>
      <c r="AM2861">
        <v>2.75</v>
      </c>
      <c r="AN2861">
        <v>0.45</v>
      </c>
      <c r="AO2861" t="s">
        <v>23345</v>
      </c>
      <c r="AP2861" t="s">
        <v>1224</v>
      </c>
      <c r="AQ2861" t="s">
        <v>3468</v>
      </c>
      <c r="AR2861" t="s">
        <v>1933</v>
      </c>
      <c r="AS2861" t="s">
        <v>3500</v>
      </c>
      <c r="AT2861" t="s">
        <v>4149</v>
      </c>
      <c r="AU2861" t="s">
        <v>3140</v>
      </c>
      <c r="AV2861" t="s">
        <v>10629</v>
      </c>
      <c r="AW2861" t="s">
        <v>26025</v>
      </c>
      <c r="AX2861" t="s">
        <v>7088</v>
      </c>
      <c r="AY2861" t="s">
        <v>26026</v>
      </c>
      <c r="AZ2861" t="s">
        <v>7088</v>
      </c>
      <c r="BA2861">
        <v>2.0499999999999998</v>
      </c>
      <c r="BB2861">
        <v>1303.8</v>
      </c>
      <c r="BC2861">
        <v>0.31</v>
      </c>
      <c r="BD2861">
        <v>83.04</v>
      </c>
      <c r="BE2861">
        <v>84.16</v>
      </c>
      <c r="BF2861">
        <v>83.04</v>
      </c>
      <c r="BG2861" t="s">
        <v>26027</v>
      </c>
      <c r="BH2861" t="s">
        <v>26028</v>
      </c>
      <c r="BI2861" t="s">
        <v>26029</v>
      </c>
      <c r="BJ2861" t="s">
        <v>101</v>
      </c>
      <c r="BK2861" t="s">
        <v>10666</v>
      </c>
      <c r="BL2861" t="s">
        <v>23989</v>
      </c>
      <c r="BM2861" t="s">
        <v>14292</v>
      </c>
      <c r="BN2861" t="s">
        <v>23454</v>
      </c>
    </row>
    <row r="2862" spans="1:66" x14ac:dyDescent="0.25">
      <c r="A2862" t="str">
        <f>HYPERLINK("https://elite.finviz.com/quote.ashx?t=KHC&amp;ty=c&amp;p=d&amp;b=1", "KHC")</f>
        <v>KHC</v>
      </c>
      <c r="B2862">
        <v>5</v>
      </c>
      <c r="C2862">
        <v>116.22</v>
      </c>
      <c r="D2862">
        <v>43.17</v>
      </c>
      <c r="E2862" t="s">
        <v>26030</v>
      </c>
      <c r="F2862" t="s">
        <v>319</v>
      </c>
      <c r="G2862" t="s">
        <v>2244</v>
      </c>
      <c r="H2862" t="s">
        <v>3269</v>
      </c>
      <c r="I2862" t="s">
        <v>70</v>
      </c>
      <c r="J2862" t="s">
        <v>321</v>
      </c>
      <c r="K2862">
        <v>30803.17</v>
      </c>
      <c r="L2862">
        <v>26.02</v>
      </c>
      <c r="M2862" t="s">
        <v>2734</v>
      </c>
      <c r="N2862">
        <v>3161829</v>
      </c>
      <c r="P2862">
        <v>9.8000000000000007</v>
      </c>
      <c r="R2862">
        <v>1.22</v>
      </c>
      <c r="S2862">
        <v>0.75</v>
      </c>
      <c r="T2862" t="s">
        <v>4686</v>
      </c>
      <c r="U2862">
        <v>1.6</v>
      </c>
      <c r="V2862" t="s">
        <v>4882</v>
      </c>
      <c r="W2862" t="s">
        <v>164</v>
      </c>
      <c r="X2862" t="s">
        <v>164</v>
      </c>
      <c r="Y2862" t="s">
        <v>164</v>
      </c>
      <c r="Z2862" t="s">
        <v>26031</v>
      </c>
      <c r="AA2862">
        <v>-4.4800000000000004</v>
      </c>
      <c r="AB2862" t="s">
        <v>15103</v>
      </c>
      <c r="AC2862" t="s">
        <v>5739</v>
      </c>
      <c r="AD2862" t="s">
        <v>4168</v>
      </c>
      <c r="AE2862" t="s">
        <v>2870</v>
      </c>
      <c r="AF2862" t="s">
        <v>4538</v>
      </c>
      <c r="AG2862" t="s">
        <v>8179</v>
      </c>
      <c r="AH2862" t="s">
        <v>5765</v>
      </c>
      <c r="AI2862" t="s">
        <v>6456</v>
      </c>
      <c r="AJ2862" t="s">
        <v>2276</v>
      </c>
      <c r="AK2862" t="s">
        <v>22583</v>
      </c>
      <c r="AL2862">
        <v>1.07</v>
      </c>
      <c r="AM2862">
        <v>0.66</v>
      </c>
      <c r="AN2862">
        <v>0.51</v>
      </c>
      <c r="AO2862" t="s">
        <v>772</v>
      </c>
      <c r="AP2862" t="s">
        <v>6938</v>
      </c>
      <c r="AQ2862" t="s">
        <v>24063</v>
      </c>
      <c r="AR2862" t="s">
        <v>910</v>
      </c>
      <c r="AS2862" t="s">
        <v>352</v>
      </c>
      <c r="AT2862" t="s">
        <v>5000</v>
      </c>
      <c r="AU2862" t="s">
        <v>4274</v>
      </c>
      <c r="AV2862" t="s">
        <v>9998</v>
      </c>
      <c r="AW2862" t="s">
        <v>16186</v>
      </c>
      <c r="AX2862" t="s">
        <v>2186</v>
      </c>
      <c r="AY2862" t="s">
        <v>23162</v>
      </c>
      <c r="AZ2862" t="s">
        <v>7322</v>
      </c>
      <c r="BA2862">
        <v>2.87</v>
      </c>
      <c r="BB2862">
        <v>16143.83</v>
      </c>
      <c r="BC2862">
        <v>0.69</v>
      </c>
      <c r="BD2862">
        <v>25.81</v>
      </c>
      <c r="BE2862">
        <v>26.12</v>
      </c>
      <c r="BF2862">
        <v>25.82</v>
      </c>
      <c r="BG2862" t="s">
        <v>26032</v>
      </c>
      <c r="BH2862" t="s">
        <v>6849</v>
      </c>
      <c r="BI2862" t="s">
        <v>13269</v>
      </c>
      <c r="BJ2862" t="s">
        <v>101</v>
      </c>
      <c r="BK2862" t="s">
        <v>2186</v>
      </c>
      <c r="BL2862" t="s">
        <v>14274</v>
      </c>
      <c r="BM2862" t="s">
        <v>1427</v>
      </c>
      <c r="BN2862" t="s">
        <v>23454</v>
      </c>
    </row>
    <row r="2863" spans="1:66" x14ac:dyDescent="0.25">
      <c r="A2863" t="str">
        <f>HYPERLINK("https://elite.finviz.com/quote.ashx?t=KMT&amp;ty=c&amp;p=d&amp;b=1", "KMT")</f>
        <v>KMT</v>
      </c>
      <c r="B2863">
        <v>5</v>
      </c>
      <c r="C2863">
        <v>116.22</v>
      </c>
      <c r="D2863">
        <v>43.19</v>
      </c>
      <c r="E2863" t="s">
        <v>26033</v>
      </c>
      <c r="F2863" t="s">
        <v>67</v>
      </c>
      <c r="G2863" t="s">
        <v>260</v>
      </c>
      <c r="H2863" t="s">
        <v>16076</v>
      </c>
      <c r="I2863" t="s">
        <v>70</v>
      </c>
      <c r="J2863" t="s">
        <v>71</v>
      </c>
      <c r="K2863">
        <v>1585.23</v>
      </c>
      <c r="L2863">
        <v>20.85</v>
      </c>
      <c r="M2863" t="s">
        <v>4507</v>
      </c>
      <c r="N2863">
        <v>76835</v>
      </c>
      <c r="O2863">
        <v>17.43</v>
      </c>
      <c r="P2863">
        <v>15.15</v>
      </c>
      <c r="Q2863">
        <v>3</v>
      </c>
      <c r="R2863">
        <v>0.81</v>
      </c>
      <c r="S2863">
        <v>1.23</v>
      </c>
      <c r="T2863" t="s">
        <v>1449</v>
      </c>
      <c r="U2863">
        <v>0.8</v>
      </c>
      <c r="V2863" t="s">
        <v>7906</v>
      </c>
      <c r="W2863" t="s">
        <v>164</v>
      </c>
      <c r="X2863" t="s">
        <v>164</v>
      </c>
      <c r="Y2863" t="s">
        <v>164</v>
      </c>
      <c r="Z2863" t="s">
        <v>9510</v>
      </c>
      <c r="AA2863">
        <v>1.2</v>
      </c>
      <c r="AB2863" t="s">
        <v>2375</v>
      </c>
      <c r="AD2863" t="s">
        <v>12712</v>
      </c>
      <c r="AE2863" t="s">
        <v>6739</v>
      </c>
      <c r="AF2863" t="s">
        <v>10808</v>
      </c>
      <c r="AG2863" t="s">
        <v>3013</v>
      </c>
      <c r="AH2863" t="s">
        <v>10703</v>
      </c>
      <c r="AI2863" t="s">
        <v>25776</v>
      </c>
      <c r="AJ2863" t="s">
        <v>164</v>
      </c>
      <c r="AK2863" t="s">
        <v>26034</v>
      </c>
      <c r="AL2863">
        <v>2.46</v>
      </c>
      <c r="AM2863">
        <v>1.19</v>
      </c>
      <c r="AN2863">
        <v>0.5</v>
      </c>
      <c r="AO2863" t="s">
        <v>9556</v>
      </c>
      <c r="AP2863" t="s">
        <v>3982</v>
      </c>
      <c r="AQ2863" t="s">
        <v>3524</v>
      </c>
      <c r="AR2863" t="s">
        <v>744</v>
      </c>
      <c r="AS2863" t="s">
        <v>342</v>
      </c>
      <c r="AT2863" t="s">
        <v>4953</v>
      </c>
      <c r="AU2863" t="s">
        <v>15949</v>
      </c>
      <c r="AV2863" t="s">
        <v>7008</v>
      </c>
      <c r="AW2863" t="s">
        <v>13655</v>
      </c>
      <c r="AX2863" t="s">
        <v>9325</v>
      </c>
      <c r="AY2863" t="s">
        <v>9795</v>
      </c>
      <c r="AZ2863" t="s">
        <v>6938</v>
      </c>
      <c r="BA2863">
        <v>3.56</v>
      </c>
      <c r="BB2863">
        <v>1112.1099999999999</v>
      </c>
      <c r="BC2863">
        <v>0.24</v>
      </c>
      <c r="BD2863">
        <v>20.84</v>
      </c>
      <c r="BE2863">
        <v>20.95</v>
      </c>
      <c r="BF2863">
        <v>20.74</v>
      </c>
      <c r="BG2863" t="s">
        <v>26035</v>
      </c>
      <c r="BH2863" t="s">
        <v>26036</v>
      </c>
      <c r="BI2863" t="s">
        <v>26037</v>
      </c>
      <c r="BJ2863" t="s">
        <v>101</v>
      </c>
      <c r="BK2863" t="s">
        <v>2753</v>
      </c>
      <c r="BL2863" t="s">
        <v>6822</v>
      </c>
      <c r="BM2863" t="s">
        <v>19432</v>
      </c>
      <c r="BN2863" t="s">
        <v>23454</v>
      </c>
    </row>
    <row r="2864" spans="1:66" x14ac:dyDescent="0.25">
      <c r="A2864" t="str">
        <f>HYPERLINK("https://elite.finviz.com/quote.ashx?t=GEHC&amp;ty=c&amp;p=d&amp;b=1", "GEHC")</f>
        <v>GEHC</v>
      </c>
      <c r="B2864">
        <v>5</v>
      </c>
      <c r="C2864">
        <v>116.22</v>
      </c>
      <c r="D2864">
        <v>43.19</v>
      </c>
      <c r="E2864" t="s">
        <v>26038</v>
      </c>
      <c r="F2864" t="s">
        <v>319</v>
      </c>
      <c r="G2864" t="s">
        <v>428</v>
      </c>
      <c r="H2864" t="s">
        <v>2051</v>
      </c>
      <c r="I2864" t="s">
        <v>70</v>
      </c>
      <c r="J2864" t="s">
        <v>321</v>
      </c>
      <c r="K2864">
        <v>33153.26</v>
      </c>
      <c r="L2864">
        <v>72.61</v>
      </c>
      <c r="M2864" t="s">
        <v>192</v>
      </c>
      <c r="N2864">
        <v>720870</v>
      </c>
      <c r="O2864">
        <v>14.87</v>
      </c>
      <c r="P2864">
        <v>14.71</v>
      </c>
      <c r="Q2864">
        <v>2.0699999999999998</v>
      </c>
      <c r="R2864">
        <v>1.66</v>
      </c>
      <c r="S2864">
        <v>3.41</v>
      </c>
      <c r="T2864" t="s">
        <v>3358</v>
      </c>
      <c r="U2864">
        <v>0.14000000000000001</v>
      </c>
      <c r="V2864" t="s">
        <v>20796</v>
      </c>
      <c r="W2864" t="s">
        <v>164</v>
      </c>
      <c r="Z2864" t="s">
        <v>5425</v>
      </c>
      <c r="AA2864">
        <v>4.88</v>
      </c>
      <c r="AB2864" t="s">
        <v>4673</v>
      </c>
      <c r="AC2864" t="s">
        <v>5611</v>
      </c>
      <c r="AD2864" t="s">
        <v>3688</v>
      </c>
      <c r="AE2864" t="s">
        <v>7322</v>
      </c>
      <c r="AF2864" t="s">
        <v>2493</v>
      </c>
      <c r="AG2864" t="s">
        <v>4495</v>
      </c>
      <c r="AH2864" t="s">
        <v>2941</v>
      </c>
      <c r="AI2864" t="s">
        <v>7617</v>
      </c>
      <c r="AJ2864" t="s">
        <v>164</v>
      </c>
      <c r="AK2864" t="s">
        <v>991</v>
      </c>
      <c r="AL2864">
        <v>1.1200000000000001</v>
      </c>
      <c r="AM2864">
        <v>0.89</v>
      </c>
      <c r="AN2864">
        <v>1.1000000000000001</v>
      </c>
      <c r="AO2864" t="s">
        <v>15701</v>
      </c>
      <c r="AP2864" t="s">
        <v>1581</v>
      </c>
      <c r="AQ2864" t="s">
        <v>2740</v>
      </c>
      <c r="AR2864" t="s">
        <v>633</v>
      </c>
      <c r="AS2864" t="s">
        <v>248</v>
      </c>
      <c r="AT2864" t="s">
        <v>2357</v>
      </c>
      <c r="AU2864" t="s">
        <v>12781</v>
      </c>
      <c r="AV2864" t="s">
        <v>7380</v>
      </c>
      <c r="AW2864" t="s">
        <v>13088</v>
      </c>
      <c r="AX2864" t="s">
        <v>1104</v>
      </c>
      <c r="AY2864" t="s">
        <v>26039</v>
      </c>
      <c r="AZ2864" t="s">
        <v>7728</v>
      </c>
      <c r="BA2864">
        <v>1.59</v>
      </c>
      <c r="BB2864">
        <v>3665.03</v>
      </c>
      <c r="BC2864">
        <v>0.69</v>
      </c>
      <c r="BD2864">
        <v>71.5</v>
      </c>
      <c r="BE2864">
        <v>72.900000000000006</v>
      </c>
      <c r="BF2864">
        <v>71.72</v>
      </c>
      <c r="BG2864" t="s">
        <v>26040</v>
      </c>
      <c r="BH2864" t="s">
        <v>26039</v>
      </c>
      <c r="BI2864" t="s">
        <v>13639</v>
      </c>
      <c r="BJ2864" t="s">
        <v>101</v>
      </c>
      <c r="BK2864" t="s">
        <v>8937</v>
      </c>
      <c r="BL2864" t="s">
        <v>528</v>
      </c>
      <c r="BM2864" t="s">
        <v>985</v>
      </c>
      <c r="BN2864" t="s">
        <v>23454</v>
      </c>
    </row>
    <row r="2865" spans="1:66" x14ac:dyDescent="0.25">
      <c r="A2865" t="str">
        <f>HYPERLINK("https://elite.finviz.com/quote.ashx?t=SAFE&amp;ty=c&amp;p=d&amp;b=1", "SAFE")</f>
        <v>SAFE</v>
      </c>
      <c r="B2865">
        <v>5</v>
      </c>
      <c r="C2865">
        <v>116.22</v>
      </c>
      <c r="D2865">
        <v>43.2</v>
      </c>
      <c r="E2865" t="s">
        <v>26041</v>
      </c>
      <c r="F2865" t="s">
        <v>67</v>
      </c>
      <c r="G2865" t="s">
        <v>68</v>
      </c>
      <c r="H2865" t="s">
        <v>4656</v>
      </c>
      <c r="I2865" t="s">
        <v>70</v>
      </c>
      <c r="J2865" t="s">
        <v>71</v>
      </c>
      <c r="K2865">
        <v>1109.71</v>
      </c>
      <c r="L2865">
        <v>15.47</v>
      </c>
      <c r="M2865" t="s">
        <v>747</v>
      </c>
      <c r="N2865">
        <v>33898</v>
      </c>
      <c r="O2865">
        <v>10.64</v>
      </c>
      <c r="P2865">
        <v>9.4499999999999993</v>
      </c>
      <c r="Q2865">
        <v>4.38</v>
      </c>
      <c r="R2865">
        <v>2.9</v>
      </c>
      <c r="S2865">
        <v>0.47</v>
      </c>
      <c r="T2865" t="s">
        <v>4659</v>
      </c>
      <c r="U2865">
        <v>0.54</v>
      </c>
      <c r="V2865" t="s">
        <v>198</v>
      </c>
      <c r="W2865" t="s">
        <v>5086</v>
      </c>
      <c r="X2865" t="s">
        <v>15525</v>
      </c>
      <c r="Y2865" t="s">
        <v>6622</v>
      </c>
      <c r="Z2865" t="s">
        <v>20954</v>
      </c>
      <c r="AA2865">
        <v>1.45</v>
      </c>
      <c r="AB2865" t="s">
        <v>26042</v>
      </c>
      <c r="AC2865" t="s">
        <v>19864</v>
      </c>
      <c r="AD2865" t="s">
        <v>2582</v>
      </c>
      <c r="AE2865" t="s">
        <v>2449</v>
      </c>
      <c r="AF2865" t="s">
        <v>2884</v>
      </c>
      <c r="AG2865" t="s">
        <v>4893</v>
      </c>
      <c r="AH2865" t="s">
        <v>5045</v>
      </c>
      <c r="AI2865" t="s">
        <v>11402</v>
      </c>
      <c r="AJ2865" t="s">
        <v>164</v>
      </c>
      <c r="AK2865" t="s">
        <v>26043</v>
      </c>
      <c r="AL2865">
        <v>451.35</v>
      </c>
      <c r="AM2865">
        <v>451.35</v>
      </c>
      <c r="AN2865">
        <v>1.9</v>
      </c>
      <c r="AO2865" t="s">
        <v>18490</v>
      </c>
      <c r="AP2865" t="s">
        <v>26044</v>
      </c>
      <c r="AQ2865" t="s">
        <v>11433</v>
      </c>
      <c r="AR2865" t="s">
        <v>2146</v>
      </c>
      <c r="AS2865" t="s">
        <v>1902</v>
      </c>
      <c r="AT2865" t="s">
        <v>2267</v>
      </c>
      <c r="AU2865" t="s">
        <v>3358</v>
      </c>
      <c r="AV2865" t="s">
        <v>8156</v>
      </c>
      <c r="AW2865" t="s">
        <v>13200</v>
      </c>
      <c r="AX2865" t="s">
        <v>6721</v>
      </c>
      <c r="AY2865" t="s">
        <v>26045</v>
      </c>
      <c r="AZ2865" t="s">
        <v>6721</v>
      </c>
      <c r="BA2865">
        <v>1.8</v>
      </c>
      <c r="BB2865">
        <v>425.42</v>
      </c>
      <c r="BC2865">
        <v>0.28000000000000003</v>
      </c>
      <c r="BD2865">
        <v>15.34</v>
      </c>
      <c r="BE2865">
        <v>15.55</v>
      </c>
      <c r="BF2865">
        <v>15.36</v>
      </c>
      <c r="BG2865" t="s">
        <v>26046</v>
      </c>
      <c r="BH2865" t="s">
        <v>26047</v>
      </c>
      <c r="BI2865" t="s">
        <v>26048</v>
      </c>
      <c r="BJ2865" t="s">
        <v>101</v>
      </c>
      <c r="BK2865" t="s">
        <v>4707</v>
      </c>
      <c r="BL2865" t="s">
        <v>25228</v>
      </c>
      <c r="BM2865" t="s">
        <v>24178</v>
      </c>
      <c r="BN2865" t="s">
        <v>26049</v>
      </c>
    </row>
    <row r="2866" spans="1:66" x14ac:dyDescent="0.25">
      <c r="A2866" t="str">
        <f>HYPERLINK("https://elite.finviz.com/quote.ashx?t=DJT&amp;ty=c&amp;p=d&amp;b=1", "DJT")</f>
        <v>DJT</v>
      </c>
      <c r="B2866">
        <v>5</v>
      </c>
      <c r="C2866">
        <v>116.22</v>
      </c>
      <c r="D2866">
        <v>43.23</v>
      </c>
      <c r="E2866" t="s">
        <v>26050</v>
      </c>
      <c r="F2866" t="s">
        <v>107</v>
      </c>
      <c r="G2866" t="s">
        <v>598</v>
      </c>
      <c r="H2866" t="s">
        <v>599</v>
      </c>
      <c r="I2866" t="s">
        <v>70</v>
      </c>
      <c r="J2866" t="s">
        <v>321</v>
      </c>
      <c r="K2866">
        <v>4656.6099999999997</v>
      </c>
      <c r="L2866">
        <v>16.809999999999999</v>
      </c>
      <c r="M2866" t="s">
        <v>1547</v>
      </c>
      <c r="N2866">
        <v>1515395</v>
      </c>
      <c r="R2866">
        <v>1251.78</v>
      </c>
      <c r="S2866">
        <v>2.04</v>
      </c>
      <c r="AA2866">
        <v>-0.49</v>
      </c>
      <c r="AB2866" t="s">
        <v>26051</v>
      </c>
      <c r="AE2866" t="s">
        <v>26052</v>
      </c>
      <c r="AH2866" t="s">
        <v>1871</v>
      </c>
      <c r="AJ2866" t="s">
        <v>1998</v>
      </c>
      <c r="AK2866" t="s">
        <v>2067</v>
      </c>
      <c r="AL2866">
        <v>132.6</v>
      </c>
      <c r="AM2866">
        <v>132.6</v>
      </c>
      <c r="AN2866">
        <v>0.42</v>
      </c>
      <c r="AO2866" t="s">
        <v>26053</v>
      </c>
      <c r="AP2866" t="s">
        <v>26054</v>
      </c>
      <c r="AQ2866" t="s">
        <v>26055</v>
      </c>
      <c r="AR2866" t="s">
        <v>3670</v>
      </c>
      <c r="AS2866" t="s">
        <v>2383</v>
      </c>
      <c r="AT2866" t="s">
        <v>3172</v>
      </c>
      <c r="AU2866" t="s">
        <v>10842</v>
      </c>
      <c r="AV2866" t="s">
        <v>2676</v>
      </c>
      <c r="AW2866" t="s">
        <v>24507</v>
      </c>
      <c r="AX2866" t="s">
        <v>2293</v>
      </c>
      <c r="AY2866" t="s">
        <v>26056</v>
      </c>
      <c r="AZ2866" t="s">
        <v>6793</v>
      </c>
      <c r="BB2866">
        <v>7356.09</v>
      </c>
      <c r="BC2866">
        <v>0.73</v>
      </c>
      <c r="BD2866">
        <v>16.82</v>
      </c>
      <c r="BE2866">
        <v>16.850000000000001</v>
      </c>
      <c r="BF2866">
        <v>16.66</v>
      </c>
      <c r="BG2866" t="s">
        <v>26057</v>
      </c>
      <c r="BH2866" t="s">
        <v>26058</v>
      </c>
      <c r="BI2866" t="s">
        <v>20834</v>
      </c>
      <c r="BJ2866" t="s">
        <v>101</v>
      </c>
      <c r="BK2866" t="s">
        <v>17548</v>
      </c>
      <c r="BL2866" t="s">
        <v>4318</v>
      </c>
      <c r="BM2866" t="s">
        <v>13119</v>
      </c>
      <c r="BN2866" t="s">
        <v>23454</v>
      </c>
    </row>
    <row r="2867" spans="1:66" x14ac:dyDescent="0.25">
      <c r="A2867" t="str">
        <f>HYPERLINK("https://elite.finviz.com/quote.ashx?t=IRBT&amp;ty=c&amp;p=d&amp;b=1", "IRBT")</f>
        <v>IRBT</v>
      </c>
      <c r="B2867">
        <v>5</v>
      </c>
      <c r="C2867">
        <v>116.22</v>
      </c>
      <c r="D2867">
        <v>43.24</v>
      </c>
      <c r="E2867" t="s">
        <v>26059</v>
      </c>
      <c r="F2867" t="s">
        <v>107</v>
      </c>
      <c r="G2867" t="s">
        <v>813</v>
      </c>
      <c r="H2867" t="s">
        <v>3866</v>
      </c>
      <c r="I2867" t="s">
        <v>70</v>
      </c>
      <c r="J2867" t="s">
        <v>321</v>
      </c>
      <c r="K2867">
        <v>107.22</v>
      </c>
      <c r="L2867">
        <v>3.42</v>
      </c>
      <c r="M2867" t="s">
        <v>4963</v>
      </c>
      <c r="N2867">
        <v>541231</v>
      </c>
      <c r="R2867">
        <v>0.18</v>
      </c>
      <c r="AA2867">
        <v>-6.26</v>
      </c>
      <c r="AE2867" t="s">
        <v>26060</v>
      </c>
      <c r="AF2867" t="s">
        <v>8663</v>
      </c>
      <c r="AG2867" t="s">
        <v>8812</v>
      </c>
      <c r="AH2867" t="s">
        <v>24272</v>
      </c>
      <c r="AI2867" t="s">
        <v>26061</v>
      </c>
      <c r="AJ2867" t="s">
        <v>164</v>
      </c>
      <c r="AK2867" t="s">
        <v>12073</v>
      </c>
      <c r="AL2867">
        <v>0.54</v>
      </c>
      <c r="AM2867">
        <v>0.34</v>
      </c>
      <c r="AO2867" t="s">
        <v>7007</v>
      </c>
      <c r="AP2867" t="s">
        <v>4209</v>
      </c>
      <c r="AQ2867" t="s">
        <v>3384</v>
      </c>
      <c r="AR2867" t="s">
        <v>147</v>
      </c>
      <c r="AS2867" t="s">
        <v>7236</v>
      </c>
      <c r="AT2867" t="s">
        <v>7074</v>
      </c>
      <c r="AU2867" t="s">
        <v>5498</v>
      </c>
      <c r="AV2867" t="s">
        <v>14237</v>
      </c>
      <c r="AW2867" t="s">
        <v>26062</v>
      </c>
      <c r="AX2867" t="s">
        <v>5224</v>
      </c>
      <c r="AY2867" t="s">
        <v>17764</v>
      </c>
      <c r="AZ2867" t="s">
        <v>13066</v>
      </c>
      <c r="BA2867">
        <v>3</v>
      </c>
      <c r="BB2867">
        <v>1849.91</v>
      </c>
      <c r="BC2867">
        <v>1.03</v>
      </c>
      <c r="BD2867">
        <v>3.44</v>
      </c>
      <c r="BE2867">
        <v>3.52</v>
      </c>
      <c r="BF2867">
        <v>3.37</v>
      </c>
      <c r="BG2867" t="s">
        <v>26063</v>
      </c>
      <c r="BH2867" t="s">
        <v>26064</v>
      </c>
      <c r="BI2867" t="s">
        <v>13066</v>
      </c>
      <c r="BJ2867" t="s">
        <v>101</v>
      </c>
      <c r="BK2867" t="s">
        <v>5859</v>
      </c>
      <c r="BL2867" t="s">
        <v>4248</v>
      </c>
      <c r="BM2867" t="s">
        <v>26065</v>
      </c>
      <c r="BN2867" t="s">
        <v>23454</v>
      </c>
    </row>
    <row r="2868" spans="1:66" x14ac:dyDescent="0.25">
      <c r="A2868" t="str">
        <f>HYPERLINK("https://elite.finviz.com/quote.ashx?t=YHC&amp;ty=c&amp;p=d&amp;b=1", "YHC")</f>
        <v>YHC</v>
      </c>
      <c r="B2868">
        <v>5</v>
      </c>
      <c r="C2868">
        <v>116.22</v>
      </c>
      <c r="D2868">
        <v>43.24</v>
      </c>
      <c r="E2868" t="s">
        <v>26066</v>
      </c>
      <c r="F2868" t="s">
        <v>107</v>
      </c>
      <c r="G2868" t="s">
        <v>2244</v>
      </c>
      <c r="H2868" t="s">
        <v>2245</v>
      </c>
      <c r="I2868" t="s">
        <v>70</v>
      </c>
      <c r="J2868" t="s">
        <v>321</v>
      </c>
      <c r="K2868">
        <v>8.41</v>
      </c>
      <c r="L2868">
        <v>0.81</v>
      </c>
      <c r="M2868" t="s">
        <v>406</v>
      </c>
      <c r="N2868">
        <v>51790</v>
      </c>
      <c r="R2868">
        <v>3.52</v>
      </c>
      <c r="S2868">
        <v>0.2</v>
      </c>
      <c r="AA2868">
        <v>-115.25</v>
      </c>
      <c r="AB2868" t="s">
        <v>3064</v>
      </c>
      <c r="AE2868" t="s">
        <v>7912</v>
      </c>
      <c r="AF2868" t="s">
        <v>23416</v>
      </c>
      <c r="AH2868" t="s">
        <v>4217</v>
      </c>
      <c r="AI2868" t="s">
        <v>17458</v>
      </c>
      <c r="AJ2868" t="s">
        <v>22707</v>
      </c>
      <c r="AK2868" t="s">
        <v>497</v>
      </c>
      <c r="AL2868">
        <v>2.34</v>
      </c>
      <c r="AM2868">
        <v>2.34</v>
      </c>
      <c r="AN2868">
        <v>0</v>
      </c>
      <c r="AO2868" t="s">
        <v>5058</v>
      </c>
      <c r="AP2868" t="s">
        <v>26067</v>
      </c>
      <c r="AQ2868" t="s">
        <v>26068</v>
      </c>
      <c r="AR2868" t="s">
        <v>2839</v>
      </c>
      <c r="AS2868" t="s">
        <v>10610</v>
      </c>
      <c r="AT2868" t="s">
        <v>12274</v>
      </c>
      <c r="AU2868" t="s">
        <v>13589</v>
      </c>
      <c r="AV2868" t="s">
        <v>15105</v>
      </c>
      <c r="AW2868" t="s">
        <v>26069</v>
      </c>
      <c r="AX2868" t="s">
        <v>7283</v>
      </c>
      <c r="AY2868" t="s">
        <v>26070</v>
      </c>
      <c r="AZ2868" t="s">
        <v>7283</v>
      </c>
      <c r="BA2868">
        <v>1</v>
      </c>
      <c r="BB2868">
        <v>4741.1899999999996</v>
      </c>
      <c r="BC2868">
        <v>0.04</v>
      </c>
      <c r="BD2868">
        <v>0.81</v>
      </c>
      <c r="BE2868">
        <v>0.82</v>
      </c>
      <c r="BF2868">
        <v>0.81</v>
      </c>
      <c r="BG2868" t="s">
        <v>26071</v>
      </c>
      <c r="BH2868" t="s">
        <v>3320</v>
      </c>
      <c r="BI2868" t="s">
        <v>7283</v>
      </c>
      <c r="BJ2868" t="s">
        <v>101</v>
      </c>
      <c r="BK2868" t="s">
        <v>26072</v>
      </c>
      <c r="BL2868" t="s">
        <v>14483</v>
      </c>
      <c r="BM2868" t="s">
        <v>10479</v>
      </c>
      <c r="BN2868" t="s">
        <v>23454</v>
      </c>
    </row>
    <row r="2869" spans="1:66" x14ac:dyDescent="0.25">
      <c r="A2869" t="str">
        <f>HYPERLINK("https://elite.finviz.com/quote.ashx?t=PWP&amp;ty=c&amp;p=d&amp;b=1", "PWP")</f>
        <v>PWP</v>
      </c>
      <c r="B2869">
        <v>5</v>
      </c>
      <c r="C2869">
        <v>116.22</v>
      </c>
      <c r="D2869">
        <v>43.25</v>
      </c>
      <c r="E2869" t="s">
        <v>26073</v>
      </c>
      <c r="F2869" t="s">
        <v>67</v>
      </c>
      <c r="G2869" t="s">
        <v>550</v>
      </c>
      <c r="H2869" t="s">
        <v>551</v>
      </c>
      <c r="I2869" t="s">
        <v>70</v>
      </c>
      <c r="J2869" t="s">
        <v>321</v>
      </c>
      <c r="K2869">
        <v>1852.37</v>
      </c>
      <c r="L2869">
        <v>21.17</v>
      </c>
      <c r="M2869" t="s">
        <v>2468</v>
      </c>
      <c r="N2869">
        <v>77540</v>
      </c>
      <c r="O2869">
        <v>26.19</v>
      </c>
      <c r="P2869">
        <v>13.21</v>
      </c>
      <c r="Q2869">
        <v>1.41</v>
      </c>
      <c r="R2869">
        <v>2.13</v>
      </c>
      <c r="T2869" t="s">
        <v>4881</v>
      </c>
      <c r="U2869">
        <v>0.28000000000000003</v>
      </c>
      <c r="V2869" t="s">
        <v>4882</v>
      </c>
      <c r="W2869" t="s">
        <v>164</v>
      </c>
      <c r="X2869" t="s">
        <v>3397</v>
      </c>
      <c r="AA2869">
        <v>0.81</v>
      </c>
      <c r="AB2869" t="s">
        <v>26074</v>
      </c>
      <c r="AD2869" t="s">
        <v>731</v>
      </c>
      <c r="AE2869" t="s">
        <v>876</v>
      </c>
      <c r="AF2869" t="s">
        <v>5188</v>
      </c>
      <c r="AH2869" t="s">
        <v>24361</v>
      </c>
      <c r="AI2869" t="s">
        <v>10197</v>
      </c>
      <c r="AJ2869" t="s">
        <v>7443</v>
      </c>
      <c r="AK2869" t="s">
        <v>16727</v>
      </c>
      <c r="AL2869">
        <v>1.28</v>
      </c>
      <c r="AM2869">
        <v>1.28</v>
      </c>
      <c r="AO2869" t="s">
        <v>26075</v>
      </c>
      <c r="AP2869" t="s">
        <v>6272</v>
      </c>
      <c r="AQ2869" t="s">
        <v>8960</v>
      </c>
      <c r="AR2869" t="s">
        <v>4324</v>
      </c>
      <c r="AS2869" t="s">
        <v>4125</v>
      </c>
      <c r="AT2869" t="s">
        <v>4704</v>
      </c>
      <c r="AU2869" t="s">
        <v>13522</v>
      </c>
      <c r="AV2869" t="s">
        <v>4275</v>
      </c>
      <c r="AW2869" t="s">
        <v>11264</v>
      </c>
      <c r="AX2869" t="s">
        <v>6608</v>
      </c>
      <c r="AY2869" t="s">
        <v>13478</v>
      </c>
      <c r="AZ2869" t="s">
        <v>16979</v>
      </c>
      <c r="BA2869">
        <v>2.5</v>
      </c>
      <c r="BB2869">
        <v>1174.94</v>
      </c>
      <c r="BC2869">
        <v>0.23</v>
      </c>
      <c r="BD2869">
        <v>21.22</v>
      </c>
      <c r="BE2869">
        <v>21.44</v>
      </c>
      <c r="BF2869">
        <v>21.09</v>
      </c>
      <c r="BG2869" t="s">
        <v>26076</v>
      </c>
      <c r="BH2869" t="s">
        <v>13478</v>
      </c>
      <c r="BI2869" t="s">
        <v>26077</v>
      </c>
      <c r="BJ2869" t="s">
        <v>101</v>
      </c>
      <c r="BK2869" t="s">
        <v>291</v>
      </c>
      <c r="BL2869" t="s">
        <v>8530</v>
      </c>
      <c r="BM2869" t="s">
        <v>1955</v>
      </c>
      <c r="BN2869" t="s">
        <v>23454</v>
      </c>
    </row>
    <row r="2870" spans="1:66" x14ac:dyDescent="0.25">
      <c r="A2870" t="str">
        <f>HYPERLINK("https://elite.finviz.com/quote.ashx?t=ETHM&amp;ty=c&amp;p=d&amp;b=1", "ETHM")</f>
        <v>ETHM</v>
      </c>
      <c r="B2870">
        <v>5</v>
      </c>
      <c r="C2870">
        <v>116.22</v>
      </c>
      <c r="D2870">
        <v>43.26</v>
      </c>
      <c r="E2870" t="s">
        <v>26078</v>
      </c>
      <c r="F2870" t="s">
        <v>107</v>
      </c>
      <c r="G2870" t="s">
        <v>550</v>
      </c>
      <c r="H2870" t="s">
        <v>2120</v>
      </c>
      <c r="I2870" t="s">
        <v>70</v>
      </c>
      <c r="J2870" t="s">
        <v>321</v>
      </c>
      <c r="K2870">
        <v>233.95</v>
      </c>
      <c r="L2870">
        <v>10.57</v>
      </c>
      <c r="M2870" t="s">
        <v>2880</v>
      </c>
      <c r="N2870">
        <v>71844</v>
      </c>
      <c r="S2870">
        <v>1.2</v>
      </c>
      <c r="AK2870" t="s">
        <v>7185</v>
      </c>
      <c r="AL2870">
        <v>0.91</v>
      </c>
      <c r="AM2870">
        <v>0.91</v>
      </c>
      <c r="AN2870">
        <v>0</v>
      </c>
      <c r="AR2870" t="s">
        <v>5692</v>
      </c>
      <c r="AS2870" t="s">
        <v>4600</v>
      </c>
      <c r="AT2870" t="s">
        <v>3967</v>
      </c>
      <c r="AU2870" t="s">
        <v>14569</v>
      </c>
      <c r="AV2870" t="s">
        <v>5736</v>
      </c>
      <c r="AW2870" t="s">
        <v>26079</v>
      </c>
      <c r="AX2870" t="s">
        <v>4677</v>
      </c>
      <c r="AY2870" t="s">
        <v>26079</v>
      </c>
      <c r="AZ2870" t="s">
        <v>9636</v>
      </c>
      <c r="BB2870">
        <v>1057.32</v>
      </c>
      <c r="BC2870">
        <v>0.24</v>
      </c>
      <c r="BD2870">
        <v>10.55</v>
      </c>
      <c r="BE2870">
        <v>10.63</v>
      </c>
      <c r="BF2870">
        <v>10.5</v>
      </c>
      <c r="BG2870" t="s">
        <v>26080</v>
      </c>
      <c r="BH2870" t="s">
        <v>26079</v>
      </c>
      <c r="BI2870" t="s">
        <v>9636</v>
      </c>
      <c r="BJ2870" t="s">
        <v>101</v>
      </c>
      <c r="BK2870" t="s">
        <v>3613</v>
      </c>
      <c r="BL2870" t="s">
        <v>1507</v>
      </c>
      <c r="BN2870" t="s">
        <v>23454</v>
      </c>
    </row>
    <row r="2871" spans="1:66" x14ac:dyDescent="0.25">
      <c r="A2871" t="str">
        <f>HYPERLINK("https://elite.finviz.com/quote.ashx?t=PACB&amp;ty=c&amp;p=d&amp;b=1", "PACB")</f>
        <v>PACB</v>
      </c>
      <c r="B2871">
        <v>5</v>
      </c>
      <c r="C2871">
        <v>116.22</v>
      </c>
      <c r="D2871">
        <v>43.26</v>
      </c>
      <c r="E2871" t="s">
        <v>26081</v>
      </c>
      <c r="F2871" t="s">
        <v>67</v>
      </c>
      <c r="G2871" t="s">
        <v>428</v>
      </c>
      <c r="H2871" t="s">
        <v>2051</v>
      </c>
      <c r="I2871" t="s">
        <v>70</v>
      </c>
      <c r="J2871" t="s">
        <v>321</v>
      </c>
      <c r="K2871">
        <v>363.33</v>
      </c>
      <c r="L2871">
        <v>1.21</v>
      </c>
      <c r="M2871" t="s">
        <v>530</v>
      </c>
      <c r="N2871">
        <v>1296167</v>
      </c>
      <c r="R2871">
        <v>2.33</v>
      </c>
      <c r="S2871">
        <v>5.91</v>
      </c>
      <c r="AA2871">
        <v>-2.27</v>
      </c>
      <c r="AB2871" t="s">
        <v>14673</v>
      </c>
      <c r="AC2871" t="s">
        <v>2775</v>
      </c>
      <c r="AD2871" t="s">
        <v>11533</v>
      </c>
      <c r="AE2871" t="s">
        <v>1622</v>
      </c>
      <c r="AF2871" t="s">
        <v>7118</v>
      </c>
      <c r="AG2871" t="s">
        <v>6408</v>
      </c>
      <c r="AH2871" t="s">
        <v>9227</v>
      </c>
      <c r="AI2871" t="s">
        <v>3451</v>
      </c>
      <c r="AJ2871" t="s">
        <v>6192</v>
      </c>
      <c r="AK2871" t="s">
        <v>19721</v>
      </c>
      <c r="AL2871">
        <v>6.92</v>
      </c>
      <c r="AM2871">
        <v>6.02</v>
      </c>
      <c r="AN2871">
        <v>11.37</v>
      </c>
      <c r="AO2871" t="s">
        <v>26082</v>
      </c>
      <c r="AP2871" t="s">
        <v>26083</v>
      </c>
      <c r="AQ2871" t="s">
        <v>26084</v>
      </c>
      <c r="AR2871" t="s">
        <v>275</v>
      </c>
      <c r="AS2871" t="s">
        <v>272</v>
      </c>
      <c r="AT2871" t="s">
        <v>12575</v>
      </c>
      <c r="AU2871" t="s">
        <v>2433</v>
      </c>
      <c r="AV2871" t="s">
        <v>6191</v>
      </c>
      <c r="AW2871" t="s">
        <v>5147</v>
      </c>
      <c r="AX2871" t="s">
        <v>3303</v>
      </c>
      <c r="AY2871" t="s">
        <v>6181</v>
      </c>
      <c r="AZ2871" t="s">
        <v>18710</v>
      </c>
      <c r="BA2871">
        <v>2.25</v>
      </c>
      <c r="BB2871">
        <v>7561.53</v>
      </c>
      <c r="BC2871">
        <v>0.6</v>
      </c>
      <c r="BD2871">
        <v>1.22</v>
      </c>
      <c r="BE2871">
        <v>1.24</v>
      </c>
      <c r="BF2871">
        <v>1.2</v>
      </c>
      <c r="BG2871" t="s">
        <v>26085</v>
      </c>
      <c r="BH2871" t="s">
        <v>19234</v>
      </c>
      <c r="BI2871" t="s">
        <v>18710</v>
      </c>
      <c r="BJ2871" t="s">
        <v>101</v>
      </c>
      <c r="BK2871" t="s">
        <v>4517</v>
      </c>
      <c r="BL2871" t="s">
        <v>7332</v>
      </c>
      <c r="BM2871" t="s">
        <v>21822</v>
      </c>
      <c r="BN2871" t="s">
        <v>23454</v>
      </c>
    </row>
    <row r="2872" spans="1:66" x14ac:dyDescent="0.25">
      <c r="A2872" t="str">
        <f>HYPERLINK("https://elite.finviz.com/quote.ashx?t=APG&amp;ty=c&amp;p=d&amp;b=1", "APG")</f>
        <v>APG</v>
      </c>
      <c r="B2872">
        <v>5</v>
      </c>
      <c r="C2872">
        <v>116.22</v>
      </c>
      <c r="D2872">
        <v>43.27</v>
      </c>
      <c r="E2872" t="s">
        <v>26086</v>
      </c>
      <c r="F2872" t="s">
        <v>107</v>
      </c>
      <c r="G2872" t="s">
        <v>260</v>
      </c>
      <c r="H2872" t="s">
        <v>2944</v>
      </c>
      <c r="I2872" t="s">
        <v>70</v>
      </c>
      <c r="J2872" t="s">
        <v>71</v>
      </c>
      <c r="K2872">
        <v>14351.79</v>
      </c>
      <c r="L2872">
        <v>34.18</v>
      </c>
      <c r="M2872" t="s">
        <v>2864</v>
      </c>
      <c r="N2872">
        <v>248153</v>
      </c>
      <c r="O2872">
        <v>102.21</v>
      </c>
      <c r="P2872">
        <v>20.61</v>
      </c>
      <c r="Q2872">
        <v>7.37</v>
      </c>
      <c r="R2872">
        <v>1.94</v>
      </c>
      <c r="S2872">
        <v>4.54</v>
      </c>
      <c r="AA2872">
        <v>0.33</v>
      </c>
      <c r="AB2872" t="s">
        <v>10411</v>
      </c>
      <c r="AC2872" t="s">
        <v>20993</v>
      </c>
      <c r="AD2872" t="s">
        <v>7650</v>
      </c>
      <c r="AE2872" t="s">
        <v>2351</v>
      </c>
      <c r="AF2872" t="s">
        <v>8087</v>
      </c>
      <c r="AG2872" t="s">
        <v>6923</v>
      </c>
      <c r="AH2872" t="s">
        <v>2289</v>
      </c>
      <c r="AI2872" t="s">
        <v>353</v>
      </c>
      <c r="AJ2872" t="s">
        <v>6161</v>
      </c>
      <c r="AK2872" t="s">
        <v>16953</v>
      </c>
      <c r="AL2872">
        <v>1.45</v>
      </c>
      <c r="AM2872">
        <v>1.37</v>
      </c>
      <c r="AN2872">
        <v>0.96</v>
      </c>
      <c r="AO2872" t="s">
        <v>14986</v>
      </c>
      <c r="AP2872" t="s">
        <v>6674</v>
      </c>
      <c r="AQ2872" t="s">
        <v>909</v>
      </c>
      <c r="AR2872" t="s">
        <v>633</v>
      </c>
      <c r="AS2872" t="s">
        <v>2087</v>
      </c>
      <c r="AT2872" t="s">
        <v>4150</v>
      </c>
      <c r="AU2872" t="s">
        <v>4124</v>
      </c>
      <c r="AV2872" t="s">
        <v>2395</v>
      </c>
      <c r="AW2872" t="s">
        <v>798</v>
      </c>
      <c r="AX2872" t="s">
        <v>1761</v>
      </c>
      <c r="AY2872" t="s">
        <v>798</v>
      </c>
      <c r="AZ2872" t="s">
        <v>4069</v>
      </c>
      <c r="BA2872">
        <v>1.42</v>
      </c>
      <c r="BB2872">
        <v>2739.8</v>
      </c>
      <c r="BC2872">
        <v>0.32</v>
      </c>
      <c r="BD2872">
        <v>33.869999999999997</v>
      </c>
      <c r="BE2872">
        <v>34.29</v>
      </c>
      <c r="BF2872">
        <v>33.81</v>
      </c>
      <c r="BG2872" t="s">
        <v>26087</v>
      </c>
      <c r="BH2872" t="s">
        <v>798</v>
      </c>
      <c r="BI2872" t="s">
        <v>26088</v>
      </c>
      <c r="BJ2872" t="s">
        <v>101</v>
      </c>
      <c r="BK2872" t="s">
        <v>6463</v>
      </c>
      <c r="BL2872" t="s">
        <v>7364</v>
      </c>
      <c r="BM2872" t="s">
        <v>11468</v>
      </c>
      <c r="BN2872" t="s">
        <v>23454</v>
      </c>
    </row>
    <row r="2873" spans="1:66" x14ac:dyDescent="0.25">
      <c r="A2873" t="str">
        <f>HYPERLINK("https://elite.finviz.com/quote.ashx?t=MARA&amp;ty=c&amp;p=d&amp;b=1", "MARA")</f>
        <v>MARA</v>
      </c>
      <c r="B2873">
        <v>5</v>
      </c>
      <c r="C2873">
        <v>116.22</v>
      </c>
      <c r="D2873">
        <v>43.39</v>
      </c>
      <c r="E2873" t="s">
        <v>26089</v>
      </c>
      <c r="F2873" t="s">
        <v>67</v>
      </c>
      <c r="G2873" t="s">
        <v>550</v>
      </c>
      <c r="H2873" t="s">
        <v>551</v>
      </c>
      <c r="I2873" t="s">
        <v>70</v>
      </c>
      <c r="J2873" t="s">
        <v>321</v>
      </c>
      <c r="K2873">
        <v>5873.61</v>
      </c>
      <c r="L2873">
        <v>15.85</v>
      </c>
      <c r="M2873" t="s">
        <v>2826</v>
      </c>
      <c r="N2873">
        <v>13429750</v>
      </c>
      <c r="O2873">
        <v>14.2</v>
      </c>
      <c r="R2873">
        <v>7.36</v>
      </c>
      <c r="S2873">
        <v>1.2</v>
      </c>
      <c r="Z2873" t="s">
        <v>164</v>
      </c>
      <c r="AA2873">
        <v>1.1200000000000001</v>
      </c>
      <c r="AE2873" t="s">
        <v>3984</v>
      </c>
      <c r="AF2873" t="s">
        <v>6224</v>
      </c>
      <c r="AG2873" t="s">
        <v>26090</v>
      </c>
      <c r="AH2873" t="s">
        <v>24547</v>
      </c>
      <c r="AI2873" t="s">
        <v>26091</v>
      </c>
      <c r="AJ2873" t="s">
        <v>7285</v>
      </c>
      <c r="AK2873" t="s">
        <v>12684</v>
      </c>
      <c r="AL2873">
        <v>0.54</v>
      </c>
      <c r="AM2873">
        <v>0.54</v>
      </c>
      <c r="AN2873">
        <v>0.55000000000000004</v>
      </c>
      <c r="AO2873" t="s">
        <v>8671</v>
      </c>
      <c r="AP2873" t="s">
        <v>26092</v>
      </c>
      <c r="AQ2873" t="s">
        <v>19596</v>
      </c>
      <c r="AR2873" t="s">
        <v>265</v>
      </c>
      <c r="AS2873" t="s">
        <v>8925</v>
      </c>
      <c r="AT2873" t="s">
        <v>2304</v>
      </c>
      <c r="AU2873" t="s">
        <v>11513</v>
      </c>
      <c r="AV2873" t="s">
        <v>5070</v>
      </c>
      <c r="AW2873" t="s">
        <v>13616</v>
      </c>
      <c r="AX2873" t="s">
        <v>3141</v>
      </c>
      <c r="AY2873" t="s">
        <v>17486</v>
      </c>
      <c r="AZ2873" t="s">
        <v>26093</v>
      </c>
      <c r="BA2873">
        <v>1.93</v>
      </c>
      <c r="BB2873">
        <v>53478.47</v>
      </c>
      <c r="BC2873">
        <v>0.88</v>
      </c>
      <c r="BD2873">
        <v>16.07</v>
      </c>
      <c r="BE2873">
        <v>16.27</v>
      </c>
      <c r="BF2873">
        <v>15.73</v>
      </c>
      <c r="BG2873" t="s">
        <v>26094</v>
      </c>
      <c r="BH2873" t="s">
        <v>12361</v>
      </c>
      <c r="BI2873" t="s">
        <v>26095</v>
      </c>
      <c r="BJ2873" t="s">
        <v>101</v>
      </c>
      <c r="BK2873" t="s">
        <v>5859</v>
      </c>
      <c r="BL2873" t="s">
        <v>5239</v>
      </c>
      <c r="BM2873" t="s">
        <v>2357</v>
      </c>
      <c r="BN2873" t="s">
        <v>23454</v>
      </c>
    </row>
    <row r="2874" spans="1:66" x14ac:dyDescent="0.25">
      <c r="A2874" t="str">
        <f>HYPERLINK("https://elite.finviz.com/quote.ashx?t=TDS&amp;ty=c&amp;p=d&amp;b=1", "TDS")</f>
        <v>TDS</v>
      </c>
      <c r="B2874">
        <v>5</v>
      </c>
      <c r="C2874">
        <v>116.22</v>
      </c>
      <c r="D2874">
        <v>43.41</v>
      </c>
      <c r="E2874" t="s">
        <v>26096</v>
      </c>
      <c r="F2874" t="s">
        <v>67</v>
      </c>
      <c r="G2874" t="s">
        <v>598</v>
      </c>
      <c r="H2874" t="s">
        <v>6147</v>
      </c>
      <c r="I2874" t="s">
        <v>70</v>
      </c>
      <c r="J2874" t="s">
        <v>71</v>
      </c>
      <c r="K2874">
        <v>4071.6</v>
      </c>
      <c r="L2874">
        <v>37.700000000000003</v>
      </c>
      <c r="M2874" t="s">
        <v>4782</v>
      </c>
      <c r="N2874">
        <v>221093</v>
      </c>
      <c r="R2874">
        <v>0.85</v>
      </c>
      <c r="S2874">
        <v>1.1000000000000001</v>
      </c>
      <c r="T2874" t="s">
        <v>2650</v>
      </c>
      <c r="U2874">
        <v>0.16</v>
      </c>
      <c r="V2874" t="s">
        <v>3833</v>
      </c>
      <c r="W2874" t="s">
        <v>26097</v>
      </c>
      <c r="X2874" t="s">
        <v>11305</v>
      </c>
      <c r="Y2874" t="s">
        <v>18084</v>
      </c>
      <c r="AA2874">
        <v>-0.95</v>
      </c>
      <c r="AE2874" t="s">
        <v>10364</v>
      </c>
      <c r="AF2874" t="s">
        <v>5809</v>
      </c>
      <c r="AG2874" t="s">
        <v>8357</v>
      </c>
      <c r="AH2874" t="s">
        <v>10747</v>
      </c>
      <c r="AI2874" t="s">
        <v>26098</v>
      </c>
      <c r="AJ2874" t="s">
        <v>6058</v>
      </c>
      <c r="AK2874" t="s">
        <v>13871</v>
      </c>
      <c r="AL2874">
        <v>1.78</v>
      </c>
      <c r="AM2874">
        <v>1.65</v>
      </c>
      <c r="AN2874">
        <v>1.02</v>
      </c>
      <c r="AO2874" t="s">
        <v>19315</v>
      </c>
      <c r="AP2874" t="s">
        <v>6003</v>
      </c>
      <c r="AQ2874" t="s">
        <v>10568</v>
      </c>
      <c r="AR2874" t="s">
        <v>5420</v>
      </c>
      <c r="AS2874" t="s">
        <v>4154</v>
      </c>
      <c r="AT2874" t="s">
        <v>4688</v>
      </c>
      <c r="AU2874" t="s">
        <v>4367</v>
      </c>
      <c r="AV2874" t="s">
        <v>749</v>
      </c>
      <c r="AW2874" t="s">
        <v>15540</v>
      </c>
      <c r="AX2874" t="s">
        <v>2107</v>
      </c>
      <c r="AY2874" t="s">
        <v>15540</v>
      </c>
      <c r="AZ2874" t="s">
        <v>15348</v>
      </c>
      <c r="BA2874">
        <v>2.33</v>
      </c>
      <c r="BB2874">
        <v>1321.66</v>
      </c>
      <c r="BC2874">
        <v>0.59</v>
      </c>
      <c r="BD2874">
        <v>37.450000000000003</v>
      </c>
      <c r="BE2874">
        <v>38.200000000000003</v>
      </c>
      <c r="BF2874">
        <v>37.5</v>
      </c>
      <c r="BG2874" t="s">
        <v>26099</v>
      </c>
      <c r="BH2874" t="s">
        <v>26100</v>
      </c>
      <c r="BI2874" t="s">
        <v>26101</v>
      </c>
      <c r="BJ2874" t="s">
        <v>101</v>
      </c>
      <c r="BK2874" t="s">
        <v>341</v>
      </c>
      <c r="BL2874" t="s">
        <v>81</v>
      </c>
      <c r="BM2874" t="s">
        <v>15279</v>
      </c>
      <c r="BN2874" t="s">
        <v>23454</v>
      </c>
    </row>
    <row r="2875" spans="1:66" x14ac:dyDescent="0.25">
      <c r="A2875" t="str">
        <f>HYPERLINK("https://elite.finviz.com/quote.ashx?t=NUE&amp;ty=c&amp;p=d&amp;b=1", "NUE")</f>
        <v>NUE</v>
      </c>
      <c r="B2875">
        <v>5</v>
      </c>
      <c r="C2875">
        <v>116.22</v>
      </c>
      <c r="D2875">
        <v>43.41</v>
      </c>
      <c r="E2875" t="s">
        <v>26102</v>
      </c>
      <c r="F2875" t="s">
        <v>195</v>
      </c>
      <c r="G2875" t="s">
        <v>355</v>
      </c>
      <c r="H2875" t="s">
        <v>10220</v>
      </c>
      <c r="I2875" t="s">
        <v>70</v>
      </c>
      <c r="J2875" t="s">
        <v>71</v>
      </c>
      <c r="K2875">
        <v>31439.47</v>
      </c>
      <c r="L2875">
        <v>136.97</v>
      </c>
      <c r="M2875" t="s">
        <v>3487</v>
      </c>
      <c r="N2875">
        <v>204110</v>
      </c>
      <c r="O2875">
        <v>24.73</v>
      </c>
      <c r="P2875">
        <v>12.78</v>
      </c>
      <c r="Q2875">
        <v>1.85</v>
      </c>
      <c r="R2875">
        <v>1.02</v>
      </c>
      <c r="S2875">
        <v>1.55</v>
      </c>
      <c r="T2875" t="s">
        <v>6990</v>
      </c>
      <c r="U2875">
        <v>2.19</v>
      </c>
      <c r="V2875" t="s">
        <v>198</v>
      </c>
      <c r="W2875" t="s">
        <v>3545</v>
      </c>
      <c r="X2875" t="s">
        <v>484</v>
      </c>
      <c r="Y2875" t="s">
        <v>414</v>
      </c>
      <c r="Z2875" t="s">
        <v>10525</v>
      </c>
      <c r="AA2875">
        <v>5.54</v>
      </c>
      <c r="AB2875" t="s">
        <v>11909</v>
      </c>
      <c r="AC2875" t="s">
        <v>5468</v>
      </c>
      <c r="AD2875" t="s">
        <v>1055</v>
      </c>
      <c r="AE2875" t="s">
        <v>1258</v>
      </c>
      <c r="AF2875" t="s">
        <v>2604</v>
      </c>
      <c r="AG2875" t="s">
        <v>713</v>
      </c>
      <c r="AH2875" t="s">
        <v>2523</v>
      </c>
      <c r="AI2875" t="s">
        <v>3757</v>
      </c>
      <c r="AJ2875" t="s">
        <v>4147</v>
      </c>
      <c r="AK2875" t="s">
        <v>17034</v>
      </c>
      <c r="AL2875">
        <v>2.83</v>
      </c>
      <c r="AM2875">
        <v>1.51</v>
      </c>
      <c r="AN2875">
        <v>0.34</v>
      </c>
      <c r="AO2875" t="s">
        <v>6315</v>
      </c>
      <c r="AP2875" t="s">
        <v>234</v>
      </c>
      <c r="AQ2875" t="s">
        <v>2721</v>
      </c>
      <c r="AR2875" t="s">
        <v>3856</v>
      </c>
      <c r="AS2875" t="s">
        <v>4839</v>
      </c>
      <c r="AT2875" t="s">
        <v>4711</v>
      </c>
      <c r="AU2875" t="s">
        <v>1269</v>
      </c>
      <c r="AV2875" t="s">
        <v>4742</v>
      </c>
      <c r="AW2875" t="s">
        <v>8910</v>
      </c>
      <c r="AX2875" t="s">
        <v>3481</v>
      </c>
      <c r="AY2875" t="s">
        <v>12766</v>
      </c>
      <c r="AZ2875" t="s">
        <v>8884</v>
      </c>
      <c r="BA2875">
        <v>1.59</v>
      </c>
      <c r="BB2875">
        <v>1686.32</v>
      </c>
      <c r="BC2875">
        <v>0.43</v>
      </c>
      <c r="BD2875">
        <v>134.76</v>
      </c>
      <c r="BE2875">
        <v>136.97</v>
      </c>
      <c r="BF2875">
        <v>135.32</v>
      </c>
      <c r="BG2875" t="s">
        <v>26103</v>
      </c>
      <c r="BH2875" t="s">
        <v>16750</v>
      </c>
      <c r="BI2875" t="s">
        <v>26104</v>
      </c>
      <c r="BJ2875" t="s">
        <v>101</v>
      </c>
      <c r="BK2875" t="s">
        <v>6460</v>
      </c>
      <c r="BL2875" t="s">
        <v>3228</v>
      </c>
      <c r="BM2875" t="s">
        <v>20059</v>
      </c>
      <c r="BN2875" t="s">
        <v>23454</v>
      </c>
    </row>
    <row r="2876" spans="1:66" x14ac:dyDescent="0.25">
      <c r="A2876" t="str">
        <f>HYPERLINK("https://elite.finviz.com/quote.ashx?t=ADP&amp;ty=c&amp;p=d&amp;b=1", "ADP")</f>
        <v>ADP</v>
      </c>
      <c r="B2876">
        <v>5</v>
      </c>
      <c r="C2876">
        <v>116.22</v>
      </c>
      <c r="D2876">
        <v>43.43</v>
      </c>
      <c r="E2876" t="s">
        <v>26105</v>
      </c>
      <c r="F2876" t="s">
        <v>319</v>
      </c>
      <c r="G2876" t="s">
        <v>108</v>
      </c>
      <c r="H2876" t="s">
        <v>136</v>
      </c>
      <c r="I2876" t="s">
        <v>70</v>
      </c>
      <c r="J2876" t="s">
        <v>321</v>
      </c>
      <c r="K2876">
        <v>117924.27</v>
      </c>
      <c r="L2876">
        <v>291.14</v>
      </c>
      <c r="M2876" t="s">
        <v>3169</v>
      </c>
      <c r="N2876">
        <v>179541</v>
      </c>
      <c r="O2876">
        <v>29.16</v>
      </c>
      <c r="P2876">
        <v>24.29</v>
      </c>
      <c r="Q2876">
        <v>3.08</v>
      </c>
      <c r="R2876">
        <v>5.74</v>
      </c>
      <c r="S2876">
        <v>19.07</v>
      </c>
      <c r="T2876" t="s">
        <v>3916</v>
      </c>
      <c r="U2876">
        <v>6.16</v>
      </c>
      <c r="V2876" t="s">
        <v>2620</v>
      </c>
      <c r="W2876" t="s">
        <v>6122</v>
      </c>
      <c r="X2876" t="s">
        <v>10917</v>
      </c>
      <c r="Y2876" t="s">
        <v>5656</v>
      </c>
      <c r="Z2876" t="s">
        <v>8472</v>
      </c>
      <c r="AA2876">
        <v>9.98</v>
      </c>
      <c r="AB2876" t="s">
        <v>4906</v>
      </c>
      <c r="AC2876" t="s">
        <v>6751</v>
      </c>
      <c r="AD2876" t="s">
        <v>8274</v>
      </c>
      <c r="AE2876" t="s">
        <v>2448</v>
      </c>
      <c r="AF2876" t="s">
        <v>438</v>
      </c>
      <c r="AG2876" t="s">
        <v>2697</v>
      </c>
      <c r="AH2876" t="s">
        <v>262</v>
      </c>
      <c r="AI2876" t="s">
        <v>5692</v>
      </c>
      <c r="AJ2876" t="s">
        <v>10636</v>
      </c>
      <c r="AK2876" t="s">
        <v>26106</v>
      </c>
      <c r="AL2876">
        <v>1.05</v>
      </c>
      <c r="AM2876">
        <v>1.05</v>
      </c>
      <c r="AN2876">
        <v>1.49</v>
      </c>
      <c r="AO2876" t="s">
        <v>9495</v>
      </c>
      <c r="AP2876" t="s">
        <v>7433</v>
      </c>
      <c r="AQ2876" t="s">
        <v>8627</v>
      </c>
      <c r="AR2876" t="s">
        <v>3757</v>
      </c>
      <c r="AS2876" t="s">
        <v>2195</v>
      </c>
      <c r="AT2876" t="s">
        <v>7646</v>
      </c>
      <c r="AU2876" t="s">
        <v>79</v>
      </c>
      <c r="AV2876" t="s">
        <v>2870</v>
      </c>
      <c r="AW2876" t="s">
        <v>3102</v>
      </c>
      <c r="AX2876" t="s">
        <v>911</v>
      </c>
      <c r="AY2876" t="s">
        <v>75</v>
      </c>
      <c r="AZ2876" t="s">
        <v>12450</v>
      </c>
      <c r="BA2876">
        <v>2.83</v>
      </c>
      <c r="BB2876">
        <v>1649.52</v>
      </c>
      <c r="BC2876">
        <v>0.38</v>
      </c>
      <c r="BD2876">
        <v>288.89</v>
      </c>
      <c r="BE2876">
        <v>292.06</v>
      </c>
      <c r="BF2876">
        <v>288.55</v>
      </c>
      <c r="BG2876" t="s">
        <v>26107</v>
      </c>
      <c r="BH2876" t="s">
        <v>75</v>
      </c>
      <c r="BI2876" t="s">
        <v>26108</v>
      </c>
      <c r="BJ2876" t="s">
        <v>101</v>
      </c>
      <c r="BK2876" t="s">
        <v>3897</v>
      </c>
      <c r="BL2876" t="s">
        <v>922</v>
      </c>
      <c r="BM2876" t="s">
        <v>2293</v>
      </c>
      <c r="BN2876" t="s">
        <v>23454</v>
      </c>
    </row>
    <row r="2877" spans="1:66" x14ac:dyDescent="0.25">
      <c r="A2877" t="str">
        <f>HYPERLINK("https://elite.finviz.com/quote.ashx?t=KRG&amp;ty=c&amp;p=d&amp;b=1", "KRG")</f>
        <v>KRG</v>
      </c>
      <c r="B2877">
        <v>5</v>
      </c>
      <c r="C2877">
        <v>116.22</v>
      </c>
      <c r="D2877">
        <v>43.44</v>
      </c>
      <c r="E2877" t="s">
        <v>26109</v>
      </c>
      <c r="F2877" t="s">
        <v>67</v>
      </c>
      <c r="G2877" t="s">
        <v>68</v>
      </c>
      <c r="H2877" t="s">
        <v>160</v>
      </c>
      <c r="I2877" t="s">
        <v>70</v>
      </c>
      <c r="J2877" t="s">
        <v>71</v>
      </c>
      <c r="K2877">
        <v>4834.68</v>
      </c>
      <c r="L2877">
        <v>21.99</v>
      </c>
      <c r="M2877" t="s">
        <v>3752</v>
      </c>
      <c r="N2877">
        <v>113558</v>
      </c>
      <c r="O2877">
        <v>28.03</v>
      </c>
      <c r="P2877">
        <v>68.08</v>
      </c>
      <c r="Q2877">
        <v>0.16</v>
      </c>
      <c r="R2877">
        <v>5.58</v>
      </c>
      <c r="S2877">
        <v>1.46</v>
      </c>
      <c r="T2877" t="s">
        <v>5102</v>
      </c>
      <c r="U2877">
        <v>1.06</v>
      </c>
      <c r="V2877" t="s">
        <v>228</v>
      </c>
      <c r="W2877" t="s">
        <v>464</v>
      </c>
      <c r="X2877" t="s">
        <v>945</v>
      </c>
      <c r="Y2877" t="s">
        <v>3853</v>
      </c>
      <c r="Z2877" t="s">
        <v>26110</v>
      </c>
      <c r="AA2877">
        <v>0.78</v>
      </c>
      <c r="AD2877" t="s">
        <v>26111</v>
      </c>
      <c r="AE2877" t="s">
        <v>926</v>
      </c>
      <c r="AF2877" t="s">
        <v>11033</v>
      </c>
      <c r="AG2877" t="s">
        <v>4075</v>
      </c>
      <c r="AH2877" t="s">
        <v>5055</v>
      </c>
      <c r="AI2877" t="s">
        <v>26112</v>
      </c>
      <c r="AJ2877" t="s">
        <v>7356</v>
      </c>
      <c r="AK2877" t="s">
        <v>11552</v>
      </c>
      <c r="AL2877">
        <v>1.19</v>
      </c>
      <c r="AM2877">
        <v>1.19</v>
      </c>
      <c r="AN2877">
        <v>0.97</v>
      </c>
      <c r="AO2877" t="s">
        <v>12851</v>
      </c>
      <c r="AP2877" t="s">
        <v>12471</v>
      </c>
      <c r="AQ2877" t="s">
        <v>3457</v>
      </c>
      <c r="AR2877" t="s">
        <v>80</v>
      </c>
      <c r="AS2877" t="s">
        <v>4780</v>
      </c>
      <c r="AT2877" t="s">
        <v>1863</v>
      </c>
      <c r="AU2877" t="s">
        <v>4879</v>
      </c>
      <c r="AV2877" t="s">
        <v>3640</v>
      </c>
      <c r="AW2877" t="s">
        <v>5748</v>
      </c>
      <c r="AX2877" t="s">
        <v>6956</v>
      </c>
      <c r="AY2877" t="s">
        <v>5296</v>
      </c>
      <c r="AZ2877" t="s">
        <v>7625</v>
      </c>
      <c r="BA2877">
        <v>2.23</v>
      </c>
      <c r="BB2877">
        <v>1743.53</v>
      </c>
      <c r="BC2877">
        <v>0.23</v>
      </c>
      <c r="BD2877">
        <v>22</v>
      </c>
      <c r="BE2877">
        <v>22.19</v>
      </c>
      <c r="BF2877">
        <v>21.96</v>
      </c>
      <c r="BG2877" t="s">
        <v>26113</v>
      </c>
      <c r="BH2877" t="s">
        <v>26114</v>
      </c>
      <c r="BI2877" t="s">
        <v>26115</v>
      </c>
      <c r="BJ2877" t="s">
        <v>101</v>
      </c>
      <c r="BK2877" t="s">
        <v>6130</v>
      </c>
      <c r="BL2877" t="s">
        <v>4516</v>
      </c>
      <c r="BM2877" t="s">
        <v>8527</v>
      </c>
      <c r="BN2877" t="s">
        <v>23454</v>
      </c>
    </row>
    <row r="2878" spans="1:66" x14ac:dyDescent="0.25">
      <c r="A2878" t="str">
        <f>HYPERLINK("https://elite.finviz.com/quote.ashx?t=GDRX&amp;ty=c&amp;p=d&amp;b=1", "GDRX")</f>
        <v>GDRX</v>
      </c>
      <c r="B2878">
        <v>5</v>
      </c>
      <c r="C2878">
        <v>116.22</v>
      </c>
      <c r="D2878">
        <v>43.45</v>
      </c>
      <c r="E2878" t="s">
        <v>26116</v>
      </c>
      <c r="F2878" t="s">
        <v>107</v>
      </c>
      <c r="G2878" t="s">
        <v>428</v>
      </c>
      <c r="H2878" t="s">
        <v>2075</v>
      </c>
      <c r="I2878" t="s">
        <v>70</v>
      </c>
      <c r="J2878" t="s">
        <v>321</v>
      </c>
      <c r="K2878">
        <v>1384.59</v>
      </c>
      <c r="L2878">
        <v>3.98</v>
      </c>
      <c r="M2878" t="s">
        <v>7780</v>
      </c>
      <c r="N2878">
        <v>323118</v>
      </c>
      <c r="O2878">
        <v>42.94</v>
      </c>
      <c r="P2878">
        <v>8.8000000000000007</v>
      </c>
      <c r="Q2878">
        <v>2.84</v>
      </c>
      <c r="R2878">
        <v>1.73</v>
      </c>
      <c r="S2878">
        <v>2.19</v>
      </c>
      <c r="Z2878" t="s">
        <v>164</v>
      </c>
      <c r="AA2878">
        <v>0.09</v>
      </c>
      <c r="AC2878" t="s">
        <v>3527</v>
      </c>
      <c r="AD2878" t="s">
        <v>9681</v>
      </c>
      <c r="AE2878" t="s">
        <v>170</v>
      </c>
      <c r="AF2878" t="s">
        <v>6151</v>
      </c>
      <c r="AG2878" t="s">
        <v>2470</v>
      </c>
      <c r="AH2878" t="s">
        <v>343</v>
      </c>
      <c r="AI2878" t="s">
        <v>2632</v>
      </c>
      <c r="AJ2878" t="s">
        <v>1249</v>
      </c>
      <c r="AK2878" t="s">
        <v>10648</v>
      </c>
      <c r="AL2878">
        <v>4.21</v>
      </c>
      <c r="AM2878">
        <v>4.21</v>
      </c>
      <c r="AN2878">
        <v>0.85</v>
      </c>
      <c r="AO2878" t="s">
        <v>547</v>
      </c>
      <c r="AP2878" t="s">
        <v>8059</v>
      </c>
      <c r="AQ2878" t="s">
        <v>5497</v>
      </c>
      <c r="AR2878" t="s">
        <v>3343</v>
      </c>
      <c r="AS2878" t="s">
        <v>3433</v>
      </c>
      <c r="AT2878" t="s">
        <v>4636</v>
      </c>
      <c r="AU2878" t="s">
        <v>9240</v>
      </c>
      <c r="AV2878" t="s">
        <v>7454</v>
      </c>
      <c r="AW2878" t="s">
        <v>20551</v>
      </c>
      <c r="AX2878" t="s">
        <v>16934</v>
      </c>
      <c r="AY2878" t="s">
        <v>19725</v>
      </c>
      <c r="AZ2878" t="s">
        <v>16934</v>
      </c>
      <c r="BA2878">
        <v>2.06</v>
      </c>
      <c r="BB2878">
        <v>3078.58</v>
      </c>
      <c r="BC2878">
        <v>0.37</v>
      </c>
      <c r="BD2878">
        <v>3.93</v>
      </c>
      <c r="BE2878">
        <v>4.0199999999999996</v>
      </c>
      <c r="BF2878">
        <v>3.92</v>
      </c>
      <c r="BG2878" t="s">
        <v>26117</v>
      </c>
      <c r="BH2878" t="s">
        <v>26118</v>
      </c>
      <c r="BI2878" t="s">
        <v>16934</v>
      </c>
      <c r="BJ2878" t="s">
        <v>101</v>
      </c>
      <c r="BK2878" t="s">
        <v>25781</v>
      </c>
      <c r="BL2878" t="s">
        <v>23276</v>
      </c>
      <c r="BM2878" t="s">
        <v>26119</v>
      </c>
      <c r="BN2878" t="s">
        <v>23454</v>
      </c>
    </row>
    <row r="2879" spans="1:66" x14ac:dyDescent="0.25">
      <c r="A2879" t="str">
        <f>HYPERLINK("https://elite.finviz.com/quote.ashx?t=GEO&amp;ty=c&amp;p=d&amp;b=1", "GEO")</f>
        <v>GEO</v>
      </c>
      <c r="B2879">
        <v>5</v>
      </c>
      <c r="C2879">
        <v>116.22</v>
      </c>
      <c r="D2879">
        <v>43.46</v>
      </c>
      <c r="E2879" t="s">
        <v>26120</v>
      </c>
      <c r="F2879" t="s">
        <v>67</v>
      </c>
      <c r="G2879" t="s">
        <v>260</v>
      </c>
      <c r="H2879" t="s">
        <v>4162</v>
      </c>
      <c r="I2879" t="s">
        <v>70</v>
      </c>
      <c r="J2879" t="s">
        <v>71</v>
      </c>
      <c r="K2879">
        <v>2968.68</v>
      </c>
      <c r="L2879">
        <v>20.98</v>
      </c>
      <c r="M2879" t="s">
        <v>182</v>
      </c>
      <c r="N2879">
        <v>346380</v>
      </c>
      <c r="O2879">
        <v>32.67</v>
      </c>
      <c r="P2879">
        <v>11.03</v>
      </c>
      <c r="R2879">
        <v>1.21</v>
      </c>
      <c r="S2879">
        <v>2.14</v>
      </c>
      <c r="V2879" t="s">
        <v>26121</v>
      </c>
      <c r="Z2879" t="s">
        <v>164</v>
      </c>
      <c r="AA2879">
        <v>0.64</v>
      </c>
      <c r="AB2879" t="s">
        <v>9103</v>
      </c>
      <c r="AC2879" t="s">
        <v>6643</v>
      </c>
      <c r="AE2879" t="s">
        <v>1279</v>
      </c>
      <c r="AF2879" t="s">
        <v>92</v>
      </c>
      <c r="AG2879" t="s">
        <v>3486</v>
      </c>
      <c r="AH2879" t="s">
        <v>161</v>
      </c>
      <c r="AI2879" t="s">
        <v>10378</v>
      </c>
      <c r="AJ2879" t="s">
        <v>15164</v>
      </c>
      <c r="AK2879" t="s">
        <v>26122</v>
      </c>
      <c r="AL2879">
        <v>0.9</v>
      </c>
      <c r="AM2879">
        <v>0.9</v>
      </c>
      <c r="AN2879">
        <v>1.45</v>
      </c>
      <c r="AO2879" t="s">
        <v>5691</v>
      </c>
      <c r="AP2879" t="s">
        <v>3327</v>
      </c>
      <c r="AQ2879" t="s">
        <v>2494</v>
      </c>
      <c r="AR2879" t="s">
        <v>1933</v>
      </c>
      <c r="AS2879" t="s">
        <v>6770</v>
      </c>
      <c r="AT2879" t="s">
        <v>1863</v>
      </c>
      <c r="AU2879" t="s">
        <v>16493</v>
      </c>
      <c r="AV2879" t="s">
        <v>9677</v>
      </c>
      <c r="AW2879" t="s">
        <v>9211</v>
      </c>
      <c r="AX2879" t="s">
        <v>7090</v>
      </c>
      <c r="AY2879" t="s">
        <v>10814</v>
      </c>
      <c r="AZ2879" t="s">
        <v>22746</v>
      </c>
      <c r="BA2879">
        <v>1</v>
      </c>
      <c r="BB2879">
        <v>3062.51</v>
      </c>
      <c r="BC2879">
        <v>0.4</v>
      </c>
      <c r="BD2879">
        <v>20.92</v>
      </c>
      <c r="BE2879">
        <v>21.36</v>
      </c>
      <c r="BF2879">
        <v>20.95</v>
      </c>
      <c r="BG2879" t="s">
        <v>26123</v>
      </c>
      <c r="BH2879" t="s">
        <v>10814</v>
      </c>
      <c r="BI2879" t="s">
        <v>26124</v>
      </c>
      <c r="BJ2879" t="s">
        <v>101</v>
      </c>
      <c r="BK2879" t="s">
        <v>7672</v>
      </c>
      <c r="BL2879" t="s">
        <v>8397</v>
      </c>
      <c r="BM2879" t="s">
        <v>18691</v>
      </c>
      <c r="BN2879" t="s">
        <v>23454</v>
      </c>
    </row>
    <row r="2880" spans="1:66" x14ac:dyDescent="0.25">
      <c r="A2880" t="str">
        <f>HYPERLINK("https://elite.finviz.com/quote.ashx?t=PBI&amp;ty=c&amp;p=d&amp;b=1", "PBI")</f>
        <v>PBI</v>
      </c>
      <c r="B2880">
        <v>5</v>
      </c>
      <c r="C2880">
        <v>116.22</v>
      </c>
      <c r="D2880">
        <v>43.48</v>
      </c>
      <c r="E2880" t="s">
        <v>26125</v>
      </c>
      <c r="F2880" t="s">
        <v>67</v>
      </c>
      <c r="G2880" t="s">
        <v>260</v>
      </c>
      <c r="H2880" t="s">
        <v>7853</v>
      </c>
      <c r="I2880" t="s">
        <v>70</v>
      </c>
      <c r="J2880" t="s">
        <v>71</v>
      </c>
      <c r="K2880">
        <v>1956.18</v>
      </c>
      <c r="L2880">
        <v>11.36</v>
      </c>
      <c r="M2880" t="s">
        <v>3937</v>
      </c>
      <c r="N2880">
        <v>510945</v>
      </c>
      <c r="O2880">
        <v>20.22</v>
      </c>
      <c r="P2880">
        <v>8.7100000000000009</v>
      </c>
      <c r="R2880">
        <v>0.99</v>
      </c>
      <c r="T2880" t="s">
        <v>679</v>
      </c>
      <c r="U2880">
        <v>0.26</v>
      </c>
      <c r="V2880" t="s">
        <v>893</v>
      </c>
      <c r="W2880" t="s">
        <v>164</v>
      </c>
      <c r="X2880" t="s">
        <v>164</v>
      </c>
      <c r="Y2880" t="s">
        <v>164</v>
      </c>
      <c r="Z2880" t="s">
        <v>26126</v>
      </c>
      <c r="AA2880">
        <v>0.56000000000000005</v>
      </c>
      <c r="AB2880" t="s">
        <v>12705</v>
      </c>
      <c r="AC2880" t="s">
        <v>10364</v>
      </c>
      <c r="AE2880" t="s">
        <v>22548</v>
      </c>
      <c r="AF2880" t="s">
        <v>421</v>
      </c>
      <c r="AG2880" t="s">
        <v>5569</v>
      </c>
      <c r="AH2880" t="s">
        <v>26127</v>
      </c>
      <c r="AI2880" t="s">
        <v>8053</v>
      </c>
      <c r="AJ2880" t="s">
        <v>4150</v>
      </c>
      <c r="AK2880" t="s">
        <v>26128</v>
      </c>
      <c r="AL2880">
        <v>0.76</v>
      </c>
      <c r="AM2880">
        <v>0.7</v>
      </c>
      <c r="AO2880" t="s">
        <v>5862</v>
      </c>
      <c r="AP2880" t="s">
        <v>1843</v>
      </c>
      <c r="AQ2880" t="s">
        <v>3958</v>
      </c>
      <c r="AR2880" t="s">
        <v>2496</v>
      </c>
      <c r="AS2880" t="s">
        <v>4873</v>
      </c>
      <c r="AT2880" t="s">
        <v>9087</v>
      </c>
      <c r="AU2880" t="s">
        <v>9022</v>
      </c>
      <c r="AV2880" t="s">
        <v>12145</v>
      </c>
      <c r="AW2880" t="s">
        <v>3261</v>
      </c>
      <c r="AX2880" t="s">
        <v>1751</v>
      </c>
      <c r="AY2880" t="s">
        <v>3261</v>
      </c>
      <c r="AZ2880" t="s">
        <v>8022</v>
      </c>
      <c r="BA2880">
        <v>3</v>
      </c>
      <c r="BB2880">
        <v>3420.26</v>
      </c>
      <c r="BC2880">
        <v>0.53</v>
      </c>
      <c r="BD2880">
        <v>11.53</v>
      </c>
      <c r="BE2880">
        <v>11.61</v>
      </c>
      <c r="BF2880">
        <v>11.33</v>
      </c>
      <c r="BG2880" t="s">
        <v>26129</v>
      </c>
      <c r="BH2880" t="s">
        <v>14447</v>
      </c>
      <c r="BI2880" t="s">
        <v>26130</v>
      </c>
      <c r="BJ2880" t="s">
        <v>101</v>
      </c>
      <c r="BK2880" t="s">
        <v>5554</v>
      </c>
      <c r="BL2880" t="s">
        <v>12265</v>
      </c>
      <c r="BM2880" t="s">
        <v>17923</v>
      </c>
      <c r="BN2880" t="s">
        <v>23454</v>
      </c>
    </row>
    <row r="2881" spans="1:66" x14ac:dyDescent="0.25">
      <c r="A2881" t="str">
        <f>HYPERLINK("https://elite.finviz.com/quote.ashx?t=HRB&amp;ty=c&amp;p=d&amp;b=1", "HRB")</f>
        <v>HRB</v>
      </c>
      <c r="B2881">
        <v>5</v>
      </c>
      <c r="C2881">
        <v>116.22</v>
      </c>
      <c r="D2881">
        <v>43.49</v>
      </c>
      <c r="E2881" t="s">
        <v>26131</v>
      </c>
      <c r="F2881" t="s">
        <v>107</v>
      </c>
      <c r="G2881" t="s">
        <v>813</v>
      </c>
      <c r="H2881" t="s">
        <v>10177</v>
      </c>
      <c r="I2881" t="s">
        <v>70</v>
      </c>
      <c r="J2881" t="s">
        <v>71</v>
      </c>
      <c r="K2881">
        <v>6682.64</v>
      </c>
      <c r="L2881">
        <v>49.89</v>
      </c>
      <c r="M2881" t="s">
        <v>2650</v>
      </c>
      <c r="N2881">
        <v>125523</v>
      </c>
      <c r="O2881">
        <v>11.15</v>
      </c>
      <c r="P2881">
        <v>9.1</v>
      </c>
      <c r="Q2881">
        <v>0.87</v>
      </c>
      <c r="R2881">
        <v>1.78</v>
      </c>
      <c r="S2881">
        <v>75.17</v>
      </c>
      <c r="T2881" t="s">
        <v>6121</v>
      </c>
      <c r="U2881">
        <v>1.54</v>
      </c>
      <c r="V2881" t="s">
        <v>6223</v>
      </c>
      <c r="W2881" t="s">
        <v>9096</v>
      </c>
      <c r="X2881" t="s">
        <v>3526</v>
      </c>
      <c r="Y2881" t="s">
        <v>3566</v>
      </c>
      <c r="Z2881" t="s">
        <v>10113</v>
      </c>
      <c r="AA2881">
        <v>4.4800000000000004</v>
      </c>
      <c r="AB2881" t="s">
        <v>2514</v>
      </c>
      <c r="AD2881" t="s">
        <v>7435</v>
      </c>
      <c r="AE2881" t="s">
        <v>2841</v>
      </c>
      <c r="AF2881" t="s">
        <v>3456</v>
      </c>
      <c r="AG2881" t="s">
        <v>2884</v>
      </c>
      <c r="AH2881" t="s">
        <v>4104</v>
      </c>
      <c r="AI2881" t="s">
        <v>17136</v>
      </c>
      <c r="AJ2881" t="s">
        <v>2673</v>
      </c>
      <c r="AK2881" t="s">
        <v>16772</v>
      </c>
      <c r="AL2881">
        <v>0.9</v>
      </c>
      <c r="AM2881">
        <v>0.9</v>
      </c>
      <c r="AN2881">
        <v>22.78</v>
      </c>
      <c r="AO2881" t="s">
        <v>20122</v>
      </c>
      <c r="AP2881" t="s">
        <v>1953</v>
      </c>
      <c r="AQ2881" t="s">
        <v>16940</v>
      </c>
      <c r="AR2881" t="s">
        <v>2195</v>
      </c>
      <c r="AS2881" t="s">
        <v>2876</v>
      </c>
      <c r="AT2881" t="s">
        <v>7089</v>
      </c>
      <c r="AU2881" t="s">
        <v>1580</v>
      </c>
      <c r="AV2881" t="s">
        <v>6227</v>
      </c>
      <c r="AW2881" t="s">
        <v>2226</v>
      </c>
      <c r="AX2881" t="s">
        <v>4686</v>
      </c>
      <c r="AY2881" t="s">
        <v>11363</v>
      </c>
      <c r="AZ2881" t="s">
        <v>4686</v>
      </c>
      <c r="BA2881">
        <v>3</v>
      </c>
      <c r="BB2881">
        <v>1590.18</v>
      </c>
      <c r="BC2881">
        <v>0.28000000000000003</v>
      </c>
      <c r="BD2881">
        <v>49.28</v>
      </c>
      <c r="BE2881">
        <v>49.97</v>
      </c>
      <c r="BF2881">
        <v>49.47</v>
      </c>
      <c r="BG2881" t="s">
        <v>26132</v>
      </c>
      <c r="BH2881" t="s">
        <v>24339</v>
      </c>
      <c r="BI2881" t="s">
        <v>26133</v>
      </c>
      <c r="BJ2881" t="s">
        <v>101</v>
      </c>
      <c r="BK2881" t="s">
        <v>20212</v>
      </c>
      <c r="BL2881" t="s">
        <v>6757</v>
      </c>
      <c r="BM2881" t="s">
        <v>13824</v>
      </c>
      <c r="BN2881" t="s">
        <v>23454</v>
      </c>
    </row>
    <row r="2882" spans="1:66" x14ac:dyDescent="0.25">
      <c r="A2882" t="str">
        <f>HYPERLINK("https://elite.finviz.com/quote.ashx?t=TXN&amp;ty=c&amp;p=d&amp;b=1", "TXN")</f>
        <v>TXN</v>
      </c>
      <c r="B2882">
        <v>5</v>
      </c>
      <c r="C2882">
        <v>116.22</v>
      </c>
      <c r="D2882">
        <v>43.53</v>
      </c>
      <c r="E2882" t="s">
        <v>26134</v>
      </c>
      <c r="F2882" t="s">
        <v>319</v>
      </c>
      <c r="G2882" t="s">
        <v>108</v>
      </c>
      <c r="H2882" t="s">
        <v>1808</v>
      </c>
      <c r="I2882" t="s">
        <v>70</v>
      </c>
      <c r="J2882" t="s">
        <v>321</v>
      </c>
      <c r="K2882">
        <v>166763.03</v>
      </c>
      <c r="L2882">
        <v>183.43</v>
      </c>
      <c r="M2882" t="s">
        <v>6245</v>
      </c>
      <c r="N2882">
        <v>1895585</v>
      </c>
      <c r="O2882">
        <v>33.53</v>
      </c>
      <c r="P2882">
        <v>27.51</v>
      </c>
      <c r="Q2882">
        <v>2.3199999999999998</v>
      </c>
      <c r="R2882">
        <v>10</v>
      </c>
      <c r="S2882">
        <v>10.17</v>
      </c>
      <c r="T2882" t="s">
        <v>6118</v>
      </c>
      <c r="U2882">
        <v>5.44</v>
      </c>
      <c r="V2882" t="s">
        <v>10250</v>
      </c>
      <c r="W2882" t="s">
        <v>9228</v>
      </c>
      <c r="X2882" t="s">
        <v>2450</v>
      </c>
      <c r="Y2882" t="s">
        <v>6981</v>
      </c>
      <c r="Z2882" t="s">
        <v>26135</v>
      </c>
      <c r="AA2882">
        <v>5.47</v>
      </c>
      <c r="AB2882" t="s">
        <v>26136</v>
      </c>
      <c r="AC2882" t="s">
        <v>4955</v>
      </c>
      <c r="AD2882" t="s">
        <v>5699</v>
      </c>
      <c r="AE2882" t="s">
        <v>3325</v>
      </c>
      <c r="AF2882" t="s">
        <v>6469</v>
      </c>
      <c r="AG2882" t="s">
        <v>2274</v>
      </c>
      <c r="AH2882" t="s">
        <v>976</v>
      </c>
      <c r="AI2882" t="s">
        <v>4125</v>
      </c>
      <c r="AJ2882" t="s">
        <v>2638</v>
      </c>
      <c r="AK2882" t="s">
        <v>5136</v>
      </c>
      <c r="AL2882">
        <v>5.81</v>
      </c>
      <c r="AM2882">
        <v>3.88</v>
      </c>
      <c r="AN2882">
        <v>0.86</v>
      </c>
      <c r="AO2882" t="s">
        <v>26137</v>
      </c>
      <c r="AP2882" t="s">
        <v>9951</v>
      </c>
      <c r="AQ2882" t="s">
        <v>19503</v>
      </c>
      <c r="AR2882" t="s">
        <v>5258</v>
      </c>
      <c r="AS2882" t="s">
        <v>6975</v>
      </c>
      <c r="AT2882" t="s">
        <v>5388</v>
      </c>
      <c r="AU2882" t="s">
        <v>3124</v>
      </c>
      <c r="AV2882" t="s">
        <v>1119</v>
      </c>
      <c r="AW2882" t="s">
        <v>7844</v>
      </c>
      <c r="AX2882" t="s">
        <v>3602</v>
      </c>
      <c r="AY2882" t="s">
        <v>26138</v>
      </c>
      <c r="AZ2882" t="s">
        <v>6771</v>
      </c>
      <c r="BA2882">
        <v>2.38</v>
      </c>
      <c r="BB2882">
        <v>6966.01</v>
      </c>
      <c r="BC2882">
        <v>0.96</v>
      </c>
      <c r="BD2882">
        <v>182.04</v>
      </c>
      <c r="BE2882">
        <v>187.29</v>
      </c>
      <c r="BF2882">
        <v>183.07</v>
      </c>
      <c r="BG2882" t="s">
        <v>26139</v>
      </c>
      <c r="BH2882" t="s">
        <v>26138</v>
      </c>
      <c r="BI2882" t="s">
        <v>26140</v>
      </c>
      <c r="BJ2882" t="s">
        <v>101</v>
      </c>
      <c r="BK2882" t="s">
        <v>2536</v>
      </c>
      <c r="BL2882" t="s">
        <v>5116</v>
      </c>
      <c r="BM2882" t="s">
        <v>5853</v>
      </c>
      <c r="BN2882" t="s">
        <v>23454</v>
      </c>
    </row>
    <row r="2883" spans="1:66" x14ac:dyDescent="0.25">
      <c r="A2883" t="str">
        <f>HYPERLINK("https://elite.finviz.com/quote.ashx?t=ENPH&amp;ty=c&amp;p=d&amp;b=1", "ENPH")</f>
        <v>ENPH</v>
      </c>
      <c r="B2883">
        <v>5</v>
      </c>
      <c r="C2883">
        <v>116.22</v>
      </c>
      <c r="D2883">
        <v>43.54</v>
      </c>
      <c r="E2883" t="s">
        <v>26141</v>
      </c>
      <c r="F2883" t="s">
        <v>107</v>
      </c>
      <c r="G2883" t="s">
        <v>108</v>
      </c>
      <c r="H2883" t="s">
        <v>2924</v>
      </c>
      <c r="I2883" t="s">
        <v>70</v>
      </c>
      <c r="J2883" t="s">
        <v>321</v>
      </c>
      <c r="K2883">
        <v>4686.1099999999997</v>
      </c>
      <c r="L2883">
        <v>35.840000000000003</v>
      </c>
      <c r="M2883" t="s">
        <v>5426</v>
      </c>
      <c r="N2883">
        <v>1999991</v>
      </c>
      <c r="O2883">
        <v>28.23</v>
      </c>
      <c r="P2883">
        <v>15.25</v>
      </c>
      <c r="Q2883">
        <v>10.46</v>
      </c>
      <c r="R2883">
        <v>3.16</v>
      </c>
      <c r="S2883">
        <v>5.32</v>
      </c>
      <c r="Z2883" t="s">
        <v>164</v>
      </c>
      <c r="AA2883">
        <v>1.27</v>
      </c>
      <c r="AB2883" t="s">
        <v>5707</v>
      </c>
      <c r="AC2883" t="s">
        <v>11605</v>
      </c>
      <c r="AD2883" t="s">
        <v>648</v>
      </c>
      <c r="AE2883" t="s">
        <v>5026</v>
      </c>
      <c r="AF2883" t="s">
        <v>4634</v>
      </c>
      <c r="AG2883" t="s">
        <v>7192</v>
      </c>
      <c r="AH2883" t="s">
        <v>2381</v>
      </c>
      <c r="AI2883" t="s">
        <v>6810</v>
      </c>
      <c r="AJ2883" t="s">
        <v>4794</v>
      </c>
      <c r="AK2883" t="s">
        <v>25238</v>
      </c>
      <c r="AL2883">
        <v>1.97</v>
      </c>
      <c r="AM2883">
        <v>1.82</v>
      </c>
      <c r="AN2883">
        <v>1.4</v>
      </c>
      <c r="AO2883" t="s">
        <v>9404</v>
      </c>
      <c r="AP2883" t="s">
        <v>293</v>
      </c>
      <c r="AQ2883" t="s">
        <v>3327</v>
      </c>
      <c r="AR2883" t="s">
        <v>7682</v>
      </c>
      <c r="AS2883" t="s">
        <v>2385</v>
      </c>
      <c r="AT2883" t="s">
        <v>8004</v>
      </c>
      <c r="AU2883" t="s">
        <v>2132</v>
      </c>
      <c r="AV2883" t="s">
        <v>15129</v>
      </c>
      <c r="AW2883" t="s">
        <v>4368</v>
      </c>
      <c r="AX2883" t="s">
        <v>7789</v>
      </c>
      <c r="AY2883" t="s">
        <v>26142</v>
      </c>
      <c r="AZ2883" t="s">
        <v>7789</v>
      </c>
      <c r="BA2883">
        <v>3.06</v>
      </c>
      <c r="BB2883">
        <v>8918.59</v>
      </c>
      <c r="BC2883">
        <v>0.79</v>
      </c>
      <c r="BD2883">
        <v>37.08</v>
      </c>
      <c r="BE2883">
        <v>36.97</v>
      </c>
      <c r="BF2883">
        <v>35.56</v>
      </c>
      <c r="BG2883" t="s">
        <v>26143</v>
      </c>
      <c r="BH2883" t="s">
        <v>23185</v>
      </c>
      <c r="BI2883" t="s">
        <v>26144</v>
      </c>
      <c r="BJ2883" t="s">
        <v>101</v>
      </c>
      <c r="BK2883" t="s">
        <v>8729</v>
      </c>
      <c r="BL2883" t="s">
        <v>26145</v>
      </c>
      <c r="BM2883" t="s">
        <v>26146</v>
      </c>
      <c r="BN2883" t="s">
        <v>23454</v>
      </c>
    </row>
    <row r="2884" spans="1:66" x14ac:dyDescent="0.25">
      <c r="A2884" t="str">
        <f>HYPERLINK("https://elite.finviz.com/quote.ashx?t=BENF&amp;ty=c&amp;p=d&amp;b=1", "BENF")</f>
        <v>BENF</v>
      </c>
      <c r="B2884">
        <v>5</v>
      </c>
      <c r="C2884">
        <v>116.22</v>
      </c>
      <c r="D2884">
        <v>43.55</v>
      </c>
      <c r="E2884" t="s">
        <v>26147</v>
      </c>
      <c r="F2884" t="s">
        <v>107</v>
      </c>
      <c r="G2884" t="s">
        <v>550</v>
      </c>
      <c r="H2884" t="s">
        <v>2597</v>
      </c>
      <c r="I2884" t="s">
        <v>70</v>
      </c>
      <c r="J2884" t="s">
        <v>321</v>
      </c>
      <c r="K2884">
        <v>3.02</v>
      </c>
      <c r="L2884">
        <v>0.35</v>
      </c>
      <c r="M2884" t="s">
        <v>3463</v>
      </c>
      <c r="N2884">
        <v>40757</v>
      </c>
      <c r="R2884">
        <v>2.88</v>
      </c>
      <c r="AA2884">
        <v>-19.62</v>
      </c>
      <c r="AE2884" t="s">
        <v>22150</v>
      </c>
      <c r="AH2884" t="s">
        <v>26148</v>
      </c>
      <c r="AI2884" t="s">
        <v>26149</v>
      </c>
      <c r="AJ2884" t="s">
        <v>164</v>
      </c>
      <c r="AK2884" t="s">
        <v>10498</v>
      </c>
      <c r="AL2884">
        <v>0.04</v>
      </c>
      <c r="AM2884">
        <v>0.04</v>
      </c>
      <c r="AO2884" t="s">
        <v>26150</v>
      </c>
      <c r="AP2884" t="s">
        <v>26151</v>
      </c>
      <c r="AQ2884" t="s">
        <v>26152</v>
      </c>
      <c r="AR2884" t="s">
        <v>863</v>
      </c>
      <c r="AS2884" t="s">
        <v>3789</v>
      </c>
      <c r="AT2884" t="s">
        <v>25230</v>
      </c>
      <c r="AU2884" t="s">
        <v>8710</v>
      </c>
      <c r="AV2884" t="s">
        <v>18055</v>
      </c>
      <c r="AW2884" t="s">
        <v>21445</v>
      </c>
      <c r="AX2884" t="s">
        <v>12574</v>
      </c>
      <c r="AY2884" t="s">
        <v>2703</v>
      </c>
      <c r="AZ2884" t="s">
        <v>26153</v>
      </c>
      <c r="BB2884">
        <v>3474.66</v>
      </c>
      <c r="BC2884">
        <v>0.04</v>
      </c>
      <c r="BD2884">
        <v>0.35</v>
      </c>
      <c r="BE2884">
        <v>0.35</v>
      </c>
      <c r="BF2884">
        <v>0.34</v>
      </c>
      <c r="BG2884" t="s">
        <v>26154</v>
      </c>
      <c r="BH2884" t="s">
        <v>5233</v>
      </c>
      <c r="BI2884" t="s">
        <v>26153</v>
      </c>
      <c r="BJ2884" t="s">
        <v>101</v>
      </c>
      <c r="BK2884" t="s">
        <v>2225</v>
      </c>
      <c r="BL2884" t="s">
        <v>975</v>
      </c>
      <c r="BM2884" t="s">
        <v>19819</v>
      </c>
      <c r="BN2884" t="s">
        <v>23454</v>
      </c>
    </row>
    <row r="2885" spans="1:66" x14ac:dyDescent="0.25">
      <c r="A2885" t="str">
        <f>HYPERLINK("https://elite.finviz.com/quote.ashx?t=UAA&amp;ty=c&amp;p=d&amp;b=1", "UAA")</f>
        <v>UAA</v>
      </c>
      <c r="B2885">
        <v>5</v>
      </c>
      <c r="C2885">
        <v>116.22</v>
      </c>
      <c r="D2885">
        <v>43.57</v>
      </c>
      <c r="E2885" t="s">
        <v>14498</v>
      </c>
      <c r="F2885" t="s">
        <v>107</v>
      </c>
      <c r="G2885" t="s">
        <v>813</v>
      </c>
      <c r="H2885" t="s">
        <v>7446</v>
      </c>
      <c r="I2885" t="s">
        <v>70</v>
      </c>
      <c r="J2885" t="s">
        <v>71</v>
      </c>
      <c r="K2885">
        <v>2094.9499999999998</v>
      </c>
      <c r="L2885">
        <v>4.9400000000000004</v>
      </c>
      <c r="M2885" t="s">
        <v>6726</v>
      </c>
      <c r="N2885">
        <v>6149507</v>
      </c>
      <c r="O2885">
        <v>21.42</v>
      </c>
      <c r="P2885">
        <v>22.53</v>
      </c>
      <c r="Q2885">
        <v>4.67</v>
      </c>
      <c r="R2885">
        <v>0.41</v>
      </c>
      <c r="S2885">
        <v>1.1299999999999999</v>
      </c>
      <c r="AA2885">
        <v>0.23</v>
      </c>
      <c r="AD2885" t="s">
        <v>4908</v>
      </c>
      <c r="AE2885" t="s">
        <v>6195</v>
      </c>
      <c r="AF2885" t="s">
        <v>3322</v>
      </c>
      <c r="AG2885" t="s">
        <v>386</v>
      </c>
      <c r="AH2885" t="s">
        <v>14499</v>
      </c>
      <c r="AI2885" t="s">
        <v>2914</v>
      </c>
      <c r="AJ2885" t="s">
        <v>2275</v>
      </c>
      <c r="AK2885" t="s">
        <v>734</v>
      </c>
      <c r="AL2885">
        <v>1.53</v>
      </c>
      <c r="AM2885">
        <v>0.93</v>
      </c>
      <c r="AN2885">
        <v>0.89</v>
      </c>
      <c r="AO2885" t="s">
        <v>14501</v>
      </c>
      <c r="AP2885" t="s">
        <v>2200</v>
      </c>
      <c r="AQ2885" t="s">
        <v>5258</v>
      </c>
      <c r="AR2885" t="s">
        <v>2273</v>
      </c>
      <c r="AS2885" t="s">
        <v>5132</v>
      </c>
      <c r="AT2885" t="s">
        <v>2213</v>
      </c>
      <c r="AU2885" t="s">
        <v>1443</v>
      </c>
      <c r="AV2885" t="s">
        <v>26155</v>
      </c>
      <c r="AW2885" t="s">
        <v>423</v>
      </c>
      <c r="AX2885" t="s">
        <v>3874</v>
      </c>
      <c r="AY2885" t="s">
        <v>26156</v>
      </c>
      <c r="AZ2885" t="s">
        <v>3874</v>
      </c>
      <c r="BA2885">
        <v>2.92</v>
      </c>
      <c r="BB2885">
        <v>12879.89</v>
      </c>
      <c r="BC2885">
        <v>1.68</v>
      </c>
      <c r="BD2885">
        <v>4.7699999999999996</v>
      </c>
      <c r="BE2885">
        <v>5.01</v>
      </c>
      <c r="BF2885">
        <v>4.79</v>
      </c>
      <c r="BG2885" t="s">
        <v>26157</v>
      </c>
      <c r="BH2885" t="s">
        <v>26158</v>
      </c>
      <c r="BI2885" t="s">
        <v>26159</v>
      </c>
      <c r="BJ2885" t="s">
        <v>101</v>
      </c>
      <c r="BK2885" t="s">
        <v>7448</v>
      </c>
      <c r="BL2885" t="s">
        <v>6686</v>
      </c>
      <c r="BM2885" t="s">
        <v>26160</v>
      </c>
      <c r="BN2885" t="s">
        <v>23454</v>
      </c>
    </row>
    <row r="2886" spans="1:66" x14ac:dyDescent="0.25">
      <c r="A2886" t="str">
        <f>HYPERLINK("https://elite.finviz.com/quote.ashx?t=BBIO&amp;ty=c&amp;p=d&amp;b=1", "BBIO")</f>
        <v>BBIO</v>
      </c>
      <c r="B2886">
        <v>5</v>
      </c>
      <c r="C2886">
        <v>116.22</v>
      </c>
      <c r="D2886">
        <v>43.58</v>
      </c>
      <c r="E2886" t="s">
        <v>26161</v>
      </c>
      <c r="F2886" t="s">
        <v>67</v>
      </c>
      <c r="G2886" t="s">
        <v>428</v>
      </c>
      <c r="H2886" t="s">
        <v>429</v>
      </c>
      <c r="I2886" t="s">
        <v>70</v>
      </c>
      <c r="J2886" t="s">
        <v>321</v>
      </c>
      <c r="K2886">
        <v>9409.32</v>
      </c>
      <c r="L2886">
        <v>49.22</v>
      </c>
      <c r="M2886" t="s">
        <v>914</v>
      </c>
      <c r="N2886">
        <v>307216</v>
      </c>
      <c r="R2886">
        <v>39.9</v>
      </c>
      <c r="AA2886">
        <v>-4.09</v>
      </c>
      <c r="AB2886" t="s">
        <v>2010</v>
      </c>
      <c r="AC2886" t="s">
        <v>1175</v>
      </c>
      <c r="AD2886" t="s">
        <v>26162</v>
      </c>
      <c r="AE2886" t="s">
        <v>417</v>
      </c>
      <c r="AF2886" t="s">
        <v>22313</v>
      </c>
      <c r="AG2886" t="s">
        <v>4895</v>
      </c>
      <c r="AH2886" t="s">
        <v>26163</v>
      </c>
      <c r="AI2886" t="s">
        <v>17574</v>
      </c>
      <c r="AJ2886" t="s">
        <v>18982</v>
      </c>
      <c r="AK2886" t="s">
        <v>26164</v>
      </c>
      <c r="AL2886">
        <v>5.19</v>
      </c>
      <c r="AM2886">
        <v>5.08</v>
      </c>
      <c r="AO2886" t="s">
        <v>26165</v>
      </c>
      <c r="AP2886" t="s">
        <v>26166</v>
      </c>
      <c r="AQ2886" t="s">
        <v>26167</v>
      </c>
      <c r="AR2886" t="s">
        <v>4873</v>
      </c>
      <c r="AS2886" t="s">
        <v>316</v>
      </c>
      <c r="AT2886" t="s">
        <v>309</v>
      </c>
      <c r="AU2886" t="s">
        <v>4273</v>
      </c>
      <c r="AV2886" t="s">
        <v>9223</v>
      </c>
      <c r="AW2886" t="s">
        <v>5640</v>
      </c>
      <c r="AX2886" t="s">
        <v>12437</v>
      </c>
      <c r="AY2886" t="s">
        <v>5640</v>
      </c>
      <c r="AZ2886" t="s">
        <v>26168</v>
      </c>
      <c r="BA2886">
        <v>1.2</v>
      </c>
      <c r="BB2886">
        <v>2735.21</v>
      </c>
      <c r="BC2886">
        <v>0.4</v>
      </c>
      <c r="BD2886">
        <v>49</v>
      </c>
      <c r="BE2886">
        <v>49.91</v>
      </c>
      <c r="BF2886">
        <v>48.88</v>
      </c>
      <c r="BG2886" t="s">
        <v>26169</v>
      </c>
      <c r="BH2886" t="s">
        <v>21086</v>
      </c>
      <c r="BI2886" t="s">
        <v>26170</v>
      </c>
      <c r="BJ2886" t="s">
        <v>101</v>
      </c>
      <c r="BK2886" t="s">
        <v>3581</v>
      </c>
      <c r="BL2886" t="s">
        <v>4871</v>
      </c>
      <c r="BM2886" t="s">
        <v>26171</v>
      </c>
      <c r="BN2886" t="s">
        <v>23454</v>
      </c>
    </row>
    <row r="2887" spans="1:66" x14ac:dyDescent="0.25">
      <c r="A2887" t="str">
        <f>HYPERLINK("https://elite.finviz.com/quote.ashx?t=CRCL&amp;ty=c&amp;p=d&amp;b=1", "CRCL")</f>
        <v>CRCL</v>
      </c>
      <c r="B2887">
        <v>5</v>
      </c>
      <c r="C2887">
        <v>116.22</v>
      </c>
      <c r="D2887">
        <v>43.65</v>
      </c>
      <c r="E2887" t="s">
        <v>26172</v>
      </c>
      <c r="F2887" t="s">
        <v>107</v>
      </c>
      <c r="G2887" t="s">
        <v>550</v>
      </c>
      <c r="H2887" t="s">
        <v>551</v>
      </c>
      <c r="I2887" t="s">
        <v>70</v>
      </c>
      <c r="J2887" t="s">
        <v>71</v>
      </c>
      <c r="K2887">
        <v>28736.99</v>
      </c>
      <c r="L2887">
        <v>124.17</v>
      </c>
      <c r="M2887" t="s">
        <v>3388</v>
      </c>
      <c r="N2887">
        <v>2258244</v>
      </c>
      <c r="S2887">
        <v>11.97</v>
      </c>
      <c r="AF2887" t="s">
        <v>15704</v>
      </c>
      <c r="AI2887" t="s">
        <v>26173</v>
      </c>
      <c r="AJ2887" t="s">
        <v>2396</v>
      </c>
      <c r="AK2887" t="s">
        <v>2381</v>
      </c>
      <c r="AL2887">
        <v>1.03</v>
      </c>
      <c r="AM2887">
        <v>1.03</v>
      </c>
      <c r="AN2887">
        <v>0.09</v>
      </c>
      <c r="AR2887" t="s">
        <v>5659</v>
      </c>
      <c r="AS2887" t="s">
        <v>2406</v>
      </c>
      <c r="AT2887" t="s">
        <v>4595</v>
      </c>
      <c r="AU2887" t="s">
        <v>2528</v>
      </c>
      <c r="AV2887" t="s">
        <v>26174</v>
      </c>
      <c r="AW2887" t="s">
        <v>26175</v>
      </c>
      <c r="AX2887" t="s">
        <v>3774</v>
      </c>
      <c r="AY2887" t="s">
        <v>26176</v>
      </c>
      <c r="AZ2887" t="s">
        <v>13502</v>
      </c>
      <c r="BA2887">
        <v>2.81</v>
      </c>
      <c r="BB2887">
        <v>15705.99</v>
      </c>
      <c r="BC2887">
        <v>0.51</v>
      </c>
      <c r="BD2887">
        <v>124.66</v>
      </c>
      <c r="BE2887">
        <v>127.2</v>
      </c>
      <c r="BF2887">
        <v>122.86</v>
      </c>
      <c r="BG2887" t="s">
        <v>26177</v>
      </c>
      <c r="BH2887" t="s">
        <v>26176</v>
      </c>
      <c r="BI2887" t="s">
        <v>13502</v>
      </c>
      <c r="BJ2887" t="s">
        <v>101</v>
      </c>
      <c r="BK2887" t="s">
        <v>26178</v>
      </c>
      <c r="BN2887" t="s">
        <v>23454</v>
      </c>
    </row>
    <row r="2888" spans="1:66" x14ac:dyDescent="0.25">
      <c r="A2888" t="str">
        <f>HYPERLINK("https://elite.finviz.com/quote.ashx?t=IAC&amp;ty=c&amp;p=d&amp;b=1", "IAC")</f>
        <v>IAC</v>
      </c>
      <c r="B2888">
        <v>5</v>
      </c>
      <c r="C2888">
        <v>116.22</v>
      </c>
      <c r="D2888">
        <v>43.66</v>
      </c>
      <c r="E2888" t="s">
        <v>26179</v>
      </c>
      <c r="F2888" t="s">
        <v>107</v>
      </c>
      <c r="G2888" t="s">
        <v>598</v>
      </c>
      <c r="H2888" t="s">
        <v>599</v>
      </c>
      <c r="I2888" t="s">
        <v>70</v>
      </c>
      <c r="J2888" t="s">
        <v>321</v>
      </c>
      <c r="K2888">
        <v>2815.92</v>
      </c>
      <c r="L2888">
        <v>35.130000000000003</v>
      </c>
      <c r="M2888" t="s">
        <v>5420</v>
      </c>
      <c r="N2888">
        <v>138457</v>
      </c>
      <c r="P2888">
        <v>95.82</v>
      </c>
      <c r="R2888">
        <v>0.91</v>
      </c>
      <c r="S2888">
        <v>0.56999999999999995</v>
      </c>
      <c r="AA2888">
        <v>-5.3</v>
      </c>
      <c r="AE2888" t="s">
        <v>12623</v>
      </c>
      <c r="AF2888" t="s">
        <v>4759</v>
      </c>
      <c r="AG2888" t="s">
        <v>6976</v>
      </c>
      <c r="AH2888" t="s">
        <v>26180</v>
      </c>
      <c r="AI2888" t="s">
        <v>26181</v>
      </c>
      <c r="AJ2888" t="s">
        <v>164</v>
      </c>
      <c r="AK2888" t="s">
        <v>9433</v>
      </c>
      <c r="AL2888">
        <v>2.87</v>
      </c>
      <c r="AM2888">
        <v>2.87</v>
      </c>
      <c r="AN2888">
        <v>0.28999999999999998</v>
      </c>
      <c r="AO2888" t="s">
        <v>20653</v>
      </c>
      <c r="AP2888" t="s">
        <v>1091</v>
      </c>
      <c r="AQ2888" t="s">
        <v>19304</v>
      </c>
      <c r="AR2888" t="s">
        <v>4499</v>
      </c>
      <c r="AS2888" t="s">
        <v>5256</v>
      </c>
      <c r="AT2888" t="s">
        <v>4646</v>
      </c>
      <c r="AU2888" t="s">
        <v>5189</v>
      </c>
      <c r="AV2888" t="s">
        <v>2814</v>
      </c>
      <c r="AW2888" t="s">
        <v>10847</v>
      </c>
      <c r="AX2888" t="s">
        <v>9570</v>
      </c>
      <c r="AY2888" t="s">
        <v>14395</v>
      </c>
      <c r="AZ2888" t="s">
        <v>3230</v>
      </c>
      <c r="BA2888">
        <v>1.5</v>
      </c>
      <c r="BB2888">
        <v>1197.83</v>
      </c>
      <c r="BC2888">
        <v>0.41</v>
      </c>
      <c r="BD2888">
        <v>34.4</v>
      </c>
      <c r="BE2888">
        <v>35.19</v>
      </c>
      <c r="BF2888">
        <v>34.46</v>
      </c>
      <c r="BG2888" t="s">
        <v>26182</v>
      </c>
      <c r="BH2888" t="s">
        <v>22514</v>
      </c>
      <c r="BI2888" t="s">
        <v>26183</v>
      </c>
      <c r="BJ2888" t="s">
        <v>101</v>
      </c>
      <c r="BK2888" t="s">
        <v>9019</v>
      </c>
      <c r="BL2888" t="s">
        <v>5934</v>
      </c>
      <c r="BM2888" t="s">
        <v>24566</v>
      </c>
      <c r="BN2888" t="s">
        <v>23454</v>
      </c>
    </row>
    <row r="2889" spans="1:66" x14ac:dyDescent="0.25">
      <c r="A2889" t="str">
        <f>HYPERLINK("https://elite.finviz.com/quote.ashx?t=OUST&amp;ty=c&amp;p=d&amp;b=1", "OUST")</f>
        <v>OUST</v>
      </c>
      <c r="B2889">
        <v>5</v>
      </c>
      <c r="C2889">
        <v>116.22</v>
      </c>
      <c r="D2889">
        <v>43.68</v>
      </c>
      <c r="E2889" t="s">
        <v>26184</v>
      </c>
      <c r="F2889" t="s">
        <v>67</v>
      </c>
      <c r="G2889" t="s">
        <v>108</v>
      </c>
      <c r="H2889" t="s">
        <v>3346</v>
      </c>
      <c r="I2889" t="s">
        <v>70</v>
      </c>
      <c r="J2889" t="s">
        <v>321</v>
      </c>
      <c r="K2889">
        <v>1606.8</v>
      </c>
      <c r="L2889">
        <v>27.79</v>
      </c>
      <c r="M2889" t="s">
        <v>7429</v>
      </c>
      <c r="N2889">
        <v>628509</v>
      </c>
      <c r="R2889">
        <v>12.77</v>
      </c>
      <c r="S2889">
        <v>7.27</v>
      </c>
      <c r="AA2889">
        <v>-1.81</v>
      </c>
      <c r="AB2889" t="s">
        <v>7465</v>
      </c>
      <c r="AC2889" t="s">
        <v>6806</v>
      </c>
      <c r="AD2889" t="s">
        <v>930</v>
      </c>
      <c r="AE2889" t="s">
        <v>19293</v>
      </c>
      <c r="AF2889" t="s">
        <v>26185</v>
      </c>
      <c r="AG2889" t="s">
        <v>14821</v>
      </c>
      <c r="AH2889" t="s">
        <v>14888</v>
      </c>
      <c r="AI2889" t="s">
        <v>3037</v>
      </c>
      <c r="AJ2889" t="s">
        <v>17603</v>
      </c>
      <c r="AK2889" t="s">
        <v>5385</v>
      </c>
      <c r="AL2889">
        <v>3.17</v>
      </c>
      <c r="AM2889">
        <v>3.01</v>
      </c>
      <c r="AN2889">
        <v>0.08</v>
      </c>
      <c r="AO2889" t="s">
        <v>21240</v>
      </c>
      <c r="AP2889" t="s">
        <v>19945</v>
      </c>
      <c r="AQ2889" t="s">
        <v>6112</v>
      </c>
      <c r="AR2889" t="s">
        <v>4223</v>
      </c>
      <c r="AS2889" t="s">
        <v>4518</v>
      </c>
      <c r="AT2889" t="s">
        <v>4243</v>
      </c>
      <c r="AU2889" t="s">
        <v>345</v>
      </c>
      <c r="AV2889" t="s">
        <v>12375</v>
      </c>
      <c r="AW2889" t="s">
        <v>1633</v>
      </c>
      <c r="AX2889" t="s">
        <v>5351</v>
      </c>
      <c r="AY2889" t="s">
        <v>1633</v>
      </c>
      <c r="AZ2889" t="s">
        <v>26186</v>
      </c>
      <c r="BA2889">
        <v>1.33</v>
      </c>
      <c r="BB2889">
        <v>3000.03</v>
      </c>
      <c r="BC2889">
        <v>0.74</v>
      </c>
      <c r="BD2889">
        <v>28.67</v>
      </c>
      <c r="BE2889">
        <v>28.74</v>
      </c>
      <c r="BF2889">
        <v>27.35</v>
      </c>
      <c r="BG2889" t="s">
        <v>26187</v>
      </c>
      <c r="BH2889" t="s">
        <v>26188</v>
      </c>
      <c r="BI2889" t="s">
        <v>26189</v>
      </c>
      <c r="BJ2889" t="s">
        <v>101</v>
      </c>
      <c r="BK2889" t="s">
        <v>6387</v>
      </c>
      <c r="BL2889" t="s">
        <v>26190</v>
      </c>
      <c r="BM2889" t="s">
        <v>26191</v>
      </c>
      <c r="BN2889" t="s">
        <v>23454</v>
      </c>
    </row>
    <row r="2890" spans="1:66" x14ac:dyDescent="0.25">
      <c r="A2890" t="str">
        <f>HYPERLINK("https://elite.finviz.com/quote.ashx?t=NLY&amp;ty=c&amp;p=d&amp;b=1", "NLY")</f>
        <v>NLY</v>
      </c>
      <c r="B2890">
        <v>5</v>
      </c>
      <c r="C2890">
        <v>116.22</v>
      </c>
      <c r="D2890">
        <v>43.72</v>
      </c>
      <c r="E2890" t="s">
        <v>26192</v>
      </c>
      <c r="F2890" t="s">
        <v>107</v>
      </c>
      <c r="G2890" t="s">
        <v>68</v>
      </c>
      <c r="H2890" t="s">
        <v>5566</v>
      </c>
      <c r="I2890" t="s">
        <v>70</v>
      </c>
      <c r="J2890" t="s">
        <v>71</v>
      </c>
      <c r="K2890">
        <v>13470.75</v>
      </c>
      <c r="L2890">
        <v>20.98</v>
      </c>
      <c r="M2890" t="s">
        <v>84</v>
      </c>
      <c r="N2890">
        <v>1617352</v>
      </c>
      <c r="O2890">
        <v>20.88</v>
      </c>
      <c r="P2890">
        <v>7.03</v>
      </c>
      <c r="Q2890">
        <v>8.4499999999999993</v>
      </c>
      <c r="R2890">
        <v>2.08</v>
      </c>
      <c r="S2890">
        <v>1.1399999999999999</v>
      </c>
      <c r="T2890" t="s">
        <v>1777</v>
      </c>
      <c r="U2890">
        <v>2.7</v>
      </c>
      <c r="V2890" t="s">
        <v>198</v>
      </c>
      <c r="W2890" t="s">
        <v>164</v>
      </c>
      <c r="X2890" t="s">
        <v>10517</v>
      </c>
      <c r="Y2890" t="s">
        <v>1851</v>
      </c>
      <c r="Z2890" t="s">
        <v>26193</v>
      </c>
      <c r="AA2890">
        <v>1</v>
      </c>
      <c r="AB2890" t="s">
        <v>10346</v>
      </c>
      <c r="AD2890" t="s">
        <v>2789</v>
      </c>
      <c r="AE2890" t="s">
        <v>1438</v>
      </c>
      <c r="AF2890" t="s">
        <v>26194</v>
      </c>
      <c r="AG2890" t="s">
        <v>7810</v>
      </c>
      <c r="AH2890" t="s">
        <v>11639</v>
      </c>
      <c r="AI2890" t="s">
        <v>180</v>
      </c>
      <c r="AJ2890" t="s">
        <v>7408</v>
      </c>
      <c r="AK2890" t="s">
        <v>14576</v>
      </c>
      <c r="AL2890">
        <v>0.06</v>
      </c>
      <c r="AM2890">
        <v>0.06</v>
      </c>
      <c r="AN2890">
        <v>7.16</v>
      </c>
      <c r="AO2890" t="s">
        <v>26195</v>
      </c>
      <c r="AP2890" t="s">
        <v>7764</v>
      </c>
      <c r="AQ2890" t="s">
        <v>5697</v>
      </c>
      <c r="AR2890" t="s">
        <v>3487</v>
      </c>
      <c r="AS2890" t="s">
        <v>7780</v>
      </c>
      <c r="AT2890" t="s">
        <v>6276</v>
      </c>
      <c r="AU2890" t="s">
        <v>4538</v>
      </c>
      <c r="AV2890" t="s">
        <v>5370</v>
      </c>
      <c r="AW2890" t="s">
        <v>16868</v>
      </c>
      <c r="AX2890" t="s">
        <v>12465</v>
      </c>
      <c r="AY2890" t="s">
        <v>16868</v>
      </c>
      <c r="AZ2890" t="s">
        <v>11857</v>
      </c>
      <c r="BA2890">
        <v>1.62</v>
      </c>
      <c r="BB2890">
        <v>7251.69</v>
      </c>
      <c r="BC2890">
        <v>0.79</v>
      </c>
      <c r="BD2890">
        <v>20.82</v>
      </c>
      <c r="BE2890">
        <v>21.1</v>
      </c>
      <c r="BF2890">
        <v>20.84</v>
      </c>
      <c r="BG2890" t="s">
        <v>26196</v>
      </c>
      <c r="BH2890" t="s">
        <v>26197</v>
      </c>
      <c r="BI2890" t="s">
        <v>6629</v>
      </c>
      <c r="BJ2890" t="s">
        <v>101</v>
      </c>
      <c r="BK2890" t="s">
        <v>3818</v>
      </c>
      <c r="BL2890" t="s">
        <v>148</v>
      </c>
      <c r="BM2890" t="s">
        <v>3856</v>
      </c>
      <c r="BN2890" t="s">
        <v>23454</v>
      </c>
    </row>
    <row r="2891" spans="1:66" x14ac:dyDescent="0.25">
      <c r="A2891" t="str">
        <f>HYPERLINK("https://elite.finviz.com/quote.ashx?t=GRPN&amp;ty=c&amp;p=d&amp;b=1", "GRPN")</f>
        <v>GRPN</v>
      </c>
      <c r="B2891">
        <v>5</v>
      </c>
      <c r="C2891">
        <v>116.22</v>
      </c>
      <c r="D2891">
        <v>43.72</v>
      </c>
      <c r="E2891" t="s">
        <v>26198</v>
      </c>
      <c r="F2891" t="s">
        <v>67</v>
      </c>
      <c r="G2891" t="s">
        <v>598</v>
      </c>
      <c r="H2891" t="s">
        <v>599</v>
      </c>
      <c r="I2891" t="s">
        <v>70</v>
      </c>
      <c r="J2891" t="s">
        <v>321</v>
      </c>
      <c r="K2891">
        <v>949.61</v>
      </c>
      <c r="L2891">
        <v>23.49</v>
      </c>
      <c r="M2891" t="s">
        <v>2170</v>
      </c>
      <c r="N2891">
        <v>235029</v>
      </c>
      <c r="P2891">
        <v>25.35</v>
      </c>
      <c r="R2891">
        <v>1.95</v>
      </c>
      <c r="S2891">
        <v>18.55</v>
      </c>
      <c r="AA2891">
        <v>-0.26</v>
      </c>
      <c r="AC2891" t="s">
        <v>13331</v>
      </c>
      <c r="AE2891" t="s">
        <v>3780</v>
      </c>
      <c r="AF2891" t="s">
        <v>22494</v>
      </c>
      <c r="AG2891" t="s">
        <v>11769</v>
      </c>
      <c r="AH2891" t="s">
        <v>6117</v>
      </c>
      <c r="AI2891" t="s">
        <v>26199</v>
      </c>
      <c r="AJ2891" t="s">
        <v>7709</v>
      </c>
      <c r="AK2891" t="s">
        <v>7893</v>
      </c>
      <c r="AL2891">
        <v>0.95</v>
      </c>
      <c r="AM2891">
        <v>0.95</v>
      </c>
      <c r="AN2891">
        <v>4.9800000000000004</v>
      </c>
      <c r="AO2891" t="s">
        <v>689</v>
      </c>
      <c r="AP2891" t="s">
        <v>2216</v>
      </c>
      <c r="AQ2891" t="s">
        <v>7808</v>
      </c>
      <c r="AR2891" t="s">
        <v>5620</v>
      </c>
      <c r="AS2891" t="s">
        <v>169</v>
      </c>
      <c r="AT2891" t="s">
        <v>3350</v>
      </c>
      <c r="AU2891" t="s">
        <v>9853</v>
      </c>
      <c r="AV2891" t="s">
        <v>9159</v>
      </c>
      <c r="AW2891" t="s">
        <v>16565</v>
      </c>
      <c r="AX2891" t="s">
        <v>9830</v>
      </c>
      <c r="AY2891" t="s">
        <v>16565</v>
      </c>
      <c r="AZ2891" t="s">
        <v>26200</v>
      </c>
      <c r="BA2891">
        <v>2.33</v>
      </c>
      <c r="BB2891">
        <v>1350.69</v>
      </c>
      <c r="BC2891">
        <v>0.61</v>
      </c>
      <c r="BD2891">
        <v>22.56</v>
      </c>
      <c r="BE2891">
        <v>23.5</v>
      </c>
      <c r="BF2891">
        <v>22.22</v>
      </c>
      <c r="BG2891" t="s">
        <v>26201</v>
      </c>
      <c r="BH2891" t="s">
        <v>21777</v>
      </c>
      <c r="BI2891" t="s">
        <v>26202</v>
      </c>
      <c r="BJ2891" t="s">
        <v>101</v>
      </c>
      <c r="BK2891" t="s">
        <v>23405</v>
      </c>
      <c r="BL2891" t="s">
        <v>19542</v>
      </c>
      <c r="BM2891" t="s">
        <v>26203</v>
      </c>
      <c r="BN2891" t="s">
        <v>23454</v>
      </c>
    </row>
    <row r="2892" spans="1:66" x14ac:dyDescent="0.25">
      <c r="A2892" t="str">
        <f>HYPERLINK("https://elite.finviz.com/quote.ashx?t=OUT&amp;ty=c&amp;p=d&amp;b=1", "OUT")</f>
        <v>OUT</v>
      </c>
      <c r="B2892">
        <v>5</v>
      </c>
      <c r="C2892">
        <v>116.22</v>
      </c>
      <c r="D2892">
        <v>43.76</v>
      </c>
      <c r="E2892" t="s">
        <v>26204</v>
      </c>
      <c r="F2892" t="s">
        <v>67</v>
      </c>
      <c r="G2892" t="s">
        <v>68</v>
      </c>
      <c r="H2892" t="s">
        <v>7227</v>
      </c>
      <c r="I2892" t="s">
        <v>70</v>
      </c>
      <c r="J2892" t="s">
        <v>71</v>
      </c>
      <c r="K2892">
        <v>3036.8</v>
      </c>
      <c r="L2892">
        <v>18.16</v>
      </c>
      <c r="M2892" t="s">
        <v>3112</v>
      </c>
      <c r="N2892">
        <v>55672</v>
      </c>
      <c r="O2892">
        <v>29.98</v>
      </c>
      <c r="P2892">
        <v>18.989999999999998</v>
      </c>
      <c r="R2892">
        <v>1.69</v>
      </c>
      <c r="S2892">
        <v>5.63</v>
      </c>
      <c r="T2892" t="s">
        <v>4498</v>
      </c>
      <c r="U2892">
        <v>0.9</v>
      </c>
      <c r="V2892" t="s">
        <v>4548</v>
      </c>
      <c r="W2892" t="s">
        <v>26205</v>
      </c>
      <c r="X2892" t="s">
        <v>2828</v>
      </c>
      <c r="Y2892" t="s">
        <v>5559</v>
      </c>
      <c r="Z2892" t="s">
        <v>1068</v>
      </c>
      <c r="AA2892">
        <v>0.61</v>
      </c>
      <c r="AB2892" t="s">
        <v>26206</v>
      </c>
      <c r="AC2892" t="s">
        <v>2210</v>
      </c>
      <c r="AD2892" t="s">
        <v>15856</v>
      </c>
      <c r="AE2892" t="s">
        <v>2978</v>
      </c>
      <c r="AF2892" t="s">
        <v>3507</v>
      </c>
      <c r="AG2892" t="s">
        <v>4901</v>
      </c>
      <c r="AH2892" t="s">
        <v>4927</v>
      </c>
      <c r="AI2892" t="s">
        <v>727</v>
      </c>
      <c r="AJ2892" t="s">
        <v>26207</v>
      </c>
      <c r="AK2892" t="s">
        <v>26208</v>
      </c>
      <c r="AL2892">
        <v>0.61</v>
      </c>
      <c r="AM2892">
        <v>0.61</v>
      </c>
      <c r="AN2892">
        <v>6.17</v>
      </c>
      <c r="AO2892" t="s">
        <v>10661</v>
      </c>
      <c r="AP2892" t="s">
        <v>5897</v>
      </c>
      <c r="AQ2892" t="s">
        <v>2370</v>
      </c>
      <c r="AR2892" t="s">
        <v>352</v>
      </c>
      <c r="AS2892" t="s">
        <v>1776</v>
      </c>
      <c r="AT2892" t="s">
        <v>4124</v>
      </c>
      <c r="AU2892" t="s">
        <v>745</v>
      </c>
      <c r="AV2892" t="s">
        <v>5969</v>
      </c>
      <c r="AW2892" t="s">
        <v>3869</v>
      </c>
      <c r="AX2892" t="s">
        <v>3076</v>
      </c>
      <c r="AY2892" t="s">
        <v>9889</v>
      </c>
      <c r="AZ2892" t="s">
        <v>24639</v>
      </c>
      <c r="BA2892">
        <v>2.14</v>
      </c>
      <c r="BB2892">
        <v>1528.22</v>
      </c>
      <c r="BC2892">
        <v>0.13</v>
      </c>
      <c r="BD2892">
        <v>18.079999999999998</v>
      </c>
      <c r="BE2892">
        <v>18.239999999999998</v>
      </c>
      <c r="BF2892">
        <v>18.02</v>
      </c>
      <c r="BG2892" t="s">
        <v>26209</v>
      </c>
      <c r="BH2892" t="s">
        <v>9538</v>
      </c>
      <c r="BI2892" t="s">
        <v>26210</v>
      </c>
      <c r="BJ2892" t="s">
        <v>101</v>
      </c>
      <c r="BK2892" t="s">
        <v>1297</v>
      </c>
      <c r="BL2892" t="s">
        <v>8319</v>
      </c>
      <c r="BM2892" t="s">
        <v>3172</v>
      </c>
      <c r="BN2892" t="s">
        <v>23454</v>
      </c>
    </row>
    <row r="2893" spans="1:66" x14ac:dyDescent="0.25">
      <c r="A2893" t="str">
        <f>HYPERLINK("https://elite.finviz.com/quote.ashx?t=AI&amp;ty=c&amp;p=d&amp;b=1", "AI")</f>
        <v>AI</v>
      </c>
      <c r="B2893">
        <v>5</v>
      </c>
      <c r="C2893">
        <v>116.22</v>
      </c>
      <c r="D2893">
        <v>43.88</v>
      </c>
      <c r="E2893" t="s">
        <v>26211</v>
      </c>
      <c r="F2893" t="s">
        <v>67</v>
      </c>
      <c r="G2893" t="s">
        <v>108</v>
      </c>
      <c r="H2893" t="s">
        <v>109</v>
      </c>
      <c r="I2893" t="s">
        <v>70</v>
      </c>
      <c r="J2893" t="s">
        <v>71</v>
      </c>
      <c r="K2893">
        <v>2363.5700000000002</v>
      </c>
      <c r="L2893">
        <v>17.149999999999999</v>
      </c>
      <c r="M2893" t="s">
        <v>241</v>
      </c>
      <c r="N2893">
        <v>1792341</v>
      </c>
      <c r="R2893">
        <v>6.35</v>
      </c>
      <c r="S2893">
        <v>2.94</v>
      </c>
      <c r="AA2893">
        <v>-2.59</v>
      </c>
      <c r="AB2893" t="s">
        <v>11592</v>
      </c>
      <c r="AC2893" t="s">
        <v>3395</v>
      </c>
      <c r="AD2893" t="s">
        <v>17477</v>
      </c>
      <c r="AE2893" t="s">
        <v>7108</v>
      </c>
      <c r="AF2893" t="s">
        <v>7843</v>
      </c>
      <c r="AG2893" t="s">
        <v>1551</v>
      </c>
      <c r="AH2893" t="s">
        <v>6445</v>
      </c>
      <c r="AI2893" t="s">
        <v>26212</v>
      </c>
      <c r="AJ2893" t="s">
        <v>22227</v>
      </c>
      <c r="AK2893" t="s">
        <v>14594</v>
      </c>
      <c r="AL2893">
        <v>7.65</v>
      </c>
      <c r="AM2893">
        <v>7.65</v>
      </c>
      <c r="AN2893">
        <v>0.01</v>
      </c>
      <c r="AO2893" t="s">
        <v>16504</v>
      </c>
      <c r="AP2893" t="s">
        <v>26213</v>
      </c>
      <c r="AQ2893" t="s">
        <v>7357</v>
      </c>
      <c r="AR2893" t="s">
        <v>197</v>
      </c>
      <c r="AS2893" t="s">
        <v>2774</v>
      </c>
      <c r="AT2893" t="s">
        <v>4552</v>
      </c>
      <c r="AU2893" t="s">
        <v>15316</v>
      </c>
      <c r="AV2893" t="s">
        <v>5303</v>
      </c>
      <c r="AW2893" t="s">
        <v>26214</v>
      </c>
      <c r="AX2893" t="s">
        <v>6694</v>
      </c>
      <c r="AY2893" t="s">
        <v>11874</v>
      </c>
      <c r="AZ2893" t="s">
        <v>6694</v>
      </c>
      <c r="BA2893">
        <v>3.44</v>
      </c>
      <c r="BB2893">
        <v>9158.81</v>
      </c>
      <c r="BC2893">
        <v>0.69</v>
      </c>
      <c r="BD2893">
        <v>17.28</v>
      </c>
      <c r="BE2893">
        <v>17.68</v>
      </c>
      <c r="BF2893">
        <v>17.11</v>
      </c>
      <c r="BG2893" t="s">
        <v>26215</v>
      </c>
      <c r="BH2893" t="s">
        <v>26216</v>
      </c>
      <c r="BI2893" t="s">
        <v>26217</v>
      </c>
      <c r="BJ2893" t="s">
        <v>101</v>
      </c>
      <c r="BK2893" t="s">
        <v>2327</v>
      </c>
      <c r="BL2893" t="s">
        <v>16968</v>
      </c>
      <c r="BM2893" t="s">
        <v>10129</v>
      </c>
      <c r="BN2893" t="s">
        <v>23454</v>
      </c>
    </row>
    <row r="2894" spans="1:66" x14ac:dyDescent="0.25">
      <c r="A2894" t="str">
        <f>HYPERLINK("https://elite.finviz.com/quote.ashx?t=DAR&amp;ty=c&amp;p=d&amp;b=1", "DAR")</f>
        <v>DAR</v>
      </c>
      <c r="B2894">
        <v>5</v>
      </c>
      <c r="C2894">
        <v>116.22</v>
      </c>
      <c r="D2894">
        <v>43.88</v>
      </c>
      <c r="E2894" t="s">
        <v>26218</v>
      </c>
      <c r="F2894" t="s">
        <v>107</v>
      </c>
      <c r="G2894" t="s">
        <v>2244</v>
      </c>
      <c r="H2894" t="s">
        <v>3269</v>
      </c>
      <c r="I2894" t="s">
        <v>70</v>
      </c>
      <c r="J2894" t="s">
        <v>71</v>
      </c>
      <c r="K2894">
        <v>4923.53</v>
      </c>
      <c r="L2894">
        <v>31.12</v>
      </c>
      <c r="M2894" t="s">
        <v>11369</v>
      </c>
      <c r="N2894">
        <v>263521</v>
      </c>
      <c r="O2894">
        <v>47.71</v>
      </c>
      <c r="P2894">
        <v>10.49</v>
      </c>
      <c r="Q2894">
        <v>1.66</v>
      </c>
      <c r="R2894">
        <v>0.86</v>
      </c>
      <c r="S2894">
        <v>1.07</v>
      </c>
      <c r="T2894" t="s">
        <v>6156</v>
      </c>
      <c r="Z2894" t="s">
        <v>164</v>
      </c>
      <c r="AA2894">
        <v>0.65</v>
      </c>
      <c r="AB2894" t="s">
        <v>21336</v>
      </c>
      <c r="AC2894" t="s">
        <v>3937</v>
      </c>
      <c r="AD2894" t="s">
        <v>6260</v>
      </c>
      <c r="AE2894" t="s">
        <v>6755</v>
      </c>
      <c r="AF2894" t="s">
        <v>2398</v>
      </c>
      <c r="AG2894" t="s">
        <v>6076</v>
      </c>
      <c r="AH2894" t="s">
        <v>1952</v>
      </c>
      <c r="AI2894" t="s">
        <v>26219</v>
      </c>
      <c r="AJ2894" t="s">
        <v>7782</v>
      </c>
      <c r="AK2894" t="s">
        <v>26220</v>
      </c>
      <c r="AL2894">
        <v>1.5</v>
      </c>
      <c r="AM2894">
        <v>0.89</v>
      </c>
      <c r="AN2894">
        <v>0.91</v>
      </c>
      <c r="AO2894" t="s">
        <v>1476</v>
      </c>
      <c r="AP2894" t="s">
        <v>7971</v>
      </c>
      <c r="AQ2894" t="s">
        <v>4267</v>
      </c>
      <c r="AR2894" t="s">
        <v>2356</v>
      </c>
      <c r="AS2894" t="s">
        <v>5111</v>
      </c>
      <c r="AT2894" t="s">
        <v>3031</v>
      </c>
      <c r="AU2894" t="s">
        <v>2012</v>
      </c>
      <c r="AV2894" t="s">
        <v>6157</v>
      </c>
      <c r="AW2894" t="s">
        <v>7652</v>
      </c>
      <c r="AX2894" t="s">
        <v>197</v>
      </c>
      <c r="AY2894" t="s">
        <v>18163</v>
      </c>
      <c r="AZ2894" t="s">
        <v>7804</v>
      </c>
      <c r="BA2894">
        <v>1.29</v>
      </c>
      <c r="BB2894">
        <v>2455.13</v>
      </c>
      <c r="BC2894">
        <v>0.38</v>
      </c>
      <c r="BD2894">
        <v>31.43</v>
      </c>
      <c r="BE2894">
        <v>31.55</v>
      </c>
      <c r="BF2894">
        <v>31.07</v>
      </c>
      <c r="BG2894" t="s">
        <v>26221</v>
      </c>
      <c r="BH2894" t="s">
        <v>15309</v>
      </c>
      <c r="BI2894" t="s">
        <v>26222</v>
      </c>
      <c r="BJ2894" t="s">
        <v>101</v>
      </c>
      <c r="BK2894" t="s">
        <v>10490</v>
      </c>
      <c r="BL2894" t="s">
        <v>6002</v>
      </c>
      <c r="BM2894" t="s">
        <v>11593</v>
      </c>
      <c r="BN2894" t="s">
        <v>23454</v>
      </c>
    </row>
    <row r="2895" spans="1:66" x14ac:dyDescent="0.25">
      <c r="A2895" t="str">
        <f>HYPERLINK("https://elite.finviz.com/quote.ashx?t=SARO&amp;ty=c&amp;p=d&amp;b=1", "SARO")</f>
        <v>SARO</v>
      </c>
      <c r="B2895">
        <v>5</v>
      </c>
      <c r="C2895">
        <v>116.22</v>
      </c>
      <c r="D2895">
        <v>43.91</v>
      </c>
      <c r="E2895" t="s">
        <v>26223</v>
      </c>
      <c r="F2895" t="s">
        <v>107</v>
      </c>
      <c r="G2895" t="s">
        <v>260</v>
      </c>
      <c r="H2895" t="s">
        <v>4779</v>
      </c>
      <c r="I2895" t="s">
        <v>70</v>
      </c>
      <c r="J2895" t="s">
        <v>71</v>
      </c>
      <c r="K2895">
        <v>8890.2099999999991</v>
      </c>
      <c r="L2895">
        <v>26.58</v>
      </c>
      <c r="M2895" t="s">
        <v>2554</v>
      </c>
      <c r="N2895">
        <v>307927</v>
      </c>
      <c r="O2895">
        <v>66.94</v>
      </c>
      <c r="P2895">
        <v>22.29</v>
      </c>
      <c r="R2895">
        <v>1.58</v>
      </c>
      <c r="S2895">
        <v>3.54</v>
      </c>
      <c r="Z2895" t="s">
        <v>164</v>
      </c>
      <c r="AA2895">
        <v>0.4</v>
      </c>
      <c r="AE2895" t="s">
        <v>2883</v>
      </c>
      <c r="AF2895" t="s">
        <v>5775</v>
      </c>
      <c r="AH2895" t="s">
        <v>4620</v>
      </c>
      <c r="AI2895" t="s">
        <v>11313</v>
      </c>
      <c r="AJ2895" t="s">
        <v>7536</v>
      </c>
      <c r="AK2895" t="s">
        <v>26224</v>
      </c>
      <c r="AL2895">
        <v>2.15</v>
      </c>
      <c r="AM2895">
        <v>1.49</v>
      </c>
      <c r="AN2895">
        <v>1.01</v>
      </c>
      <c r="AO2895" t="s">
        <v>8181</v>
      </c>
      <c r="AP2895" t="s">
        <v>10542</v>
      </c>
      <c r="AQ2895" t="s">
        <v>4600</v>
      </c>
      <c r="AR2895" t="s">
        <v>1391</v>
      </c>
      <c r="AS2895" t="s">
        <v>2742</v>
      </c>
      <c r="AT2895" t="s">
        <v>5895</v>
      </c>
      <c r="AU2895" t="s">
        <v>9087</v>
      </c>
      <c r="AV2895" t="s">
        <v>4168</v>
      </c>
      <c r="AW2895" t="s">
        <v>10666</v>
      </c>
      <c r="AX2895" t="s">
        <v>911</v>
      </c>
      <c r="AY2895" t="s">
        <v>11193</v>
      </c>
      <c r="AZ2895" t="s">
        <v>7375</v>
      </c>
      <c r="BA2895">
        <v>1.7</v>
      </c>
      <c r="BB2895">
        <v>1907.19</v>
      </c>
      <c r="BC2895">
        <v>0.56999999999999995</v>
      </c>
      <c r="BD2895">
        <v>26.21</v>
      </c>
      <c r="BE2895">
        <v>26.99</v>
      </c>
      <c r="BF2895">
        <v>26.39</v>
      </c>
      <c r="BG2895" t="s">
        <v>26225</v>
      </c>
      <c r="BH2895" t="s">
        <v>11193</v>
      </c>
      <c r="BI2895" t="s">
        <v>7375</v>
      </c>
      <c r="BJ2895" t="s">
        <v>101</v>
      </c>
      <c r="BK2895" t="s">
        <v>13771</v>
      </c>
      <c r="BL2895" t="s">
        <v>9711</v>
      </c>
      <c r="BN2895" t="s">
        <v>23454</v>
      </c>
    </row>
    <row r="2896" spans="1:66" x14ac:dyDescent="0.25">
      <c r="A2896" t="str">
        <f>HYPERLINK("https://elite.finviz.com/quote.ashx?t=TMHC&amp;ty=c&amp;p=d&amp;b=1", "TMHC")</f>
        <v>TMHC</v>
      </c>
      <c r="B2896">
        <v>5</v>
      </c>
      <c r="C2896">
        <v>116.22</v>
      </c>
      <c r="D2896">
        <v>43.93</v>
      </c>
      <c r="E2896" t="s">
        <v>26226</v>
      </c>
      <c r="F2896" t="s">
        <v>67</v>
      </c>
      <c r="G2896" t="s">
        <v>813</v>
      </c>
      <c r="H2896" t="s">
        <v>5054</v>
      </c>
      <c r="I2896" t="s">
        <v>70</v>
      </c>
      <c r="J2896" t="s">
        <v>71</v>
      </c>
      <c r="K2896">
        <v>6506.35</v>
      </c>
      <c r="L2896">
        <v>65.819999999999993</v>
      </c>
      <c r="M2896" t="s">
        <v>1837</v>
      </c>
      <c r="N2896">
        <v>81152</v>
      </c>
      <c r="O2896">
        <v>7.6</v>
      </c>
      <c r="P2896">
        <v>8.6</v>
      </c>
      <c r="Q2896">
        <v>1.23</v>
      </c>
      <c r="R2896">
        <v>0.77</v>
      </c>
      <c r="S2896">
        <v>1.08</v>
      </c>
      <c r="Z2896" t="s">
        <v>164</v>
      </c>
      <c r="AA2896">
        <v>8.66</v>
      </c>
      <c r="AB2896" t="s">
        <v>11564</v>
      </c>
      <c r="AC2896" t="s">
        <v>19337</v>
      </c>
      <c r="AD2896" t="s">
        <v>2839</v>
      </c>
      <c r="AE2896" t="s">
        <v>7033</v>
      </c>
      <c r="AF2896" t="s">
        <v>5425</v>
      </c>
      <c r="AG2896" t="s">
        <v>6923</v>
      </c>
      <c r="AH2896" t="s">
        <v>1129</v>
      </c>
      <c r="AI2896" t="s">
        <v>2965</v>
      </c>
      <c r="AJ2896" t="s">
        <v>5686</v>
      </c>
      <c r="AK2896" t="s">
        <v>20699</v>
      </c>
      <c r="AL2896">
        <v>6.63</v>
      </c>
      <c r="AM2896">
        <v>0.53</v>
      </c>
      <c r="AN2896">
        <v>0.36</v>
      </c>
      <c r="AO2896" t="s">
        <v>5039</v>
      </c>
      <c r="AP2896" t="s">
        <v>6201</v>
      </c>
      <c r="AQ2896" t="s">
        <v>5841</v>
      </c>
      <c r="AR2896" t="s">
        <v>2643</v>
      </c>
      <c r="AS2896" t="s">
        <v>6430</v>
      </c>
      <c r="AT2896" t="s">
        <v>4289</v>
      </c>
      <c r="AU2896" t="s">
        <v>2331</v>
      </c>
      <c r="AV2896" t="s">
        <v>2196</v>
      </c>
      <c r="AW2896" t="s">
        <v>4478</v>
      </c>
      <c r="AX2896" t="s">
        <v>7216</v>
      </c>
      <c r="AY2896" t="s">
        <v>6700</v>
      </c>
      <c r="AZ2896" t="s">
        <v>12500</v>
      </c>
      <c r="BA2896">
        <v>1.64</v>
      </c>
      <c r="BB2896">
        <v>1222.9100000000001</v>
      </c>
      <c r="BC2896">
        <v>0.23</v>
      </c>
      <c r="BD2896">
        <v>65.11</v>
      </c>
      <c r="BE2896">
        <v>66.069999999999993</v>
      </c>
      <c r="BF2896">
        <v>65.28</v>
      </c>
      <c r="BG2896" t="s">
        <v>26227</v>
      </c>
      <c r="BH2896" t="s">
        <v>6700</v>
      </c>
      <c r="BI2896" t="s">
        <v>26228</v>
      </c>
      <c r="BJ2896" t="s">
        <v>101</v>
      </c>
      <c r="BK2896" t="s">
        <v>699</v>
      </c>
      <c r="BL2896" t="s">
        <v>5847</v>
      </c>
      <c r="BM2896" t="s">
        <v>6693</v>
      </c>
      <c r="BN2896" t="s">
        <v>23454</v>
      </c>
    </row>
    <row r="2897" spans="1:66" x14ac:dyDescent="0.25">
      <c r="A2897" t="str">
        <f>HYPERLINK("https://elite.finviz.com/quote.ashx?t=SATL&amp;ty=c&amp;p=d&amp;b=1", "SATL")</f>
        <v>SATL</v>
      </c>
      <c r="B2897">
        <v>5</v>
      </c>
      <c r="C2897">
        <v>116.22</v>
      </c>
      <c r="D2897">
        <v>43.93</v>
      </c>
      <c r="E2897" t="s">
        <v>26229</v>
      </c>
      <c r="F2897" t="s">
        <v>67</v>
      </c>
      <c r="G2897" t="s">
        <v>260</v>
      </c>
      <c r="H2897" t="s">
        <v>4779</v>
      </c>
      <c r="I2897" t="s">
        <v>70</v>
      </c>
      <c r="J2897" t="s">
        <v>321</v>
      </c>
      <c r="K2897">
        <v>361.13</v>
      </c>
      <c r="L2897">
        <v>3.42</v>
      </c>
      <c r="M2897" t="s">
        <v>3925</v>
      </c>
      <c r="N2897">
        <v>798398</v>
      </c>
      <c r="R2897">
        <v>28.06</v>
      </c>
      <c r="AA2897">
        <v>-1.28</v>
      </c>
      <c r="AB2897" t="s">
        <v>8912</v>
      </c>
      <c r="AC2897" t="s">
        <v>10725</v>
      </c>
      <c r="AF2897" t="s">
        <v>2194</v>
      </c>
      <c r="AH2897" t="s">
        <v>26230</v>
      </c>
      <c r="AJ2897" t="s">
        <v>7867</v>
      </c>
      <c r="AK2897" t="s">
        <v>2524</v>
      </c>
      <c r="AL2897">
        <v>0.98</v>
      </c>
      <c r="AM2897">
        <v>0.98</v>
      </c>
      <c r="AO2897" t="s">
        <v>9580</v>
      </c>
      <c r="AP2897" t="s">
        <v>26231</v>
      </c>
      <c r="AQ2897" t="s">
        <v>26232</v>
      </c>
      <c r="AR2897" t="s">
        <v>1090</v>
      </c>
      <c r="AS2897" t="s">
        <v>5025</v>
      </c>
      <c r="AT2897" t="s">
        <v>15594</v>
      </c>
      <c r="AU2897" t="s">
        <v>3114</v>
      </c>
      <c r="AV2897" t="s">
        <v>12014</v>
      </c>
      <c r="AW2897" t="s">
        <v>2480</v>
      </c>
      <c r="AX2897" t="s">
        <v>7616</v>
      </c>
      <c r="AY2897" t="s">
        <v>26233</v>
      </c>
      <c r="AZ2897" t="s">
        <v>26234</v>
      </c>
      <c r="BB2897">
        <v>1730.02</v>
      </c>
      <c r="BC2897">
        <v>1.63</v>
      </c>
      <c r="BD2897">
        <v>3.36</v>
      </c>
      <c r="BE2897">
        <v>3.48</v>
      </c>
      <c r="BF2897">
        <v>3.38</v>
      </c>
      <c r="BG2897" t="s">
        <v>26235</v>
      </c>
      <c r="BH2897" t="s">
        <v>26236</v>
      </c>
      <c r="BI2897" t="s">
        <v>26237</v>
      </c>
      <c r="BJ2897" t="s">
        <v>101</v>
      </c>
      <c r="BK2897" t="s">
        <v>16335</v>
      </c>
      <c r="BL2897" t="s">
        <v>26238</v>
      </c>
      <c r="BM2897" t="s">
        <v>26239</v>
      </c>
      <c r="BN2897" t="s">
        <v>23454</v>
      </c>
    </row>
    <row r="2898" spans="1:66" x14ac:dyDescent="0.25">
      <c r="A2898" t="str">
        <f>HYPERLINK("https://elite.finviz.com/quote.ashx?t=SNPS&amp;ty=c&amp;p=d&amp;b=1", "SNPS")</f>
        <v>SNPS</v>
      </c>
      <c r="B2898">
        <v>5</v>
      </c>
      <c r="C2898">
        <v>116.22</v>
      </c>
      <c r="D2898">
        <v>43.97</v>
      </c>
      <c r="E2898" t="s">
        <v>26240</v>
      </c>
      <c r="F2898" t="s">
        <v>319</v>
      </c>
      <c r="G2898" t="s">
        <v>108</v>
      </c>
      <c r="H2898" t="s">
        <v>109</v>
      </c>
      <c r="I2898" t="s">
        <v>70</v>
      </c>
      <c r="J2898" t="s">
        <v>321</v>
      </c>
      <c r="K2898">
        <v>90193.99</v>
      </c>
      <c r="L2898">
        <v>485.57</v>
      </c>
      <c r="M2898" t="s">
        <v>124</v>
      </c>
      <c r="N2898">
        <v>833364</v>
      </c>
      <c r="O2898">
        <v>38.020000000000003</v>
      </c>
      <c r="P2898">
        <v>34.49</v>
      </c>
      <c r="Q2898">
        <v>3.94</v>
      </c>
      <c r="R2898">
        <v>14.03</v>
      </c>
      <c r="S2898">
        <v>3.26</v>
      </c>
      <c r="Z2898" t="s">
        <v>164</v>
      </c>
      <c r="AA2898">
        <v>12.77</v>
      </c>
      <c r="AB2898" t="s">
        <v>1555</v>
      </c>
      <c r="AC2898" t="s">
        <v>1266</v>
      </c>
      <c r="AD2898" t="s">
        <v>127</v>
      </c>
      <c r="AE2898" t="s">
        <v>8013</v>
      </c>
      <c r="AF2898" t="s">
        <v>7298</v>
      </c>
      <c r="AG2898" t="s">
        <v>2905</v>
      </c>
      <c r="AH2898" t="s">
        <v>8814</v>
      </c>
      <c r="AI2898" t="s">
        <v>3995</v>
      </c>
      <c r="AJ2898" t="s">
        <v>997</v>
      </c>
      <c r="AK2898" t="s">
        <v>6240</v>
      </c>
      <c r="AL2898">
        <v>1.62</v>
      </c>
      <c r="AM2898">
        <v>1.51</v>
      </c>
      <c r="AN2898">
        <v>0.55000000000000004</v>
      </c>
      <c r="AO2898" t="s">
        <v>19986</v>
      </c>
      <c r="AP2898" t="s">
        <v>12584</v>
      </c>
      <c r="AQ2898" t="s">
        <v>4721</v>
      </c>
      <c r="AR2898" t="s">
        <v>204</v>
      </c>
      <c r="AS2898" t="s">
        <v>5026</v>
      </c>
      <c r="AT2898" t="s">
        <v>8109</v>
      </c>
      <c r="AU2898" t="s">
        <v>14833</v>
      </c>
      <c r="AV2898" t="s">
        <v>4078</v>
      </c>
      <c r="AW2898" t="s">
        <v>17345</v>
      </c>
      <c r="AX2898" t="s">
        <v>18942</v>
      </c>
      <c r="AY2898" t="s">
        <v>17345</v>
      </c>
      <c r="AZ2898" t="s">
        <v>16790</v>
      </c>
      <c r="BA2898">
        <v>1.48</v>
      </c>
      <c r="BB2898">
        <v>2697.88</v>
      </c>
      <c r="BC2898">
        <v>1.0900000000000001</v>
      </c>
      <c r="BD2898">
        <v>487.2</v>
      </c>
      <c r="BE2898">
        <v>493</v>
      </c>
      <c r="BF2898">
        <v>476.08</v>
      </c>
      <c r="BG2898" t="s">
        <v>26241</v>
      </c>
      <c r="BH2898" t="s">
        <v>17345</v>
      </c>
      <c r="BI2898" t="s">
        <v>26242</v>
      </c>
      <c r="BJ2898" t="s">
        <v>101</v>
      </c>
      <c r="BK2898" t="s">
        <v>12575</v>
      </c>
      <c r="BL2898" t="s">
        <v>1822</v>
      </c>
      <c r="BM2898" t="s">
        <v>842</v>
      </c>
      <c r="BN2898" t="s">
        <v>23454</v>
      </c>
    </row>
    <row r="2899" spans="1:66" x14ac:dyDescent="0.25">
      <c r="A2899" t="str">
        <f>HYPERLINK("https://elite.finviz.com/quote.ashx?t=FATE&amp;ty=c&amp;p=d&amp;b=1", "FATE")</f>
        <v>FATE</v>
      </c>
      <c r="B2899">
        <v>5</v>
      </c>
      <c r="C2899">
        <v>116.22</v>
      </c>
      <c r="D2899">
        <v>43.98</v>
      </c>
      <c r="E2899" t="s">
        <v>26243</v>
      </c>
      <c r="F2899" t="s">
        <v>67</v>
      </c>
      <c r="G2899" t="s">
        <v>428</v>
      </c>
      <c r="H2899" t="s">
        <v>429</v>
      </c>
      <c r="I2899" t="s">
        <v>70</v>
      </c>
      <c r="J2899" t="s">
        <v>321</v>
      </c>
      <c r="K2899">
        <v>110.66</v>
      </c>
      <c r="L2899">
        <v>0.96</v>
      </c>
      <c r="M2899" t="s">
        <v>8402</v>
      </c>
      <c r="N2899">
        <v>319491</v>
      </c>
      <c r="R2899">
        <v>13.06</v>
      </c>
      <c r="S2899">
        <v>0.42</v>
      </c>
      <c r="AA2899">
        <v>-1.45</v>
      </c>
      <c r="AB2899" t="s">
        <v>4728</v>
      </c>
      <c r="AC2899" t="s">
        <v>2617</v>
      </c>
      <c r="AD2899" t="s">
        <v>4532</v>
      </c>
      <c r="AE2899" t="s">
        <v>15536</v>
      </c>
      <c r="AF2899" t="s">
        <v>6605</v>
      </c>
      <c r="AG2899" t="s">
        <v>3450</v>
      </c>
      <c r="AH2899" t="s">
        <v>24077</v>
      </c>
      <c r="AI2899" t="s">
        <v>1005</v>
      </c>
      <c r="AJ2899" t="s">
        <v>2486</v>
      </c>
      <c r="AK2899" t="s">
        <v>4942</v>
      </c>
      <c r="AL2899">
        <v>8.0399999999999991</v>
      </c>
      <c r="AM2899">
        <v>8.0399999999999991</v>
      </c>
      <c r="AN2899">
        <v>0.31</v>
      </c>
      <c r="AO2899" t="s">
        <v>26244</v>
      </c>
      <c r="AP2899" t="s">
        <v>26245</v>
      </c>
      <c r="AQ2899" t="s">
        <v>26246</v>
      </c>
      <c r="AR2899" t="s">
        <v>1204</v>
      </c>
      <c r="AS2899" t="s">
        <v>3115</v>
      </c>
      <c r="AT2899" t="s">
        <v>4316</v>
      </c>
      <c r="AU2899" t="s">
        <v>11333</v>
      </c>
      <c r="AV2899" t="s">
        <v>26247</v>
      </c>
      <c r="AW2899" t="s">
        <v>26248</v>
      </c>
      <c r="AX2899" t="s">
        <v>2123</v>
      </c>
      <c r="AY2899" t="s">
        <v>26249</v>
      </c>
      <c r="AZ2899" t="s">
        <v>1911</v>
      </c>
      <c r="BA2899">
        <v>2.25</v>
      </c>
      <c r="BB2899">
        <v>1492.06</v>
      </c>
      <c r="BC2899">
        <v>0.76</v>
      </c>
      <c r="BD2899">
        <v>0.97</v>
      </c>
      <c r="BE2899">
        <v>0.99</v>
      </c>
      <c r="BF2899">
        <v>0.95</v>
      </c>
      <c r="BG2899" t="s">
        <v>26250</v>
      </c>
      <c r="BH2899" t="s">
        <v>21065</v>
      </c>
      <c r="BI2899" t="s">
        <v>1911</v>
      </c>
      <c r="BJ2899" t="s">
        <v>101</v>
      </c>
      <c r="BK2899" t="s">
        <v>8182</v>
      </c>
      <c r="BL2899" t="s">
        <v>2584</v>
      </c>
      <c r="BM2899" t="s">
        <v>26251</v>
      </c>
      <c r="BN2899" t="s">
        <v>23454</v>
      </c>
    </row>
    <row r="2900" spans="1:66" x14ac:dyDescent="0.25">
      <c r="A2900" t="str">
        <f>HYPERLINK("https://elite.finviz.com/quote.ashx?t=EMR&amp;ty=c&amp;p=d&amp;b=1", "EMR")</f>
        <v>EMR</v>
      </c>
      <c r="B2900">
        <v>5</v>
      </c>
      <c r="C2900">
        <v>116.22</v>
      </c>
      <c r="D2900">
        <v>44</v>
      </c>
      <c r="E2900" t="s">
        <v>26252</v>
      </c>
      <c r="F2900" t="s">
        <v>195</v>
      </c>
      <c r="G2900" t="s">
        <v>260</v>
      </c>
      <c r="H2900" t="s">
        <v>261</v>
      </c>
      <c r="I2900" t="s">
        <v>70</v>
      </c>
      <c r="J2900" t="s">
        <v>71</v>
      </c>
      <c r="K2900">
        <v>73442.58</v>
      </c>
      <c r="L2900">
        <v>130.49</v>
      </c>
      <c r="M2900" t="s">
        <v>2641</v>
      </c>
      <c r="N2900">
        <v>346247</v>
      </c>
      <c r="O2900">
        <v>28.03</v>
      </c>
      <c r="P2900">
        <v>19.940000000000001</v>
      </c>
      <c r="Q2900">
        <v>3.14</v>
      </c>
      <c r="R2900">
        <v>4.13</v>
      </c>
      <c r="S2900">
        <v>3.7</v>
      </c>
      <c r="T2900" t="s">
        <v>7423</v>
      </c>
      <c r="U2900">
        <v>2.11</v>
      </c>
      <c r="V2900" t="s">
        <v>3046</v>
      </c>
      <c r="W2900" t="s">
        <v>4759</v>
      </c>
      <c r="X2900" t="s">
        <v>2509</v>
      </c>
      <c r="Y2900" t="s">
        <v>5058</v>
      </c>
      <c r="Z2900" t="s">
        <v>19516</v>
      </c>
      <c r="AA2900">
        <v>4.66</v>
      </c>
      <c r="AB2900" t="s">
        <v>1727</v>
      </c>
      <c r="AC2900" t="s">
        <v>2950</v>
      </c>
      <c r="AD2900" t="s">
        <v>4193</v>
      </c>
      <c r="AE2900" t="s">
        <v>9228</v>
      </c>
      <c r="AF2900" t="s">
        <v>8789</v>
      </c>
      <c r="AG2900" t="s">
        <v>1722</v>
      </c>
      <c r="AH2900" t="s">
        <v>3334</v>
      </c>
      <c r="AI2900" t="s">
        <v>3169</v>
      </c>
      <c r="AJ2900" t="s">
        <v>345</v>
      </c>
      <c r="AK2900" t="s">
        <v>5505</v>
      </c>
      <c r="AL2900">
        <v>0.85</v>
      </c>
      <c r="AM2900">
        <v>0.63</v>
      </c>
      <c r="AN2900">
        <v>0.75</v>
      </c>
      <c r="AO2900" t="s">
        <v>4452</v>
      </c>
      <c r="AP2900" t="s">
        <v>12209</v>
      </c>
      <c r="AQ2900" t="s">
        <v>18834</v>
      </c>
      <c r="AR2900" t="s">
        <v>7423</v>
      </c>
      <c r="AS2900" t="s">
        <v>2087</v>
      </c>
      <c r="AT2900" t="s">
        <v>1510</v>
      </c>
      <c r="AU2900" t="s">
        <v>14499</v>
      </c>
      <c r="AV2900" t="s">
        <v>2744</v>
      </c>
      <c r="AW2900" t="s">
        <v>2982</v>
      </c>
      <c r="AX2900" t="s">
        <v>7682</v>
      </c>
      <c r="AY2900" t="s">
        <v>2982</v>
      </c>
      <c r="AZ2900" t="s">
        <v>8761</v>
      </c>
      <c r="BA2900">
        <v>1.71</v>
      </c>
      <c r="BB2900">
        <v>3163.43</v>
      </c>
      <c r="BC2900">
        <v>0.39</v>
      </c>
      <c r="BD2900">
        <v>130.11000000000001</v>
      </c>
      <c r="BE2900">
        <v>131.04</v>
      </c>
      <c r="BF2900">
        <v>130.16999999999999</v>
      </c>
      <c r="BG2900" t="s">
        <v>26253</v>
      </c>
      <c r="BH2900" t="s">
        <v>2982</v>
      </c>
      <c r="BI2900" t="s">
        <v>26254</v>
      </c>
      <c r="BJ2900" t="s">
        <v>101</v>
      </c>
      <c r="BK2900" t="s">
        <v>3559</v>
      </c>
      <c r="BL2900" t="s">
        <v>5119</v>
      </c>
      <c r="BM2900" t="s">
        <v>18594</v>
      </c>
      <c r="BN2900" t="s">
        <v>23454</v>
      </c>
    </row>
    <row r="2901" spans="1:66" x14ac:dyDescent="0.25">
      <c r="A2901" t="str">
        <f>HYPERLINK("https://elite.finviz.com/quote.ashx?t=TWO&amp;ty=c&amp;p=d&amp;b=1", "TWO")</f>
        <v>TWO</v>
      </c>
      <c r="B2901">
        <v>5</v>
      </c>
      <c r="C2901">
        <v>116.22</v>
      </c>
      <c r="D2901">
        <v>44.01</v>
      </c>
      <c r="E2901" t="s">
        <v>26255</v>
      </c>
      <c r="F2901" t="s">
        <v>67</v>
      </c>
      <c r="G2901" t="s">
        <v>68</v>
      </c>
      <c r="H2901" t="s">
        <v>5566</v>
      </c>
      <c r="I2901" t="s">
        <v>70</v>
      </c>
      <c r="J2901" t="s">
        <v>71</v>
      </c>
      <c r="K2901">
        <v>1024.3599999999999</v>
      </c>
      <c r="L2901">
        <v>9.84</v>
      </c>
      <c r="M2901" t="s">
        <v>4266</v>
      </c>
      <c r="N2901">
        <v>290518</v>
      </c>
      <c r="P2901">
        <v>6.87</v>
      </c>
      <c r="R2901">
        <v>1.51</v>
      </c>
      <c r="S2901">
        <v>0.8</v>
      </c>
      <c r="T2901" t="s">
        <v>4250</v>
      </c>
      <c r="U2901">
        <v>1.59</v>
      </c>
      <c r="V2901" t="s">
        <v>4105</v>
      </c>
      <c r="W2901" t="s">
        <v>1613</v>
      </c>
      <c r="X2901" t="s">
        <v>15316</v>
      </c>
      <c r="Y2901" t="s">
        <v>26256</v>
      </c>
      <c r="Z2901" t="s">
        <v>20166</v>
      </c>
      <c r="AA2901">
        <v>-3.55</v>
      </c>
      <c r="AB2901" t="s">
        <v>821</v>
      </c>
      <c r="AC2901" t="s">
        <v>8970</v>
      </c>
      <c r="AD2901" t="s">
        <v>18143</v>
      </c>
      <c r="AE2901" t="s">
        <v>4357</v>
      </c>
      <c r="AG2901" t="s">
        <v>2504</v>
      </c>
      <c r="AH2901" t="s">
        <v>14097</v>
      </c>
      <c r="AI2901" t="s">
        <v>24115</v>
      </c>
      <c r="AJ2901" t="s">
        <v>4155</v>
      </c>
      <c r="AK2901" t="s">
        <v>4434</v>
      </c>
      <c r="AL2901">
        <v>0.12</v>
      </c>
      <c r="AM2901">
        <v>0.12</v>
      </c>
      <c r="AN2901">
        <v>5.4</v>
      </c>
      <c r="AO2901" t="s">
        <v>10279</v>
      </c>
      <c r="AP2901" t="s">
        <v>26257</v>
      </c>
      <c r="AQ2901" t="s">
        <v>26258</v>
      </c>
      <c r="AR2901" t="s">
        <v>192</v>
      </c>
      <c r="AS2901" t="s">
        <v>2424</v>
      </c>
      <c r="AT2901" t="s">
        <v>4501</v>
      </c>
      <c r="AU2901" t="s">
        <v>2372</v>
      </c>
      <c r="AV2901" t="s">
        <v>9230</v>
      </c>
      <c r="AW2901" t="s">
        <v>11795</v>
      </c>
      <c r="AX2901" t="s">
        <v>3244</v>
      </c>
      <c r="AY2901" t="s">
        <v>13307</v>
      </c>
      <c r="AZ2901" t="s">
        <v>3244</v>
      </c>
      <c r="BA2901">
        <v>2.11</v>
      </c>
      <c r="BB2901">
        <v>2069.83</v>
      </c>
      <c r="BC2901">
        <v>0.49</v>
      </c>
      <c r="BD2901">
        <v>9.81</v>
      </c>
      <c r="BE2901">
        <v>9.89</v>
      </c>
      <c r="BF2901">
        <v>9.76</v>
      </c>
      <c r="BG2901" t="s">
        <v>26259</v>
      </c>
      <c r="BH2901" t="s">
        <v>17759</v>
      </c>
      <c r="BI2901" t="s">
        <v>8564</v>
      </c>
      <c r="BJ2901" t="s">
        <v>101</v>
      </c>
      <c r="BK2901" t="s">
        <v>1529</v>
      </c>
      <c r="BL2901" t="s">
        <v>14196</v>
      </c>
      <c r="BM2901" t="s">
        <v>19597</v>
      </c>
      <c r="BN2901" t="s">
        <v>23454</v>
      </c>
    </row>
    <row r="2902" spans="1:66" x14ac:dyDescent="0.25">
      <c r="A2902" t="str">
        <f>HYPERLINK("https://elite.finviz.com/quote.ashx?t=PCG&amp;ty=c&amp;p=d&amp;b=1", "PCG")</f>
        <v>PCG</v>
      </c>
      <c r="B2902">
        <v>5</v>
      </c>
      <c r="C2902">
        <v>116.22</v>
      </c>
      <c r="D2902">
        <v>44.02</v>
      </c>
      <c r="E2902" t="s">
        <v>26260</v>
      </c>
      <c r="F2902" t="s">
        <v>195</v>
      </c>
      <c r="G2902" t="s">
        <v>287</v>
      </c>
      <c r="H2902" t="s">
        <v>676</v>
      </c>
      <c r="I2902" t="s">
        <v>70</v>
      </c>
      <c r="J2902" t="s">
        <v>71</v>
      </c>
      <c r="K2902">
        <v>32077.48</v>
      </c>
      <c r="L2902">
        <v>14.6</v>
      </c>
      <c r="M2902" t="s">
        <v>2644</v>
      </c>
      <c r="N2902">
        <v>4788529</v>
      </c>
      <c r="O2902">
        <v>13.5</v>
      </c>
      <c r="P2902">
        <v>8.9499999999999993</v>
      </c>
      <c r="Q2902">
        <v>1.42</v>
      </c>
      <c r="R2902">
        <v>1.31</v>
      </c>
      <c r="S2902">
        <v>1.08</v>
      </c>
      <c r="T2902" t="s">
        <v>4782</v>
      </c>
      <c r="U2902">
        <v>0.09</v>
      </c>
      <c r="V2902" t="s">
        <v>198</v>
      </c>
      <c r="W2902" t="s">
        <v>26261</v>
      </c>
      <c r="Z2902" t="s">
        <v>161</v>
      </c>
      <c r="AA2902">
        <v>1.08</v>
      </c>
      <c r="AD2902" t="s">
        <v>12048</v>
      </c>
      <c r="AE2902" t="s">
        <v>4953</v>
      </c>
      <c r="AF2902" t="s">
        <v>5527</v>
      </c>
      <c r="AG2902" t="s">
        <v>3745</v>
      </c>
      <c r="AH2902" t="s">
        <v>525</v>
      </c>
      <c r="AI2902" t="s">
        <v>4707</v>
      </c>
      <c r="AJ2902" t="s">
        <v>124</v>
      </c>
      <c r="AK2902" t="s">
        <v>26262</v>
      </c>
      <c r="AL2902">
        <v>0.94</v>
      </c>
      <c r="AM2902">
        <v>0.89</v>
      </c>
      <c r="AN2902">
        <v>1.91</v>
      </c>
      <c r="AO2902" t="s">
        <v>7287</v>
      </c>
      <c r="AP2902" t="s">
        <v>7287</v>
      </c>
      <c r="AQ2902" t="s">
        <v>9830</v>
      </c>
      <c r="AR2902" t="s">
        <v>2496</v>
      </c>
      <c r="AS2902" t="s">
        <v>8013</v>
      </c>
      <c r="AT2902" t="s">
        <v>5245</v>
      </c>
      <c r="AU2902" t="s">
        <v>7089</v>
      </c>
      <c r="AV2902" t="s">
        <v>8910</v>
      </c>
      <c r="AW2902" t="s">
        <v>21015</v>
      </c>
      <c r="AX2902" t="s">
        <v>1492</v>
      </c>
      <c r="AY2902" t="s">
        <v>11236</v>
      </c>
      <c r="AZ2902" t="s">
        <v>3918</v>
      </c>
      <c r="BA2902">
        <v>1.76</v>
      </c>
      <c r="BB2902">
        <v>25690.51</v>
      </c>
      <c r="BC2902">
        <v>0.66</v>
      </c>
      <c r="BD2902">
        <v>14.44</v>
      </c>
      <c r="BE2902">
        <v>14.69</v>
      </c>
      <c r="BF2902">
        <v>14.45</v>
      </c>
      <c r="BG2902" t="s">
        <v>26263</v>
      </c>
      <c r="BH2902" t="s">
        <v>24409</v>
      </c>
      <c r="BI2902" t="s">
        <v>26264</v>
      </c>
      <c r="BJ2902" t="s">
        <v>101</v>
      </c>
      <c r="BK2902" t="s">
        <v>3443</v>
      </c>
      <c r="BL2902" t="s">
        <v>8096</v>
      </c>
      <c r="BM2902" t="s">
        <v>15828</v>
      </c>
      <c r="BN2902" t="s">
        <v>23454</v>
      </c>
    </row>
    <row r="2903" spans="1:66" x14ac:dyDescent="0.25">
      <c r="A2903" t="str">
        <f>HYPERLINK("https://elite.finviz.com/quote.ashx?t=SABS&amp;ty=c&amp;p=d&amp;b=1", "SABS")</f>
        <v>SABS</v>
      </c>
      <c r="B2903">
        <v>5</v>
      </c>
      <c r="C2903">
        <v>116.22</v>
      </c>
      <c r="D2903">
        <v>44.05</v>
      </c>
      <c r="E2903" t="s">
        <v>26265</v>
      </c>
      <c r="F2903" t="s">
        <v>107</v>
      </c>
      <c r="G2903" t="s">
        <v>428</v>
      </c>
      <c r="H2903" t="s">
        <v>429</v>
      </c>
      <c r="I2903" t="s">
        <v>70</v>
      </c>
      <c r="J2903" t="s">
        <v>321</v>
      </c>
      <c r="K2903">
        <v>21.65</v>
      </c>
      <c r="L2903">
        <v>2.08</v>
      </c>
      <c r="M2903" t="s">
        <v>5388</v>
      </c>
      <c r="N2903">
        <v>96252</v>
      </c>
      <c r="R2903">
        <v>196.83</v>
      </c>
      <c r="S2903">
        <v>1.61</v>
      </c>
      <c r="AA2903">
        <v>-3.99</v>
      </c>
      <c r="AB2903" t="s">
        <v>8273</v>
      </c>
      <c r="AD2903" t="s">
        <v>15459</v>
      </c>
      <c r="AE2903" t="s">
        <v>16405</v>
      </c>
      <c r="AF2903" t="s">
        <v>26266</v>
      </c>
      <c r="AH2903" t="s">
        <v>579</v>
      </c>
      <c r="AI2903" t="s">
        <v>20942</v>
      </c>
      <c r="AJ2903" t="s">
        <v>164</v>
      </c>
      <c r="AK2903" t="s">
        <v>10331</v>
      </c>
      <c r="AL2903">
        <v>0.87</v>
      </c>
      <c r="AM2903">
        <v>0.87</v>
      </c>
      <c r="AN2903">
        <v>0.53</v>
      </c>
      <c r="AO2903" t="s">
        <v>26267</v>
      </c>
      <c r="AP2903" t="s">
        <v>26268</v>
      </c>
      <c r="AQ2903" t="s">
        <v>26269</v>
      </c>
      <c r="AR2903" t="s">
        <v>333</v>
      </c>
      <c r="AS2903" t="s">
        <v>8727</v>
      </c>
      <c r="AT2903" t="s">
        <v>14653</v>
      </c>
      <c r="AU2903" t="s">
        <v>4259</v>
      </c>
      <c r="AV2903" t="s">
        <v>2252</v>
      </c>
      <c r="AW2903" t="s">
        <v>26270</v>
      </c>
      <c r="AX2903" t="s">
        <v>2946</v>
      </c>
      <c r="AY2903" t="s">
        <v>26270</v>
      </c>
      <c r="AZ2903" t="s">
        <v>26271</v>
      </c>
      <c r="BA2903">
        <v>1</v>
      </c>
      <c r="BB2903">
        <v>1465.39</v>
      </c>
      <c r="BC2903">
        <v>0.23</v>
      </c>
      <c r="BD2903">
        <v>2.1</v>
      </c>
      <c r="BE2903">
        <v>2.16</v>
      </c>
      <c r="BF2903">
        <v>2.0499999999999998</v>
      </c>
      <c r="BG2903" t="s">
        <v>26272</v>
      </c>
      <c r="BH2903" t="s">
        <v>26273</v>
      </c>
      <c r="BI2903" t="s">
        <v>26271</v>
      </c>
      <c r="BJ2903" t="s">
        <v>101</v>
      </c>
      <c r="BK2903" t="s">
        <v>4833</v>
      </c>
      <c r="BL2903" t="s">
        <v>469</v>
      </c>
      <c r="BM2903" t="s">
        <v>8203</v>
      </c>
      <c r="BN2903" t="s">
        <v>23454</v>
      </c>
    </row>
    <row r="2904" spans="1:66" x14ac:dyDescent="0.25">
      <c r="A2904" t="str">
        <f>HYPERLINK("https://elite.finviz.com/quote.ashx?t=SRXH&amp;ty=c&amp;p=d&amp;b=1", "SRXH")</f>
        <v>SRXH</v>
      </c>
      <c r="B2904">
        <v>5</v>
      </c>
      <c r="C2904">
        <v>116.22</v>
      </c>
      <c r="D2904">
        <v>44.05</v>
      </c>
      <c r="E2904" t="s">
        <v>26274</v>
      </c>
      <c r="F2904" t="s">
        <v>107</v>
      </c>
      <c r="G2904" t="s">
        <v>428</v>
      </c>
      <c r="H2904" t="s">
        <v>3160</v>
      </c>
      <c r="I2904" t="s">
        <v>70</v>
      </c>
      <c r="J2904" t="s">
        <v>383</v>
      </c>
      <c r="K2904">
        <v>11.02</v>
      </c>
      <c r="L2904">
        <v>0.33</v>
      </c>
      <c r="M2904" t="s">
        <v>5824</v>
      </c>
      <c r="N2904">
        <v>58802</v>
      </c>
      <c r="O2904">
        <v>0.13</v>
      </c>
      <c r="R2904">
        <v>0.32</v>
      </c>
      <c r="S2904">
        <v>0.11</v>
      </c>
      <c r="AA2904">
        <v>2.5099999999999998</v>
      </c>
      <c r="AC2904" t="s">
        <v>22094</v>
      </c>
      <c r="AE2904" t="s">
        <v>7954</v>
      </c>
      <c r="AF2904" t="s">
        <v>3705</v>
      </c>
      <c r="AG2904" t="s">
        <v>7379</v>
      </c>
      <c r="AH2904" t="s">
        <v>16093</v>
      </c>
      <c r="AJ2904" t="s">
        <v>164</v>
      </c>
      <c r="AK2904" t="s">
        <v>141</v>
      </c>
      <c r="AL2904">
        <v>1.99</v>
      </c>
      <c r="AM2904">
        <v>1.37</v>
      </c>
      <c r="AN2904">
        <v>0.16</v>
      </c>
      <c r="AO2904" t="s">
        <v>3932</v>
      </c>
      <c r="AP2904" t="s">
        <v>9414</v>
      </c>
      <c r="AQ2904" t="s">
        <v>4678</v>
      </c>
      <c r="AR2904" t="s">
        <v>2386</v>
      </c>
      <c r="AS2904" t="s">
        <v>3099</v>
      </c>
      <c r="AT2904" t="s">
        <v>15684</v>
      </c>
      <c r="AU2904" t="s">
        <v>21502</v>
      </c>
      <c r="AV2904" t="s">
        <v>23024</v>
      </c>
      <c r="AW2904" t="s">
        <v>26275</v>
      </c>
      <c r="AX2904" t="s">
        <v>16688</v>
      </c>
      <c r="AY2904" t="s">
        <v>26276</v>
      </c>
      <c r="AZ2904" t="s">
        <v>16688</v>
      </c>
      <c r="BA2904">
        <v>1</v>
      </c>
      <c r="BB2904">
        <v>12875.15</v>
      </c>
      <c r="BC2904">
        <v>0.02</v>
      </c>
      <c r="BD2904">
        <v>0.34</v>
      </c>
      <c r="BE2904">
        <v>0.34</v>
      </c>
      <c r="BF2904">
        <v>0.33</v>
      </c>
      <c r="BG2904" t="s">
        <v>26277</v>
      </c>
      <c r="BH2904" t="s">
        <v>579</v>
      </c>
      <c r="BI2904" t="s">
        <v>16688</v>
      </c>
      <c r="BJ2904" t="s">
        <v>101</v>
      </c>
      <c r="BK2904" t="s">
        <v>509</v>
      </c>
      <c r="BL2904" t="s">
        <v>26278</v>
      </c>
      <c r="BM2904" t="s">
        <v>25747</v>
      </c>
      <c r="BN2904" t="s">
        <v>23454</v>
      </c>
    </row>
    <row r="2905" spans="1:66" x14ac:dyDescent="0.25">
      <c r="A2905" t="str">
        <f>HYPERLINK("https://elite.finviz.com/quote.ashx?t=BRKR&amp;ty=c&amp;p=d&amp;b=1", "BRKR")</f>
        <v>BRKR</v>
      </c>
      <c r="B2905">
        <v>5</v>
      </c>
      <c r="C2905">
        <v>116.22</v>
      </c>
      <c r="D2905">
        <v>44.08</v>
      </c>
      <c r="E2905" t="s">
        <v>26279</v>
      </c>
      <c r="F2905" t="s">
        <v>107</v>
      </c>
      <c r="G2905" t="s">
        <v>428</v>
      </c>
      <c r="H2905" t="s">
        <v>2051</v>
      </c>
      <c r="I2905" t="s">
        <v>70</v>
      </c>
      <c r="J2905" t="s">
        <v>321</v>
      </c>
      <c r="K2905">
        <v>4744.8100000000004</v>
      </c>
      <c r="L2905">
        <v>31.27</v>
      </c>
      <c r="M2905" t="s">
        <v>1760</v>
      </c>
      <c r="N2905">
        <v>793069</v>
      </c>
      <c r="O2905">
        <v>59.69</v>
      </c>
      <c r="P2905">
        <v>13.57</v>
      </c>
      <c r="Q2905">
        <v>15.11</v>
      </c>
      <c r="R2905">
        <v>1.38</v>
      </c>
      <c r="S2905">
        <v>2.63</v>
      </c>
      <c r="T2905" t="s">
        <v>3463</v>
      </c>
      <c r="U2905">
        <v>0.2</v>
      </c>
      <c r="V2905" t="s">
        <v>17449</v>
      </c>
      <c r="W2905" t="s">
        <v>164</v>
      </c>
      <c r="X2905" t="s">
        <v>4512</v>
      </c>
      <c r="Y2905" t="s">
        <v>371</v>
      </c>
      <c r="Z2905" t="s">
        <v>1928</v>
      </c>
      <c r="AA2905">
        <v>0.52</v>
      </c>
      <c r="AB2905" t="s">
        <v>2296</v>
      </c>
      <c r="AC2905" t="s">
        <v>613</v>
      </c>
      <c r="AD2905" t="s">
        <v>1087</v>
      </c>
      <c r="AE2905" t="s">
        <v>2555</v>
      </c>
      <c r="AF2905" t="s">
        <v>11151</v>
      </c>
      <c r="AG2905" t="s">
        <v>185</v>
      </c>
      <c r="AH2905" t="s">
        <v>337</v>
      </c>
      <c r="AI2905" t="s">
        <v>7317</v>
      </c>
      <c r="AJ2905" t="s">
        <v>5242</v>
      </c>
      <c r="AK2905" t="s">
        <v>11590</v>
      </c>
      <c r="AL2905">
        <v>1.61</v>
      </c>
      <c r="AM2905">
        <v>0.7</v>
      </c>
      <c r="AN2905">
        <v>1.35</v>
      </c>
      <c r="AO2905" t="s">
        <v>9339</v>
      </c>
      <c r="AP2905" t="s">
        <v>3818</v>
      </c>
      <c r="AQ2905" t="s">
        <v>4255</v>
      </c>
      <c r="AR2905" t="s">
        <v>2108</v>
      </c>
      <c r="AS2905" t="s">
        <v>5885</v>
      </c>
      <c r="AT2905" t="s">
        <v>2649</v>
      </c>
      <c r="AU2905" t="s">
        <v>5674</v>
      </c>
      <c r="AV2905" t="s">
        <v>9269</v>
      </c>
      <c r="AW2905" t="s">
        <v>12463</v>
      </c>
      <c r="AX2905" t="s">
        <v>7209</v>
      </c>
      <c r="AY2905" t="s">
        <v>20377</v>
      </c>
      <c r="AZ2905" t="s">
        <v>7209</v>
      </c>
      <c r="BA2905">
        <v>2.21</v>
      </c>
      <c r="BB2905">
        <v>3911.67</v>
      </c>
      <c r="BC2905">
        <v>0.71</v>
      </c>
      <c r="BD2905">
        <v>30.78</v>
      </c>
      <c r="BE2905">
        <v>31.51</v>
      </c>
      <c r="BF2905">
        <v>30.75</v>
      </c>
      <c r="BG2905" t="s">
        <v>26280</v>
      </c>
      <c r="BH2905" t="s">
        <v>26281</v>
      </c>
      <c r="BI2905" t="s">
        <v>26282</v>
      </c>
      <c r="BJ2905" t="s">
        <v>101</v>
      </c>
      <c r="BK2905" t="s">
        <v>4502</v>
      </c>
      <c r="BL2905" t="s">
        <v>4156</v>
      </c>
      <c r="BM2905" t="s">
        <v>8431</v>
      </c>
      <c r="BN2905" t="s">
        <v>23454</v>
      </c>
    </row>
    <row r="2906" spans="1:66" x14ac:dyDescent="0.25">
      <c r="A2906" t="str">
        <f>HYPERLINK("https://elite.finviz.com/quote.ashx?t=DAWN&amp;ty=c&amp;p=d&amp;b=1", "DAWN")</f>
        <v>DAWN</v>
      </c>
      <c r="B2906">
        <v>5</v>
      </c>
      <c r="C2906">
        <v>116.22</v>
      </c>
      <c r="D2906">
        <v>44.12</v>
      </c>
      <c r="E2906" t="s">
        <v>26283</v>
      </c>
      <c r="F2906" t="s">
        <v>67</v>
      </c>
      <c r="G2906" t="s">
        <v>428</v>
      </c>
      <c r="H2906" t="s">
        <v>429</v>
      </c>
      <c r="I2906" t="s">
        <v>70</v>
      </c>
      <c r="J2906" t="s">
        <v>321</v>
      </c>
      <c r="K2906">
        <v>696.13</v>
      </c>
      <c r="L2906">
        <v>6.8</v>
      </c>
      <c r="M2906" t="s">
        <v>2195</v>
      </c>
      <c r="N2906">
        <v>125838</v>
      </c>
      <c r="R2906">
        <v>3.71</v>
      </c>
      <c r="S2906">
        <v>1.51</v>
      </c>
      <c r="AA2906">
        <v>-0.91</v>
      </c>
      <c r="AB2906" t="s">
        <v>1813</v>
      </c>
      <c r="AC2906" t="s">
        <v>15751</v>
      </c>
      <c r="AD2906" t="s">
        <v>26284</v>
      </c>
      <c r="AE2906" t="s">
        <v>26285</v>
      </c>
      <c r="AH2906" t="s">
        <v>26286</v>
      </c>
      <c r="AI2906" t="s">
        <v>6834</v>
      </c>
      <c r="AJ2906" t="s">
        <v>2213</v>
      </c>
      <c r="AK2906" t="s">
        <v>3621</v>
      </c>
      <c r="AL2906">
        <v>9.65</v>
      </c>
      <c r="AM2906">
        <v>9.5299999999999994</v>
      </c>
      <c r="AN2906">
        <v>0.01</v>
      </c>
      <c r="AO2906" t="s">
        <v>13502</v>
      </c>
      <c r="AP2906" t="s">
        <v>26287</v>
      </c>
      <c r="AQ2906" t="s">
        <v>26288</v>
      </c>
      <c r="AR2906" t="s">
        <v>5467</v>
      </c>
      <c r="AS2906" t="s">
        <v>1050</v>
      </c>
      <c r="AT2906" t="s">
        <v>4540</v>
      </c>
      <c r="AU2906" t="s">
        <v>5159</v>
      </c>
      <c r="AV2906" t="s">
        <v>21420</v>
      </c>
      <c r="AW2906" t="s">
        <v>2272</v>
      </c>
      <c r="AX2906" t="s">
        <v>5691</v>
      </c>
      <c r="AY2906" t="s">
        <v>6103</v>
      </c>
      <c r="AZ2906" t="s">
        <v>5691</v>
      </c>
      <c r="BA2906">
        <v>1.2</v>
      </c>
      <c r="BB2906">
        <v>1504.13</v>
      </c>
      <c r="BC2906">
        <v>0.28999999999999998</v>
      </c>
      <c r="BD2906">
        <v>6.68</v>
      </c>
      <c r="BE2906">
        <v>6.8</v>
      </c>
      <c r="BF2906">
        <v>6.7</v>
      </c>
      <c r="BG2906" t="s">
        <v>26289</v>
      </c>
      <c r="BH2906" t="s">
        <v>26290</v>
      </c>
      <c r="BI2906" t="s">
        <v>18338</v>
      </c>
      <c r="BJ2906" t="s">
        <v>101</v>
      </c>
      <c r="BK2906" t="s">
        <v>2429</v>
      </c>
      <c r="BL2906" t="s">
        <v>10629</v>
      </c>
      <c r="BM2906" t="s">
        <v>26291</v>
      </c>
      <c r="BN2906" t="s">
        <v>23454</v>
      </c>
    </row>
    <row r="2907" spans="1:66" x14ac:dyDescent="0.25">
      <c r="A2907" t="str">
        <f>HYPERLINK("https://elite.finviz.com/quote.ashx?t=PNFP&amp;ty=c&amp;p=d&amp;b=1", "PNFP")</f>
        <v>PNFP</v>
      </c>
      <c r="B2907">
        <v>5</v>
      </c>
      <c r="C2907">
        <v>116.22</v>
      </c>
      <c r="D2907">
        <v>44.16</v>
      </c>
      <c r="E2907" t="s">
        <v>26292</v>
      </c>
      <c r="F2907" t="s">
        <v>107</v>
      </c>
      <c r="G2907" t="s">
        <v>550</v>
      </c>
      <c r="H2907" t="s">
        <v>697</v>
      </c>
      <c r="I2907" t="s">
        <v>70</v>
      </c>
      <c r="J2907" t="s">
        <v>321</v>
      </c>
      <c r="K2907">
        <v>7364.69</v>
      </c>
      <c r="L2907">
        <v>94.95</v>
      </c>
      <c r="M2907" t="s">
        <v>8425</v>
      </c>
      <c r="N2907">
        <v>116970</v>
      </c>
      <c r="O2907">
        <v>12.59</v>
      </c>
      <c r="P2907">
        <v>9.99</v>
      </c>
      <c r="Q2907">
        <v>0.75</v>
      </c>
      <c r="R2907">
        <v>2.36</v>
      </c>
      <c r="S2907">
        <v>1.1499999999999999</v>
      </c>
      <c r="T2907" t="s">
        <v>1457</v>
      </c>
      <c r="U2907">
        <v>0.94</v>
      </c>
      <c r="V2907" t="s">
        <v>4066</v>
      </c>
      <c r="W2907" t="s">
        <v>164</v>
      </c>
      <c r="X2907" t="s">
        <v>4999</v>
      </c>
      <c r="Y2907" t="s">
        <v>3429</v>
      </c>
      <c r="Z2907" t="s">
        <v>800</v>
      </c>
      <c r="AA2907">
        <v>7.54</v>
      </c>
      <c r="AB2907" t="s">
        <v>11242</v>
      </c>
      <c r="AC2907" t="s">
        <v>1768</v>
      </c>
      <c r="AD2907" t="s">
        <v>11564</v>
      </c>
      <c r="AE2907" t="s">
        <v>185</v>
      </c>
      <c r="AF2907" t="s">
        <v>5333</v>
      </c>
      <c r="AG2907" t="s">
        <v>13652</v>
      </c>
      <c r="AH2907" t="s">
        <v>5458</v>
      </c>
      <c r="AI2907" t="s">
        <v>161</v>
      </c>
      <c r="AJ2907" t="s">
        <v>4828</v>
      </c>
      <c r="AK2907" t="s">
        <v>8597</v>
      </c>
      <c r="AL2907">
        <v>0.16</v>
      </c>
      <c r="AN2907">
        <v>0.37</v>
      </c>
      <c r="AP2907" t="s">
        <v>9039</v>
      </c>
      <c r="AQ2907" t="s">
        <v>5970</v>
      </c>
      <c r="AR2907" t="s">
        <v>2307</v>
      </c>
      <c r="AS2907" t="s">
        <v>2430</v>
      </c>
      <c r="AT2907" t="s">
        <v>5257</v>
      </c>
      <c r="AU2907" t="s">
        <v>2694</v>
      </c>
      <c r="AV2907" t="s">
        <v>16522</v>
      </c>
      <c r="AW2907" t="s">
        <v>9766</v>
      </c>
      <c r="AX2907" t="s">
        <v>4648</v>
      </c>
      <c r="AY2907" t="s">
        <v>4156</v>
      </c>
      <c r="AZ2907" t="s">
        <v>2589</v>
      </c>
      <c r="BA2907">
        <v>2.27</v>
      </c>
      <c r="BB2907">
        <v>1354.88</v>
      </c>
      <c r="BC2907">
        <v>0.3</v>
      </c>
      <c r="BD2907">
        <v>95.21</v>
      </c>
      <c r="BE2907">
        <v>96.46</v>
      </c>
      <c r="BF2907">
        <v>94.89</v>
      </c>
      <c r="BG2907" t="s">
        <v>26293</v>
      </c>
      <c r="BH2907" t="s">
        <v>4156</v>
      </c>
      <c r="BI2907" t="s">
        <v>26294</v>
      </c>
      <c r="BJ2907" t="s">
        <v>101</v>
      </c>
      <c r="BK2907" t="s">
        <v>15022</v>
      </c>
      <c r="BL2907" t="s">
        <v>7861</v>
      </c>
      <c r="BM2907" t="s">
        <v>10774</v>
      </c>
      <c r="BN2907" t="s">
        <v>23454</v>
      </c>
    </row>
    <row r="2908" spans="1:66" x14ac:dyDescent="0.25">
      <c r="A2908" t="str">
        <f>HYPERLINK("https://elite.finviz.com/quote.ashx?t=VICI&amp;ty=c&amp;p=d&amp;b=1", "VICI")</f>
        <v>VICI</v>
      </c>
      <c r="B2908">
        <v>5</v>
      </c>
      <c r="C2908">
        <v>116.22</v>
      </c>
      <c r="D2908">
        <v>44.18</v>
      </c>
      <c r="E2908" t="s">
        <v>26295</v>
      </c>
      <c r="F2908" t="s">
        <v>195</v>
      </c>
      <c r="G2908" t="s">
        <v>68</v>
      </c>
      <c r="H2908" t="s">
        <v>4656</v>
      </c>
      <c r="I2908" t="s">
        <v>70</v>
      </c>
      <c r="J2908" t="s">
        <v>71</v>
      </c>
      <c r="K2908">
        <v>34438.410000000003</v>
      </c>
      <c r="L2908">
        <v>32.29</v>
      </c>
      <c r="M2908" t="s">
        <v>2785</v>
      </c>
      <c r="N2908">
        <v>1217104</v>
      </c>
      <c r="O2908">
        <v>12.35</v>
      </c>
      <c r="P2908">
        <v>11.37</v>
      </c>
      <c r="Q2908">
        <v>2.76</v>
      </c>
      <c r="R2908">
        <v>8.77</v>
      </c>
      <c r="S2908">
        <v>1.26</v>
      </c>
      <c r="T2908" t="s">
        <v>2123</v>
      </c>
      <c r="U2908">
        <v>1.75</v>
      </c>
      <c r="V2908" t="s">
        <v>8236</v>
      </c>
      <c r="W2908" t="s">
        <v>3496</v>
      </c>
      <c r="X2908" t="s">
        <v>1507</v>
      </c>
      <c r="Y2908" t="s">
        <v>4114</v>
      </c>
      <c r="Z2908" t="s">
        <v>12920</v>
      </c>
      <c r="AA2908">
        <v>2.61</v>
      </c>
      <c r="AB2908" t="s">
        <v>3186</v>
      </c>
      <c r="AC2908" t="s">
        <v>7617</v>
      </c>
      <c r="AD2908" t="s">
        <v>2842</v>
      </c>
      <c r="AE2908" t="s">
        <v>4872</v>
      </c>
      <c r="AF2908" t="s">
        <v>207</v>
      </c>
      <c r="AG2908" t="s">
        <v>17830</v>
      </c>
      <c r="AH2908" t="s">
        <v>3119</v>
      </c>
      <c r="AI2908" t="s">
        <v>13570</v>
      </c>
      <c r="AJ2908" t="s">
        <v>164</v>
      </c>
      <c r="AK2908" t="s">
        <v>24670</v>
      </c>
      <c r="AL2908">
        <v>0.52</v>
      </c>
      <c r="AM2908">
        <v>0.52</v>
      </c>
      <c r="AN2908">
        <v>0.66</v>
      </c>
      <c r="AO2908" t="s">
        <v>12264</v>
      </c>
      <c r="AP2908" t="s">
        <v>26296</v>
      </c>
      <c r="AQ2908" t="s">
        <v>19732</v>
      </c>
      <c r="AR2908" t="s">
        <v>2509</v>
      </c>
      <c r="AS2908" t="s">
        <v>102</v>
      </c>
      <c r="AT2908" t="s">
        <v>9075</v>
      </c>
      <c r="AU2908" t="s">
        <v>214</v>
      </c>
      <c r="AV2908" t="s">
        <v>7338</v>
      </c>
      <c r="AW2908" t="s">
        <v>10194</v>
      </c>
      <c r="AX2908" t="s">
        <v>465</v>
      </c>
      <c r="AY2908" t="s">
        <v>19319</v>
      </c>
      <c r="AZ2908" t="s">
        <v>11482</v>
      </c>
      <c r="BA2908">
        <v>1.39</v>
      </c>
      <c r="BB2908">
        <v>7403.28</v>
      </c>
      <c r="BC2908">
        <v>0.57999999999999996</v>
      </c>
      <c r="BD2908">
        <v>32.04</v>
      </c>
      <c r="BE2908">
        <v>32.53</v>
      </c>
      <c r="BF2908">
        <v>32.119999999999997</v>
      </c>
      <c r="BG2908" t="s">
        <v>26297</v>
      </c>
      <c r="BH2908" t="s">
        <v>17325</v>
      </c>
      <c r="BI2908" t="s">
        <v>26298</v>
      </c>
      <c r="BJ2908" t="s">
        <v>101</v>
      </c>
      <c r="BK2908" t="s">
        <v>4237</v>
      </c>
      <c r="BL2908" t="s">
        <v>2509</v>
      </c>
      <c r="BM2908" t="s">
        <v>2978</v>
      </c>
      <c r="BN2908" t="s">
        <v>23454</v>
      </c>
    </row>
    <row r="2909" spans="1:66" x14ac:dyDescent="0.25">
      <c r="A2909" t="str">
        <f>HYPERLINK("https://elite.finviz.com/quote.ashx?t=VKTX&amp;ty=c&amp;p=d&amp;b=1", "VKTX")</f>
        <v>VKTX</v>
      </c>
      <c r="B2909">
        <v>5</v>
      </c>
      <c r="C2909">
        <v>116.22</v>
      </c>
      <c r="D2909">
        <v>44.19</v>
      </c>
      <c r="E2909" t="s">
        <v>26299</v>
      </c>
      <c r="F2909" t="s">
        <v>107</v>
      </c>
      <c r="G2909" t="s">
        <v>428</v>
      </c>
      <c r="H2909" t="s">
        <v>429</v>
      </c>
      <c r="I2909" t="s">
        <v>70</v>
      </c>
      <c r="J2909" t="s">
        <v>321</v>
      </c>
      <c r="K2909">
        <v>2826.3</v>
      </c>
      <c r="L2909">
        <v>25.14</v>
      </c>
      <c r="M2909" t="s">
        <v>4794</v>
      </c>
      <c r="N2909">
        <v>905228</v>
      </c>
      <c r="S2909">
        <v>3.55</v>
      </c>
      <c r="AA2909">
        <v>-1.53</v>
      </c>
      <c r="AB2909" t="s">
        <v>3101</v>
      </c>
      <c r="AC2909" t="s">
        <v>16057</v>
      </c>
      <c r="AI2909" t="s">
        <v>16200</v>
      </c>
      <c r="AJ2909" t="s">
        <v>3113</v>
      </c>
      <c r="AK2909" t="s">
        <v>26300</v>
      </c>
      <c r="AL2909">
        <v>25.86</v>
      </c>
      <c r="AM2909">
        <v>25.86</v>
      </c>
      <c r="AN2909">
        <v>0</v>
      </c>
      <c r="AR2909" t="s">
        <v>438</v>
      </c>
      <c r="AS2909" t="s">
        <v>276</v>
      </c>
      <c r="AT2909" t="s">
        <v>5365</v>
      </c>
      <c r="AU2909" t="s">
        <v>14560</v>
      </c>
      <c r="AV2909" t="s">
        <v>16923</v>
      </c>
      <c r="AW2909" t="s">
        <v>17023</v>
      </c>
      <c r="AX2909" t="s">
        <v>12048</v>
      </c>
      <c r="AY2909" t="s">
        <v>26301</v>
      </c>
      <c r="AZ2909" t="s">
        <v>1366</v>
      </c>
      <c r="BA2909">
        <v>1.1200000000000001</v>
      </c>
      <c r="BB2909">
        <v>6229.29</v>
      </c>
      <c r="BC2909">
        <v>0.51</v>
      </c>
      <c r="BD2909">
        <v>25.09</v>
      </c>
      <c r="BE2909">
        <v>25.3</v>
      </c>
      <c r="BF2909">
        <v>24.88</v>
      </c>
      <c r="BG2909" t="s">
        <v>26302</v>
      </c>
      <c r="BH2909" t="s">
        <v>26249</v>
      </c>
      <c r="BI2909" t="s">
        <v>26303</v>
      </c>
      <c r="BJ2909" t="s">
        <v>101</v>
      </c>
      <c r="BK2909" t="s">
        <v>3321</v>
      </c>
      <c r="BL2909" t="s">
        <v>82</v>
      </c>
      <c r="BM2909" t="s">
        <v>26304</v>
      </c>
      <c r="BN2909" t="s">
        <v>23454</v>
      </c>
    </row>
    <row r="2910" spans="1:66" x14ac:dyDescent="0.25">
      <c r="A2910" t="str">
        <f>HYPERLINK("https://elite.finviz.com/quote.ashx?t=DNLI&amp;ty=c&amp;p=d&amp;b=1", "DNLI")</f>
        <v>DNLI</v>
      </c>
      <c r="B2910">
        <v>5</v>
      </c>
      <c r="C2910">
        <v>116.22</v>
      </c>
      <c r="D2910">
        <v>44.2</v>
      </c>
      <c r="E2910" t="s">
        <v>26305</v>
      </c>
      <c r="F2910" t="s">
        <v>67</v>
      </c>
      <c r="G2910" t="s">
        <v>428</v>
      </c>
      <c r="H2910" t="s">
        <v>429</v>
      </c>
      <c r="I2910" t="s">
        <v>70</v>
      </c>
      <c r="J2910" t="s">
        <v>321</v>
      </c>
      <c r="K2910">
        <v>1980.88</v>
      </c>
      <c r="L2910">
        <v>13.55</v>
      </c>
      <c r="M2910" t="s">
        <v>458</v>
      </c>
      <c r="N2910">
        <v>484392</v>
      </c>
      <c r="S2910">
        <v>1.92</v>
      </c>
      <c r="AA2910">
        <v>-2.81</v>
      </c>
      <c r="AB2910" t="s">
        <v>7272</v>
      </c>
      <c r="AC2910" t="s">
        <v>3444</v>
      </c>
      <c r="AD2910" t="s">
        <v>3334</v>
      </c>
      <c r="AE2910" t="s">
        <v>579</v>
      </c>
      <c r="AI2910" t="s">
        <v>8789</v>
      </c>
      <c r="AJ2910" t="s">
        <v>6058</v>
      </c>
      <c r="AK2910" t="s">
        <v>26306</v>
      </c>
      <c r="AL2910">
        <v>10.27</v>
      </c>
      <c r="AM2910">
        <v>10.27</v>
      </c>
      <c r="AN2910">
        <v>0.05</v>
      </c>
      <c r="AR2910" t="s">
        <v>4428</v>
      </c>
      <c r="AS2910" t="s">
        <v>2429</v>
      </c>
      <c r="AT2910" t="s">
        <v>2814</v>
      </c>
      <c r="AU2910" t="s">
        <v>7621</v>
      </c>
      <c r="AV2910" t="s">
        <v>1345</v>
      </c>
      <c r="AW2910" t="s">
        <v>6529</v>
      </c>
      <c r="AX2910" t="s">
        <v>2698</v>
      </c>
      <c r="AY2910" t="s">
        <v>25018</v>
      </c>
      <c r="AZ2910" t="s">
        <v>20389</v>
      </c>
      <c r="BA2910">
        <v>1.06</v>
      </c>
      <c r="BB2910">
        <v>1895.24</v>
      </c>
      <c r="BC2910">
        <v>0.9</v>
      </c>
      <c r="BD2910">
        <v>13.43</v>
      </c>
      <c r="BE2910">
        <v>13.66</v>
      </c>
      <c r="BF2910">
        <v>13.3</v>
      </c>
      <c r="BG2910" t="s">
        <v>26307</v>
      </c>
      <c r="BH2910" t="s">
        <v>7975</v>
      </c>
      <c r="BI2910" t="s">
        <v>20389</v>
      </c>
      <c r="BJ2910" t="s">
        <v>101</v>
      </c>
      <c r="BK2910" t="s">
        <v>6739</v>
      </c>
      <c r="BL2910" t="s">
        <v>9070</v>
      </c>
      <c r="BM2910" t="s">
        <v>26308</v>
      </c>
      <c r="BN2910" t="s">
        <v>23454</v>
      </c>
    </row>
    <row r="2911" spans="1:66" x14ac:dyDescent="0.25">
      <c r="A2911" t="str">
        <f>HYPERLINK("https://elite.finviz.com/quote.ashx?t=GPN&amp;ty=c&amp;p=d&amp;b=1", "GPN")</f>
        <v>GPN</v>
      </c>
      <c r="B2911">
        <v>5</v>
      </c>
      <c r="C2911">
        <v>116.22</v>
      </c>
      <c r="D2911">
        <v>44.24</v>
      </c>
      <c r="E2911" t="s">
        <v>26309</v>
      </c>
      <c r="F2911" t="s">
        <v>195</v>
      </c>
      <c r="G2911" t="s">
        <v>108</v>
      </c>
      <c r="H2911" t="s">
        <v>109</v>
      </c>
      <c r="I2911" t="s">
        <v>70</v>
      </c>
      <c r="J2911" t="s">
        <v>71</v>
      </c>
      <c r="K2911">
        <v>20428.73</v>
      </c>
      <c r="L2911">
        <v>84.21</v>
      </c>
      <c r="M2911" t="s">
        <v>8634</v>
      </c>
      <c r="N2911">
        <v>341928</v>
      </c>
      <c r="O2911">
        <v>14.73</v>
      </c>
      <c r="P2911">
        <v>6.16</v>
      </c>
      <c r="Q2911">
        <v>1.32</v>
      </c>
      <c r="R2911">
        <v>2.15</v>
      </c>
      <c r="S2911">
        <v>0.9</v>
      </c>
      <c r="T2911" t="s">
        <v>1025</v>
      </c>
      <c r="U2911">
        <v>1</v>
      </c>
      <c r="V2911" t="s">
        <v>2620</v>
      </c>
      <c r="W2911" t="s">
        <v>164</v>
      </c>
      <c r="X2911" t="s">
        <v>6475</v>
      </c>
      <c r="Y2911" t="s">
        <v>26310</v>
      </c>
      <c r="Z2911" t="s">
        <v>3840</v>
      </c>
      <c r="AA2911">
        <v>5.72</v>
      </c>
      <c r="AB2911" t="s">
        <v>1134</v>
      </c>
      <c r="AC2911" t="s">
        <v>1134</v>
      </c>
      <c r="AD2911" t="s">
        <v>6408</v>
      </c>
      <c r="AE2911" t="s">
        <v>2969</v>
      </c>
      <c r="AF2911" t="s">
        <v>3733</v>
      </c>
      <c r="AG2911" t="s">
        <v>12975</v>
      </c>
      <c r="AH2911" t="s">
        <v>9109</v>
      </c>
      <c r="AI2911" t="s">
        <v>3494</v>
      </c>
      <c r="AJ2911" t="s">
        <v>4886</v>
      </c>
      <c r="AK2911" t="s">
        <v>9720</v>
      </c>
      <c r="AL2911">
        <v>0.95</v>
      </c>
      <c r="AM2911">
        <v>0.95</v>
      </c>
      <c r="AN2911">
        <v>0.74</v>
      </c>
      <c r="AO2911" t="s">
        <v>8865</v>
      </c>
      <c r="AP2911" t="s">
        <v>3161</v>
      </c>
      <c r="AQ2911" t="s">
        <v>7735</v>
      </c>
      <c r="AR2911" t="s">
        <v>714</v>
      </c>
      <c r="AS2911" t="s">
        <v>206</v>
      </c>
      <c r="AT2911" t="s">
        <v>5661</v>
      </c>
      <c r="AU2911" t="s">
        <v>3027</v>
      </c>
      <c r="AV2911" t="s">
        <v>10338</v>
      </c>
      <c r="AW2911" t="s">
        <v>440</v>
      </c>
      <c r="AX2911" t="s">
        <v>1491</v>
      </c>
      <c r="AY2911" t="s">
        <v>26311</v>
      </c>
      <c r="AZ2911" t="s">
        <v>12791</v>
      </c>
      <c r="BA2911">
        <v>2.5299999999999998</v>
      </c>
      <c r="BB2911">
        <v>2401.56</v>
      </c>
      <c r="BC2911">
        <v>0.5</v>
      </c>
      <c r="BD2911">
        <v>84.9</v>
      </c>
      <c r="BE2911">
        <v>85.41</v>
      </c>
      <c r="BF2911">
        <v>84.07</v>
      </c>
      <c r="BG2911" t="s">
        <v>26312</v>
      </c>
      <c r="BH2911" t="s">
        <v>26313</v>
      </c>
      <c r="BI2911" t="s">
        <v>26314</v>
      </c>
      <c r="BJ2911" t="s">
        <v>101</v>
      </c>
      <c r="BK2911" t="s">
        <v>12450</v>
      </c>
      <c r="BL2911" t="s">
        <v>14819</v>
      </c>
      <c r="BM2911" t="s">
        <v>19132</v>
      </c>
      <c r="BN2911" t="s">
        <v>23454</v>
      </c>
    </row>
    <row r="2912" spans="1:66" x14ac:dyDescent="0.25">
      <c r="A2912" t="str">
        <f>HYPERLINK("https://elite.finviz.com/quote.ashx?t=INSE&amp;ty=c&amp;p=d&amp;b=1", "INSE")</f>
        <v>INSE</v>
      </c>
      <c r="B2912">
        <v>5</v>
      </c>
      <c r="C2912">
        <v>116.22</v>
      </c>
      <c r="D2912">
        <v>44.26</v>
      </c>
      <c r="E2912" t="s">
        <v>26315</v>
      </c>
      <c r="F2912" t="s">
        <v>67</v>
      </c>
      <c r="G2912" t="s">
        <v>813</v>
      </c>
      <c r="H2912" t="s">
        <v>10266</v>
      </c>
      <c r="I2912" t="s">
        <v>70</v>
      </c>
      <c r="J2912" t="s">
        <v>321</v>
      </c>
      <c r="K2912">
        <v>242.01</v>
      </c>
      <c r="L2912">
        <v>8.99</v>
      </c>
      <c r="M2912" t="s">
        <v>4501</v>
      </c>
      <c r="N2912">
        <v>23808</v>
      </c>
      <c r="O2912">
        <v>4.1399999999999997</v>
      </c>
      <c r="P2912">
        <v>8.18</v>
      </c>
      <c r="R2912">
        <v>0.8</v>
      </c>
      <c r="Z2912" t="s">
        <v>164</v>
      </c>
      <c r="AA2912">
        <v>2.17</v>
      </c>
      <c r="AD2912" t="s">
        <v>26316</v>
      </c>
      <c r="AE2912" t="s">
        <v>1465</v>
      </c>
      <c r="AF2912" t="s">
        <v>2516</v>
      </c>
      <c r="AG2912" t="s">
        <v>7297</v>
      </c>
      <c r="AH2912" t="s">
        <v>7767</v>
      </c>
      <c r="AI2912" t="s">
        <v>26317</v>
      </c>
      <c r="AJ2912" t="s">
        <v>164</v>
      </c>
      <c r="AK2912" t="s">
        <v>23701</v>
      </c>
      <c r="AL2912">
        <v>1.69</v>
      </c>
      <c r="AM2912">
        <v>1.43</v>
      </c>
      <c r="AO2912" t="s">
        <v>19429</v>
      </c>
      <c r="AP2912" t="s">
        <v>1206</v>
      </c>
      <c r="AQ2912" t="s">
        <v>7294</v>
      </c>
      <c r="AR2912" t="s">
        <v>3670</v>
      </c>
      <c r="AS2912" t="s">
        <v>8818</v>
      </c>
      <c r="AT2912" t="s">
        <v>331</v>
      </c>
      <c r="AU2912" t="s">
        <v>2331</v>
      </c>
      <c r="AV2912" t="s">
        <v>3842</v>
      </c>
      <c r="AW2912" t="s">
        <v>9731</v>
      </c>
      <c r="AX2912" t="s">
        <v>7510</v>
      </c>
      <c r="AY2912" t="s">
        <v>9211</v>
      </c>
      <c r="AZ2912" t="s">
        <v>2014</v>
      </c>
      <c r="BA2912">
        <v>1.5</v>
      </c>
      <c r="BB2912">
        <v>150.99</v>
      </c>
      <c r="BC2912">
        <v>0.56000000000000005</v>
      </c>
      <c r="BD2912">
        <v>9.16</v>
      </c>
      <c r="BE2912">
        <v>9.25</v>
      </c>
      <c r="BF2912">
        <v>8.66</v>
      </c>
      <c r="BG2912" t="s">
        <v>26318</v>
      </c>
      <c r="BH2912" t="s">
        <v>26319</v>
      </c>
      <c r="BI2912" t="s">
        <v>26320</v>
      </c>
      <c r="BJ2912" t="s">
        <v>101</v>
      </c>
      <c r="BK2912" t="s">
        <v>12293</v>
      </c>
      <c r="BL2912" t="s">
        <v>5610</v>
      </c>
      <c r="BM2912" t="s">
        <v>4553</v>
      </c>
      <c r="BN2912" t="s">
        <v>26049</v>
      </c>
    </row>
    <row r="2913" spans="1:66" x14ac:dyDescent="0.25">
      <c r="A2913" t="str">
        <f>HYPERLINK("https://elite.finviz.com/quote.ashx?t=PRU&amp;ty=c&amp;p=d&amp;b=1", "PRU")</f>
        <v>PRU</v>
      </c>
      <c r="B2913">
        <v>5</v>
      </c>
      <c r="C2913">
        <v>116.22</v>
      </c>
      <c r="D2913">
        <v>44.29</v>
      </c>
      <c r="E2913" t="s">
        <v>26321</v>
      </c>
      <c r="F2913" t="s">
        <v>195</v>
      </c>
      <c r="G2913" t="s">
        <v>550</v>
      </c>
      <c r="H2913" t="s">
        <v>5652</v>
      </c>
      <c r="I2913" t="s">
        <v>70</v>
      </c>
      <c r="J2913" t="s">
        <v>71</v>
      </c>
      <c r="K2913">
        <v>36439.040000000001</v>
      </c>
      <c r="L2913">
        <v>103.52</v>
      </c>
      <c r="M2913" t="s">
        <v>458</v>
      </c>
      <c r="N2913">
        <v>214109</v>
      </c>
      <c r="O2913">
        <v>22.9</v>
      </c>
      <c r="P2913">
        <v>7.03</v>
      </c>
      <c r="Q2913">
        <v>2.92</v>
      </c>
      <c r="R2913">
        <v>0.62</v>
      </c>
      <c r="S2913">
        <v>1.19</v>
      </c>
      <c r="T2913" t="s">
        <v>4173</v>
      </c>
      <c r="U2913">
        <v>5.35</v>
      </c>
      <c r="V2913" t="s">
        <v>10236</v>
      </c>
      <c r="W2913" t="s">
        <v>3433</v>
      </c>
      <c r="X2913" t="s">
        <v>2841</v>
      </c>
      <c r="Y2913" t="s">
        <v>896</v>
      </c>
      <c r="Z2913" t="s">
        <v>4587</v>
      </c>
      <c r="AA2913">
        <v>4.5199999999999996</v>
      </c>
      <c r="AB2913" t="s">
        <v>4785</v>
      </c>
      <c r="AC2913" t="s">
        <v>2934</v>
      </c>
      <c r="AD2913" t="s">
        <v>10610</v>
      </c>
      <c r="AE2913" t="s">
        <v>5257</v>
      </c>
      <c r="AF2913" t="s">
        <v>4538</v>
      </c>
      <c r="AG2913" t="s">
        <v>2082</v>
      </c>
      <c r="AH2913" t="s">
        <v>3051</v>
      </c>
      <c r="AI2913" t="s">
        <v>2517</v>
      </c>
      <c r="AK2913" t="s">
        <v>24863</v>
      </c>
      <c r="AL2913">
        <v>2.3199999999999998</v>
      </c>
      <c r="AN2913">
        <v>0.98</v>
      </c>
      <c r="AP2913" t="s">
        <v>4093</v>
      </c>
      <c r="AQ2913" t="s">
        <v>901</v>
      </c>
      <c r="AR2913" t="s">
        <v>5380</v>
      </c>
      <c r="AS2913" t="s">
        <v>2274</v>
      </c>
      <c r="AT2913" t="s">
        <v>6614</v>
      </c>
      <c r="AU2913" t="s">
        <v>7243</v>
      </c>
      <c r="AV2913" t="s">
        <v>706</v>
      </c>
      <c r="AW2913" t="s">
        <v>10896</v>
      </c>
      <c r="AX2913" t="s">
        <v>3521</v>
      </c>
      <c r="AY2913" t="s">
        <v>9976</v>
      </c>
      <c r="AZ2913" t="s">
        <v>3434</v>
      </c>
      <c r="BA2913">
        <v>3</v>
      </c>
      <c r="BB2913">
        <v>1615.51</v>
      </c>
      <c r="BC2913">
        <v>0.47</v>
      </c>
      <c r="BD2913">
        <v>102.62</v>
      </c>
      <c r="BE2913">
        <v>104.5</v>
      </c>
      <c r="BF2913">
        <v>103.01</v>
      </c>
      <c r="BG2913" t="s">
        <v>26322</v>
      </c>
      <c r="BH2913" t="s">
        <v>9976</v>
      </c>
      <c r="BI2913" t="s">
        <v>26323</v>
      </c>
      <c r="BJ2913" t="s">
        <v>101</v>
      </c>
      <c r="BK2913" t="s">
        <v>16782</v>
      </c>
      <c r="BL2913" t="s">
        <v>1245</v>
      </c>
      <c r="BM2913" t="s">
        <v>20326</v>
      </c>
      <c r="BN2913" t="s">
        <v>23454</v>
      </c>
    </row>
    <row r="2914" spans="1:66" x14ac:dyDescent="0.25">
      <c r="A2914" t="str">
        <f>HYPERLINK("https://elite.finviz.com/quote.ashx?t=AMOD&amp;ty=c&amp;p=d&amp;b=1", "AMOD")</f>
        <v>AMOD</v>
      </c>
      <c r="B2914">
        <v>5</v>
      </c>
      <c r="C2914">
        <v>116.22</v>
      </c>
      <c r="D2914">
        <v>44.31</v>
      </c>
      <c r="E2914" t="s">
        <v>26324</v>
      </c>
      <c r="F2914" t="s">
        <v>107</v>
      </c>
      <c r="G2914" t="s">
        <v>108</v>
      </c>
      <c r="H2914" t="s">
        <v>136</v>
      </c>
      <c r="I2914" t="s">
        <v>70</v>
      </c>
      <c r="J2914" t="s">
        <v>321</v>
      </c>
      <c r="K2914">
        <v>44.9</v>
      </c>
      <c r="L2914">
        <v>1.07</v>
      </c>
      <c r="M2914" t="s">
        <v>6533</v>
      </c>
      <c r="N2914">
        <v>46888</v>
      </c>
      <c r="Z2914" t="s">
        <v>164</v>
      </c>
      <c r="AA2914">
        <v>-0.52</v>
      </c>
      <c r="AB2914" t="s">
        <v>18915</v>
      </c>
      <c r="AJ2914" t="s">
        <v>164</v>
      </c>
      <c r="AK2914" t="s">
        <v>206</v>
      </c>
      <c r="AL2914">
        <v>7.0000000000000007E-2</v>
      </c>
      <c r="AM2914">
        <v>7.0000000000000007E-2</v>
      </c>
      <c r="AR2914" t="s">
        <v>4377</v>
      </c>
      <c r="AS2914" t="s">
        <v>224</v>
      </c>
      <c r="AT2914" t="s">
        <v>5913</v>
      </c>
      <c r="AU2914" t="s">
        <v>9091</v>
      </c>
      <c r="AV2914" t="s">
        <v>12305</v>
      </c>
      <c r="AW2914" t="s">
        <v>1112</v>
      </c>
      <c r="AX2914" t="s">
        <v>8082</v>
      </c>
      <c r="AY2914" t="s">
        <v>3133</v>
      </c>
      <c r="AZ2914" t="s">
        <v>8082</v>
      </c>
      <c r="BB2914">
        <v>2497.8000000000002</v>
      </c>
      <c r="BC2914">
        <v>7.0000000000000007E-2</v>
      </c>
      <c r="BD2914">
        <v>1.0900000000000001</v>
      </c>
      <c r="BE2914">
        <v>1.1499999999999999</v>
      </c>
      <c r="BF2914">
        <v>1.07</v>
      </c>
      <c r="BG2914" t="s">
        <v>26325</v>
      </c>
      <c r="BH2914" t="s">
        <v>3133</v>
      </c>
      <c r="BI2914" t="s">
        <v>8082</v>
      </c>
      <c r="BJ2914" t="s">
        <v>101</v>
      </c>
      <c r="BK2914" t="s">
        <v>5641</v>
      </c>
      <c r="BL2914" t="s">
        <v>12530</v>
      </c>
      <c r="BM2914" t="s">
        <v>10982</v>
      </c>
      <c r="BN2914" t="s">
        <v>23454</v>
      </c>
    </row>
    <row r="2915" spans="1:66" x14ac:dyDescent="0.25">
      <c r="A2915" t="str">
        <f>HYPERLINK("https://elite.finviz.com/quote.ashx?t=GTES&amp;ty=c&amp;p=d&amp;b=1", "GTES")</f>
        <v>GTES</v>
      </c>
      <c r="B2915">
        <v>5</v>
      </c>
      <c r="C2915">
        <v>116.22</v>
      </c>
      <c r="D2915">
        <v>44.39</v>
      </c>
      <c r="E2915" t="s">
        <v>26326</v>
      </c>
      <c r="F2915" t="s">
        <v>107</v>
      </c>
      <c r="G2915" t="s">
        <v>260</v>
      </c>
      <c r="H2915" t="s">
        <v>261</v>
      </c>
      <c r="I2915" t="s">
        <v>70</v>
      </c>
      <c r="J2915" t="s">
        <v>71</v>
      </c>
      <c r="K2915">
        <v>6333.99</v>
      </c>
      <c r="L2915">
        <v>24.59</v>
      </c>
      <c r="M2915" t="s">
        <v>914</v>
      </c>
      <c r="N2915">
        <v>248675</v>
      </c>
      <c r="O2915">
        <v>31.61</v>
      </c>
      <c r="P2915">
        <v>14.16</v>
      </c>
      <c r="Q2915">
        <v>2.69</v>
      </c>
      <c r="R2915">
        <v>1.87</v>
      </c>
      <c r="S2915">
        <v>1.94</v>
      </c>
      <c r="Z2915" t="s">
        <v>164</v>
      </c>
      <c r="AA2915">
        <v>0.78</v>
      </c>
      <c r="AB2915" t="s">
        <v>19766</v>
      </c>
      <c r="AC2915" t="s">
        <v>14370</v>
      </c>
      <c r="AD2915" t="s">
        <v>1199</v>
      </c>
      <c r="AE2915" t="s">
        <v>4131</v>
      </c>
      <c r="AF2915" t="s">
        <v>4963</v>
      </c>
      <c r="AG2915" t="s">
        <v>1439</v>
      </c>
      <c r="AH2915" t="s">
        <v>2213</v>
      </c>
      <c r="AI2915" t="s">
        <v>1902</v>
      </c>
      <c r="AJ2915" t="s">
        <v>164</v>
      </c>
      <c r="AK2915" t="s">
        <v>26327</v>
      </c>
      <c r="AL2915">
        <v>3.46</v>
      </c>
      <c r="AM2915">
        <v>2.46</v>
      </c>
      <c r="AN2915">
        <v>0.76</v>
      </c>
      <c r="AO2915" t="s">
        <v>26328</v>
      </c>
      <c r="AP2915" t="s">
        <v>5082</v>
      </c>
      <c r="AQ2915" t="s">
        <v>3601</v>
      </c>
      <c r="AR2915" t="s">
        <v>5736</v>
      </c>
      <c r="AS2915" t="s">
        <v>2742</v>
      </c>
      <c r="AT2915" t="s">
        <v>6130</v>
      </c>
      <c r="AU2915" t="s">
        <v>3967</v>
      </c>
      <c r="AV2915" t="s">
        <v>5224</v>
      </c>
      <c r="AW2915" t="s">
        <v>6231</v>
      </c>
      <c r="AX2915" t="s">
        <v>4908</v>
      </c>
      <c r="AY2915" t="s">
        <v>6231</v>
      </c>
      <c r="AZ2915" t="s">
        <v>26329</v>
      </c>
      <c r="BA2915">
        <v>1.5</v>
      </c>
      <c r="BB2915">
        <v>2031.62</v>
      </c>
      <c r="BC2915">
        <v>0.43</v>
      </c>
      <c r="BD2915">
        <v>24.48</v>
      </c>
      <c r="BE2915">
        <v>24.8</v>
      </c>
      <c r="BF2915">
        <v>24.47</v>
      </c>
      <c r="BG2915" t="s">
        <v>26330</v>
      </c>
      <c r="BH2915" t="s">
        <v>6231</v>
      </c>
      <c r="BI2915" t="s">
        <v>26331</v>
      </c>
      <c r="BJ2915" t="s">
        <v>101</v>
      </c>
      <c r="BK2915" t="s">
        <v>3148</v>
      </c>
      <c r="BL2915" t="s">
        <v>10599</v>
      </c>
      <c r="BM2915" t="s">
        <v>7949</v>
      </c>
      <c r="BN2915" t="s">
        <v>23454</v>
      </c>
    </row>
    <row r="2916" spans="1:66" x14ac:dyDescent="0.25">
      <c r="A2916" t="str">
        <f>HYPERLINK("https://elite.finviz.com/quote.ashx?t=EXR&amp;ty=c&amp;p=d&amp;b=1", "EXR")</f>
        <v>EXR</v>
      </c>
      <c r="B2916">
        <v>5</v>
      </c>
      <c r="C2916">
        <v>116.22</v>
      </c>
      <c r="D2916">
        <v>44.39</v>
      </c>
      <c r="E2916" t="s">
        <v>26332</v>
      </c>
      <c r="F2916" t="s">
        <v>195</v>
      </c>
      <c r="G2916" t="s">
        <v>68</v>
      </c>
      <c r="H2916" t="s">
        <v>6342</v>
      </c>
      <c r="I2916" t="s">
        <v>70</v>
      </c>
      <c r="J2916" t="s">
        <v>71</v>
      </c>
      <c r="K2916">
        <v>30956.82</v>
      </c>
      <c r="L2916">
        <v>139.69999999999999</v>
      </c>
      <c r="M2916" t="s">
        <v>3551</v>
      </c>
      <c r="N2916">
        <v>188372</v>
      </c>
      <c r="O2916">
        <v>30.36</v>
      </c>
      <c r="P2916">
        <v>28.62</v>
      </c>
      <c r="Q2916">
        <v>3.61</v>
      </c>
      <c r="R2916">
        <v>9.36</v>
      </c>
      <c r="S2916">
        <v>2.15</v>
      </c>
      <c r="T2916" t="s">
        <v>3874</v>
      </c>
      <c r="U2916">
        <v>6.44</v>
      </c>
      <c r="V2916" t="s">
        <v>3833</v>
      </c>
      <c r="W2916" t="s">
        <v>164</v>
      </c>
      <c r="X2916" t="s">
        <v>12316</v>
      </c>
      <c r="Y2916" t="s">
        <v>2724</v>
      </c>
      <c r="Z2916" t="s">
        <v>26333</v>
      </c>
      <c r="AA2916">
        <v>4.5999999999999996</v>
      </c>
      <c r="AB2916" t="s">
        <v>12001</v>
      </c>
      <c r="AC2916" t="s">
        <v>8229</v>
      </c>
      <c r="AD2916" t="s">
        <v>1252</v>
      </c>
      <c r="AE2916" t="s">
        <v>3545</v>
      </c>
      <c r="AF2916" t="s">
        <v>2520</v>
      </c>
      <c r="AG2916" t="s">
        <v>876</v>
      </c>
      <c r="AH2916" t="s">
        <v>3481</v>
      </c>
      <c r="AI2916" t="s">
        <v>3671</v>
      </c>
      <c r="AJ2916" t="s">
        <v>2965</v>
      </c>
      <c r="AK2916" t="s">
        <v>13883</v>
      </c>
      <c r="AL2916">
        <v>1.03</v>
      </c>
      <c r="AM2916">
        <v>1.03</v>
      </c>
      <c r="AN2916">
        <v>0.99</v>
      </c>
      <c r="AO2916" t="s">
        <v>9441</v>
      </c>
      <c r="AP2916" t="s">
        <v>3260</v>
      </c>
      <c r="AQ2916" t="s">
        <v>4609</v>
      </c>
      <c r="AR2916" t="s">
        <v>6829</v>
      </c>
      <c r="AS2916" t="s">
        <v>2186</v>
      </c>
      <c r="AT2916" t="s">
        <v>3753</v>
      </c>
      <c r="AU2916" t="s">
        <v>5257</v>
      </c>
      <c r="AV2916" t="s">
        <v>4776</v>
      </c>
      <c r="AW2916" t="s">
        <v>4712</v>
      </c>
      <c r="AX2916" t="s">
        <v>1148</v>
      </c>
      <c r="AY2916" t="s">
        <v>12663</v>
      </c>
      <c r="AZ2916" t="s">
        <v>11482</v>
      </c>
      <c r="BA2916">
        <v>2.36</v>
      </c>
      <c r="BB2916">
        <v>1174.53</v>
      </c>
      <c r="BC2916">
        <v>0.56999999999999995</v>
      </c>
      <c r="BD2916">
        <v>137.71</v>
      </c>
      <c r="BE2916">
        <v>139.78</v>
      </c>
      <c r="BF2916">
        <v>137.93</v>
      </c>
      <c r="BG2916" t="s">
        <v>26334</v>
      </c>
      <c r="BH2916" t="s">
        <v>25878</v>
      </c>
      <c r="BI2916" t="s">
        <v>26335</v>
      </c>
      <c r="BJ2916" t="s">
        <v>101</v>
      </c>
      <c r="BK2916" t="s">
        <v>6092</v>
      </c>
      <c r="BL2916" t="s">
        <v>4704</v>
      </c>
      <c r="BM2916" t="s">
        <v>11657</v>
      </c>
      <c r="BN2916" t="s">
        <v>23454</v>
      </c>
    </row>
    <row r="2917" spans="1:66" x14ac:dyDescent="0.25">
      <c r="A2917" t="str">
        <f>HYPERLINK("https://elite.finviz.com/quote.ashx?t=STAI&amp;ty=c&amp;p=d&amp;b=1", "STAI")</f>
        <v>STAI</v>
      </c>
      <c r="B2917">
        <v>5</v>
      </c>
      <c r="C2917">
        <v>116.22</v>
      </c>
      <c r="D2917">
        <v>44.4</v>
      </c>
      <c r="E2917" t="s">
        <v>26336</v>
      </c>
      <c r="F2917" t="s">
        <v>107</v>
      </c>
      <c r="G2917" t="s">
        <v>260</v>
      </c>
      <c r="H2917" t="s">
        <v>3225</v>
      </c>
      <c r="I2917" t="s">
        <v>70</v>
      </c>
      <c r="J2917" t="s">
        <v>321</v>
      </c>
      <c r="K2917">
        <v>27.45</v>
      </c>
      <c r="L2917">
        <v>0.43</v>
      </c>
      <c r="M2917" t="s">
        <v>2498</v>
      </c>
      <c r="N2917">
        <v>682080</v>
      </c>
      <c r="O2917">
        <v>2.31</v>
      </c>
      <c r="AA2917">
        <v>0.18</v>
      </c>
      <c r="AJ2917" t="s">
        <v>72</v>
      </c>
      <c r="AK2917" t="s">
        <v>18015</v>
      </c>
      <c r="AL2917">
        <v>0.14000000000000001</v>
      </c>
      <c r="AM2917">
        <v>0.1</v>
      </c>
      <c r="AR2917" t="s">
        <v>2963</v>
      </c>
      <c r="AS2917" t="s">
        <v>4110</v>
      </c>
      <c r="AT2917" t="s">
        <v>4963</v>
      </c>
      <c r="AU2917" t="s">
        <v>7160</v>
      </c>
      <c r="AV2917" t="s">
        <v>26337</v>
      </c>
      <c r="AW2917" t="s">
        <v>26338</v>
      </c>
      <c r="AX2917" t="s">
        <v>3538</v>
      </c>
      <c r="AY2917" t="s">
        <v>26339</v>
      </c>
      <c r="AZ2917" t="s">
        <v>3538</v>
      </c>
      <c r="BB2917">
        <v>8941.67</v>
      </c>
      <c r="BC2917">
        <v>0.27</v>
      </c>
      <c r="BD2917">
        <v>0.45</v>
      </c>
      <c r="BE2917">
        <v>0.45</v>
      </c>
      <c r="BF2917">
        <v>0.42</v>
      </c>
      <c r="BG2917" t="s">
        <v>26340</v>
      </c>
      <c r="BH2917" t="s">
        <v>26339</v>
      </c>
      <c r="BI2917" t="s">
        <v>3538</v>
      </c>
      <c r="BJ2917" t="s">
        <v>101</v>
      </c>
      <c r="BK2917" t="s">
        <v>26341</v>
      </c>
      <c r="BL2917" t="s">
        <v>26342</v>
      </c>
      <c r="BM2917" t="s">
        <v>16800</v>
      </c>
      <c r="BN2917" t="s">
        <v>23454</v>
      </c>
    </row>
    <row r="2918" spans="1:66" x14ac:dyDescent="0.25">
      <c r="A2918" t="str">
        <f>HYPERLINK("https://elite.finviz.com/quote.ashx?t=CG&amp;ty=c&amp;p=d&amp;b=1", "CG")</f>
        <v>CG</v>
      </c>
      <c r="B2918">
        <v>5</v>
      </c>
      <c r="C2918">
        <v>116.22</v>
      </c>
      <c r="D2918">
        <v>44.45</v>
      </c>
      <c r="E2918" t="s">
        <v>26343</v>
      </c>
      <c r="F2918" t="s">
        <v>107</v>
      </c>
      <c r="G2918" t="s">
        <v>550</v>
      </c>
      <c r="H2918" t="s">
        <v>2597</v>
      </c>
      <c r="I2918" t="s">
        <v>70</v>
      </c>
      <c r="J2918" t="s">
        <v>321</v>
      </c>
      <c r="K2918">
        <v>23018.9</v>
      </c>
      <c r="L2918">
        <v>63.64</v>
      </c>
      <c r="M2918" t="s">
        <v>7709</v>
      </c>
      <c r="N2918">
        <v>344183</v>
      </c>
      <c r="O2918">
        <v>18.57</v>
      </c>
      <c r="P2918">
        <v>13.12</v>
      </c>
      <c r="Q2918">
        <v>1.35</v>
      </c>
      <c r="R2918">
        <v>3.69</v>
      </c>
      <c r="S2918">
        <v>3.9</v>
      </c>
      <c r="T2918" t="s">
        <v>2808</v>
      </c>
      <c r="U2918">
        <v>1.4</v>
      </c>
      <c r="V2918" t="s">
        <v>1440</v>
      </c>
      <c r="W2918" t="s">
        <v>907</v>
      </c>
      <c r="X2918" t="s">
        <v>4079</v>
      </c>
      <c r="Y2918" t="s">
        <v>2571</v>
      </c>
      <c r="Z2918" t="s">
        <v>12472</v>
      </c>
      <c r="AA2918">
        <v>3.43</v>
      </c>
      <c r="AB2918" t="s">
        <v>4195</v>
      </c>
      <c r="AC2918" t="s">
        <v>6871</v>
      </c>
      <c r="AD2918" t="s">
        <v>5743</v>
      </c>
      <c r="AE2918" t="s">
        <v>23919</v>
      </c>
      <c r="AF2918" t="s">
        <v>8624</v>
      </c>
      <c r="AG2918" t="s">
        <v>9515</v>
      </c>
      <c r="AH2918" t="s">
        <v>10783</v>
      </c>
      <c r="AI2918" t="s">
        <v>387</v>
      </c>
      <c r="AJ2918" t="s">
        <v>2003</v>
      </c>
      <c r="AK2918" t="s">
        <v>24547</v>
      </c>
      <c r="AL2918">
        <v>1.53</v>
      </c>
      <c r="AM2918">
        <v>1.53</v>
      </c>
      <c r="AN2918">
        <v>1.83</v>
      </c>
      <c r="AO2918" t="s">
        <v>26344</v>
      </c>
      <c r="AP2918" t="s">
        <v>20778</v>
      </c>
      <c r="AQ2918" t="s">
        <v>1814</v>
      </c>
      <c r="AR2918" t="s">
        <v>2662</v>
      </c>
      <c r="AS2918" t="s">
        <v>465</v>
      </c>
      <c r="AT2918" t="s">
        <v>9022</v>
      </c>
      <c r="AU2918" t="s">
        <v>2906</v>
      </c>
      <c r="AV2918" t="s">
        <v>9229</v>
      </c>
      <c r="AW2918" t="s">
        <v>15157</v>
      </c>
      <c r="AX2918" t="s">
        <v>6466</v>
      </c>
      <c r="AY2918" t="s">
        <v>15157</v>
      </c>
      <c r="AZ2918" t="s">
        <v>22798</v>
      </c>
      <c r="BA2918">
        <v>2.11</v>
      </c>
      <c r="BB2918">
        <v>2760.6</v>
      </c>
      <c r="BC2918">
        <v>0.44</v>
      </c>
      <c r="BD2918">
        <v>63.65</v>
      </c>
      <c r="BE2918">
        <v>64.63</v>
      </c>
      <c r="BF2918">
        <v>63.42</v>
      </c>
      <c r="BG2918" t="s">
        <v>26345</v>
      </c>
      <c r="BH2918" t="s">
        <v>15157</v>
      </c>
      <c r="BI2918" t="s">
        <v>26346</v>
      </c>
      <c r="BJ2918" t="s">
        <v>101</v>
      </c>
      <c r="BK2918" t="s">
        <v>10947</v>
      </c>
      <c r="BL2918" t="s">
        <v>16858</v>
      </c>
      <c r="BM2918" t="s">
        <v>4006</v>
      </c>
      <c r="BN2918" t="s">
        <v>23454</v>
      </c>
    </row>
    <row r="2919" spans="1:66" x14ac:dyDescent="0.25">
      <c r="A2919" t="str">
        <f>HYPERLINK("https://elite.finviz.com/quote.ashx?t=MCHP&amp;ty=c&amp;p=d&amp;b=1", "MCHP")</f>
        <v>MCHP</v>
      </c>
      <c r="B2919">
        <v>5</v>
      </c>
      <c r="C2919">
        <v>116.22</v>
      </c>
      <c r="D2919">
        <v>44.48</v>
      </c>
      <c r="E2919" t="s">
        <v>26347</v>
      </c>
      <c r="F2919" t="s">
        <v>319</v>
      </c>
      <c r="G2919" t="s">
        <v>108</v>
      </c>
      <c r="H2919" t="s">
        <v>1808</v>
      </c>
      <c r="I2919" t="s">
        <v>70</v>
      </c>
      <c r="J2919" t="s">
        <v>321</v>
      </c>
      <c r="K2919">
        <v>34593.519999999997</v>
      </c>
      <c r="L2919">
        <v>64.099999999999994</v>
      </c>
      <c r="M2919" t="s">
        <v>5789</v>
      </c>
      <c r="N2919">
        <v>961596</v>
      </c>
      <c r="P2919">
        <v>25.15</v>
      </c>
      <c r="R2919">
        <v>8.17</v>
      </c>
      <c r="S2919">
        <v>5.04</v>
      </c>
      <c r="T2919" t="s">
        <v>5132</v>
      </c>
      <c r="U2919">
        <v>1.82</v>
      </c>
      <c r="V2919" t="s">
        <v>4186</v>
      </c>
      <c r="W2919" t="s">
        <v>5658</v>
      </c>
      <c r="X2919" t="s">
        <v>3397</v>
      </c>
      <c r="Y2919" t="s">
        <v>5719</v>
      </c>
      <c r="AA2919">
        <v>-0.33</v>
      </c>
      <c r="AD2919" t="s">
        <v>18281</v>
      </c>
      <c r="AE2919" t="s">
        <v>26348</v>
      </c>
      <c r="AF2919" t="s">
        <v>7237</v>
      </c>
      <c r="AG2919" t="s">
        <v>3586</v>
      </c>
      <c r="AH2919" t="s">
        <v>4115</v>
      </c>
      <c r="AI2919" t="s">
        <v>1925</v>
      </c>
      <c r="AJ2919" t="s">
        <v>1554</v>
      </c>
      <c r="AK2919" t="s">
        <v>26349</v>
      </c>
      <c r="AL2919">
        <v>2.31</v>
      </c>
      <c r="AM2919">
        <v>1.33</v>
      </c>
      <c r="AN2919">
        <v>0.8</v>
      </c>
      <c r="AO2919" t="s">
        <v>666</v>
      </c>
      <c r="AP2919" t="s">
        <v>5163</v>
      </c>
      <c r="AQ2919" t="s">
        <v>6123</v>
      </c>
      <c r="AR2919" t="s">
        <v>2080</v>
      </c>
      <c r="AS2919" t="s">
        <v>1769</v>
      </c>
      <c r="AT2919" t="s">
        <v>4328</v>
      </c>
      <c r="AU2919" t="s">
        <v>9279</v>
      </c>
      <c r="AV2919" t="s">
        <v>3507</v>
      </c>
      <c r="AW2919" t="s">
        <v>6591</v>
      </c>
      <c r="AX2919" t="s">
        <v>5027</v>
      </c>
      <c r="AY2919" t="s">
        <v>9868</v>
      </c>
      <c r="AZ2919" t="s">
        <v>8243</v>
      </c>
      <c r="BA2919">
        <v>1.69</v>
      </c>
      <c r="BB2919">
        <v>8236.34</v>
      </c>
      <c r="BC2919">
        <v>0.41</v>
      </c>
      <c r="BD2919">
        <v>64.84</v>
      </c>
      <c r="BE2919">
        <v>64.77</v>
      </c>
      <c r="BF2919">
        <v>63.76</v>
      </c>
      <c r="BG2919" t="s">
        <v>26350</v>
      </c>
      <c r="BH2919" t="s">
        <v>6243</v>
      </c>
      <c r="BI2919" t="s">
        <v>26351</v>
      </c>
      <c r="BJ2919" t="s">
        <v>101</v>
      </c>
      <c r="BK2919" t="s">
        <v>20059</v>
      </c>
      <c r="BL2919" t="s">
        <v>11747</v>
      </c>
      <c r="BM2919" t="s">
        <v>4318</v>
      </c>
      <c r="BN2919" t="s">
        <v>23454</v>
      </c>
    </row>
    <row r="2920" spans="1:66" x14ac:dyDescent="0.25">
      <c r="A2920" t="str">
        <f>HYPERLINK("https://elite.finviz.com/quote.ashx?t=TWST&amp;ty=c&amp;p=d&amp;b=1", "TWST")</f>
        <v>TWST</v>
      </c>
      <c r="B2920">
        <v>5</v>
      </c>
      <c r="C2920">
        <v>116.22</v>
      </c>
      <c r="D2920">
        <v>44.49</v>
      </c>
      <c r="E2920" t="s">
        <v>26352</v>
      </c>
      <c r="F2920" t="s">
        <v>67</v>
      </c>
      <c r="G2920" t="s">
        <v>428</v>
      </c>
      <c r="H2920" t="s">
        <v>4202</v>
      </c>
      <c r="I2920" t="s">
        <v>70</v>
      </c>
      <c r="J2920" t="s">
        <v>321</v>
      </c>
      <c r="K2920">
        <v>1595.03</v>
      </c>
      <c r="L2920">
        <v>26.42</v>
      </c>
      <c r="M2920" t="s">
        <v>2518</v>
      </c>
      <c r="N2920">
        <v>274642</v>
      </c>
      <c r="R2920">
        <v>4.4000000000000004</v>
      </c>
      <c r="S2920">
        <v>3.33</v>
      </c>
      <c r="AA2920">
        <v>-1.45</v>
      </c>
      <c r="AB2920" t="s">
        <v>4396</v>
      </c>
      <c r="AC2920" t="s">
        <v>908</v>
      </c>
      <c r="AD2920" t="s">
        <v>674</v>
      </c>
      <c r="AE2920" t="s">
        <v>10109</v>
      </c>
      <c r="AF2920" t="s">
        <v>8381</v>
      </c>
      <c r="AG2920" t="s">
        <v>8360</v>
      </c>
      <c r="AH2920" t="s">
        <v>9350</v>
      </c>
      <c r="AI2920" t="s">
        <v>26353</v>
      </c>
      <c r="AJ2920" t="s">
        <v>7865</v>
      </c>
      <c r="AK2920" t="s">
        <v>26354</v>
      </c>
      <c r="AL2920">
        <v>3.9</v>
      </c>
      <c r="AM2920">
        <v>3.6</v>
      </c>
      <c r="AN2920">
        <v>0.16</v>
      </c>
      <c r="AO2920" t="s">
        <v>12051</v>
      </c>
      <c r="AP2920" t="s">
        <v>26355</v>
      </c>
      <c r="AQ2920" t="s">
        <v>9245</v>
      </c>
      <c r="AR2920" t="s">
        <v>5497</v>
      </c>
      <c r="AS2920" t="s">
        <v>7978</v>
      </c>
      <c r="AT2920" t="s">
        <v>629</v>
      </c>
      <c r="AU2920" t="s">
        <v>6783</v>
      </c>
      <c r="AV2920" t="s">
        <v>15761</v>
      </c>
      <c r="AW2920" t="s">
        <v>26356</v>
      </c>
      <c r="AX2920" t="s">
        <v>5653</v>
      </c>
      <c r="AY2920" t="s">
        <v>5645</v>
      </c>
      <c r="AZ2920" t="s">
        <v>5653</v>
      </c>
      <c r="BA2920">
        <v>1.44</v>
      </c>
      <c r="BB2920">
        <v>1469.9</v>
      </c>
      <c r="BC2920">
        <v>0.66</v>
      </c>
      <c r="BD2920">
        <v>26.75</v>
      </c>
      <c r="BE2920">
        <v>26.99</v>
      </c>
      <c r="BF2920">
        <v>26.39</v>
      </c>
      <c r="BG2920" t="s">
        <v>26357</v>
      </c>
      <c r="BH2920" t="s">
        <v>26358</v>
      </c>
      <c r="BI2920" t="s">
        <v>26359</v>
      </c>
      <c r="BJ2920" t="s">
        <v>101</v>
      </c>
      <c r="BK2920" t="s">
        <v>8250</v>
      </c>
      <c r="BL2920" t="s">
        <v>5848</v>
      </c>
      <c r="BM2920" t="s">
        <v>26360</v>
      </c>
      <c r="BN2920" t="s">
        <v>23454</v>
      </c>
    </row>
    <row r="2921" spans="1:66" x14ac:dyDescent="0.25">
      <c r="A2921" t="str">
        <f>HYPERLINK("https://elite.finviz.com/quote.ashx?t=NAOV&amp;ty=c&amp;p=d&amp;b=1", "NAOV")</f>
        <v>NAOV</v>
      </c>
      <c r="B2921">
        <v>5</v>
      </c>
      <c r="C2921">
        <v>116.22</v>
      </c>
      <c r="D2921">
        <v>44.5</v>
      </c>
      <c r="E2921" t="s">
        <v>26361</v>
      </c>
      <c r="F2921" t="s">
        <v>107</v>
      </c>
      <c r="G2921" t="s">
        <v>428</v>
      </c>
      <c r="H2921" t="s">
        <v>2051</v>
      </c>
      <c r="I2921" t="s">
        <v>70</v>
      </c>
      <c r="J2921" t="s">
        <v>321</v>
      </c>
      <c r="K2921">
        <v>5.12</v>
      </c>
      <c r="L2921">
        <v>5.88</v>
      </c>
      <c r="M2921" t="s">
        <v>2826</v>
      </c>
      <c r="N2921">
        <v>11470</v>
      </c>
      <c r="R2921">
        <v>2.19</v>
      </c>
      <c r="S2921">
        <v>0.01</v>
      </c>
      <c r="AA2921">
        <v>-134.41999999999999</v>
      </c>
      <c r="AB2921" t="s">
        <v>13290</v>
      </c>
      <c r="AC2921" t="s">
        <v>3703</v>
      </c>
      <c r="AE2921" t="s">
        <v>23163</v>
      </c>
      <c r="AF2921" t="s">
        <v>683</v>
      </c>
      <c r="AG2921" t="s">
        <v>18003</v>
      </c>
      <c r="AH2921" t="s">
        <v>19995</v>
      </c>
      <c r="AJ2921" t="s">
        <v>164</v>
      </c>
      <c r="AK2921" t="s">
        <v>430</v>
      </c>
      <c r="AL2921">
        <v>1.05</v>
      </c>
      <c r="AM2921">
        <v>0.72</v>
      </c>
      <c r="AN2921">
        <v>0.05</v>
      </c>
      <c r="AO2921" t="s">
        <v>26362</v>
      </c>
      <c r="AP2921" t="s">
        <v>26363</v>
      </c>
      <c r="AQ2921" t="s">
        <v>26364</v>
      </c>
      <c r="AR2921" t="s">
        <v>14933</v>
      </c>
      <c r="AS2921" t="s">
        <v>3490</v>
      </c>
      <c r="AT2921" t="s">
        <v>4410</v>
      </c>
      <c r="AU2921" t="s">
        <v>410</v>
      </c>
      <c r="AV2921" t="s">
        <v>26365</v>
      </c>
      <c r="AW2921" t="s">
        <v>16886</v>
      </c>
      <c r="AX2921" t="s">
        <v>6681</v>
      </c>
      <c r="AY2921" t="s">
        <v>26366</v>
      </c>
      <c r="AZ2921" t="s">
        <v>6681</v>
      </c>
      <c r="BA2921">
        <v>1</v>
      </c>
      <c r="BB2921">
        <v>1059.69</v>
      </c>
      <c r="BC2921">
        <v>0.04</v>
      </c>
      <c r="BD2921">
        <v>5.96</v>
      </c>
      <c r="BE2921">
        <v>6.14</v>
      </c>
      <c r="BF2921">
        <v>5.86</v>
      </c>
      <c r="BG2921" t="s">
        <v>26367</v>
      </c>
      <c r="BH2921" t="s">
        <v>5233</v>
      </c>
      <c r="BI2921" t="s">
        <v>6681</v>
      </c>
      <c r="BJ2921" t="s">
        <v>101</v>
      </c>
      <c r="BK2921" t="s">
        <v>19390</v>
      </c>
      <c r="BL2921" t="s">
        <v>13101</v>
      </c>
      <c r="BM2921" t="s">
        <v>26368</v>
      </c>
      <c r="BN2921" t="s">
        <v>23454</v>
      </c>
    </row>
    <row r="2922" spans="1:66" x14ac:dyDescent="0.25">
      <c r="A2922" t="str">
        <f>HYPERLINK("https://elite.finviz.com/quote.ashx?t=GERN&amp;ty=c&amp;p=d&amp;b=1", "GERN")</f>
        <v>GERN</v>
      </c>
      <c r="B2922">
        <v>5</v>
      </c>
      <c r="C2922">
        <v>116.22</v>
      </c>
      <c r="D2922">
        <v>44.58</v>
      </c>
      <c r="E2922" t="s">
        <v>26369</v>
      </c>
      <c r="F2922" t="s">
        <v>67</v>
      </c>
      <c r="G2922" t="s">
        <v>428</v>
      </c>
      <c r="H2922" t="s">
        <v>429</v>
      </c>
      <c r="I2922" t="s">
        <v>70</v>
      </c>
      <c r="J2922" t="s">
        <v>321</v>
      </c>
      <c r="K2922">
        <v>822.72</v>
      </c>
      <c r="L2922">
        <v>1.29</v>
      </c>
      <c r="M2922" t="s">
        <v>2572</v>
      </c>
      <c r="N2922">
        <v>652205</v>
      </c>
      <c r="R2922">
        <v>5</v>
      </c>
      <c r="S2922">
        <v>3.17</v>
      </c>
      <c r="AA2922">
        <v>-0.13</v>
      </c>
      <c r="AB2922" t="s">
        <v>1341</v>
      </c>
      <c r="AC2922" t="s">
        <v>334</v>
      </c>
      <c r="AE2922" t="s">
        <v>26370</v>
      </c>
      <c r="AF2922" t="s">
        <v>26371</v>
      </c>
      <c r="AG2922" t="s">
        <v>26372</v>
      </c>
      <c r="AH2922" t="s">
        <v>26373</v>
      </c>
      <c r="AI2922" t="s">
        <v>12768</v>
      </c>
      <c r="AJ2922" t="s">
        <v>629</v>
      </c>
      <c r="AK2922" t="s">
        <v>23128</v>
      </c>
      <c r="AL2922">
        <v>7.87</v>
      </c>
      <c r="AM2922">
        <v>6.79</v>
      </c>
      <c r="AN2922">
        <v>0.96</v>
      </c>
      <c r="AO2922" t="s">
        <v>15573</v>
      </c>
      <c r="AP2922" t="s">
        <v>24020</v>
      </c>
      <c r="AQ2922" t="s">
        <v>26374</v>
      </c>
      <c r="AR2922" t="s">
        <v>2811</v>
      </c>
      <c r="AS2922" t="s">
        <v>3524</v>
      </c>
      <c r="AT2922" t="s">
        <v>4168</v>
      </c>
      <c r="AU2922" t="s">
        <v>3315</v>
      </c>
      <c r="AV2922" t="s">
        <v>22132</v>
      </c>
      <c r="AW2922" t="s">
        <v>16135</v>
      </c>
      <c r="AX2922" t="s">
        <v>10775</v>
      </c>
      <c r="AY2922" t="s">
        <v>26375</v>
      </c>
      <c r="AZ2922" t="s">
        <v>10775</v>
      </c>
      <c r="BA2922">
        <v>2</v>
      </c>
      <c r="BB2922">
        <v>9003.06</v>
      </c>
      <c r="BC2922">
        <v>0.26</v>
      </c>
      <c r="BD2922">
        <v>1.27</v>
      </c>
      <c r="BE2922">
        <v>1.29</v>
      </c>
      <c r="BF2922">
        <v>1.27</v>
      </c>
      <c r="BG2922" t="s">
        <v>26376</v>
      </c>
      <c r="BH2922" t="s">
        <v>17168</v>
      </c>
      <c r="BI2922" t="s">
        <v>9974</v>
      </c>
      <c r="BJ2922" t="s">
        <v>101</v>
      </c>
      <c r="BK2922" t="s">
        <v>10383</v>
      </c>
      <c r="BL2922" t="s">
        <v>25151</v>
      </c>
      <c r="BM2922" t="s">
        <v>26377</v>
      </c>
      <c r="BN2922" t="s">
        <v>23454</v>
      </c>
    </row>
    <row r="2923" spans="1:66" x14ac:dyDescent="0.25">
      <c r="A2923" t="str">
        <f>HYPERLINK("https://elite.finviz.com/quote.ashx?t=MWA&amp;ty=c&amp;p=d&amp;b=1", "MWA")</f>
        <v>MWA</v>
      </c>
      <c r="B2923">
        <v>5</v>
      </c>
      <c r="C2923">
        <v>116.22</v>
      </c>
      <c r="D2923">
        <v>44.62</v>
      </c>
      <c r="E2923" t="s">
        <v>26378</v>
      </c>
      <c r="F2923" t="s">
        <v>67</v>
      </c>
      <c r="G2923" t="s">
        <v>260</v>
      </c>
      <c r="H2923" t="s">
        <v>261</v>
      </c>
      <c r="I2923" t="s">
        <v>70</v>
      </c>
      <c r="J2923" t="s">
        <v>71</v>
      </c>
      <c r="K2923">
        <v>3923.28</v>
      </c>
      <c r="L2923">
        <v>25.1</v>
      </c>
      <c r="M2923" t="s">
        <v>84</v>
      </c>
      <c r="N2923">
        <v>88893</v>
      </c>
      <c r="O2923">
        <v>26.51</v>
      </c>
      <c r="P2923">
        <v>17.8</v>
      </c>
      <c r="Q2923">
        <v>1.69</v>
      </c>
      <c r="R2923">
        <v>2.81</v>
      </c>
      <c r="S2923">
        <v>4.22</v>
      </c>
      <c r="T2923" t="s">
        <v>344</v>
      </c>
      <c r="U2923">
        <v>0.27</v>
      </c>
      <c r="V2923" t="s">
        <v>7906</v>
      </c>
      <c r="W2923" t="s">
        <v>5658</v>
      </c>
      <c r="X2923" t="s">
        <v>4641</v>
      </c>
      <c r="Y2923" t="s">
        <v>896</v>
      </c>
      <c r="Z2923" t="s">
        <v>7666</v>
      </c>
      <c r="AA2923">
        <v>0.95</v>
      </c>
      <c r="AB2923" t="s">
        <v>6834</v>
      </c>
      <c r="AC2923" t="s">
        <v>9987</v>
      </c>
      <c r="AD2923" t="s">
        <v>4834</v>
      </c>
      <c r="AE2923" t="s">
        <v>185</v>
      </c>
      <c r="AF2923" t="s">
        <v>1576</v>
      </c>
      <c r="AG2923" t="s">
        <v>3148</v>
      </c>
      <c r="AH2923" t="s">
        <v>6106</v>
      </c>
      <c r="AI2923" t="s">
        <v>3336</v>
      </c>
      <c r="AJ2923" t="s">
        <v>1444</v>
      </c>
      <c r="AK2923" t="s">
        <v>26379</v>
      </c>
      <c r="AL2923">
        <v>3.86</v>
      </c>
      <c r="AM2923">
        <v>2.56</v>
      </c>
      <c r="AN2923">
        <v>0.52</v>
      </c>
      <c r="AO2923" t="s">
        <v>11738</v>
      </c>
      <c r="AP2923" t="s">
        <v>15372</v>
      </c>
      <c r="AQ2923" t="s">
        <v>531</v>
      </c>
      <c r="AR2923" t="s">
        <v>2201</v>
      </c>
      <c r="AS2923" t="s">
        <v>3635</v>
      </c>
      <c r="AT2923" t="s">
        <v>7808</v>
      </c>
      <c r="AU2923" t="s">
        <v>1080</v>
      </c>
      <c r="AV2923" t="s">
        <v>149</v>
      </c>
      <c r="AW2923" t="s">
        <v>5674</v>
      </c>
      <c r="AX2923" t="s">
        <v>204</v>
      </c>
      <c r="AY2923" t="s">
        <v>15315</v>
      </c>
      <c r="AZ2923" t="s">
        <v>8057</v>
      </c>
      <c r="BA2923">
        <v>2.33</v>
      </c>
      <c r="BB2923">
        <v>1233.68</v>
      </c>
      <c r="BC2923">
        <v>0.25</v>
      </c>
      <c r="BD2923">
        <v>24.91</v>
      </c>
      <c r="BE2923">
        <v>25.18</v>
      </c>
      <c r="BF2923">
        <v>24.93</v>
      </c>
      <c r="BG2923" t="s">
        <v>26380</v>
      </c>
      <c r="BH2923" t="s">
        <v>15315</v>
      </c>
      <c r="BI2923" t="s">
        <v>26381</v>
      </c>
      <c r="BJ2923" t="s">
        <v>101</v>
      </c>
      <c r="BK2923" t="s">
        <v>1981</v>
      </c>
      <c r="BL2923" t="s">
        <v>2431</v>
      </c>
      <c r="BM2923" t="s">
        <v>8982</v>
      </c>
      <c r="BN2923" t="s">
        <v>23454</v>
      </c>
    </row>
    <row r="2924" spans="1:66" x14ac:dyDescent="0.25">
      <c r="A2924" t="str">
        <f>HYPERLINK("https://elite.finviz.com/quote.ashx?t=ABTC&amp;ty=c&amp;p=d&amp;b=1", "ABTC")</f>
        <v>ABTC</v>
      </c>
      <c r="B2924">
        <v>5</v>
      </c>
      <c r="C2924">
        <v>116.22</v>
      </c>
      <c r="D2924">
        <v>44.71</v>
      </c>
      <c r="E2924" t="s">
        <v>26382</v>
      </c>
      <c r="F2924" t="s">
        <v>107</v>
      </c>
      <c r="G2924" t="s">
        <v>550</v>
      </c>
      <c r="H2924" t="s">
        <v>551</v>
      </c>
      <c r="I2924" t="s">
        <v>70</v>
      </c>
      <c r="J2924" t="s">
        <v>321</v>
      </c>
      <c r="K2924">
        <v>1144.5999999999999</v>
      </c>
      <c r="L2924">
        <v>6.49</v>
      </c>
      <c r="M2924" t="s">
        <v>900</v>
      </c>
      <c r="N2924">
        <v>1139132</v>
      </c>
      <c r="R2924">
        <v>109.32</v>
      </c>
      <c r="AA2924">
        <v>-1.49</v>
      </c>
      <c r="AB2924" t="s">
        <v>15528</v>
      </c>
      <c r="AC2924" t="s">
        <v>7067</v>
      </c>
      <c r="AF2924" t="s">
        <v>3758</v>
      </c>
      <c r="AG2924" t="s">
        <v>5914</v>
      </c>
      <c r="AH2924" t="s">
        <v>18064</v>
      </c>
      <c r="AI2924" t="s">
        <v>26383</v>
      </c>
      <c r="AJ2924" t="s">
        <v>15316</v>
      </c>
      <c r="AK2924" t="s">
        <v>1763</v>
      </c>
      <c r="AL2924">
        <v>0.25</v>
      </c>
      <c r="AM2924">
        <v>0.25</v>
      </c>
      <c r="AO2924" t="s">
        <v>26384</v>
      </c>
      <c r="AP2924" t="s">
        <v>26385</v>
      </c>
      <c r="AQ2924" t="s">
        <v>26386</v>
      </c>
      <c r="AR2924" t="s">
        <v>8125</v>
      </c>
      <c r="AS2924" t="s">
        <v>9887</v>
      </c>
      <c r="AT2924" t="s">
        <v>10520</v>
      </c>
      <c r="AU2924" t="s">
        <v>1779</v>
      </c>
      <c r="AV2924" t="s">
        <v>12373</v>
      </c>
      <c r="AW2924" t="s">
        <v>26387</v>
      </c>
      <c r="AX2924" t="s">
        <v>6996</v>
      </c>
      <c r="AY2924" t="s">
        <v>26388</v>
      </c>
      <c r="AZ2924" t="s">
        <v>26389</v>
      </c>
      <c r="BA2924">
        <v>3</v>
      </c>
      <c r="BB2924">
        <v>3955.7</v>
      </c>
      <c r="BC2924">
        <v>1.01</v>
      </c>
      <c r="BD2924">
        <v>6.69</v>
      </c>
      <c r="BE2924">
        <v>6.7</v>
      </c>
      <c r="BF2924">
        <v>6.44</v>
      </c>
      <c r="BG2924" t="s">
        <v>26390</v>
      </c>
      <c r="BH2924" t="s">
        <v>579</v>
      </c>
      <c r="BI2924" t="s">
        <v>26389</v>
      </c>
      <c r="BJ2924" t="s">
        <v>101</v>
      </c>
      <c r="BK2924" t="s">
        <v>3108</v>
      </c>
      <c r="BL2924" t="s">
        <v>26391</v>
      </c>
      <c r="BM2924" t="s">
        <v>26392</v>
      </c>
      <c r="BN2924" t="s">
        <v>23454</v>
      </c>
    </row>
    <row r="2925" spans="1:66" x14ac:dyDescent="0.25">
      <c r="A2925" t="str">
        <f>HYPERLINK("https://elite.finviz.com/quote.ashx?t=IBRX&amp;ty=c&amp;p=d&amp;b=1", "IBRX")</f>
        <v>IBRX</v>
      </c>
      <c r="B2925">
        <v>5</v>
      </c>
      <c r="C2925">
        <v>116.22</v>
      </c>
      <c r="D2925">
        <v>44.8</v>
      </c>
      <c r="E2925" t="s">
        <v>26393</v>
      </c>
      <c r="F2925" t="s">
        <v>67</v>
      </c>
      <c r="G2925" t="s">
        <v>428</v>
      </c>
      <c r="H2925" t="s">
        <v>429</v>
      </c>
      <c r="I2925" t="s">
        <v>70</v>
      </c>
      <c r="J2925" t="s">
        <v>321</v>
      </c>
      <c r="K2925">
        <v>2338.19</v>
      </c>
      <c r="L2925">
        <v>2.4700000000000002</v>
      </c>
      <c r="M2925" t="s">
        <v>2418</v>
      </c>
      <c r="N2925">
        <v>1669438</v>
      </c>
      <c r="R2925">
        <v>41.31</v>
      </c>
      <c r="AA2925">
        <v>-0.49</v>
      </c>
      <c r="AB2925" t="s">
        <v>15543</v>
      </c>
      <c r="AC2925" t="s">
        <v>744</v>
      </c>
      <c r="AD2925" t="s">
        <v>26394</v>
      </c>
      <c r="AE2925" t="s">
        <v>26395</v>
      </c>
      <c r="AF2925" t="s">
        <v>26396</v>
      </c>
      <c r="AG2925" t="s">
        <v>26397</v>
      </c>
      <c r="AH2925" t="s">
        <v>26398</v>
      </c>
      <c r="AI2925" t="s">
        <v>2816</v>
      </c>
      <c r="AJ2925" t="s">
        <v>164</v>
      </c>
      <c r="AK2925" t="s">
        <v>3077</v>
      </c>
      <c r="AL2925">
        <v>4.1100000000000003</v>
      </c>
      <c r="AM2925">
        <v>3.98</v>
      </c>
      <c r="AO2925" t="s">
        <v>21037</v>
      </c>
      <c r="AP2925" t="s">
        <v>26399</v>
      </c>
      <c r="AQ2925" t="s">
        <v>26400</v>
      </c>
      <c r="AR2925" t="s">
        <v>2809</v>
      </c>
      <c r="AS2925" t="s">
        <v>896</v>
      </c>
      <c r="AT2925" t="s">
        <v>2357</v>
      </c>
      <c r="AU2925" t="s">
        <v>5661</v>
      </c>
      <c r="AV2925" t="s">
        <v>7951</v>
      </c>
      <c r="AW2925" t="s">
        <v>15674</v>
      </c>
      <c r="AX2925" t="s">
        <v>6748</v>
      </c>
      <c r="AY2925" t="s">
        <v>11352</v>
      </c>
      <c r="AZ2925" t="s">
        <v>12535</v>
      </c>
      <c r="BA2925">
        <v>1</v>
      </c>
      <c r="BB2925">
        <v>8982.15</v>
      </c>
      <c r="BC2925">
        <v>0.65</v>
      </c>
      <c r="BD2925">
        <v>2.46</v>
      </c>
      <c r="BE2925">
        <v>2.5</v>
      </c>
      <c r="BF2925">
        <v>2.44</v>
      </c>
      <c r="BG2925" t="s">
        <v>26401</v>
      </c>
      <c r="BH2925" t="s">
        <v>26402</v>
      </c>
      <c r="BI2925" t="s">
        <v>26403</v>
      </c>
      <c r="BJ2925" t="s">
        <v>101</v>
      </c>
      <c r="BK2925" t="s">
        <v>1537</v>
      </c>
      <c r="BL2925" t="s">
        <v>1400</v>
      </c>
      <c r="BM2925" t="s">
        <v>1189</v>
      </c>
      <c r="BN2925" t="s">
        <v>23454</v>
      </c>
    </row>
    <row r="2926" spans="1:66" x14ac:dyDescent="0.25">
      <c r="A2926" t="str">
        <f>HYPERLINK("https://elite.finviz.com/quote.ashx?t=CSCO&amp;ty=c&amp;p=d&amp;b=1", "CSCO")</f>
        <v>CSCO</v>
      </c>
      <c r="B2926">
        <v>5</v>
      </c>
      <c r="C2926">
        <v>116.22</v>
      </c>
      <c r="D2926">
        <v>44.82</v>
      </c>
      <c r="E2926" t="s">
        <v>26404</v>
      </c>
      <c r="F2926" t="s">
        <v>13356</v>
      </c>
      <c r="G2926" t="s">
        <v>108</v>
      </c>
      <c r="H2926" t="s">
        <v>1921</v>
      </c>
      <c r="I2926" t="s">
        <v>70</v>
      </c>
      <c r="J2926" t="s">
        <v>321</v>
      </c>
      <c r="K2926">
        <v>264483.51</v>
      </c>
      <c r="L2926">
        <v>66.900000000000006</v>
      </c>
      <c r="M2926" t="s">
        <v>4938</v>
      </c>
      <c r="N2926">
        <v>3458829</v>
      </c>
      <c r="O2926">
        <v>25.62</v>
      </c>
      <c r="P2926">
        <v>15.4</v>
      </c>
      <c r="Q2926">
        <v>4.59</v>
      </c>
      <c r="R2926">
        <v>4.67</v>
      </c>
      <c r="S2926">
        <v>5.66</v>
      </c>
      <c r="T2926" t="s">
        <v>2789</v>
      </c>
      <c r="U2926">
        <v>1.62</v>
      </c>
      <c r="V2926" t="s">
        <v>4105</v>
      </c>
      <c r="W2926" t="s">
        <v>1776</v>
      </c>
      <c r="X2926" t="s">
        <v>2742</v>
      </c>
      <c r="Y2926" t="s">
        <v>4216</v>
      </c>
      <c r="Z2926" t="s">
        <v>3572</v>
      </c>
      <c r="AA2926">
        <v>2.61</v>
      </c>
      <c r="AB2926" t="s">
        <v>799</v>
      </c>
      <c r="AC2926" t="s">
        <v>6298</v>
      </c>
      <c r="AD2926" t="s">
        <v>3057</v>
      </c>
      <c r="AE2926" t="s">
        <v>4172</v>
      </c>
      <c r="AF2926" t="s">
        <v>1391</v>
      </c>
      <c r="AG2926" t="s">
        <v>465</v>
      </c>
      <c r="AH2926" t="s">
        <v>2796</v>
      </c>
      <c r="AI2926" t="s">
        <v>4881</v>
      </c>
      <c r="AJ2926" t="s">
        <v>4501</v>
      </c>
      <c r="AK2926" t="s">
        <v>26405</v>
      </c>
      <c r="AL2926">
        <v>1</v>
      </c>
      <c r="AM2926">
        <v>0.91</v>
      </c>
      <c r="AN2926">
        <v>0.63</v>
      </c>
      <c r="AO2926" t="s">
        <v>17284</v>
      </c>
      <c r="AP2926" t="s">
        <v>361</v>
      </c>
      <c r="AQ2926" t="s">
        <v>9865</v>
      </c>
      <c r="AR2926" t="s">
        <v>908</v>
      </c>
      <c r="AS2926" t="s">
        <v>9136</v>
      </c>
      <c r="AT2926" t="s">
        <v>7137</v>
      </c>
      <c r="AU2926" t="s">
        <v>11830</v>
      </c>
      <c r="AV2926" t="s">
        <v>334</v>
      </c>
      <c r="AW2926" t="s">
        <v>2393</v>
      </c>
      <c r="AX2926" t="s">
        <v>4946</v>
      </c>
      <c r="AY2926" t="s">
        <v>2393</v>
      </c>
      <c r="AZ2926" t="s">
        <v>13524</v>
      </c>
      <c r="BA2926">
        <v>2.12</v>
      </c>
      <c r="BB2926">
        <v>19900.990000000002</v>
      </c>
      <c r="BC2926">
        <v>0.61</v>
      </c>
      <c r="BD2926">
        <v>67.849999999999994</v>
      </c>
      <c r="BE2926">
        <v>67.91</v>
      </c>
      <c r="BF2926">
        <v>66.86</v>
      </c>
      <c r="BG2926" t="s">
        <v>26406</v>
      </c>
      <c r="BH2926" t="s">
        <v>21008</v>
      </c>
      <c r="BI2926" t="s">
        <v>26407</v>
      </c>
      <c r="BJ2926" t="s">
        <v>101</v>
      </c>
      <c r="BK2926" t="s">
        <v>4124</v>
      </c>
      <c r="BL2926" t="s">
        <v>875</v>
      </c>
      <c r="BM2926" t="s">
        <v>7478</v>
      </c>
      <c r="BN2926" t="s">
        <v>23454</v>
      </c>
    </row>
    <row r="2927" spans="1:66" x14ac:dyDescent="0.25">
      <c r="A2927" t="str">
        <f>HYPERLINK("https://elite.finviz.com/quote.ashx?t=RANI&amp;ty=c&amp;p=d&amp;b=1", "RANI")</f>
        <v>RANI</v>
      </c>
      <c r="B2927">
        <v>5</v>
      </c>
      <c r="C2927">
        <v>116.22</v>
      </c>
      <c r="D2927">
        <v>44.86</v>
      </c>
      <c r="E2927" t="s">
        <v>26408</v>
      </c>
      <c r="F2927" t="s">
        <v>107</v>
      </c>
      <c r="G2927" t="s">
        <v>428</v>
      </c>
      <c r="H2927" t="s">
        <v>429</v>
      </c>
      <c r="I2927" t="s">
        <v>70</v>
      </c>
      <c r="J2927" t="s">
        <v>321</v>
      </c>
      <c r="K2927">
        <v>34.520000000000003</v>
      </c>
      <c r="L2927">
        <v>0.48</v>
      </c>
      <c r="M2927" t="s">
        <v>822</v>
      </c>
      <c r="N2927">
        <v>37580</v>
      </c>
      <c r="R2927">
        <v>28.77</v>
      </c>
      <c r="AA2927">
        <v>-0.91</v>
      </c>
      <c r="AB2927" t="s">
        <v>26409</v>
      </c>
      <c r="AC2927" t="s">
        <v>9228</v>
      </c>
      <c r="AD2927" t="s">
        <v>8719</v>
      </c>
      <c r="AF2927" t="s">
        <v>14318</v>
      </c>
      <c r="AG2927" t="s">
        <v>5055</v>
      </c>
      <c r="AI2927" t="s">
        <v>4080</v>
      </c>
      <c r="AJ2927" t="s">
        <v>164</v>
      </c>
      <c r="AK2927" t="s">
        <v>4068</v>
      </c>
      <c r="AL2927">
        <v>0.54</v>
      </c>
      <c r="AM2927">
        <v>0.54</v>
      </c>
      <c r="AO2927" t="s">
        <v>10806</v>
      </c>
      <c r="AP2927" t="s">
        <v>26410</v>
      </c>
      <c r="AQ2927" t="s">
        <v>26411</v>
      </c>
      <c r="AR2927" t="s">
        <v>7542</v>
      </c>
      <c r="AS2927" t="s">
        <v>1159</v>
      </c>
      <c r="AT2927" t="s">
        <v>5765</v>
      </c>
      <c r="AU2927" t="s">
        <v>6253</v>
      </c>
      <c r="AV2927" t="s">
        <v>22105</v>
      </c>
      <c r="AW2927" t="s">
        <v>19185</v>
      </c>
      <c r="AX2927" t="s">
        <v>11602</v>
      </c>
      <c r="AY2927" t="s">
        <v>26412</v>
      </c>
      <c r="AZ2927" t="s">
        <v>5039</v>
      </c>
      <c r="BA2927">
        <v>1</v>
      </c>
      <c r="BB2927">
        <v>1815.96</v>
      </c>
      <c r="BC2927">
        <v>7.0000000000000007E-2</v>
      </c>
      <c r="BD2927">
        <v>0.48</v>
      </c>
      <c r="BE2927">
        <v>0.49</v>
      </c>
      <c r="BF2927">
        <v>0.48</v>
      </c>
      <c r="BG2927" t="s">
        <v>26413</v>
      </c>
      <c r="BH2927" t="s">
        <v>14333</v>
      </c>
      <c r="BI2927" t="s">
        <v>5039</v>
      </c>
      <c r="BJ2927" t="s">
        <v>101</v>
      </c>
      <c r="BK2927" t="s">
        <v>12843</v>
      </c>
      <c r="BL2927" t="s">
        <v>26414</v>
      </c>
      <c r="BM2927" t="s">
        <v>26415</v>
      </c>
      <c r="BN2927" t="s">
        <v>23454</v>
      </c>
    </row>
    <row r="2928" spans="1:66" x14ac:dyDescent="0.25">
      <c r="A2928" t="str">
        <f>HYPERLINK("https://elite.finviz.com/quote.ashx?t=CRM&amp;ty=c&amp;p=d&amp;b=1", "CRM")</f>
        <v>CRM</v>
      </c>
      <c r="B2928">
        <v>5</v>
      </c>
      <c r="C2928">
        <v>116.22</v>
      </c>
      <c r="D2928">
        <v>44.87</v>
      </c>
      <c r="E2928" t="s">
        <v>26416</v>
      </c>
      <c r="F2928" t="s">
        <v>1759</v>
      </c>
      <c r="G2928" t="s">
        <v>108</v>
      </c>
      <c r="H2928" t="s">
        <v>136</v>
      </c>
      <c r="I2928" t="s">
        <v>70</v>
      </c>
      <c r="J2928" t="s">
        <v>71</v>
      </c>
      <c r="K2928">
        <v>230422.08</v>
      </c>
      <c r="L2928">
        <v>242.04</v>
      </c>
      <c r="M2928" t="s">
        <v>914</v>
      </c>
      <c r="N2928">
        <v>1167457</v>
      </c>
      <c r="O2928">
        <v>35.15</v>
      </c>
      <c r="P2928">
        <v>19.010000000000002</v>
      </c>
      <c r="Q2928">
        <v>2.8</v>
      </c>
      <c r="R2928">
        <v>5.83</v>
      </c>
      <c r="S2928">
        <v>3.77</v>
      </c>
      <c r="T2928" t="s">
        <v>3736</v>
      </c>
      <c r="U2928">
        <v>1.65</v>
      </c>
      <c r="V2928" t="s">
        <v>5673</v>
      </c>
      <c r="Z2928" t="s">
        <v>17283</v>
      </c>
      <c r="AA2928">
        <v>6.89</v>
      </c>
      <c r="AB2928" t="s">
        <v>26417</v>
      </c>
      <c r="AC2928" t="s">
        <v>26418</v>
      </c>
      <c r="AD2928" t="s">
        <v>794</v>
      </c>
      <c r="AE2928" t="s">
        <v>5658</v>
      </c>
      <c r="AF2928" t="s">
        <v>5676</v>
      </c>
      <c r="AG2928" t="s">
        <v>2976</v>
      </c>
      <c r="AH2928" t="s">
        <v>8650</v>
      </c>
      <c r="AI2928" t="s">
        <v>3343</v>
      </c>
      <c r="AJ2928" t="s">
        <v>4086</v>
      </c>
      <c r="AK2928" t="s">
        <v>26419</v>
      </c>
      <c r="AL2928">
        <v>1.04</v>
      </c>
      <c r="AM2928">
        <v>1.04</v>
      </c>
      <c r="AN2928">
        <v>0.19</v>
      </c>
      <c r="AO2928" t="s">
        <v>17376</v>
      </c>
      <c r="AP2928" t="s">
        <v>8087</v>
      </c>
      <c r="AQ2928" t="s">
        <v>11564</v>
      </c>
      <c r="AR2928" t="s">
        <v>3208</v>
      </c>
      <c r="AS2928" t="s">
        <v>4800</v>
      </c>
      <c r="AT2928" t="s">
        <v>5765</v>
      </c>
      <c r="AU2928" t="s">
        <v>4408</v>
      </c>
      <c r="AV2928" t="s">
        <v>21502</v>
      </c>
      <c r="AW2928" t="s">
        <v>2754</v>
      </c>
      <c r="AX2928" t="s">
        <v>3566</v>
      </c>
      <c r="AY2928" t="s">
        <v>26420</v>
      </c>
      <c r="AZ2928" t="s">
        <v>3566</v>
      </c>
      <c r="BA2928">
        <v>1.48</v>
      </c>
      <c r="BB2928">
        <v>8378.99</v>
      </c>
      <c r="BC2928">
        <v>0.49</v>
      </c>
      <c r="BD2928">
        <v>240.95</v>
      </c>
      <c r="BE2928">
        <v>242.76</v>
      </c>
      <c r="BF2928">
        <v>240.35</v>
      </c>
      <c r="BG2928" t="s">
        <v>26421</v>
      </c>
      <c r="BH2928" t="s">
        <v>26420</v>
      </c>
      <c r="BI2928" t="s">
        <v>26422</v>
      </c>
      <c r="BJ2928" t="s">
        <v>101</v>
      </c>
      <c r="BK2928" t="s">
        <v>9472</v>
      </c>
      <c r="BL2928" t="s">
        <v>9953</v>
      </c>
      <c r="BM2928" t="s">
        <v>5853</v>
      </c>
      <c r="BN2928" t="s">
        <v>23454</v>
      </c>
    </row>
    <row r="2929" spans="1:66" x14ac:dyDescent="0.25">
      <c r="A2929" t="str">
        <f>HYPERLINK("https://elite.finviz.com/quote.ashx?t=MIRA&amp;ty=c&amp;p=d&amp;b=1", "MIRA")</f>
        <v>MIRA</v>
      </c>
      <c r="B2929">
        <v>5</v>
      </c>
      <c r="C2929">
        <v>116.22</v>
      </c>
      <c r="D2929">
        <v>44.93</v>
      </c>
      <c r="E2929" t="s">
        <v>26423</v>
      </c>
      <c r="F2929" t="s">
        <v>107</v>
      </c>
      <c r="G2929" t="s">
        <v>428</v>
      </c>
      <c r="H2929" t="s">
        <v>4701</v>
      </c>
      <c r="I2929" t="s">
        <v>70</v>
      </c>
      <c r="J2929" t="s">
        <v>321</v>
      </c>
      <c r="K2929">
        <v>25.06</v>
      </c>
      <c r="L2929">
        <v>1.31</v>
      </c>
      <c r="M2929" t="s">
        <v>2644</v>
      </c>
      <c r="N2929">
        <v>41968</v>
      </c>
      <c r="S2929">
        <v>40.08</v>
      </c>
      <c r="AA2929">
        <v>-0.48</v>
      </c>
      <c r="AB2929" t="s">
        <v>12061</v>
      </c>
      <c r="AC2929" t="s">
        <v>26424</v>
      </c>
      <c r="AI2929" t="s">
        <v>164</v>
      </c>
      <c r="AJ2929" t="s">
        <v>164</v>
      </c>
      <c r="AK2929" t="s">
        <v>2293</v>
      </c>
      <c r="AL2929">
        <v>2.79</v>
      </c>
      <c r="AM2929">
        <v>2.79</v>
      </c>
      <c r="AN2929">
        <v>0</v>
      </c>
      <c r="AR2929" t="s">
        <v>283</v>
      </c>
      <c r="AS2929" t="s">
        <v>4742</v>
      </c>
      <c r="AT2929" t="s">
        <v>2012</v>
      </c>
      <c r="AU2929" t="s">
        <v>618</v>
      </c>
      <c r="AV2929" t="s">
        <v>351</v>
      </c>
      <c r="AW2929" t="s">
        <v>25470</v>
      </c>
      <c r="AX2929" t="s">
        <v>3491</v>
      </c>
      <c r="AY2929" t="s">
        <v>24118</v>
      </c>
      <c r="AZ2929" t="s">
        <v>7732</v>
      </c>
      <c r="BA2929">
        <v>1</v>
      </c>
      <c r="BB2929">
        <v>1507.31</v>
      </c>
      <c r="BC2929">
        <v>0.1</v>
      </c>
      <c r="BD2929">
        <v>1.3</v>
      </c>
      <c r="BE2929">
        <v>1.33</v>
      </c>
      <c r="BF2929">
        <v>1.3</v>
      </c>
      <c r="BG2929" t="s">
        <v>26425</v>
      </c>
      <c r="BH2929" t="s">
        <v>26426</v>
      </c>
      <c r="BI2929" t="s">
        <v>26427</v>
      </c>
      <c r="BJ2929" t="s">
        <v>101</v>
      </c>
      <c r="BK2929" t="s">
        <v>5336</v>
      </c>
      <c r="BL2929" t="s">
        <v>218</v>
      </c>
      <c r="BM2929" t="s">
        <v>4533</v>
      </c>
      <c r="BN2929" t="s">
        <v>23454</v>
      </c>
    </row>
    <row r="2930" spans="1:66" x14ac:dyDescent="0.25">
      <c r="A2930" t="str">
        <f>HYPERLINK("https://elite.finviz.com/quote.ashx?t=TECH&amp;ty=c&amp;p=d&amp;b=1", "TECH")</f>
        <v>TECH</v>
      </c>
      <c r="B2930">
        <v>5</v>
      </c>
      <c r="C2930">
        <v>116.22</v>
      </c>
      <c r="D2930">
        <v>44.93</v>
      </c>
      <c r="E2930" t="s">
        <v>26428</v>
      </c>
      <c r="F2930" t="s">
        <v>195</v>
      </c>
      <c r="G2930" t="s">
        <v>428</v>
      </c>
      <c r="H2930" t="s">
        <v>429</v>
      </c>
      <c r="I2930" t="s">
        <v>70</v>
      </c>
      <c r="J2930" t="s">
        <v>321</v>
      </c>
      <c r="K2930">
        <v>8024.41</v>
      </c>
      <c r="L2930">
        <v>51.59</v>
      </c>
      <c r="M2930" t="s">
        <v>633</v>
      </c>
      <c r="N2930">
        <v>257375</v>
      </c>
      <c r="O2930">
        <v>113.75</v>
      </c>
      <c r="P2930">
        <v>22.84</v>
      </c>
      <c r="Q2930">
        <v>10.01</v>
      </c>
      <c r="R2930">
        <v>6.58</v>
      </c>
      <c r="S2930">
        <v>4.17</v>
      </c>
      <c r="T2930" t="s">
        <v>1657</v>
      </c>
      <c r="U2930">
        <v>0.32</v>
      </c>
      <c r="V2930" t="s">
        <v>1440</v>
      </c>
      <c r="W2930" t="s">
        <v>164</v>
      </c>
      <c r="X2930" t="s">
        <v>164</v>
      </c>
      <c r="Y2930" t="s">
        <v>164</v>
      </c>
      <c r="Z2930" t="s">
        <v>18579</v>
      </c>
      <c r="AA2930">
        <v>0.45</v>
      </c>
      <c r="AB2930" t="s">
        <v>3090</v>
      </c>
      <c r="AC2930" t="s">
        <v>17464</v>
      </c>
      <c r="AD2930" t="s">
        <v>4903</v>
      </c>
      <c r="AE2930" t="s">
        <v>3758</v>
      </c>
      <c r="AF2930" t="s">
        <v>4189</v>
      </c>
      <c r="AG2930" t="s">
        <v>3071</v>
      </c>
      <c r="AH2930" t="s">
        <v>2234</v>
      </c>
      <c r="AI2930" t="s">
        <v>283</v>
      </c>
      <c r="AJ2930" t="s">
        <v>1866</v>
      </c>
      <c r="AK2930" t="s">
        <v>9400</v>
      </c>
      <c r="AL2930">
        <v>3.46</v>
      </c>
      <c r="AM2930">
        <v>2.38</v>
      </c>
      <c r="AN2930">
        <v>0.23</v>
      </c>
      <c r="AO2930" t="s">
        <v>10101</v>
      </c>
      <c r="AP2930" t="s">
        <v>442</v>
      </c>
      <c r="AQ2930" t="s">
        <v>1826</v>
      </c>
      <c r="AR2930" t="s">
        <v>1391</v>
      </c>
      <c r="AS2930" t="s">
        <v>6150</v>
      </c>
      <c r="AT2930" t="s">
        <v>1444</v>
      </c>
      <c r="AU2930" t="s">
        <v>9160</v>
      </c>
      <c r="AV2930" t="s">
        <v>2248</v>
      </c>
      <c r="AW2930" t="s">
        <v>5028</v>
      </c>
      <c r="AX2930" t="s">
        <v>723</v>
      </c>
      <c r="AY2930" t="s">
        <v>23198</v>
      </c>
      <c r="AZ2930" t="s">
        <v>709</v>
      </c>
      <c r="BA2930">
        <v>1.6</v>
      </c>
      <c r="BB2930">
        <v>2208.9</v>
      </c>
      <c r="BC2930">
        <v>0.41</v>
      </c>
      <c r="BD2930">
        <v>50.48</v>
      </c>
      <c r="BE2930">
        <v>51.72</v>
      </c>
      <c r="BF2930">
        <v>50.52</v>
      </c>
      <c r="BG2930" t="s">
        <v>26429</v>
      </c>
      <c r="BH2930" t="s">
        <v>26430</v>
      </c>
      <c r="BI2930" t="s">
        <v>26431</v>
      </c>
      <c r="BJ2930" t="s">
        <v>101</v>
      </c>
      <c r="BK2930" t="s">
        <v>4273</v>
      </c>
      <c r="BL2930" t="s">
        <v>374</v>
      </c>
      <c r="BM2930" t="s">
        <v>23970</v>
      </c>
      <c r="BN2930" t="s">
        <v>23454</v>
      </c>
    </row>
    <row r="2931" spans="1:66" x14ac:dyDescent="0.25">
      <c r="A2931" t="str">
        <f>HYPERLINK("https://elite.finviz.com/quote.ashx?t=DNUT&amp;ty=c&amp;p=d&amp;b=1", "DNUT")</f>
        <v>DNUT</v>
      </c>
      <c r="B2931">
        <v>5</v>
      </c>
      <c r="C2931">
        <v>116.22</v>
      </c>
      <c r="D2931">
        <v>44.97</v>
      </c>
      <c r="E2931" t="s">
        <v>26432</v>
      </c>
      <c r="F2931" t="s">
        <v>67</v>
      </c>
      <c r="G2931" t="s">
        <v>2244</v>
      </c>
      <c r="H2931" t="s">
        <v>14712</v>
      </c>
      <c r="I2931" t="s">
        <v>70</v>
      </c>
      <c r="J2931" t="s">
        <v>321</v>
      </c>
      <c r="K2931">
        <v>546.13</v>
      </c>
      <c r="L2931">
        <v>3.19</v>
      </c>
      <c r="M2931" t="s">
        <v>9475</v>
      </c>
      <c r="N2931">
        <v>1036074</v>
      </c>
      <c r="R2931">
        <v>0.35</v>
      </c>
      <c r="S2931">
        <v>0.78</v>
      </c>
      <c r="T2931" t="s">
        <v>907</v>
      </c>
      <c r="U2931">
        <v>0.11</v>
      </c>
      <c r="V2931" t="s">
        <v>26433</v>
      </c>
      <c r="W2931" t="s">
        <v>164</v>
      </c>
      <c r="X2931" t="s">
        <v>3397</v>
      </c>
      <c r="Z2931" t="s">
        <v>26434</v>
      </c>
      <c r="AA2931">
        <v>-2.65</v>
      </c>
      <c r="AE2931" t="s">
        <v>1450</v>
      </c>
      <c r="AF2931" t="s">
        <v>713</v>
      </c>
      <c r="AG2931" t="s">
        <v>11151</v>
      </c>
      <c r="AH2931" t="s">
        <v>10383</v>
      </c>
      <c r="AI2931" t="s">
        <v>26435</v>
      </c>
      <c r="AJ2931" t="s">
        <v>5312</v>
      </c>
      <c r="AK2931" t="s">
        <v>880</v>
      </c>
      <c r="AL2931">
        <v>0.34</v>
      </c>
      <c r="AM2931">
        <v>0.26</v>
      </c>
      <c r="AN2931">
        <v>2.0499999999999998</v>
      </c>
      <c r="AO2931" t="s">
        <v>2722</v>
      </c>
      <c r="AP2931" t="s">
        <v>8380</v>
      </c>
      <c r="AQ2931" t="s">
        <v>24455</v>
      </c>
      <c r="AR2931" t="s">
        <v>616</v>
      </c>
      <c r="AS2931" t="s">
        <v>2776</v>
      </c>
      <c r="AT2931" t="s">
        <v>12781</v>
      </c>
      <c r="AU2931" t="s">
        <v>11528</v>
      </c>
      <c r="AV2931" t="s">
        <v>24975</v>
      </c>
      <c r="AW2931" t="s">
        <v>26436</v>
      </c>
      <c r="AX2931" t="s">
        <v>3962</v>
      </c>
      <c r="AY2931" t="s">
        <v>26437</v>
      </c>
      <c r="AZ2931" t="s">
        <v>7389</v>
      </c>
      <c r="BA2931">
        <v>3.25</v>
      </c>
      <c r="BB2931">
        <v>8007</v>
      </c>
      <c r="BC2931">
        <v>0.46</v>
      </c>
      <c r="BD2931">
        <v>3.26</v>
      </c>
      <c r="BE2931">
        <v>3.27</v>
      </c>
      <c r="BF2931">
        <v>3.19</v>
      </c>
      <c r="BG2931" t="s">
        <v>26438</v>
      </c>
      <c r="BH2931" t="s">
        <v>26439</v>
      </c>
      <c r="BI2931" t="s">
        <v>7389</v>
      </c>
      <c r="BJ2931" t="s">
        <v>101</v>
      </c>
      <c r="BK2931" t="s">
        <v>5118</v>
      </c>
      <c r="BL2931" t="s">
        <v>22288</v>
      </c>
      <c r="BM2931" t="s">
        <v>26440</v>
      </c>
      <c r="BN2931" t="s">
        <v>23454</v>
      </c>
    </row>
    <row r="2932" spans="1:66" x14ac:dyDescent="0.25">
      <c r="A2932" t="str">
        <f>HYPERLINK("https://elite.finviz.com/quote.ashx?t=AKAM&amp;ty=c&amp;p=d&amp;b=1", "AKAM")</f>
        <v>AKAM</v>
      </c>
      <c r="B2932">
        <v>5</v>
      </c>
      <c r="C2932">
        <v>116.22</v>
      </c>
      <c r="D2932">
        <v>44.99</v>
      </c>
      <c r="E2932" t="s">
        <v>26441</v>
      </c>
      <c r="F2932" t="s">
        <v>195</v>
      </c>
      <c r="G2932" t="s">
        <v>108</v>
      </c>
      <c r="H2932" t="s">
        <v>109</v>
      </c>
      <c r="I2932" t="s">
        <v>70</v>
      </c>
      <c r="J2932" t="s">
        <v>321</v>
      </c>
      <c r="K2932">
        <v>10813.42</v>
      </c>
      <c r="L2932">
        <v>75.42</v>
      </c>
      <c r="M2932" t="s">
        <v>4237</v>
      </c>
      <c r="N2932">
        <v>194368</v>
      </c>
      <c r="O2932">
        <v>26.74</v>
      </c>
      <c r="P2932">
        <v>10.73</v>
      </c>
      <c r="Q2932">
        <v>5</v>
      </c>
      <c r="R2932">
        <v>2.65</v>
      </c>
      <c r="S2932">
        <v>2.42</v>
      </c>
      <c r="Z2932" t="s">
        <v>164</v>
      </c>
      <c r="AA2932">
        <v>2.82</v>
      </c>
      <c r="AB2932" t="s">
        <v>4446</v>
      </c>
      <c r="AC2932" t="s">
        <v>92</v>
      </c>
      <c r="AD2932" t="s">
        <v>3957</v>
      </c>
      <c r="AE2932" t="s">
        <v>4323</v>
      </c>
      <c r="AF2932" t="s">
        <v>2035</v>
      </c>
      <c r="AG2932" t="s">
        <v>521</v>
      </c>
      <c r="AH2932" t="s">
        <v>8125</v>
      </c>
      <c r="AI2932" t="s">
        <v>7976</v>
      </c>
      <c r="AJ2932" t="s">
        <v>4901</v>
      </c>
      <c r="AK2932" t="s">
        <v>13009</v>
      </c>
      <c r="AL2932">
        <v>2.2400000000000002</v>
      </c>
      <c r="AM2932">
        <v>2.2400000000000002</v>
      </c>
      <c r="AN2932">
        <v>1.18</v>
      </c>
      <c r="AO2932" t="s">
        <v>26442</v>
      </c>
      <c r="AP2932" t="s">
        <v>5057</v>
      </c>
      <c r="AQ2932" t="s">
        <v>702</v>
      </c>
      <c r="AR2932" t="s">
        <v>3757</v>
      </c>
      <c r="AS2932" t="s">
        <v>714</v>
      </c>
      <c r="AT2932" t="s">
        <v>1313</v>
      </c>
      <c r="AU2932" t="s">
        <v>123</v>
      </c>
      <c r="AV2932" t="s">
        <v>20212</v>
      </c>
      <c r="AW2932" t="s">
        <v>3415</v>
      </c>
      <c r="AX2932" t="s">
        <v>9636</v>
      </c>
      <c r="AY2932" t="s">
        <v>26443</v>
      </c>
      <c r="AZ2932" t="s">
        <v>2629</v>
      </c>
      <c r="BA2932">
        <v>2.42</v>
      </c>
      <c r="BB2932">
        <v>1858.67</v>
      </c>
      <c r="BC2932">
        <v>0.37</v>
      </c>
      <c r="BD2932">
        <v>75.38</v>
      </c>
      <c r="BE2932">
        <v>75.78</v>
      </c>
      <c r="BF2932">
        <v>75.19</v>
      </c>
      <c r="BG2932" t="s">
        <v>26444</v>
      </c>
      <c r="BH2932" t="s">
        <v>26415</v>
      </c>
      <c r="BI2932" t="s">
        <v>26445</v>
      </c>
      <c r="BJ2932" t="s">
        <v>101</v>
      </c>
      <c r="BK2932" t="s">
        <v>786</v>
      </c>
      <c r="BL2932" t="s">
        <v>6757</v>
      </c>
      <c r="BM2932" t="s">
        <v>26446</v>
      </c>
      <c r="BN2932" t="s">
        <v>23454</v>
      </c>
    </row>
    <row r="2933" spans="1:66" x14ac:dyDescent="0.25">
      <c r="A2933" t="str">
        <f>HYPERLINK("https://elite.finviz.com/quote.ashx?t=OKTA&amp;ty=c&amp;p=d&amp;b=1", "OKTA")</f>
        <v>OKTA</v>
      </c>
      <c r="B2933">
        <v>5</v>
      </c>
      <c r="C2933">
        <v>116.22</v>
      </c>
      <c r="D2933">
        <v>45</v>
      </c>
      <c r="E2933" t="s">
        <v>26447</v>
      </c>
      <c r="F2933" t="s">
        <v>107</v>
      </c>
      <c r="G2933" t="s">
        <v>108</v>
      </c>
      <c r="H2933" t="s">
        <v>109</v>
      </c>
      <c r="I2933" t="s">
        <v>70</v>
      </c>
      <c r="J2933" t="s">
        <v>321</v>
      </c>
      <c r="K2933">
        <v>15866.44</v>
      </c>
      <c r="L2933">
        <v>90</v>
      </c>
      <c r="M2933" t="s">
        <v>4953</v>
      </c>
      <c r="N2933">
        <v>621445</v>
      </c>
      <c r="O2933">
        <v>106.12</v>
      </c>
      <c r="P2933">
        <v>24.94</v>
      </c>
      <c r="Q2933">
        <v>8.58</v>
      </c>
      <c r="R2933">
        <v>5.74</v>
      </c>
      <c r="S2933">
        <v>2.35</v>
      </c>
      <c r="Z2933" t="s">
        <v>164</v>
      </c>
      <c r="AA2933">
        <v>0.85</v>
      </c>
      <c r="AD2933" t="s">
        <v>3857</v>
      </c>
      <c r="AE2933" t="s">
        <v>945</v>
      </c>
      <c r="AF2933" t="s">
        <v>12993</v>
      </c>
      <c r="AG2933" t="s">
        <v>4684</v>
      </c>
      <c r="AH2933" t="s">
        <v>3751</v>
      </c>
      <c r="AI2933" t="s">
        <v>2193</v>
      </c>
      <c r="AJ2933" t="s">
        <v>5879</v>
      </c>
      <c r="AK2933" t="s">
        <v>26448</v>
      </c>
      <c r="AL2933">
        <v>1.29</v>
      </c>
      <c r="AM2933">
        <v>1.29</v>
      </c>
      <c r="AN2933">
        <v>0.14000000000000001</v>
      </c>
      <c r="AO2933" t="s">
        <v>26449</v>
      </c>
      <c r="AP2933" t="s">
        <v>305</v>
      </c>
      <c r="AQ2933" t="s">
        <v>1204</v>
      </c>
      <c r="AR2933" t="s">
        <v>5188</v>
      </c>
      <c r="AS2933" t="s">
        <v>2317</v>
      </c>
      <c r="AT2933" t="s">
        <v>13117</v>
      </c>
      <c r="AU2933" t="s">
        <v>6058</v>
      </c>
      <c r="AV2933" t="s">
        <v>6403</v>
      </c>
      <c r="AW2933" t="s">
        <v>15010</v>
      </c>
      <c r="AX2933" t="s">
        <v>2356</v>
      </c>
      <c r="AY2933" t="s">
        <v>26450</v>
      </c>
      <c r="AZ2933" t="s">
        <v>19212</v>
      </c>
      <c r="BA2933">
        <v>1.89</v>
      </c>
      <c r="BB2933">
        <v>3613.17</v>
      </c>
      <c r="BC2933">
        <v>0.61</v>
      </c>
      <c r="BD2933">
        <v>91.19</v>
      </c>
      <c r="BE2933">
        <v>91.62</v>
      </c>
      <c r="BF2933">
        <v>89.6</v>
      </c>
      <c r="BG2933" t="s">
        <v>26451</v>
      </c>
      <c r="BH2933" t="s">
        <v>26452</v>
      </c>
      <c r="BI2933" t="s">
        <v>26453</v>
      </c>
      <c r="BJ2933" t="s">
        <v>101</v>
      </c>
      <c r="BK2933" t="s">
        <v>9513</v>
      </c>
      <c r="BL2933" t="s">
        <v>17301</v>
      </c>
      <c r="BM2933" t="s">
        <v>6081</v>
      </c>
      <c r="BN2933" t="s">
        <v>23454</v>
      </c>
    </row>
    <row r="2934" spans="1:66" x14ac:dyDescent="0.25">
      <c r="A2934" t="str">
        <f>HYPERLINK("https://elite.finviz.com/quote.ashx?t=SMMT&amp;ty=c&amp;p=d&amp;b=1", "SMMT")</f>
        <v>SMMT</v>
      </c>
      <c r="B2934">
        <v>5</v>
      </c>
      <c r="C2934">
        <v>116.22</v>
      </c>
      <c r="D2934">
        <v>45.04</v>
      </c>
      <c r="E2934" t="s">
        <v>26454</v>
      </c>
      <c r="F2934" t="s">
        <v>107</v>
      </c>
      <c r="G2934" t="s">
        <v>428</v>
      </c>
      <c r="H2934" t="s">
        <v>429</v>
      </c>
      <c r="I2934" t="s">
        <v>70</v>
      </c>
      <c r="J2934" t="s">
        <v>321</v>
      </c>
      <c r="K2934">
        <v>15135.61</v>
      </c>
      <c r="L2934">
        <v>20.38</v>
      </c>
      <c r="M2934" t="s">
        <v>4623</v>
      </c>
      <c r="N2934">
        <v>1019528</v>
      </c>
      <c r="S2934">
        <v>58.35</v>
      </c>
      <c r="AA2934">
        <v>-1.01</v>
      </c>
      <c r="AB2934" t="s">
        <v>732</v>
      </c>
      <c r="AC2934" t="s">
        <v>626</v>
      </c>
      <c r="AE2934" t="s">
        <v>579</v>
      </c>
      <c r="AI2934" t="s">
        <v>26455</v>
      </c>
      <c r="AJ2934" t="s">
        <v>211</v>
      </c>
      <c r="AK2934" t="s">
        <v>6946</v>
      </c>
      <c r="AL2934">
        <v>5.13</v>
      </c>
      <c r="AM2934">
        <v>5.13</v>
      </c>
      <c r="AN2934">
        <v>0.02</v>
      </c>
      <c r="AR2934" t="s">
        <v>4403</v>
      </c>
      <c r="AS2934" t="s">
        <v>6106</v>
      </c>
      <c r="AT2934" t="s">
        <v>2560</v>
      </c>
      <c r="AU2934" t="s">
        <v>14560</v>
      </c>
      <c r="AV2934" t="s">
        <v>2393</v>
      </c>
      <c r="AW2934" t="s">
        <v>20989</v>
      </c>
      <c r="AX2934" t="s">
        <v>4451</v>
      </c>
      <c r="AY2934" t="s">
        <v>26456</v>
      </c>
      <c r="AZ2934" t="s">
        <v>4047</v>
      </c>
      <c r="BA2934">
        <v>1.62</v>
      </c>
      <c r="BB2934">
        <v>4101.6000000000004</v>
      </c>
      <c r="BC2934">
        <v>0.88</v>
      </c>
      <c r="BD2934">
        <v>20.260000000000002</v>
      </c>
      <c r="BE2934">
        <v>20.98</v>
      </c>
      <c r="BF2934">
        <v>19.98</v>
      </c>
      <c r="BG2934" t="s">
        <v>26457</v>
      </c>
      <c r="BH2934" t="s">
        <v>26456</v>
      </c>
      <c r="BI2934" t="s">
        <v>26458</v>
      </c>
      <c r="BJ2934" t="s">
        <v>101</v>
      </c>
      <c r="BK2934" t="s">
        <v>4065</v>
      </c>
      <c r="BL2934" t="s">
        <v>4065</v>
      </c>
      <c r="BM2934" t="s">
        <v>19439</v>
      </c>
      <c r="BN2934" t="s">
        <v>23454</v>
      </c>
    </row>
    <row r="2935" spans="1:66" x14ac:dyDescent="0.25">
      <c r="A2935" t="str">
        <f>HYPERLINK("https://elite.finviz.com/quote.ashx?t=EL&amp;ty=c&amp;p=d&amp;b=1", "EL")</f>
        <v>EL</v>
      </c>
      <c r="B2935">
        <v>5</v>
      </c>
      <c r="C2935">
        <v>116.22</v>
      </c>
      <c r="D2935">
        <v>45.05</v>
      </c>
      <c r="E2935" t="s">
        <v>26459</v>
      </c>
      <c r="F2935" t="s">
        <v>195</v>
      </c>
      <c r="G2935" t="s">
        <v>2244</v>
      </c>
      <c r="H2935" t="s">
        <v>5311</v>
      </c>
      <c r="I2935" t="s">
        <v>70</v>
      </c>
      <c r="J2935" t="s">
        <v>71</v>
      </c>
      <c r="K2935">
        <v>30916.3</v>
      </c>
      <c r="L2935">
        <v>85.9</v>
      </c>
      <c r="M2935" t="s">
        <v>1438</v>
      </c>
      <c r="N2935">
        <v>555429</v>
      </c>
      <c r="P2935">
        <v>30.65</v>
      </c>
      <c r="R2935">
        <v>2.16</v>
      </c>
      <c r="S2935">
        <v>8</v>
      </c>
      <c r="T2935" t="s">
        <v>4946</v>
      </c>
      <c r="U2935">
        <v>1.4</v>
      </c>
      <c r="V2935" t="s">
        <v>2187</v>
      </c>
      <c r="W2935" t="s">
        <v>17220</v>
      </c>
      <c r="X2935" t="s">
        <v>1884</v>
      </c>
      <c r="Y2935" t="s">
        <v>1302</v>
      </c>
      <c r="Z2935" t="s">
        <v>26460</v>
      </c>
      <c r="AA2935">
        <v>-3.15</v>
      </c>
      <c r="AD2935" t="s">
        <v>8653</v>
      </c>
      <c r="AE2935" t="s">
        <v>5176</v>
      </c>
      <c r="AF2935" t="s">
        <v>4243</v>
      </c>
      <c r="AG2935" t="s">
        <v>629</v>
      </c>
      <c r="AH2935" t="s">
        <v>8098</v>
      </c>
      <c r="AI2935" t="s">
        <v>5672</v>
      </c>
      <c r="AJ2935" t="s">
        <v>7709</v>
      </c>
      <c r="AK2935" t="s">
        <v>3356</v>
      </c>
      <c r="AL2935">
        <v>1.3</v>
      </c>
      <c r="AM2935">
        <v>0.92</v>
      </c>
      <c r="AN2935">
        <v>2.4500000000000002</v>
      </c>
      <c r="AO2935" t="s">
        <v>26461</v>
      </c>
      <c r="AP2935" t="s">
        <v>8155</v>
      </c>
      <c r="AQ2935" t="s">
        <v>4235</v>
      </c>
      <c r="AR2935" t="s">
        <v>8016</v>
      </c>
      <c r="AS2935" t="s">
        <v>4216</v>
      </c>
      <c r="AT2935" t="s">
        <v>8763</v>
      </c>
      <c r="AU2935" t="s">
        <v>4645</v>
      </c>
      <c r="AV2935" t="s">
        <v>9253</v>
      </c>
      <c r="AW2935" t="s">
        <v>12166</v>
      </c>
      <c r="AX2935" t="s">
        <v>2522</v>
      </c>
      <c r="AY2935" t="s">
        <v>6138</v>
      </c>
      <c r="AZ2935" t="s">
        <v>12423</v>
      </c>
      <c r="BA2935">
        <v>2.6</v>
      </c>
      <c r="BB2935">
        <v>3847.96</v>
      </c>
      <c r="BC2935">
        <v>0.51</v>
      </c>
      <c r="BD2935">
        <v>83.99</v>
      </c>
      <c r="BE2935">
        <v>86.16</v>
      </c>
      <c r="BF2935">
        <v>83.78</v>
      </c>
      <c r="BG2935" t="s">
        <v>26462</v>
      </c>
      <c r="BH2935" t="s">
        <v>26463</v>
      </c>
      <c r="BI2935" t="s">
        <v>26464</v>
      </c>
      <c r="BJ2935" t="s">
        <v>101</v>
      </c>
      <c r="BK2935" t="s">
        <v>4819</v>
      </c>
      <c r="BL2935" t="s">
        <v>14240</v>
      </c>
      <c r="BM2935" t="s">
        <v>3085</v>
      </c>
      <c r="BN2935" t="s">
        <v>23454</v>
      </c>
    </row>
    <row r="2936" spans="1:66" x14ac:dyDescent="0.25">
      <c r="A2936" t="str">
        <f>HYPERLINK("https://elite.finviz.com/quote.ashx?t=GLPI&amp;ty=c&amp;p=d&amp;b=1", "GLPI")</f>
        <v>GLPI</v>
      </c>
      <c r="B2936">
        <v>5</v>
      </c>
      <c r="C2936">
        <v>116.22</v>
      </c>
      <c r="D2936">
        <v>45.08</v>
      </c>
      <c r="E2936" t="s">
        <v>26465</v>
      </c>
      <c r="F2936" t="s">
        <v>107</v>
      </c>
      <c r="G2936" t="s">
        <v>68</v>
      </c>
      <c r="H2936" t="s">
        <v>7227</v>
      </c>
      <c r="I2936" t="s">
        <v>70</v>
      </c>
      <c r="J2936" t="s">
        <v>321</v>
      </c>
      <c r="K2936">
        <v>13168.37</v>
      </c>
      <c r="L2936">
        <v>46.53</v>
      </c>
      <c r="M2936" t="s">
        <v>3761</v>
      </c>
      <c r="N2936">
        <v>366681</v>
      </c>
      <c r="O2936">
        <v>17.87</v>
      </c>
      <c r="P2936">
        <v>15.03</v>
      </c>
      <c r="Q2936">
        <v>4.2300000000000004</v>
      </c>
      <c r="R2936">
        <v>8.41</v>
      </c>
      <c r="S2936">
        <v>2.89</v>
      </c>
      <c r="T2936" t="s">
        <v>521</v>
      </c>
      <c r="U2936">
        <v>3.06</v>
      </c>
      <c r="V2936" t="s">
        <v>2620</v>
      </c>
      <c r="W2936" t="s">
        <v>3545</v>
      </c>
      <c r="X2936" t="s">
        <v>4104</v>
      </c>
      <c r="Y2936" t="s">
        <v>6975</v>
      </c>
      <c r="Z2936" t="s">
        <v>26466</v>
      </c>
      <c r="AA2936">
        <v>2.6</v>
      </c>
      <c r="AB2936" t="s">
        <v>3100</v>
      </c>
      <c r="AC2936" t="s">
        <v>7209</v>
      </c>
      <c r="AD2936" t="s">
        <v>1302</v>
      </c>
      <c r="AE2936" t="s">
        <v>2580</v>
      </c>
      <c r="AF2936" t="s">
        <v>10425</v>
      </c>
      <c r="AG2936" t="s">
        <v>2581</v>
      </c>
      <c r="AH2936" t="s">
        <v>5592</v>
      </c>
      <c r="AI2936" t="s">
        <v>8300</v>
      </c>
      <c r="AJ2936" t="s">
        <v>2745</v>
      </c>
      <c r="AK2936" t="s">
        <v>3421</v>
      </c>
      <c r="AL2936">
        <v>5.75</v>
      </c>
      <c r="AM2936">
        <v>5.75</v>
      </c>
      <c r="AN2936">
        <v>1.58</v>
      </c>
      <c r="AO2936" t="s">
        <v>22699</v>
      </c>
      <c r="AP2936" t="s">
        <v>19578</v>
      </c>
      <c r="AQ2936" t="s">
        <v>18842</v>
      </c>
      <c r="AR2936" t="s">
        <v>2186</v>
      </c>
      <c r="AS2936" t="s">
        <v>4856</v>
      </c>
      <c r="AT2936" t="s">
        <v>789</v>
      </c>
      <c r="AU2936" t="s">
        <v>5388</v>
      </c>
      <c r="AV2936" t="s">
        <v>5686</v>
      </c>
      <c r="AW2936" t="s">
        <v>9780</v>
      </c>
      <c r="AX2936" t="s">
        <v>901</v>
      </c>
      <c r="AY2936" t="s">
        <v>9631</v>
      </c>
      <c r="AZ2936" t="s">
        <v>4659</v>
      </c>
      <c r="BA2936">
        <v>2</v>
      </c>
      <c r="BB2936">
        <v>1899.35</v>
      </c>
      <c r="BC2936">
        <v>0.68</v>
      </c>
      <c r="BD2936">
        <v>46.1</v>
      </c>
      <c r="BE2936">
        <v>46.79</v>
      </c>
      <c r="BF2936">
        <v>46.2</v>
      </c>
      <c r="BG2936" t="s">
        <v>26467</v>
      </c>
      <c r="BH2936" t="s">
        <v>3795</v>
      </c>
      <c r="BI2936" t="s">
        <v>26468</v>
      </c>
      <c r="BJ2936" t="s">
        <v>101</v>
      </c>
      <c r="BK2936" t="s">
        <v>3446</v>
      </c>
      <c r="BL2936" t="s">
        <v>12610</v>
      </c>
      <c r="BM2936" t="s">
        <v>5205</v>
      </c>
      <c r="BN2936" t="s">
        <v>23454</v>
      </c>
    </row>
    <row r="2937" spans="1:66" x14ac:dyDescent="0.25">
      <c r="A2937" t="str">
        <f>HYPERLINK("https://elite.finviz.com/quote.ashx?t=EQH&amp;ty=c&amp;p=d&amp;b=1", "EQH")</f>
        <v>EQH</v>
      </c>
      <c r="B2937">
        <v>5</v>
      </c>
      <c r="C2937">
        <v>116.22</v>
      </c>
      <c r="D2937">
        <v>45.08</v>
      </c>
      <c r="E2937" t="s">
        <v>26469</v>
      </c>
      <c r="F2937" t="s">
        <v>107</v>
      </c>
      <c r="G2937" t="s">
        <v>550</v>
      </c>
      <c r="H2937" t="s">
        <v>2597</v>
      </c>
      <c r="I2937" t="s">
        <v>70</v>
      </c>
      <c r="J2937" t="s">
        <v>71</v>
      </c>
      <c r="K2937">
        <v>15707.69</v>
      </c>
      <c r="L2937">
        <v>52.44</v>
      </c>
      <c r="M2937" t="s">
        <v>4759</v>
      </c>
      <c r="N2937">
        <v>404774</v>
      </c>
      <c r="O2937">
        <v>42.29</v>
      </c>
      <c r="P2937">
        <v>6.57</v>
      </c>
      <c r="Q2937">
        <v>2.46</v>
      </c>
      <c r="R2937">
        <v>1.1000000000000001</v>
      </c>
      <c r="T2937" t="s">
        <v>1439</v>
      </c>
      <c r="U2937">
        <v>1.02</v>
      </c>
      <c r="V2937" t="s">
        <v>6057</v>
      </c>
      <c r="W2937" t="s">
        <v>2363</v>
      </c>
      <c r="X2937" t="s">
        <v>9342</v>
      </c>
      <c r="Y2937" t="s">
        <v>4852</v>
      </c>
      <c r="Z2937" t="s">
        <v>3034</v>
      </c>
      <c r="AA2937">
        <v>1.24</v>
      </c>
      <c r="AD2937" t="s">
        <v>3272</v>
      </c>
      <c r="AE2937" t="s">
        <v>6525</v>
      </c>
      <c r="AF2937" t="s">
        <v>7387</v>
      </c>
      <c r="AG2937" t="s">
        <v>10714</v>
      </c>
      <c r="AH2937" t="s">
        <v>9578</v>
      </c>
      <c r="AI2937" t="s">
        <v>18956</v>
      </c>
      <c r="AJ2937" t="s">
        <v>21008</v>
      </c>
      <c r="AK2937" t="s">
        <v>26470</v>
      </c>
      <c r="AL2937">
        <v>6.39</v>
      </c>
      <c r="AN2937">
        <v>3.77</v>
      </c>
      <c r="AP2937" t="s">
        <v>1736</v>
      </c>
      <c r="AQ2937" t="s">
        <v>2080</v>
      </c>
      <c r="AR2937" t="s">
        <v>4276</v>
      </c>
      <c r="AS2937" t="s">
        <v>212</v>
      </c>
      <c r="AT2937" t="s">
        <v>9511</v>
      </c>
      <c r="AU2937" t="s">
        <v>4203</v>
      </c>
      <c r="AV2937" t="s">
        <v>102</v>
      </c>
      <c r="AW2937" t="s">
        <v>2845</v>
      </c>
      <c r="AX2937" t="s">
        <v>7216</v>
      </c>
      <c r="AY2937" t="s">
        <v>5134</v>
      </c>
      <c r="AZ2937" t="s">
        <v>16549</v>
      </c>
      <c r="BA2937">
        <v>1.36</v>
      </c>
      <c r="BB2937">
        <v>2840.73</v>
      </c>
      <c r="BC2937">
        <v>0.5</v>
      </c>
      <c r="BD2937">
        <v>51.94</v>
      </c>
      <c r="BE2937">
        <v>53.28</v>
      </c>
      <c r="BF2937">
        <v>52.24</v>
      </c>
      <c r="BG2937" t="s">
        <v>26471</v>
      </c>
      <c r="BH2937" t="s">
        <v>5134</v>
      </c>
      <c r="BI2937" t="s">
        <v>26472</v>
      </c>
      <c r="BJ2937" t="s">
        <v>101</v>
      </c>
      <c r="BK2937" t="s">
        <v>5488</v>
      </c>
      <c r="BL2937" t="s">
        <v>5159</v>
      </c>
      <c r="BM2937" t="s">
        <v>10651</v>
      </c>
      <c r="BN2937" t="s">
        <v>23454</v>
      </c>
    </row>
    <row r="2938" spans="1:66" x14ac:dyDescent="0.25">
      <c r="A2938" t="str">
        <f>HYPERLINK("https://elite.finviz.com/quote.ashx?t=SRFM&amp;ty=c&amp;p=d&amp;b=1", "SRFM")</f>
        <v>SRFM</v>
      </c>
      <c r="B2938">
        <v>5</v>
      </c>
      <c r="C2938">
        <v>116.22</v>
      </c>
      <c r="D2938">
        <v>45.09</v>
      </c>
      <c r="E2938" t="s">
        <v>26473</v>
      </c>
      <c r="F2938" t="s">
        <v>107</v>
      </c>
      <c r="G2938" t="s">
        <v>260</v>
      </c>
      <c r="H2938" t="s">
        <v>5362</v>
      </c>
      <c r="I2938" t="s">
        <v>70</v>
      </c>
      <c r="J2938" t="s">
        <v>71</v>
      </c>
      <c r="K2938">
        <v>176.23</v>
      </c>
      <c r="L2938">
        <v>4.1100000000000003</v>
      </c>
      <c r="M2938" t="s">
        <v>3000</v>
      </c>
      <c r="N2938">
        <v>595103</v>
      </c>
      <c r="R2938">
        <v>1.64</v>
      </c>
      <c r="AA2938">
        <v>-3.3</v>
      </c>
      <c r="AB2938" t="s">
        <v>3515</v>
      </c>
      <c r="AC2938" t="s">
        <v>23611</v>
      </c>
      <c r="AD2938" t="s">
        <v>6780</v>
      </c>
      <c r="AE2938" t="s">
        <v>944</v>
      </c>
      <c r="AF2938" t="s">
        <v>12483</v>
      </c>
      <c r="AG2938" t="s">
        <v>4534</v>
      </c>
      <c r="AH2938" t="s">
        <v>9638</v>
      </c>
      <c r="AI2938" t="s">
        <v>23636</v>
      </c>
      <c r="AJ2938" t="s">
        <v>2772</v>
      </c>
      <c r="AK2938" t="s">
        <v>2776</v>
      </c>
      <c r="AL2938">
        <v>0.4</v>
      </c>
      <c r="AM2938">
        <v>0.4</v>
      </c>
      <c r="AO2938" t="s">
        <v>1904</v>
      </c>
      <c r="AP2938" t="s">
        <v>9769</v>
      </c>
      <c r="AQ2938" t="s">
        <v>26474</v>
      </c>
      <c r="AR2938" t="s">
        <v>5383</v>
      </c>
      <c r="AS2938" t="s">
        <v>1215</v>
      </c>
      <c r="AT2938" t="s">
        <v>3315</v>
      </c>
      <c r="AU2938" t="s">
        <v>14840</v>
      </c>
      <c r="AV2938" t="s">
        <v>607</v>
      </c>
      <c r="AW2938" t="s">
        <v>26475</v>
      </c>
      <c r="AX2938" t="s">
        <v>4128</v>
      </c>
      <c r="AY2938" t="s">
        <v>8446</v>
      </c>
      <c r="AZ2938" t="s">
        <v>26476</v>
      </c>
      <c r="BA2938">
        <v>2</v>
      </c>
      <c r="BB2938">
        <v>6217.86</v>
      </c>
      <c r="BC2938">
        <v>0.34</v>
      </c>
      <c r="BD2938">
        <v>4.0999999999999996</v>
      </c>
      <c r="BE2938">
        <v>4.24</v>
      </c>
      <c r="BF2938">
        <v>4.08</v>
      </c>
      <c r="BG2938" t="s">
        <v>26477</v>
      </c>
      <c r="BH2938" t="s">
        <v>23915</v>
      </c>
      <c r="BI2938" t="s">
        <v>26478</v>
      </c>
      <c r="BJ2938" t="s">
        <v>101</v>
      </c>
      <c r="BK2938" t="s">
        <v>78</v>
      </c>
      <c r="BL2938" t="s">
        <v>705</v>
      </c>
      <c r="BM2938" t="s">
        <v>26479</v>
      </c>
      <c r="BN2938" t="s">
        <v>23454</v>
      </c>
    </row>
    <row r="2939" spans="1:66" x14ac:dyDescent="0.25">
      <c r="A2939" t="str">
        <f>HYPERLINK("https://elite.finviz.com/quote.ashx?t=CCI&amp;ty=c&amp;p=d&amp;b=1", "CCI")</f>
        <v>CCI</v>
      </c>
      <c r="B2939">
        <v>5</v>
      </c>
      <c r="C2939">
        <v>116.22</v>
      </c>
      <c r="D2939">
        <v>45.09</v>
      </c>
      <c r="E2939" t="s">
        <v>26480</v>
      </c>
      <c r="F2939" t="s">
        <v>195</v>
      </c>
      <c r="G2939" t="s">
        <v>68</v>
      </c>
      <c r="H2939" t="s">
        <v>7227</v>
      </c>
      <c r="I2939" t="s">
        <v>70</v>
      </c>
      <c r="J2939" t="s">
        <v>71</v>
      </c>
      <c r="K2939">
        <v>41491.589999999997</v>
      </c>
      <c r="L2939">
        <v>95.28</v>
      </c>
      <c r="M2939" t="s">
        <v>1025</v>
      </c>
      <c r="N2939">
        <v>513051</v>
      </c>
      <c r="P2939">
        <v>32.69</v>
      </c>
      <c r="R2939">
        <v>7.65</v>
      </c>
      <c r="T2939" t="s">
        <v>275</v>
      </c>
      <c r="U2939">
        <v>5.25</v>
      </c>
      <c r="V2939" t="s">
        <v>3833</v>
      </c>
      <c r="W2939" t="s">
        <v>164</v>
      </c>
      <c r="X2939" t="s">
        <v>3874</v>
      </c>
      <c r="Y2939" t="s">
        <v>2232</v>
      </c>
      <c r="AA2939">
        <v>-8.18</v>
      </c>
      <c r="AE2939" t="s">
        <v>996</v>
      </c>
      <c r="AF2939" t="s">
        <v>102</v>
      </c>
      <c r="AG2939" t="s">
        <v>213</v>
      </c>
      <c r="AH2939" t="s">
        <v>10229</v>
      </c>
      <c r="AI2939" t="s">
        <v>26481</v>
      </c>
      <c r="AJ2939" t="s">
        <v>5650</v>
      </c>
      <c r="AK2939" t="s">
        <v>26482</v>
      </c>
      <c r="AL2939">
        <v>0.28000000000000003</v>
      </c>
      <c r="AM2939">
        <v>0.28000000000000003</v>
      </c>
      <c r="AO2939" t="s">
        <v>26483</v>
      </c>
      <c r="AP2939" t="s">
        <v>18433</v>
      </c>
      <c r="AQ2939" t="s">
        <v>26484</v>
      </c>
      <c r="AR2939" t="s">
        <v>3551</v>
      </c>
      <c r="AS2939" t="s">
        <v>2087</v>
      </c>
      <c r="AT2939" t="s">
        <v>2290</v>
      </c>
      <c r="AU2939" t="s">
        <v>7289</v>
      </c>
      <c r="AV2939" t="s">
        <v>9022</v>
      </c>
      <c r="AW2939" t="s">
        <v>19999</v>
      </c>
      <c r="AX2939" t="s">
        <v>4530</v>
      </c>
      <c r="AY2939" t="s">
        <v>26485</v>
      </c>
      <c r="AZ2939" t="s">
        <v>2432</v>
      </c>
      <c r="BA2939">
        <v>1.95</v>
      </c>
      <c r="BB2939">
        <v>3349.71</v>
      </c>
      <c r="BC2939">
        <v>0.54</v>
      </c>
      <c r="BD2939">
        <v>93.98</v>
      </c>
      <c r="BE2939">
        <v>95.52</v>
      </c>
      <c r="BF2939">
        <v>94.03</v>
      </c>
      <c r="BG2939" t="s">
        <v>26486</v>
      </c>
      <c r="BH2939" t="s">
        <v>26487</v>
      </c>
      <c r="BI2939" t="s">
        <v>26488</v>
      </c>
      <c r="BJ2939" t="s">
        <v>101</v>
      </c>
      <c r="BK2939" t="s">
        <v>15684</v>
      </c>
      <c r="BL2939" t="s">
        <v>1153</v>
      </c>
      <c r="BM2939" t="s">
        <v>20874</v>
      </c>
      <c r="BN2939" t="s">
        <v>23454</v>
      </c>
    </row>
    <row r="2940" spans="1:66" x14ac:dyDescent="0.25">
      <c r="A2940" t="str">
        <f>HYPERLINK("https://elite.finviz.com/quote.ashx?t=EQR&amp;ty=c&amp;p=d&amp;b=1", "EQR")</f>
        <v>EQR</v>
      </c>
      <c r="B2940">
        <v>5</v>
      </c>
      <c r="C2940">
        <v>116.22</v>
      </c>
      <c r="D2940">
        <v>45.09</v>
      </c>
      <c r="E2940" t="s">
        <v>26489</v>
      </c>
      <c r="F2940" t="s">
        <v>195</v>
      </c>
      <c r="G2940" t="s">
        <v>68</v>
      </c>
      <c r="H2940" t="s">
        <v>5671</v>
      </c>
      <c r="I2940" t="s">
        <v>70</v>
      </c>
      <c r="J2940" t="s">
        <v>71</v>
      </c>
      <c r="K2940">
        <v>24567.5</v>
      </c>
      <c r="L2940">
        <v>64.33</v>
      </c>
      <c r="M2940" t="s">
        <v>3761</v>
      </c>
      <c r="N2940">
        <v>362201</v>
      </c>
      <c r="O2940">
        <v>24.62</v>
      </c>
      <c r="P2940">
        <v>41.38</v>
      </c>
      <c r="R2940">
        <v>8.11</v>
      </c>
      <c r="S2940">
        <v>2.2200000000000002</v>
      </c>
      <c r="T2940" t="s">
        <v>5672</v>
      </c>
      <c r="U2940">
        <v>2.75</v>
      </c>
      <c r="V2940" t="s">
        <v>2651</v>
      </c>
      <c r="W2940" t="s">
        <v>2609</v>
      </c>
      <c r="X2940" t="s">
        <v>7117</v>
      </c>
      <c r="Y2940" t="s">
        <v>2822</v>
      </c>
      <c r="Z2940" t="s">
        <v>10424</v>
      </c>
      <c r="AA2940">
        <v>2.61</v>
      </c>
      <c r="AB2940" t="s">
        <v>10559</v>
      </c>
      <c r="AC2940" t="s">
        <v>2274</v>
      </c>
      <c r="AD2940" t="s">
        <v>14901</v>
      </c>
      <c r="AE2940" t="s">
        <v>6378</v>
      </c>
      <c r="AF2940" t="s">
        <v>1254</v>
      </c>
      <c r="AG2940" t="s">
        <v>4267</v>
      </c>
      <c r="AH2940" t="s">
        <v>2035</v>
      </c>
      <c r="AI2940" t="s">
        <v>4006</v>
      </c>
      <c r="AJ2940" t="s">
        <v>3598</v>
      </c>
      <c r="AK2940" t="s">
        <v>7714</v>
      </c>
      <c r="AL2940">
        <v>0.01</v>
      </c>
      <c r="AM2940">
        <v>0.01</v>
      </c>
      <c r="AN2940">
        <v>0.79</v>
      </c>
      <c r="AO2940" t="s">
        <v>26490</v>
      </c>
      <c r="AP2940" t="s">
        <v>5891</v>
      </c>
      <c r="AQ2940" t="s">
        <v>8927</v>
      </c>
      <c r="AR2940" t="s">
        <v>6056</v>
      </c>
      <c r="AS2940" t="s">
        <v>2175</v>
      </c>
      <c r="AT2940" t="s">
        <v>14607</v>
      </c>
      <c r="AU2940" t="s">
        <v>4312</v>
      </c>
      <c r="AV2940" t="s">
        <v>6985</v>
      </c>
      <c r="AW2940" t="s">
        <v>10449</v>
      </c>
      <c r="AX2940" t="s">
        <v>353</v>
      </c>
      <c r="AY2940" t="s">
        <v>26491</v>
      </c>
      <c r="AZ2940" t="s">
        <v>5389</v>
      </c>
      <c r="BA2940">
        <v>2.12</v>
      </c>
      <c r="BB2940">
        <v>2111.2399999999998</v>
      </c>
      <c r="BC2940">
        <v>0.6</v>
      </c>
      <c r="BD2940">
        <v>63.74</v>
      </c>
      <c r="BE2940">
        <v>64.650000000000006</v>
      </c>
      <c r="BF2940">
        <v>63.83</v>
      </c>
      <c r="BG2940" t="s">
        <v>26492</v>
      </c>
      <c r="BH2940" t="s">
        <v>6281</v>
      </c>
      <c r="BI2940" t="s">
        <v>26493</v>
      </c>
      <c r="BJ2940" t="s">
        <v>101</v>
      </c>
      <c r="BK2940" t="s">
        <v>9780</v>
      </c>
      <c r="BL2940" t="s">
        <v>19666</v>
      </c>
      <c r="BM2940" t="s">
        <v>2452</v>
      </c>
      <c r="BN2940" t="s">
        <v>23454</v>
      </c>
    </row>
    <row r="2941" spans="1:66" x14ac:dyDescent="0.25">
      <c r="A2941" t="str">
        <f>HYPERLINK("https://elite.finviz.com/quote.ashx?t=CWH&amp;ty=c&amp;p=d&amp;b=1", "CWH")</f>
        <v>CWH</v>
      </c>
      <c r="B2941">
        <v>5</v>
      </c>
      <c r="C2941">
        <v>116.22</v>
      </c>
      <c r="D2941">
        <v>45.18</v>
      </c>
      <c r="E2941" t="s">
        <v>26494</v>
      </c>
      <c r="F2941" t="s">
        <v>67</v>
      </c>
      <c r="G2941" t="s">
        <v>813</v>
      </c>
      <c r="H2941" t="s">
        <v>5888</v>
      </c>
      <c r="I2941" t="s">
        <v>70</v>
      </c>
      <c r="J2941" t="s">
        <v>71</v>
      </c>
      <c r="K2941">
        <v>1684.9</v>
      </c>
      <c r="L2941">
        <v>16.5</v>
      </c>
      <c r="M2941" t="s">
        <v>909</v>
      </c>
      <c r="N2941">
        <v>374012</v>
      </c>
      <c r="P2941">
        <v>13.77</v>
      </c>
      <c r="R2941">
        <v>0.27</v>
      </c>
      <c r="S2941">
        <v>3.04</v>
      </c>
      <c r="T2941" t="s">
        <v>6121</v>
      </c>
      <c r="U2941">
        <v>0.5</v>
      </c>
      <c r="V2941" t="s">
        <v>3833</v>
      </c>
      <c r="W2941" t="s">
        <v>867</v>
      </c>
      <c r="X2941" t="s">
        <v>26495</v>
      </c>
      <c r="Y2941" t="s">
        <v>9789</v>
      </c>
      <c r="AA2941">
        <v>-0.2</v>
      </c>
      <c r="AC2941" t="s">
        <v>6202</v>
      </c>
      <c r="AE2941" t="s">
        <v>6527</v>
      </c>
      <c r="AF2941" t="s">
        <v>2288</v>
      </c>
      <c r="AG2941" t="s">
        <v>1091</v>
      </c>
      <c r="AH2941" t="s">
        <v>3212</v>
      </c>
      <c r="AI2941" t="s">
        <v>9814</v>
      </c>
      <c r="AJ2941" t="s">
        <v>164</v>
      </c>
      <c r="AK2941" t="s">
        <v>24517</v>
      </c>
      <c r="AL2941">
        <v>1.26</v>
      </c>
      <c r="AM2941">
        <v>0.24</v>
      </c>
      <c r="AN2941">
        <v>10.97</v>
      </c>
      <c r="AO2941" t="s">
        <v>4991</v>
      </c>
      <c r="AP2941" t="s">
        <v>5187</v>
      </c>
      <c r="AQ2941" t="s">
        <v>1842</v>
      </c>
      <c r="AR2941" t="s">
        <v>6459</v>
      </c>
      <c r="AS2941" t="s">
        <v>4795</v>
      </c>
      <c r="AT2941" t="s">
        <v>1373</v>
      </c>
      <c r="AU2941" t="s">
        <v>7332</v>
      </c>
      <c r="AV2941" t="s">
        <v>8659</v>
      </c>
      <c r="AW2941" t="s">
        <v>14689</v>
      </c>
      <c r="AX2941" t="s">
        <v>7733</v>
      </c>
      <c r="AY2941" t="s">
        <v>18885</v>
      </c>
      <c r="AZ2941" t="s">
        <v>15415</v>
      </c>
      <c r="BA2941">
        <v>1.42</v>
      </c>
      <c r="BB2941">
        <v>2192.1</v>
      </c>
      <c r="BC2941">
        <v>0.6</v>
      </c>
      <c r="BD2941">
        <v>16.190000000000001</v>
      </c>
      <c r="BE2941">
        <v>16.72</v>
      </c>
      <c r="BF2941">
        <v>16.16</v>
      </c>
      <c r="BG2941" t="s">
        <v>26496</v>
      </c>
      <c r="BH2941" t="s">
        <v>3094</v>
      </c>
      <c r="BI2941" t="s">
        <v>26497</v>
      </c>
      <c r="BJ2941" t="s">
        <v>101</v>
      </c>
      <c r="BK2941" t="s">
        <v>10332</v>
      </c>
      <c r="BL2941" t="s">
        <v>9927</v>
      </c>
      <c r="BM2941" t="s">
        <v>23284</v>
      </c>
      <c r="BN2941" t="s">
        <v>23454</v>
      </c>
    </row>
    <row r="2942" spans="1:66" x14ac:dyDescent="0.25">
      <c r="A2942" t="str">
        <f>HYPERLINK("https://elite.finviz.com/quote.ashx?t=TRIP&amp;ty=c&amp;p=d&amp;b=1", "TRIP")</f>
        <v>TRIP</v>
      </c>
      <c r="B2942">
        <v>5</v>
      </c>
      <c r="C2942">
        <v>116.22</v>
      </c>
      <c r="D2942">
        <v>45.31</v>
      </c>
      <c r="E2942" t="s">
        <v>26498</v>
      </c>
      <c r="F2942" t="s">
        <v>67</v>
      </c>
      <c r="G2942" t="s">
        <v>813</v>
      </c>
      <c r="H2942" t="s">
        <v>1997</v>
      </c>
      <c r="I2942" t="s">
        <v>70</v>
      </c>
      <c r="J2942" t="s">
        <v>321</v>
      </c>
      <c r="K2942">
        <v>1996.92</v>
      </c>
      <c r="L2942">
        <v>17.190000000000001</v>
      </c>
      <c r="M2942" t="s">
        <v>3344</v>
      </c>
      <c r="N2942">
        <v>560590</v>
      </c>
      <c r="O2942">
        <v>36.14</v>
      </c>
      <c r="P2942">
        <v>9.3000000000000007</v>
      </c>
      <c r="Q2942">
        <v>1.3</v>
      </c>
      <c r="R2942">
        <v>1.07</v>
      </c>
      <c r="S2942">
        <v>3.18</v>
      </c>
      <c r="V2942" t="s">
        <v>22692</v>
      </c>
      <c r="Z2942" t="s">
        <v>164</v>
      </c>
      <c r="AA2942">
        <v>0.48</v>
      </c>
      <c r="AC2942" t="s">
        <v>8362</v>
      </c>
      <c r="AD2942" t="s">
        <v>12791</v>
      </c>
      <c r="AE2942" t="s">
        <v>2735</v>
      </c>
      <c r="AF2942" t="s">
        <v>21178</v>
      </c>
      <c r="AG2942" t="s">
        <v>3636</v>
      </c>
      <c r="AH2942" t="s">
        <v>1474</v>
      </c>
      <c r="AI2942" t="s">
        <v>7777</v>
      </c>
      <c r="AJ2942" t="s">
        <v>1564</v>
      </c>
      <c r="AK2942" t="s">
        <v>5472</v>
      </c>
      <c r="AL2942">
        <v>1.24</v>
      </c>
      <c r="AM2942">
        <v>1.24</v>
      </c>
      <c r="AN2942">
        <v>2.0099999999999998</v>
      </c>
      <c r="AO2942" t="s">
        <v>26499</v>
      </c>
      <c r="AP2942" t="s">
        <v>4518</v>
      </c>
      <c r="AQ2942" t="s">
        <v>903</v>
      </c>
      <c r="AR2942" t="s">
        <v>506</v>
      </c>
      <c r="AS2942" t="s">
        <v>5685</v>
      </c>
      <c r="AT2942" t="s">
        <v>14948</v>
      </c>
      <c r="AU2942" t="s">
        <v>1444</v>
      </c>
      <c r="AV2942" t="s">
        <v>3327</v>
      </c>
      <c r="AW2942" t="s">
        <v>9853</v>
      </c>
      <c r="AX2942" t="s">
        <v>2515</v>
      </c>
      <c r="AY2942" t="s">
        <v>9853</v>
      </c>
      <c r="AZ2942" t="s">
        <v>16234</v>
      </c>
      <c r="BA2942">
        <v>3.25</v>
      </c>
      <c r="BB2942">
        <v>3709.05</v>
      </c>
      <c r="BC2942">
        <v>0.53</v>
      </c>
      <c r="BD2942">
        <v>17.04</v>
      </c>
      <c r="BE2942">
        <v>17.670000000000002</v>
      </c>
      <c r="BF2942">
        <v>17.07</v>
      </c>
      <c r="BG2942" t="s">
        <v>26500</v>
      </c>
      <c r="BH2942" t="s">
        <v>26501</v>
      </c>
      <c r="BI2942" t="s">
        <v>16234</v>
      </c>
      <c r="BJ2942" t="s">
        <v>101</v>
      </c>
      <c r="BK2942" t="s">
        <v>15710</v>
      </c>
      <c r="BL2942" t="s">
        <v>7399</v>
      </c>
      <c r="BM2942" t="s">
        <v>11239</v>
      </c>
      <c r="BN2942" t="s">
        <v>23454</v>
      </c>
    </row>
    <row r="2943" spans="1:66" x14ac:dyDescent="0.25">
      <c r="A2943" t="str">
        <f>HYPERLINK("https://elite.finviz.com/quote.ashx?t=LFMD&amp;ty=c&amp;p=d&amp;b=1", "LFMD")</f>
        <v>LFMD</v>
      </c>
      <c r="B2943">
        <v>5</v>
      </c>
      <c r="C2943">
        <v>116.22</v>
      </c>
      <c r="D2943">
        <v>45.31</v>
      </c>
      <c r="E2943" t="s">
        <v>26502</v>
      </c>
      <c r="F2943" t="s">
        <v>67</v>
      </c>
      <c r="G2943" t="s">
        <v>428</v>
      </c>
      <c r="H2943" t="s">
        <v>2075</v>
      </c>
      <c r="I2943" t="s">
        <v>70</v>
      </c>
      <c r="J2943" t="s">
        <v>321</v>
      </c>
      <c r="K2943">
        <v>300.63</v>
      </c>
      <c r="L2943">
        <v>6.34</v>
      </c>
      <c r="M2943" t="s">
        <v>3832</v>
      </c>
      <c r="N2943">
        <v>389998</v>
      </c>
      <c r="P2943">
        <v>29.01</v>
      </c>
      <c r="R2943">
        <v>1.22</v>
      </c>
      <c r="AA2943">
        <v>-0.21</v>
      </c>
      <c r="AB2943" t="s">
        <v>12275</v>
      </c>
      <c r="AC2943" t="s">
        <v>8023</v>
      </c>
      <c r="AE2943" t="s">
        <v>5451</v>
      </c>
      <c r="AF2943" t="s">
        <v>15036</v>
      </c>
      <c r="AG2943" t="s">
        <v>17735</v>
      </c>
      <c r="AH2943" t="s">
        <v>6515</v>
      </c>
      <c r="AI2943" t="s">
        <v>26503</v>
      </c>
      <c r="AJ2943" t="s">
        <v>7468</v>
      </c>
      <c r="AK2943" t="s">
        <v>7083</v>
      </c>
      <c r="AL2943">
        <v>0.77</v>
      </c>
      <c r="AM2943">
        <v>0.72</v>
      </c>
      <c r="AO2943" t="s">
        <v>26504</v>
      </c>
      <c r="AP2943" t="s">
        <v>8357</v>
      </c>
      <c r="AQ2943" t="s">
        <v>2893</v>
      </c>
      <c r="AR2943" t="s">
        <v>5164</v>
      </c>
      <c r="AS2943" t="s">
        <v>5672</v>
      </c>
      <c r="AT2943" t="s">
        <v>4892</v>
      </c>
      <c r="AU2943" t="s">
        <v>20126</v>
      </c>
      <c r="AV2943" t="s">
        <v>11490</v>
      </c>
      <c r="AW2943" t="s">
        <v>19345</v>
      </c>
      <c r="AX2943" t="s">
        <v>3406</v>
      </c>
      <c r="AY2943" t="s">
        <v>26505</v>
      </c>
      <c r="AZ2943" t="s">
        <v>15203</v>
      </c>
      <c r="BA2943">
        <v>1.25</v>
      </c>
      <c r="BB2943">
        <v>1697.85</v>
      </c>
      <c r="BC2943">
        <v>0.81</v>
      </c>
      <c r="BD2943">
        <v>6.22</v>
      </c>
      <c r="BE2943">
        <v>6.45</v>
      </c>
      <c r="BF2943">
        <v>6.18</v>
      </c>
      <c r="BG2943" t="s">
        <v>26506</v>
      </c>
      <c r="BH2943" t="s">
        <v>26507</v>
      </c>
      <c r="BI2943" t="s">
        <v>26508</v>
      </c>
      <c r="BJ2943" t="s">
        <v>101</v>
      </c>
      <c r="BK2943" t="s">
        <v>24325</v>
      </c>
      <c r="BL2943" t="s">
        <v>2948</v>
      </c>
      <c r="BM2943" t="s">
        <v>5318</v>
      </c>
      <c r="BN2943" t="s">
        <v>23454</v>
      </c>
    </row>
    <row r="2944" spans="1:66" x14ac:dyDescent="0.25">
      <c r="A2944" t="str">
        <f>HYPERLINK("https://elite.finviz.com/quote.ashx?t=AMD&amp;ty=c&amp;p=d&amp;b=1", "AMD")</f>
        <v>AMD</v>
      </c>
      <c r="B2944">
        <v>5</v>
      </c>
      <c r="C2944">
        <v>116.22</v>
      </c>
      <c r="D2944">
        <v>45.33</v>
      </c>
      <c r="E2944" t="s">
        <v>26509</v>
      </c>
      <c r="F2944" t="s">
        <v>319</v>
      </c>
      <c r="G2944" t="s">
        <v>108</v>
      </c>
      <c r="H2944" t="s">
        <v>1808</v>
      </c>
      <c r="I2944" t="s">
        <v>70</v>
      </c>
      <c r="J2944" t="s">
        <v>321</v>
      </c>
      <c r="K2944">
        <v>256214.58</v>
      </c>
      <c r="L2944">
        <v>157.88</v>
      </c>
      <c r="M2944" t="s">
        <v>708</v>
      </c>
      <c r="N2944">
        <v>11175557</v>
      </c>
      <c r="O2944">
        <v>90.88</v>
      </c>
      <c r="P2944">
        <v>26.54</v>
      </c>
      <c r="Q2944">
        <v>2.94</v>
      </c>
      <c r="R2944">
        <v>8.66</v>
      </c>
      <c r="S2944">
        <v>4.29</v>
      </c>
      <c r="Z2944" t="s">
        <v>164</v>
      </c>
      <c r="AA2944">
        <v>1.74</v>
      </c>
      <c r="AB2944" t="s">
        <v>10063</v>
      </c>
      <c r="AC2944" t="s">
        <v>19212</v>
      </c>
      <c r="AD2944" t="s">
        <v>12616</v>
      </c>
      <c r="AE2944" t="s">
        <v>3312</v>
      </c>
      <c r="AF2944" t="s">
        <v>9721</v>
      </c>
      <c r="AG2944" t="s">
        <v>15487</v>
      </c>
      <c r="AH2944" t="s">
        <v>25254</v>
      </c>
      <c r="AI2944" t="s">
        <v>439</v>
      </c>
      <c r="AJ2944" t="s">
        <v>3554</v>
      </c>
      <c r="AK2944" t="s">
        <v>10333</v>
      </c>
      <c r="AL2944">
        <v>2.4900000000000002</v>
      </c>
      <c r="AM2944">
        <v>1.81</v>
      </c>
      <c r="AN2944">
        <v>7.0000000000000007E-2</v>
      </c>
      <c r="AO2944" t="s">
        <v>2929</v>
      </c>
      <c r="AP2944" t="s">
        <v>4518</v>
      </c>
      <c r="AQ2944" t="s">
        <v>4223</v>
      </c>
      <c r="AR2944" t="s">
        <v>2736</v>
      </c>
      <c r="AS2944" t="s">
        <v>3035</v>
      </c>
      <c r="AT2944" t="s">
        <v>4963</v>
      </c>
      <c r="AU2944" t="s">
        <v>1580</v>
      </c>
      <c r="AV2944" t="s">
        <v>1185</v>
      </c>
      <c r="AW2944" t="s">
        <v>14863</v>
      </c>
      <c r="AX2944" t="s">
        <v>3036</v>
      </c>
      <c r="AY2944" t="s">
        <v>14863</v>
      </c>
      <c r="AZ2944" t="s">
        <v>26510</v>
      </c>
      <c r="BA2944">
        <v>1.74</v>
      </c>
      <c r="BB2944">
        <v>54234.37</v>
      </c>
      <c r="BC2944">
        <v>0.73</v>
      </c>
      <c r="BD2944">
        <v>161.27000000000001</v>
      </c>
      <c r="BE2944">
        <v>162.11000000000001</v>
      </c>
      <c r="BF2944">
        <v>157.63999999999999</v>
      </c>
      <c r="BG2944" t="s">
        <v>26511</v>
      </c>
      <c r="BH2944" t="s">
        <v>26512</v>
      </c>
      <c r="BI2944" t="s">
        <v>26513</v>
      </c>
      <c r="BJ2944" t="s">
        <v>101</v>
      </c>
      <c r="BK2944" t="s">
        <v>5653</v>
      </c>
      <c r="BL2944" t="s">
        <v>15731</v>
      </c>
      <c r="BM2944" t="s">
        <v>4703</v>
      </c>
      <c r="BN2944" t="s">
        <v>23454</v>
      </c>
    </row>
    <row r="2945" spans="1:66" x14ac:dyDescent="0.25">
      <c r="A2945" t="str">
        <f>HYPERLINK("https://elite.finviz.com/quote.ashx?t=NEGG&amp;ty=c&amp;p=d&amp;b=1", "NEGG")</f>
        <v>NEGG</v>
      </c>
      <c r="B2945">
        <v>5</v>
      </c>
      <c r="C2945">
        <v>116.22</v>
      </c>
      <c r="D2945">
        <v>45.33</v>
      </c>
      <c r="E2945" t="s">
        <v>26514</v>
      </c>
      <c r="F2945" t="s">
        <v>107</v>
      </c>
      <c r="G2945" t="s">
        <v>813</v>
      </c>
      <c r="H2945" t="s">
        <v>4388</v>
      </c>
      <c r="I2945" t="s">
        <v>70</v>
      </c>
      <c r="J2945" t="s">
        <v>321</v>
      </c>
      <c r="K2945">
        <v>837.93</v>
      </c>
      <c r="L2945">
        <v>43.2</v>
      </c>
      <c r="M2945" t="s">
        <v>1080</v>
      </c>
      <c r="N2945">
        <v>461544</v>
      </c>
      <c r="AC2945" t="s">
        <v>5434</v>
      </c>
      <c r="AF2945" t="s">
        <v>3386</v>
      </c>
      <c r="AG2945" t="s">
        <v>26515</v>
      </c>
      <c r="AH2945" t="s">
        <v>2971</v>
      </c>
      <c r="AI2945" t="s">
        <v>15741</v>
      </c>
      <c r="AK2945" t="s">
        <v>2339</v>
      </c>
      <c r="AR2945" t="s">
        <v>3888</v>
      </c>
      <c r="AS2945" t="s">
        <v>2928</v>
      </c>
      <c r="AT2945" t="s">
        <v>4710</v>
      </c>
      <c r="AU2945" t="s">
        <v>24577</v>
      </c>
      <c r="AV2945" t="s">
        <v>26516</v>
      </c>
      <c r="AW2945" t="s">
        <v>15518</v>
      </c>
      <c r="AX2945" t="s">
        <v>13223</v>
      </c>
      <c r="AY2945" t="s">
        <v>15518</v>
      </c>
      <c r="AZ2945" t="s">
        <v>26517</v>
      </c>
      <c r="BA2945">
        <v>1</v>
      </c>
      <c r="BB2945">
        <v>1610.68</v>
      </c>
      <c r="BC2945">
        <v>1.01</v>
      </c>
      <c r="BD2945">
        <v>44.16</v>
      </c>
      <c r="BE2945">
        <v>45.94</v>
      </c>
      <c r="BF2945">
        <v>42.15</v>
      </c>
      <c r="BG2945" t="s">
        <v>26518</v>
      </c>
      <c r="BH2945" t="s">
        <v>26519</v>
      </c>
      <c r="BI2945" t="s">
        <v>26517</v>
      </c>
      <c r="BJ2945" t="s">
        <v>101</v>
      </c>
      <c r="BK2945" t="s">
        <v>26520</v>
      </c>
      <c r="BL2945" t="s">
        <v>26521</v>
      </c>
      <c r="BM2945" t="s">
        <v>26522</v>
      </c>
      <c r="BN2945" t="s">
        <v>23454</v>
      </c>
    </row>
    <row r="2946" spans="1:66" x14ac:dyDescent="0.25">
      <c r="A2946" t="str">
        <f>HYPERLINK("https://elite.finviz.com/quote.ashx?t=MCD&amp;ty=c&amp;p=d&amp;b=1", "MCD")</f>
        <v>MCD</v>
      </c>
      <c r="B2946">
        <v>5</v>
      </c>
      <c r="C2946">
        <v>116.22</v>
      </c>
      <c r="D2946">
        <v>45.36</v>
      </c>
      <c r="E2946" t="s">
        <v>26523</v>
      </c>
      <c r="F2946" t="s">
        <v>1759</v>
      </c>
      <c r="G2946" t="s">
        <v>813</v>
      </c>
      <c r="H2946" t="s">
        <v>2285</v>
      </c>
      <c r="I2946" t="s">
        <v>70</v>
      </c>
      <c r="J2946" t="s">
        <v>71</v>
      </c>
      <c r="K2946">
        <v>216889.36</v>
      </c>
      <c r="L2946">
        <v>303.93</v>
      </c>
      <c r="M2946" t="s">
        <v>4901</v>
      </c>
      <c r="N2946">
        <v>431864</v>
      </c>
      <c r="O2946">
        <v>26.03</v>
      </c>
      <c r="P2946">
        <v>22.71</v>
      </c>
      <c r="Q2946">
        <v>3.56</v>
      </c>
      <c r="R2946">
        <v>8.32</v>
      </c>
      <c r="T2946" t="s">
        <v>352</v>
      </c>
      <c r="U2946">
        <v>7.08</v>
      </c>
      <c r="V2946" t="s">
        <v>2187</v>
      </c>
      <c r="W2946" t="s">
        <v>11728</v>
      </c>
      <c r="X2946" t="s">
        <v>4718</v>
      </c>
      <c r="Y2946" t="s">
        <v>8808</v>
      </c>
      <c r="Z2946" t="s">
        <v>14954</v>
      </c>
      <c r="AA2946">
        <v>11.68</v>
      </c>
      <c r="AB2946" t="s">
        <v>1449</v>
      </c>
      <c r="AC2946" t="s">
        <v>1207</v>
      </c>
      <c r="AD2946" t="s">
        <v>5150</v>
      </c>
      <c r="AE2946" t="s">
        <v>6732</v>
      </c>
      <c r="AF2946" t="s">
        <v>8818</v>
      </c>
      <c r="AG2946" t="s">
        <v>4125</v>
      </c>
      <c r="AH2946" t="s">
        <v>2123</v>
      </c>
      <c r="AI2946" t="s">
        <v>907</v>
      </c>
      <c r="AJ2946" t="s">
        <v>8542</v>
      </c>
      <c r="AK2946" t="s">
        <v>19575</v>
      </c>
      <c r="AL2946">
        <v>1.3</v>
      </c>
      <c r="AM2946">
        <v>1.29</v>
      </c>
      <c r="AO2946" t="s">
        <v>22112</v>
      </c>
      <c r="AP2946" t="s">
        <v>4441</v>
      </c>
      <c r="AQ2946" t="s">
        <v>13995</v>
      </c>
      <c r="AR2946" t="s">
        <v>3976</v>
      </c>
      <c r="AS2946" t="s">
        <v>5158</v>
      </c>
      <c r="AT2946" t="s">
        <v>609</v>
      </c>
      <c r="AU2946" t="s">
        <v>4086</v>
      </c>
      <c r="AV2946" t="s">
        <v>6182</v>
      </c>
      <c r="AW2946" t="s">
        <v>2329</v>
      </c>
      <c r="AX2946" t="s">
        <v>203</v>
      </c>
      <c r="AY2946" t="s">
        <v>9091</v>
      </c>
      <c r="AZ2946" t="s">
        <v>4089</v>
      </c>
      <c r="BA2946">
        <v>2.2400000000000002</v>
      </c>
      <c r="BB2946">
        <v>3508.38</v>
      </c>
      <c r="BC2946">
        <v>0.43</v>
      </c>
      <c r="BD2946">
        <v>302.3</v>
      </c>
      <c r="BE2946">
        <v>304.48</v>
      </c>
      <c r="BF2946">
        <v>302.26</v>
      </c>
      <c r="BG2946" t="s">
        <v>26524</v>
      </c>
      <c r="BH2946" t="s">
        <v>9091</v>
      </c>
      <c r="BI2946" t="s">
        <v>26525</v>
      </c>
      <c r="BJ2946" t="s">
        <v>101</v>
      </c>
      <c r="BK2946" t="s">
        <v>353</v>
      </c>
      <c r="BL2946" t="s">
        <v>4646</v>
      </c>
      <c r="BM2946" t="s">
        <v>4552</v>
      </c>
      <c r="BN2946" t="s">
        <v>23454</v>
      </c>
    </row>
    <row r="2947" spans="1:66" x14ac:dyDescent="0.25">
      <c r="A2947" t="str">
        <f>HYPERLINK("https://elite.finviz.com/quote.ashx?t=BRCC&amp;ty=c&amp;p=d&amp;b=1", "BRCC")</f>
        <v>BRCC</v>
      </c>
      <c r="B2947">
        <v>5</v>
      </c>
      <c r="C2947">
        <v>116.22</v>
      </c>
      <c r="D2947">
        <v>45.36</v>
      </c>
      <c r="E2947" t="s">
        <v>26526</v>
      </c>
      <c r="F2947" t="s">
        <v>67</v>
      </c>
      <c r="G2947" t="s">
        <v>2244</v>
      </c>
      <c r="H2947" t="s">
        <v>3269</v>
      </c>
      <c r="I2947" t="s">
        <v>70</v>
      </c>
      <c r="J2947" t="s">
        <v>71</v>
      </c>
      <c r="K2947">
        <v>379.76</v>
      </c>
      <c r="L2947">
        <v>1.53</v>
      </c>
      <c r="M2947" t="s">
        <v>1249</v>
      </c>
      <c r="N2947">
        <v>82368</v>
      </c>
      <c r="R2947">
        <v>0.98</v>
      </c>
      <c r="S2947">
        <v>12.32</v>
      </c>
      <c r="AA2947">
        <v>-0.14000000000000001</v>
      </c>
      <c r="AB2947" t="s">
        <v>5705</v>
      </c>
      <c r="AE2947" t="s">
        <v>9070</v>
      </c>
      <c r="AF2947" t="s">
        <v>4592</v>
      </c>
      <c r="AG2947" t="s">
        <v>16827</v>
      </c>
      <c r="AH2947" t="s">
        <v>9186</v>
      </c>
      <c r="AI2947" t="s">
        <v>26527</v>
      </c>
      <c r="AJ2947" t="s">
        <v>451</v>
      </c>
      <c r="AK2947" t="s">
        <v>26528</v>
      </c>
      <c r="AL2947">
        <v>1.29</v>
      </c>
      <c r="AM2947">
        <v>0.7</v>
      </c>
      <c r="AN2947">
        <v>10.24</v>
      </c>
      <c r="AO2947" t="s">
        <v>11778</v>
      </c>
      <c r="AP2947" t="s">
        <v>8374</v>
      </c>
      <c r="AQ2947" t="s">
        <v>7948</v>
      </c>
      <c r="AR2947" t="s">
        <v>5591</v>
      </c>
      <c r="AS2947" t="s">
        <v>7231</v>
      </c>
      <c r="AT2947" t="s">
        <v>3114</v>
      </c>
      <c r="AU2947" t="s">
        <v>10703</v>
      </c>
      <c r="AV2947" t="s">
        <v>8500</v>
      </c>
      <c r="AW2947" t="s">
        <v>15913</v>
      </c>
      <c r="AX2947" t="s">
        <v>8239</v>
      </c>
      <c r="AY2947" t="s">
        <v>9237</v>
      </c>
      <c r="AZ2947" t="s">
        <v>6374</v>
      </c>
      <c r="BA2947">
        <v>2</v>
      </c>
      <c r="BB2947">
        <v>1007.01</v>
      </c>
      <c r="BC2947">
        <v>0.28999999999999998</v>
      </c>
      <c r="BD2947">
        <v>1.53</v>
      </c>
      <c r="BE2947">
        <v>1.55</v>
      </c>
      <c r="BF2947">
        <v>1.51</v>
      </c>
      <c r="BG2947" t="s">
        <v>26529</v>
      </c>
      <c r="BH2947" t="s">
        <v>8987</v>
      </c>
      <c r="BI2947" t="s">
        <v>6374</v>
      </c>
      <c r="BJ2947" t="s">
        <v>101</v>
      </c>
      <c r="BK2947" t="s">
        <v>6746</v>
      </c>
      <c r="BL2947" t="s">
        <v>4959</v>
      </c>
      <c r="BM2947" t="s">
        <v>3369</v>
      </c>
      <c r="BN2947" t="s">
        <v>23454</v>
      </c>
    </row>
    <row r="2948" spans="1:66" x14ac:dyDescent="0.25">
      <c r="A2948" t="str">
        <f>HYPERLINK("https://elite.finviz.com/quote.ashx?t=AHCO&amp;ty=c&amp;p=d&amp;b=1", "AHCO")</f>
        <v>AHCO</v>
      </c>
      <c r="B2948">
        <v>5</v>
      </c>
      <c r="C2948">
        <v>116.22</v>
      </c>
      <c r="D2948">
        <v>45.36</v>
      </c>
      <c r="E2948" t="s">
        <v>26530</v>
      </c>
      <c r="F2948" t="s">
        <v>67</v>
      </c>
      <c r="G2948" t="s">
        <v>428</v>
      </c>
      <c r="H2948" t="s">
        <v>2051</v>
      </c>
      <c r="I2948" t="s">
        <v>70</v>
      </c>
      <c r="J2948" t="s">
        <v>321</v>
      </c>
      <c r="K2948">
        <v>1205.5</v>
      </c>
      <c r="L2948">
        <v>8.91</v>
      </c>
      <c r="M2948" t="s">
        <v>5263</v>
      </c>
      <c r="N2948">
        <v>125069</v>
      </c>
      <c r="O2948">
        <v>16.66</v>
      </c>
      <c r="P2948">
        <v>7.88</v>
      </c>
      <c r="Q2948">
        <v>2.06</v>
      </c>
      <c r="R2948">
        <v>0.37</v>
      </c>
      <c r="S2948">
        <v>0.76</v>
      </c>
      <c r="Z2948" t="s">
        <v>164</v>
      </c>
      <c r="AA2948">
        <v>0.53</v>
      </c>
      <c r="AB2948" t="s">
        <v>5064</v>
      </c>
      <c r="AD2948" t="s">
        <v>9636</v>
      </c>
      <c r="AE2948" t="s">
        <v>1202</v>
      </c>
      <c r="AF2948" t="s">
        <v>1491</v>
      </c>
      <c r="AG2948" t="s">
        <v>1230</v>
      </c>
      <c r="AH2948" t="s">
        <v>2197</v>
      </c>
      <c r="AI2948" t="s">
        <v>5029</v>
      </c>
      <c r="AJ2948" t="s">
        <v>7709</v>
      </c>
      <c r="AK2948" t="s">
        <v>26531</v>
      </c>
      <c r="AL2948">
        <v>1.06</v>
      </c>
      <c r="AM2948">
        <v>0.82</v>
      </c>
      <c r="AN2948">
        <v>1.23</v>
      </c>
      <c r="AO2948" t="s">
        <v>5473</v>
      </c>
      <c r="AP2948" t="s">
        <v>327</v>
      </c>
      <c r="AQ2948" t="s">
        <v>1599</v>
      </c>
      <c r="AR2948" t="s">
        <v>5593</v>
      </c>
      <c r="AS2948" t="s">
        <v>4093</v>
      </c>
      <c r="AT2948" t="s">
        <v>4124</v>
      </c>
      <c r="AU2948" t="s">
        <v>4673</v>
      </c>
      <c r="AV2948" t="s">
        <v>1052</v>
      </c>
      <c r="AW2948" t="s">
        <v>5299</v>
      </c>
      <c r="AX2948" t="s">
        <v>316</v>
      </c>
      <c r="AY2948" t="s">
        <v>26532</v>
      </c>
      <c r="AZ2948" t="s">
        <v>2334</v>
      </c>
      <c r="BA2948">
        <v>1.62</v>
      </c>
      <c r="BB2948">
        <v>1200.3</v>
      </c>
      <c r="BC2948">
        <v>0.37</v>
      </c>
      <c r="BD2948">
        <v>8.73</v>
      </c>
      <c r="BE2948">
        <v>8.91</v>
      </c>
      <c r="BF2948">
        <v>8.7200000000000006</v>
      </c>
      <c r="BG2948" t="s">
        <v>26533</v>
      </c>
      <c r="BH2948" t="s">
        <v>26534</v>
      </c>
      <c r="BI2948" t="s">
        <v>5510</v>
      </c>
      <c r="BJ2948" t="s">
        <v>101</v>
      </c>
      <c r="BK2948" t="s">
        <v>134</v>
      </c>
      <c r="BL2948" t="s">
        <v>3988</v>
      </c>
      <c r="BM2948" t="s">
        <v>20311</v>
      </c>
      <c r="BN2948" t="s">
        <v>23454</v>
      </c>
    </row>
    <row r="2949" spans="1:66" x14ac:dyDescent="0.25">
      <c r="A2949" t="str">
        <f>HYPERLINK("https://elite.finviz.com/quote.ashx?t=NTST&amp;ty=c&amp;p=d&amp;b=1", "NTST")</f>
        <v>NTST</v>
      </c>
      <c r="B2949">
        <v>5</v>
      </c>
      <c r="C2949">
        <v>116.22</v>
      </c>
      <c r="D2949">
        <v>45.37</v>
      </c>
      <c r="E2949" t="s">
        <v>26535</v>
      </c>
      <c r="F2949" t="s">
        <v>67</v>
      </c>
      <c r="G2949" t="s">
        <v>68</v>
      </c>
      <c r="H2949" t="s">
        <v>160</v>
      </c>
      <c r="I2949" t="s">
        <v>70</v>
      </c>
      <c r="J2949" t="s">
        <v>71</v>
      </c>
      <c r="K2949">
        <v>1724.96</v>
      </c>
      <c r="L2949">
        <v>17.91</v>
      </c>
      <c r="M2949" t="s">
        <v>4507</v>
      </c>
      <c r="N2949">
        <v>81170</v>
      </c>
      <c r="P2949">
        <v>54.24</v>
      </c>
      <c r="R2949">
        <v>9.5500000000000007</v>
      </c>
      <c r="S2949">
        <v>1.1399999999999999</v>
      </c>
      <c r="T2949" t="s">
        <v>372</v>
      </c>
      <c r="U2949">
        <v>0.84</v>
      </c>
      <c r="V2949" t="s">
        <v>2187</v>
      </c>
      <c r="W2949" t="s">
        <v>2789</v>
      </c>
      <c r="X2949" t="s">
        <v>343</v>
      </c>
      <c r="AA2949">
        <v>-7.0000000000000007E-2</v>
      </c>
      <c r="AC2949" t="s">
        <v>10793</v>
      </c>
      <c r="AE2949" t="s">
        <v>4851</v>
      </c>
      <c r="AF2949" t="s">
        <v>17341</v>
      </c>
      <c r="AG2949" t="s">
        <v>8010</v>
      </c>
      <c r="AH2949" t="s">
        <v>4838</v>
      </c>
      <c r="AI2949" t="s">
        <v>24157</v>
      </c>
      <c r="AJ2949" t="s">
        <v>6719</v>
      </c>
      <c r="AK2949" t="s">
        <v>26536</v>
      </c>
      <c r="AL2949">
        <v>135.04</v>
      </c>
      <c r="AM2949">
        <v>135.04</v>
      </c>
      <c r="AN2949">
        <v>0.72</v>
      </c>
      <c r="AO2949" t="s">
        <v>7585</v>
      </c>
      <c r="AP2949" t="s">
        <v>4208</v>
      </c>
      <c r="AQ2949" t="s">
        <v>10958</v>
      </c>
      <c r="AR2949" t="s">
        <v>2087</v>
      </c>
      <c r="AS2949" t="s">
        <v>909</v>
      </c>
      <c r="AT2949" t="s">
        <v>4086</v>
      </c>
      <c r="AU2949" t="s">
        <v>2190</v>
      </c>
      <c r="AV2949" t="s">
        <v>821</v>
      </c>
      <c r="AW2949" t="s">
        <v>15635</v>
      </c>
      <c r="AX2949" t="s">
        <v>6118</v>
      </c>
      <c r="AY2949" t="s">
        <v>15635</v>
      </c>
      <c r="AZ2949" t="s">
        <v>9441</v>
      </c>
      <c r="BA2949">
        <v>1.59</v>
      </c>
      <c r="BB2949">
        <v>1320.5</v>
      </c>
      <c r="BC2949">
        <v>0.22</v>
      </c>
      <c r="BD2949">
        <v>17.899999999999999</v>
      </c>
      <c r="BE2949">
        <v>18.07</v>
      </c>
      <c r="BF2949">
        <v>17.91</v>
      </c>
      <c r="BG2949" t="s">
        <v>26537</v>
      </c>
      <c r="BH2949" t="s">
        <v>14636</v>
      </c>
      <c r="BI2949" t="s">
        <v>9441</v>
      </c>
      <c r="BJ2949" t="s">
        <v>101</v>
      </c>
      <c r="BK2949" t="s">
        <v>4760</v>
      </c>
      <c r="BL2949" t="s">
        <v>7401</v>
      </c>
      <c r="BM2949" t="s">
        <v>4783</v>
      </c>
      <c r="BN2949" t="s">
        <v>23454</v>
      </c>
    </row>
    <row r="2950" spans="1:66" x14ac:dyDescent="0.25">
      <c r="A2950" t="str">
        <f>HYPERLINK("https://elite.finviz.com/quote.ashx?t=SEMR&amp;ty=c&amp;p=d&amp;b=1", "SEMR")</f>
        <v>SEMR</v>
      </c>
      <c r="B2950">
        <v>5</v>
      </c>
      <c r="C2950">
        <v>116.22</v>
      </c>
      <c r="D2950">
        <v>45.37</v>
      </c>
      <c r="E2950" t="s">
        <v>26538</v>
      </c>
      <c r="F2950" t="s">
        <v>67</v>
      </c>
      <c r="G2950" t="s">
        <v>108</v>
      </c>
      <c r="H2950" t="s">
        <v>136</v>
      </c>
      <c r="I2950" t="s">
        <v>70</v>
      </c>
      <c r="J2950" t="s">
        <v>71</v>
      </c>
      <c r="K2950">
        <v>1109.3499999999999</v>
      </c>
      <c r="L2950">
        <v>7.46</v>
      </c>
      <c r="M2950" t="s">
        <v>4494</v>
      </c>
      <c r="N2950">
        <v>95617</v>
      </c>
      <c r="P2950">
        <v>17.22</v>
      </c>
      <c r="R2950">
        <v>2.68</v>
      </c>
      <c r="S2950">
        <v>3.97</v>
      </c>
      <c r="Z2950" t="s">
        <v>164</v>
      </c>
      <c r="AA2950">
        <v>-0.01</v>
      </c>
      <c r="AD2950" t="s">
        <v>11575</v>
      </c>
      <c r="AE2950" t="s">
        <v>10270</v>
      </c>
      <c r="AF2950" t="s">
        <v>12914</v>
      </c>
      <c r="AG2950" t="s">
        <v>3174</v>
      </c>
      <c r="AH2950" t="s">
        <v>3667</v>
      </c>
      <c r="AI2950" t="s">
        <v>12945</v>
      </c>
      <c r="AJ2950" t="s">
        <v>10819</v>
      </c>
      <c r="AK2950" t="s">
        <v>7374</v>
      </c>
      <c r="AL2950">
        <v>2.31</v>
      </c>
      <c r="AM2950">
        <v>2.31</v>
      </c>
      <c r="AN2950">
        <v>0.05</v>
      </c>
      <c r="AO2950" t="s">
        <v>13408</v>
      </c>
      <c r="AP2950" t="s">
        <v>4539</v>
      </c>
      <c r="AQ2950" t="s">
        <v>6871</v>
      </c>
      <c r="AR2950" t="s">
        <v>203</v>
      </c>
      <c r="AS2950" t="s">
        <v>2473</v>
      </c>
      <c r="AT2950" t="s">
        <v>4879</v>
      </c>
      <c r="AU2950" t="s">
        <v>9725</v>
      </c>
      <c r="AV2950" t="s">
        <v>5397</v>
      </c>
      <c r="AW2950" t="s">
        <v>13680</v>
      </c>
      <c r="AX2950" t="s">
        <v>4742</v>
      </c>
      <c r="AY2950" t="s">
        <v>9574</v>
      </c>
      <c r="AZ2950" t="s">
        <v>4742</v>
      </c>
      <c r="BA2950">
        <v>1.67</v>
      </c>
      <c r="BB2950">
        <v>1170.1099999999999</v>
      </c>
      <c r="BC2950">
        <v>0.28999999999999998</v>
      </c>
      <c r="BD2950">
        <v>7.45</v>
      </c>
      <c r="BE2950">
        <v>7.49</v>
      </c>
      <c r="BF2950">
        <v>7.39</v>
      </c>
      <c r="BG2950" t="s">
        <v>26539</v>
      </c>
      <c r="BH2950" t="s">
        <v>10054</v>
      </c>
      <c r="BI2950" t="s">
        <v>4742</v>
      </c>
      <c r="BJ2950" t="s">
        <v>101</v>
      </c>
      <c r="BK2950" t="s">
        <v>6529</v>
      </c>
      <c r="BL2950" t="s">
        <v>26540</v>
      </c>
      <c r="BM2950" t="s">
        <v>16605</v>
      </c>
      <c r="BN2950" t="s">
        <v>23454</v>
      </c>
    </row>
    <row r="2951" spans="1:66" x14ac:dyDescent="0.25">
      <c r="A2951" t="str">
        <f>HYPERLINK("https://elite.finviz.com/quote.ashx?t=CCL&amp;ty=c&amp;p=d&amp;b=1", "CCL")</f>
        <v>CCL</v>
      </c>
      <c r="B2951">
        <v>5</v>
      </c>
      <c r="C2951">
        <v>116.22</v>
      </c>
      <c r="D2951">
        <v>45.41</v>
      </c>
      <c r="E2951" t="s">
        <v>26541</v>
      </c>
      <c r="F2951" t="s">
        <v>195</v>
      </c>
      <c r="G2951" t="s">
        <v>813</v>
      </c>
      <c r="H2951" t="s">
        <v>1997</v>
      </c>
      <c r="I2951" t="s">
        <v>70</v>
      </c>
      <c r="J2951" t="s">
        <v>71</v>
      </c>
      <c r="K2951">
        <v>39499.35</v>
      </c>
      <c r="L2951">
        <v>30.41</v>
      </c>
      <c r="M2951" t="s">
        <v>2294</v>
      </c>
      <c r="N2951">
        <v>5279017</v>
      </c>
      <c r="O2951">
        <v>16.48</v>
      </c>
      <c r="P2951">
        <v>12.98</v>
      </c>
      <c r="Q2951">
        <v>0.7</v>
      </c>
      <c r="R2951">
        <v>1.52</v>
      </c>
      <c r="S2951">
        <v>3.99</v>
      </c>
      <c r="V2951" t="s">
        <v>26542</v>
      </c>
      <c r="Z2951" t="s">
        <v>164</v>
      </c>
      <c r="AA2951">
        <v>1.84</v>
      </c>
      <c r="AC2951" t="s">
        <v>15099</v>
      </c>
      <c r="AD2951" t="s">
        <v>13719</v>
      </c>
      <c r="AE2951" t="s">
        <v>7361</v>
      </c>
      <c r="AF2951" t="s">
        <v>26543</v>
      </c>
      <c r="AG2951" t="s">
        <v>5592</v>
      </c>
      <c r="AH2951" t="s">
        <v>8274</v>
      </c>
      <c r="AI2951" t="s">
        <v>17799</v>
      </c>
      <c r="AJ2951" t="s">
        <v>3752</v>
      </c>
      <c r="AK2951" t="s">
        <v>20653</v>
      </c>
      <c r="AL2951">
        <v>0.3</v>
      </c>
      <c r="AM2951">
        <v>0.27</v>
      </c>
      <c r="AN2951">
        <v>2.86</v>
      </c>
      <c r="AO2951" t="s">
        <v>5708</v>
      </c>
      <c r="AP2951" t="s">
        <v>3840</v>
      </c>
      <c r="AQ2951" t="s">
        <v>3581</v>
      </c>
      <c r="AR2951" t="s">
        <v>304</v>
      </c>
      <c r="AS2951" t="s">
        <v>648</v>
      </c>
      <c r="AT2951" t="s">
        <v>91</v>
      </c>
      <c r="AU2951" t="s">
        <v>2760</v>
      </c>
      <c r="AV2951" t="s">
        <v>1876</v>
      </c>
      <c r="AW2951" t="s">
        <v>184</v>
      </c>
      <c r="AX2951" t="s">
        <v>3050</v>
      </c>
      <c r="AY2951" t="s">
        <v>184</v>
      </c>
      <c r="AZ2951" t="s">
        <v>13857</v>
      </c>
      <c r="BA2951">
        <v>1.67</v>
      </c>
      <c r="BB2951">
        <v>19684.79</v>
      </c>
      <c r="BC2951">
        <v>0.94</v>
      </c>
      <c r="BD2951">
        <v>30.48</v>
      </c>
      <c r="BE2951">
        <v>30.69</v>
      </c>
      <c r="BF2951">
        <v>30.24</v>
      </c>
      <c r="BG2951" t="s">
        <v>26544</v>
      </c>
      <c r="BH2951" t="s">
        <v>26545</v>
      </c>
      <c r="BI2951" t="s">
        <v>26546</v>
      </c>
      <c r="BJ2951" t="s">
        <v>101</v>
      </c>
      <c r="BK2951" t="s">
        <v>7976</v>
      </c>
      <c r="BL2951" t="s">
        <v>21179</v>
      </c>
      <c r="BM2951" t="s">
        <v>5874</v>
      </c>
      <c r="BN2951" t="s">
        <v>23454</v>
      </c>
    </row>
    <row r="2952" spans="1:66" x14ac:dyDescent="0.25">
      <c r="A2952" t="str">
        <f>HYPERLINK("https://elite.finviz.com/quote.ashx?t=AEVA&amp;ty=c&amp;p=d&amp;b=1", "AEVA")</f>
        <v>AEVA</v>
      </c>
      <c r="B2952">
        <v>5</v>
      </c>
      <c r="C2952">
        <v>116.22</v>
      </c>
      <c r="D2952">
        <v>45.42</v>
      </c>
      <c r="E2952" t="s">
        <v>26547</v>
      </c>
      <c r="F2952" t="s">
        <v>67</v>
      </c>
      <c r="G2952" t="s">
        <v>108</v>
      </c>
      <c r="H2952" t="s">
        <v>109</v>
      </c>
      <c r="I2952" t="s">
        <v>70</v>
      </c>
      <c r="J2952" t="s">
        <v>321</v>
      </c>
      <c r="K2952">
        <v>862.38</v>
      </c>
      <c r="L2952">
        <v>15.31</v>
      </c>
      <c r="M2952" t="s">
        <v>3232</v>
      </c>
      <c r="N2952">
        <v>644360</v>
      </c>
      <c r="R2952">
        <v>62.4</v>
      </c>
      <c r="AA2952">
        <v>-5.5</v>
      </c>
      <c r="AB2952" t="s">
        <v>9160</v>
      </c>
      <c r="AC2952" t="s">
        <v>26548</v>
      </c>
      <c r="AD2952" t="s">
        <v>483</v>
      </c>
      <c r="AE2952" t="s">
        <v>3216</v>
      </c>
      <c r="AF2952" t="s">
        <v>4086</v>
      </c>
      <c r="AH2952" t="s">
        <v>26549</v>
      </c>
      <c r="AI2952" t="s">
        <v>3057</v>
      </c>
      <c r="AJ2952" t="s">
        <v>12627</v>
      </c>
      <c r="AK2952" t="s">
        <v>7524</v>
      </c>
      <c r="AL2952">
        <v>0.65</v>
      </c>
      <c r="AM2952">
        <v>0.6</v>
      </c>
      <c r="AO2952" t="s">
        <v>4082</v>
      </c>
      <c r="AP2952" t="s">
        <v>26550</v>
      </c>
      <c r="AQ2952" t="s">
        <v>26551</v>
      </c>
      <c r="AR2952" t="s">
        <v>6085</v>
      </c>
      <c r="AS2952" t="s">
        <v>2635</v>
      </c>
      <c r="AT2952" t="s">
        <v>4537</v>
      </c>
      <c r="AU2952" t="s">
        <v>3051</v>
      </c>
      <c r="AV2952" t="s">
        <v>11052</v>
      </c>
      <c r="AW2952" t="s">
        <v>11020</v>
      </c>
      <c r="AX2952" t="s">
        <v>11506</v>
      </c>
      <c r="AY2952" t="s">
        <v>26552</v>
      </c>
      <c r="AZ2952" t="s">
        <v>26553</v>
      </c>
      <c r="BA2952">
        <v>1.4</v>
      </c>
      <c r="BB2952">
        <v>2941.38</v>
      </c>
      <c r="BC2952">
        <v>0.77</v>
      </c>
      <c r="BD2952">
        <v>16.18</v>
      </c>
      <c r="BE2952">
        <v>16.170000000000002</v>
      </c>
      <c r="BF2952">
        <v>15.15</v>
      </c>
      <c r="BG2952" t="s">
        <v>26554</v>
      </c>
      <c r="BH2952" t="s">
        <v>26555</v>
      </c>
      <c r="BI2952" t="s">
        <v>26556</v>
      </c>
      <c r="BJ2952" t="s">
        <v>101</v>
      </c>
      <c r="BK2952" t="s">
        <v>11928</v>
      </c>
      <c r="BL2952" t="s">
        <v>26557</v>
      </c>
      <c r="BM2952" t="s">
        <v>26558</v>
      </c>
      <c r="BN2952" t="s">
        <v>23454</v>
      </c>
    </row>
    <row r="2953" spans="1:66" x14ac:dyDescent="0.25">
      <c r="A2953" t="str">
        <f>HYPERLINK("https://elite.finviz.com/quote.ashx?t=INDI&amp;ty=c&amp;p=d&amp;b=1", "INDI")</f>
        <v>INDI</v>
      </c>
      <c r="B2953">
        <v>5</v>
      </c>
      <c r="C2953">
        <v>116.22</v>
      </c>
      <c r="D2953">
        <v>45.46</v>
      </c>
      <c r="E2953" t="s">
        <v>26559</v>
      </c>
      <c r="F2953" t="s">
        <v>67</v>
      </c>
      <c r="G2953" t="s">
        <v>108</v>
      </c>
      <c r="H2953" t="s">
        <v>2097</v>
      </c>
      <c r="I2953" t="s">
        <v>70</v>
      </c>
      <c r="J2953" t="s">
        <v>321</v>
      </c>
      <c r="K2953">
        <v>848.48</v>
      </c>
      <c r="L2953">
        <v>3.92</v>
      </c>
      <c r="M2953" t="s">
        <v>1842</v>
      </c>
      <c r="N2953">
        <v>627394</v>
      </c>
      <c r="P2953">
        <v>214.13</v>
      </c>
      <c r="R2953">
        <v>3.9</v>
      </c>
      <c r="S2953">
        <v>2.15</v>
      </c>
      <c r="AA2953">
        <v>-0.83</v>
      </c>
      <c r="AB2953" t="s">
        <v>5262</v>
      </c>
      <c r="AE2953" t="s">
        <v>5663</v>
      </c>
      <c r="AF2953" t="s">
        <v>15424</v>
      </c>
      <c r="AH2953" t="s">
        <v>1510</v>
      </c>
      <c r="AI2953" t="s">
        <v>1080</v>
      </c>
      <c r="AJ2953" t="s">
        <v>8293</v>
      </c>
      <c r="AK2953" t="s">
        <v>26560</v>
      </c>
      <c r="AL2953">
        <v>4.34</v>
      </c>
      <c r="AM2953">
        <v>3.72</v>
      </c>
      <c r="AN2953">
        <v>0.95</v>
      </c>
      <c r="AO2953" t="s">
        <v>26561</v>
      </c>
      <c r="AP2953" t="s">
        <v>17043</v>
      </c>
      <c r="AQ2953" t="s">
        <v>26562</v>
      </c>
      <c r="AR2953" t="s">
        <v>1160</v>
      </c>
      <c r="AS2953" t="s">
        <v>3303</v>
      </c>
      <c r="AT2953" t="s">
        <v>6204</v>
      </c>
      <c r="AU2953" t="s">
        <v>3292</v>
      </c>
      <c r="AV2953" t="s">
        <v>6748</v>
      </c>
      <c r="AW2953" t="s">
        <v>17845</v>
      </c>
      <c r="AX2953" t="s">
        <v>3122</v>
      </c>
      <c r="AY2953" t="s">
        <v>26563</v>
      </c>
      <c r="AZ2953" t="s">
        <v>26564</v>
      </c>
      <c r="BA2953">
        <v>1</v>
      </c>
      <c r="BB2953">
        <v>4122.7</v>
      </c>
      <c r="BC2953">
        <v>0.54</v>
      </c>
      <c r="BD2953">
        <v>3.93</v>
      </c>
      <c r="BE2953">
        <v>3.98</v>
      </c>
      <c r="BF2953">
        <v>3.84</v>
      </c>
      <c r="BG2953" t="s">
        <v>26565</v>
      </c>
      <c r="BH2953" t="s">
        <v>26566</v>
      </c>
      <c r="BI2953" t="s">
        <v>26564</v>
      </c>
      <c r="BJ2953" t="s">
        <v>101</v>
      </c>
      <c r="BK2953" t="s">
        <v>7566</v>
      </c>
      <c r="BL2953" t="s">
        <v>26567</v>
      </c>
      <c r="BM2953" t="s">
        <v>1981</v>
      </c>
      <c r="BN2953" t="s">
        <v>23454</v>
      </c>
    </row>
    <row r="2954" spans="1:66" x14ac:dyDescent="0.25">
      <c r="A2954" t="str">
        <f>HYPERLINK("https://elite.finviz.com/quote.ashx?t=TMDX&amp;ty=c&amp;p=d&amp;b=1", "TMDX")</f>
        <v>TMDX</v>
      </c>
      <c r="B2954">
        <v>5</v>
      </c>
      <c r="C2954">
        <v>116.22</v>
      </c>
      <c r="D2954">
        <v>45.52</v>
      </c>
      <c r="E2954" t="s">
        <v>26568</v>
      </c>
      <c r="F2954" t="s">
        <v>67</v>
      </c>
      <c r="G2954" t="s">
        <v>428</v>
      </c>
      <c r="H2954" t="s">
        <v>2051</v>
      </c>
      <c r="I2954" t="s">
        <v>70</v>
      </c>
      <c r="J2954" t="s">
        <v>321</v>
      </c>
      <c r="K2954">
        <v>3871.61</v>
      </c>
      <c r="L2954">
        <v>113.57</v>
      </c>
      <c r="M2954" t="s">
        <v>2003</v>
      </c>
      <c r="N2954">
        <v>221034</v>
      </c>
      <c r="O2954">
        <v>58.73</v>
      </c>
      <c r="P2954">
        <v>40.39</v>
      </c>
      <c r="Q2954">
        <v>1.06</v>
      </c>
      <c r="R2954">
        <v>7.29</v>
      </c>
      <c r="S2954">
        <v>12.15</v>
      </c>
      <c r="Z2954" t="s">
        <v>164</v>
      </c>
      <c r="AA2954">
        <v>1.93</v>
      </c>
      <c r="AD2954" t="s">
        <v>26569</v>
      </c>
      <c r="AE2954" t="s">
        <v>3134</v>
      </c>
      <c r="AF2954" t="s">
        <v>21407</v>
      </c>
      <c r="AG2954" t="s">
        <v>26570</v>
      </c>
      <c r="AH2954" t="s">
        <v>977</v>
      </c>
      <c r="AI2954" t="s">
        <v>26571</v>
      </c>
      <c r="AJ2954" t="s">
        <v>5549</v>
      </c>
      <c r="AK2954" t="s">
        <v>26572</v>
      </c>
      <c r="AL2954">
        <v>9.86</v>
      </c>
      <c r="AM2954">
        <v>9.17</v>
      </c>
      <c r="AN2954">
        <v>1.63</v>
      </c>
      <c r="AO2954" t="s">
        <v>10571</v>
      </c>
      <c r="AP2954" t="s">
        <v>8526</v>
      </c>
      <c r="AQ2954" t="s">
        <v>4620</v>
      </c>
      <c r="AR2954" t="s">
        <v>3545</v>
      </c>
      <c r="AS2954" t="s">
        <v>5969</v>
      </c>
      <c r="AT2954" t="s">
        <v>1358</v>
      </c>
      <c r="AU2954" t="s">
        <v>5444</v>
      </c>
      <c r="AV2954" t="s">
        <v>301</v>
      </c>
      <c r="AW2954" t="s">
        <v>4213</v>
      </c>
      <c r="AX2954" t="s">
        <v>2269</v>
      </c>
      <c r="AY2954" t="s">
        <v>17392</v>
      </c>
      <c r="AZ2954" t="s">
        <v>23537</v>
      </c>
      <c r="BA2954">
        <v>1.75</v>
      </c>
      <c r="BB2954">
        <v>1064.69</v>
      </c>
      <c r="BC2954">
        <v>0.73</v>
      </c>
      <c r="BD2954">
        <v>113.9</v>
      </c>
      <c r="BE2954">
        <v>114.91</v>
      </c>
      <c r="BF2954">
        <v>112.38</v>
      </c>
      <c r="BG2954" t="s">
        <v>26573</v>
      </c>
      <c r="BH2954" t="s">
        <v>24823</v>
      </c>
      <c r="BI2954" t="s">
        <v>26574</v>
      </c>
      <c r="BJ2954" t="s">
        <v>101</v>
      </c>
      <c r="BK2954" t="s">
        <v>20326</v>
      </c>
      <c r="BL2954" t="s">
        <v>26575</v>
      </c>
      <c r="BM2954" t="s">
        <v>2152</v>
      </c>
      <c r="BN2954" t="s">
        <v>23454</v>
      </c>
    </row>
    <row r="2955" spans="1:66" x14ac:dyDescent="0.25">
      <c r="A2955" t="str">
        <f>HYPERLINK("https://elite.finviz.com/quote.ashx?t=MMC&amp;ty=c&amp;p=d&amp;b=1", "MMC")</f>
        <v>MMC</v>
      </c>
      <c r="B2955">
        <v>5</v>
      </c>
      <c r="C2955">
        <v>116.22</v>
      </c>
      <c r="D2955">
        <v>45.53</v>
      </c>
      <c r="E2955" t="s">
        <v>26576</v>
      </c>
      <c r="F2955" t="s">
        <v>195</v>
      </c>
      <c r="G2955" t="s">
        <v>550</v>
      </c>
      <c r="H2955" t="s">
        <v>10916</v>
      </c>
      <c r="I2955" t="s">
        <v>70</v>
      </c>
      <c r="J2955" t="s">
        <v>71</v>
      </c>
      <c r="K2955">
        <v>98228.94</v>
      </c>
      <c r="L2955">
        <v>199.8</v>
      </c>
      <c r="M2955" t="s">
        <v>3761</v>
      </c>
      <c r="N2955">
        <v>292145</v>
      </c>
      <c r="O2955">
        <v>23.98</v>
      </c>
      <c r="P2955">
        <v>19.3</v>
      </c>
      <c r="Q2955">
        <v>2.75</v>
      </c>
      <c r="R2955">
        <v>3.81</v>
      </c>
      <c r="S2955">
        <v>6.23</v>
      </c>
      <c r="T2955" t="s">
        <v>3257</v>
      </c>
      <c r="U2955">
        <v>3.34</v>
      </c>
      <c r="V2955" t="s">
        <v>5149</v>
      </c>
      <c r="W2955" t="s">
        <v>7477</v>
      </c>
      <c r="X2955" t="s">
        <v>6201</v>
      </c>
      <c r="Y2955" t="s">
        <v>9196</v>
      </c>
      <c r="Z2955" t="s">
        <v>4643</v>
      </c>
      <c r="AA2955">
        <v>8.33</v>
      </c>
      <c r="AB2955" t="s">
        <v>4852</v>
      </c>
      <c r="AC2955" t="s">
        <v>8322</v>
      </c>
      <c r="AD2955" t="s">
        <v>11639</v>
      </c>
      <c r="AE2955" t="s">
        <v>7019</v>
      </c>
      <c r="AF2955" t="s">
        <v>906</v>
      </c>
      <c r="AG2955" t="s">
        <v>3837</v>
      </c>
      <c r="AH2955" t="s">
        <v>563</v>
      </c>
      <c r="AI2955" t="s">
        <v>5968</v>
      </c>
      <c r="AJ2955" t="s">
        <v>7525</v>
      </c>
      <c r="AK2955" t="s">
        <v>13790</v>
      </c>
      <c r="AL2955">
        <v>1.2</v>
      </c>
      <c r="AM2955">
        <v>1.2</v>
      </c>
      <c r="AN2955">
        <v>1.37</v>
      </c>
      <c r="AP2955" t="s">
        <v>18126</v>
      </c>
      <c r="AQ2955" t="s">
        <v>9096</v>
      </c>
      <c r="AR2955" t="s">
        <v>2720</v>
      </c>
      <c r="AS2955" t="s">
        <v>192</v>
      </c>
      <c r="AT2955" t="s">
        <v>2203</v>
      </c>
      <c r="AU2955" t="s">
        <v>2190</v>
      </c>
      <c r="AV2955" t="s">
        <v>2236</v>
      </c>
      <c r="AW2955" t="s">
        <v>15221</v>
      </c>
      <c r="AX2955" t="s">
        <v>4547</v>
      </c>
      <c r="AY2955" t="s">
        <v>26577</v>
      </c>
      <c r="AZ2955" t="s">
        <v>4547</v>
      </c>
      <c r="BA2955">
        <v>2.73</v>
      </c>
      <c r="BB2955">
        <v>2410.7600000000002</v>
      </c>
      <c r="BC2955">
        <v>0.43</v>
      </c>
      <c r="BD2955">
        <v>197.97</v>
      </c>
      <c r="BE2955">
        <v>200.92</v>
      </c>
      <c r="BF2955">
        <v>198.79</v>
      </c>
      <c r="BG2955" t="s">
        <v>26578</v>
      </c>
      <c r="BH2955" t="s">
        <v>26577</v>
      </c>
      <c r="BI2955" t="s">
        <v>26579</v>
      </c>
      <c r="BJ2955" t="s">
        <v>101</v>
      </c>
      <c r="BK2955" t="s">
        <v>2467</v>
      </c>
      <c r="BL2955" t="s">
        <v>20462</v>
      </c>
      <c r="BM2955" t="s">
        <v>5853</v>
      </c>
      <c r="BN2955" t="s">
        <v>23454</v>
      </c>
    </row>
    <row r="2956" spans="1:66" x14ac:dyDescent="0.25">
      <c r="A2956" t="str">
        <f>HYPERLINK("https://elite.finviz.com/quote.ashx?t=MGM&amp;ty=c&amp;p=d&amp;b=1", "MGM")</f>
        <v>MGM</v>
      </c>
      <c r="B2956">
        <v>5</v>
      </c>
      <c r="C2956">
        <v>116.22</v>
      </c>
      <c r="D2956">
        <v>45.56</v>
      </c>
      <c r="E2956" t="s">
        <v>26580</v>
      </c>
      <c r="F2956" t="s">
        <v>195</v>
      </c>
      <c r="G2956" t="s">
        <v>813</v>
      </c>
      <c r="H2956" t="s">
        <v>2763</v>
      </c>
      <c r="I2956" t="s">
        <v>70</v>
      </c>
      <c r="J2956" t="s">
        <v>71</v>
      </c>
      <c r="K2956">
        <v>9605.6299999999992</v>
      </c>
      <c r="L2956">
        <v>35.29</v>
      </c>
      <c r="M2956" t="s">
        <v>342</v>
      </c>
      <c r="N2956">
        <v>1267704</v>
      </c>
      <c r="O2956">
        <v>19.440000000000001</v>
      </c>
      <c r="P2956">
        <v>12.95</v>
      </c>
      <c r="Q2956">
        <v>2.0699999999999998</v>
      </c>
      <c r="R2956">
        <v>0.56000000000000005</v>
      </c>
      <c r="S2956">
        <v>3.23</v>
      </c>
      <c r="V2956" t="s">
        <v>26581</v>
      </c>
      <c r="Z2956" t="s">
        <v>164</v>
      </c>
      <c r="AA2956">
        <v>1.81</v>
      </c>
      <c r="AB2956" t="s">
        <v>4191</v>
      </c>
      <c r="AC2956" t="s">
        <v>1027</v>
      </c>
      <c r="AD2956" t="s">
        <v>2210</v>
      </c>
      <c r="AE2956" t="s">
        <v>2125</v>
      </c>
      <c r="AF2956" t="s">
        <v>8087</v>
      </c>
      <c r="AG2956" t="s">
        <v>8164</v>
      </c>
      <c r="AH2956" t="s">
        <v>2201</v>
      </c>
      <c r="AI2956" t="s">
        <v>4608</v>
      </c>
      <c r="AJ2956" t="s">
        <v>8374</v>
      </c>
      <c r="AK2956" t="s">
        <v>7359</v>
      </c>
      <c r="AL2956">
        <v>1.22</v>
      </c>
      <c r="AM2956">
        <v>1.18</v>
      </c>
      <c r="AN2956">
        <v>10.62</v>
      </c>
      <c r="AO2956" t="s">
        <v>10661</v>
      </c>
      <c r="AP2956" t="s">
        <v>7616</v>
      </c>
      <c r="AQ2956" t="s">
        <v>6104</v>
      </c>
      <c r="AR2956" t="s">
        <v>1438</v>
      </c>
      <c r="AS2956" t="s">
        <v>2496</v>
      </c>
      <c r="AT2956" t="s">
        <v>5824</v>
      </c>
      <c r="AU2956" t="s">
        <v>799</v>
      </c>
      <c r="AV2956" t="s">
        <v>4394</v>
      </c>
      <c r="AW2956" t="s">
        <v>13083</v>
      </c>
      <c r="AX2956" t="s">
        <v>353</v>
      </c>
      <c r="AY2956" t="s">
        <v>20101</v>
      </c>
      <c r="AZ2956" t="s">
        <v>13221</v>
      </c>
      <c r="BA2956">
        <v>1.88</v>
      </c>
      <c r="BB2956">
        <v>4555.88</v>
      </c>
      <c r="BC2956">
        <v>0.98</v>
      </c>
      <c r="BD2956">
        <v>34.479999999999997</v>
      </c>
      <c r="BE2956">
        <v>35.520000000000003</v>
      </c>
      <c r="BF2956">
        <v>34.549999999999997</v>
      </c>
      <c r="BG2956" t="s">
        <v>26582</v>
      </c>
      <c r="BH2956" t="s">
        <v>23813</v>
      </c>
      <c r="BI2956" t="s">
        <v>26583</v>
      </c>
      <c r="BJ2956" t="s">
        <v>101</v>
      </c>
      <c r="BK2956" t="s">
        <v>4976</v>
      </c>
      <c r="BL2956" t="s">
        <v>2595</v>
      </c>
      <c r="BM2956" t="s">
        <v>8346</v>
      </c>
      <c r="BN2956" t="s">
        <v>23454</v>
      </c>
    </row>
    <row r="2957" spans="1:66" x14ac:dyDescent="0.25">
      <c r="A2957" t="str">
        <f>HYPERLINK("https://elite.finviz.com/quote.ashx?t=ARMK&amp;ty=c&amp;p=d&amp;b=1", "ARMK")</f>
        <v>ARMK</v>
      </c>
      <c r="B2957">
        <v>5</v>
      </c>
      <c r="C2957">
        <v>116.22</v>
      </c>
      <c r="D2957">
        <v>45.58</v>
      </c>
      <c r="E2957" t="s">
        <v>26584</v>
      </c>
      <c r="F2957" t="s">
        <v>107</v>
      </c>
      <c r="G2957" t="s">
        <v>260</v>
      </c>
      <c r="H2957" t="s">
        <v>1077</v>
      </c>
      <c r="I2957" t="s">
        <v>70</v>
      </c>
      <c r="J2957" t="s">
        <v>71</v>
      </c>
      <c r="K2957">
        <v>10040.9</v>
      </c>
      <c r="L2957">
        <v>38.200000000000003</v>
      </c>
      <c r="M2957" t="s">
        <v>6829</v>
      </c>
      <c r="N2957">
        <v>379530</v>
      </c>
      <c r="O2957">
        <v>28.26</v>
      </c>
      <c r="P2957">
        <v>16.739999999999998</v>
      </c>
      <c r="Q2957">
        <v>1.4</v>
      </c>
      <c r="R2957">
        <v>0.56000000000000005</v>
      </c>
      <c r="S2957">
        <v>3.25</v>
      </c>
      <c r="T2957" t="s">
        <v>1837</v>
      </c>
      <c r="U2957">
        <v>0.42</v>
      </c>
      <c r="V2957" t="s">
        <v>2859</v>
      </c>
      <c r="W2957" t="s">
        <v>5403</v>
      </c>
      <c r="X2957" t="s">
        <v>3423</v>
      </c>
      <c r="Y2957" t="s">
        <v>7948</v>
      </c>
      <c r="Z2957" t="s">
        <v>16380</v>
      </c>
      <c r="AA2957">
        <v>1.35</v>
      </c>
      <c r="AC2957" t="s">
        <v>25804</v>
      </c>
      <c r="AD2957" t="s">
        <v>5792</v>
      </c>
      <c r="AE2957" t="s">
        <v>2745</v>
      </c>
      <c r="AF2957" t="s">
        <v>1369</v>
      </c>
      <c r="AG2957" t="s">
        <v>2554</v>
      </c>
      <c r="AH2957" t="s">
        <v>7685</v>
      </c>
      <c r="AI2957" t="s">
        <v>4539</v>
      </c>
      <c r="AJ2957" t="s">
        <v>2642</v>
      </c>
      <c r="AK2957" t="s">
        <v>7823</v>
      </c>
      <c r="AL2957">
        <v>1.29</v>
      </c>
      <c r="AM2957">
        <v>1.1399999999999999</v>
      </c>
      <c r="AN2957">
        <v>2.14</v>
      </c>
      <c r="AO2957" t="s">
        <v>2581</v>
      </c>
      <c r="AP2957" t="s">
        <v>2810</v>
      </c>
      <c r="AQ2957" t="s">
        <v>6692</v>
      </c>
      <c r="AR2957" t="s">
        <v>3832</v>
      </c>
      <c r="AS2957" t="s">
        <v>3832</v>
      </c>
      <c r="AT2957" t="s">
        <v>2745</v>
      </c>
      <c r="AU2957" t="s">
        <v>9672</v>
      </c>
      <c r="AV2957" t="s">
        <v>3598</v>
      </c>
      <c r="AW2957" t="s">
        <v>117</v>
      </c>
      <c r="AX2957" t="s">
        <v>4892</v>
      </c>
      <c r="AY2957" t="s">
        <v>117</v>
      </c>
      <c r="AZ2957" t="s">
        <v>9547</v>
      </c>
      <c r="BA2957">
        <v>1.47</v>
      </c>
      <c r="BB2957">
        <v>2079.9699999999998</v>
      </c>
      <c r="BC2957">
        <v>0.64</v>
      </c>
      <c r="BD2957">
        <v>37.659999999999997</v>
      </c>
      <c r="BE2957">
        <v>38.25</v>
      </c>
      <c r="BF2957">
        <v>37.700000000000003</v>
      </c>
      <c r="BG2957" t="s">
        <v>26585</v>
      </c>
      <c r="BH2957" t="s">
        <v>117</v>
      </c>
      <c r="BI2957" t="s">
        <v>26586</v>
      </c>
      <c r="BJ2957" t="s">
        <v>101</v>
      </c>
      <c r="BK2957" t="s">
        <v>7439</v>
      </c>
      <c r="BL2957" t="s">
        <v>2399</v>
      </c>
      <c r="BM2957" t="s">
        <v>1560</v>
      </c>
      <c r="BN2957" t="s">
        <v>23454</v>
      </c>
    </row>
    <row r="2958" spans="1:66" x14ac:dyDescent="0.25">
      <c r="A2958" t="str">
        <f>HYPERLINK("https://elite.finviz.com/quote.ashx?t=DGXX&amp;ty=c&amp;p=d&amp;b=1", "DGXX")</f>
        <v>DGXX</v>
      </c>
      <c r="B2958">
        <v>5</v>
      </c>
      <c r="C2958">
        <v>116.22</v>
      </c>
      <c r="D2958">
        <v>45.63</v>
      </c>
      <c r="E2958" t="s">
        <v>26587</v>
      </c>
      <c r="F2958" t="s">
        <v>107</v>
      </c>
      <c r="G2958" t="s">
        <v>287</v>
      </c>
      <c r="H2958" t="s">
        <v>7551</v>
      </c>
      <c r="I2958" t="s">
        <v>70</v>
      </c>
      <c r="J2958" t="s">
        <v>321</v>
      </c>
      <c r="K2958">
        <v>107.1</v>
      </c>
      <c r="L2958">
        <v>2.36</v>
      </c>
      <c r="M2958" t="s">
        <v>4634</v>
      </c>
      <c r="N2958">
        <v>338182</v>
      </c>
      <c r="R2958">
        <v>3.33</v>
      </c>
      <c r="S2958">
        <v>3.56</v>
      </c>
      <c r="AA2958">
        <v>-0.55000000000000004</v>
      </c>
      <c r="AB2958" t="s">
        <v>19047</v>
      </c>
      <c r="AC2958" t="s">
        <v>14107</v>
      </c>
      <c r="AE2958" t="s">
        <v>11088</v>
      </c>
      <c r="AF2958" t="s">
        <v>7114</v>
      </c>
      <c r="AG2958" t="s">
        <v>19585</v>
      </c>
      <c r="AH2958" t="s">
        <v>6977</v>
      </c>
      <c r="AI2958" t="s">
        <v>1746</v>
      </c>
      <c r="AJ2958" t="s">
        <v>164</v>
      </c>
      <c r="AK2958" t="s">
        <v>1050</v>
      </c>
      <c r="AL2958">
        <v>1.2</v>
      </c>
      <c r="AM2958">
        <v>1.2</v>
      </c>
      <c r="AN2958">
        <v>0</v>
      </c>
      <c r="AO2958" t="s">
        <v>21244</v>
      </c>
      <c r="AP2958" t="s">
        <v>26588</v>
      </c>
      <c r="AQ2958" t="s">
        <v>1112</v>
      </c>
      <c r="AR2958" t="s">
        <v>1370</v>
      </c>
      <c r="AS2958" t="s">
        <v>7436</v>
      </c>
      <c r="AT2958" t="s">
        <v>4432</v>
      </c>
      <c r="AU2958" t="s">
        <v>840</v>
      </c>
      <c r="AV2958" t="s">
        <v>13015</v>
      </c>
      <c r="AW2958" t="s">
        <v>26589</v>
      </c>
      <c r="AX2958" t="s">
        <v>4390</v>
      </c>
      <c r="AY2958" t="s">
        <v>26589</v>
      </c>
      <c r="AZ2958" t="s">
        <v>21117</v>
      </c>
      <c r="BA2958">
        <v>1</v>
      </c>
      <c r="BB2958">
        <v>1574.34</v>
      </c>
      <c r="BC2958">
        <v>0.76</v>
      </c>
      <c r="BD2958">
        <v>2.39</v>
      </c>
      <c r="BE2958">
        <v>2.42</v>
      </c>
      <c r="BF2958">
        <v>2.3199999999999998</v>
      </c>
      <c r="BG2958" t="s">
        <v>26590</v>
      </c>
      <c r="BH2958" t="s">
        <v>26591</v>
      </c>
      <c r="BI2958" t="s">
        <v>26592</v>
      </c>
      <c r="BJ2958" t="s">
        <v>101</v>
      </c>
      <c r="BK2958" t="s">
        <v>11163</v>
      </c>
      <c r="BL2958" t="s">
        <v>1647</v>
      </c>
      <c r="BM2958" t="s">
        <v>26593</v>
      </c>
      <c r="BN2958" t="s">
        <v>23454</v>
      </c>
    </row>
    <row r="2959" spans="1:66" x14ac:dyDescent="0.25">
      <c r="A2959" t="str">
        <f>HYPERLINK("https://elite.finviz.com/quote.ashx?t=ASTI&amp;ty=c&amp;p=d&amp;b=1", "ASTI")</f>
        <v>ASTI</v>
      </c>
      <c r="B2959">
        <v>5</v>
      </c>
      <c r="C2959">
        <v>116.22</v>
      </c>
      <c r="D2959">
        <v>45.64</v>
      </c>
      <c r="E2959" t="s">
        <v>26594</v>
      </c>
      <c r="F2959" t="s">
        <v>107</v>
      </c>
      <c r="G2959" t="s">
        <v>108</v>
      </c>
      <c r="H2959" t="s">
        <v>2924</v>
      </c>
      <c r="I2959" t="s">
        <v>70</v>
      </c>
      <c r="J2959" t="s">
        <v>321</v>
      </c>
      <c r="K2959">
        <v>5.94</v>
      </c>
      <c r="L2959">
        <v>1.95</v>
      </c>
      <c r="M2959" t="s">
        <v>4763</v>
      </c>
      <c r="N2959">
        <v>36155</v>
      </c>
      <c r="R2959">
        <v>148.54</v>
      </c>
      <c r="S2959">
        <v>1.53</v>
      </c>
      <c r="AA2959">
        <v>-4.67</v>
      </c>
      <c r="AB2959" t="s">
        <v>18098</v>
      </c>
      <c r="AC2959" t="s">
        <v>9062</v>
      </c>
      <c r="AE2959" t="s">
        <v>24460</v>
      </c>
      <c r="AF2959" t="s">
        <v>25384</v>
      </c>
      <c r="AG2959" t="s">
        <v>17678</v>
      </c>
      <c r="AH2959" t="s">
        <v>26595</v>
      </c>
      <c r="AJ2959" t="s">
        <v>164</v>
      </c>
      <c r="AK2959" t="s">
        <v>1763</v>
      </c>
      <c r="AL2959">
        <v>1.62</v>
      </c>
      <c r="AM2959">
        <v>1.42</v>
      </c>
      <c r="AN2959">
        <v>0.51</v>
      </c>
      <c r="AO2959" t="s">
        <v>26596</v>
      </c>
      <c r="AP2959" t="s">
        <v>26597</v>
      </c>
      <c r="AQ2959" t="s">
        <v>26598</v>
      </c>
      <c r="AR2959" t="s">
        <v>2985</v>
      </c>
      <c r="AS2959" t="s">
        <v>7209</v>
      </c>
      <c r="AT2959" t="s">
        <v>6127</v>
      </c>
      <c r="AU2959" t="s">
        <v>13365</v>
      </c>
      <c r="AV2959" t="s">
        <v>4636</v>
      </c>
      <c r="AW2959" t="s">
        <v>2247</v>
      </c>
      <c r="AX2959" t="s">
        <v>13068</v>
      </c>
      <c r="AY2959" t="s">
        <v>8947</v>
      </c>
      <c r="AZ2959" t="s">
        <v>11366</v>
      </c>
      <c r="BB2959">
        <v>2811.61</v>
      </c>
      <c r="BC2959">
        <v>0.05</v>
      </c>
      <c r="BD2959">
        <v>1.98</v>
      </c>
      <c r="BE2959">
        <v>2.04</v>
      </c>
      <c r="BF2959">
        <v>1.96</v>
      </c>
      <c r="BG2959" t="s">
        <v>26599</v>
      </c>
      <c r="BH2959" t="s">
        <v>579</v>
      </c>
      <c r="BI2959" t="s">
        <v>11366</v>
      </c>
      <c r="BJ2959" t="s">
        <v>101</v>
      </c>
      <c r="BK2959" t="s">
        <v>18048</v>
      </c>
      <c r="BL2959" t="s">
        <v>1133</v>
      </c>
      <c r="BM2959" t="s">
        <v>9565</v>
      </c>
      <c r="BN2959" t="s">
        <v>23454</v>
      </c>
    </row>
    <row r="2960" spans="1:66" x14ac:dyDescent="0.25">
      <c r="A2960" t="str">
        <f>HYPERLINK("https://elite.finviz.com/quote.ashx?t=RLJ&amp;ty=c&amp;p=d&amp;b=1", "RLJ")</f>
        <v>RLJ</v>
      </c>
      <c r="B2960">
        <v>5</v>
      </c>
      <c r="C2960">
        <v>116.22</v>
      </c>
      <c r="D2960">
        <v>45.65</v>
      </c>
      <c r="E2960" t="s">
        <v>26600</v>
      </c>
      <c r="F2960" t="s">
        <v>67</v>
      </c>
      <c r="G2960" t="s">
        <v>68</v>
      </c>
      <c r="H2960" t="s">
        <v>4145</v>
      </c>
      <c r="I2960" t="s">
        <v>70</v>
      </c>
      <c r="J2960" t="s">
        <v>71</v>
      </c>
      <c r="K2960">
        <v>1131.92</v>
      </c>
      <c r="L2960">
        <v>7.45</v>
      </c>
      <c r="M2960" t="s">
        <v>581</v>
      </c>
      <c r="N2960">
        <v>468652</v>
      </c>
      <c r="O2960">
        <v>35.58</v>
      </c>
      <c r="P2960">
        <v>85.28</v>
      </c>
      <c r="R2960">
        <v>0.83</v>
      </c>
      <c r="S2960">
        <v>0.61</v>
      </c>
      <c r="T2960" t="s">
        <v>484</v>
      </c>
      <c r="U2960">
        <v>0.59</v>
      </c>
      <c r="V2960" t="s">
        <v>198</v>
      </c>
      <c r="W2960" t="s">
        <v>1131</v>
      </c>
      <c r="X2960" t="s">
        <v>26601</v>
      </c>
      <c r="Y2960" t="s">
        <v>4917</v>
      </c>
      <c r="Z2960" t="s">
        <v>26602</v>
      </c>
      <c r="AA2960">
        <v>0.21</v>
      </c>
      <c r="AC2960" t="s">
        <v>8795</v>
      </c>
      <c r="AE2960" t="s">
        <v>3019</v>
      </c>
      <c r="AF2960" t="s">
        <v>11965</v>
      </c>
      <c r="AG2960" t="s">
        <v>11805</v>
      </c>
      <c r="AH2960" t="s">
        <v>2741</v>
      </c>
      <c r="AI2960" t="s">
        <v>10230</v>
      </c>
      <c r="AJ2960" t="s">
        <v>4507</v>
      </c>
      <c r="AK2960" t="s">
        <v>16150</v>
      </c>
      <c r="AL2960">
        <v>0.09</v>
      </c>
      <c r="AM2960">
        <v>0.09</v>
      </c>
      <c r="AN2960">
        <v>1.05</v>
      </c>
      <c r="AO2960" t="s">
        <v>11732</v>
      </c>
      <c r="AP2960" t="s">
        <v>249</v>
      </c>
      <c r="AQ2960" t="s">
        <v>4255</v>
      </c>
      <c r="AR2960" t="s">
        <v>4154</v>
      </c>
      <c r="AS2960" t="s">
        <v>4800</v>
      </c>
      <c r="AT2960" t="s">
        <v>6640</v>
      </c>
      <c r="AU2960" t="s">
        <v>2768</v>
      </c>
      <c r="AV2960" t="s">
        <v>967</v>
      </c>
      <c r="AW2960" t="s">
        <v>10338</v>
      </c>
      <c r="AX2960" t="s">
        <v>4518</v>
      </c>
      <c r="AY2960" t="s">
        <v>26603</v>
      </c>
      <c r="AZ2960" t="s">
        <v>3649</v>
      </c>
      <c r="BA2960">
        <v>3</v>
      </c>
      <c r="BB2960">
        <v>1950.86</v>
      </c>
      <c r="BC2960">
        <v>0.85</v>
      </c>
      <c r="BD2960">
        <v>7.37</v>
      </c>
      <c r="BE2960">
        <v>7.49</v>
      </c>
      <c r="BF2960">
        <v>7.34</v>
      </c>
      <c r="BG2960" t="s">
        <v>26604</v>
      </c>
      <c r="BH2960" t="s">
        <v>26605</v>
      </c>
      <c r="BI2960" t="s">
        <v>13293</v>
      </c>
      <c r="BJ2960" t="s">
        <v>101</v>
      </c>
      <c r="BK2960" t="s">
        <v>3495</v>
      </c>
      <c r="BL2960" t="s">
        <v>4007</v>
      </c>
      <c r="BM2960" t="s">
        <v>6011</v>
      </c>
      <c r="BN2960" t="s">
        <v>23454</v>
      </c>
    </row>
    <row r="2961" spans="1:66" x14ac:dyDescent="0.25">
      <c r="A2961" t="str">
        <f>HYPERLINK("https://elite.finviz.com/quote.ashx?t=TNON&amp;ty=c&amp;p=d&amp;b=1", "TNON")</f>
        <v>TNON</v>
      </c>
      <c r="B2961">
        <v>5</v>
      </c>
      <c r="C2961">
        <v>116.22</v>
      </c>
      <c r="D2961">
        <v>45.67</v>
      </c>
      <c r="E2961" t="s">
        <v>26606</v>
      </c>
      <c r="F2961" t="s">
        <v>107</v>
      </c>
      <c r="G2961" t="s">
        <v>428</v>
      </c>
      <c r="H2961" t="s">
        <v>2051</v>
      </c>
      <c r="I2961" t="s">
        <v>70</v>
      </c>
      <c r="J2961" t="s">
        <v>321</v>
      </c>
      <c r="K2961">
        <v>10.48</v>
      </c>
      <c r="L2961">
        <v>1.18</v>
      </c>
      <c r="M2961" t="s">
        <v>3257</v>
      </c>
      <c r="N2961">
        <v>49878</v>
      </c>
      <c r="R2961">
        <v>3.55</v>
      </c>
      <c r="S2961">
        <v>3.03</v>
      </c>
      <c r="AA2961">
        <v>-5.98</v>
      </c>
      <c r="AB2961" t="s">
        <v>803</v>
      </c>
      <c r="AC2961" t="s">
        <v>26607</v>
      </c>
      <c r="AD2961" t="s">
        <v>26608</v>
      </c>
      <c r="AE2961" t="s">
        <v>11786</v>
      </c>
      <c r="AF2961" t="s">
        <v>26609</v>
      </c>
      <c r="AG2961" t="s">
        <v>26610</v>
      </c>
      <c r="AH2961" t="s">
        <v>10628</v>
      </c>
      <c r="AI2961" t="s">
        <v>9562</v>
      </c>
      <c r="AJ2961" t="s">
        <v>164</v>
      </c>
      <c r="AK2961" t="s">
        <v>7780</v>
      </c>
      <c r="AL2961">
        <v>3.86</v>
      </c>
      <c r="AM2961">
        <v>3.59</v>
      </c>
      <c r="AN2961">
        <v>0.04</v>
      </c>
      <c r="AO2961" t="s">
        <v>5510</v>
      </c>
      <c r="AP2961" t="s">
        <v>26611</v>
      </c>
      <c r="AQ2961" t="s">
        <v>26612</v>
      </c>
      <c r="AR2961" t="s">
        <v>3874</v>
      </c>
      <c r="AS2961" t="s">
        <v>7231</v>
      </c>
      <c r="AT2961" t="s">
        <v>655</v>
      </c>
      <c r="AU2961" t="s">
        <v>5355</v>
      </c>
      <c r="AV2961" t="s">
        <v>15466</v>
      </c>
      <c r="AW2961" t="s">
        <v>13556</v>
      </c>
      <c r="AX2961" t="s">
        <v>11368</v>
      </c>
      <c r="AY2961" t="s">
        <v>26613</v>
      </c>
      <c r="AZ2961" t="s">
        <v>12931</v>
      </c>
      <c r="BA2961">
        <v>1</v>
      </c>
      <c r="BB2961">
        <v>4437.3100000000004</v>
      </c>
      <c r="BC2961">
        <v>0.04</v>
      </c>
      <c r="BD2961">
        <v>1.1599999999999999</v>
      </c>
      <c r="BE2961">
        <v>1.2</v>
      </c>
      <c r="BF2961">
        <v>1.17</v>
      </c>
      <c r="BG2961" t="s">
        <v>26614</v>
      </c>
      <c r="BH2961" t="s">
        <v>3265</v>
      </c>
      <c r="BI2961" t="s">
        <v>12931</v>
      </c>
      <c r="BJ2961" t="s">
        <v>101</v>
      </c>
      <c r="BK2961" t="s">
        <v>3078</v>
      </c>
      <c r="BL2961" t="s">
        <v>26615</v>
      </c>
      <c r="BM2961" t="s">
        <v>26616</v>
      </c>
      <c r="BN2961" t="s">
        <v>23454</v>
      </c>
    </row>
    <row r="2962" spans="1:66" x14ac:dyDescent="0.25">
      <c r="A2962" t="str">
        <f>HYPERLINK("https://elite.finviz.com/quote.ashx?t=SEM&amp;ty=c&amp;p=d&amp;b=1", "SEM")</f>
        <v>SEM</v>
      </c>
      <c r="B2962">
        <v>5</v>
      </c>
      <c r="C2962">
        <v>116.22</v>
      </c>
      <c r="D2962">
        <v>45.67</v>
      </c>
      <c r="E2962" t="s">
        <v>26617</v>
      </c>
      <c r="F2962" t="s">
        <v>67</v>
      </c>
      <c r="G2962" t="s">
        <v>428</v>
      </c>
      <c r="H2962" t="s">
        <v>3160</v>
      </c>
      <c r="I2962" t="s">
        <v>70</v>
      </c>
      <c r="J2962" t="s">
        <v>71</v>
      </c>
      <c r="K2962">
        <v>1549.09</v>
      </c>
      <c r="L2962">
        <v>12.49</v>
      </c>
      <c r="M2962" t="s">
        <v>4782</v>
      </c>
      <c r="N2962">
        <v>111581</v>
      </c>
      <c r="O2962">
        <v>11.71</v>
      </c>
      <c r="P2962">
        <v>9.86</v>
      </c>
      <c r="Q2962">
        <v>0.68</v>
      </c>
      <c r="R2962">
        <v>0.27</v>
      </c>
      <c r="S2962">
        <v>0.92</v>
      </c>
      <c r="T2962" t="s">
        <v>5692</v>
      </c>
      <c r="U2962">
        <v>0.25</v>
      </c>
      <c r="V2962" t="s">
        <v>8649</v>
      </c>
      <c r="W2962" t="s">
        <v>164</v>
      </c>
      <c r="X2962" t="s">
        <v>2605</v>
      </c>
      <c r="Z2962" t="s">
        <v>7673</v>
      </c>
      <c r="AA2962">
        <v>1.07</v>
      </c>
      <c r="AB2962" t="s">
        <v>219</v>
      </c>
      <c r="AC2962" t="s">
        <v>1736</v>
      </c>
      <c r="AD2962" t="s">
        <v>6965</v>
      </c>
      <c r="AE2962" t="s">
        <v>489</v>
      </c>
      <c r="AF2962" t="s">
        <v>16493</v>
      </c>
      <c r="AG2962" t="s">
        <v>3999</v>
      </c>
      <c r="AH2962" t="s">
        <v>10904</v>
      </c>
      <c r="AI2962" t="s">
        <v>6725</v>
      </c>
      <c r="AJ2962" t="s">
        <v>575</v>
      </c>
      <c r="AK2962" t="s">
        <v>26618</v>
      </c>
      <c r="AL2962">
        <v>1.1499999999999999</v>
      </c>
      <c r="AM2962">
        <v>1.1499999999999999</v>
      </c>
      <c r="AN2962">
        <v>1.73</v>
      </c>
      <c r="AO2962" t="s">
        <v>7209</v>
      </c>
      <c r="AP2962" t="s">
        <v>216</v>
      </c>
      <c r="AQ2962" t="s">
        <v>1761</v>
      </c>
      <c r="AR2962" t="s">
        <v>2543</v>
      </c>
      <c r="AS2962" t="s">
        <v>7437</v>
      </c>
      <c r="AT2962" t="s">
        <v>7598</v>
      </c>
      <c r="AU2962" t="s">
        <v>759</v>
      </c>
      <c r="AV2962" t="s">
        <v>16900</v>
      </c>
      <c r="AW2962" t="s">
        <v>5208</v>
      </c>
      <c r="AX2962" t="s">
        <v>1653</v>
      </c>
      <c r="AY2962" t="s">
        <v>23931</v>
      </c>
      <c r="AZ2962" t="s">
        <v>1653</v>
      </c>
      <c r="BA2962">
        <v>1.33</v>
      </c>
      <c r="BB2962">
        <v>1092.0899999999999</v>
      </c>
      <c r="BC2962">
        <v>0.36</v>
      </c>
      <c r="BD2962">
        <v>12.41</v>
      </c>
      <c r="BE2962">
        <v>12.51</v>
      </c>
      <c r="BF2962">
        <v>12.41</v>
      </c>
      <c r="BG2962" t="s">
        <v>26619</v>
      </c>
      <c r="BH2962" t="s">
        <v>20602</v>
      </c>
      <c r="BI2962" t="s">
        <v>26620</v>
      </c>
      <c r="BJ2962" t="s">
        <v>101</v>
      </c>
      <c r="BK2962" t="s">
        <v>9977</v>
      </c>
      <c r="BL2962" t="s">
        <v>17323</v>
      </c>
      <c r="BM2962" t="s">
        <v>26621</v>
      </c>
      <c r="BN2962" t="s">
        <v>23454</v>
      </c>
    </row>
    <row r="2963" spans="1:66" x14ac:dyDescent="0.25">
      <c r="A2963" t="str">
        <f>HYPERLINK("https://elite.finviz.com/quote.ashx?t=DVAX&amp;ty=c&amp;p=d&amp;b=1", "DVAX")</f>
        <v>DVAX</v>
      </c>
      <c r="B2963">
        <v>5</v>
      </c>
      <c r="C2963">
        <v>116.22</v>
      </c>
      <c r="D2963">
        <v>45.69</v>
      </c>
      <c r="E2963" t="s">
        <v>26622</v>
      </c>
      <c r="F2963" t="s">
        <v>67</v>
      </c>
      <c r="G2963" t="s">
        <v>428</v>
      </c>
      <c r="H2963" t="s">
        <v>1296</v>
      </c>
      <c r="I2963" t="s">
        <v>70</v>
      </c>
      <c r="J2963" t="s">
        <v>321</v>
      </c>
      <c r="K2963">
        <v>1143.94</v>
      </c>
      <c r="L2963">
        <v>9.76</v>
      </c>
      <c r="M2963" t="s">
        <v>182</v>
      </c>
      <c r="N2963">
        <v>292548</v>
      </c>
      <c r="P2963">
        <v>20.12</v>
      </c>
      <c r="R2963">
        <v>3.62</v>
      </c>
      <c r="S2963">
        <v>2.31</v>
      </c>
      <c r="Z2963" t="s">
        <v>164</v>
      </c>
      <c r="AA2963">
        <v>-0.47</v>
      </c>
      <c r="AB2963" t="s">
        <v>25515</v>
      </c>
      <c r="AD2963" t="s">
        <v>26623</v>
      </c>
      <c r="AE2963" t="s">
        <v>13359</v>
      </c>
      <c r="AF2963" t="s">
        <v>5299</v>
      </c>
      <c r="AG2963" t="s">
        <v>26624</v>
      </c>
      <c r="AH2963" t="s">
        <v>7374</v>
      </c>
      <c r="AI2963" t="s">
        <v>10378</v>
      </c>
      <c r="AJ2963" t="s">
        <v>26625</v>
      </c>
      <c r="AK2963" t="s">
        <v>26626</v>
      </c>
      <c r="AL2963">
        <v>6.65</v>
      </c>
      <c r="AM2963">
        <v>6.01</v>
      </c>
      <c r="AN2963">
        <v>0.59</v>
      </c>
      <c r="AO2963" t="s">
        <v>26627</v>
      </c>
      <c r="AP2963" t="s">
        <v>2760</v>
      </c>
      <c r="AQ2963" t="s">
        <v>8084</v>
      </c>
      <c r="AR2963" t="s">
        <v>3638</v>
      </c>
      <c r="AS2963" t="s">
        <v>2473</v>
      </c>
      <c r="AT2963" t="s">
        <v>2213</v>
      </c>
      <c r="AU2963" t="s">
        <v>4967</v>
      </c>
      <c r="AV2963" t="s">
        <v>6907</v>
      </c>
      <c r="AW2963" t="s">
        <v>19227</v>
      </c>
      <c r="AX2963" t="s">
        <v>1886</v>
      </c>
      <c r="AY2963" t="s">
        <v>18450</v>
      </c>
      <c r="AZ2963" t="s">
        <v>1886</v>
      </c>
      <c r="BA2963">
        <v>1.8</v>
      </c>
      <c r="BB2963">
        <v>1718.89</v>
      </c>
      <c r="BC2963">
        <v>0.6</v>
      </c>
      <c r="BD2963">
        <v>9.73</v>
      </c>
      <c r="BE2963">
        <v>9.82</v>
      </c>
      <c r="BF2963">
        <v>9.65</v>
      </c>
      <c r="BG2963" t="s">
        <v>26628</v>
      </c>
      <c r="BH2963" t="s">
        <v>18303</v>
      </c>
      <c r="BI2963" t="s">
        <v>26629</v>
      </c>
      <c r="BJ2963" t="s">
        <v>101</v>
      </c>
      <c r="BK2963" t="s">
        <v>5070</v>
      </c>
      <c r="BL2963" t="s">
        <v>26248</v>
      </c>
      <c r="BM2963" t="s">
        <v>7956</v>
      </c>
      <c r="BN2963" t="s">
        <v>23454</v>
      </c>
    </row>
    <row r="2964" spans="1:66" x14ac:dyDescent="0.25">
      <c r="A2964" t="str">
        <f>HYPERLINK("https://elite.finviz.com/quote.ashx?t=SLDP&amp;ty=c&amp;p=d&amp;b=1", "SLDP")</f>
        <v>SLDP</v>
      </c>
      <c r="B2964">
        <v>5</v>
      </c>
      <c r="C2964">
        <v>116.22</v>
      </c>
      <c r="D2964">
        <v>45.78</v>
      </c>
      <c r="E2964" t="s">
        <v>26630</v>
      </c>
      <c r="F2964" t="s">
        <v>67</v>
      </c>
      <c r="G2964" t="s">
        <v>813</v>
      </c>
      <c r="H2964" t="s">
        <v>814</v>
      </c>
      <c r="I2964" t="s">
        <v>70</v>
      </c>
      <c r="J2964" t="s">
        <v>321</v>
      </c>
      <c r="K2964">
        <v>682.81</v>
      </c>
      <c r="L2964">
        <v>3.77</v>
      </c>
      <c r="M2964" t="s">
        <v>4273</v>
      </c>
      <c r="N2964">
        <v>3151059</v>
      </c>
      <c r="R2964">
        <v>30.12</v>
      </c>
      <c r="S2964">
        <v>1.84</v>
      </c>
      <c r="AA2964">
        <v>-0.52</v>
      </c>
      <c r="AC2964" t="s">
        <v>26631</v>
      </c>
      <c r="AD2964" t="s">
        <v>845</v>
      </c>
      <c r="AE2964" t="s">
        <v>10794</v>
      </c>
      <c r="AF2964" t="s">
        <v>17236</v>
      </c>
      <c r="AG2964" t="s">
        <v>26632</v>
      </c>
      <c r="AH2964" t="s">
        <v>9948</v>
      </c>
      <c r="AI2964" t="s">
        <v>164</v>
      </c>
      <c r="AJ2964" t="s">
        <v>6871</v>
      </c>
      <c r="AK2964" t="s">
        <v>19542</v>
      </c>
      <c r="AL2964">
        <v>19.329999999999998</v>
      </c>
      <c r="AM2964">
        <v>19.329999999999998</v>
      </c>
      <c r="AN2964">
        <v>0.02</v>
      </c>
      <c r="AO2964" t="s">
        <v>2480</v>
      </c>
      <c r="AP2964" t="s">
        <v>26633</v>
      </c>
      <c r="AQ2964" t="s">
        <v>26634</v>
      </c>
      <c r="AR2964" t="s">
        <v>7654</v>
      </c>
      <c r="AS2964" t="s">
        <v>2093</v>
      </c>
      <c r="AT2964" t="s">
        <v>681</v>
      </c>
      <c r="AU2964" t="s">
        <v>269</v>
      </c>
      <c r="AV2964" t="s">
        <v>6077</v>
      </c>
      <c r="AW2964" t="s">
        <v>23096</v>
      </c>
      <c r="AX2964" t="s">
        <v>10294</v>
      </c>
      <c r="AY2964" t="s">
        <v>23096</v>
      </c>
      <c r="AZ2964" t="s">
        <v>26635</v>
      </c>
      <c r="BA2964">
        <v>1</v>
      </c>
      <c r="BB2964">
        <v>11415.48</v>
      </c>
      <c r="BC2964">
        <v>0.97</v>
      </c>
      <c r="BD2964">
        <v>3.79</v>
      </c>
      <c r="BE2964">
        <v>3.9</v>
      </c>
      <c r="BF2964">
        <v>3.74</v>
      </c>
      <c r="BG2964" t="s">
        <v>9114</v>
      </c>
      <c r="BH2964" t="s">
        <v>26636</v>
      </c>
      <c r="BI2964" t="s">
        <v>26635</v>
      </c>
      <c r="BJ2964" t="s">
        <v>101</v>
      </c>
      <c r="BK2964" t="s">
        <v>2758</v>
      </c>
      <c r="BL2964" t="s">
        <v>26637</v>
      </c>
      <c r="BM2964" t="s">
        <v>14046</v>
      </c>
      <c r="BN2964" t="s">
        <v>23454</v>
      </c>
    </row>
    <row r="2965" spans="1:66" x14ac:dyDescent="0.25">
      <c r="A2965" t="str">
        <f>HYPERLINK("https://elite.finviz.com/quote.ashx?t=XBP&amp;ty=c&amp;p=d&amp;b=1", "XBP")</f>
        <v>XBP</v>
      </c>
      <c r="B2965">
        <v>5</v>
      </c>
      <c r="C2965">
        <v>116.22</v>
      </c>
      <c r="D2965">
        <v>45.81</v>
      </c>
      <c r="E2965" t="s">
        <v>26638</v>
      </c>
      <c r="F2965" t="s">
        <v>107</v>
      </c>
      <c r="G2965" t="s">
        <v>108</v>
      </c>
      <c r="H2965" t="s">
        <v>109</v>
      </c>
      <c r="I2965" t="s">
        <v>70</v>
      </c>
      <c r="J2965" t="s">
        <v>321</v>
      </c>
      <c r="K2965">
        <v>89.53</v>
      </c>
      <c r="L2965">
        <v>0.76</v>
      </c>
      <c r="M2965" t="s">
        <v>7338</v>
      </c>
      <c r="N2965">
        <v>53835</v>
      </c>
      <c r="R2965">
        <v>0.6</v>
      </c>
      <c r="AA2965">
        <v>-0.51</v>
      </c>
      <c r="AB2965" t="s">
        <v>26639</v>
      </c>
      <c r="AH2965" t="s">
        <v>2635</v>
      </c>
      <c r="AK2965" t="s">
        <v>19594</v>
      </c>
      <c r="AL2965">
        <v>0.56999999999999995</v>
      </c>
      <c r="AM2965">
        <v>0.52</v>
      </c>
      <c r="AO2965" t="s">
        <v>2366</v>
      </c>
      <c r="AP2965" t="s">
        <v>3334</v>
      </c>
      <c r="AQ2965" t="s">
        <v>14896</v>
      </c>
      <c r="AR2965" t="s">
        <v>5705</v>
      </c>
      <c r="AS2965" t="s">
        <v>4532</v>
      </c>
      <c r="AT2965" t="s">
        <v>15281</v>
      </c>
      <c r="AU2965" t="s">
        <v>331</v>
      </c>
      <c r="AV2965" t="s">
        <v>17413</v>
      </c>
      <c r="AW2965" t="s">
        <v>26640</v>
      </c>
      <c r="AX2965" t="s">
        <v>5555</v>
      </c>
      <c r="AY2965" t="s">
        <v>26640</v>
      </c>
      <c r="AZ2965" t="s">
        <v>5555</v>
      </c>
      <c r="BB2965">
        <v>3106.62</v>
      </c>
      <c r="BC2965">
        <v>0.06</v>
      </c>
      <c r="BD2965">
        <v>0.75</v>
      </c>
      <c r="BE2965">
        <v>0.77</v>
      </c>
      <c r="BF2965">
        <v>0.74</v>
      </c>
      <c r="BG2965" t="s">
        <v>26641</v>
      </c>
      <c r="BH2965" t="s">
        <v>26273</v>
      </c>
      <c r="BI2965" t="s">
        <v>5555</v>
      </c>
      <c r="BJ2965" t="s">
        <v>101</v>
      </c>
      <c r="BK2965" t="s">
        <v>11699</v>
      </c>
      <c r="BL2965" t="s">
        <v>26642</v>
      </c>
      <c r="BM2965" t="s">
        <v>17888</v>
      </c>
      <c r="BN2965" t="s">
        <v>23454</v>
      </c>
    </row>
    <row r="2966" spans="1:66" x14ac:dyDescent="0.25">
      <c r="A2966" t="str">
        <f>HYPERLINK("https://elite.finviz.com/quote.ashx?t=DXC&amp;ty=c&amp;p=d&amp;b=1", "DXC")</f>
        <v>DXC</v>
      </c>
      <c r="B2966">
        <v>5</v>
      </c>
      <c r="C2966">
        <v>116.22</v>
      </c>
      <c r="D2966">
        <v>45.82</v>
      </c>
      <c r="E2966" t="s">
        <v>26643</v>
      </c>
      <c r="F2966" t="s">
        <v>107</v>
      </c>
      <c r="G2966" t="s">
        <v>108</v>
      </c>
      <c r="H2966" t="s">
        <v>1322</v>
      </c>
      <c r="I2966" t="s">
        <v>70</v>
      </c>
      <c r="J2966" t="s">
        <v>71</v>
      </c>
      <c r="K2966">
        <v>2449.84</v>
      </c>
      <c r="L2966">
        <v>13.69</v>
      </c>
      <c r="M2966" t="s">
        <v>911</v>
      </c>
      <c r="N2966">
        <v>365802</v>
      </c>
      <c r="O2966">
        <v>6.67</v>
      </c>
      <c r="P2966">
        <v>4.3600000000000003</v>
      </c>
      <c r="Q2966">
        <v>4.2</v>
      </c>
      <c r="R2966">
        <v>0.19</v>
      </c>
      <c r="S2966">
        <v>0.78</v>
      </c>
      <c r="V2966" t="s">
        <v>26644</v>
      </c>
      <c r="Z2966" t="s">
        <v>164</v>
      </c>
      <c r="AA2966">
        <v>2.0499999999999998</v>
      </c>
      <c r="AB2966" t="s">
        <v>4229</v>
      </c>
      <c r="AD2966" t="s">
        <v>2449</v>
      </c>
      <c r="AE2966" t="s">
        <v>1074</v>
      </c>
      <c r="AF2966" t="s">
        <v>5271</v>
      </c>
      <c r="AG2966" t="s">
        <v>8251</v>
      </c>
      <c r="AH2966" t="s">
        <v>10819</v>
      </c>
      <c r="AI2966" t="s">
        <v>7288</v>
      </c>
      <c r="AJ2966" t="s">
        <v>337</v>
      </c>
      <c r="AK2966" t="s">
        <v>13469</v>
      </c>
      <c r="AL2966">
        <v>1.22</v>
      </c>
      <c r="AM2966">
        <v>1.22</v>
      </c>
      <c r="AN2966">
        <v>1.51</v>
      </c>
      <c r="AO2966" t="s">
        <v>15574</v>
      </c>
      <c r="AP2966" t="s">
        <v>3482</v>
      </c>
      <c r="AQ2966" t="s">
        <v>7154</v>
      </c>
      <c r="AR2966" t="s">
        <v>6936</v>
      </c>
      <c r="AS2966" t="s">
        <v>5779</v>
      </c>
      <c r="AT2966" t="s">
        <v>12575</v>
      </c>
      <c r="AU2966" t="s">
        <v>708</v>
      </c>
      <c r="AV2966" t="s">
        <v>10385</v>
      </c>
      <c r="AW2966" t="s">
        <v>5062</v>
      </c>
      <c r="AX2966" t="s">
        <v>662</v>
      </c>
      <c r="AY2966" t="s">
        <v>26645</v>
      </c>
      <c r="AZ2966" t="s">
        <v>662</v>
      </c>
      <c r="BA2966">
        <v>3.36</v>
      </c>
      <c r="BB2966">
        <v>1831.04</v>
      </c>
      <c r="BC2966">
        <v>0.7</v>
      </c>
      <c r="BD2966">
        <v>13.27</v>
      </c>
      <c r="BE2966">
        <v>13.7</v>
      </c>
      <c r="BF2966">
        <v>13.25</v>
      </c>
      <c r="BG2966" t="s">
        <v>26646</v>
      </c>
      <c r="BH2966" t="s">
        <v>17401</v>
      </c>
      <c r="BI2966" t="s">
        <v>26647</v>
      </c>
      <c r="BJ2966" t="s">
        <v>101</v>
      </c>
      <c r="BK2966" t="s">
        <v>4929</v>
      </c>
      <c r="BL2966" t="s">
        <v>15495</v>
      </c>
      <c r="BM2966" t="s">
        <v>26648</v>
      </c>
      <c r="BN2966" t="s">
        <v>23454</v>
      </c>
    </row>
    <row r="2967" spans="1:66" x14ac:dyDescent="0.25">
      <c r="A2967" t="str">
        <f>HYPERLINK("https://elite.finviz.com/quote.ashx?t=AMC&amp;ty=c&amp;p=d&amp;b=1", "AMC")</f>
        <v>AMC</v>
      </c>
      <c r="B2967">
        <v>5</v>
      </c>
      <c r="C2967">
        <v>116.22</v>
      </c>
      <c r="D2967">
        <v>45.85</v>
      </c>
      <c r="E2967" t="s">
        <v>26649</v>
      </c>
      <c r="F2967" t="s">
        <v>67</v>
      </c>
      <c r="G2967" t="s">
        <v>598</v>
      </c>
      <c r="H2967" t="s">
        <v>4247</v>
      </c>
      <c r="I2967" t="s">
        <v>70</v>
      </c>
      <c r="J2967" t="s">
        <v>71</v>
      </c>
      <c r="K2967">
        <v>1451.63</v>
      </c>
      <c r="L2967">
        <v>2.83</v>
      </c>
      <c r="M2967" t="s">
        <v>164</v>
      </c>
      <c r="N2967">
        <v>4988339</v>
      </c>
      <c r="R2967">
        <v>0.3</v>
      </c>
      <c r="V2967" t="s">
        <v>19437</v>
      </c>
      <c r="AA2967">
        <v>-0.89</v>
      </c>
      <c r="AB2967" t="s">
        <v>26650</v>
      </c>
      <c r="AC2967" t="s">
        <v>17926</v>
      </c>
      <c r="AD2967" t="s">
        <v>17098</v>
      </c>
      <c r="AE2967" t="s">
        <v>10557</v>
      </c>
      <c r="AF2967" t="s">
        <v>9960</v>
      </c>
      <c r="AG2967" t="s">
        <v>4222</v>
      </c>
      <c r="AH2967" t="s">
        <v>4566</v>
      </c>
      <c r="AI2967" t="s">
        <v>1647</v>
      </c>
      <c r="AJ2967" t="s">
        <v>164</v>
      </c>
      <c r="AK2967" t="s">
        <v>16235</v>
      </c>
      <c r="AL2967">
        <v>0.44</v>
      </c>
      <c r="AM2967">
        <v>0.44</v>
      </c>
      <c r="AO2967" t="s">
        <v>4467</v>
      </c>
      <c r="AP2967" t="s">
        <v>2307</v>
      </c>
      <c r="AQ2967" t="s">
        <v>1529</v>
      </c>
      <c r="AR2967" t="s">
        <v>2721</v>
      </c>
      <c r="AS2967" t="s">
        <v>1391</v>
      </c>
      <c r="AT2967" t="s">
        <v>386</v>
      </c>
      <c r="AU2967" t="s">
        <v>4673</v>
      </c>
      <c r="AV2967" t="s">
        <v>3561</v>
      </c>
      <c r="AW2967" t="s">
        <v>4296</v>
      </c>
      <c r="AX2967" t="s">
        <v>7090</v>
      </c>
      <c r="AY2967" t="s">
        <v>24535</v>
      </c>
      <c r="AZ2967" t="s">
        <v>7617</v>
      </c>
      <c r="BA2967">
        <v>3</v>
      </c>
      <c r="BB2967">
        <v>12530.28</v>
      </c>
      <c r="BC2967">
        <v>1.4</v>
      </c>
      <c r="BD2967">
        <v>2.83</v>
      </c>
      <c r="BE2967">
        <v>2.87</v>
      </c>
      <c r="BF2967">
        <v>2.8</v>
      </c>
      <c r="BG2967" t="s">
        <v>26651</v>
      </c>
      <c r="BH2967" t="s">
        <v>5920</v>
      </c>
      <c r="BI2967" t="s">
        <v>620</v>
      </c>
      <c r="BJ2967" t="s">
        <v>101</v>
      </c>
      <c r="BK2967" t="s">
        <v>6730</v>
      </c>
      <c r="BL2967" t="s">
        <v>8520</v>
      </c>
      <c r="BM2967" t="s">
        <v>24769</v>
      </c>
      <c r="BN2967" t="s">
        <v>23454</v>
      </c>
    </row>
    <row r="2968" spans="1:66" x14ac:dyDescent="0.25">
      <c r="A2968" t="str">
        <f>HYPERLINK("https://elite.finviz.com/quote.ashx?t=FERG&amp;ty=c&amp;p=d&amp;b=1", "FERG")</f>
        <v>FERG</v>
      </c>
      <c r="B2968">
        <v>5</v>
      </c>
      <c r="C2968">
        <v>116.22</v>
      </c>
      <c r="D2968">
        <v>45.87</v>
      </c>
      <c r="E2968" t="s">
        <v>26652</v>
      </c>
      <c r="F2968" t="s">
        <v>107</v>
      </c>
      <c r="G2968" t="s">
        <v>260</v>
      </c>
      <c r="H2968" t="s">
        <v>8107</v>
      </c>
      <c r="I2968" t="s">
        <v>70</v>
      </c>
      <c r="J2968" t="s">
        <v>71</v>
      </c>
      <c r="K2968">
        <v>44102.5</v>
      </c>
      <c r="L2968">
        <v>223.66</v>
      </c>
      <c r="M2968" t="s">
        <v>10808</v>
      </c>
      <c r="N2968">
        <v>187491</v>
      </c>
      <c r="O2968">
        <v>23.97</v>
      </c>
      <c r="R2968">
        <v>1.43</v>
      </c>
      <c r="S2968">
        <v>7.99</v>
      </c>
      <c r="T2968" t="s">
        <v>5116</v>
      </c>
      <c r="U2968">
        <v>3.32</v>
      </c>
      <c r="V2968" t="s">
        <v>4741</v>
      </c>
      <c r="W2968" t="s">
        <v>2744</v>
      </c>
      <c r="X2968" t="s">
        <v>2398</v>
      </c>
      <c r="Y2968" t="s">
        <v>7407</v>
      </c>
      <c r="Z2968" t="s">
        <v>11409</v>
      </c>
      <c r="AA2968">
        <v>9.33</v>
      </c>
      <c r="AB2968" t="s">
        <v>3286</v>
      </c>
      <c r="AC2968" t="s">
        <v>11564</v>
      </c>
      <c r="AE2968" t="s">
        <v>756</v>
      </c>
      <c r="AF2968" t="s">
        <v>6430</v>
      </c>
      <c r="AG2968" t="s">
        <v>2625</v>
      </c>
      <c r="AH2968" t="s">
        <v>1215</v>
      </c>
      <c r="AI2968" t="s">
        <v>9175</v>
      </c>
      <c r="AJ2968" t="s">
        <v>164</v>
      </c>
      <c r="AK2968" t="s">
        <v>26653</v>
      </c>
      <c r="AL2968">
        <v>1.68</v>
      </c>
      <c r="AM2968">
        <v>0.94</v>
      </c>
      <c r="AN2968">
        <v>0.88</v>
      </c>
      <c r="AO2968" t="s">
        <v>4609</v>
      </c>
      <c r="AP2968" t="s">
        <v>7858</v>
      </c>
      <c r="AQ2968" t="s">
        <v>1886</v>
      </c>
      <c r="AR2968" t="s">
        <v>6975</v>
      </c>
      <c r="AS2968" t="s">
        <v>6430</v>
      </c>
      <c r="AT2968" t="s">
        <v>133</v>
      </c>
      <c r="AU2968" t="s">
        <v>789</v>
      </c>
      <c r="AV2968" t="s">
        <v>6387</v>
      </c>
      <c r="AW2968" t="s">
        <v>10612</v>
      </c>
      <c r="AX2968" t="s">
        <v>4512</v>
      </c>
      <c r="AY2968" t="s">
        <v>10612</v>
      </c>
      <c r="AZ2968" t="s">
        <v>17056</v>
      </c>
      <c r="BA2968">
        <v>1.81</v>
      </c>
      <c r="BB2968">
        <v>1626.74</v>
      </c>
      <c r="BC2968">
        <v>0.41</v>
      </c>
      <c r="BD2968">
        <v>225.37</v>
      </c>
      <c r="BE2968">
        <v>225.46</v>
      </c>
      <c r="BF2968">
        <v>223.53</v>
      </c>
      <c r="BG2968" t="s">
        <v>26654</v>
      </c>
      <c r="BH2968" t="s">
        <v>10612</v>
      </c>
      <c r="BI2968" t="s">
        <v>26655</v>
      </c>
      <c r="BJ2968" t="s">
        <v>101</v>
      </c>
      <c r="BK2968" t="s">
        <v>2742</v>
      </c>
      <c r="BL2968" t="s">
        <v>26528</v>
      </c>
      <c r="BM2968" t="s">
        <v>11159</v>
      </c>
      <c r="BN2968" t="s">
        <v>23454</v>
      </c>
    </row>
    <row r="2969" spans="1:66" x14ac:dyDescent="0.25">
      <c r="A2969" t="str">
        <f>HYPERLINK("https://elite.finviz.com/quote.ashx?t=FSS&amp;ty=c&amp;p=d&amp;b=1", "FSS")</f>
        <v>FSS</v>
      </c>
      <c r="B2969">
        <v>5</v>
      </c>
      <c r="C2969">
        <v>116.22</v>
      </c>
      <c r="D2969">
        <v>45.89</v>
      </c>
      <c r="E2969" t="s">
        <v>26656</v>
      </c>
      <c r="F2969" t="s">
        <v>67</v>
      </c>
      <c r="G2969" t="s">
        <v>260</v>
      </c>
      <c r="H2969" t="s">
        <v>4347</v>
      </c>
      <c r="I2969" t="s">
        <v>70</v>
      </c>
      <c r="J2969" t="s">
        <v>71</v>
      </c>
      <c r="K2969">
        <v>7442.14</v>
      </c>
      <c r="L2969">
        <v>122.42</v>
      </c>
      <c r="M2969" t="s">
        <v>386</v>
      </c>
      <c r="N2969">
        <v>66301</v>
      </c>
      <c r="O2969">
        <v>34.049999999999997</v>
      </c>
      <c r="P2969">
        <v>26.94</v>
      </c>
      <c r="Q2969">
        <v>2.2799999999999998</v>
      </c>
      <c r="R2969">
        <v>3.77</v>
      </c>
      <c r="S2969">
        <v>5.9</v>
      </c>
      <c r="T2969" t="s">
        <v>914</v>
      </c>
      <c r="U2969">
        <v>0.54</v>
      </c>
      <c r="V2969" t="s">
        <v>3046</v>
      </c>
      <c r="W2969" t="s">
        <v>4833</v>
      </c>
      <c r="X2969" t="s">
        <v>1115</v>
      </c>
      <c r="Y2969" t="s">
        <v>712</v>
      </c>
      <c r="Z2969" t="s">
        <v>7575</v>
      </c>
      <c r="AA2969">
        <v>3.6</v>
      </c>
      <c r="AB2969" t="s">
        <v>3819</v>
      </c>
      <c r="AC2969" t="s">
        <v>800</v>
      </c>
      <c r="AD2969" t="s">
        <v>1625</v>
      </c>
      <c r="AE2969" t="s">
        <v>290</v>
      </c>
      <c r="AF2969" t="s">
        <v>2470</v>
      </c>
      <c r="AG2969" t="s">
        <v>5726</v>
      </c>
      <c r="AH2969" t="s">
        <v>9681</v>
      </c>
      <c r="AI2969" t="s">
        <v>2795</v>
      </c>
      <c r="AJ2969" t="s">
        <v>164</v>
      </c>
      <c r="AK2969" t="s">
        <v>26657</v>
      </c>
      <c r="AL2969">
        <v>2.6</v>
      </c>
      <c r="AM2969">
        <v>1.25</v>
      </c>
      <c r="AN2969">
        <v>0.23</v>
      </c>
      <c r="AO2969" t="s">
        <v>19337</v>
      </c>
      <c r="AP2969" t="s">
        <v>10648</v>
      </c>
      <c r="AQ2969" t="s">
        <v>2740</v>
      </c>
      <c r="AR2969" t="s">
        <v>5780</v>
      </c>
      <c r="AS2969" t="s">
        <v>3842</v>
      </c>
      <c r="AT2969" t="s">
        <v>2649</v>
      </c>
      <c r="AU2969" t="s">
        <v>1648</v>
      </c>
      <c r="AV2969" t="s">
        <v>9562</v>
      </c>
      <c r="AW2969" t="s">
        <v>746</v>
      </c>
      <c r="AX2969" t="s">
        <v>3103</v>
      </c>
      <c r="AY2969" t="s">
        <v>746</v>
      </c>
      <c r="AZ2969" t="s">
        <v>26658</v>
      </c>
      <c r="BA2969">
        <v>2.4300000000000002</v>
      </c>
      <c r="BB2969">
        <v>618.04999999999995</v>
      </c>
      <c r="BC2969">
        <v>0.38</v>
      </c>
      <c r="BD2969">
        <v>122.81</v>
      </c>
      <c r="BE2969">
        <v>126.36</v>
      </c>
      <c r="BF2969">
        <v>122.19</v>
      </c>
      <c r="BG2969" t="s">
        <v>26659</v>
      </c>
      <c r="BH2969" t="s">
        <v>746</v>
      </c>
      <c r="BI2969" t="s">
        <v>26660</v>
      </c>
      <c r="BJ2969" t="s">
        <v>101</v>
      </c>
      <c r="BK2969" t="s">
        <v>10508</v>
      </c>
      <c r="BL2969" t="s">
        <v>23402</v>
      </c>
      <c r="BM2969" t="s">
        <v>15036</v>
      </c>
      <c r="BN2969" t="s">
        <v>26049</v>
      </c>
    </row>
    <row r="2970" spans="1:66" x14ac:dyDescent="0.25">
      <c r="A2970" t="str">
        <f>HYPERLINK("https://elite.finviz.com/quote.ashx?t=HYFT&amp;ty=c&amp;p=d&amp;b=1", "HYFT")</f>
        <v>HYFT</v>
      </c>
      <c r="B2970">
        <v>5</v>
      </c>
      <c r="C2970">
        <v>116.22</v>
      </c>
      <c r="D2970">
        <v>45.95</v>
      </c>
      <c r="E2970" t="s">
        <v>26661</v>
      </c>
      <c r="F2970" t="s">
        <v>107</v>
      </c>
      <c r="G2970" t="s">
        <v>428</v>
      </c>
      <c r="H2970" t="s">
        <v>429</v>
      </c>
      <c r="I2970" t="s">
        <v>70</v>
      </c>
      <c r="J2970" t="s">
        <v>321</v>
      </c>
      <c r="K2970">
        <v>83.08</v>
      </c>
      <c r="L2970">
        <v>1.8</v>
      </c>
      <c r="M2970" t="s">
        <v>2274</v>
      </c>
      <c r="N2970">
        <v>167515</v>
      </c>
      <c r="P2970">
        <v>83.03</v>
      </c>
      <c r="R2970">
        <v>5.18</v>
      </c>
      <c r="S2970">
        <v>5.54</v>
      </c>
      <c r="AA2970">
        <v>-0.61</v>
      </c>
      <c r="AB2970" t="s">
        <v>4881</v>
      </c>
      <c r="AC2970" t="s">
        <v>17301</v>
      </c>
      <c r="AE2970" t="s">
        <v>10517</v>
      </c>
      <c r="AF2970" t="s">
        <v>5045</v>
      </c>
      <c r="AG2970" t="s">
        <v>5877</v>
      </c>
      <c r="AH2970" t="s">
        <v>16697</v>
      </c>
      <c r="AI2970" t="s">
        <v>20549</v>
      </c>
      <c r="AJ2970" t="s">
        <v>164</v>
      </c>
      <c r="AK2970" t="s">
        <v>2428</v>
      </c>
      <c r="AL2970">
        <v>2.17</v>
      </c>
      <c r="AM2970">
        <v>2.14</v>
      </c>
      <c r="AN2970">
        <v>0.18</v>
      </c>
      <c r="AO2970" t="s">
        <v>11858</v>
      </c>
      <c r="AP2970" t="s">
        <v>26175</v>
      </c>
      <c r="AQ2970" t="s">
        <v>26662</v>
      </c>
      <c r="AR2970" t="s">
        <v>4089</v>
      </c>
      <c r="AS2970" t="s">
        <v>7301</v>
      </c>
      <c r="AT2970" t="s">
        <v>7074</v>
      </c>
      <c r="AU2970" t="s">
        <v>13083</v>
      </c>
      <c r="AV2970" t="s">
        <v>5201</v>
      </c>
      <c r="AW2970" t="s">
        <v>24737</v>
      </c>
      <c r="AX2970" t="s">
        <v>10765</v>
      </c>
      <c r="AY2970" t="s">
        <v>24737</v>
      </c>
      <c r="AZ2970" t="s">
        <v>17488</v>
      </c>
      <c r="BA2970">
        <v>1</v>
      </c>
      <c r="BB2970">
        <v>1866.71</v>
      </c>
      <c r="BC2970">
        <v>0.32</v>
      </c>
      <c r="BD2970">
        <v>1.77</v>
      </c>
      <c r="BE2970">
        <v>1.84</v>
      </c>
      <c r="BF2970">
        <v>1.77</v>
      </c>
      <c r="BG2970" t="s">
        <v>26663</v>
      </c>
      <c r="BH2970" t="s">
        <v>26664</v>
      </c>
      <c r="BI2970" t="s">
        <v>26665</v>
      </c>
      <c r="BJ2970" t="s">
        <v>101</v>
      </c>
      <c r="BK2970" t="s">
        <v>19167</v>
      </c>
      <c r="BL2970" t="s">
        <v>26666</v>
      </c>
      <c r="BM2970" t="s">
        <v>26667</v>
      </c>
      <c r="BN2970" t="s">
        <v>23454</v>
      </c>
    </row>
    <row r="2971" spans="1:66" x14ac:dyDescent="0.25">
      <c r="A2971" t="str">
        <f>HYPERLINK("https://elite.finviz.com/quote.ashx?t=INVE&amp;ty=c&amp;p=d&amp;b=1", "INVE")</f>
        <v>INVE</v>
      </c>
      <c r="B2971">
        <v>5</v>
      </c>
      <c r="C2971">
        <v>116.22</v>
      </c>
      <c r="D2971">
        <v>45.99</v>
      </c>
      <c r="E2971" t="s">
        <v>26668</v>
      </c>
      <c r="F2971" t="s">
        <v>107</v>
      </c>
      <c r="G2971" t="s">
        <v>260</v>
      </c>
      <c r="H2971" t="s">
        <v>3225</v>
      </c>
      <c r="I2971" t="s">
        <v>70</v>
      </c>
      <c r="J2971" t="s">
        <v>321</v>
      </c>
      <c r="K2971">
        <v>85.75</v>
      </c>
      <c r="L2971">
        <v>3.62</v>
      </c>
      <c r="M2971" t="s">
        <v>3466</v>
      </c>
      <c r="N2971">
        <v>7336</v>
      </c>
      <c r="R2971">
        <v>3.64</v>
      </c>
      <c r="S2971">
        <v>0.57999999999999996</v>
      </c>
      <c r="AA2971">
        <v>-1.25</v>
      </c>
      <c r="AC2971" t="s">
        <v>13453</v>
      </c>
      <c r="AE2971" t="s">
        <v>22570</v>
      </c>
      <c r="AF2971" t="s">
        <v>5848</v>
      </c>
      <c r="AG2971" t="s">
        <v>10531</v>
      </c>
      <c r="AH2971" t="s">
        <v>23230</v>
      </c>
      <c r="AI2971" t="s">
        <v>9927</v>
      </c>
      <c r="AJ2971" t="s">
        <v>164</v>
      </c>
      <c r="AK2971" t="s">
        <v>26669</v>
      </c>
      <c r="AL2971">
        <v>21.7</v>
      </c>
      <c r="AM2971">
        <v>20.77</v>
      </c>
      <c r="AN2971">
        <v>0.01</v>
      </c>
      <c r="AO2971" t="s">
        <v>8358</v>
      </c>
      <c r="AP2971" t="s">
        <v>26670</v>
      </c>
      <c r="AQ2971" t="s">
        <v>26671</v>
      </c>
      <c r="AR2971" t="s">
        <v>323</v>
      </c>
      <c r="AS2971" t="s">
        <v>1148</v>
      </c>
      <c r="AT2971" t="s">
        <v>6137</v>
      </c>
      <c r="AU2971" t="s">
        <v>9084</v>
      </c>
      <c r="AV2971" t="s">
        <v>5467</v>
      </c>
      <c r="AW2971" t="s">
        <v>9741</v>
      </c>
      <c r="AX2971" t="s">
        <v>2392</v>
      </c>
      <c r="AY2971" t="s">
        <v>7014</v>
      </c>
      <c r="AZ2971" t="s">
        <v>7897</v>
      </c>
      <c r="BA2971">
        <v>1</v>
      </c>
      <c r="BB2971">
        <v>57.19</v>
      </c>
      <c r="BC2971">
        <v>0.46</v>
      </c>
      <c r="BD2971">
        <v>3.7</v>
      </c>
      <c r="BE2971">
        <v>3.8</v>
      </c>
      <c r="BF2971">
        <v>3.62</v>
      </c>
      <c r="BG2971" t="s">
        <v>26672</v>
      </c>
      <c r="BH2971" t="s">
        <v>4362</v>
      </c>
      <c r="BI2971" t="s">
        <v>26673</v>
      </c>
      <c r="BJ2971" t="s">
        <v>101</v>
      </c>
      <c r="BK2971" t="s">
        <v>800</v>
      </c>
      <c r="BL2971" t="s">
        <v>341</v>
      </c>
      <c r="BM2971" t="s">
        <v>648</v>
      </c>
      <c r="BN2971" t="s">
        <v>26674</v>
      </c>
    </row>
    <row r="2972" spans="1:66" x14ac:dyDescent="0.25">
      <c r="A2972" t="str">
        <f>HYPERLINK("https://elite.finviz.com/quote.ashx?t=QCLS&amp;ty=c&amp;p=d&amp;b=1", "QCLS")</f>
        <v>QCLS</v>
      </c>
      <c r="B2972">
        <v>5</v>
      </c>
      <c r="C2972">
        <v>116.22</v>
      </c>
      <c r="D2972">
        <v>46.01</v>
      </c>
      <c r="E2972" t="s">
        <v>26675</v>
      </c>
      <c r="F2972" t="s">
        <v>107</v>
      </c>
      <c r="G2972" t="s">
        <v>428</v>
      </c>
      <c r="H2972" t="s">
        <v>429</v>
      </c>
      <c r="I2972" t="s">
        <v>70</v>
      </c>
      <c r="J2972" t="s">
        <v>321</v>
      </c>
      <c r="K2972">
        <v>8.6199999999999992</v>
      </c>
      <c r="L2972">
        <v>4.83</v>
      </c>
      <c r="M2972" t="s">
        <v>5256</v>
      </c>
      <c r="N2972">
        <v>809647</v>
      </c>
      <c r="S2972">
        <v>0.28000000000000003</v>
      </c>
      <c r="AA2972">
        <v>-258.11</v>
      </c>
      <c r="AB2972" t="s">
        <v>15948</v>
      </c>
      <c r="AC2972" t="s">
        <v>1490</v>
      </c>
      <c r="AI2972" t="s">
        <v>13026</v>
      </c>
      <c r="AJ2972" t="s">
        <v>164</v>
      </c>
      <c r="AK2972" t="s">
        <v>2641</v>
      </c>
      <c r="AL2972">
        <v>0.93</v>
      </c>
      <c r="AM2972">
        <v>0.93</v>
      </c>
      <c r="AN2972">
        <v>0</v>
      </c>
      <c r="AR2972" t="s">
        <v>2817</v>
      </c>
      <c r="AS2972" t="s">
        <v>7072</v>
      </c>
      <c r="AT2972" t="s">
        <v>791</v>
      </c>
      <c r="AU2972" t="s">
        <v>26072</v>
      </c>
      <c r="AV2972" t="s">
        <v>26676</v>
      </c>
      <c r="AW2972" t="s">
        <v>26677</v>
      </c>
      <c r="AX2972" t="s">
        <v>26678</v>
      </c>
      <c r="AY2972" t="s">
        <v>24404</v>
      </c>
      <c r="AZ2972" t="s">
        <v>26678</v>
      </c>
      <c r="BA2972">
        <v>1</v>
      </c>
      <c r="BB2972">
        <v>1587.06</v>
      </c>
      <c r="BC2972">
        <v>1.8</v>
      </c>
      <c r="BD2972">
        <v>4.7</v>
      </c>
      <c r="BE2972">
        <v>5.15</v>
      </c>
      <c r="BF2972">
        <v>4.68</v>
      </c>
      <c r="BG2972" t="s">
        <v>26679</v>
      </c>
      <c r="BH2972" t="s">
        <v>579</v>
      </c>
      <c r="BI2972" t="s">
        <v>26678</v>
      </c>
      <c r="BJ2972" t="s">
        <v>101</v>
      </c>
      <c r="BK2972" t="s">
        <v>8846</v>
      </c>
      <c r="BL2972" t="s">
        <v>25138</v>
      </c>
      <c r="BM2972" t="s">
        <v>5956</v>
      </c>
      <c r="BN2972" t="s">
        <v>23454</v>
      </c>
    </row>
    <row r="2973" spans="1:66" x14ac:dyDescent="0.25">
      <c r="A2973" t="str">
        <f>HYPERLINK("https://elite.finviz.com/quote.ashx?t=EIX&amp;ty=c&amp;p=d&amp;b=1", "EIX")</f>
        <v>EIX</v>
      </c>
      <c r="B2973">
        <v>5</v>
      </c>
      <c r="C2973">
        <v>116.22</v>
      </c>
      <c r="D2973">
        <v>46.02</v>
      </c>
      <c r="E2973" t="s">
        <v>26680</v>
      </c>
      <c r="F2973" t="s">
        <v>195</v>
      </c>
      <c r="G2973" t="s">
        <v>287</v>
      </c>
      <c r="H2973" t="s">
        <v>676</v>
      </c>
      <c r="I2973" t="s">
        <v>70</v>
      </c>
      <c r="J2973" t="s">
        <v>71</v>
      </c>
      <c r="K2973">
        <v>20881.09</v>
      </c>
      <c r="L2973">
        <v>54.26</v>
      </c>
      <c r="M2973" t="s">
        <v>6719</v>
      </c>
      <c r="N2973">
        <v>362153</v>
      </c>
      <c r="O2973">
        <v>7.97</v>
      </c>
      <c r="P2973">
        <v>8.86</v>
      </c>
      <c r="Q2973">
        <v>0.83</v>
      </c>
      <c r="R2973">
        <v>1.19</v>
      </c>
      <c r="S2973">
        <v>1.39</v>
      </c>
      <c r="T2973" t="s">
        <v>3951</v>
      </c>
      <c r="U2973">
        <v>3.26</v>
      </c>
      <c r="V2973" t="s">
        <v>16780</v>
      </c>
      <c r="W2973" t="s">
        <v>1826</v>
      </c>
      <c r="X2973" t="s">
        <v>3983</v>
      </c>
      <c r="Y2973" t="s">
        <v>5620</v>
      </c>
      <c r="Z2973" t="s">
        <v>17478</v>
      </c>
      <c r="AA2973">
        <v>6.81</v>
      </c>
      <c r="AB2973" t="s">
        <v>555</v>
      </c>
      <c r="AC2973" t="s">
        <v>6204</v>
      </c>
      <c r="AD2973" t="s">
        <v>127</v>
      </c>
      <c r="AE2973" t="s">
        <v>165</v>
      </c>
      <c r="AF2973" t="s">
        <v>2205</v>
      </c>
      <c r="AG2973" t="s">
        <v>3745</v>
      </c>
      <c r="AH2973" t="s">
        <v>161</v>
      </c>
      <c r="AI2973" t="s">
        <v>6330</v>
      </c>
      <c r="AJ2973" t="s">
        <v>2950</v>
      </c>
      <c r="AK2973" t="s">
        <v>26681</v>
      </c>
      <c r="AL2973">
        <v>0.87</v>
      </c>
      <c r="AM2973">
        <v>0.81</v>
      </c>
      <c r="AN2973">
        <v>2.37</v>
      </c>
      <c r="AO2973" t="s">
        <v>5039</v>
      </c>
      <c r="AP2973" t="s">
        <v>12631</v>
      </c>
      <c r="AQ2973" t="s">
        <v>6201</v>
      </c>
      <c r="AR2973" t="s">
        <v>4710</v>
      </c>
      <c r="AS2973" t="s">
        <v>3173</v>
      </c>
      <c r="AT2973" t="s">
        <v>9511</v>
      </c>
      <c r="AU2973" t="s">
        <v>1358</v>
      </c>
      <c r="AV2973" t="s">
        <v>8004</v>
      </c>
      <c r="AW2973" t="s">
        <v>4691</v>
      </c>
      <c r="AX2973" t="s">
        <v>7970</v>
      </c>
      <c r="AY2973" t="s">
        <v>2079</v>
      </c>
      <c r="AZ2973" t="s">
        <v>5609</v>
      </c>
      <c r="BA2973">
        <v>2</v>
      </c>
      <c r="BB2973">
        <v>3572.74</v>
      </c>
      <c r="BC2973">
        <v>0.36</v>
      </c>
      <c r="BD2973">
        <v>54.05</v>
      </c>
      <c r="BE2973">
        <v>54.75</v>
      </c>
      <c r="BF2973">
        <v>54.16</v>
      </c>
      <c r="BG2973" t="s">
        <v>26682</v>
      </c>
      <c r="BH2973" t="s">
        <v>26683</v>
      </c>
      <c r="BI2973" t="s">
        <v>26684</v>
      </c>
      <c r="BJ2973" t="s">
        <v>101</v>
      </c>
      <c r="BK2973" t="s">
        <v>2232</v>
      </c>
      <c r="BL2973" t="s">
        <v>3704</v>
      </c>
      <c r="BM2973" t="s">
        <v>26685</v>
      </c>
      <c r="BN2973" t="s">
        <v>23454</v>
      </c>
    </row>
    <row r="2974" spans="1:66" x14ac:dyDescent="0.25">
      <c r="A2974" t="str">
        <f>HYPERLINK("https://elite.finviz.com/quote.ashx?t=AIG&amp;ty=c&amp;p=d&amp;b=1", "AIG")</f>
        <v>AIG</v>
      </c>
      <c r="B2974">
        <v>5</v>
      </c>
      <c r="C2974">
        <v>116.22</v>
      </c>
      <c r="D2974">
        <v>46.02</v>
      </c>
      <c r="E2974" t="s">
        <v>26686</v>
      </c>
      <c r="F2974" t="s">
        <v>195</v>
      </c>
      <c r="G2974" t="s">
        <v>550</v>
      </c>
      <c r="H2974" t="s">
        <v>10609</v>
      </c>
      <c r="I2974" t="s">
        <v>70</v>
      </c>
      <c r="J2974" t="s">
        <v>71</v>
      </c>
      <c r="K2974">
        <v>43139.4</v>
      </c>
      <c r="L2974">
        <v>77.87</v>
      </c>
      <c r="M2974" t="s">
        <v>1457</v>
      </c>
      <c r="N2974">
        <v>513374</v>
      </c>
      <c r="O2974">
        <v>14.43</v>
      </c>
      <c r="P2974">
        <v>10.029999999999999</v>
      </c>
      <c r="Q2974">
        <v>0.68</v>
      </c>
      <c r="R2974">
        <v>1.55</v>
      </c>
      <c r="S2974">
        <v>1.05</v>
      </c>
      <c r="T2974" t="s">
        <v>1599</v>
      </c>
      <c r="U2974">
        <v>1.7</v>
      </c>
      <c r="V2974" t="s">
        <v>5925</v>
      </c>
      <c r="W2974" t="s">
        <v>6331</v>
      </c>
      <c r="X2974" t="s">
        <v>3126</v>
      </c>
      <c r="Y2974" t="s">
        <v>4795</v>
      </c>
      <c r="Z2974" t="s">
        <v>15487</v>
      </c>
      <c r="AA2974">
        <v>5.4</v>
      </c>
      <c r="AB2974" t="s">
        <v>627</v>
      </c>
      <c r="AC2974" t="s">
        <v>229</v>
      </c>
      <c r="AD2974" t="s">
        <v>711</v>
      </c>
      <c r="AE2974" t="s">
        <v>16597</v>
      </c>
      <c r="AF2974" t="s">
        <v>14748</v>
      </c>
      <c r="AG2974" t="s">
        <v>6266</v>
      </c>
      <c r="AH2974" t="s">
        <v>3818</v>
      </c>
      <c r="AI2974" t="s">
        <v>2516</v>
      </c>
      <c r="AJ2974" t="s">
        <v>2086</v>
      </c>
      <c r="AK2974" t="s">
        <v>25941</v>
      </c>
      <c r="AL2974">
        <v>0.98</v>
      </c>
      <c r="AN2974">
        <v>0.22</v>
      </c>
      <c r="AP2974" t="s">
        <v>7217</v>
      </c>
      <c r="AQ2974" t="s">
        <v>1199</v>
      </c>
      <c r="AR2974" t="s">
        <v>2195</v>
      </c>
      <c r="AS2974" t="s">
        <v>4275</v>
      </c>
      <c r="AT2974" t="s">
        <v>9084</v>
      </c>
      <c r="AU2974" t="s">
        <v>7808</v>
      </c>
      <c r="AV2974" t="s">
        <v>7176</v>
      </c>
      <c r="AW2974" t="s">
        <v>11795</v>
      </c>
      <c r="AX2974" t="s">
        <v>2941</v>
      </c>
      <c r="AY2974" t="s">
        <v>7861</v>
      </c>
      <c r="AZ2974" t="s">
        <v>3122</v>
      </c>
      <c r="BA2974">
        <v>2.17</v>
      </c>
      <c r="BB2974">
        <v>4506.59</v>
      </c>
      <c r="BC2974">
        <v>0.4</v>
      </c>
      <c r="BD2974">
        <v>77.099999999999994</v>
      </c>
      <c r="BE2974">
        <v>78.05</v>
      </c>
      <c r="BF2974">
        <v>77.430000000000007</v>
      </c>
      <c r="BG2974" t="s">
        <v>26687</v>
      </c>
      <c r="BH2974" t="s">
        <v>26688</v>
      </c>
      <c r="BI2974" t="s">
        <v>26689</v>
      </c>
      <c r="BJ2974" t="s">
        <v>101</v>
      </c>
      <c r="BK2974" t="s">
        <v>6783</v>
      </c>
      <c r="BL2974" t="s">
        <v>5641</v>
      </c>
      <c r="BM2974" t="s">
        <v>3951</v>
      </c>
      <c r="BN2974" t="s">
        <v>23454</v>
      </c>
    </row>
    <row r="2975" spans="1:66" x14ac:dyDescent="0.25">
      <c r="A2975" t="str">
        <f>HYPERLINK("https://elite.finviz.com/quote.ashx?t=MMM&amp;ty=c&amp;p=d&amp;b=1", "MMM")</f>
        <v>MMM</v>
      </c>
      <c r="B2975">
        <v>5</v>
      </c>
      <c r="C2975">
        <v>116.22</v>
      </c>
      <c r="D2975">
        <v>46.06</v>
      </c>
      <c r="E2975" t="s">
        <v>26690</v>
      </c>
      <c r="F2975" t="s">
        <v>1759</v>
      </c>
      <c r="G2975" t="s">
        <v>260</v>
      </c>
      <c r="H2975" t="s">
        <v>2508</v>
      </c>
      <c r="I2975" t="s">
        <v>70</v>
      </c>
      <c r="J2975" t="s">
        <v>71</v>
      </c>
      <c r="K2975">
        <v>81609.52</v>
      </c>
      <c r="L2975">
        <v>153.22</v>
      </c>
      <c r="M2975" t="s">
        <v>2275</v>
      </c>
      <c r="N2975">
        <v>256720</v>
      </c>
      <c r="O2975">
        <v>21.31</v>
      </c>
      <c r="P2975">
        <v>17.940000000000001</v>
      </c>
      <c r="Q2975">
        <v>2.5299999999999998</v>
      </c>
      <c r="R2975">
        <v>3.32</v>
      </c>
      <c r="S2975">
        <v>19.02</v>
      </c>
      <c r="T2975" t="s">
        <v>3118</v>
      </c>
      <c r="U2975">
        <v>2.89</v>
      </c>
      <c r="V2975" t="s">
        <v>10943</v>
      </c>
      <c r="W2975" t="s">
        <v>26691</v>
      </c>
      <c r="X2975" t="s">
        <v>8919</v>
      </c>
      <c r="Y2975" t="s">
        <v>11264</v>
      </c>
      <c r="Z2975" t="s">
        <v>19082</v>
      </c>
      <c r="AA2975">
        <v>7.19</v>
      </c>
      <c r="AB2975" t="s">
        <v>18824</v>
      </c>
      <c r="AC2975" t="s">
        <v>3495</v>
      </c>
      <c r="AD2975" t="s">
        <v>10714</v>
      </c>
      <c r="AE2975" t="s">
        <v>13555</v>
      </c>
      <c r="AF2975" t="s">
        <v>2536</v>
      </c>
      <c r="AG2975" t="s">
        <v>3321</v>
      </c>
      <c r="AH2975" t="s">
        <v>3019</v>
      </c>
      <c r="AI2975" t="s">
        <v>4377</v>
      </c>
      <c r="AJ2975" t="s">
        <v>11702</v>
      </c>
      <c r="AK2975" t="s">
        <v>11274</v>
      </c>
      <c r="AL2975">
        <v>1.72</v>
      </c>
      <c r="AM2975">
        <v>1.2</v>
      </c>
      <c r="AN2975">
        <v>3.2</v>
      </c>
      <c r="AO2975" t="s">
        <v>9063</v>
      </c>
      <c r="AP2975" t="s">
        <v>11036</v>
      </c>
      <c r="AQ2975" t="s">
        <v>10359</v>
      </c>
      <c r="AR2975" t="s">
        <v>6336</v>
      </c>
      <c r="AS2975" t="s">
        <v>6151</v>
      </c>
      <c r="AT2975" t="s">
        <v>2518</v>
      </c>
      <c r="AU2975" t="s">
        <v>337</v>
      </c>
      <c r="AV2975" t="s">
        <v>247</v>
      </c>
      <c r="AW2975" t="s">
        <v>217</v>
      </c>
      <c r="AX2975" t="s">
        <v>7767</v>
      </c>
      <c r="AY2975" t="s">
        <v>217</v>
      </c>
      <c r="AZ2975" t="s">
        <v>18126</v>
      </c>
      <c r="BA2975">
        <v>2.15</v>
      </c>
      <c r="BB2975">
        <v>3349.27</v>
      </c>
      <c r="BC2975">
        <v>0.27</v>
      </c>
      <c r="BD2975">
        <v>153.03</v>
      </c>
      <c r="BE2975">
        <v>154.47999999999999</v>
      </c>
      <c r="BF2975">
        <v>152.78</v>
      </c>
      <c r="BG2975" t="s">
        <v>26692</v>
      </c>
      <c r="BH2975" t="s">
        <v>26450</v>
      </c>
      <c r="BI2975" t="s">
        <v>26693</v>
      </c>
      <c r="BJ2975" t="s">
        <v>101</v>
      </c>
      <c r="BK2975" t="s">
        <v>6463</v>
      </c>
      <c r="BL2975" t="s">
        <v>4294</v>
      </c>
      <c r="BM2975" t="s">
        <v>11151</v>
      </c>
      <c r="BN2975" t="s">
        <v>23454</v>
      </c>
    </row>
    <row r="2976" spans="1:66" x14ac:dyDescent="0.25">
      <c r="A2976" t="str">
        <f>HYPERLINK("https://elite.finviz.com/quote.ashx?t=SBRA&amp;ty=c&amp;p=d&amp;b=1", "SBRA")</f>
        <v>SBRA</v>
      </c>
      <c r="B2976">
        <v>5</v>
      </c>
      <c r="C2976">
        <v>116.22</v>
      </c>
      <c r="D2976">
        <v>46.09</v>
      </c>
      <c r="E2976" t="s">
        <v>26694</v>
      </c>
      <c r="F2976" t="s">
        <v>67</v>
      </c>
      <c r="G2976" t="s">
        <v>68</v>
      </c>
      <c r="H2976" t="s">
        <v>6072</v>
      </c>
      <c r="I2976" t="s">
        <v>70</v>
      </c>
      <c r="J2976" t="s">
        <v>321</v>
      </c>
      <c r="K2976">
        <v>4480.42</v>
      </c>
      <c r="L2976">
        <v>18.68</v>
      </c>
      <c r="M2976" t="s">
        <v>4539</v>
      </c>
      <c r="N2976">
        <v>280449</v>
      </c>
      <c r="O2976">
        <v>24.58</v>
      </c>
      <c r="P2976">
        <v>23.73</v>
      </c>
      <c r="Q2976">
        <v>1.64</v>
      </c>
      <c r="R2976">
        <v>6.18</v>
      </c>
      <c r="S2976">
        <v>1.65</v>
      </c>
      <c r="T2976" t="s">
        <v>8286</v>
      </c>
      <c r="U2976">
        <v>1.17</v>
      </c>
      <c r="V2976" t="s">
        <v>3046</v>
      </c>
      <c r="W2976" t="s">
        <v>164</v>
      </c>
      <c r="X2976" t="s">
        <v>164</v>
      </c>
      <c r="Y2976" t="s">
        <v>7449</v>
      </c>
      <c r="Z2976" t="s">
        <v>26695</v>
      </c>
      <c r="AA2976">
        <v>0.76</v>
      </c>
      <c r="AC2976" t="s">
        <v>3687</v>
      </c>
      <c r="AD2976" t="s">
        <v>1723</v>
      </c>
      <c r="AE2976" t="s">
        <v>1691</v>
      </c>
      <c r="AF2976" t="s">
        <v>4760</v>
      </c>
      <c r="AG2976" t="s">
        <v>6770</v>
      </c>
      <c r="AH2976" t="s">
        <v>4133</v>
      </c>
      <c r="AI2976" t="s">
        <v>12881</v>
      </c>
      <c r="AJ2976" t="s">
        <v>4538</v>
      </c>
      <c r="AK2976" t="s">
        <v>14913</v>
      </c>
      <c r="AL2976">
        <v>0.89</v>
      </c>
      <c r="AM2976">
        <v>0.89</v>
      </c>
      <c r="AN2976">
        <v>0.93</v>
      </c>
      <c r="AO2976" t="s">
        <v>6852</v>
      </c>
      <c r="AP2976" t="s">
        <v>5275</v>
      </c>
      <c r="AQ2976" t="s">
        <v>17283</v>
      </c>
      <c r="AR2976" t="s">
        <v>2554</v>
      </c>
      <c r="AS2976" t="s">
        <v>2195</v>
      </c>
      <c r="AT2976" t="s">
        <v>13366</v>
      </c>
      <c r="AU2976" t="s">
        <v>2003</v>
      </c>
      <c r="AV2976" t="s">
        <v>2580</v>
      </c>
      <c r="AW2976" t="s">
        <v>7383</v>
      </c>
      <c r="AX2976" t="s">
        <v>197</v>
      </c>
      <c r="AY2976" t="s">
        <v>7750</v>
      </c>
      <c r="AZ2976" t="s">
        <v>5759</v>
      </c>
      <c r="BA2976">
        <v>2</v>
      </c>
      <c r="BB2976">
        <v>2416.79</v>
      </c>
      <c r="BC2976">
        <v>0.41</v>
      </c>
      <c r="BD2976">
        <v>18.670000000000002</v>
      </c>
      <c r="BE2976">
        <v>18.82</v>
      </c>
      <c r="BF2976">
        <v>18.670000000000002</v>
      </c>
      <c r="BG2976" t="s">
        <v>26696</v>
      </c>
      <c r="BH2976" t="s">
        <v>25789</v>
      </c>
      <c r="BI2976" t="s">
        <v>26697</v>
      </c>
      <c r="BJ2976" t="s">
        <v>101</v>
      </c>
      <c r="BK2976" t="s">
        <v>180</v>
      </c>
      <c r="BL2976" t="s">
        <v>262</v>
      </c>
      <c r="BM2976" t="s">
        <v>3831</v>
      </c>
      <c r="BN2976" t="s">
        <v>23454</v>
      </c>
    </row>
    <row r="2977" spans="1:66" x14ac:dyDescent="0.25">
      <c r="A2977" t="str">
        <f>HYPERLINK("https://elite.finviz.com/quote.ashx?t=CPB&amp;ty=c&amp;p=d&amp;b=1", "CPB")</f>
        <v>CPB</v>
      </c>
      <c r="B2977">
        <v>5</v>
      </c>
      <c r="C2977">
        <v>116.22</v>
      </c>
      <c r="D2977">
        <v>46.1</v>
      </c>
      <c r="E2977" t="s">
        <v>26698</v>
      </c>
      <c r="F2977" t="s">
        <v>195</v>
      </c>
      <c r="G2977" t="s">
        <v>2244</v>
      </c>
      <c r="H2977" t="s">
        <v>3269</v>
      </c>
      <c r="I2977" t="s">
        <v>70</v>
      </c>
      <c r="J2977" t="s">
        <v>321</v>
      </c>
      <c r="K2977">
        <v>9677.5499999999993</v>
      </c>
      <c r="L2977">
        <v>32.479999999999997</v>
      </c>
      <c r="M2977" t="s">
        <v>2734</v>
      </c>
      <c r="N2977">
        <v>826011</v>
      </c>
      <c r="O2977">
        <v>16.170000000000002</v>
      </c>
      <c r="P2977">
        <v>12.28</v>
      </c>
      <c r="R2977">
        <v>0.94</v>
      </c>
      <c r="S2977">
        <v>2.48</v>
      </c>
      <c r="T2977" t="s">
        <v>1950</v>
      </c>
      <c r="U2977">
        <v>1.54</v>
      </c>
      <c r="V2977" t="s">
        <v>5149</v>
      </c>
      <c r="W2977" t="s">
        <v>3469</v>
      </c>
      <c r="X2977" t="s">
        <v>5692</v>
      </c>
      <c r="Y2977" t="s">
        <v>3118</v>
      </c>
      <c r="Z2977" t="s">
        <v>26699</v>
      </c>
      <c r="AA2977">
        <v>2.0099999999999998</v>
      </c>
      <c r="AB2977" t="s">
        <v>4635</v>
      </c>
      <c r="AC2977" t="s">
        <v>3047</v>
      </c>
      <c r="AD2977" t="s">
        <v>13522</v>
      </c>
      <c r="AE2977" t="s">
        <v>7542</v>
      </c>
      <c r="AF2977" t="s">
        <v>464</v>
      </c>
      <c r="AG2977" t="s">
        <v>3542</v>
      </c>
      <c r="AH2977" t="s">
        <v>4552</v>
      </c>
      <c r="AI2977" t="s">
        <v>2795</v>
      </c>
      <c r="AJ2977" t="s">
        <v>5242</v>
      </c>
      <c r="AK2977" t="s">
        <v>26700</v>
      </c>
      <c r="AL2977">
        <v>0.77</v>
      </c>
      <c r="AM2977">
        <v>0.28000000000000003</v>
      </c>
      <c r="AN2977">
        <v>1.85</v>
      </c>
      <c r="AO2977" t="s">
        <v>26490</v>
      </c>
      <c r="AP2977" t="s">
        <v>5743</v>
      </c>
      <c r="AQ2977" t="s">
        <v>2408</v>
      </c>
      <c r="AR2977" t="s">
        <v>3635</v>
      </c>
      <c r="AS2977" t="s">
        <v>2496</v>
      </c>
      <c r="AT2977" t="s">
        <v>9500</v>
      </c>
      <c r="AU2977" t="s">
        <v>1202</v>
      </c>
      <c r="AV2977" t="s">
        <v>7408</v>
      </c>
      <c r="AW2977" t="s">
        <v>4553</v>
      </c>
      <c r="AX2977" t="s">
        <v>1576</v>
      </c>
      <c r="AY2977" t="s">
        <v>8414</v>
      </c>
      <c r="AZ2977" t="s">
        <v>4996</v>
      </c>
      <c r="BA2977">
        <v>3.18</v>
      </c>
      <c r="BB2977">
        <v>6195.34</v>
      </c>
      <c r="BC2977">
        <v>0.47</v>
      </c>
      <c r="BD2977">
        <v>32.21</v>
      </c>
      <c r="BE2977">
        <v>32.72</v>
      </c>
      <c r="BF2977">
        <v>32.21</v>
      </c>
      <c r="BG2977" t="s">
        <v>26701</v>
      </c>
      <c r="BH2977" t="s">
        <v>26702</v>
      </c>
      <c r="BI2977" t="s">
        <v>26703</v>
      </c>
      <c r="BJ2977" t="s">
        <v>101</v>
      </c>
      <c r="BK2977" t="s">
        <v>7682</v>
      </c>
      <c r="BL2977" t="s">
        <v>996</v>
      </c>
      <c r="BM2977" t="s">
        <v>17318</v>
      </c>
      <c r="BN2977" t="s">
        <v>23454</v>
      </c>
    </row>
    <row r="2978" spans="1:66" x14ac:dyDescent="0.25">
      <c r="A2978" t="str">
        <f>HYPERLINK("https://elite.finviz.com/quote.ashx?t=CYN&amp;ty=c&amp;p=d&amp;b=1", "CYN")</f>
        <v>CYN</v>
      </c>
      <c r="B2978">
        <v>5</v>
      </c>
      <c r="C2978">
        <v>116.22</v>
      </c>
      <c r="D2978">
        <v>46.11</v>
      </c>
      <c r="E2978" t="s">
        <v>26704</v>
      </c>
      <c r="F2978" t="s">
        <v>107</v>
      </c>
      <c r="G2978" t="s">
        <v>108</v>
      </c>
      <c r="H2978" t="s">
        <v>136</v>
      </c>
      <c r="I2978" t="s">
        <v>70</v>
      </c>
      <c r="J2978" t="s">
        <v>321</v>
      </c>
      <c r="K2978">
        <v>39.56</v>
      </c>
      <c r="L2978">
        <v>5.62</v>
      </c>
      <c r="M2978" t="s">
        <v>4711</v>
      </c>
      <c r="N2978">
        <v>27970</v>
      </c>
      <c r="R2978">
        <v>92.01</v>
      </c>
      <c r="S2978">
        <v>0.85</v>
      </c>
      <c r="AA2978">
        <v>-695.79</v>
      </c>
      <c r="AB2978" t="s">
        <v>9794</v>
      </c>
      <c r="AC2978" t="s">
        <v>775</v>
      </c>
      <c r="AE2978" t="s">
        <v>26705</v>
      </c>
      <c r="AG2978" t="s">
        <v>3078</v>
      </c>
      <c r="AH2978" t="s">
        <v>26706</v>
      </c>
      <c r="AJ2978" t="s">
        <v>164</v>
      </c>
      <c r="AK2978" t="s">
        <v>9123</v>
      </c>
      <c r="AL2978">
        <v>14.54</v>
      </c>
      <c r="AM2978">
        <v>14.22</v>
      </c>
      <c r="AN2978">
        <v>0.15</v>
      </c>
      <c r="AO2978" t="s">
        <v>26707</v>
      </c>
      <c r="AP2978" t="s">
        <v>26708</v>
      </c>
      <c r="AQ2978" t="s">
        <v>26709</v>
      </c>
      <c r="AR2978" t="s">
        <v>713</v>
      </c>
      <c r="AS2978" t="s">
        <v>8960</v>
      </c>
      <c r="AT2978" t="s">
        <v>5258</v>
      </c>
      <c r="AU2978" t="s">
        <v>388</v>
      </c>
      <c r="AV2978" t="s">
        <v>26710</v>
      </c>
      <c r="AW2978" t="s">
        <v>12185</v>
      </c>
      <c r="AX2978" t="s">
        <v>3231</v>
      </c>
      <c r="AY2978" t="s">
        <v>26711</v>
      </c>
      <c r="AZ2978" t="s">
        <v>26712</v>
      </c>
      <c r="BA2978">
        <v>1</v>
      </c>
      <c r="BB2978">
        <v>4356.1499999999996</v>
      </c>
      <c r="BC2978">
        <v>0.02</v>
      </c>
      <c r="BD2978">
        <v>5.78</v>
      </c>
      <c r="BE2978">
        <v>5.8</v>
      </c>
      <c r="BF2978">
        <v>5.65</v>
      </c>
      <c r="BG2978" t="s">
        <v>26713</v>
      </c>
      <c r="BH2978" t="s">
        <v>579</v>
      </c>
      <c r="BI2978" t="s">
        <v>26712</v>
      </c>
      <c r="BJ2978" t="s">
        <v>101</v>
      </c>
      <c r="BK2978" t="s">
        <v>26484</v>
      </c>
      <c r="BL2978" t="s">
        <v>3490</v>
      </c>
      <c r="BM2978" t="s">
        <v>14264</v>
      </c>
      <c r="BN2978" t="s">
        <v>23454</v>
      </c>
    </row>
    <row r="2979" spans="1:66" x14ac:dyDescent="0.25">
      <c r="A2979" t="str">
        <f>HYPERLINK("https://elite.finviz.com/quote.ashx?t=MAN&amp;ty=c&amp;p=d&amp;b=1", "MAN")</f>
        <v>MAN</v>
      </c>
      <c r="B2979">
        <v>5</v>
      </c>
      <c r="C2979">
        <v>116.22</v>
      </c>
      <c r="D2979">
        <v>46.14</v>
      </c>
      <c r="E2979" t="s">
        <v>26714</v>
      </c>
      <c r="F2979" t="s">
        <v>107</v>
      </c>
      <c r="G2979" t="s">
        <v>260</v>
      </c>
      <c r="H2979" t="s">
        <v>8693</v>
      </c>
      <c r="I2979" t="s">
        <v>70</v>
      </c>
      <c r="J2979" t="s">
        <v>71</v>
      </c>
      <c r="K2979">
        <v>1780.82</v>
      </c>
      <c r="L2979">
        <v>38.47</v>
      </c>
      <c r="M2979" t="s">
        <v>2424</v>
      </c>
      <c r="N2979">
        <v>106019</v>
      </c>
      <c r="P2979">
        <v>8.85</v>
      </c>
      <c r="R2979">
        <v>0.1</v>
      </c>
      <c r="S2979">
        <v>0.89</v>
      </c>
      <c r="T2979" t="s">
        <v>165</v>
      </c>
      <c r="U2979">
        <v>2.2599999999999998</v>
      </c>
      <c r="V2979" t="s">
        <v>3448</v>
      </c>
      <c r="W2979" t="s">
        <v>995</v>
      </c>
      <c r="X2979" t="s">
        <v>4999</v>
      </c>
      <c r="Y2979" t="s">
        <v>6420</v>
      </c>
      <c r="Z2979" t="s">
        <v>26715</v>
      </c>
      <c r="AA2979">
        <v>-0.38</v>
      </c>
      <c r="AB2979" t="s">
        <v>26716</v>
      </c>
      <c r="AC2979" t="s">
        <v>10408</v>
      </c>
      <c r="AD2979" t="s">
        <v>438</v>
      </c>
      <c r="AE2979" t="s">
        <v>8380</v>
      </c>
      <c r="AF2979" t="s">
        <v>2329</v>
      </c>
      <c r="AG2979" t="s">
        <v>7429</v>
      </c>
      <c r="AH2979" t="s">
        <v>3598</v>
      </c>
      <c r="AI2979" t="s">
        <v>775</v>
      </c>
      <c r="AJ2979" t="s">
        <v>164</v>
      </c>
      <c r="AK2979" t="s">
        <v>17309</v>
      </c>
      <c r="AL2979">
        <v>0.98</v>
      </c>
      <c r="AM2979">
        <v>0.98</v>
      </c>
      <c r="AN2979">
        <v>0.86</v>
      </c>
      <c r="AO2979" t="s">
        <v>728</v>
      </c>
      <c r="AP2979" t="s">
        <v>3925</v>
      </c>
      <c r="AQ2979" t="s">
        <v>6192</v>
      </c>
      <c r="AR2979" t="s">
        <v>5592</v>
      </c>
      <c r="AS2979" t="s">
        <v>903</v>
      </c>
      <c r="AT2979" t="s">
        <v>5153</v>
      </c>
      <c r="AU2979" t="s">
        <v>7289</v>
      </c>
      <c r="AV2979" t="s">
        <v>1197</v>
      </c>
      <c r="AW2979" t="s">
        <v>9283</v>
      </c>
      <c r="AX2979" t="s">
        <v>9651</v>
      </c>
      <c r="AY2979" t="s">
        <v>26717</v>
      </c>
      <c r="AZ2979" t="s">
        <v>9651</v>
      </c>
      <c r="BA2979">
        <v>2.85</v>
      </c>
      <c r="BB2979">
        <v>1079.8</v>
      </c>
      <c r="BC2979">
        <v>0.35</v>
      </c>
      <c r="BD2979">
        <v>37.78</v>
      </c>
      <c r="BE2979">
        <v>38.590000000000003</v>
      </c>
      <c r="BF2979">
        <v>37.69</v>
      </c>
      <c r="BG2979" t="s">
        <v>26718</v>
      </c>
      <c r="BH2979" t="s">
        <v>26719</v>
      </c>
      <c r="BI2979" t="s">
        <v>26720</v>
      </c>
      <c r="BJ2979" t="s">
        <v>101</v>
      </c>
      <c r="BK2979" t="s">
        <v>10703</v>
      </c>
      <c r="BL2979" t="s">
        <v>26721</v>
      </c>
      <c r="BM2979" t="s">
        <v>26722</v>
      </c>
      <c r="BN2979" t="s">
        <v>23454</v>
      </c>
    </row>
    <row r="2980" spans="1:66" x14ac:dyDescent="0.25">
      <c r="A2980" t="str">
        <f>HYPERLINK("https://elite.finviz.com/quote.ashx?t=FTFT&amp;ty=c&amp;p=d&amp;b=1", "FTFT")</f>
        <v>FTFT</v>
      </c>
      <c r="B2980">
        <v>5</v>
      </c>
      <c r="C2980">
        <v>116.22</v>
      </c>
      <c r="D2980">
        <v>46.27</v>
      </c>
      <c r="E2980" t="s">
        <v>26723</v>
      </c>
      <c r="F2980" t="s">
        <v>107</v>
      </c>
      <c r="G2980" t="s">
        <v>108</v>
      </c>
      <c r="H2980" t="s">
        <v>136</v>
      </c>
      <c r="I2980" t="s">
        <v>70</v>
      </c>
      <c r="J2980" t="s">
        <v>321</v>
      </c>
      <c r="K2980">
        <v>7.14</v>
      </c>
      <c r="L2980">
        <v>2.0699999999999998</v>
      </c>
      <c r="M2980" t="s">
        <v>164</v>
      </c>
      <c r="N2980">
        <v>20154</v>
      </c>
      <c r="R2980">
        <v>0.39</v>
      </c>
      <c r="S2980">
        <v>0.44</v>
      </c>
      <c r="AA2980">
        <v>-20.93</v>
      </c>
      <c r="AB2980" t="s">
        <v>21336</v>
      </c>
      <c r="AC2980" t="s">
        <v>5239</v>
      </c>
      <c r="AE2980" t="s">
        <v>26724</v>
      </c>
      <c r="AF2980" t="s">
        <v>14784</v>
      </c>
      <c r="AG2980" t="s">
        <v>3968</v>
      </c>
      <c r="AH2980" t="s">
        <v>26725</v>
      </c>
      <c r="AJ2980" t="s">
        <v>164</v>
      </c>
      <c r="AK2980" t="s">
        <v>2640</v>
      </c>
      <c r="AL2980">
        <v>2.2999999999999998</v>
      </c>
      <c r="AM2980">
        <v>2.2999999999999998</v>
      </c>
      <c r="AN2980">
        <v>0.05</v>
      </c>
      <c r="AO2980" t="s">
        <v>2131</v>
      </c>
      <c r="AP2980" t="s">
        <v>23134</v>
      </c>
      <c r="AQ2980" t="s">
        <v>26726</v>
      </c>
      <c r="AR2980" t="s">
        <v>12048</v>
      </c>
      <c r="AS2980" t="s">
        <v>3199</v>
      </c>
      <c r="AT2980" t="s">
        <v>11264</v>
      </c>
      <c r="AU2980" t="s">
        <v>12466</v>
      </c>
      <c r="AV2980" t="s">
        <v>1547</v>
      </c>
      <c r="AW2980" t="s">
        <v>26727</v>
      </c>
      <c r="AX2980" t="s">
        <v>256</v>
      </c>
      <c r="AY2980" t="s">
        <v>6575</v>
      </c>
      <c r="AZ2980" t="s">
        <v>26728</v>
      </c>
      <c r="BA2980">
        <v>2</v>
      </c>
      <c r="BB2980">
        <v>1832.94</v>
      </c>
      <c r="BC2980">
        <v>0.04</v>
      </c>
      <c r="BD2980">
        <v>2.0699999999999998</v>
      </c>
      <c r="BE2980">
        <v>2.13</v>
      </c>
      <c r="BF2980">
        <v>2.0499999999999998</v>
      </c>
      <c r="BG2980" t="s">
        <v>26729</v>
      </c>
      <c r="BH2980" t="s">
        <v>579</v>
      </c>
      <c r="BI2980" t="s">
        <v>26728</v>
      </c>
      <c r="BJ2980" t="s">
        <v>101</v>
      </c>
      <c r="BK2980" t="s">
        <v>23156</v>
      </c>
      <c r="BL2980" t="s">
        <v>4288</v>
      </c>
      <c r="BM2980" t="s">
        <v>26730</v>
      </c>
      <c r="BN2980" t="s">
        <v>23454</v>
      </c>
    </row>
    <row r="2981" spans="1:66" x14ac:dyDescent="0.25">
      <c r="A2981" t="str">
        <f>HYPERLINK("https://elite.finviz.com/quote.ashx?t=RAL&amp;ty=c&amp;p=d&amp;b=1", "RAL")</f>
        <v>RAL</v>
      </c>
      <c r="B2981">
        <v>5</v>
      </c>
      <c r="C2981">
        <v>116.22</v>
      </c>
      <c r="D2981">
        <v>46.32</v>
      </c>
      <c r="E2981" t="s">
        <v>26731</v>
      </c>
      <c r="F2981" t="s">
        <v>107</v>
      </c>
      <c r="G2981" t="s">
        <v>108</v>
      </c>
      <c r="H2981" t="s">
        <v>3346</v>
      </c>
      <c r="I2981" t="s">
        <v>70</v>
      </c>
      <c r="J2981" t="s">
        <v>71</v>
      </c>
      <c r="K2981">
        <v>4782.96</v>
      </c>
      <c r="L2981">
        <v>42.42</v>
      </c>
      <c r="M2981" t="s">
        <v>4963</v>
      </c>
      <c r="N2981">
        <v>179658</v>
      </c>
      <c r="S2981">
        <v>1.57</v>
      </c>
      <c r="T2981" t="s">
        <v>2275</v>
      </c>
      <c r="U2981">
        <v>0.05</v>
      </c>
      <c r="V2981" t="s">
        <v>9611</v>
      </c>
      <c r="AB2981" t="s">
        <v>4595</v>
      </c>
      <c r="AF2981" t="s">
        <v>2572</v>
      </c>
      <c r="AI2981" t="s">
        <v>15580</v>
      </c>
      <c r="AJ2981" t="s">
        <v>7464</v>
      </c>
      <c r="AK2981" t="s">
        <v>16247</v>
      </c>
      <c r="AL2981">
        <v>1.59</v>
      </c>
      <c r="AM2981">
        <v>1.03</v>
      </c>
      <c r="AN2981">
        <v>0.4</v>
      </c>
      <c r="AR2981" t="s">
        <v>5779</v>
      </c>
      <c r="AS2981" t="s">
        <v>4569</v>
      </c>
      <c r="AT2981" t="s">
        <v>1714</v>
      </c>
      <c r="AU2981" t="s">
        <v>9022</v>
      </c>
      <c r="AV2981" t="s">
        <v>7621</v>
      </c>
      <c r="AW2981" t="s">
        <v>4277</v>
      </c>
      <c r="AX2981" t="s">
        <v>3519</v>
      </c>
      <c r="AY2981" t="s">
        <v>10420</v>
      </c>
      <c r="AZ2981" t="s">
        <v>3519</v>
      </c>
      <c r="BA2981">
        <v>2.4500000000000002</v>
      </c>
      <c r="BB2981">
        <v>2055.48</v>
      </c>
      <c r="BC2981">
        <v>0.31</v>
      </c>
      <c r="BD2981">
        <v>42.7</v>
      </c>
      <c r="BE2981">
        <v>42.67</v>
      </c>
      <c r="BF2981">
        <v>42.3</v>
      </c>
      <c r="BG2981" t="s">
        <v>26732</v>
      </c>
      <c r="BH2981" t="s">
        <v>10420</v>
      </c>
      <c r="BI2981" t="s">
        <v>3519</v>
      </c>
      <c r="BJ2981" t="s">
        <v>101</v>
      </c>
      <c r="BK2981" t="s">
        <v>12547</v>
      </c>
      <c r="BN2981" t="s">
        <v>23454</v>
      </c>
    </row>
    <row r="2982" spans="1:66" x14ac:dyDescent="0.25">
      <c r="A2982" t="str">
        <f>HYPERLINK("https://elite.finviz.com/quote.ashx?t=SOWG&amp;ty=c&amp;p=d&amp;b=1", "SOWG")</f>
        <v>SOWG</v>
      </c>
      <c r="B2982">
        <v>5</v>
      </c>
      <c r="C2982">
        <v>116.22</v>
      </c>
      <c r="D2982">
        <v>46.34</v>
      </c>
      <c r="E2982" t="s">
        <v>26733</v>
      </c>
      <c r="F2982" t="s">
        <v>107</v>
      </c>
      <c r="G2982" t="s">
        <v>2244</v>
      </c>
      <c r="H2982" t="s">
        <v>7398</v>
      </c>
      <c r="I2982" t="s">
        <v>70</v>
      </c>
      <c r="J2982" t="s">
        <v>321</v>
      </c>
      <c r="K2982">
        <v>9.26</v>
      </c>
      <c r="L2982">
        <v>0.76</v>
      </c>
      <c r="M2982" t="s">
        <v>5661</v>
      </c>
      <c r="N2982">
        <v>22908</v>
      </c>
      <c r="R2982">
        <v>1</v>
      </c>
      <c r="S2982">
        <v>0.32</v>
      </c>
      <c r="AA2982">
        <v>-1.32</v>
      </c>
      <c r="AB2982" t="s">
        <v>5601</v>
      </c>
      <c r="AE2982" t="s">
        <v>25905</v>
      </c>
      <c r="AF2982" t="s">
        <v>26734</v>
      </c>
      <c r="AG2982" t="s">
        <v>3712</v>
      </c>
      <c r="AH2982" t="s">
        <v>26735</v>
      </c>
      <c r="AJ2982" t="s">
        <v>164</v>
      </c>
      <c r="AK2982" t="s">
        <v>5780</v>
      </c>
      <c r="AL2982">
        <v>4.2300000000000004</v>
      </c>
      <c r="AM2982">
        <v>0.37</v>
      </c>
      <c r="AN2982">
        <v>0.67</v>
      </c>
      <c r="AO2982" t="s">
        <v>6118</v>
      </c>
      <c r="AP2982" t="s">
        <v>26736</v>
      </c>
      <c r="AQ2982" t="s">
        <v>26737</v>
      </c>
      <c r="AR2982" t="s">
        <v>2623</v>
      </c>
      <c r="AS2982" t="s">
        <v>4621</v>
      </c>
      <c r="AT2982" t="s">
        <v>15949</v>
      </c>
      <c r="AU2982" t="s">
        <v>2836</v>
      </c>
      <c r="AV2982" t="s">
        <v>20606</v>
      </c>
      <c r="AW2982" t="s">
        <v>18135</v>
      </c>
      <c r="AX2982" t="s">
        <v>12998</v>
      </c>
      <c r="AY2982" t="s">
        <v>26738</v>
      </c>
      <c r="AZ2982" t="s">
        <v>12998</v>
      </c>
      <c r="BA2982">
        <v>3</v>
      </c>
      <c r="BB2982">
        <v>1743.58</v>
      </c>
      <c r="BC2982">
        <v>0.05</v>
      </c>
      <c r="BD2982">
        <v>0.78</v>
      </c>
      <c r="BE2982">
        <v>0.8</v>
      </c>
      <c r="BF2982">
        <v>0.75</v>
      </c>
      <c r="BG2982" t="s">
        <v>26739</v>
      </c>
      <c r="BH2982" t="s">
        <v>14200</v>
      </c>
      <c r="BI2982" t="s">
        <v>12998</v>
      </c>
      <c r="BJ2982" t="s">
        <v>101</v>
      </c>
      <c r="BK2982" t="s">
        <v>4229</v>
      </c>
      <c r="BL2982" t="s">
        <v>23405</v>
      </c>
      <c r="BM2982" t="s">
        <v>26740</v>
      </c>
      <c r="BN2982" t="s">
        <v>23454</v>
      </c>
    </row>
    <row r="2983" spans="1:66" x14ac:dyDescent="0.25">
      <c r="A2983" t="str">
        <f>HYPERLINK("https://elite.finviz.com/quote.ashx?t=VSTS&amp;ty=c&amp;p=d&amp;b=1", "VSTS")</f>
        <v>VSTS</v>
      </c>
      <c r="B2983">
        <v>5</v>
      </c>
      <c r="C2983">
        <v>116.22</v>
      </c>
      <c r="D2983">
        <v>46.38</v>
      </c>
      <c r="E2983" t="s">
        <v>26741</v>
      </c>
      <c r="F2983" t="s">
        <v>67</v>
      </c>
      <c r="G2983" t="s">
        <v>260</v>
      </c>
      <c r="H2983" t="s">
        <v>7905</v>
      </c>
      <c r="I2983" t="s">
        <v>70</v>
      </c>
      <c r="J2983" t="s">
        <v>71</v>
      </c>
      <c r="K2983">
        <v>570.21</v>
      </c>
      <c r="L2983">
        <v>4.32</v>
      </c>
      <c r="M2983" t="s">
        <v>304</v>
      </c>
      <c r="N2983">
        <v>321869</v>
      </c>
      <c r="P2983">
        <v>16.55</v>
      </c>
      <c r="R2983">
        <v>0.21</v>
      </c>
      <c r="S2983">
        <v>0.65</v>
      </c>
      <c r="T2983" t="s">
        <v>2186</v>
      </c>
      <c r="U2983">
        <v>7.0000000000000007E-2</v>
      </c>
      <c r="V2983" t="s">
        <v>18948</v>
      </c>
      <c r="Z2983" t="s">
        <v>17951</v>
      </c>
      <c r="AA2983">
        <v>-0.23</v>
      </c>
      <c r="AB2983" t="s">
        <v>24645</v>
      </c>
      <c r="AC2983" t="s">
        <v>26742</v>
      </c>
      <c r="AD2983" t="s">
        <v>103</v>
      </c>
      <c r="AE2983" t="s">
        <v>9070</v>
      </c>
      <c r="AF2983" t="s">
        <v>169</v>
      </c>
      <c r="AG2983" t="s">
        <v>7322</v>
      </c>
      <c r="AH2983" t="s">
        <v>5763</v>
      </c>
      <c r="AI2983" t="s">
        <v>26743</v>
      </c>
      <c r="AJ2983" t="s">
        <v>26744</v>
      </c>
      <c r="AK2983" t="s">
        <v>26745</v>
      </c>
      <c r="AL2983">
        <v>1.84</v>
      </c>
      <c r="AM2983">
        <v>0.52</v>
      </c>
      <c r="AN2983">
        <v>1.59</v>
      </c>
      <c r="AO2983" t="s">
        <v>10270</v>
      </c>
      <c r="AP2983" t="s">
        <v>2736</v>
      </c>
      <c r="AQ2983" t="s">
        <v>3940</v>
      </c>
      <c r="AR2983" t="s">
        <v>122</v>
      </c>
      <c r="AS2983" t="s">
        <v>2235</v>
      </c>
      <c r="AT2983" t="s">
        <v>4780</v>
      </c>
      <c r="AU2983" t="s">
        <v>2272</v>
      </c>
      <c r="AV2983" t="s">
        <v>26746</v>
      </c>
      <c r="AW2983" t="s">
        <v>16333</v>
      </c>
      <c r="AX2983" t="s">
        <v>2428</v>
      </c>
      <c r="AY2983" t="s">
        <v>13433</v>
      </c>
      <c r="AZ2983" t="s">
        <v>2428</v>
      </c>
      <c r="BA2983">
        <v>3.29</v>
      </c>
      <c r="BB2983">
        <v>2338.7600000000002</v>
      </c>
      <c r="BC2983">
        <v>0.48</v>
      </c>
      <c r="BD2983">
        <v>4.2</v>
      </c>
      <c r="BE2983">
        <v>4.32</v>
      </c>
      <c r="BF2983">
        <v>4.1500000000000004</v>
      </c>
      <c r="BG2983" t="s">
        <v>26747</v>
      </c>
      <c r="BH2983" t="s">
        <v>26748</v>
      </c>
      <c r="BI2983" t="s">
        <v>2428</v>
      </c>
      <c r="BJ2983" t="s">
        <v>101</v>
      </c>
      <c r="BK2983" t="s">
        <v>2547</v>
      </c>
      <c r="BL2983" t="s">
        <v>14474</v>
      </c>
      <c r="BM2983" t="s">
        <v>21106</v>
      </c>
      <c r="BN2983" t="s">
        <v>23454</v>
      </c>
    </row>
    <row r="2984" spans="1:66" x14ac:dyDescent="0.25">
      <c r="A2984" t="str">
        <f>HYPERLINK("https://elite.finviz.com/quote.ashx?t=MBOT&amp;ty=c&amp;p=d&amp;b=1", "MBOT")</f>
        <v>MBOT</v>
      </c>
      <c r="B2984">
        <v>5</v>
      </c>
      <c r="C2984">
        <v>116.22</v>
      </c>
      <c r="D2984">
        <v>46.41</v>
      </c>
      <c r="E2984" t="s">
        <v>26749</v>
      </c>
      <c r="F2984" t="s">
        <v>107</v>
      </c>
      <c r="G2984" t="s">
        <v>428</v>
      </c>
      <c r="H2984" t="s">
        <v>2161</v>
      </c>
      <c r="I2984" t="s">
        <v>70</v>
      </c>
      <c r="J2984" t="s">
        <v>321</v>
      </c>
      <c r="K2984">
        <v>147.79</v>
      </c>
      <c r="L2984">
        <v>3.24</v>
      </c>
      <c r="M2984" t="s">
        <v>1510</v>
      </c>
      <c r="N2984">
        <v>837357</v>
      </c>
      <c r="P2984">
        <v>21.63</v>
      </c>
      <c r="S2984">
        <v>4.0599999999999996</v>
      </c>
      <c r="AA2984">
        <v>-0.56999999999999995</v>
      </c>
      <c r="AB2984" t="s">
        <v>2769</v>
      </c>
      <c r="AC2984" t="s">
        <v>7617</v>
      </c>
      <c r="AI2984" t="s">
        <v>1427</v>
      </c>
      <c r="AJ2984" t="s">
        <v>164</v>
      </c>
      <c r="AK2984" t="s">
        <v>7301</v>
      </c>
      <c r="AL2984">
        <v>12.06</v>
      </c>
      <c r="AM2984">
        <v>12.06</v>
      </c>
      <c r="AN2984">
        <v>0</v>
      </c>
      <c r="AR2984" t="s">
        <v>2933</v>
      </c>
      <c r="AS2984" t="s">
        <v>5318</v>
      </c>
      <c r="AT2984" t="s">
        <v>5741</v>
      </c>
      <c r="AU2984" t="s">
        <v>3486</v>
      </c>
      <c r="AV2984" t="s">
        <v>7632</v>
      </c>
      <c r="AW2984" t="s">
        <v>26750</v>
      </c>
      <c r="AX2984" t="s">
        <v>263</v>
      </c>
      <c r="AY2984" t="s">
        <v>26750</v>
      </c>
      <c r="AZ2984" t="s">
        <v>26751</v>
      </c>
      <c r="BA2984">
        <v>1</v>
      </c>
      <c r="BB2984">
        <v>3894.52</v>
      </c>
      <c r="BC2984">
        <v>0.76</v>
      </c>
      <c r="BD2984">
        <v>3.29</v>
      </c>
      <c r="BE2984">
        <v>3.33</v>
      </c>
      <c r="BF2984">
        <v>3.2</v>
      </c>
      <c r="BG2984" t="s">
        <v>26752</v>
      </c>
      <c r="BH2984" t="s">
        <v>579</v>
      </c>
      <c r="BI2984" t="s">
        <v>26753</v>
      </c>
      <c r="BJ2984" t="s">
        <v>101</v>
      </c>
      <c r="BK2984" t="s">
        <v>6623</v>
      </c>
      <c r="BL2984" t="s">
        <v>26754</v>
      </c>
      <c r="BM2984" t="s">
        <v>26755</v>
      </c>
      <c r="BN2984" t="s">
        <v>23454</v>
      </c>
    </row>
    <row r="2985" spans="1:66" x14ac:dyDescent="0.25">
      <c r="A2985" t="str">
        <f>HYPERLINK("https://elite.finviz.com/quote.ashx?t=NFLX&amp;ty=c&amp;p=d&amp;b=1", "NFLX")</f>
        <v>NFLX</v>
      </c>
      <c r="B2985">
        <v>5</v>
      </c>
      <c r="C2985">
        <v>116.22</v>
      </c>
      <c r="D2985">
        <v>46.42</v>
      </c>
      <c r="E2985" t="s">
        <v>26756</v>
      </c>
      <c r="F2985" t="s">
        <v>319</v>
      </c>
      <c r="G2985" t="s">
        <v>598</v>
      </c>
      <c r="H2985" t="s">
        <v>4247</v>
      </c>
      <c r="I2985" t="s">
        <v>70</v>
      </c>
      <c r="J2985" t="s">
        <v>321</v>
      </c>
      <c r="K2985">
        <v>512066.37</v>
      </c>
      <c r="L2985">
        <v>1205.07</v>
      </c>
      <c r="M2985" t="s">
        <v>2402</v>
      </c>
      <c r="N2985">
        <v>555907</v>
      </c>
      <c r="O2985">
        <v>51.35</v>
      </c>
      <c r="P2985">
        <v>37.28</v>
      </c>
      <c r="Q2985">
        <v>2</v>
      </c>
      <c r="R2985">
        <v>12.35</v>
      </c>
      <c r="S2985">
        <v>20.52</v>
      </c>
      <c r="Z2985" t="s">
        <v>164</v>
      </c>
      <c r="AA2985">
        <v>23.47</v>
      </c>
      <c r="AB2985" t="s">
        <v>9003</v>
      </c>
      <c r="AC2985" t="s">
        <v>9612</v>
      </c>
      <c r="AD2985" t="s">
        <v>2001</v>
      </c>
      <c r="AE2985" t="s">
        <v>4683</v>
      </c>
      <c r="AF2985" t="s">
        <v>2210</v>
      </c>
      <c r="AG2985" t="s">
        <v>7114</v>
      </c>
      <c r="AH2985" t="s">
        <v>4532</v>
      </c>
      <c r="AI2985" t="s">
        <v>4946</v>
      </c>
      <c r="AJ2985" t="s">
        <v>7279</v>
      </c>
      <c r="AK2985" t="s">
        <v>26757</v>
      </c>
      <c r="AL2985">
        <v>1.34</v>
      </c>
      <c r="AM2985">
        <v>1.34</v>
      </c>
      <c r="AN2985">
        <v>0.68</v>
      </c>
      <c r="AO2985" t="s">
        <v>17209</v>
      </c>
      <c r="AP2985" t="s">
        <v>26758</v>
      </c>
      <c r="AQ2985" t="s">
        <v>1737</v>
      </c>
      <c r="AR2985" t="s">
        <v>1303</v>
      </c>
      <c r="AS2985" t="s">
        <v>714</v>
      </c>
      <c r="AT2985" t="s">
        <v>10852</v>
      </c>
      <c r="AU2985" t="s">
        <v>3890</v>
      </c>
      <c r="AV2985" t="s">
        <v>7512</v>
      </c>
      <c r="AW2985" t="s">
        <v>4475</v>
      </c>
      <c r="AX2985" t="s">
        <v>8966</v>
      </c>
      <c r="AY2985" t="s">
        <v>11042</v>
      </c>
      <c r="AZ2985" t="s">
        <v>11334</v>
      </c>
      <c r="BA2985">
        <v>1.83</v>
      </c>
      <c r="BB2985">
        <v>3244.47</v>
      </c>
      <c r="BC2985">
        <v>0.6</v>
      </c>
      <c r="BD2985">
        <v>1208.24</v>
      </c>
      <c r="BE2985">
        <v>1213.56</v>
      </c>
      <c r="BF2985">
        <v>1200</v>
      </c>
      <c r="BG2985" t="s">
        <v>26759</v>
      </c>
      <c r="BH2985" t="s">
        <v>11042</v>
      </c>
      <c r="BI2985" t="s">
        <v>26760</v>
      </c>
      <c r="BJ2985" t="s">
        <v>101</v>
      </c>
      <c r="BK2985" t="s">
        <v>11264</v>
      </c>
      <c r="BL2985" t="s">
        <v>16116</v>
      </c>
      <c r="BM2985" t="s">
        <v>24357</v>
      </c>
      <c r="BN2985" t="s">
        <v>23454</v>
      </c>
    </row>
    <row r="2986" spans="1:66" x14ac:dyDescent="0.25">
      <c r="A2986" t="str">
        <f>HYPERLINK("https://elite.finviz.com/quote.ashx?t=TRMB&amp;ty=c&amp;p=d&amp;b=1", "TRMB")</f>
        <v>TRMB</v>
      </c>
      <c r="B2986">
        <v>5</v>
      </c>
      <c r="C2986">
        <v>116.22</v>
      </c>
      <c r="D2986">
        <v>46.43</v>
      </c>
      <c r="E2986" t="s">
        <v>26761</v>
      </c>
      <c r="F2986" t="s">
        <v>195</v>
      </c>
      <c r="G2986" t="s">
        <v>108</v>
      </c>
      <c r="H2986" t="s">
        <v>9222</v>
      </c>
      <c r="I2986" t="s">
        <v>70</v>
      </c>
      <c r="J2986" t="s">
        <v>321</v>
      </c>
      <c r="K2986">
        <v>19083.93</v>
      </c>
      <c r="L2986">
        <v>80.19</v>
      </c>
      <c r="M2986" t="s">
        <v>439</v>
      </c>
      <c r="N2986">
        <v>156700</v>
      </c>
      <c r="O2986">
        <v>68.48</v>
      </c>
      <c r="P2986">
        <v>23.98</v>
      </c>
      <c r="Q2986">
        <v>6.55</v>
      </c>
      <c r="R2986">
        <v>5.34</v>
      </c>
      <c r="S2986">
        <v>3.36</v>
      </c>
      <c r="Z2986" t="s">
        <v>164</v>
      </c>
      <c r="AA2986">
        <v>1.17</v>
      </c>
      <c r="AB2986" t="s">
        <v>5665</v>
      </c>
      <c r="AC2986" t="s">
        <v>15950</v>
      </c>
      <c r="AD2986" t="s">
        <v>6122</v>
      </c>
      <c r="AE2986" t="s">
        <v>1904</v>
      </c>
      <c r="AF2986" t="s">
        <v>430</v>
      </c>
      <c r="AG2986" t="s">
        <v>4800</v>
      </c>
      <c r="AH2986" t="s">
        <v>6842</v>
      </c>
      <c r="AI2986" t="s">
        <v>562</v>
      </c>
      <c r="AJ2986" t="s">
        <v>26762</v>
      </c>
      <c r="AK2986" t="s">
        <v>17814</v>
      </c>
      <c r="AL2986">
        <v>0.94</v>
      </c>
      <c r="AM2986">
        <v>0.81</v>
      </c>
      <c r="AN2986">
        <v>0.27</v>
      </c>
      <c r="AO2986" t="s">
        <v>11071</v>
      </c>
      <c r="AP2986" t="s">
        <v>10611</v>
      </c>
      <c r="AQ2986" t="s">
        <v>7938</v>
      </c>
      <c r="AR2986" t="s">
        <v>679</v>
      </c>
      <c r="AS2986" t="s">
        <v>617</v>
      </c>
      <c r="AT2986" t="s">
        <v>8932</v>
      </c>
      <c r="AU2986" t="s">
        <v>8293</v>
      </c>
      <c r="AV2986" t="s">
        <v>5557</v>
      </c>
      <c r="AW2986" t="s">
        <v>14481</v>
      </c>
      <c r="AX2986" t="s">
        <v>2383</v>
      </c>
      <c r="AY2986" t="s">
        <v>14481</v>
      </c>
      <c r="AZ2986" t="s">
        <v>12343</v>
      </c>
      <c r="BA2986">
        <v>1.58</v>
      </c>
      <c r="BB2986">
        <v>1651.53</v>
      </c>
      <c r="BC2986">
        <v>0.33</v>
      </c>
      <c r="BD2986">
        <v>79.98</v>
      </c>
      <c r="BE2986">
        <v>80.790000000000006</v>
      </c>
      <c r="BF2986">
        <v>80.010000000000005</v>
      </c>
      <c r="BG2986" t="s">
        <v>26763</v>
      </c>
      <c r="BH2986" t="s">
        <v>24241</v>
      </c>
      <c r="BI2986" t="s">
        <v>26764</v>
      </c>
      <c r="BJ2986" t="s">
        <v>101</v>
      </c>
      <c r="BK2986" t="s">
        <v>370</v>
      </c>
      <c r="BL2986" t="s">
        <v>4855</v>
      </c>
      <c r="BM2986" t="s">
        <v>26765</v>
      </c>
      <c r="BN2986" t="s">
        <v>23454</v>
      </c>
    </row>
    <row r="2987" spans="1:66" x14ac:dyDescent="0.25">
      <c r="A2987" t="str">
        <f>HYPERLINK("https://elite.finviz.com/quote.ashx?t=BAM&amp;ty=c&amp;p=d&amp;b=1", "BAM")</f>
        <v>BAM</v>
      </c>
      <c r="B2987">
        <v>5</v>
      </c>
      <c r="C2987">
        <v>116.22</v>
      </c>
      <c r="D2987">
        <v>46.47</v>
      </c>
      <c r="E2987" t="s">
        <v>26766</v>
      </c>
      <c r="F2987" t="s">
        <v>107</v>
      </c>
      <c r="G2987" t="s">
        <v>550</v>
      </c>
      <c r="H2987" t="s">
        <v>2597</v>
      </c>
      <c r="I2987" t="s">
        <v>70</v>
      </c>
      <c r="J2987" t="s">
        <v>71</v>
      </c>
      <c r="K2987">
        <v>94174.53</v>
      </c>
      <c r="L2987">
        <v>58.38</v>
      </c>
      <c r="M2987" t="s">
        <v>3463</v>
      </c>
      <c r="N2987">
        <v>412600</v>
      </c>
      <c r="O2987">
        <v>39.409999999999997</v>
      </c>
      <c r="P2987">
        <v>31.16</v>
      </c>
      <c r="Q2987">
        <v>2.63</v>
      </c>
      <c r="R2987">
        <v>38.270000000000003</v>
      </c>
      <c r="S2987">
        <v>11.28</v>
      </c>
      <c r="T2987" t="s">
        <v>304</v>
      </c>
      <c r="U2987">
        <v>1.69</v>
      </c>
      <c r="V2987" t="s">
        <v>4882</v>
      </c>
      <c r="W2987" t="s">
        <v>7663</v>
      </c>
      <c r="Z2987" t="s">
        <v>21873</v>
      </c>
      <c r="AA2987">
        <v>1.48</v>
      </c>
      <c r="AB2987" t="s">
        <v>23660</v>
      </c>
      <c r="AD2987" t="s">
        <v>3734</v>
      </c>
      <c r="AE2987" t="s">
        <v>26767</v>
      </c>
      <c r="AF2987" t="s">
        <v>4605</v>
      </c>
      <c r="AH2987" t="s">
        <v>26768</v>
      </c>
      <c r="AI2987" t="s">
        <v>600</v>
      </c>
      <c r="AJ2987" t="s">
        <v>164</v>
      </c>
      <c r="AK2987" t="s">
        <v>7254</v>
      </c>
      <c r="AL2987">
        <v>1.1399999999999999</v>
      </c>
      <c r="AM2987">
        <v>1.1399999999999999</v>
      </c>
      <c r="AN2987">
        <v>0.26</v>
      </c>
      <c r="AO2987" t="s">
        <v>13053</v>
      </c>
      <c r="AP2987" t="s">
        <v>19606</v>
      </c>
      <c r="AQ2987" t="s">
        <v>13528</v>
      </c>
      <c r="AR2987" t="s">
        <v>1391</v>
      </c>
      <c r="AS2987" t="s">
        <v>248</v>
      </c>
      <c r="AT2987" t="s">
        <v>4191</v>
      </c>
      <c r="AU2987" t="s">
        <v>10774</v>
      </c>
      <c r="AV2987" t="s">
        <v>6936</v>
      </c>
      <c r="AW2987" t="s">
        <v>11264</v>
      </c>
      <c r="AX2987" t="s">
        <v>3496</v>
      </c>
      <c r="AY2987" t="s">
        <v>11264</v>
      </c>
      <c r="AZ2987" t="s">
        <v>15291</v>
      </c>
      <c r="BA2987">
        <v>2.44</v>
      </c>
      <c r="BB2987">
        <v>2261.9299999999998</v>
      </c>
      <c r="BC2987">
        <v>0.64</v>
      </c>
      <c r="BD2987">
        <v>58.01</v>
      </c>
      <c r="BE2987">
        <v>58.98</v>
      </c>
      <c r="BF2987">
        <v>58.33</v>
      </c>
      <c r="BG2987" t="s">
        <v>26769</v>
      </c>
      <c r="BH2987" t="s">
        <v>11264</v>
      </c>
      <c r="BI2987" t="s">
        <v>12353</v>
      </c>
      <c r="BJ2987" t="s">
        <v>101</v>
      </c>
      <c r="BK2987" t="s">
        <v>3204</v>
      </c>
      <c r="BL2987" t="s">
        <v>7477</v>
      </c>
      <c r="BM2987" t="s">
        <v>3899</v>
      </c>
      <c r="BN2987" t="s">
        <v>23454</v>
      </c>
    </row>
    <row r="2988" spans="1:66" x14ac:dyDescent="0.25">
      <c r="A2988" t="str">
        <f>HYPERLINK("https://elite.finviz.com/quote.ashx?t=RNA&amp;ty=c&amp;p=d&amp;b=1", "RNA")</f>
        <v>RNA</v>
      </c>
      <c r="B2988">
        <v>5</v>
      </c>
      <c r="C2988">
        <v>116.22</v>
      </c>
      <c r="D2988">
        <v>46.47</v>
      </c>
      <c r="E2988" t="s">
        <v>26770</v>
      </c>
      <c r="F2988" t="s">
        <v>67</v>
      </c>
      <c r="G2988" t="s">
        <v>428</v>
      </c>
      <c r="H2988" t="s">
        <v>429</v>
      </c>
      <c r="I2988" t="s">
        <v>70</v>
      </c>
      <c r="J2988" t="s">
        <v>321</v>
      </c>
      <c r="K2988">
        <v>6082.71</v>
      </c>
      <c r="L2988">
        <v>41.69</v>
      </c>
      <c r="M2988" t="s">
        <v>2421</v>
      </c>
      <c r="N2988">
        <v>324573</v>
      </c>
      <c r="R2988">
        <v>566.89</v>
      </c>
      <c r="S2988">
        <v>4.22</v>
      </c>
      <c r="AA2988">
        <v>-3.56</v>
      </c>
      <c r="AB2988" t="s">
        <v>2426</v>
      </c>
      <c r="AC2988" t="s">
        <v>17312</v>
      </c>
      <c r="AD2988" t="s">
        <v>3102</v>
      </c>
      <c r="AE2988" t="s">
        <v>343</v>
      </c>
      <c r="AF2988" t="s">
        <v>3066</v>
      </c>
      <c r="AG2988" t="s">
        <v>5977</v>
      </c>
      <c r="AH2988" t="s">
        <v>21337</v>
      </c>
      <c r="AI2988" t="s">
        <v>23262</v>
      </c>
      <c r="AJ2988" t="s">
        <v>9672</v>
      </c>
      <c r="AK2988" t="s">
        <v>17880</v>
      </c>
      <c r="AL2988">
        <v>9.26</v>
      </c>
      <c r="AM2988">
        <v>9.26</v>
      </c>
      <c r="AN2988">
        <v>0</v>
      </c>
      <c r="AO2988" t="s">
        <v>3632</v>
      </c>
      <c r="AP2988" t="s">
        <v>26771</v>
      </c>
      <c r="AQ2988" t="s">
        <v>26772</v>
      </c>
      <c r="AR2988" t="s">
        <v>4172</v>
      </c>
      <c r="AS2988" t="s">
        <v>8925</v>
      </c>
      <c r="AT2988" t="s">
        <v>5578</v>
      </c>
      <c r="AU2988" t="s">
        <v>10581</v>
      </c>
      <c r="AV2988" t="s">
        <v>1687</v>
      </c>
      <c r="AW2988" t="s">
        <v>19132</v>
      </c>
      <c r="AX2988" t="s">
        <v>11684</v>
      </c>
      <c r="AY2988" t="s">
        <v>24173</v>
      </c>
      <c r="AZ2988" t="s">
        <v>26773</v>
      </c>
      <c r="BA2988">
        <v>1.1100000000000001</v>
      </c>
      <c r="BB2988">
        <v>3253.45</v>
      </c>
      <c r="BC2988">
        <v>0.35</v>
      </c>
      <c r="BD2988">
        <v>40.840000000000003</v>
      </c>
      <c r="BE2988">
        <v>41.92</v>
      </c>
      <c r="BF2988">
        <v>40.700000000000003</v>
      </c>
      <c r="BG2988" t="s">
        <v>26774</v>
      </c>
      <c r="BH2988" t="s">
        <v>24173</v>
      </c>
      <c r="BI2988" t="s">
        <v>26775</v>
      </c>
      <c r="BJ2988" t="s">
        <v>101</v>
      </c>
      <c r="BK2988" t="s">
        <v>26776</v>
      </c>
      <c r="BL2988" t="s">
        <v>5694</v>
      </c>
      <c r="BM2988" t="s">
        <v>7621</v>
      </c>
      <c r="BN2988" t="s">
        <v>23454</v>
      </c>
    </row>
    <row r="2989" spans="1:66" x14ac:dyDescent="0.25">
      <c r="A2989" t="str">
        <f>HYPERLINK("https://elite.finviz.com/quote.ashx?t=HCWB&amp;ty=c&amp;p=d&amp;b=1", "HCWB")</f>
        <v>HCWB</v>
      </c>
      <c r="B2989">
        <v>5</v>
      </c>
      <c r="C2989">
        <v>116.22</v>
      </c>
      <c r="D2989">
        <v>46.55</v>
      </c>
      <c r="E2989" t="s">
        <v>26777</v>
      </c>
      <c r="F2989" t="s">
        <v>107</v>
      </c>
      <c r="G2989" t="s">
        <v>428</v>
      </c>
      <c r="H2989" t="s">
        <v>429</v>
      </c>
      <c r="I2989" t="s">
        <v>70</v>
      </c>
      <c r="J2989" t="s">
        <v>321</v>
      </c>
      <c r="K2989">
        <v>8.74</v>
      </c>
      <c r="L2989">
        <v>4.0599999999999996</v>
      </c>
      <c r="M2989" t="s">
        <v>4273</v>
      </c>
      <c r="N2989">
        <v>3428</v>
      </c>
      <c r="R2989">
        <v>10.53</v>
      </c>
      <c r="AA2989">
        <v>-16.07</v>
      </c>
      <c r="AB2989" t="s">
        <v>11603</v>
      </c>
      <c r="AC2989" t="s">
        <v>15470</v>
      </c>
      <c r="AD2989" t="s">
        <v>10100</v>
      </c>
      <c r="AE2989" t="s">
        <v>9353</v>
      </c>
      <c r="AH2989" t="s">
        <v>26778</v>
      </c>
      <c r="AI2989" t="s">
        <v>26779</v>
      </c>
      <c r="AJ2989" t="s">
        <v>26780</v>
      </c>
      <c r="AK2989" t="s">
        <v>1457</v>
      </c>
      <c r="AL2989">
        <v>0.11</v>
      </c>
      <c r="AM2989">
        <v>0.11</v>
      </c>
      <c r="AO2989" t="s">
        <v>26781</v>
      </c>
      <c r="AP2989" t="s">
        <v>26782</v>
      </c>
      <c r="AQ2989" t="s">
        <v>26783</v>
      </c>
      <c r="AR2989" t="s">
        <v>1160</v>
      </c>
      <c r="AS2989" t="s">
        <v>4565</v>
      </c>
      <c r="AT2989" t="s">
        <v>4174</v>
      </c>
      <c r="AU2989" t="s">
        <v>1164</v>
      </c>
      <c r="AV2989" t="s">
        <v>26784</v>
      </c>
      <c r="AW2989" t="s">
        <v>24433</v>
      </c>
      <c r="AX2989" t="s">
        <v>12797</v>
      </c>
      <c r="AY2989" t="s">
        <v>26785</v>
      </c>
      <c r="AZ2989" t="s">
        <v>12797</v>
      </c>
      <c r="BA2989">
        <v>1</v>
      </c>
      <c r="BB2989">
        <v>1928.37</v>
      </c>
      <c r="BC2989">
        <v>0.01</v>
      </c>
      <c r="BD2989">
        <v>4.08</v>
      </c>
      <c r="BE2989">
        <v>4.09</v>
      </c>
      <c r="BF2989">
        <v>4.01</v>
      </c>
      <c r="BG2989" t="s">
        <v>26786</v>
      </c>
      <c r="BH2989" t="s">
        <v>26787</v>
      </c>
      <c r="BI2989" t="s">
        <v>12797</v>
      </c>
      <c r="BJ2989" t="s">
        <v>101</v>
      </c>
      <c r="BK2989" t="s">
        <v>15856</v>
      </c>
      <c r="BL2989" t="s">
        <v>16030</v>
      </c>
      <c r="BM2989" t="s">
        <v>26788</v>
      </c>
      <c r="BN2989" t="s">
        <v>23454</v>
      </c>
    </row>
    <row r="2990" spans="1:66" x14ac:dyDescent="0.25">
      <c r="A2990" t="str">
        <f>HYPERLINK("https://elite.finviz.com/quote.ashx?t=BBBY&amp;ty=c&amp;p=d&amp;b=1", "BBBY")</f>
        <v>BBBY</v>
      </c>
      <c r="B2990">
        <v>5</v>
      </c>
      <c r="C2990">
        <v>116.22</v>
      </c>
      <c r="D2990">
        <v>46.56</v>
      </c>
      <c r="E2990" t="s">
        <v>26789</v>
      </c>
      <c r="F2990" t="s">
        <v>67</v>
      </c>
      <c r="G2990" t="s">
        <v>813</v>
      </c>
      <c r="H2990" t="s">
        <v>4388</v>
      </c>
      <c r="I2990" t="s">
        <v>70</v>
      </c>
      <c r="J2990" t="s">
        <v>71</v>
      </c>
      <c r="K2990">
        <v>526.41</v>
      </c>
      <c r="L2990">
        <v>9.17</v>
      </c>
      <c r="M2990" t="s">
        <v>84</v>
      </c>
      <c r="N2990">
        <v>365879</v>
      </c>
      <c r="R2990">
        <v>0.47</v>
      </c>
      <c r="S2990">
        <v>4.0199999999999996</v>
      </c>
      <c r="V2990" t="s">
        <v>26790</v>
      </c>
      <c r="AA2990">
        <v>-4.07</v>
      </c>
      <c r="AC2990" t="s">
        <v>8829</v>
      </c>
      <c r="AD2990" t="s">
        <v>4663</v>
      </c>
      <c r="AE2990" t="s">
        <v>15932</v>
      </c>
      <c r="AF2990" t="s">
        <v>26485</v>
      </c>
      <c r="AG2990" t="s">
        <v>110</v>
      </c>
      <c r="AH2990" t="s">
        <v>14750</v>
      </c>
      <c r="AI2990" t="s">
        <v>247</v>
      </c>
      <c r="AJ2990" t="s">
        <v>2760</v>
      </c>
      <c r="AK2990" t="s">
        <v>11126</v>
      </c>
      <c r="AL2990">
        <v>0.91</v>
      </c>
      <c r="AM2990">
        <v>0.87</v>
      </c>
      <c r="AN2990">
        <v>0.19</v>
      </c>
      <c r="AO2990" t="s">
        <v>5556</v>
      </c>
      <c r="AP2990" t="s">
        <v>4919</v>
      </c>
      <c r="AQ2990" t="s">
        <v>26491</v>
      </c>
      <c r="AR2990" t="s">
        <v>4254</v>
      </c>
      <c r="AS2990" t="s">
        <v>296</v>
      </c>
      <c r="AT2990" t="s">
        <v>5639</v>
      </c>
      <c r="AU2990" t="s">
        <v>5120</v>
      </c>
      <c r="AV2990" t="s">
        <v>7465</v>
      </c>
      <c r="AW2990" t="s">
        <v>13265</v>
      </c>
      <c r="AX2990" t="s">
        <v>5326</v>
      </c>
      <c r="AY2990" t="s">
        <v>13265</v>
      </c>
      <c r="AZ2990" t="s">
        <v>8007</v>
      </c>
      <c r="BA2990">
        <v>2.33</v>
      </c>
      <c r="BB2990">
        <v>2992.52</v>
      </c>
      <c r="BC2990">
        <v>0.43</v>
      </c>
      <c r="BD2990">
        <v>9.1</v>
      </c>
      <c r="BE2990">
        <v>9.3800000000000008</v>
      </c>
      <c r="BF2990">
        <v>8.93</v>
      </c>
      <c r="BG2990" t="s">
        <v>26791</v>
      </c>
      <c r="BH2990" t="s">
        <v>26792</v>
      </c>
      <c r="BI2990" t="s">
        <v>26793</v>
      </c>
      <c r="BJ2990" t="s">
        <v>101</v>
      </c>
      <c r="BK2990" t="s">
        <v>26794</v>
      </c>
      <c r="BL2990" t="s">
        <v>26795</v>
      </c>
      <c r="BM2990" t="s">
        <v>12528</v>
      </c>
      <c r="BN2990" t="s">
        <v>23454</v>
      </c>
    </row>
    <row r="2991" spans="1:66" x14ac:dyDescent="0.25">
      <c r="A2991" t="str">
        <f>HYPERLINK("https://elite.finviz.com/quote.ashx?t=INMB&amp;ty=c&amp;p=d&amp;b=1", "INMB")</f>
        <v>INMB</v>
      </c>
      <c r="B2991">
        <v>5</v>
      </c>
      <c r="C2991">
        <v>116.22</v>
      </c>
      <c r="D2991">
        <v>46.56</v>
      </c>
      <c r="E2991" t="s">
        <v>26796</v>
      </c>
      <c r="F2991" t="s">
        <v>67</v>
      </c>
      <c r="G2991" t="s">
        <v>428</v>
      </c>
      <c r="H2991" t="s">
        <v>429</v>
      </c>
      <c r="I2991" t="s">
        <v>70</v>
      </c>
      <c r="J2991" t="s">
        <v>321</v>
      </c>
      <c r="K2991">
        <v>54.24</v>
      </c>
      <c r="L2991">
        <v>2.04</v>
      </c>
      <c r="M2991" t="s">
        <v>1657</v>
      </c>
      <c r="N2991">
        <v>74513</v>
      </c>
      <c r="R2991">
        <v>1084.72</v>
      </c>
      <c r="S2991">
        <v>1.88</v>
      </c>
      <c r="AA2991">
        <v>-2.5</v>
      </c>
      <c r="AB2991" t="s">
        <v>6739</v>
      </c>
      <c r="AC2991" t="s">
        <v>26256</v>
      </c>
      <c r="AD2991" t="s">
        <v>1581</v>
      </c>
      <c r="AE2991" t="s">
        <v>26797</v>
      </c>
      <c r="AF2991" t="s">
        <v>26798</v>
      </c>
      <c r="AI2991" t="s">
        <v>26799</v>
      </c>
      <c r="AJ2991" t="s">
        <v>164</v>
      </c>
      <c r="AK2991" t="s">
        <v>7601</v>
      </c>
      <c r="AL2991">
        <v>4.2</v>
      </c>
      <c r="AM2991">
        <v>4.2</v>
      </c>
      <c r="AN2991">
        <v>0.02</v>
      </c>
      <c r="AP2991" t="s">
        <v>26800</v>
      </c>
      <c r="AQ2991" t="s">
        <v>26801</v>
      </c>
      <c r="AR2991" t="s">
        <v>2585</v>
      </c>
      <c r="AS2991" t="s">
        <v>6674</v>
      </c>
      <c r="AT2991" t="s">
        <v>2107</v>
      </c>
      <c r="AU2991" t="s">
        <v>5123</v>
      </c>
      <c r="AV2991" t="s">
        <v>26802</v>
      </c>
      <c r="AW2991" t="s">
        <v>18925</v>
      </c>
      <c r="AX2991" t="s">
        <v>758</v>
      </c>
      <c r="AY2991" t="s">
        <v>26803</v>
      </c>
      <c r="AZ2991" t="s">
        <v>758</v>
      </c>
      <c r="BA2991">
        <v>2</v>
      </c>
      <c r="BB2991">
        <v>3381.85</v>
      </c>
      <c r="BC2991">
        <v>0.08</v>
      </c>
      <c r="BD2991">
        <v>2.0299999999999998</v>
      </c>
      <c r="BE2991">
        <v>2.08</v>
      </c>
      <c r="BF2991">
        <v>2.0099999999999998</v>
      </c>
      <c r="BG2991" t="s">
        <v>26804</v>
      </c>
      <c r="BH2991" t="s">
        <v>26805</v>
      </c>
      <c r="BI2991" t="s">
        <v>758</v>
      </c>
      <c r="BJ2991" t="s">
        <v>101</v>
      </c>
      <c r="BK2991" t="s">
        <v>26806</v>
      </c>
      <c r="BL2991" t="s">
        <v>26807</v>
      </c>
      <c r="BM2991" t="s">
        <v>15152</v>
      </c>
      <c r="BN2991" t="s">
        <v>23454</v>
      </c>
    </row>
    <row r="2992" spans="1:66" x14ac:dyDescent="0.25">
      <c r="A2992" t="str">
        <f>HYPERLINK("https://elite.finviz.com/quote.ashx?t=COO&amp;ty=c&amp;p=d&amp;b=1", "COO")</f>
        <v>COO</v>
      </c>
      <c r="B2992">
        <v>5</v>
      </c>
      <c r="C2992">
        <v>116.22</v>
      </c>
      <c r="D2992">
        <v>46.56</v>
      </c>
      <c r="E2992" t="s">
        <v>26808</v>
      </c>
      <c r="F2992" t="s">
        <v>195</v>
      </c>
      <c r="G2992" t="s">
        <v>428</v>
      </c>
      <c r="H2992" t="s">
        <v>2161</v>
      </c>
      <c r="I2992" t="s">
        <v>70</v>
      </c>
      <c r="J2992" t="s">
        <v>321</v>
      </c>
      <c r="K2992">
        <v>13395.15</v>
      </c>
      <c r="L2992">
        <v>67.38</v>
      </c>
      <c r="M2992" t="s">
        <v>5036</v>
      </c>
      <c r="N2992">
        <v>494234</v>
      </c>
      <c r="O2992">
        <v>33.17</v>
      </c>
      <c r="P2992">
        <v>15.28</v>
      </c>
      <c r="Q2992">
        <v>3.53</v>
      </c>
      <c r="R2992">
        <v>3.31</v>
      </c>
      <c r="S2992">
        <v>1.6</v>
      </c>
      <c r="T2992" t="s">
        <v>2215</v>
      </c>
      <c r="V2992" t="s">
        <v>26809</v>
      </c>
      <c r="Z2992" t="s">
        <v>164</v>
      </c>
      <c r="AA2992">
        <v>2.0299999999999998</v>
      </c>
      <c r="AB2992" t="s">
        <v>26810</v>
      </c>
      <c r="AC2992" t="s">
        <v>1779</v>
      </c>
      <c r="AD2992" t="s">
        <v>684</v>
      </c>
      <c r="AE2992" t="s">
        <v>713</v>
      </c>
      <c r="AF2992" t="s">
        <v>7232</v>
      </c>
      <c r="AG2992" t="s">
        <v>10425</v>
      </c>
      <c r="AH2992" t="s">
        <v>4641</v>
      </c>
      <c r="AI2992" t="s">
        <v>5187</v>
      </c>
      <c r="AJ2992" t="s">
        <v>343</v>
      </c>
      <c r="AK2992" t="s">
        <v>26811</v>
      </c>
      <c r="AL2992">
        <v>2.12</v>
      </c>
      <c r="AM2992">
        <v>1.24</v>
      </c>
      <c r="AN2992">
        <v>0.3</v>
      </c>
      <c r="AO2992" t="s">
        <v>26812</v>
      </c>
      <c r="AP2992" t="s">
        <v>7776</v>
      </c>
      <c r="AQ2992" t="s">
        <v>3491</v>
      </c>
      <c r="AR2992" t="s">
        <v>4800</v>
      </c>
      <c r="AS2992" t="s">
        <v>465</v>
      </c>
      <c r="AT2992" t="s">
        <v>6182</v>
      </c>
      <c r="AU2992" t="s">
        <v>5621</v>
      </c>
      <c r="AV2992" t="s">
        <v>6688</v>
      </c>
      <c r="AW2992" t="s">
        <v>10240</v>
      </c>
      <c r="AX2992" t="s">
        <v>2093</v>
      </c>
      <c r="AY2992" t="s">
        <v>2874</v>
      </c>
      <c r="AZ2992" t="s">
        <v>2093</v>
      </c>
      <c r="BA2992">
        <v>1.79</v>
      </c>
      <c r="BB2992">
        <v>2690.35</v>
      </c>
      <c r="BC2992">
        <v>0.65</v>
      </c>
      <c r="BD2992">
        <v>66.89</v>
      </c>
      <c r="BE2992">
        <v>67.55</v>
      </c>
      <c r="BF2992">
        <v>66.59</v>
      </c>
      <c r="BG2992" t="s">
        <v>26813</v>
      </c>
      <c r="BH2992" t="s">
        <v>368</v>
      </c>
      <c r="BI2992" t="s">
        <v>26814</v>
      </c>
      <c r="BJ2992" t="s">
        <v>101</v>
      </c>
      <c r="BK2992" t="s">
        <v>3704</v>
      </c>
      <c r="BL2992" t="s">
        <v>9976</v>
      </c>
      <c r="BM2992" t="s">
        <v>14246</v>
      </c>
      <c r="BN2992" t="s">
        <v>23454</v>
      </c>
    </row>
    <row r="2993" spans="1:66" x14ac:dyDescent="0.25">
      <c r="A2993" t="str">
        <f>HYPERLINK("https://elite.finviz.com/quote.ashx?t=CRBG&amp;ty=c&amp;p=d&amp;b=1", "CRBG")</f>
        <v>CRBG</v>
      </c>
      <c r="B2993">
        <v>5</v>
      </c>
      <c r="C2993">
        <v>116.22</v>
      </c>
      <c r="D2993">
        <v>46.61</v>
      </c>
      <c r="E2993" t="s">
        <v>26815</v>
      </c>
      <c r="F2993" t="s">
        <v>107</v>
      </c>
      <c r="G2993" t="s">
        <v>550</v>
      </c>
      <c r="H2993" t="s">
        <v>2597</v>
      </c>
      <c r="I2993" t="s">
        <v>70</v>
      </c>
      <c r="J2993" t="s">
        <v>71</v>
      </c>
      <c r="K2993">
        <v>17761.77</v>
      </c>
      <c r="L2993">
        <v>32.99</v>
      </c>
      <c r="M2993" t="s">
        <v>1488</v>
      </c>
      <c r="N2993">
        <v>305556</v>
      </c>
      <c r="P2993">
        <v>5.9</v>
      </c>
      <c r="R2993">
        <v>1.18</v>
      </c>
      <c r="S2993">
        <v>1.46</v>
      </c>
      <c r="T2993" t="s">
        <v>4687</v>
      </c>
      <c r="U2993">
        <v>0.95</v>
      </c>
      <c r="V2993" t="s">
        <v>5925</v>
      </c>
      <c r="W2993" t="s">
        <v>164</v>
      </c>
      <c r="Z2993" t="s">
        <v>1737</v>
      </c>
      <c r="AA2993">
        <v>-0.54</v>
      </c>
      <c r="AB2993" t="s">
        <v>22890</v>
      </c>
      <c r="AC2993" t="s">
        <v>26816</v>
      </c>
      <c r="AD2993" t="s">
        <v>6532</v>
      </c>
      <c r="AE2993" t="s">
        <v>4820</v>
      </c>
      <c r="AF2993" t="s">
        <v>3232</v>
      </c>
      <c r="AG2993" t="s">
        <v>1889</v>
      </c>
      <c r="AH2993" t="s">
        <v>1817</v>
      </c>
      <c r="AI2993" t="s">
        <v>7283</v>
      </c>
      <c r="AJ2993" t="s">
        <v>20046</v>
      </c>
      <c r="AK2993" t="s">
        <v>26817</v>
      </c>
      <c r="AL2993">
        <v>0.43</v>
      </c>
      <c r="AN2993">
        <v>0.92</v>
      </c>
      <c r="AP2993" t="s">
        <v>465</v>
      </c>
      <c r="AQ2993" t="s">
        <v>6640</v>
      </c>
      <c r="AR2993" t="s">
        <v>4891</v>
      </c>
      <c r="AS2993" t="s">
        <v>2868</v>
      </c>
      <c r="AT2993" t="s">
        <v>3495</v>
      </c>
      <c r="AU2993" t="s">
        <v>7907</v>
      </c>
      <c r="AV2993" t="s">
        <v>3118</v>
      </c>
      <c r="AW2993" t="s">
        <v>1884</v>
      </c>
      <c r="AX2993" t="s">
        <v>2232</v>
      </c>
      <c r="AY2993" t="s">
        <v>1884</v>
      </c>
      <c r="AZ2993" t="s">
        <v>26818</v>
      </c>
      <c r="BA2993">
        <v>1.56</v>
      </c>
      <c r="BB2993">
        <v>3678.85</v>
      </c>
      <c r="BC2993">
        <v>0.28999999999999998</v>
      </c>
      <c r="BD2993">
        <v>32.61</v>
      </c>
      <c r="BE2993">
        <v>33.32</v>
      </c>
      <c r="BF2993">
        <v>32.909999999999997</v>
      </c>
      <c r="BG2993" t="s">
        <v>26819</v>
      </c>
      <c r="BH2993" t="s">
        <v>1884</v>
      </c>
      <c r="BI2993" t="s">
        <v>26820</v>
      </c>
      <c r="BJ2993" t="s">
        <v>101</v>
      </c>
      <c r="BK2993" t="s">
        <v>8073</v>
      </c>
      <c r="BL2993" t="s">
        <v>1761</v>
      </c>
      <c r="BM2993" t="s">
        <v>3815</v>
      </c>
      <c r="BN2993" t="s">
        <v>23454</v>
      </c>
    </row>
    <row r="2994" spans="1:66" x14ac:dyDescent="0.25">
      <c r="A2994" t="str">
        <f>HYPERLINK("https://elite.finviz.com/quote.ashx?t=CTAS&amp;ty=c&amp;p=d&amp;b=1", "CTAS")</f>
        <v>CTAS</v>
      </c>
      <c r="B2994">
        <v>5</v>
      </c>
      <c r="C2994">
        <v>116.22</v>
      </c>
      <c r="D2994">
        <v>46.62</v>
      </c>
      <c r="E2994" t="s">
        <v>26821</v>
      </c>
      <c r="F2994" t="s">
        <v>319</v>
      </c>
      <c r="G2994" t="s">
        <v>260</v>
      </c>
      <c r="H2994" t="s">
        <v>1077</v>
      </c>
      <c r="I2994" t="s">
        <v>70</v>
      </c>
      <c r="J2994" t="s">
        <v>321</v>
      </c>
      <c r="K2994">
        <v>82271.97</v>
      </c>
      <c r="L2994">
        <v>204.16</v>
      </c>
      <c r="M2994" t="s">
        <v>2610</v>
      </c>
      <c r="N2994">
        <v>415345</v>
      </c>
      <c r="O2994">
        <v>45.33</v>
      </c>
      <c r="P2994">
        <v>38.08</v>
      </c>
      <c r="Q2994">
        <v>4.3499999999999996</v>
      </c>
      <c r="R2994">
        <v>7.79</v>
      </c>
      <c r="S2994">
        <v>17.3</v>
      </c>
      <c r="T2994" t="s">
        <v>2734</v>
      </c>
      <c r="U2994">
        <v>1.62</v>
      </c>
      <c r="V2994" t="s">
        <v>3046</v>
      </c>
      <c r="W2994" t="s">
        <v>328</v>
      </c>
      <c r="X2994" t="s">
        <v>10809</v>
      </c>
      <c r="Y2994" t="s">
        <v>15580</v>
      </c>
      <c r="Z2994" t="s">
        <v>6933</v>
      </c>
      <c r="AA2994">
        <v>4.5</v>
      </c>
      <c r="AB2994" t="s">
        <v>5706</v>
      </c>
      <c r="AC2994" t="s">
        <v>7167</v>
      </c>
      <c r="AD2994" t="s">
        <v>6168</v>
      </c>
      <c r="AE2994" t="s">
        <v>6348</v>
      </c>
      <c r="AF2994" t="s">
        <v>2010</v>
      </c>
      <c r="AG2994" t="s">
        <v>4416</v>
      </c>
      <c r="AH2994" t="s">
        <v>191</v>
      </c>
      <c r="AI2994" t="s">
        <v>273</v>
      </c>
      <c r="AJ2994" t="s">
        <v>3752</v>
      </c>
      <c r="AK2994" t="s">
        <v>26822</v>
      </c>
      <c r="AL2994">
        <v>2.2400000000000002</v>
      </c>
      <c r="AM2994">
        <v>1.94</v>
      </c>
      <c r="AN2994">
        <v>0.56000000000000005</v>
      </c>
      <c r="AO2994" t="s">
        <v>24287</v>
      </c>
      <c r="AP2994" t="s">
        <v>9151</v>
      </c>
      <c r="AQ2994" t="s">
        <v>7618</v>
      </c>
      <c r="AR2994" t="s">
        <v>4255</v>
      </c>
      <c r="AS2994" t="s">
        <v>5084</v>
      </c>
      <c r="AT2994" t="s">
        <v>5036</v>
      </c>
      <c r="AU2994" t="s">
        <v>2969</v>
      </c>
      <c r="AV2994" t="s">
        <v>1863</v>
      </c>
      <c r="AW2994" t="s">
        <v>7054</v>
      </c>
      <c r="AX2994" t="s">
        <v>3951</v>
      </c>
      <c r="AY2994" t="s">
        <v>5491</v>
      </c>
      <c r="AZ2994" t="s">
        <v>9545</v>
      </c>
      <c r="BA2994">
        <v>2.57</v>
      </c>
      <c r="BB2994">
        <v>1757.45</v>
      </c>
      <c r="BC2994">
        <v>0.83</v>
      </c>
      <c r="BD2994">
        <v>202.05</v>
      </c>
      <c r="BE2994">
        <v>204.47</v>
      </c>
      <c r="BF2994">
        <v>201.54</v>
      </c>
      <c r="BG2994" t="s">
        <v>26823</v>
      </c>
      <c r="BH2994" t="s">
        <v>5491</v>
      </c>
      <c r="BI2994" t="s">
        <v>26824</v>
      </c>
      <c r="BJ2994" t="s">
        <v>101</v>
      </c>
      <c r="BK2994" t="s">
        <v>5138</v>
      </c>
      <c r="BL2994" t="s">
        <v>3113</v>
      </c>
      <c r="BM2994" t="s">
        <v>9925</v>
      </c>
      <c r="BN2994" t="s">
        <v>23454</v>
      </c>
    </row>
    <row r="2995" spans="1:66" x14ac:dyDescent="0.25">
      <c r="A2995" t="str">
        <f>HYPERLINK("https://elite.finviz.com/quote.ashx?t=ON&amp;ty=c&amp;p=d&amp;b=1", "ON")</f>
        <v>ON</v>
      </c>
      <c r="B2995">
        <v>5</v>
      </c>
      <c r="C2995">
        <v>116.22</v>
      </c>
      <c r="D2995">
        <v>46.71</v>
      </c>
      <c r="E2995" t="s">
        <v>26825</v>
      </c>
      <c r="F2995" t="s">
        <v>319</v>
      </c>
      <c r="G2995" t="s">
        <v>108</v>
      </c>
      <c r="H2995" t="s">
        <v>1808</v>
      </c>
      <c r="I2995" t="s">
        <v>70</v>
      </c>
      <c r="J2995" t="s">
        <v>321</v>
      </c>
      <c r="K2995">
        <v>20240.13</v>
      </c>
      <c r="L2995">
        <v>49.49</v>
      </c>
      <c r="M2995" t="s">
        <v>2103</v>
      </c>
      <c r="N2995">
        <v>1683763</v>
      </c>
      <c r="O2995">
        <v>46.17</v>
      </c>
      <c r="P2995">
        <v>16.920000000000002</v>
      </c>
      <c r="Q2995">
        <v>40.15</v>
      </c>
      <c r="R2995">
        <v>3.16</v>
      </c>
      <c r="S2995">
        <v>2.56</v>
      </c>
      <c r="Z2995" t="s">
        <v>164</v>
      </c>
      <c r="AA2995">
        <v>1.07</v>
      </c>
      <c r="AB2995" t="s">
        <v>7629</v>
      </c>
      <c r="AC2995" t="s">
        <v>12360</v>
      </c>
      <c r="AD2995" t="s">
        <v>1488</v>
      </c>
      <c r="AE2995" t="s">
        <v>16736</v>
      </c>
      <c r="AF2995" t="s">
        <v>2082</v>
      </c>
      <c r="AG2995" t="s">
        <v>1063</v>
      </c>
      <c r="AH2995" t="s">
        <v>11699</v>
      </c>
      <c r="AI2995" t="s">
        <v>386</v>
      </c>
      <c r="AJ2995" t="s">
        <v>3950</v>
      </c>
      <c r="AK2995" t="s">
        <v>26826</v>
      </c>
      <c r="AL2995">
        <v>5.0199999999999996</v>
      </c>
      <c r="AM2995">
        <v>3.37</v>
      </c>
      <c r="AN2995">
        <v>0.46</v>
      </c>
      <c r="AO2995" t="s">
        <v>9402</v>
      </c>
      <c r="AP2995" t="s">
        <v>3888</v>
      </c>
      <c r="AQ2995" t="s">
        <v>7970</v>
      </c>
      <c r="AR2995" t="s">
        <v>307</v>
      </c>
      <c r="AS2995" t="s">
        <v>3454</v>
      </c>
      <c r="AT2995" t="s">
        <v>1324</v>
      </c>
      <c r="AU2995" t="s">
        <v>944</v>
      </c>
      <c r="AV2995" t="s">
        <v>9075</v>
      </c>
      <c r="AW2995" t="s">
        <v>6394</v>
      </c>
      <c r="AX2995" t="s">
        <v>506</v>
      </c>
      <c r="AY2995" t="s">
        <v>26827</v>
      </c>
      <c r="AZ2995" t="s">
        <v>26828</v>
      </c>
      <c r="BA2995">
        <v>2.23</v>
      </c>
      <c r="BB2995">
        <v>8655.76</v>
      </c>
      <c r="BC2995">
        <v>0.69</v>
      </c>
      <c r="BD2995">
        <v>49.77</v>
      </c>
      <c r="BE2995">
        <v>50.1</v>
      </c>
      <c r="BF2995">
        <v>49.12</v>
      </c>
      <c r="BG2995" t="s">
        <v>26829</v>
      </c>
      <c r="BH2995" t="s">
        <v>26830</v>
      </c>
      <c r="BI2995" t="s">
        <v>26831</v>
      </c>
      <c r="BJ2995" t="s">
        <v>101</v>
      </c>
      <c r="BK2995" t="s">
        <v>2594</v>
      </c>
      <c r="BL2995" t="s">
        <v>3430</v>
      </c>
      <c r="BM2995" t="s">
        <v>6277</v>
      </c>
      <c r="BN2995" t="s">
        <v>23454</v>
      </c>
    </row>
    <row r="2996" spans="1:66" x14ac:dyDescent="0.25">
      <c r="A2996" t="str">
        <f>HYPERLINK("https://elite.finviz.com/quote.ashx?t=DNA&amp;ty=c&amp;p=d&amp;b=1", "DNA")</f>
        <v>DNA</v>
      </c>
      <c r="B2996">
        <v>5</v>
      </c>
      <c r="C2996">
        <v>116.22</v>
      </c>
      <c r="D2996">
        <v>46.76</v>
      </c>
      <c r="E2996" t="s">
        <v>26832</v>
      </c>
      <c r="F2996" t="s">
        <v>67</v>
      </c>
      <c r="G2996" t="s">
        <v>428</v>
      </c>
      <c r="H2996" t="s">
        <v>429</v>
      </c>
      <c r="I2996" t="s">
        <v>70</v>
      </c>
      <c r="J2996" t="s">
        <v>71</v>
      </c>
      <c r="K2996">
        <v>656.53</v>
      </c>
      <c r="L2996">
        <v>11.09</v>
      </c>
      <c r="M2996" t="s">
        <v>7089</v>
      </c>
      <c r="N2996">
        <v>277356</v>
      </c>
      <c r="R2996">
        <v>2.84</v>
      </c>
      <c r="S2996">
        <v>0.95</v>
      </c>
      <c r="AA2996">
        <v>-5.85</v>
      </c>
      <c r="AB2996" t="s">
        <v>15866</v>
      </c>
      <c r="AC2996" t="s">
        <v>16509</v>
      </c>
      <c r="AE2996" t="s">
        <v>23909</v>
      </c>
      <c r="AF2996" t="s">
        <v>10332</v>
      </c>
      <c r="AG2996" t="s">
        <v>11033</v>
      </c>
      <c r="AH2996" t="s">
        <v>15362</v>
      </c>
      <c r="AI2996" t="s">
        <v>6623</v>
      </c>
      <c r="AJ2996" t="s">
        <v>1998</v>
      </c>
      <c r="AK2996" t="s">
        <v>1891</v>
      </c>
      <c r="AL2996">
        <v>5.41</v>
      </c>
      <c r="AM2996">
        <v>5.41</v>
      </c>
      <c r="AN2996">
        <v>0.7</v>
      </c>
      <c r="AO2996" t="s">
        <v>11278</v>
      </c>
      <c r="AP2996" t="s">
        <v>26833</v>
      </c>
      <c r="AQ2996" t="s">
        <v>26834</v>
      </c>
      <c r="AR2996" t="s">
        <v>2515</v>
      </c>
      <c r="AS2996" t="s">
        <v>2193</v>
      </c>
      <c r="AT2996" t="s">
        <v>241</v>
      </c>
      <c r="AU2996" t="s">
        <v>7972</v>
      </c>
      <c r="AV2996" t="s">
        <v>8530</v>
      </c>
      <c r="AW2996" t="s">
        <v>11025</v>
      </c>
      <c r="AX2996" t="s">
        <v>2133</v>
      </c>
      <c r="AY2996" t="s">
        <v>26835</v>
      </c>
      <c r="AZ2996" t="s">
        <v>26836</v>
      </c>
      <c r="BA2996">
        <v>3.75</v>
      </c>
      <c r="BB2996">
        <v>1709.09</v>
      </c>
      <c r="BC2996">
        <v>0.56999999999999995</v>
      </c>
      <c r="BD2996">
        <v>11.25</v>
      </c>
      <c r="BE2996">
        <v>11.46</v>
      </c>
      <c r="BF2996">
        <v>11</v>
      </c>
      <c r="BG2996" t="s">
        <v>26837</v>
      </c>
      <c r="BH2996" t="s">
        <v>12443</v>
      </c>
      <c r="BI2996" t="s">
        <v>26836</v>
      </c>
      <c r="BJ2996" t="s">
        <v>101</v>
      </c>
      <c r="BK2996" t="s">
        <v>5564</v>
      </c>
      <c r="BL2996" t="s">
        <v>26838</v>
      </c>
      <c r="BM2996" t="s">
        <v>4157</v>
      </c>
      <c r="BN2996" t="s">
        <v>23454</v>
      </c>
    </row>
    <row r="2997" spans="1:66" x14ac:dyDescent="0.25">
      <c r="A2997" t="str">
        <f>HYPERLINK("https://elite.finviz.com/quote.ashx?t=LESL&amp;ty=c&amp;p=d&amp;b=1", "LESL")</f>
        <v>LESL</v>
      </c>
      <c r="B2997">
        <v>5</v>
      </c>
      <c r="C2997">
        <v>116.22</v>
      </c>
      <c r="D2997">
        <v>46.77</v>
      </c>
      <c r="E2997" t="s">
        <v>26839</v>
      </c>
      <c r="F2997" t="s">
        <v>107</v>
      </c>
      <c r="G2997" t="s">
        <v>813</v>
      </c>
      <c r="H2997" t="s">
        <v>2262</v>
      </c>
      <c r="I2997" t="s">
        <v>70</v>
      </c>
      <c r="J2997" t="s">
        <v>321</v>
      </c>
      <c r="K2997">
        <v>58.76</v>
      </c>
      <c r="L2997">
        <v>0.32</v>
      </c>
      <c r="M2997" t="s">
        <v>7193</v>
      </c>
      <c r="N2997">
        <v>532044</v>
      </c>
      <c r="R2997">
        <v>0.05</v>
      </c>
      <c r="AA2997">
        <v>-0.45</v>
      </c>
      <c r="AE2997" t="s">
        <v>10375</v>
      </c>
      <c r="AF2997" t="s">
        <v>386</v>
      </c>
      <c r="AG2997" t="s">
        <v>7236</v>
      </c>
      <c r="AH2997" t="s">
        <v>13806</v>
      </c>
      <c r="AI2997" t="s">
        <v>22500</v>
      </c>
      <c r="AJ2997" t="s">
        <v>3443</v>
      </c>
      <c r="AK2997" t="s">
        <v>26840</v>
      </c>
      <c r="AL2997">
        <v>1.47</v>
      </c>
      <c r="AM2997">
        <v>0.43</v>
      </c>
      <c r="AO2997" t="s">
        <v>11577</v>
      </c>
      <c r="AP2997" t="s">
        <v>1559</v>
      </c>
      <c r="AQ2997" t="s">
        <v>8262</v>
      </c>
      <c r="AR2997" t="s">
        <v>2786</v>
      </c>
      <c r="AS2997" t="s">
        <v>9478</v>
      </c>
      <c r="AT2997" t="s">
        <v>298</v>
      </c>
      <c r="AU2997" t="s">
        <v>5491</v>
      </c>
      <c r="AV2997" t="s">
        <v>26841</v>
      </c>
      <c r="AW2997" t="s">
        <v>26842</v>
      </c>
      <c r="AX2997" t="s">
        <v>10695</v>
      </c>
      <c r="AY2997" t="s">
        <v>13205</v>
      </c>
      <c r="AZ2997" t="s">
        <v>10695</v>
      </c>
      <c r="BA2997">
        <v>2.9</v>
      </c>
      <c r="BB2997">
        <v>3998.07</v>
      </c>
      <c r="BC2997">
        <v>0.47</v>
      </c>
      <c r="BD2997">
        <v>0.32</v>
      </c>
      <c r="BE2997">
        <v>0.33</v>
      </c>
      <c r="BF2997">
        <v>0.31</v>
      </c>
      <c r="BG2997" t="s">
        <v>26843</v>
      </c>
      <c r="BH2997" t="s">
        <v>2081</v>
      </c>
      <c r="BI2997" t="s">
        <v>10695</v>
      </c>
      <c r="BJ2997" t="s">
        <v>101</v>
      </c>
      <c r="BK2997" t="s">
        <v>26844</v>
      </c>
      <c r="BL2997" t="s">
        <v>26845</v>
      </c>
      <c r="BM2997" t="s">
        <v>26846</v>
      </c>
      <c r="BN2997" t="s">
        <v>23454</v>
      </c>
    </row>
    <row r="2998" spans="1:66" x14ac:dyDescent="0.25">
      <c r="A2998" t="str">
        <f>HYPERLINK("https://elite.finviz.com/quote.ashx?t=RSG&amp;ty=c&amp;p=d&amp;b=1", "RSG")</f>
        <v>RSG</v>
      </c>
      <c r="B2998">
        <v>5</v>
      </c>
      <c r="C2998">
        <v>116.22</v>
      </c>
      <c r="D2998">
        <v>46.79</v>
      </c>
      <c r="E2998" t="s">
        <v>26847</v>
      </c>
      <c r="F2998" t="s">
        <v>195</v>
      </c>
      <c r="G2998" t="s">
        <v>260</v>
      </c>
      <c r="H2998" t="s">
        <v>1573</v>
      </c>
      <c r="I2998" t="s">
        <v>70</v>
      </c>
      <c r="J2998" t="s">
        <v>71</v>
      </c>
      <c r="K2998">
        <v>71449.03</v>
      </c>
      <c r="L2998">
        <v>228.85</v>
      </c>
      <c r="M2998" t="s">
        <v>6117</v>
      </c>
      <c r="N2998">
        <v>187829</v>
      </c>
      <c r="O2998">
        <v>33.83</v>
      </c>
      <c r="P2998">
        <v>30.37</v>
      </c>
      <c r="Q2998">
        <v>3.81</v>
      </c>
      <c r="R2998">
        <v>4.37</v>
      </c>
      <c r="S2998">
        <v>5.93</v>
      </c>
      <c r="T2998" t="s">
        <v>3447</v>
      </c>
      <c r="U2998">
        <v>2.3199999999999998</v>
      </c>
      <c r="V2998" t="s">
        <v>5149</v>
      </c>
      <c r="W2998" t="s">
        <v>723</v>
      </c>
      <c r="X2998" t="s">
        <v>2446</v>
      </c>
      <c r="Y2998" t="s">
        <v>2816</v>
      </c>
      <c r="Z2998" t="s">
        <v>2576</v>
      </c>
      <c r="AA2998">
        <v>6.77</v>
      </c>
      <c r="AB2998" t="s">
        <v>8302</v>
      </c>
      <c r="AC2998" t="s">
        <v>1716</v>
      </c>
      <c r="AD2998" t="s">
        <v>660</v>
      </c>
      <c r="AE2998" t="s">
        <v>6404</v>
      </c>
      <c r="AF2998" t="s">
        <v>511</v>
      </c>
      <c r="AG2998" t="s">
        <v>9280</v>
      </c>
      <c r="AH2998" t="s">
        <v>4659</v>
      </c>
      <c r="AI2998" t="s">
        <v>6182</v>
      </c>
      <c r="AJ2998" t="s">
        <v>5242</v>
      </c>
      <c r="AK2998" t="s">
        <v>1747</v>
      </c>
      <c r="AL2998">
        <v>0.66</v>
      </c>
      <c r="AM2998">
        <v>0.63</v>
      </c>
      <c r="AN2998">
        <v>1.1000000000000001</v>
      </c>
      <c r="AO2998" t="s">
        <v>21792</v>
      </c>
      <c r="AP2998" t="s">
        <v>3735</v>
      </c>
      <c r="AQ2998" t="s">
        <v>1925</v>
      </c>
      <c r="AR2998" t="s">
        <v>581</v>
      </c>
      <c r="AS2998" t="s">
        <v>2509</v>
      </c>
      <c r="AT2998" t="s">
        <v>2745</v>
      </c>
      <c r="AU2998" t="s">
        <v>5365</v>
      </c>
      <c r="AV2998" t="s">
        <v>9618</v>
      </c>
      <c r="AW2998" t="s">
        <v>9704</v>
      </c>
      <c r="AX2998" t="s">
        <v>910</v>
      </c>
      <c r="AY2998" t="s">
        <v>10222</v>
      </c>
      <c r="AZ2998" t="s">
        <v>7477</v>
      </c>
      <c r="BA2998">
        <v>2.04</v>
      </c>
      <c r="BB2998">
        <v>1301.31</v>
      </c>
      <c r="BC2998">
        <v>0.51</v>
      </c>
      <c r="BD2998">
        <v>226.86</v>
      </c>
      <c r="BE2998">
        <v>230.66</v>
      </c>
      <c r="BF2998">
        <v>227.29</v>
      </c>
      <c r="BG2998" t="s">
        <v>26848</v>
      </c>
      <c r="BH2998" t="s">
        <v>10222</v>
      </c>
      <c r="BI2998" t="s">
        <v>26849</v>
      </c>
      <c r="BJ2998" t="s">
        <v>101</v>
      </c>
      <c r="BK2998" t="s">
        <v>5137</v>
      </c>
      <c r="BL2998" t="s">
        <v>4274</v>
      </c>
      <c r="BM2998" t="s">
        <v>3918</v>
      </c>
      <c r="BN2998" t="s">
        <v>23454</v>
      </c>
    </row>
    <row r="2999" spans="1:66" x14ac:dyDescent="0.25">
      <c r="A2999" t="str">
        <f>HYPERLINK("https://elite.finviz.com/quote.ashx?t=CDNS&amp;ty=c&amp;p=d&amp;b=1", "CDNS")</f>
        <v>CDNS</v>
      </c>
      <c r="B2999">
        <v>5</v>
      </c>
      <c r="C2999">
        <v>116.22</v>
      </c>
      <c r="D2999">
        <v>46.89</v>
      </c>
      <c r="E2999" t="s">
        <v>26850</v>
      </c>
      <c r="F2999" t="s">
        <v>319</v>
      </c>
      <c r="G2999" t="s">
        <v>108</v>
      </c>
      <c r="H2999" t="s">
        <v>136</v>
      </c>
      <c r="I2999" t="s">
        <v>70</v>
      </c>
      <c r="J2999" t="s">
        <v>321</v>
      </c>
      <c r="K2999">
        <v>94792.63</v>
      </c>
      <c r="L2999">
        <v>347.88</v>
      </c>
      <c r="M2999" t="s">
        <v>2374</v>
      </c>
      <c r="N2999">
        <v>254181</v>
      </c>
      <c r="O2999">
        <v>94.13</v>
      </c>
      <c r="P2999">
        <v>43.71</v>
      </c>
      <c r="Q2999">
        <v>6.07</v>
      </c>
      <c r="R2999">
        <v>18.63</v>
      </c>
      <c r="S2999">
        <v>18.93</v>
      </c>
      <c r="Z2999" t="s">
        <v>164</v>
      </c>
      <c r="AA2999">
        <v>3.7</v>
      </c>
      <c r="AB2999" t="s">
        <v>6875</v>
      </c>
      <c r="AC2999" t="s">
        <v>7338</v>
      </c>
      <c r="AD2999" t="s">
        <v>644</v>
      </c>
      <c r="AE2999" t="s">
        <v>12761</v>
      </c>
      <c r="AF2999" t="s">
        <v>7477</v>
      </c>
      <c r="AG2999" t="s">
        <v>5082</v>
      </c>
      <c r="AH2999" t="s">
        <v>6953</v>
      </c>
      <c r="AI2999" t="s">
        <v>1886</v>
      </c>
      <c r="AJ2999" t="s">
        <v>7689</v>
      </c>
      <c r="AK2999" t="s">
        <v>17173</v>
      </c>
      <c r="AL2999">
        <v>2.82</v>
      </c>
      <c r="AM2999">
        <v>2.67</v>
      </c>
      <c r="AN2999">
        <v>0.49</v>
      </c>
      <c r="AO2999" t="s">
        <v>1460</v>
      </c>
      <c r="AP2999" t="s">
        <v>24895</v>
      </c>
      <c r="AQ2999" t="s">
        <v>2907</v>
      </c>
      <c r="AR2999" t="s">
        <v>2640</v>
      </c>
      <c r="AS2999" t="s">
        <v>213</v>
      </c>
      <c r="AT2999" t="s">
        <v>11830</v>
      </c>
      <c r="AU2999" t="s">
        <v>1938</v>
      </c>
      <c r="AV2999" t="s">
        <v>1476</v>
      </c>
      <c r="AW2999" t="s">
        <v>5781</v>
      </c>
      <c r="AX2999" t="s">
        <v>1089</v>
      </c>
      <c r="AY2999" t="s">
        <v>5781</v>
      </c>
      <c r="AZ2999" t="s">
        <v>26851</v>
      </c>
      <c r="BA2999">
        <v>1.81</v>
      </c>
      <c r="BB2999">
        <v>1797.05</v>
      </c>
      <c r="BC2999">
        <v>0.5</v>
      </c>
      <c r="BD2999">
        <v>351.06</v>
      </c>
      <c r="BE2999">
        <v>351.09</v>
      </c>
      <c r="BF2999">
        <v>347.89</v>
      </c>
      <c r="BG2999" t="s">
        <v>26852</v>
      </c>
      <c r="BH2999" t="s">
        <v>5781</v>
      </c>
      <c r="BI2999" t="s">
        <v>26853</v>
      </c>
      <c r="BJ2999" t="s">
        <v>101</v>
      </c>
      <c r="BK2999" t="s">
        <v>4747</v>
      </c>
      <c r="BL2999" t="s">
        <v>2558</v>
      </c>
      <c r="BM2999" t="s">
        <v>8797</v>
      </c>
      <c r="BN2999" t="s">
        <v>23454</v>
      </c>
    </row>
    <row r="3000" spans="1:66" x14ac:dyDescent="0.25">
      <c r="A3000" t="str">
        <f>HYPERLINK("https://elite.finviz.com/quote.ashx?t=BHVN&amp;ty=c&amp;p=d&amp;b=1", "BHVN")</f>
        <v>BHVN</v>
      </c>
      <c r="B3000">
        <v>5</v>
      </c>
      <c r="C3000">
        <v>116.22</v>
      </c>
      <c r="D3000">
        <v>46.9</v>
      </c>
      <c r="E3000" t="s">
        <v>26854</v>
      </c>
      <c r="F3000" t="s">
        <v>67</v>
      </c>
      <c r="G3000" t="s">
        <v>428</v>
      </c>
      <c r="H3000" t="s">
        <v>429</v>
      </c>
      <c r="I3000" t="s">
        <v>70</v>
      </c>
      <c r="J3000" t="s">
        <v>71</v>
      </c>
      <c r="K3000">
        <v>1497.49</v>
      </c>
      <c r="L3000">
        <v>14.16</v>
      </c>
      <c r="M3000" t="s">
        <v>2582</v>
      </c>
      <c r="N3000">
        <v>415058</v>
      </c>
      <c r="S3000">
        <v>11.13</v>
      </c>
      <c r="AA3000">
        <v>-7.66</v>
      </c>
      <c r="AB3000" t="s">
        <v>2094</v>
      </c>
      <c r="AC3000" t="s">
        <v>17916</v>
      </c>
      <c r="AD3000" t="s">
        <v>15060</v>
      </c>
      <c r="AI3000" t="s">
        <v>4431</v>
      </c>
      <c r="AJ3000" t="s">
        <v>164</v>
      </c>
      <c r="AK3000" t="s">
        <v>26855</v>
      </c>
      <c r="AL3000">
        <v>3.82</v>
      </c>
      <c r="AM3000">
        <v>3.82</v>
      </c>
      <c r="AN3000">
        <v>2.17</v>
      </c>
      <c r="AR3000" t="s">
        <v>3229</v>
      </c>
      <c r="AS3000" t="s">
        <v>8460</v>
      </c>
      <c r="AT3000" t="s">
        <v>5356</v>
      </c>
      <c r="AU3000" t="s">
        <v>7907</v>
      </c>
      <c r="AV3000" t="s">
        <v>26856</v>
      </c>
      <c r="AW3000" t="s">
        <v>23149</v>
      </c>
      <c r="AX3000" t="s">
        <v>531</v>
      </c>
      <c r="AY3000" t="s">
        <v>5413</v>
      </c>
      <c r="AZ3000" t="s">
        <v>531</v>
      </c>
      <c r="BA3000">
        <v>1.22</v>
      </c>
      <c r="BB3000">
        <v>2131.1</v>
      </c>
      <c r="BC3000">
        <v>0.69</v>
      </c>
      <c r="BD3000">
        <v>13.82</v>
      </c>
      <c r="BE3000">
        <v>14.35</v>
      </c>
      <c r="BF3000">
        <v>13.66</v>
      </c>
      <c r="BG3000" t="s">
        <v>26857</v>
      </c>
      <c r="BH3000" t="s">
        <v>24079</v>
      </c>
      <c r="BI3000" t="s">
        <v>26858</v>
      </c>
      <c r="BJ3000" t="s">
        <v>101</v>
      </c>
      <c r="BK3000" t="s">
        <v>8228</v>
      </c>
      <c r="BL3000" t="s">
        <v>26859</v>
      </c>
      <c r="BM3000" t="s">
        <v>26860</v>
      </c>
      <c r="BN3000" t="s">
        <v>23454</v>
      </c>
    </row>
    <row r="3001" spans="1:66" x14ac:dyDescent="0.25">
      <c r="A3001" t="str">
        <f>HYPERLINK("https://elite.finviz.com/quote.ashx?t=BOX&amp;ty=c&amp;p=d&amp;b=1", "BOX")</f>
        <v>BOX</v>
      </c>
      <c r="B3001">
        <v>5</v>
      </c>
      <c r="C3001">
        <v>116.22</v>
      </c>
      <c r="D3001">
        <v>46.9</v>
      </c>
      <c r="E3001" t="s">
        <v>26861</v>
      </c>
      <c r="F3001" t="s">
        <v>67</v>
      </c>
      <c r="G3001" t="s">
        <v>108</v>
      </c>
      <c r="H3001" t="s">
        <v>109</v>
      </c>
      <c r="I3001" t="s">
        <v>70</v>
      </c>
      <c r="J3001" t="s">
        <v>71</v>
      </c>
      <c r="K3001">
        <v>4663.1499999999996</v>
      </c>
      <c r="L3001">
        <v>32.19</v>
      </c>
      <c r="M3001" t="s">
        <v>1445</v>
      </c>
      <c r="N3001">
        <v>234991</v>
      </c>
      <c r="O3001">
        <v>25.85</v>
      </c>
      <c r="P3001">
        <v>22.14</v>
      </c>
      <c r="R3001">
        <v>4.1399999999999997</v>
      </c>
      <c r="T3001" t="s">
        <v>2757</v>
      </c>
      <c r="Z3001" t="s">
        <v>164</v>
      </c>
      <c r="AA3001">
        <v>1.25</v>
      </c>
      <c r="AD3001" t="s">
        <v>4703</v>
      </c>
      <c r="AE3001" t="s">
        <v>336</v>
      </c>
      <c r="AF3001" t="s">
        <v>267</v>
      </c>
      <c r="AG3001" t="s">
        <v>3212</v>
      </c>
      <c r="AH3001" t="s">
        <v>10542</v>
      </c>
      <c r="AI3001" t="s">
        <v>3983</v>
      </c>
      <c r="AJ3001" t="s">
        <v>7582</v>
      </c>
      <c r="AK3001" t="s">
        <v>26862</v>
      </c>
      <c r="AL3001">
        <v>1.22</v>
      </c>
      <c r="AM3001">
        <v>1.22</v>
      </c>
      <c r="AN3001">
        <v>2.9</v>
      </c>
      <c r="AO3001" t="s">
        <v>24344</v>
      </c>
      <c r="AP3001" t="s">
        <v>7541</v>
      </c>
      <c r="AQ3001" t="s">
        <v>6694</v>
      </c>
      <c r="AR3001" t="s">
        <v>3494</v>
      </c>
      <c r="AS3001" t="s">
        <v>2868</v>
      </c>
      <c r="AT3001" t="s">
        <v>655</v>
      </c>
      <c r="AU3001" t="s">
        <v>4955</v>
      </c>
      <c r="AV3001" t="s">
        <v>5721</v>
      </c>
      <c r="AW3001" t="s">
        <v>3780</v>
      </c>
      <c r="AX3001" t="s">
        <v>3036</v>
      </c>
      <c r="AY3001" t="s">
        <v>9698</v>
      </c>
      <c r="AZ3001" t="s">
        <v>3774</v>
      </c>
      <c r="BA3001">
        <v>2.42</v>
      </c>
      <c r="BB3001">
        <v>1905.32</v>
      </c>
      <c r="BC3001">
        <v>0.43</v>
      </c>
      <c r="BD3001">
        <v>32.299999999999997</v>
      </c>
      <c r="BE3001">
        <v>32.35</v>
      </c>
      <c r="BF3001">
        <v>32</v>
      </c>
      <c r="BG3001" t="s">
        <v>26863</v>
      </c>
      <c r="BH3001" t="s">
        <v>9698</v>
      </c>
      <c r="BI3001" t="s">
        <v>26864</v>
      </c>
      <c r="BJ3001" t="s">
        <v>101</v>
      </c>
      <c r="BK3001" t="s">
        <v>15684</v>
      </c>
      <c r="BL3001" t="s">
        <v>3257</v>
      </c>
      <c r="BM3001" t="s">
        <v>7089</v>
      </c>
      <c r="BN3001" t="s">
        <v>23454</v>
      </c>
    </row>
    <row r="3002" spans="1:66" x14ac:dyDescent="0.25">
      <c r="A3002" t="str">
        <f>HYPERLINK("https://elite.finviz.com/quote.ashx?t=ADTN&amp;ty=c&amp;p=d&amp;b=1", "ADTN")</f>
        <v>ADTN</v>
      </c>
      <c r="B3002">
        <v>5</v>
      </c>
      <c r="C3002">
        <v>116.22</v>
      </c>
      <c r="D3002">
        <v>46.97</v>
      </c>
      <c r="E3002" t="s">
        <v>26865</v>
      </c>
      <c r="F3002" t="s">
        <v>67</v>
      </c>
      <c r="G3002" t="s">
        <v>108</v>
      </c>
      <c r="H3002" t="s">
        <v>1921</v>
      </c>
      <c r="I3002" t="s">
        <v>70</v>
      </c>
      <c r="J3002" t="s">
        <v>321</v>
      </c>
      <c r="K3002">
        <v>742.08</v>
      </c>
      <c r="L3002">
        <v>9.27</v>
      </c>
      <c r="M3002" t="s">
        <v>4065</v>
      </c>
      <c r="N3002">
        <v>207132</v>
      </c>
      <c r="P3002">
        <v>20.92</v>
      </c>
      <c r="R3002">
        <v>0.75</v>
      </c>
      <c r="S3002">
        <v>4.3600000000000003</v>
      </c>
      <c r="V3002" t="s">
        <v>26866</v>
      </c>
      <c r="AA3002">
        <v>-1.32</v>
      </c>
      <c r="AB3002" t="s">
        <v>26867</v>
      </c>
      <c r="AC3002" t="s">
        <v>26868</v>
      </c>
      <c r="AE3002" t="s">
        <v>2495</v>
      </c>
      <c r="AF3002" t="s">
        <v>3834</v>
      </c>
      <c r="AG3002" t="s">
        <v>13358</v>
      </c>
      <c r="AH3002" t="s">
        <v>11525</v>
      </c>
      <c r="AI3002" t="s">
        <v>579</v>
      </c>
      <c r="AJ3002" t="s">
        <v>164</v>
      </c>
      <c r="AK3002" t="s">
        <v>2908</v>
      </c>
      <c r="AL3002">
        <v>1.96</v>
      </c>
      <c r="AM3002">
        <v>1.19</v>
      </c>
      <c r="AN3002">
        <v>1.29</v>
      </c>
      <c r="AO3002" t="s">
        <v>6458</v>
      </c>
      <c r="AP3002" t="s">
        <v>2329</v>
      </c>
      <c r="AQ3002" t="s">
        <v>3941</v>
      </c>
      <c r="AR3002" t="s">
        <v>170</v>
      </c>
      <c r="AS3002" t="s">
        <v>5045</v>
      </c>
      <c r="AT3002" t="s">
        <v>10747</v>
      </c>
      <c r="AU3002" t="s">
        <v>1564</v>
      </c>
      <c r="AV3002" t="s">
        <v>4839</v>
      </c>
      <c r="AW3002" t="s">
        <v>9953</v>
      </c>
      <c r="AX3002" t="s">
        <v>6799</v>
      </c>
      <c r="AY3002" t="s">
        <v>4769</v>
      </c>
      <c r="AZ3002" t="s">
        <v>20334</v>
      </c>
      <c r="BA3002">
        <v>1.8</v>
      </c>
      <c r="BB3002">
        <v>1561.93</v>
      </c>
      <c r="BC3002">
        <v>0.47</v>
      </c>
      <c r="BD3002">
        <v>9.3699999999999992</v>
      </c>
      <c r="BE3002">
        <v>9.3800000000000008</v>
      </c>
      <c r="BF3002">
        <v>9.2200000000000006</v>
      </c>
      <c r="BG3002" t="s">
        <v>26869</v>
      </c>
      <c r="BH3002" t="s">
        <v>26870</v>
      </c>
      <c r="BI3002" t="s">
        <v>13740</v>
      </c>
      <c r="BJ3002" t="s">
        <v>101</v>
      </c>
      <c r="BK3002" t="s">
        <v>4744</v>
      </c>
      <c r="BL3002" t="s">
        <v>4901</v>
      </c>
      <c r="BM3002" t="s">
        <v>14880</v>
      </c>
      <c r="BN3002" t="s">
        <v>23454</v>
      </c>
    </row>
    <row r="3003" spans="1:66" x14ac:dyDescent="0.25">
      <c r="A3003" t="str">
        <f>HYPERLINK("https://elite.finviz.com/quote.ashx?t=WM&amp;ty=c&amp;p=d&amp;b=1", "WM")</f>
        <v>WM</v>
      </c>
      <c r="B3003">
        <v>5</v>
      </c>
      <c r="C3003">
        <v>116.22</v>
      </c>
      <c r="D3003">
        <v>46.99</v>
      </c>
      <c r="E3003" t="s">
        <v>26871</v>
      </c>
      <c r="F3003" t="s">
        <v>195</v>
      </c>
      <c r="G3003" t="s">
        <v>260</v>
      </c>
      <c r="H3003" t="s">
        <v>1573</v>
      </c>
      <c r="I3003" t="s">
        <v>70</v>
      </c>
      <c r="J3003" t="s">
        <v>71</v>
      </c>
      <c r="K3003">
        <v>88380.97</v>
      </c>
      <c r="L3003">
        <v>219.4</v>
      </c>
      <c r="M3003" t="s">
        <v>2144</v>
      </c>
      <c r="N3003">
        <v>382719</v>
      </c>
      <c r="O3003">
        <v>32.549999999999997</v>
      </c>
      <c r="P3003">
        <v>25.69</v>
      </c>
      <c r="Q3003">
        <v>3.16</v>
      </c>
      <c r="R3003">
        <v>3.69</v>
      </c>
      <c r="S3003">
        <v>9.6</v>
      </c>
      <c r="T3003" t="s">
        <v>4780</v>
      </c>
      <c r="U3003">
        <v>3.22</v>
      </c>
      <c r="V3003" t="s">
        <v>2620</v>
      </c>
      <c r="W3003" t="s">
        <v>5114</v>
      </c>
      <c r="X3003" t="s">
        <v>10619</v>
      </c>
      <c r="Y3003" t="s">
        <v>3687</v>
      </c>
      <c r="Z3003" t="s">
        <v>12767</v>
      </c>
      <c r="AA3003">
        <v>6.74</v>
      </c>
      <c r="AB3003" t="s">
        <v>6799</v>
      </c>
      <c r="AC3003" t="s">
        <v>8041</v>
      </c>
      <c r="AD3003" t="s">
        <v>2627</v>
      </c>
      <c r="AE3003" t="s">
        <v>9700</v>
      </c>
      <c r="AF3003" t="s">
        <v>6420</v>
      </c>
      <c r="AG3003" t="s">
        <v>4377</v>
      </c>
      <c r="AH3003" t="s">
        <v>7206</v>
      </c>
      <c r="AI3003" t="s">
        <v>4780</v>
      </c>
      <c r="AJ3003" t="s">
        <v>14985</v>
      </c>
      <c r="AK3003" t="s">
        <v>26872</v>
      </c>
      <c r="AL3003">
        <v>0.86</v>
      </c>
      <c r="AM3003">
        <v>0.82</v>
      </c>
      <c r="AN3003">
        <v>2.61</v>
      </c>
      <c r="AO3003" t="s">
        <v>5484</v>
      </c>
      <c r="AP3003" t="s">
        <v>6722</v>
      </c>
      <c r="AQ3003" t="s">
        <v>4903</v>
      </c>
      <c r="AR3003" t="s">
        <v>3976</v>
      </c>
      <c r="AS3003" t="s">
        <v>4856</v>
      </c>
      <c r="AT3003" t="s">
        <v>4507</v>
      </c>
      <c r="AU3003" t="s">
        <v>4367</v>
      </c>
      <c r="AV3003" t="s">
        <v>7332</v>
      </c>
      <c r="AW3003" t="s">
        <v>3705</v>
      </c>
      <c r="AX3003" t="s">
        <v>89</v>
      </c>
      <c r="AY3003" t="s">
        <v>2301</v>
      </c>
      <c r="AZ3003" t="s">
        <v>7288</v>
      </c>
      <c r="BA3003">
        <v>2.04</v>
      </c>
      <c r="BB3003">
        <v>1695.21</v>
      </c>
      <c r="BC3003">
        <v>0.8</v>
      </c>
      <c r="BD3003">
        <v>217.16</v>
      </c>
      <c r="BE3003">
        <v>220.67</v>
      </c>
      <c r="BF3003">
        <v>217.96</v>
      </c>
      <c r="BG3003" t="s">
        <v>26873</v>
      </c>
      <c r="BH3003" t="s">
        <v>2301</v>
      </c>
      <c r="BI3003" t="s">
        <v>26874</v>
      </c>
      <c r="BJ3003" t="s">
        <v>101</v>
      </c>
      <c r="BK3003" t="s">
        <v>4645</v>
      </c>
      <c r="BL3003" t="s">
        <v>10747</v>
      </c>
      <c r="BM3003" t="s">
        <v>7685</v>
      </c>
      <c r="BN3003" t="s">
        <v>23454</v>
      </c>
    </row>
    <row r="3004" spans="1:66" x14ac:dyDescent="0.25">
      <c r="A3004" t="str">
        <f>HYPERLINK("https://elite.finviz.com/quote.ashx?t=GEV&amp;ty=c&amp;p=d&amp;b=1", "GEV")</f>
        <v>GEV</v>
      </c>
      <c r="B3004">
        <v>5</v>
      </c>
      <c r="C3004">
        <v>116.22</v>
      </c>
      <c r="D3004">
        <v>47.02</v>
      </c>
      <c r="E3004" t="s">
        <v>26875</v>
      </c>
      <c r="F3004" t="s">
        <v>195</v>
      </c>
      <c r="G3004" t="s">
        <v>260</v>
      </c>
      <c r="H3004" t="s">
        <v>261</v>
      </c>
      <c r="I3004" t="s">
        <v>70</v>
      </c>
      <c r="J3004" t="s">
        <v>71</v>
      </c>
      <c r="K3004">
        <v>165513.22</v>
      </c>
      <c r="L3004">
        <v>608</v>
      </c>
      <c r="M3004" t="s">
        <v>4539</v>
      </c>
      <c r="N3004">
        <v>493548</v>
      </c>
      <c r="O3004">
        <v>145.49</v>
      </c>
      <c r="P3004">
        <v>48.79</v>
      </c>
      <c r="R3004">
        <v>4.5199999999999996</v>
      </c>
      <c r="S3004">
        <v>18.649999999999999</v>
      </c>
      <c r="T3004" t="s">
        <v>3358</v>
      </c>
      <c r="U3004">
        <v>0.75</v>
      </c>
      <c r="V3004" t="s">
        <v>6164</v>
      </c>
      <c r="Z3004" t="s">
        <v>2810</v>
      </c>
      <c r="AA3004">
        <v>4.18</v>
      </c>
      <c r="AE3004" t="s">
        <v>8050</v>
      </c>
      <c r="AF3004" t="s">
        <v>3118</v>
      </c>
      <c r="AH3004" t="s">
        <v>847</v>
      </c>
      <c r="AI3004" t="s">
        <v>5976</v>
      </c>
      <c r="AJ3004" t="s">
        <v>332</v>
      </c>
      <c r="AK3004" t="s">
        <v>13445</v>
      </c>
      <c r="AL3004">
        <v>1</v>
      </c>
      <c r="AM3004">
        <v>0.74</v>
      </c>
      <c r="AN3004">
        <v>0</v>
      </c>
      <c r="AO3004" t="s">
        <v>7903</v>
      </c>
      <c r="AP3004" t="s">
        <v>89</v>
      </c>
      <c r="AQ3004" t="s">
        <v>4916</v>
      </c>
      <c r="AR3004" t="s">
        <v>1751</v>
      </c>
      <c r="AS3004" t="s">
        <v>3670</v>
      </c>
      <c r="AT3004" t="s">
        <v>11369</v>
      </c>
      <c r="AU3004" t="s">
        <v>8985</v>
      </c>
      <c r="AV3004" t="s">
        <v>4566</v>
      </c>
      <c r="AW3004" t="s">
        <v>10332</v>
      </c>
      <c r="AX3004" t="s">
        <v>7553</v>
      </c>
      <c r="AY3004" t="s">
        <v>10332</v>
      </c>
      <c r="AZ3004" t="s">
        <v>26876</v>
      </c>
      <c r="BA3004">
        <v>1.83</v>
      </c>
      <c r="BB3004">
        <v>2911.36</v>
      </c>
      <c r="BC3004">
        <v>0.6</v>
      </c>
      <c r="BD3004">
        <v>607.52</v>
      </c>
      <c r="BE3004">
        <v>615.14</v>
      </c>
      <c r="BF3004">
        <v>603.5</v>
      </c>
      <c r="BG3004" t="s">
        <v>26877</v>
      </c>
      <c r="BH3004" t="s">
        <v>10332</v>
      </c>
      <c r="BI3004" t="s">
        <v>26878</v>
      </c>
      <c r="BJ3004" t="s">
        <v>101</v>
      </c>
      <c r="BK3004" t="s">
        <v>2395</v>
      </c>
      <c r="BL3004" t="s">
        <v>26879</v>
      </c>
      <c r="BM3004" t="s">
        <v>1895</v>
      </c>
      <c r="BN3004" t="s">
        <v>23454</v>
      </c>
    </row>
    <row r="3005" spans="1:66" x14ac:dyDescent="0.25">
      <c r="A3005" t="str">
        <f>HYPERLINK("https://elite.finviz.com/quote.ashx?t=PM&amp;ty=c&amp;p=d&amp;b=1", "PM")</f>
        <v>PM</v>
      </c>
      <c r="B3005">
        <v>5</v>
      </c>
      <c r="C3005">
        <v>116.22</v>
      </c>
      <c r="D3005">
        <v>47.06</v>
      </c>
      <c r="E3005" t="s">
        <v>26880</v>
      </c>
      <c r="F3005" t="s">
        <v>195</v>
      </c>
      <c r="G3005" t="s">
        <v>2244</v>
      </c>
      <c r="H3005" t="s">
        <v>7643</v>
      </c>
      <c r="I3005" t="s">
        <v>70</v>
      </c>
      <c r="J3005" t="s">
        <v>71</v>
      </c>
      <c r="K3005">
        <v>254494.56</v>
      </c>
      <c r="L3005">
        <v>163.49</v>
      </c>
      <c r="M3005" t="s">
        <v>6871</v>
      </c>
      <c r="N3005">
        <v>716673</v>
      </c>
      <c r="O3005">
        <v>31.02</v>
      </c>
      <c r="P3005">
        <v>19.510000000000002</v>
      </c>
      <c r="Q3005">
        <v>2.63</v>
      </c>
      <c r="R3005">
        <v>6.54</v>
      </c>
      <c r="T3005" t="s">
        <v>4569</v>
      </c>
      <c r="U3005">
        <v>5.4</v>
      </c>
      <c r="V3005" t="s">
        <v>4105</v>
      </c>
      <c r="W3005" t="s">
        <v>3500</v>
      </c>
      <c r="X3005" t="s">
        <v>213</v>
      </c>
      <c r="Y3005" t="s">
        <v>5780</v>
      </c>
      <c r="Z3005" t="s">
        <v>26881</v>
      </c>
      <c r="AA3005">
        <v>5.27</v>
      </c>
      <c r="AB3005" t="s">
        <v>10612</v>
      </c>
      <c r="AC3005" t="s">
        <v>1564</v>
      </c>
      <c r="AD3005" t="s">
        <v>7898</v>
      </c>
      <c r="AE3005" t="s">
        <v>3746</v>
      </c>
      <c r="AF3005" t="s">
        <v>2065</v>
      </c>
      <c r="AG3005" t="s">
        <v>454</v>
      </c>
      <c r="AH3005" t="s">
        <v>7403</v>
      </c>
      <c r="AI3005" t="s">
        <v>7437</v>
      </c>
      <c r="AJ3005" t="s">
        <v>164</v>
      </c>
      <c r="AK3005" t="s">
        <v>26882</v>
      </c>
      <c r="AL3005">
        <v>0.83</v>
      </c>
      <c r="AM3005">
        <v>0.45</v>
      </c>
      <c r="AO3005" t="s">
        <v>19583</v>
      </c>
      <c r="AP3005" t="s">
        <v>13840</v>
      </c>
      <c r="AQ3005" t="s">
        <v>6968</v>
      </c>
      <c r="AR3005" t="s">
        <v>7423</v>
      </c>
      <c r="AS3005" t="s">
        <v>4276</v>
      </c>
      <c r="AT3005" t="s">
        <v>4703</v>
      </c>
      <c r="AU3005" t="s">
        <v>5153</v>
      </c>
      <c r="AV3005" t="s">
        <v>2234</v>
      </c>
      <c r="AW3005" t="s">
        <v>10240</v>
      </c>
      <c r="AX3005" t="s">
        <v>2732</v>
      </c>
      <c r="AY3005" t="s">
        <v>14774</v>
      </c>
      <c r="AZ3005" t="s">
        <v>26883</v>
      </c>
      <c r="BA3005">
        <v>1.79</v>
      </c>
      <c r="BB3005">
        <v>5788.48</v>
      </c>
      <c r="BC3005">
        <v>0.44</v>
      </c>
      <c r="BD3005">
        <v>164</v>
      </c>
      <c r="BE3005">
        <v>164.95</v>
      </c>
      <c r="BF3005">
        <v>163.44999999999999</v>
      </c>
      <c r="BG3005" t="s">
        <v>26884</v>
      </c>
      <c r="BH3005" t="s">
        <v>14774</v>
      </c>
      <c r="BI3005" t="s">
        <v>26885</v>
      </c>
      <c r="BJ3005" t="s">
        <v>101</v>
      </c>
      <c r="BK3005" t="s">
        <v>613</v>
      </c>
      <c r="BL3005" t="s">
        <v>272</v>
      </c>
      <c r="BM3005" t="s">
        <v>9951</v>
      </c>
      <c r="BN3005" t="s">
        <v>23454</v>
      </c>
    </row>
    <row r="3006" spans="1:66" x14ac:dyDescent="0.25">
      <c r="A3006" t="str">
        <f>HYPERLINK("https://elite.finviz.com/quote.ashx?t=EMPD&amp;ty=c&amp;p=d&amp;b=1", "EMPD")</f>
        <v>EMPD</v>
      </c>
      <c r="B3006">
        <v>5</v>
      </c>
      <c r="C3006">
        <v>116.22</v>
      </c>
      <c r="D3006">
        <v>47.07</v>
      </c>
      <c r="E3006" t="s">
        <v>26886</v>
      </c>
      <c r="F3006" t="s">
        <v>107</v>
      </c>
      <c r="G3006" t="s">
        <v>813</v>
      </c>
      <c r="H3006" t="s">
        <v>890</v>
      </c>
      <c r="I3006" t="s">
        <v>70</v>
      </c>
      <c r="J3006" t="s">
        <v>321</v>
      </c>
      <c r="K3006">
        <v>351.75</v>
      </c>
      <c r="L3006">
        <v>7.57</v>
      </c>
      <c r="M3006" t="s">
        <v>1763</v>
      </c>
      <c r="N3006">
        <v>163269</v>
      </c>
      <c r="R3006">
        <v>100.5</v>
      </c>
      <c r="S3006">
        <v>0.28999999999999998</v>
      </c>
      <c r="AA3006">
        <v>-272.45999999999998</v>
      </c>
      <c r="AB3006" t="s">
        <v>24132</v>
      </c>
      <c r="AC3006" t="s">
        <v>14963</v>
      </c>
      <c r="AE3006" t="s">
        <v>11260</v>
      </c>
      <c r="AF3006" t="s">
        <v>26887</v>
      </c>
      <c r="AH3006" t="s">
        <v>9554</v>
      </c>
      <c r="AJ3006" t="s">
        <v>164</v>
      </c>
      <c r="AK3006" t="s">
        <v>7682</v>
      </c>
      <c r="AL3006">
        <v>4.5599999999999996</v>
      </c>
      <c r="AM3006">
        <v>4.1500000000000004</v>
      </c>
      <c r="AN3006">
        <v>0.04</v>
      </c>
      <c r="AO3006" t="s">
        <v>26888</v>
      </c>
      <c r="AP3006" t="s">
        <v>26889</v>
      </c>
      <c r="AQ3006" t="s">
        <v>26890</v>
      </c>
      <c r="AR3006" t="s">
        <v>2408</v>
      </c>
      <c r="AS3006" t="s">
        <v>5210</v>
      </c>
      <c r="AT3006" t="s">
        <v>2624</v>
      </c>
      <c r="AU3006" t="s">
        <v>6023</v>
      </c>
      <c r="AV3006" t="s">
        <v>2157</v>
      </c>
      <c r="AW3006" t="s">
        <v>26891</v>
      </c>
      <c r="AX3006" t="s">
        <v>949</v>
      </c>
      <c r="AY3006" t="s">
        <v>26892</v>
      </c>
      <c r="AZ3006" t="s">
        <v>26893</v>
      </c>
      <c r="BA3006">
        <v>1</v>
      </c>
      <c r="BB3006">
        <v>1043.02</v>
      </c>
      <c r="BC3006">
        <v>0.55000000000000004</v>
      </c>
      <c r="BD3006">
        <v>7.53</v>
      </c>
      <c r="BE3006">
        <v>7.75</v>
      </c>
      <c r="BF3006">
        <v>7.49</v>
      </c>
      <c r="BG3006" t="s">
        <v>26894</v>
      </c>
      <c r="BH3006" t="s">
        <v>579</v>
      </c>
      <c r="BI3006" t="s">
        <v>26893</v>
      </c>
      <c r="BJ3006" t="s">
        <v>101</v>
      </c>
      <c r="BK3006" t="s">
        <v>2786</v>
      </c>
      <c r="BL3006" t="s">
        <v>12259</v>
      </c>
      <c r="BM3006" t="s">
        <v>26895</v>
      </c>
      <c r="BN3006" t="s">
        <v>23454</v>
      </c>
    </row>
    <row r="3007" spans="1:66" x14ac:dyDescent="0.25">
      <c r="A3007" t="str">
        <f>HYPERLINK("https://elite.finviz.com/quote.ashx?t=VRME&amp;ty=c&amp;p=d&amp;b=1", "VRME")</f>
        <v>VRME</v>
      </c>
      <c r="B3007">
        <v>5</v>
      </c>
      <c r="C3007">
        <v>116.22</v>
      </c>
      <c r="D3007">
        <v>47.14</v>
      </c>
      <c r="E3007" t="s">
        <v>26896</v>
      </c>
      <c r="F3007" t="s">
        <v>107</v>
      </c>
      <c r="G3007" t="s">
        <v>260</v>
      </c>
      <c r="H3007" t="s">
        <v>4162</v>
      </c>
      <c r="I3007" t="s">
        <v>70</v>
      </c>
      <c r="J3007" t="s">
        <v>321</v>
      </c>
      <c r="K3007">
        <v>10.82</v>
      </c>
      <c r="L3007">
        <v>0.88</v>
      </c>
      <c r="M3007" t="s">
        <v>5138</v>
      </c>
      <c r="N3007">
        <v>235871</v>
      </c>
      <c r="R3007">
        <v>0.49</v>
      </c>
      <c r="S3007">
        <v>0.75</v>
      </c>
      <c r="AA3007">
        <v>-0.35</v>
      </c>
      <c r="AC3007" t="s">
        <v>3538</v>
      </c>
      <c r="AD3007" t="s">
        <v>26897</v>
      </c>
      <c r="AE3007" t="s">
        <v>16894</v>
      </c>
      <c r="AF3007" t="s">
        <v>26898</v>
      </c>
      <c r="AG3007" t="s">
        <v>26899</v>
      </c>
      <c r="AH3007" t="s">
        <v>22444</v>
      </c>
      <c r="AI3007" t="s">
        <v>26900</v>
      </c>
      <c r="AJ3007" t="s">
        <v>164</v>
      </c>
      <c r="AK3007" t="s">
        <v>5193</v>
      </c>
      <c r="AL3007">
        <v>4.0599999999999996</v>
      </c>
      <c r="AM3007">
        <v>4.04</v>
      </c>
      <c r="AN3007">
        <v>0.06</v>
      </c>
      <c r="AO3007" t="s">
        <v>2525</v>
      </c>
      <c r="AP3007" t="s">
        <v>9741</v>
      </c>
      <c r="AQ3007" t="s">
        <v>410</v>
      </c>
      <c r="AR3007" t="s">
        <v>139</v>
      </c>
      <c r="AS3007" t="s">
        <v>3147</v>
      </c>
      <c r="AT3007" t="s">
        <v>5639</v>
      </c>
      <c r="AU3007" t="s">
        <v>6464</v>
      </c>
      <c r="AV3007" t="s">
        <v>16742</v>
      </c>
      <c r="AW3007" t="s">
        <v>15386</v>
      </c>
      <c r="AX3007" t="s">
        <v>9301</v>
      </c>
      <c r="AY3007" t="s">
        <v>26901</v>
      </c>
      <c r="AZ3007" t="s">
        <v>18125</v>
      </c>
      <c r="BA3007">
        <v>1</v>
      </c>
      <c r="BB3007">
        <v>3526.35</v>
      </c>
      <c r="BC3007">
        <v>0.24</v>
      </c>
      <c r="BD3007">
        <v>0.95</v>
      </c>
      <c r="BE3007">
        <v>0.94</v>
      </c>
      <c r="BF3007">
        <v>0.86</v>
      </c>
      <c r="BG3007" t="s">
        <v>26902</v>
      </c>
      <c r="BH3007" t="s">
        <v>5233</v>
      </c>
      <c r="BI3007" t="s">
        <v>18125</v>
      </c>
      <c r="BJ3007" t="s">
        <v>101</v>
      </c>
      <c r="BK3007" t="s">
        <v>4096</v>
      </c>
      <c r="BL3007" t="s">
        <v>12627</v>
      </c>
      <c r="BM3007" t="s">
        <v>9914</v>
      </c>
      <c r="BN3007" t="s">
        <v>23454</v>
      </c>
    </row>
    <row r="3008" spans="1:66" x14ac:dyDescent="0.25">
      <c r="A3008" t="str">
        <f>HYPERLINK("https://elite.finviz.com/quote.ashx?t=NAGE&amp;ty=c&amp;p=d&amp;b=1", "NAGE")</f>
        <v>NAGE</v>
      </c>
      <c r="B3008">
        <v>5</v>
      </c>
      <c r="C3008">
        <v>116.22</v>
      </c>
      <c r="D3008">
        <v>47.26</v>
      </c>
      <c r="E3008" t="s">
        <v>26903</v>
      </c>
      <c r="F3008" t="s">
        <v>67</v>
      </c>
      <c r="G3008" t="s">
        <v>428</v>
      </c>
      <c r="H3008" t="s">
        <v>429</v>
      </c>
      <c r="I3008" t="s">
        <v>70</v>
      </c>
      <c r="J3008" t="s">
        <v>321</v>
      </c>
      <c r="K3008">
        <v>767.76</v>
      </c>
      <c r="L3008">
        <v>9.6300000000000008</v>
      </c>
      <c r="M3008" t="s">
        <v>7322</v>
      </c>
      <c r="N3008">
        <v>116083</v>
      </c>
      <c r="O3008">
        <v>44.84</v>
      </c>
      <c r="P3008">
        <v>35.4</v>
      </c>
      <c r="Q3008">
        <v>0.83</v>
      </c>
      <c r="R3008">
        <v>6.6</v>
      </c>
      <c r="S3008">
        <v>11.93</v>
      </c>
      <c r="Z3008" t="s">
        <v>164</v>
      </c>
      <c r="AA3008">
        <v>0.21</v>
      </c>
      <c r="AD3008" t="s">
        <v>13077</v>
      </c>
      <c r="AE3008" t="s">
        <v>2442</v>
      </c>
      <c r="AF3008" t="s">
        <v>7650</v>
      </c>
      <c r="AG3008" t="s">
        <v>830</v>
      </c>
      <c r="AH3008" t="s">
        <v>4080</v>
      </c>
      <c r="AI3008" t="s">
        <v>26904</v>
      </c>
      <c r="AJ3008" t="s">
        <v>164</v>
      </c>
      <c r="AK3008" t="s">
        <v>220</v>
      </c>
      <c r="AL3008">
        <v>3.88</v>
      </c>
      <c r="AM3008">
        <v>3.24</v>
      </c>
      <c r="AN3008">
        <v>0.05</v>
      </c>
      <c r="AO3008" t="s">
        <v>3572</v>
      </c>
      <c r="AP3008" t="s">
        <v>12145</v>
      </c>
      <c r="AQ3008" t="s">
        <v>2415</v>
      </c>
      <c r="AR3008" t="s">
        <v>4824</v>
      </c>
      <c r="AS3008" t="s">
        <v>3520</v>
      </c>
      <c r="AT3008" t="s">
        <v>3896</v>
      </c>
      <c r="AU3008" t="s">
        <v>1574</v>
      </c>
      <c r="AV3008" t="s">
        <v>6329</v>
      </c>
      <c r="AW3008" t="s">
        <v>8900</v>
      </c>
      <c r="AX3008" t="s">
        <v>8650</v>
      </c>
      <c r="AY3008" t="s">
        <v>23099</v>
      </c>
      <c r="AZ3008" t="s">
        <v>26905</v>
      </c>
      <c r="BA3008">
        <v>1</v>
      </c>
      <c r="BB3008">
        <v>1088.24</v>
      </c>
      <c r="BC3008">
        <v>0.38</v>
      </c>
      <c r="BD3008">
        <v>9.41</v>
      </c>
      <c r="BE3008">
        <v>9.65</v>
      </c>
      <c r="BF3008">
        <v>9.41</v>
      </c>
      <c r="BG3008" t="s">
        <v>26906</v>
      </c>
      <c r="BH3008" t="s">
        <v>26907</v>
      </c>
      <c r="BI3008" t="s">
        <v>26908</v>
      </c>
      <c r="BJ3008" t="s">
        <v>101</v>
      </c>
      <c r="BK3008" t="s">
        <v>26909</v>
      </c>
      <c r="BL3008" t="s">
        <v>16058</v>
      </c>
      <c r="BM3008" t="s">
        <v>8108</v>
      </c>
      <c r="BN3008" t="s">
        <v>23454</v>
      </c>
    </row>
    <row r="3009" spans="1:66" x14ac:dyDescent="0.25">
      <c r="A3009" t="str">
        <f>HYPERLINK("https://elite.finviz.com/quote.ashx?t=MATW&amp;ty=c&amp;p=d&amp;b=1", "MATW")</f>
        <v>MATW</v>
      </c>
      <c r="B3009">
        <v>5</v>
      </c>
      <c r="C3009">
        <v>116.22</v>
      </c>
      <c r="D3009">
        <v>47.3</v>
      </c>
      <c r="E3009" t="s">
        <v>26910</v>
      </c>
      <c r="F3009" t="s">
        <v>67</v>
      </c>
      <c r="G3009" t="s">
        <v>260</v>
      </c>
      <c r="H3009" t="s">
        <v>2508</v>
      </c>
      <c r="I3009" t="s">
        <v>70</v>
      </c>
      <c r="J3009" t="s">
        <v>321</v>
      </c>
      <c r="K3009">
        <v>750.68</v>
      </c>
      <c r="L3009">
        <v>24.38</v>
      </c>
      <c r="M3009" t="s">
        <v>5692</v>
      </c>
      <c r="N3009">
        <v>28166</v>
      </c>
      <c r="P3009">
        <v>23.33</v>
      </c>
      <c r="R3009">
        <v>0.46</v>
      </c>
      <c r="S3009">
        <v>1.46</v>
      </c>
      <c r="T3009" t="s">
        <v>2647</v>
      </c>
      <c r="U3009">
        <v>1</v>
      </c>
      <c r="V3009" t="s">
        <v>893</v>
      </c>
      <c r="W3009" t="s">
        <v>3520</v>
      </c>
      <c r="X3009" t="s">
        <v>8818</v>
      </c>
      <c r="Y3009" t="s">
        <v>3482</v>
      </c>
      <c r="AA3009">
        <v>-2.11</v>
      </c>
      <c r="AC3009" t="s">
        <v>1884</v>
      </c>
      <c r="AD3009" t="s">
        <v>26911</v>
      </c>
      <c r="AE3009" t="s">
        <v>12908</v>
      </c>
      <c r="AF3009" t="s">
        <v>2582</v>
      </c>
      <c r="AG3009" t="s">
        <v>4916</v>
      </c>
      <c r="AH3009" t="s">
        <v>15308</v>
      </c>
      <c r="AI3009" t="s">
        <v>5595</v>
      </c>
      <c r="AJ3009" t="s">
        <v>580</v>
      </c>
      <c r="AK3009" t="s">
        <v>24386</v>
      </c>
      <c r="AL3009">
        <v>1.66</v>
      </c>
      <c r="AM3009">
        <v>0.98</v>
      </c>
      <c r="AN3009">
        <v>1.47</v>
      </c>
      <c r="AO3009" t="s">
        <v>5457</v>
      </c>
      <c r="AP3009" t="s">
        <v>4677</v>
      </c>
      <c r="AQ3009" t="s">
        <v>9160</v>
      </c>
      <c r="AR3009" t="s">
        <v>2080</v>
      </c>
      <c r="AS3009" t="s">
        <v>304</v>
      </c>
      <c r="AT3009" t="s">
        <v>1119</v>
      </c>
      <c r="AU3009" t="s">
        <v>2760</v>
      </c>
      <c r="AV3009" t="s">
        <v>2362</v>
      </c>
      <c r="AW3009" t="s">
        <v>5963</v>
      </c>
      <c r="AX3009" t="s">
        <v>1215</v>
      </c>
      <c r="AY3009" t="s">
        <v>1301</v>
      </c>
      <c r="AZ3009" t="s">
        <v>3778</v>
      </c>
      <c r="BA3009">
        <v>1</v>
      </c>
      <c r="BB3009">
        <v>202.92</v>
      </c>
      <c r="BC3009">
        <v>0.49</v>
      </c>
      <c r="BD3009">
        <v>24.06</v>
      </c>
      <c r="BE3009">
        <v>24.38</v>
      </c>
      <c r="BF3009">
        <v>24.06</v>
      </c>
      <c r="BG3009" t="s">
        <v>26912</v>
      </c>
      <c r="BH3009" t="s">
        <v>26913</v>
      </c>
      <c r="BI3009" t="s">
        <v>26914</v>
      </c>
      <c r="BJ3009" t="s">
        <v>101</v>
      </c>
      <c r="BK3009" t="s">
        <v>4539</v>
      </c>
      <c r="BL3009" t="s">
        <v>6936</v>
      </c>
      <c r="BM3009" t="s">
        <v>862</v>
      </c>
      <c r="BN3009" t="s">
        <v>26049</v>
      </c>
    </row>
    <row r="3010" spans="1:66" x14ac:dyDescent="0.25">
      <c r="A3010" t="str">
        <f>HYPERLINK("https://elite.finviz.com/quote.ashx?t=NVTS&amp;ty=c&amp;p=d&amp;b=1", "NVTS")</f>
        <v>NVTS</v>
      </c>
      <c r="B3010">
        <v>5</v>
      </c>
      <c r="C3010">
        <v>116.22</v>
      </c>
      <c r="D3010">
        <v>47.31</v>
      </c>
      <c r="E3010" t="s">
        <v>26915</v>
      </c>
      <c r="F3010" t="s">
        <v>67</v>
      </c>
      <c r="G3010" t="s">
        <v>108</v>
      </c>
      <c r="H3010" t="s">
        <v>1808</v>
      </c>
      <c r="I3010" t="s">
        <v>70</v>
      </c>
      <c r="J3010" t="s">
        <v>321</v>
      </c>
      <c r="K3010">
        <v>1336.18</v>
      </c>
      <c r="L3010">
        <v>6.27</v>
      </c>
      <c r="M3010" t="s">
        <v>14948</v>
      </c>
      <c r="N3010">
        <v>5046873</v>
      </c>
      <c r="R3010">
        <v>19.600000000000001</v>
      </c>
      <c r="S3010">
        <v>3.44</v>
      </c>
      <c r="AA3010">
        <v>-0.65</v>
      </c>
      <c r="AB3010" t="s">
        <v>6267</v>
      </c>
      <c r="AC3010" t="s">
        <v>3229</v>
      </c>
      <c r="AD3010" t="s">
        <v>5118</v>
      </c>
      <c r="AE3010" t="s">
        <v>14703</v>
      </c>
      <c r="AF3010" t="s">
        <v>16362</v>
      </c>
      <c r="AG3010" t="s">
        <v>8321</v>
      </c>
      <c r="AH3010" t="s">
        <v>2547</v>
      </c>
      <c r="AI3010" t="s">
        <v>7089</v>
      </c>
      <c r="AJ3010" t="s">
        <v>16914</v>
      </c>
      <c r="AK3010" t="s">
        <v>2297</v>
      </c>
      <c r="AL3010">
        <v>8.23</v>
      </c>
      <c r="AM3010">
        <v>7.59</v>
      </c>
      <c r="AN3010">
        <v>0.02</v>
      </c>
      <c r="AO3010" t="s">
        <v>1714</v>
      </c>
      <c r="AP3010" t="s">
        <v>26916</v>
      </c>
      <c r="AQ3010" t="s">
        <v>26917</v>
      </c>
      <c r="AR3010" t="s">
        <v>723</v>
      </c>
      <c r="AS3010" t="s">
        <v>713</v>
      </c>
      <c r="AT3010" t="s">
        <v>6829</v>
      </c>
      <c r="AU3010" t="s">
        <v>5663</v>
      </c>
      <c r="AV3010" t="s">
        <v>11984</v>
      </c>
      <c r="AW3010" t="s">
        <v>4990</v>
      </c>
      <c r="AX3010" t="s">
        <v>1788</v>
      </c>
      <c r="AY3010" t="s">
        <v>4990</v>
      </c>
      <c r="AZ3010" t="s">
        <v>26918</v>
      </c>
      <c r="BA3010">
        <v>2.67</v>
      </c>
      <c r="BB3010">
        <v>22548.34</v>
      </c>
      <c r="BC3010">
        <v>0.79</v>
      </c>
      <c r="BD3010">
        <v>6.51</v>
      </c>
      <c r="BE3010">
        <v>6.48</v>
      </c>
      <c r="BF3010">
        <v>6.26</v>
      </c>
      <c r="BG3010" t="s">
        <v>26919</v>
      </c>
      <c r="BH3010" t="s">
        <v>2674</v>
      </c>
      <c r="BI3010" t="s">
        <v>26918</v>
      </c>
      <c r="BJ3010" t="s">
        <v>101</v>
      </c>
      <c r="BK3010" t="s">
        <v>8156</v>
      </c>
      <c r="BL3010" t="s">
        <v>26920</v>
      </c>
      <c r="BM3010" t="s">
        <v>26921</v>
      </c>
      <c r="BN3010" t="s">
        <v>23454</v>
      </c>
    </row>
    <row r="3011" spans="1:66" x14ac:dyDescent="0.25">
      <c r="A3011" t="str">
        <f>HYPERLINK("https://elite.finviz.com/quote.ashx?t=OS&amp;ty=c&amp;p=d&amp;b=1", "OS")</f>
        <v>OS</v>
      </c>
      <c r="B3011">
        <v>5</v>
      </c>
      <c r="C3011">
        <v>116.22</v>
      </c>
      <c r="D3011">
        <v>47.31</v>
      </c>
      <c r="E3011" t="s">
        <v>26922</v>
      </c>
      <c r="F3011" t="s">
        <v>107</v>
      </c>
      <c r="G3011" t="s">
        <v>108</v>
      </c>
      <c r="H3011" t="s">
        <v>109</v>
      </c>
      <c r="I3011" t="s">
        <v>70</v>
      </c>
      <c r="J3011" t="s">
        <v>321</v>
      </c>
      <c r="K3011">
        <v>4809.46</v>
      </c>
      <c r="L3011">
        <v>19.8</v>
      </c>
      <c r="M3011" t="s">
        <v>6990</v>
      </c>
      <c r="N3011">
        <v>377731</v>
      </c>
      <c r="P3011">
        <v>77</v>
      </c>
      <c r="R3011">
        <v>8.82</v>
      </c>
      <c r="S3011">
        <v>8.0500000000000007</v>
      </c>
      <c r="AA3011">
        <v>-1.49</v>
      </c>
      <c r="AB3011" t="s">
        <v>26923</v>
      </c>
      <c r="AD3011" t="s">
        <v>1184</v>
      </c>
      <c r="AE3011" t="s">
        <v>1737</v>
      </c>
      <c r="AF3011" t="s">
        <v>1795</v>
      </c>
      <c r="AH3011" t="s">
        <v>18126</v>
      </c>
      <c r="AI3011" t="s">
        <v>26924</v>
      </c>
      <c r="AJ3011" t="s">
        <v>2426</v>
      </c>
      <c r="AK3011" t="s">
        <v>7980</v>
      </c>
      <c r="AL3011">
        <v>2.33</v>
      </c>
      <c r="AM3011">
        <v>2.33</v>
      </c>
      <c r="AN3011">
        <v>0.04</v>
      </c>
      <c r="AO3011" t="s">
        <v>26925</v>
      </c>
      <c r="AP3011" t="s">
        <v>26926</v>
      </c>
      <c r="AQ3011" t="s">
        <v>26927</v>
      </c>
      <c r="AR3011" t="s">
        <v>3481</v>
      </c>
      <c r="AS3011" t="s">
        <v>4323</v>
      </c>
      <c r="AT3011" t="s">
        <v>2785</v>
      </c>
      <c r="AU3011" t="s">
        <v>2594</v>
      </c>
      <c r="AV3011" t="s">
        <v>5637</v>
      </c>
      <c r="AW3011" t="s">
        <v>23636</v>
      </c>
      <c r="AX3011" t="s">
        <v>2378</v>
      </c>
      <c r="AY3011" t="s">
        <v>26928</v>
      </c>
      <c r="AZ3011" t="s">
        <v>9887</v>
      </c>
      <c r="BA3011">
        <v>1.33</v>
      </c>
      <c r="BB3011">
        <v>1662.85</v>
      </c>
      <c r="BC3011">
        <v>0.8</v>
      </c>
      <c r="BD3011">
        <v>19.489999999999998</v>
      </c>
      <c r="BE3011">
        <v>19.850000000000001</v>
      </c>
      <c r="BF3011">
        <v>19.34</v>
      </c>
      <c r="BG3011" t="s">
        <v>26929</v>
      </c>
      <c r="BH3011" t="s">
        <v>26928</v>
      </c>
      <c r="BI3011" t="s">
        <v>9887</v>
      </c>
      <c r="BJ3011" t="s">
        <v>101</v>
      </c>
      <c r="BK3011" t="s">
        <v>5728</v>
      </c>
      <c r="BL3011" t="s">
        <v>9853</v>
      </c>
      <c r="BM3011" t="s">
        <v>26930</v>
      </c>
      <c r="BN3011" t="s">
        <v>23454</v>
      </c>
    </row>
    <row r="3012" spans="1:66" x14ac:dyDescent="0.25">
      <c r="A3012" t="str">
        <f>HYPERLINK("https://elite.finviz.com/quote.ashx?t=HUMA&amp;ty=c&amp;p=d&amp;b=1", "HUMA")</f>
        <v>HUMA</v>
      </c>
      <c r="B3012">
        <v>5</v>
      </c>
      <c r="C3012">
        <v>116.22</v>
      </c>
      <c r="D3012">
        <v>47.34</v>
      </c>
      <c r="E3012" t="s">
        <v>26931</v>
      </c>
      <c r="F3012" t="s">
        <v>67</v>
      </c>
      <c r="G3012" t="s">
        <v>428</v>
      </c>
      <c r="H3012" t="s">
        <v>429</v>
      </c>
      <c r="I3012" t="s">
        <v>70</v>
      </c>
      <c r="J3012" t="s">
        <v>321</v>
      </c>
      <c r="K3012">
        <v>258.52</v>
      </c>
      <c r="L3012">
        <v>1.63</v>
      </c>
      <c r="M3012" t="s">
        <v>581</v>
      </c>
      <c r="N3012">
        <v>608493</v>
      </c>
      <c r="R3012">
        <v>315.26</v>
      </c>
      <c r="S3012">
        <v>62.79</v>
      </c>
      <c r="AA3012">
        <v>-0.46</v>
      </c>
      <c r="AB3012" t="s">
        <v>21336</v>
      </c>
      <c r="AC3012" t="s">
        <v>19467</v>
      </c>
      <c r="AE3012" t="s">
        <v>579</v>
      </c>
      <c r="AI3012" t="s">
        <v>10457</v>
      </c>
      <c r="AJ3012" t="s">
        <v>7634</v>
      </c>
      <c r="AK3012" t="s">
        <v>271</v>
      </c>
      <c r="AL3012">
        <v>2.4500000000000002</v>
      </c>
      <c r="AM3012">
        <v>1.93</v>
      </c>
      <c r="AN3012">
        <v>20.66</v>
      </c>
      <c r="AO3012" t="s">
        <v>26932</v>
      </c>
      <c r="AP3012" t="s">
        <v>26933</v>
      </c>
      <c r="AQ3012" t="s">
        <v>26934</v>
      </c>
      <c r="AR3012" t="s">
        <v>1254</v>
      </c>
      <c r="AS3012" t="s">
        <v>3952</v>
      </c>
      <c r="AT3012" t="s">
        <v>3205</v>
      </c>
      <c r="AU3012" t="s">
        <v>14968</v>
      </c>
      <c r="AV3012" t="s">
        <v>23034</v>
      </c>
      <c r="AW3012" t="s">
        <v>24178</v>
      </c>
      <c r="AX3012" t="s">
        <v>4944</v>
      </c>
      <c r="AY3012" t="s">
        <v>26566</v>
      </c>
      <c r="AZ3012" t="s">
        <v>9005</v>
      </c>
      <c r="BA3012">
        <v>1.43</v>
      </c>
      <c r="BB3012">
        <v>4475.3</v>
      </c>
      <c r="BC3012">
        <v>0.48</v>
      </c>
      <c r="BD3012">
        <v>1.61</v>
      </c>
      <c r="BE3012">
        <v>1.65</v>
      </c>
      <c r="BF3012">
        <v>1.59</v>
      </c>
      <c r="BG3012" t="s">
        <v>26935</v>
      </c>
      <c r="BH3012" t="s">
        <v>26936</v>
      </c>
      <c r="BI3012" t="s">
        <v>9005</v>
      </c>
      <c r="BJ3012" t="s">
        <v>101</v>
      </c>
      <c r="BK3012" t="s">
        <v>10564</v>
      </c>
      <c r="BL3012" t="s">
        <v>13655</v>
      </c>
      <c r="BM3012" t="s">
        <v>26937</v>
      </c>
      <c r="BN3012" t="s">
        <v>23454</v>
      </c>
    </row>
    <row r="3013" spans="1:66" x14ac:dyDescent="0.25">
      <c r="A3013" t="str">
        <f>HYPERLINK("https://elite.finviz.com/quote.ashx?t=FTV&amp;ty=c&amp;p=d&amp;b=1", "FTV")</f>
        <v>FTV</v>
      </c>
      <c r="B3013">
        <v>5</v>
      </c>
      <c r="C3013">
        <v>116.22</v>
      </c>
      <c r="D3013">
        <v>47.38</v>
      </c>
      <c r="E3013" t="s">
        <v>26938</v>
      </c>
      <c r="F3013" t="s">
        <v>195</v>
      </c>
      <c r="G3013" t="s">
        <v>108</v>
      </c>
      <c r="H3013" t="s">
        <v>9222</v>
      </c>
      <c r="I3013" t="s">
        <v>70</v>
      </c>
      <c r="J3013" t="s">
        <v>71</v>
      </c>
      <c r="K3013">
        <v>16257.06</v>
      </c>
      <c r="L3013">
        <v>48.05</v>
      </c>
      <c r="M3013" t="s">
        <v>2785</v>
      </c>
      <c r="N3013">
        <v>349454</v>
      </c>
      <c r="O3013">
        <v>21.69</v>
      </c>
      <c r="P3013">
        <v>17.420000000000002</v>
      </c>
      <c r="Q3013">
        <v>44.26</v>
      </c>
      <c r="R3013">
        <v>2.64</v>
      </c>
      <c r="S3013">
        <v>1.57</v>
      </c>
      <c r="T3013" t="s">
        <v>1022</v>
      </c>
      <c r="U3013">
        <v>0.24</v>
      </c>
      <c r="V3013" t="s">
        <v>2620</v>
      </c>
      <c r="W3013" t="s">
        <v>4288</v>
      </c>
      <c r="X3013" t="s">
        <v>4104</v>
      </c>
      <c r="Y3013" t="s">
        <v>2496</v>
      </c>
      <c r="Z3013" t="s">
        <v>3259</v>
      </c>
      <c r="AA3013">
        <v>2.2200000000000002</v>
      </c>
      <c r="AB3013" t="s">
        <v>15351</v>
      </c>
      <c r="AC3013" t="s">
        <v>2764</v>
      </c>
      <c r="AD3013" t="s">
        <v>1657</v>
      </c>
      <c r="AE3013" t="s">
        <v>2717</v>
      </c>
      <c r="AF3013" t="s">
        <v>4133</v>
      </c>
      <c r="AG3013" t="s">
        <v>8286</v>
      </c>
      <c r="AH3013" t="s">
        <v>3753</v>
      </c>
      <c r="AI3013" t="s">
        <v>3027</v>
      </c>
      <c r="AJ3013" t="s">
        <v>601</v>
      </c>
      <c r="AK3013" t="s">
        <v>26470</v>
      </c>
      <c r="AL3013">
        <v>0.96</v>
      </c>
      <c r="AM3013">
        <v>0.8</v>
      </c>
      <c r="AN3013">
        <v>0.46</v>
      </c>
      <c r="AO3013" t="s">
        <v>26939</v>
      </c>
      <c r="AP3013" t="s">
        <v>10068</v>
      </c>
      <c r="AQ3013" t="s">
        <v>11867</v>
      </c>
      <c r="AR3013" t="s">
        <v>4493</v>
      </c>
      <c r="AS3013" t="s">
        <v>617</v>
      </c>
      <c r="AT3013" t="s">
        <v>2468</v>
      </c>
      <c r="AU3013" t="s">
        <v>1722</v>
      </c>
      <c r="AV3013" t="s">
        <v>5853</v>
      </c>
      <c r="AW3013" t="s">
        <v>9889</v>
      </c>
      <c r="AX3013" t="s">
        <v>1453</v>
      </c>
      <c r="AY3013" t="s">
        <v>14400</v>
      </c>
      <c r="AZ3013" t="s">
        <v>3949</v>
      </c>
      <c r="BA3013">
        <v>2.57</v>
      </c>
      <c r="BB3013">
        <v>4327.88</v>
      </c>
      <c r="BC3013">
        <v>0.28000000000000003</v>
      </c>
      <c r="BD3013">
        <v>47.67</v>
      </c>
      <c r="BE3013">
        <v>48.28</v>
      </c>
      <c r="BF3013">
        <v>47.76</v>
      </c>
      <c r="BG3013" t="s">
        <v>26940</v>
      </c>
      <c r="BH3013" t="s">
        <v>17295</v>
      </c>
      <c r="BI3013" t="s">
        <v>11656</v>
      </c>
      <c r="BJ3013" t="s">
        <v>101</v>
      </c>
      <c r="BK3013" t="s">
        <v>1156</v>
      </c>
      <c r="BL3013" t="s">
        <v>8138</v>
      </c>
      <c r="BM3013" t="s">
        <v>11586</v>
      </c>
      <c r="BN3013" t="s">
        <v>23454</v>
      </c>
    </row>
    <row r="3014" spans="1:66" x14ac:dyDescent="0.25">
      <c r="A3014" t="str">
        <f>HYPERLINK("https://elite.finviz.com/quote.ashx?t=CAPS&amp;ty=c&amp;p=d&amp;b=1", "CAPS")</f>
        <v>CAPS</v>
      </c>
      <c r="B3014">
        <v>5</v>
      </c>
      <c r="C3014">
        <v>116.22</v>
      </c>
      <c r="D3014">
        <v>47.41</v>
      </c>
      <c r="E3014" t="s">
        <v>26941</v>
      </c>
      <c r="F3014" t="s">
        <v>107</v>
      </c>
      <c r="G3014" t="s">
        <v>355</v>
      </c>
      <c r="H3014" t="s">
        <v>7681</v>
      </c>
      <c r="I3014" t="s">
        <v>70</v>
      </c>
      <c r="J3014" t="s">
        <v>321</v>
      </c>
      <c r="K3014">
        <v>7.88</v>
      </c>
      <c r="L3014">
        <v>1.25</v>
      </c>
      <c r="M3014" t="s">
        <v>12781</v>
      </c>
      <c r="N3014">
        <v>31213</v>
      </c>
      <c r="R3014">
        <v>0.18</v>
      </c>
      <c r="S3014">
        <v>0.26</v>
      </c>
      <c r="AA3014">
        <v>-14.13</v>
      </c>
      <c r="AC3014" t="s">
        <v>3757</v>
      </c>
      <c r="AE3014" t="s">
        <v>11369</v>
      </c>
      <c r="AF3014" t="s">
        <v>126</v>
      </c>
      <c r="AH3014" t="s">
        <v>2402</v>
      </c>
      <c r="AI3014" t="s">
        <v>18285</v>
      </c>
      <c r="AJ3014" t="s">
        <v>164</v>
      </c>
      <c r="AK3014" t="s">
        <v>822</v>
      </c>
      <c r="AL3014">
        <v>0.97</v>
      </c>
      <c r="AM3014">
        <v>0.41</v>
      </c>
      <c r="AN3014">
        <v>0.79</v>
      </c>
      <c r="AO3014" t="s">
        <v>1130</v>
      </c>
      <c r="AP3014" t="s">
        <v>11661</v>
      </c>
      <c r="AQ3014" t="s">
        <v>2272</v>
      </c>
      <c r="AR3014" t="s">
        <v>2450</v>
      </c>
      <c r="AS3014" t="s">
        <v>1515</v>
      </c>
      <c r="AT3014" t="s">
        <v>4538</v>
      </c>
      <c r="AU3014" t="s">
        <v>10896</v>
      </c>
      <c r="AV3014" t="s">
        <v>26942</v>
      </c>
      <c r="AW3014" t="s">
        <v>20255</v>
      </c>
      <c r="AX3014" t="s">
        <v>5845</v>
      </c>
      <c r="AY3014" t="s">
        <v>9392</v>
      </c>
      <c r="AZ3014" t="s">
        <v>5845</v>
      </c>
      <c r="BA3014">
        <v>1</v>
      </c>
      <c r="BB3014">
        <v>2000.04</v>
      </c>
      <c r="BC3014">
        <v>0.06</v>
      </c>
      <c r="BD3014">
        <v>1.28</v>
      </c>
      <c r="BE3014">
        <v>1.29</v>
      </c>
      <c r="BF3014">
        <v>1.21</v>
      </c>
      <c r="BG3014" t="s">
        <v>26943</v>
      </c>
      <c r="BH3014" t="s">
        <v>579</v>
      </c>
      <c r="BI3014" t="s">
        <v>5845</v>
      </c>
      <c r="BJ3014" t="s">
        <v>101</v>
      </c>
      <c r="BK3014" t="s">
        <v>15642</v>
      </c>
      <c r="BL3014" t="s">
        <v>18727</v>
      </c>
      <c r="BM3014" t="s">
        <v>26944</v>
      </c>
      <c r="BN3014" t="s">
        <v>23454</v>
      </c>
    </row>
    <row r="3015" spans="1:66" x14ac:dyDescent="0.25">
      <c r="A3015" t="str">
        <f>HYPERLINK("https://elite.finviz.com/quote.ashx?t=TXNM&amp;ty=c&amp;p=d&amp;b=1", "TXNM")</f>
        <v>TXNM</v>
      </c>
      <c r="B3015">
        <v>5</v>
      </c>
      <c r="C3015">
        <v>116.22</v>
      </c>
      <c r="D3015">
        <v>47.45</v>
      </c>
      <c r="E3015" t="s">
        <v>26945</v>
      </c>
      <c r="F3015" t="s">
        <v>67</v>
      </c>
      <c r="G3015" t="s">
        <v>287</v>
      </c>
      <c r="H3015" t="s">
        <v>676</v>
      </c>
      <c r="I3015" t="s">
        <v>70</v>
      </c>
      <c r="J3015" t="s">
        <v>71</v>
      </c>
      <c r="K3015">
        <v>5972.88</v>
      </c>
      <c r="L3015">
        <v>56.68</v>
      </c>
      <c r="M3015" t="s">
        <v>4237</v>
      </c>
      <c r="N3015">
        <v>216495</v>
      </c>
      <c r="O3015">
        <v>29.18</v>
      </c>
      <c r="P3015">
        <v>18.34</v>
      </c>
      <c r="Q3015">
        <v>3.68</v>
      </c>
      <c r="R3015">
        <v>2.94</v>
      </c>
      <c r="S3015">
        <v>1.88</v>
      </c>
      <c r="T3015" t="s">
        <v>5425</v>
      </c>
      <c r="U3015">
        <v>1.61</v>
      </c>
      <c r="V3015" t="s">
        <v>20796</v>
      </c>
      <c r="W3015" t="s">
        <v>10926</v>
      </c>
      <c r="X3015" t="s">
        <v>2205</v>
      </c>
      <c r="Y3015" t="s">
        <v>4907</v>
      </c>
      <c r="Z3015" t="s">
        <v>8149</v>
      </c>
      <c r="AA3015">
        <v>1.94</v>
      </c>
      <c r="AB3015" t="s">
        <v>5336</v>
      </c>
      <c r="AC3015" t="s">
        <v>10412</v>
      </c>
      <c r="AD3015" t="s">
        <v>3837</v>
      </c>
      <c r="AE3015" t="s">
        <v>8240</v>
      </c>
      <c r="AF3015" t="s">
        <v>4394</v>
      </c>
      <c r="AG3015" t="s">
        <v>7767</v>
      </c>
      <c r="AH3015" t="s">
        <v>307</v>
      </c>
      <c r="AI3015" t="s">
        <v>23869</v>
      </c>
      <c r="AJ3015" t="s">
        <v>164</v>
      </c>
      <c r="AK3015" t="s">
        <v>22604</v>
      </c>
      <c r="AL3015">
        <v>0.51</v>
      </c>
      <c r="AM3015">
        <v>0.36</v>
      </c>
      <c r="AN3015">
        <v>1.83</v>
      </c>
      <c r="AO3015" t="s">
        <v>10640</v>
      </c>
      <c r="AP3015" t="s">
        <v>14660</v>
      </c>
      <c r="AQ3015" t="s">
        <v>7858</v>
      </c>
      <c r="AR3015" t="s">
        <v>4901</v>
      </c>
      <c r="AS3015" t="s">
        <v>1657</v>
      </c>
      <c r="AT3015" t="s">
        <v>1998</v>
      </c>
      <c r="AU3015" t="s">
        <v>2402</v>
      </c>
      <c r="AV3015" t="s">
        <v>2174</v>
      </c>
      <c r="AW3015" t="s">
        <v>1783</v>
      </c>
      <c r="AX3015" t="s">
        <v>3736</v>
      </c>
      <c r="AY3015" t="s">
        <v>1783</v>
      </c>
      <c r="AZ3015" t="s">
        <v>7666</v>
      </c>
      <c r="BA3015">
        <v>3</v>
      </c>
      <c r="BB3015">
        <v>1130.68</v>
      </c>
      <c r="BC3015">
        <v>0.67</v>
      </c>
      <c r="BD3015">
        <v>56.65</v>
      </c>
      <c r="BE3015">
        <v>56.83</v>
      </c>
      <c r="BF3015">
        <v>56.67</v>
      </c>
      <c r="BG3015" t="s">
        <v>26946</v>
      </c>
      <c r="BH3015" t="s">
        <v>1783</v>
      </c>
      <c r="BI3015" t="s">
        <v>26947</v>
      </c>
      <c r="BJ3015" t="s">
        <v>101</v>
      </c>
      <c r="BK3015" t="s">
        <v>6572</v>
      </c>
      <c r="BL3015" t="s">
        <v>4697</v>
      </c>
      <c r="BM3015" t="s">
        <v>26948</v>
      </c>
      <c r="BN3015" t="s">
        <v>23454</v>
      </c>
    </row>
    <row r="3016" spans="1:66" x14ac:dyDescent="0.25">
      <c r="A3016" t="str">
        <f>HYPERLINK("https://elite.finviz.com/quote.ashx?t=SENS&amp;ty=c&amp;p=d&amp;b=1", "SENS")</f>
        <v>SENS</v>
      </c>
      <c r="B3016">
        <v>5</v>
      </c>
      <c r="C3016">
        <v>116.22</v>
      </c>
      <c r="D3016">
        <v>47.46</v>
      </c>
      <c r="E3016" t="s">
        <v>26949</v>
      </c>
      <c r="F3016" t="s">
        <v>107</v>
      </c>
      <c r="G3016" t="s">
        <v>428</v>
      </c>
      <c r="H3016" t="s">
        <v>2051</v>
      </c>
      <c r="I3016" t="s">
        <v>70</v>
      </c>
      <c r="J3016" t="s">
        <v>383</v>
      </c>
      <c r="K3016">
        <v>371.98</v>
      </c>
      <c r="L3016">
        <v>0.46</v>
      </c>
      <c r="M3016" t="s">
        <v>1574</v>
      </c>
      <c r="N3016">
        <v>1048886</v>
      </c>
      <c r="R3016">
        <v>14.6</v>
      </c>
      <c r="S3016">
        <v>3.93</v>
      </c>
      <c r="AA3016">
        <v>-0.1</v>
      </c>
      <c r="AB3016" t="s">
        <v>1397</v>
      </c>
      <c r="AC3016" t="s">
        <v>7713</v>
      </c>
      <c r="AD3016" t="s">
        <v>2685</v>
      </c>
      <c r="AE3016" t="s">
        <v>755</v>
      </c>
      <c r="AF3016" t="s">
        <v>1643</v>
      </c>
      <c r="AG3016" t="s">
        <v>344</v>
      </c>
      <c r="AH3016" t="s">
        <v>271</v>
      </c>
      <c r="AI3016" t="s">
        <v>164</v>
      </c>
      <c r="AJ3016" t="s">
        <v>164</v>
      </c>
      <c r="AK3016" t="s">
        <v>1085</v>
      </c>
      <c r="AL3016">
        <v>9.58</v>
      </c>
      <c r="AM3016">
        <v>9.26</v>
      </c>
      <c r="AN3016">
        <v>0.44</v>
      </c>
      <c r="AO3016" t="s">
        <v>7255</v>
      </c>
      <c r="AP3016" t="s">
        <v>26950</v>
      </c>
      <c r="AQ3016" t="s">
        <v>26951</v>
      </c>
      <c r="AR3016" t="s">
        <v>2235</v>
      </c>
      <c r="AS3016" t="s">
        <v>169</v>
      </c>
      <c r="AT3016" t="s">
        <v>2418</v>
      </c>
      <c r="AU3016" t="s">
        <v>2076</v>
      </c>
      <c r="AV3016" t="s">
        <v>15289</v>
      </c>
      <c r="AW3016" t="s">
        <v>448</v>
      </c>
      <c r="AX3016" t="s">
        <v>4850</v>
      </c>
      <c r="AY3016" t="s">
        <v>26952</v>
      </c>
      <c r="AZ3016" t="s">
        <v>12434</v>
      </c>
      <c r="BA3016">
        <v>2</v>
      </c>
      <c r="BB3016">
        <v>6170.34</v>
      </c>
      <c r="BC3016">
        <v>0.6</v>
      </c>
      <c r="BD3016">
        <v>0.46</v>
      </c>
      <c r="BE3016">
        <v>0.47</v>
      </c>
      <c r="BF3016">
        <v>0.46</v>
      </c>
      <c r="BG3016" t="s">
        <v>26953</v>
      </c>
      <c r="BH3016" t="s">
        <v>1662</v>
      </c>
      <c r="BI3016" t="s">
        <v>12434</v>
      </c>
      <c r="BJ3016" t="s">
        <v>101</v>
      </c>
      <c r="BK3016" t="s">
        <v>5781</v>
      </c>
      <c r="BL3016" t="s">
        <v>26954</v>
      </c>
      <c r="BM3016" t="s">
        <v>20040</v>
      </c>
      <c r="BN3016" t="s">
        <v>23454</v>
      </c>
    </row>
    <row r="3017" spans="1:66" x14ac:dyDescent="0.25">
      <c r="A3017" t="str">
        <f>HYPERLINK("https://elite.finviz.com/quote.ashx?t=SMCI&amp;ty=c&amp;p=d&amp;b=1", "SMCI")</f>
        <v>SMCI</v>
      </c>
      <c r="B3017">
        <v>5</v>
      </c>
      <c r="C3017">
        <v>116.22</v>
      </c>
      <c r="D3017">
        <v>47.53</v>
      </c>
      <c r="E3017" t="s">
        <v>26955</v>
      </c>
      <c r="F3017" t="s">
        <v>195</v>
      </c>
      <c r="G3017" t="s">
        <v>108</v>
      </c>
      <c r="H3017" t="s">
        <v>496</v>
      </c>
      <c r="I3017" t="s">
        <v>70</v>
      </c>
      <c r="J3017" t="s">
        <v>321</v>
      </c>
      <c r="K3017">
        <v>26528.36</v>
      </c>
      <c r="L3017">
        <v>44.64</v>
      </c>
      <c r="M3017" t="s">
        <v>5309</v>
      </c>
      <c r="N3017">
        <v>8201815</v>
      </c>
      <c r="O3017">
        <v>26.9</v>
      </c>
      <c r="P3017">
        <v>13.46</v>
      </c>
      <c r="Q3017">
        <v>1.38</v>
      </c>
      <c r="R3017">
        <v>1.21</v>
      </c>
      <c r="S3017">
        <v>4.21</v>
      </c>
      <c r="Z3017" t="s">
        <v>164</v>
      </c>
      <c r="AA3017">
        <v>1.66</v>
      </c>
      <c r="AB3017" t="s">
        <v>18154</v>
      </c>
      <c r="AC3017" t="s">
        <v>26956</v>
      </c>
      <c r="AD3017" t="s">
        <v>15580</v>
      </c>
      <c r="AE3017" t="s">
        <v>10277</v>
      </c>
      <c r="AF3017" t="s">
        <v>26957</v>
      </c>
      <c r="AG3017" t="s">
        <v>3093</v>
      </c>
      <c r="AH3017" t="s">
        <v>712</v>
      </c>
      <c r="AI3017" t="s">
        <v>14874</v>
      </c>
      <c r="AJ3017" t="s">
        <v>4501</v>
      </c>
      <c r="AK3017" t="s">
        <v>26958</v>
      </c>
      <c r="AL3017">
        <v>5.25</v>
      </c>
      <c r="AM3017">
        <v>3.25</v>
      </c>
      <c r="AN3017">
        <v>0.76</v>
      </c>
      <c r="AO3017" t="s">
        <v>18151</v>
      </c>
      <c r="AP3017" t="s">
        <v>1772</v>
      </c>
      <c r="AQ3017" t="s">
        <v>161</v>
      </c>
      <c r="AR3017" t="s">
        <v>4678</v>
      </c>
      <c r="AS3017" t="s">
        <v>2821</v>
      </c>
      <c r="AT3017" t="s">
        <v>3757</v>
      </c>
      <c r="AU3017" t="s">
        <v>5578</v>
      </c>
      <c r="AV3017" t="s">
        <v>1078</v>
      </c>
      <c r="AW3017" t="s">
        <v>22018</v>
      </c>
      <c r="AX3017" t="s">
        <v>3798</v>
      </c>
      <c r="AY3017" t="s">
        <v>24745</v>
      </c>
      <c r="AZ3017" t="s">
        <v>26959</v>
      </c>
      <c r="BA3017">
        <v>2.5499999999999998</v>
      </c>
      <c r="BB3017">
        <v>34241.19</v>
      </c>
      <c r="BC3017">
        <v>0.84</v>
      </c>
      <c r="BD3017">
        <v>46.24</v>
      </c>
      <c r="BE3017">
        <v>45.97</v>
      </c>
      <c r="BF3017">
        <v>44.44</v>
      </c>
      <c r="BG3017" t="s">
        <v>26960</v>
      </c>
      <c r="BH3017" t="s">
        <v>6575</v>
      </c>
      <c r="BI3017" t="s">
        <v>26961</v>
      </c>
      <c r="BJ3017" t="s">
        <v>101</v>
      </c>
      <c r="BK3017" t="s">
        <v>6775</v>
      </c>
      <c r="BL3017" t="s">
        <v>8003</v>
      </c>
      <c r="BM3017" t="s">
        <v>4289</v>
      </c>
      <c r="BN3017" t="s">
        <v>23454</v>
      </c>
    </row>
    <row r="3018" spans="1:66" x14ac:dyDescent="0.25">
      <c r="A3018" t="str">
        <f>HYPERLINK("https://elite.finviz.com/quote.ashx?t=DT&amp;ty=c&amp;p=d&amp;b=1", "DT")</f>
        <v>DT</v>
      </c>
      <c r="B3018">
        <v>5</v>
      </c>
      <c r="C3018">
        <v>116.22</v>
      </c>
      <c r="D3018">
        <v>47.57</v>
      </c>
      <c r="E3018" t="s">
        <v>26962</v>
      </c>
      <c r="F3018" t="s">
        <v>107</v>
      </c>
      <c r="G3018" t="s">
        <v>108</v>
      </c>
      <c r="H3018" t="s">
        <v>136</v>
      </c>
      <c r="I3018" t="s">
        <v>70</v>
      </c>
      <c r="J3018" t="s">
        <v>71</v>
      </c>
      <c r="K3018">
        <v>14671.29</v>
      </c>
      <c r="L3018">
        <v>48.66</v>
      </c>
      <c r="M3018" t="s">
        <v>2275</v>
      </c>
      <c r="N3018">
        <v>388480</v>
      </c>
      <c r="O3018">
        <v>29.95</v>
      </c>
      <c r="P3018">
        <v>26.86</v>
      </c>
      <c r="Q3018">
        <v>2.0499999999999998</v>
      </c>
      <c r="R3018">
        <v>8.26</v>
      </c>
      <c r="S3018">
        <v>5.44</v>
      </c>
      <c r="Z3018" t="s">
        <v>164</v>
      </c>
      <c r="AA3018">
        <v>1.62</v>
      </c>
      <c r="AB3018" t="s">
        <v>3945</v>
      </c>
      <c r="AD3018" t="s">
        <v>1563</v>
      </c>
      <c r="AE3018" t="s">
        <v>13570</v>
      </c>
      <c r="AF3018" t="s">
        <v>2556</v>
      </c>
      <c r="AG3018" t="s">
        <v>10798</v>
      </c>
      <c r="AH3018" t="s">
        <v>12410</v>
      </c>
      <c r="AI3018" t="s">
        <v>1199</v>
      </c>
      <c r="AJ3018" t="s">
        <v>552</v>
      </c>
      <c r="AK3018" t="s">
        <v>19941</v>
      </c>
      <c r="AL3018">
        <v>1.41</v>
      </c>
      <c r="AM3018">
        <v>1.41</v>
      </c>
      <c r="AN3018">
        <v>0.03</v>
      </c>
      <c r="AO3018" t="s">
        <v>26963</v>
      </c>
      <c r="AP3018" t="s">
        <v>3920</v>
      </c>
      <c r="AQ3018" t="s">
        <v>13013</v>
      </c>
      <c r="AR3018" t="s">
        <v>2868</v>
      </c>
      <c r="AS3018" t="s">
        <v>2742</v>
      </c>
      <c r="AT3018" t="s">
        <v>1226</v>
      </c>
      <c r="AU3018" t="s">
        <v>5661</v>
      </c>
      <c r="AV3018" t="s">
        <v>3401</v>
      </c>
      <c r="AW3018" t="s">
        <v>10227</v>
      </c>
      <c r="AX3018" t="s">
        <v>336</v>
      </c>
      <c r="AY3018" t="s">
        <v>9694</v>
      </c>
      <c r="AZ3018" t="s">
        <v>10128</v>
      </c>
      <c r="BA3018">
        <v>1.57</v>
      </c>
      <c r="BB3018">
        <v>3138.9</v>
      </c>
      <c r="BC3018">
        <v>0.44</v>
      </c>
      <c r="BD3018">
        <v>48.6</v>
      </c>
      <c r="BE3018">
        <v>48.94</v>
      </c>
      <c r="BF3018">
        <v>48.28</v>
      </c>
      <c r="BG3018" t="s">
        <v>26964</v>
      </c>
      <c r="BH3018" t="s">
        <v>10092</v>
      </c>
      <c r="BI3018" t="s">
        <v>26965</v>
      </c>
      <c r="BJ3018" t="s">
        <v>101</v>
      </c>
      <c r="BK3018" t="s">
        <v>10687</v>
      </c>
      <c r="BL3018" t="s">
        <v>9084</v>
      </c>
      <c r="BM3018" t="s">
        <v>9489</v>
      </c>
      <c r="BN3018" t="s">
        <v>23454</v>
      </c>
    </row>
    <row r="3019" spans="1:66" x14ac:dyDescent="0.25">
      <c r="A3019" t="str">
        <f>HYPERLINK("https://elite.finviz.com/quote.ashx?t=EVOK&amp;ty=c&amp;p=d&amp;b=1", "EVOK")</f>
        <v>EVOK</v>
      </c>
      <c r="B3019">
        <v>5</v>
      </c>
      <c r="C3019">
        <v>116.22</v>
      </c>
      <c r="D3019">
        <v>47.58</v>
      </c>
      <c r="E3019" t="s">
        <v>26966</v>
      </c>
      <c r="F3019" t="s">
        <v>107</v>
      </c>
      <c r="G3019" t="s">
        <v>428</v>
      </c>
      <c r="H3019" t="s">
        <v>1296</v>
      </c>
      <c r="I3019" t="s">
        <v>70</v>
      </c>
      <c r="J3019" t="s">
        <v>321</v>
      </c>
      <c r="K3019">
        <v>7.89</v>
      </c>
      <c r="L3019">
        <v>5.0599999999999996</v>
      </c>
      <c r="M3019" t="s">
        <v>1457</v>
      </c>
      <c r="N3019">
        <v>17584</v>
      </c>
      <c r="P3019">
        <v>7.91</v>
      </c>
      <c r="R3019">
        <v>0.62</v>
      </c>
      <c r="S3019">
        <v>1.73</v>
      </c>
      <c r="AA3019">
        <v>-2.87</v>
      </c>
      <c r="AB3019" t="s">
        <v>15319</v>
      </c>
      <c r="AC3019" t="s">
        <v>1677</v>
      </c>
      <c r="AE3019" t="s">
        <v>26817</v>
      </c>
      <c r="AF3019" t="s">
        <v>11243</v>
      </c>
      <c r="AH3019" t="s">
        <v>5784</v>
      </c>
      <c r="AI3019" t="s">
        <v>26967</v>
      </c>
      <c r="AJ3019" t="s">
        <v>164</v>
      </c>
      <c r="AK3019" t="s">
        <v>6238</v>
      </c>
      <c r="AL3019">
        <v>1.37</v>
      </c>
      <c r="AM3019">
        <v>1.32</v>
      </c>
      <c r="AN3019">
        <v>1.17</v>
      </c>
      <c r="AO3019" t="s">
        <v>26968</v>
      </c>
      <c r="AP3019" t="s">
        <v>18902</v>
      </c>
      <c r="AQ3019" t="s">
        <v>17768</v>
      </c>
      <c r="AR3019" t="s">
        <v>975</v>
      </c>
      <c r="AS3019" t="s">
        <v>7699</v>
      </c>
      <c r="AT3019" t="s">
        <v>3559</v>
      </c>
      <c r="AU3019" t="s">
        <v>1067</v>
      </c>
      <c r="AV3019" t="s">
        <v>22196</v>
      </c>
      <c r="AW3019" t="s">
        <v>1878</v>
      </c>
      <c r="AX3019" t="s">
        <v>22254</v>
      </c>
      <c r="AY3019" t="s">
        <v>26969</v>
      </c>
      <c r="AZ3019" t="s">
        <v>5430</v>
      </c>
      <c r="BA3019">
        <v>1</v>
      </c>
      <c r="BB3019">
        <v>2432.12</v>
      </c>
      <c r="BC3019">
        <v>0.03</v>
      </c>
      <c r="BD3019">
        <v>5.01</v>
      </c>
      <c r="BE3019">
        <v>5.01</v>
      </c>
      <c r="BF3019">
        <v>4.75</v>
      </c>
      <c r="BG3019" t="s">
        <v>26970</v>
      </c>
      <c r="BH3019" t="s">
        <v>18975</v>
      </c>
      <c r="BI3019" t="s">
        <v>5430</v>
      </c>
      <c r="BJ3019" t="s">
        <v>101</v>
      </c>
      <c r="BK3019" t="s">
        <v>15615</v>
      </c>
      <c r="BL3019" t="s">
        <v>15483</v>
      </c>
      <c r="BM3019" t="s">
        <v>1417</v>
      </c>
      <c r="BN3019" t="s">
        <v>23454</v>
      </c>
    </row>
    <row r="3020" spans="1:66" x14ac:dyDescent="0.25">
      <c r="A3020" t="str">
        <f>HYPERLINK("https://elite.finviz.com/quote.ashx?t=BTBT&amp;ty=c&amp;p=d&amp;b=1", "BTBT")</f>
        <v>BTBT</v>
      </c>
      <c r="B3020">
        <v>5</v>
      </c>
      <c r="C3020">
        <v>116.22</v>
      </c>
      <c r="D3020">
        <v>47.61</v>
      </c>
      <c r="E3020" t="s">
        <v>26971</v>
      </c>
      <c r="F3020" t="s">
        <v>67</v>
      </c>
      <c r="G3020" t="s">
        <v>550</v>
      </c>
      <c r="H3020" t="s">
        <v>551</v>
      </c>
      <c r="I3020" t="s">
        <v>70</v>
      </c>
      <c r="J3020" t="s">
        <v>321</v>
      </c>
      <c r="K3020">
        <v>925.72</v>
      </c>
      <c r="L3020">
        <v>2.88</v>
      </c>
      <c r="M3020" t="s">
        <v>4150</v>
      </c>
      <c r="N3020">
        <v>6661386</v>
      </c>
      <c r="P3020">
        <v>40</v>
      </c>
      <c r="R3020">
        <v>9.3000000000000007</v>
      </c>
      <c r="S3020">
        <v>1.31</v>
      </c>
      <c r="Z3020" t="s">
        <v>164</v>
      </c>
      <c r="AA3020">
        <v>-0.34</v>
      </c>
      <c r="AD3020" t="s">
        <v>5707</v>
      </c>
      <c r="AE3020" t="s">
        <v>3405</v>
      </c>
      <c r="AF3020" t="s">
        <v>4142</v>
      </c>
      <c r="AH3020" t="s">
        <v>5123</v>
      </c>
      <c r="AI3020" t="s">
        <v>26972</v>
      </c>
      <c r="AJ3020" t="s">
        <v>3532</v>
      </c>
      <c r="AK3020" t="s">
        <v>8753</v>
      </c>
      <c r="AL3020">
        <v>7.8</v>
      </c>
      <c r="AM3020">
        <v>7.8</v>
      </c>
      <c r="AN3020">
        <v>7.0000000000000007E-2</v>
      </c>
      <c r="AO3020" t="s">
        <v>3962</v>
      </c>
      <c r="AP3020" t="s">
        <v>10849</v>
      </c>
      <c r="AQ3020" t="s">
        <v>14337</v>
      </c>
      <c r="AR3020" t="s">
        <v>929</v>
      </c>
      <c r="AS3020" t="s">
        <v>11629</v>
      </c>
      <c r="AT3020" t="s">
        <v>4840</v>
      </c>
      <c r="AU3020" t="s">
        <v>7193</v>
      </c>
      <c r="AV3020" t="s">
        <v>2662</v>
      </c>
      <c r="AW3020" t="s">
        <v>13292</v>
      </c>
      <c r="AX3020" t="s">
        <v>7762</v>
      </c>
      <c r="AY3020" t="s">
        <v>26973</v>
      </c>
      <c r="AZ3020" t="s">
        <v>26974</v>
      </c>
      <c r="BA3020">
        <v>1</v>
      </c>
      <c r="BB3020">
        <v>41345.72</v>
      </c>
      <c r="BC3020">
        <v>0.56999999999999995</v>
      </c>
      <c r="BD3020">
        <v>2.94</v>
      </c>
      <c r="BE3020">
        <v>2.95</v>
      </c>
      <c r="BF3020">
        <v>2.83</v>
      </c>
      <c r="BG3020" t="s">
        <v>26975</v>
      </c>
      <c r="BH3020" t="s">
        <v>26976</v>
      </c>
      <c r="BI3020" t="s">
        <v>26977</v>
      </c>
      <c r="BJ3020" t="s">
        <v>101</v>
      </c>
      <c r="BK3020" t="s">
        <v>13873</v>
      </c>
      <c r="BL3020" t="s">
        <v>8474</v>
      </c>
      <c r="BM3020" t="s">
        <v>2914</v>
      </c>
      <c r="BN3020" t="s">
        <v>23454</v>
      </c>
    </row>
    <row r="3021" spans="1:66" x14ac:dyDescent="0.25">
      <c r="A3021" t="str">
        <f>HYPERLINK("https://elite.finviz.com/quote.ashx?t=SDGR&amp;ty=c&amp;p=d&amp;b=1", "SDGR")</f>
        <v>SDGR</v>
      </c>
      <c r="B3021">
        <v>5</v>
      </c>
      <c r="C3021">
        <v>116.22</v>
      </c>
      <c r="D3021">
        <v>47.61</v>
      </c>
      <c r="E3021" t="s">
        <v>26978</v>
      </c>
      <c r="F3021" t="s">
        <v>67</v>
      </c>
      <c r="G3021" t="s">
        <v>428</v>
      </c>
      <c r="H3021" t="s">
        <v>2075</v>
      </c>
      <c r="I3021" t="s">
        <v>70</v>
      </c>
      <c r="J3021" t="s">
        <v>321</v>
      </c>
      <c r="K3021">
        <v>1408.08</v>
      </c>
      <c r="L3021">
        <v>19.13</v>
      </c>
      <c r="M3021" t="s">
        <v>2362</v>
      </c>
      <c r="N3021">
        <v>101185</v>
      </c>
      <c r="R3021">
        <v>5.92</v>
      </c>
      <c r="S3021">
        <v>4.1100000000000003</v>
      </c>
      <c r="AA3021">
        <v>-2.48</v>
      </c>
      <c r="AB3021" t="s">
        <v>6622</v>
      </c>
      <c r="AC3021" t="s">
        <v>17068</v>
      </c>
      <c r="AD3021" t="s">
        <v>13929</v>
      </c>
      <c r="AE3021" t="s">
        <v>705</v>
      </c>
      <c r="AF3021" t="s">
        <v>1563</v>
      </c>
      <c r="AG3021" t="s">
        <v>4331</v>
      </c>
      <c r="AH3021" t="s">
        <v>4834</v>
      </c>
      <c r="AI3021" t="s">
        <v>9722</v>
      </c>
      <c r="AJ3021" t="s">
        <v>1998</v>
      </c>
      <c r="AK3021" t="s">
        <v>13931</v>
      </c>
      <c r="AL3021">
        <v>3.3</v>
      </c>
      <c r="AM3021">
        <v>3.3</v>
      </c>
      <c r="AN3021">
        <v>0.33</v>
      </c>
      <c r="AO3021" t="s">
        <v>8461</v>
      </c>
      <c r="AP3021" t="s">
        <v>2179</v>
      </c>
      <c r="AQ3021" t="s">
        <v>26979</v>
      </c>
      <c r="AR3021" t="s">
        <v>1088</v>
      </c>
      <c r="AS3021" t="s">
        <v>6726</v>
      </c>
      <c r="AT3021" t="s">
        <v>4494</v>
      </c>
      <c r="AU3021" t="s">
        <v>9279</v>
      </c>
      <c r="AV3021" t="s">
        <v>7672</v>
      </c>
      <c r="AW3021" t="s">
        <v>19672</v>
      </c>
      <c r="AX3021" t="s">
        <v>3918</v>
      </c>
      <c r="AY3021" t="s">
        <v>24745</v>
      </c>
      <c r="AZ3021" t="s">
        <v>13015</v>
      </c>
      <c r="BA3021">
        <v>1.56</v>
      </c>
      <c r="BB3021">
        <v>1142.75</v>
      </c>
      <c r="BC3021">
        <v>0.31</v>
      </c>
      <c r="BD3021">
        <v>19.03</v>
      </c>
      <c r="BE3021">
        <v>19.329999999999998</v>
      </c>
      <c r="BF3021">
        <v>19.03</v>
      </c>
      <c r="BG3021" t="s">
        <v>26980</v>
      </c>
      <c r="BH3021" t="s">
        <v>10630</v>
      </c>
      <c r="BI3021" t="s">
        <v>5192</v>
      </c>
      <c r="BJ3021" t="s">
        <v>101</v>
      </c>
      <c r="BK3021" t="s">
        <v>14653</v>
      </c>
      <c r="BL3021" t="s">
        <v>15949</v>
      </c>
      <c r="BM3021" t="s">
        <v>5166</v>
      </c>
      <c r="BN3021" t="s">
        <v>23454</v>
      </c>
    </row>
    <row r="3022" spans="1:66" x14ac:dyDescent="0.25">
      <c r="A3022" t="str">
        <f>HYPERLINK("https://elite.finviz.com/quote.ashx?t=BSLK&amp;ty=c&amp;p=d&amp;b=1", "BSLK")</f>
        <v>BSLK</v>
      </c>
      <c r="B3022">
        <v>5</v>
      </c>
      <c r="C3022">
        <v>116.22</v>
      </c>
      <c r="D3022">
        <v>47.67</v>
      </c>
      <c r="E3022" t="s">
        <v>26981</v>
      </c>
      <c r="F3022" t="s">
        <v>107</v>
      </c>
      <c r="G3022" t="s">
        <v>355</v>
      </c>
      <c r="H3022" t="s">
        <v>1147</v>
      </c>
      <c r="I3022" t="s">
        <v>70</v>
      </c>
      <c r="J3022" t="s">
        <v>321</v>
      </c>
      <c r="K3022">
        <v>11.59</v>
      </c>
      <c r="L3022">
        <v>4</v>
      </c>
      <c r="M3022" t="s">
        <v>1338</v>
      </c>
      <c r="N3022">
        <v>81306</v>
      </c>
      <c r="R3022">
        <v>4.1900000000000004</v>
      </c>
      <c r="AA3022">
        <v>-2.5099999999999998</v>
      </c>
      <c r="AJ3022" t="s">
        <v>4831</v>
      </c>
      <c r="AK3022" t="s">
        <v>537</v>
      </c>
      <c r="AL3022">
        <v>0.37</v>
      </c>
      <c r="AM3022">
        <v>0.33</v>
      </c>
      <c r="AO3022" t="s">
        <v>3551</v>
      </c>
      <c r="AP3022" t="s">
        <v>26982</v>
      </c>
      <c r="AQ3022" t="s">
        <v>26983</v>
      </c>
      <c r="AR3022" t="s">
        <v>1575</v>
      </c>
      <c r="AS3022" t="s">
        <v>4074</v>
      </c>
      <c r="AT3022" t="s">
        <v>371</v>
      </c>
      <c r="AU3022" t="s">
        <v>967</v>
      </c>
      <c r="AV3022" t="s">
        <v>23580</v>
      </c>
      <c r="AW3022" t="s">
        <v>25248</v>
      </c>
      <c r="AX3022" t="s">
        <v>26984</v>
      </c>
      <c r="AY3022" t="s">
        <v>5982</v>
      </c>
      <c r="AZ3022" t="s">
        <v>26985</v>
      </c>
      <c r="BB3022">
        <v>8188.86</v>
      </c>
      <c r="BC3022">
        <v>0.03</v>
      </c>
      <c r="BD3022">
        <v>3.96</v>
      </c>
      <c r="BE3022">
        <v>4.08</v>
      </c>
      <c r="BF3022">
        <v>3.96</v>
      </c>
      <c r="BG3022" t="s">
        <v>26986</v>
      </c>
      <c r="BH3022" t="s">
        <v>1685</v>
      </c>
      <c r="BI3022" t="s">
        <v>26985</v>
      </c>
      <c r="BJ3022" t="s">
        <v>101</v>
      </c>
      <c r="BK3022" t="s">
        <v>21998</v>
      </c>
      <c r="BL3022" t="s">
        <v>14566</v>
      </c>
      <c r="BM3022" t="s">
        <v>26987</v>
      </c>
      <c r="BN3022" t="s">
        <v>23454</v>
      </c>
    </row>
    <row r="3023" spans="1:66" x14ac:dyDescent="0.25">
      <c r="A3023" t="str">
        <f>HYPERLINK("https://elite.finviz.com/quote.ashx?t=TGL&amp;ty=c&amp;p=d&amp;b=1", "TGL")</f>
        <v>TGL</v>
      </c>
      <c r="B3023">
        <v>5</v>
      </c>
      <c r="C3023">
        <v>116.22</v>
      </c>
      <c r="D3023">
        <v>47.7</v>
      </c>
      <c r="E3023" t="s">
        <v>26988</v>
      </c>
      <c r="F3023" t="s">
        <v>107</v>
      </c>
      <c r="G3023" t="s">
        <v>108</v>
      </c>
      <c r="H3023" t="s">
        <v>136</v>
      </c>
      <c r="I3023" t="s">
        <v>70</v>
      </c>
      <c r="J3023" t="s">
        <v>321</v>
      </c>
      <c r="K3023">
        <v>4.1100000000000003</v>
      </c>
      <c r="L3023">
        <v>1.08</v>
      </c>
      <c r="M3023" t="s">
        <v>164</v>
      </c>
      <c r="N3023">
        <v>197240</v>
      </c>
      <c r="R3023">
        <v>2.8</v>
      </c>
      <c r="S3023">
        <v>0.06</v>
      </c>
      <c r="AA3023">
        <v>-63.22</v>
      </c>
      <c r="AB3023" t="s">
        <v>20883</v>
      </c>
      <c r="AC3023" t="s">
        <v>26989</v>
      </c>
      <c r="AE3023" t="s">
        <v>1462</v>
      </c>
      <c r="AF3023" t="s">
        <v>4250</v>
      </c>
      <c r="AG3023" t="s">
        <v>26990</v>
      </c>
      <c r="AH3023" t="s">
        <v>26991</v>
      </c>
      <c r="AJ3023" t="s">
        <v>164</v>
      </c>
      <c r="AK3023" t="s">
        <v>3551</v>
      </c>
      <c r="AL3023">
        <v>8.18</v>
      </c>
      <c r="AM3023">
        <v>8.17</v>
      </c>
      <c r="AN3023">
        <v>0</v>
      </c>
      <c r="AO3023" t="s">
        <v>5659</v>
      </c>
      <c r="AP3023" t="s">
        <v>26992</v>
      </c>
      <c r="AQ3023" t="s">
        <v>18975</v>
      </c>
      <c r="AR3023" t="s">
        <v>1282</v>
      </c>
      <c r="AS3023" t="s">
        <v>7114</v>
      </c>
      <c r="AT3023" t="s">
        <v>2201</v>
      </c>
      <c r="AU3023" t="s">
        <v>799</v>
      </c>
      <c r="AV3023" t="s">
        <v>153</v>
      </c>
      <c r="AW3023" t="s">
        <v>26993</v>
      </c>
      <c r="AX3023" t="s">
        <v>880</v>
      </c>
      <c r="AY3023" t="s">
        <v>2181</v>
      </c>
      <c r="AZ3023" t="s">
        <v>880</v>
      </c>
      <c r="BB3023">
        <v>2321.67</v>
      </c>
      <c r="BC3023">
        <v>0.3</v>
      </c>
      <c r="BD3023">
        <v>1.08</v>
      </c>
      <c r="BE3023">
        <v>1.1000000000000001</v>
      </c>
      <c r="BF3023">
        <v>1.03</v>
      </c>
      <c r="BG3023" t="s">
        <v>26994</v>
      </c>
      <c r="BH3023" t="s">
        <v>579</v>
      </c>
      <c r="BI3023" t="s">
        <v>880</v>
      </c>
      <c r="BJ3023" t="s">
        <v>101</v>
      </c>
      <c r="BK3023" t="s">
        <v>2146</v>
      </c>
      <c r="BL3023" t="s">
        <v>18417</v>
      </c>
      <c r="BM3023" t="s">
        <v>26519</v>
      </c>
      <c r="BN3023" t="s">
        <v>23454</v>
      </c>
    </row>
    <row r="3024" spans="1:66" x14ac:dyDescent="0.25">
      <c r="A3024" t="str">
        <f>HYPERLINK("https://elite.finviz.com/quote.ashx?t=NFE&amp;ty=c&amp;p=d&amp;b=1", "NFE")</f>
        <v>NFE</v>
      </c>
      <c r="B3024">
        <v>5</v>
      </c>
      <c r="C3024">
        <v>116.22</v>
      </c>
      <c r="D3024">
        <v>47.71</v>
      </c>
      <c r="E3024" t="s">
        <v>26995</v>
      </c>
      <c r="F3024" t="s">
        <v>67</v>
      </c>
      <c r="G3024" t="s">
        <v>1048</v>
      </c>
      <c r="H3024" t="s">
        <v>3915</v>
      </c>
      <c r="I3024" t="s">
        <v>70</v>
      </c>
      <c r="J3024" t="s">
        <v>321</v>
      </c>
      <c r="K3024">
        <v>613.21</v>
      </c>
      <c r="L3024">
        <v>2.15</v>
      </c>
      <c r="M3024" t="s">
        <v>5368</v>
      </c>
      <c r="N3024">
        <v>5309716</v>
      </c>
      <c r="R3024">
        <v>0.3</v>
      </c>
      <c r="S3024">
        <v>0.48</v>
      </c>
      <c r="V3024" t="s">
        <v>25973</v>
      </c>
      <c r="AA3024">
        <v>-3.84</v>
      </c>
      <c r="AC3024" t="s">
        <v>7453</v>
      </c>
      <c r="AE3024" t="s">
        <v>6734</v>
      </c>
      <c r="AF3024" t="s">
        <v>16012</v>
      </c>
      <c r="AG3024" t="s">
        <v>26996</v>
      </c>
      <c r="AH3024" t="s">
        <v>12713</v>
      </c>
      <c r="AI3024" t="s">
        <v>26997</v>
      </c>
      <c r="AJ3024" t="s">
        <v>164</v>
      </c>
      <c r="AK3024" t="s">
        <v>23136</v>
      </c>
      <c r="AL3024">
        <v>0.67</v>
      </c>
      <c r="AM3024">
        <v>0.64</v>
      </c>
      <c r="AN3024">
        <v>7.4</v>
      </c>
      <c r="AO3024" t="s">
        <v>12507</v>
      </c>
      <c r="AP3024" t="s">
        <v>3003</v>
      </c>
      <c r="AQ3024" t="s">
        <v>18477</v>
      </c>
      <c r="AR3024" t="s">
        <v>3710</v>
      </c>
      <c r="AS3024" t="s">
        <v>1562</v>
      </c>
      <c r="AT3024" t="s">
        <v>2721</v>
      </c>
      <c r="AU3024" t="s">
        <v>3080</v>
      </c>
      <c r="AV3024" t="s">
        <v>8635</v>
      </c>
      <c r="AW3024" t="s">
        <v>26998</v>
      </c>
      <c r="AX3024" t="s">
        <v>13846</v>
      </c>
      <c r="AY3024" t="s">
        <v>26999</v>
      </c>
      <c r="AZ3024" t="s">
        <v>13846</v>
      </c>
      <c r="BA3024">
        <v>2.8</v>
      </c>
      <c r="BB3024">
        <v>16502.349999999999</v>
      </c>
      <c r="BC3024">
        <v>1.1299999999999999</v>
      </c>
      <c r="BD3024">
        <v>2.25</v>
      </c>
      <c r="BE3024">
        <v>2.3199999999999998</v>
      </c>
      <c r="BF3024">
        <v>2.13</v>
      </c>
      <c r="BG3024" t="s">
        <v>27000</v>
      </c>
      <c r="BH3024" t="s">
        <v>22951</v>
      </c>
      <c r="BI3024" t="s">
        <v>13846</v>
      </c>
      <c r="BJ3024" t="s">
        <v>101</v>
      </c>
      <c r="BK3024" t="s">
        <v>10520</v>
      </c>
      <c r="BL3024" t="s">
        <v>24739</v>
      </c>
      <c r="BM3024" t="s">
        <v>27001</v>
      </c>
      <c r="BN3024" t="s">
        <v>23454</v>
      </c>
    </row>
    <row r="3025" spans="1:66" x14ac:dyDescent="0.25">
      <c r="A3025" t="str">
        <f>HYPERLINK("https://elite.finviz.com/quote.ashx?t=DARE&amp;ty=c&amp;p=d&amp;b=1", "DARE")</f>
        <v>DARE</v>
      </c>
      <c r="B3025">
        <v>5</v>
      </c>
      <c r="C3025">
        <v>116.22</v>
      </c>
      <c r="D3025">
        <v>47.77</v>
      </c>
      <c r="E3025" t="s">
        <v>27002</v>
      </c>
      <c r="F3025" t="s">
        <v>107</v>
      </c>
      <c r="G3025" t="s">
        <v>428</v>
      </c>
      <c r="H3025" t="s">
        <v>429</v>
      </c>
      <c r="I3025" t="s">
        <v>70</v>
      </c>
      <c r="J3025" t="s">
        <v>321</v>
      </c>
      <c r="K3025">
        <v>28.17</v>
      </c>
      <c r="L3025">
        <v>2.09</v>
      </c>
      <c r="M3025" t="s">
        <v>4801</v>
      </c>
      <c r="N3025">
        <v>40156</v>
      </c>
      <c r="R3025">
        <v>14.99</v>
      </c>
      <c r="AA3025">
        <v>-0.44</v>
      </c>
      <c r="AB3025" t="s">
        <v>15552</v>
      </c>
      <c r="AC3025" t="s">
        <v>1796</v>
      </c>
      <c r="AE3025" t="s">
        <v>3262</v>
      </c>
      <c r="AH3025" t="s">
        <v>27003</v>
      </c>
      <c r="AI3025" t="s">
        <v>15526</v>
      </c>
      <c r="AJ3025" t="s">
        <v>164</v>
      </c>
      <c r="AK3025" t="s">
        <v>3372</v>
      </c>
      <c r="AL3025">
        <v>0.34</v>
      </c>
      <c r="AM3025">
        <v>0.34</v>
      </c>
      <c r="AO3025" t="s">
        <v>27004</v>
      </c>
      <c r="AP3025" t="s">
        <v>27005</v>
      </c>
      <c r="AQ3025" t="s">
        <v>27006</v>
      </c>
      <c r="AR3025" t="s">
        <v>1148</v>
      </c>
      <c r="AS3025" t="s">
        <v>3613</v>
      </c>
      <c r="AT3025" t="s">
        <v>3227</v>
      </c>
      <c r="AU3025" t="s">
        <v>9814</v>
      </c>
      <c r="AV3025" t="s">
        <v>3395</v>
      </c>
      <c r="AW3025" t="s">
        <v>25379</v>
      </c>
      <c r="AX3025" t="s">
        <v>1476</v>
      </c>
      <c r="AY3025" t="s">
        <v>7758</v>
      </c>
      <c r="AZ3025" t="s">
        <v>1476</v>
      </c>
      <c r="BA3025">
        <v>1</v>
      </c>
      <c r="BB3025">
        <v>1545.09</v>
      </c>
      <c r="BC3025">
        <v>0.09</v>
      </c>
      <c r="BD3025">
        <v>2.08</v>
      </c>
      <c r="BE3025">
        <v>2.11</v>
      </c>
      <c r="BF3025">
        <v>2.0499999999999998</v>
      </c>
      <c r="BG3025" t="s">
        <v>27007</v>
      </c>
      <c r="BH3025" t="s">
        <v>21446</v>
      </c>
      <c r="BI3025" t="s">
        <v>1476</v>
      </c>
      <c r="BJ3025" t="s">
        <v>101</v>
      </c>
      <c r="BK3025" t="s">
        <v>19716</v>
      </c>
      <c r="BL3025" t="s">
        <v>24765</v>
      </c>
      <c r="BM3025" t="s">
        <v>12054</v>
      </c>
      <c r="BN3025" t="s">
        <v>23454</v>
      </c>
    </row>
    <row r="3026" spans="1:66" x14ac:dyDescent="0.25">
      <c r="A3026" t="str">
        <f>HYPERLINK("https://elite.finviz.com/quote.ashx?t=BG&amp;ty=c&amp;p=d&amp;b=1", "BG")</f>
        <v>BG</v>
      </c>
      <c r="B3026">
        <v>5</v>
      </c>
      <c r="C3026">
        <v>116.22</v>
      </c>
      <c r="D3026">
        <v>47.84</v>
      </c>
      <c r="E3026" t="s">
        <v>27008</v>
      </c>
      <c r="F3026" t="s">
        <v>195</v>
      </c>
      <c r="G3026" t="s">
        <v>2244</v>
      </c>
      <c r="H3026" t="s">
        <v>5735</v>
      </c>
      <c r="I3026" t="s">
        <v>70</v>
      </c>
      <c r="J3026" t="s">
        <v>71</v>
      </c>
      <c r="K3026">
        <v>16056.97</v>
      </c>
      <c r="L3026">
        <v>80.260000000000005</v>
      </c>
      <c r="M3026" t="s">
        <v>1837</v>
      </c>
      <c r="N3026">
        <v>270207</v>
      </c>
      <c r="O3026">
        <v>8.02</v>
      </c>
      <c r="P3026">
        <v>9.56</v>
      </c>
      <c r="R3026">
        <v>0.32</v>
      </c>
      <c r="S3026">
        <v>0.99</v>
      </c>
      <c r="T3026" t="s">
        <v>4394</v>
      </c>
      <c r="U3026">
        <v>2.76</v>
      </c>
      <c r="V3026" t="s">
        <v>27009</v>
      </c>
      <c r="W3026" t="s">
        <v>3521</v>
      </c>
      <c r="X3026" t="s">
        <v>3189</v>
      </c>
      <c r="Y3026" t="s">
        <v>2065</v>
      </c>
      <c r="Z3026" t="s">
        <v>17059</v>
      </c>
      <c r="AA3026">
        <v>10.01</v>
      </c>
      <c r="AB3026" t="s">
        <v>11532</v>
      </c>
      <c r="AD3026" t="s">
        <v>4086</v>
      </c>
      <c r="AE3026" t="s">
        <v>16666</v>
      </c>
      <c r="AF3026" t="s">
        <v>5606</v>
      </c>
      <c r="AG3026" t="s">
        <v>2293</v>
      </c>
      <c r="AH3026" t="s">
        <v>7582</v>
      </c>
      <c r="AI3026" t="s">
        <v>17487</v>
      </c>
      <c r="AJ3026" t="s">
        <v>406</v>
      </c>
      <c r="AK3026" t="s">
        <v>22371</v>
      </c>
      <c r="AL3026">
        <v>2.0699999999999998</v>
      </c>
      <c r="AM3026">
        <v>1.27</v>
      </c>
      <c r="AN3026">
        <v>1.1200000000000001</v>
      </c>
      <c r="AO3026" t="s">
        <v>3602</v>
      </c>
      <c r="AP3026" t="s">
        <v>6975</v>
      </c>
      <c r="AQ3026" t="s">
        <v>2496</v>
      </c>
      <c r="AR3026" t="s">
        <v>1761</v>
      </c>
      <c r="AS3026" t="s">
        <v>2496</v>
      </c>
      <c r="AT3026" t="s">
        <v>6407</v>
      </c>
      <c r="AU3026" t="s">
        <v>110</v>
      </c>
      <c r="AV3026" t="s">
        <v>4658</v>
      </c>
      <c r="AW3026" t="s">
        <v>967</v>
      </c>
      <c r="AX3026" t="s">
        <v>9196</v>
      </c>
      <c r="AY3026" t="s">
        <v>27010</v>
      </c>
      <c r="AZ3026" t="s">
        <v>8558</v>
      </c>
      <c r="BA3026">
        <v>1.83</v>
      </c>
      <c r="BB3026">
        <v>2038.29</v>
      </c>
      <c r="BC3026">
        <v>0.47</v>
      </c>
      <c r="BD3026">
        <v>79.39</v>
      </c>
      <c r="BE3026">
        <v>80.400000000000006</v>
      </c>
      <c r="BF3026">
        <v>79.510000000000005</v>
      </c>
      <c r="BG3026" t="s">
        <v>27011</v>
      </c>
      <c r="BH3026" t="s">
        <v>27012</v>
      </c>
      <c r="BI3026" t="s">
        <v>27013</v>
      </c>
      <c r="BJ3026" t="s">
        <v>101</v>
      </c>
      <c r="BK3026" t="s">
        <v>4191</v>
      </c>
      <c r="BL3026" t="s">
        <v>5102</v>
      </c>
      <c r="BM3026" t="s">
        <v>665</v>
      </c>
      <c r="BN3026" t="s">
        <v>23454</v>
      </c>
    </row>
    <row r="3027" spans="1:66" x14ac:dyDescent="0.25">
      <c r="A3027" t="str">
        <f>HYPERLINK("https://elite.finviz.com/quote.ashx?t=ASO&amp;ty=c&amp;p=d&amp;b=1", "ASO")</f>
        <v>ASO</v>
      </c>
      <c r="B3027">
        <v>5</v>
      </c>
      <c r="C3027">
        <v>116.22</v>
      </c>
      <c r="D3027">
        <v>47.99</v>
      </c>
      <c r="E3027" t="s">
        <v>27014</v>
      </c>
      <c r="F3027" t="s">
        <v>67</v>
      </c>
      <c r="G3027" t="s">
        <v>813</v>
      </c>
      <c r="H3027" t="s">
        <v>2262</v>
      </c>
      <c r="I3027" t="s">
        <v>70</v>
      </c>
      <c r="J3027" t="s">
        <v>321</v>
      </c>
      <c r="K3027">
        <v>3239.99</v>
      </c>
      <c r="L3027">
        <v>48.63</v>
      </c>
      <c r="M3027" t="s">
        <v>1303</v>
      </c>
      <c r="N3027">
        <v>207553</v>
      </c>
      <c r="O3027">
        <v>9.11</v>
      </c>
      <c r="P3027">
        <v>7.6</v>
      </c>
      <c r="Q3027">
        <v>1.49</v>
      </c>
      <c r="R3027">
        <v>0.54</v>
      </c>
      <c r="S3027">
        <v>1.56</v>
      </c>
      <c r="T3027" t="s">
        <v>3447</v>
      </c>
      <c r="U3027">
        <v>0.5</v>
      </c>
      <c r="V3027" t="s">
        <v>7788</v>
      </c>
      <c r="W3027" t="s">
        <v>10317</v>
      </c>
      <c r="Z3027" t="s">
        <v>7403</v>
      </c>
      <c r="AA3027">
        <v>5.34</v>
      </c>
      <c r="AB3027" t="s">
        <v>15013</v>
      </c>
      <c r="AC3027" t="s">
        <v>14138</v>
      </c>
      <c r="AD3027" t="s">
        <v>2174</v>
      </c>
      <c r="AE3027" t="s">
        <v>4595</v>
      </c>
      <c r="AF3027" t="s">
        <v>4187</v>
      </c>
      <c r="AG3027" t="s">
        <v>5331</v>
      </c>
      <c r="AH3027" t="s">
        <v>7284</v>
      </c>
      <c r="AI3027" t="s">
        <v>7190</v>
      </c>
      <c r="AJ3027" t="s">
        <v>148</v>
      </c>
      <c r="AK3027" t="s">
        <v>27015</v>
      </c>
      <c r="AL3027">
        <v>1.64</v>
      </c>
      <c r="AM3027">
        <v>0.33</v>
      </c>
      <c r="AN3027">
        <v>0.89</v>
      </c>
      <c r="AO3027" t="s">
        <v>6984</v>
      </c>
      <c r="AP3027" t="s">
        <v>7511</v>
      </c>
      <c r="AQ3027" t="s">
        <v>8925</v>
      </c>
      <c r="AR3027" t="s">
        <v>3500</v>
      </c>
      <c r="AS3027" t="s">
        <v>1088</v>
      </c>
      <c r="AT3027" t="s">
        <v>193</v>
      </c>
      <c r="AU3027" t="s">
        <v>6060</v>
      </c>
      <c r="AV3027" t="s">
        <v>183</v>
      </c>
      <c r="AW3027" t="s">
        <v>8624</v>
      </c>
      <c r="AX3027" t="s">
        <v>4966</v>
      </c>
      <c r="AY3027" t="s">
        <v>14231</v>
      </c>
      <c r="AZ3027" t="s">
        <v>19804</v>
      </c>
      <c r="BA3027">
        <v>2.14</v>
      </c>
      <c r="BB3027">
        <v>1542.07</v>
      </c>
      <c r="BC3027">
        <v>0.47</v>
      </c>
      <c r="BD3027">
        <v>47.76</v>
      </c>
      <c r="BE3027">
        <v>48.7</v>
      </c>
      <c r="BF3027">
        <v>47.44</v>
      </c>
      <c r="BG3027" t="s">
        <v>27016</v>
      </c>
      <c r="BH3027" t="s">
        <v>7395</v>
      </c>
      <c r="BI3027" t="s">
        <v>27017</v>
      </c>
      <c r="BJ3027" t="s">
        <v>101</v>
      </c>
      <c r="BK3027" t="s">
        <v>371</v>
      </c>
      <c r="BL3027" t="s">
        <v>3047</v>
      </c>
      <c r="BM3027" t="s">
        <v>27018</v>
      </c>
      <c r="BN3027" t="s">
        <v>23454</v>
      </c>
    </row>
    <row r="3028" spans="1:66" x14ac:dyDescent="0.25">
      <c r="A3028" t="str">
        <f>HYPERLINK("https://elite.finviz.com/quote.ashx?t=FEIM&amp;ty=c&amp;p=d&amp;b=1", "FEIM")</f>
        <v>FEIM</v>
      </c>
      <c r="B3028">
        <v>5</v>
      </c>
      <c r="C3028">
        <v>116.22</v>
      </c>
      <c r="D3028">
        <v>48.12</v>
      </c>
      <c r="E3028" t="s">
        <v>27019</v>
      </c>
      <c r="F3028" t="s">
        <v>67</v>
      </c>
      <c r="G3028" t="s">
        <v>108</v>
      </c>
      <c r="H3028" t="s">
        <v>1921</v>
      </c>
      <c r="I3028" t="s">
        <v>70</v>
      </c>
      <c r="J3028" t="s">
        <v>321</v>
      </c>
      <c r="K3028">
        <v>285.56</v>
      </c>
      <c r="L3028">
        <v>29.29</v>
      </c>
      <c r="M3028" t="s">
        <v>196</v>
      </c>
      <c r="N3028">
        <v>28514</v>
      </c>
      <c r="O3028">
        <v>12.83</v>
      </c>
      <c r="P3028">
        <v>21.7</v>
      </c>
      <c r="R3028">
        <v>4.17</v>
      </c>
      <c r="S3028">
        <v>5.07</v>
      </c>
      <c r="V3028" t="s">
        <v>27020</v>
      </c>
      <c r="Z3028" t="s">
        <v>2330</v>
      </c>
      <c r="AA3028">
        <v>2.2799999999999998</v>
      </c>
      <c r="AD3028" t="s">
        <v>18148</v>
      </c>
      <c r="AE3028" t="s">
        <v>10775</v>
      </c>
      <c r="AF3028" t="s">
        <v>4109</v>
      </c>
      <c r="AG3028" t="s">
        <v>602</v>
      </c>
      <c r="AH3028" t="s">
        <v>1537</v>
      </c>
      <c r="AI3028" t="s">
        <v>27021</v>
      </c>
      <c r="AJ3028" t="s">
        <v>4794</v>
      </c>
      <c r="AK3028" t="s">
        <v>6819</v>
      </c>
      <c r="AL3028">
        <v>2.2999999999999998</v>
      </c>
      <c r="AM3028">
        <v>1.21</v>
      </c>
      <c r="AN3028">
        <v>0.15</v>
      </c>
      <c r="AO3028" t="s">
        <v>17899</v>
      </c>
      <c r="AP3028" t="s">
        <v>3420</v>
      </c>
      <c r="AQ3028" t="s">
        <v>25342</v>
      </c>
      <c r="AR3028" t="s">
        <v>3303</v>
      </c>
      <c r="AS3028" t="s">
        <v>6075</v>
      </c>
      <c r="AT3028" t="s">
        <v>2827</v>
      </c>
      <c r="AU3028" t="s">
        <v>182</v>
      </c>
      <c r="AV3028" t="s">
        <v>9150</v>
      </c>
      <c r="AW3028" t="s">
        <v>6688</v>
      </c>
      <c r="AX3028" t="s">
        <v>18744</v>
      </c>
      <c r="AY3028" t="s">
        <v>6688</v>
      </c>
      <c r="AZ3028" t="s">
        <v>27022</v>
      </c>
      <c r="BA3028">
        <v>1</v>
      </c>
      <c r="BB3028">
        <v>395.4</v>
      </c>
      <c r="BC3028">
        <v>0.25</v>
      </c>
      <c r="BD3028">
        <v>29.81</v>
      </c>
      <c r="BE3028">
        <v>29.81</v>
      </c>
      <c r="BF3028">
        <v>29</v>
      </c>
      <c r="BG3028" t="s">
        <v>27023</v>
      </c>
      <c r="BH3028" t="s">
        <v>6688</v>
      </c>
      <c r="BI3028" t="s">
        <v>27024</v>
      </c>
      <c r="BJ3028" t="s">
        <v>101</v>
      </c>
      <c r="BK3028" t="s">
        <v>13325</v>
      </c>
      <c r="BL3028" t="s">
        <v>20030</v>
      </c>
      <c r="BM3028" t="s">
        <v>27025</v>
      </c>
      <c r="BN3028" t="s">
        <v>26049</v>
      </c>
    </row>
    <row r="3029" spans="1:66" x14ac:dyDescent="0.25">
      <c r="A3029" t="str">
        <f>HYPERLINK("https://elite.finviz.com/quote.ashx?t=PCSA&amp;ty=c&amp;p=d&amp;b=1", "PCSA")</f>
        <v>PCSA</v>
      </c>
      <c r="B3029">
        <v>5</v>
      </c>
      <c r="C3029">
        <v>116.22</v>
      </c>
      <c r="D3029">
        <v>48.14</v>
      </c>
      <c r="E3029" t="s">
        <v>27026</v>
      </c>
      <c r="F3029" t="s">
        <v>107</v>
      </c>
      <c r="G3029" t="s">
        <v>428</v>
      </c>
      <c r="H3029" t="s">
        <v>429</v>
      </c>
      <c r="I3029" t="s">
        <v>70</v>
      </c>
      <c r="J3029" t="s">
        <v>321</v>
      </c>
      <c r="K3029">
        <v>9.99</v>
      </c>
      <c r="L3029">
        <v>0.2</v>
      </c>
      <c r="M3029" t="s">
        <v>3173</v>
      </c>
      <c r="N3029">
        <v>508856</v>
      </c>
      <c r="S3029">
        <v>1.31</v>
      </c>
      <c r="AA3029">
        <v>-2.3199999999999998</v>
      </c>
      <c r="AB3029" t="s">
        <v>1948</v>
      </c>
      <c r="AC3029" t="s">
        <v>3863</v>
      </c>
      <c r="AD3029" t="s">
        <v>9634</v>
      </c>
      <c r="AI3029" t="s">
        <v>5403</v>
      </c>
      <c r="AJ3029" t="s">
        <v>164</v>
      </c>
      <c r="AK3029" t="s">
        <v>1764</v>
      </c>
      <c r="AL3029">
        <v>3.45</v>
      </c>
      <c r="AM3029">
        <v>3.45</v>
      </c>
      <c r="AN3029">
        <v>0</v>
      </c>
      <c r="AR3029" t="s">
        <v>7019</v>
      </c>
      <c r="AS3029" t="s">
        <v>2584</v>
      </c>
      <c r="AT3029" t="s">
        <v>648</v>
      </c>
      <c r="AU3029" t="s">
        <v>6985</v>
      </c>
      <c r="AV3029" t="s">
        <v>27027</v>
      </c>
      <c r="AW3029" t="s">
        <v>22767</v>
      </c>
      <c r="AX3029" t="s">
        <v>9310</v>
      </c>
      <c r="AY3029" t="s">
        <v>27028</v>
      </c>
      <c r="AZ3029" t="s">
        <v>15648</v>
      </c>
      <c r="BA3029">
        <v>2</v>
      </c>
      <c r="BB3029">
        <v>5375.17</v>
      </c>
      <c r="BC3029">
        <v>0.34</v>
      </c>
      <c r="BD3029">
        <v>0.19</v>
      </c>
      <c r="BE3029">
        <v>0.2</v>
      </c>
      <c r="BF3029">
        <v>0.19</v>
      </c>
      <c r="BG3029" t="s">
        <v>27029</v>
      </c>
      <c r="BH3029" t="s">
        <v>579</v>
      </c>
      <c r="BI3029" t="s">
        <v>15648</v>
      </c>
      <c r="BJ3029" t="s">
        <v>101</v>
      </c>
      <c r="BK3029" t="s">
        <v>4902</v>
      </c>
      <c r="BL3029" t="s">
        <v>22285</v>
      </c>
      <c r="BM3029" t="s">
        <v>27030</v>
      </c>
      <c r="BN3029" t="s">
        <v>23454</v>
      </c>
    </row>
    <row r="3030" spans="1:66" x14ac:dyDescent="0.25">
      <c r="A3030" t="str">
        <f>HYPERLINK("https://elite.finviz.com/quote.ashx?t=RKLB&amp;ty=c&amp;p=d&amp;b=1", "RKLB")</f>
        <v>RKLB</v>
      </c>
      <c r="B3030">
        <v>5</v>
      </c>
      <c r="C3030">
        <v>116.22</v>
      </c>
      <c r="D3030">
        <v>48.19</v>
      </c>
      <c r="E3030" t="s">
        <v>27031</v>
      </c>
      <c r="F3030" t="s">
        <v>107</v>
      </c>
      <c r="G3030" t="s">
        <v>260</v>
      </c>
      <c r="H3030" t="s">
        <v>4779</v>
      </c>
      <c r="I3030" t="s">
        <v>70</v>
      </c>
      <c r="J3030" t="s">
        <v>321</v>
      </c>
      <c r="K3030">
        <v>22475.14</v>
      </c>
      <c r="L3030">
        <v>46.44</v>
      </c>
      <c r="M3030" t="s">
        <v>337</v>
      </c>
      <c r="N3030">
        <v>6097469</v>
      </c>
      <c r="R3030">
        <v>44.57</v>
      </c>
      <c r="S3030">
        <v>32.33</v>
      </c>
      <c r="AA3030">
        <v>-0.46</v>
      </c>
      <c r="AB3030" t="s">
        <v>7898</v>
      </c>
      <c r="AC3030" t="s">
        <v>3531</v>
      </c>
      <c r="AE3030" t="s">
        <v>27032</v>
      </c>
      <c r="AF3030" t="s">
        <v>27033</v>
      </c>
      <c r="AG3030" t="s">
        <v>27034</v>
      </c>
      <c r="AH3030" t="s">
        <v>11574</v>
      </c>
      <c r="AI3030" t="s">
        <v>27035</v>
      </c>
      <c r="AJ3030" t="s">
        <v>8115</v>
      </c>
      <c r="AK3030" t="s">
        <v>1143</v>
      </c>
      <c r="AL3030">
        <v>2.67</v>
      </c>
      <c r="AM3030">
        <v>2.33</v>
      </c>
      <c r="AN3030">
        <v>0.72</v>
      </c>
      <c r="AO3030" t="s">
        <v>6439</v>
      </c>
      <c r="AP3030" t="s">
        <v>6140</v>
      </c>
      <c r="AQ3030" t="s">
        <v>24627</v>
      </c>
      <c r="AR3030" t="s">
        <v>8727</v>
      </c>
      <c r="AS3030" t="s">
        <v>3746</v>
      </c>
      <c r="AT3030" t="s">
        <v>1082</v>
      </c>
      <c r="AU3030" t="s">
        <v>4237</v>
      </c>
      <c r="AV3030" t="s">
        <v>6402</v>
      </c>
      <c r="AW3030" t="s">
        <v>12607</v>
      </c>
      <c r="AX3030" t="s">
        <v>5230</v>
      </c>
      <c r="AY3030" t="s">
        <v>12607</v>
      </c>
      <c r="AZ3030" t="s">
        <v>27036</v>
      </c>
      <c r="BA3030">
        <v>1.81</v>
      </c>
      <c r="BB3030">
        <v>23176.73</v>
      </c>
      <c r="BC3030">
        <v>0.93</v>
      </c>
      <c r="BD3030">
        <v>46.63</v>
      </c>
      <c r="BE3030">
        <v>47.69</v>
      </c>
      <c r="BF3030">
        <v>45.83</v>
      </c>
      <c r="BG3030" t="s">
        <v>27037</v>
      </c>
      <c r="BH3030" t="s">
        <v>12607</v>
      </c>
      <c r="BI3030" t="s">
        <v>27038</v>
      </c>
      <c r="BJ3030" t="s">
        <v>101</v>
      </c>
      <c r="BK3030" t="s">
        <v>4949</v>
      </c>
      <c r="BL3030" t="s">
        <v>27039</v>
      </c>
      <c r="BM3030" t="s">
        <v>27040</v>
      </c>
      <c r="BN3030" t="s">
        <v>23454</v>
      </c>
    </row>
    <row r="3031" spans="1:66" x14ac:dyDescent="0.25">
      <c r="A3031" t="str">
        <f>HYPERLINK("https://elite.finviz.com/quote.ashx?t=FLR&amp;ty=c&amp;p=d&amp;b=1", "FLR")</f>
        <v>FLR</v>
      </c>
      <c r="B3031">
        <v>5</v>
      </c>
      <c r="C3031">
        <v>116.22</v>
      </c>
      <c r="D3031">
        <v>48.19</v>
      </c>
      <c r="E3031" t="s">
        <v>27041</v>
      </c>
      <c r="F3031" t="s">
        <v>67</v>
      </c>
      <c r="G3031" t="s">
        <v>260</v>
      </c>
      <c r="H3031" t="s">
        <v>2944</v>
      </c>
      <c r="I3031" t="s">
        <v>70</v>
      </c>
      <c r="J3031" t="s">
        <v>71</v>
      </c>
      <c r="K3031">
        <v>6858.45</v>
      </c>
      <c r="L3031">
        <v>42.42</v>
      </c>
      <c r="M3031" t="s">
        <v>4507</v>
      </c>
      <c r="N3031">
        <v>341398</v>
      </c>
      <c r="O3031">
        <v>1.75</v>
      </c>
      <c r="P3031">
        <v>17.61</v>
      </c>
      <c r="Q3031">
        <v>0.36</v>
      </c>
      <c r="R3031">
        <v>0.42</v>
      </c>
      <c r="S3031">
        <v>1.1599999999999999</v>
      </c>
      <c r="T3031" t="s">
        <v>2275</v>
      </c>
      <c r="V3031" t="s">
        <v>22637</v>
      </c>
      <c r="Z3031" t="s">
        <v>164</v>
      </c>
      <c r="AA3031">
        <v>24.29</v>
      </c>
      <c r="AD3031" t="s">
        <v>5100</v>
      </c>
      <c r="AE3031" t="s">
        <v>3325</v>
      </c>
      <c r="AF3031" t="s">
        <v>4872</v>
      </c>
      <c r="AG3031" t="s">
        <v>4879</v>
      </c>
      <c r="AH3031" t="s">
        <v>402</v>
      </c>
      <c r="AI3031" t="s">
        <v>8477</v>
      </c>
      <c r="AJ3031" t="s">
        <v>7380</v>
      </c>
      <c r="AK3031" t="s">
        <v>14913</v>
      </c>
      <c r="AL3031">
        <v>1.62</v>
      </c>
      <c r="AM3031">
        <v>1.62</v>
      </c>
      <c r="AN3031">
        <v>0.18</v>
      </c>
      <c r="AO3031" t="s">
        <v>2543</v>
      </c>
      <c r="AP3031" t="s">
        <v>909</v>
      </c>
      <c r="AQ3031" t="s">
        <v>9399</v>
      </c>
      <c r="AR3031" t="s">
        <v>2384</v>
      </c>
      <c r="AS3031" t="s">
        <v>4394</v>
      </c>
      <c r="AT3031" t="s">
        <v>3344</v>
      </c>
      <c r="AU3031" t="s">
        <v>3998</v>
      </c>
      <c r="AV3031" t="s">
        <v>7413</v>
      </c>
      <c r="AW3031" t="s">
        <v>22767</v>
      </c>
      <c r="AX3031" t="s">
        <v>1959</v>
      </c>
      <c r="AY3031" t="s">
        <v>4543</v>
      </c>
      <c r="AZ3031" t="s">
        <v>6252</v>
      </c>
      <c r="BA3031">
        <v>2</v>
      </c>
      <c r="BB3031">
        <v>4064.13</v>
      </c>
      <c r="BC3031">
        <v>0.3</v>
      </c>
      <c r="BD3031">
        <v>42.4</v>
      </c>
      <c r="BE3031">
        <v>42.84</v>
      </c>
      <c r="BF3031">
        <v>42.13</v>
      </c>
      <c r="BG3031" t="s">
        <v>27042</v>
      </c>
      <c r="BH3031" t="s">
        <v>27043</v>
      </c>
      <c r="BI3031" t="s">
        <v>27044</v>
      </c>
      <c r="BJ3031" t="s">
        <v>101</v>
      </c>
      <c r="BK3031" t="s">
        <v>9443</v>
      </c>
      <c r="BL3031" t="s">
        <v>3789</v>
      </c>
      <c r="BM3031" t="s">
        <v>5085</v>
      </c>
      <c r="BN3031" t="s">
        <v>23454</v>
      </c>
    </row>
    <row r="3032" spans="1:66" x14ac:dyDescent="0.25">
      <c r="A3032" t="str">
        <f>HYPERLINK("https://elite.finviz.com/quote.ashx?t=ABP&amp;ty=c&amp;p=d&amp;b=1", "ABP")</f>
        <v>ABP</v>
      </c>
      <c r="B3032">
        <v>5</v>
      </c>
      <c r="C3032">
        <v>116.22</v>
      </c>
      <c r="D3032">
        <v>48.21</v>
      </c>
      <c r="E3032" t="s">
        <v>27045</v>
      </c>
      <c r="F3032" t="s">
        <v>107</v>
      </c>
      <c r="G3032" t="s">
        <v>428</v>
      </c>
      <c r="H3032" t="s">
        <v>429</v>
      </c>
      <c r="I3032" t="s">
        <v>70</v>
      </c>
      <c r="J3032" t="s">
        <v>321</v>
      </c>
      <c r="K3032">
        <v>17.05</v>
      </c>
      <c r="L3032">
        <v>0.21</v>
      </c>
      <c r="M3032" t="s">
        <v>4703</v>
      </c>
      <c r="N3032">
        <v>566806</v>
      </c>
      <c r="AA3032">
        <v>-0.44</v>
      </c>
      <c r="AI3032" t="s">
        <v>164</v>
      </c>
      <c r="AJ3032" t="s">
        <v>2290</v>
      </c>
      <c r="AK3032" t="s">
        <v>3257</v>
      </c>
      <c r="AL3032">
        <v>0.15</v>
      </c>
      <c r="AM3032">
        <v>0.15</v>
      </c>
      <c r="AR3032" t="s">
        <v>3430</v>
      </c>
      <c r="AS3032" t="s">
        <v>537</v>
      </c>
      <c r="AT3032" t="s">
        <v>1457</v>
      </c>
      <c r="AU3032" t="s">
        <v>16883</v>
      </c>
      <c r="AV3032" t="s">
        <v>27046</v>
      </c>
      <c r="AW3032" t="s">
        <v>27047</v>
      </c>
      <c r="AX3032" t="s">
        <v>3105</v>
      </c>
      <c r="AY3032" t="s">
        <v>16342</v>
      </c>
      <c r="AZ3032" t="s">
        <v>8557</v>
      </c>
      <c r="BA3032">
        <v>1</v>
      </c>
      <c r="BB3032">
        <v>9906.2099999999991</v>
      </c>
      <c r="BC3032">
        <v>0.2</v>
      </c>
      <c r="BD3032">
        <v>0.21</v>
      </c>
      <c r="BE3032">
        <v>0.22</v>
      </c>
      <c r="BF3032">
        <v>0.21</v>
      </c>
      <c r="BG3032" t="s">
        <v>27048</v>
      </c>
      <c r="BH3032" t="s">
        <v>16342</v>
      </c>
      <c r="BI3032" t="s">
        <v>8557</v>
      </c>
      <c r="BJ3032" t="s">
        <v>101</v>
      </c>
      <c r="BK3032" t="s">
        <v>747</v>
      </c>
      <c r="BL3032" t="s">
        <v>18563</v>
      </c>
      <c r="BM3032" t="s">
        <v>27049</v>
      </c>
      <c r="BN3032" t="s">
        <v>23454</v>
      </c>
    </row>
    <row r="3033" spans="1:66" x14ac:dyDescent="0.25">
      <c r="A3033" t="str">
        <f>HYPERLINK("https://elite.finviz.com/quote.ashx?t=APO&amp;ty=c&amp;p=d&amp;b=1", "APO")</f>
        <v>APO</v>
      </c>
      <c r="B3033">
        <v>5</v>
      </c>
      <c r="C3033">
        <v>116.22</v>
      </c>
      <c r="D3033">
        <v>48.22</v>
      </c>
      <c r="E3033" t="s">
        <v>27050</v>
      </c>
      <c r="F3033" t="s">
        <v>195</v>
      </c>
      <c r="G3033" t="s">
        <v>550</v>
      </c>
      <c r="H3033" t="s">
        <v>2597</v>
      </c>
      <c r="I3033" t="s">
        <v>70</v>
      </c>
      <c r="J3033" t="s">
        <v>71</v>
      </c>
      <c r="K3033">
        <v>79380.31</v>
      </c>
      <c r="L3033">
        <v>137.96</v>
      </c>
      <c r="M3033" t="s">
        <v>2185</v>
      </c>
      <c r="N3033">
        <v>564887</v>
      </c>
      <c r="O3033">
        <v>26.03</v>
      </c>
      <c r="P3033">
        <v>14.92</v>
      </c>
      <c r="Q3033">
        <v>1.89</v>
      </c>
      <c r="R3033">
        <v>3.08</v>
      </c>
      <c r="S3033">
        <v>4.4000000000000004</v>
      </c>
      <c r="T3033" t="s">
        <v>5610</v>
      </c>
      <c r="U3033">
        <v>1.94</v>
      </c>
      <c r="V3033" t="s">
        <v>1440</v>
      </c>
      <c r="W3033" t="s">
        <v>2698</v>
      </c>
      <c r="X3033" t="s">
        <v>2431</v>
      </c>
      <c r="Y3033" t="s">
        <v>14331</v>
      </c>
      <c r="Z3033" t="s">
        <v>927</v>
      </c>
      <c r="AA3033">
        <v>5.3</v>
      </c>
      <c r="AB3033" t="s">
        <v>1413</v>
      </c>
      <c r="AC3033" t="s">
        <v>775</v>
      </c>
      <c r="AD3033" t="s">
        <v>981</v>
      </c>
      <c r="AE3033" t="s">
        <v>4210</v>
      </c>
      <c r="AF3033" t="s">
        <v>27051</v>
      </c>
      <c r="AG3033" t="s">
        <v>17009</v>
      </c>
      <c r="AH3033" t="s">
        <v>3186</v>
      </c>
      <c r="AI3033" t="s">
        <v>4299</v>
      </c>
      <c r="AJ3033" t="s">
        <v>1714</v>
      </c>
      <c r="AK3033" t="s">
        <v>13613</v>
      </c>
      <c r="AL3033">
        <v>7.0000000000000007E-2</v>
      </c>
      <c r="AM3033">
        <v>7.0000000000000007E-2</v>
      </c>
      <c r="AN3033">
        <v>0.63</v>
      </c>
      <c r="AO3033" t="s">
        <v>20999</v>
      </c>
      <c r="AP3033" t="s">
        <v>5160</v>
      </c>
      <c r="AQ3033" t="s">
        <v>435</v>
      </c>
      <c r="AR3033" t="s">
        <v>4294</v>
      </c>
      <c r="AS3033" t="s">
        <v>4945</v>
      </c>
      <c r="AT3033" t="s">
        <v>1083</v>
      </c>
      <c r="AU3033" t="s">
        <v>4501</v>
      </c>
      <c r="AV3033" t="s">
        <v>4121</v>
      </c>
      <c r="AW3033" t="s">
        <v>11846</v>
      </c>
      <c r="AX3033" t="s">
        <v>12450</v>
      </c>
      <c r="AY3033" t="s">
        <v>27052</v>
      </c>
      <c r="AZ3033" t="s">
        <v>3959</v>
      </c>
      <c r="BA3033">
        <v>1.5</v>
      </c>
      <c r="BB3033">
        <v>3163.44</v>
      </c>
      <c r="BC3033">
        <v>0.63</v>
      </c>
      <c r="BD3033">
        <v>136.13</v>
      </c>
      <c r="BE3033">
        <v>138.68</v>
      </c>
      <c r="BF3033">
        <v>136.27000000000001</v>
      </c>
      <c r="BG3033" t="s">
        <v>27053</v>
      </c>
      <c r="BH3033" t="s">
        <v>27052</v>
      </c>
      <c r="BI3033" t="s">
        <v>27054</v>
      </c>
      <c r="BJ3033" t="s">
        <v>101</v>
      </c>
      <c r="BK3033" t="s">
        <v>2204</v>
      </c>
      <c r="BL3033" t="s">
        <v>5245</v>
      </c>
      <c r="BM3033" t="s">
        <v>8401</v>
      </c>
      <c r="BN3033" t="s">
        <v>23454</v>
      </c>
    </row>
    <row r="3034" spans="1:66" x14ac:dyDescent="0.25">
      <c r="A3034" t="str">
        <f>HYPERLINK("https://elite.finviz.com/quote.ashx?t=LAZR&amp;ty=c&amp;p=d&amp;b=1", "LAZR")</f>
        <v>LAZR</v>
      </c>
      <c r="B3034">
        <v>5</v>
      </c>
      <c r="C3034">
        <v>116.22</v>
      </c>
      <c r="D3034">
        <v>48.22</v>
      </c>
      <c r="E3034" t="s">
        <v>27055</v>
      </c>
      <c r="F3034" t="s">
        <v>67</v>
      </c>
      <c r="G3034" t="s">
        <v>813</v>
      </c>
      <c r="H3034" t="s">
        <v>814</v>
      </c>
      <c r="I3034" t="s">
        <v>70</v>
      </c>
      <c r="J3034" t="s">
        <v>321</v>
      </c>
      <c r="K3034">
        <v>143.41</v>
      </c>
      <c r="L3034">
        <v>2.09</v>
      </c>
      <c r="M3034" t="s">
        <v>6838</v>
      </c>
      <c r="N3034">
        <v>693474</v>
      </c>
      <c r="R3034">
        <v>1.98</v>
      </c>
      <c r="AA3034">
        <v>-2.97</v>
      </c>
      <c r="AB3034" t="s">
        <v>1475</v>
      </c>
      <c r="AC3034" t="s">
        <v>3545</v>
      </c>
      <c r="AD3034" t="s">
        <v>19802</v>
      </c>
      <c r="AE3034" t="s">
        <v>3321</v>
      </c>
      <c r="AF3034" t="s">
        <v>932</v>
      </c>
      <c r="AG3034" t="s">
        <v>20150</v>
      </c>
      <c r="AH3034" t="s">
        <v>4553</v>
      </c>
      <c r="AI3034" t="s">
        <v>15027</v>
      </c>
      <c r="AJ3034" t="s">
        <v>164</v>
      </c>
      <c r="AK3034" t="s">
        <v>7913</v>
      </c>
      <c r="AL3034">
        <v>2.42</v>
      </c>
      <c r="AM3034">
        <v>2.13</v>
      </c>
      <c r="AO3034" t="s">
        <v>10673</v>
      </c>
      <c r="AP3034" t="s">
        <v>27056</v>
      </c>
      <c r="AQ3034" t="s">
        <v>27057</v>
      </c>
      <c r="AR3034" t="s">
        <v>10542</v>
      </c>
      <c r="AS3034" t="s">
        <v>466</v>
      </c>
      <c r="AT3034" t="s">
        <v>3777</v>
      </c>
      <c r="AU3034" t="s">
        <v>9594</v>
      </c>
      <c r="AV3034" t="s">
        <v>27058</v>
      </c>
      <c r="AW3034" t="s">
        <v>27059</v>
      </c>
      <c r="AX3034" t="s">
        <v>16322</v>
      </c>
      <c r="AY3034" t="s">
        <v>5599</v>
      </c>
      <c r="AZ3034" t="s">
        <v>16322</v>
      </c>
      <c r="BA3034">
        <v>3.5</v>
      </c>
      <c r="BB3034">
        <v>4245.7</v>
      </c>
      <c r="BC3034">
        <v>0.57999999999999996</v>
      </c>
      <c r="BD3034">
        <v>2.13</v>
      </c>
      <c r="BE3034">
        <v>2.17</v>
      </c>
      <c r="BF3034">
        <v>2.08</v>
      </c>
      <c r="BG3034" t="s">
        <v>27060</v>
      </c>
      <c r="BH3034" t="s">
        <v>7427</v>
      </c>
      <c r="BI3034" t="s">
        <v>16322</v>
      </c>
      <c r="BJ3034" t="s">
        <v>101</v>
      </c>
      <c r="BK3034" t="s">
        <v>23162</v>
      </c>
      <c r="BL3034" t="s">
        <v>27061</v>
      </c>
      <c r="BM3034" t="s">
        <v>10477</v>
      </c>
      <c r="BN3034" t="s">
        <v>23454</v>
      </c>
    </row>
    <row r="3035" spans="1:66" x14ac:dyDescent="0.25">
      <c r="A3035" t="str">
        <f>HYPERLINK("https://elite.finviz.com/quote.ashx?t=EVH&amp;ty=c&amp;p=d&amp;b=1", "EVH")</f>
        <v>EVH</v>
      </c>
      <c r="B3035">
        <v>5</v>
      </c>
      <c r="C3035">
        <v>116.22</v>
      </c>
      <c r="D3035">
        <v>48.27</v>
      </c>
      <c r="E3035" t="s">
        <v>27062</v>
      </c>
      <c r="F3035" t="s">
        <v>67</v>
      </c>
      <c r="G3035" t="s">
        <v>428</v>
      </c>
      <c r="H3035" t="s">
        <v>2075</v>
      </c>
      <c r="I3035" t="s">
        <v>70</v>
      </c>
      <c r="J3035" t="s">
        <v>71</v>
      </c>
      <c r="K3035">
        <v>1054.71</v>
      </c>
      <c r="L3035">
        <v>8.98</v>
      </c>
      <c r="M3035" t="s">
        <v>4308</v>
      </c>
      <c r="N3035">
        <v>445241</v>
      </c>
      <c r="P3035">
        <v>14.57</v>
      </c>
      <c r="R3035">
        <v>0.48</v>
      </c>
      <c r="S3035">
        <v>1.1599999999999999</v>
      </c>
      <c r="T3035" t="s">
        <v>5100</v>
      </c>
      <c r="AA3035">
        <v>-1.61</v>
      </c>
      <c r="AB3035" t="s">
        <v>8509</v>
      </c>
      <c r="AC3035" t="s">
        <v>664</v>
      </c>
      <c r="AD3035" t="s">
        <v>78</v>
      </c>
      <c r="AE3035" t="s">
        <v>6538</v>
      </c>
      <c r="AF3035" t="s">
        <v>3235</v>
      </c>
      <c r="AG3035" t="s">
        <v>7375</v>
      </c>
      <c r="AH3035" t="s">
        <v>2112</v>
      </c>
      <c r="AI3035" t="s">
        <v>27063</v>
      </c>
      <c r="AJ3035" t="s">
        <v>164</v>
      </c>
      <c r="AK3035" t="s">
        <v>26862</v>
      </c>
      <c r="AL3035">
        <v>1.01</v>
      </c>
      <c r="AM3035">
        <v>1.01</v>
      </c>
      <c r="AN3035">
        <v>1.21</v>
      </c>
      <c r="AO3035" t="s">
        <v>1492</v>
      </c>
      <c r="AP3035" t="s">
        <v>1564</v>
      </c>
      <c r="AQ3035" t="s">
        <v>278</v>
      </c>
      <c r="AR3035" t="s">
        <v>906</v>
      </c>
      <c r="AS3035" t="s">
        <v>896</v>
      </c>
      <c r="AT3035" t="s">
        <v>14607</v>
      </c>
      <c r="AU3035" t="s">
        <v>1904</v>
      </c>
      <c r="AV3035" t="s">
        <v>1219</v>
      </c>
      <c r="AW3035" t="s">
        <v>7960</v>
      </c>
      <c r="AX3035" t="s">
        <v>4193</v>
      </c>
      <c r="AY3035" t="s">
        <v>25414</v>
      </c>
      <c r="AZ3035" t="s">
        <v>9381</v>
      </c>
      <c r="BA3035">
        <v>1.1399999999999999</v>
      </c>
      <c r="BB3035">
        <v>3106.54</v>
      </c>
      <c r="BC3035">
        <v>0.5</v>
      </c>
      <c r="BD3035">
        <v>8.92</v>
      </c>
      <c r="BE3035">
        <v>9.0399999999999991</v>
      </c>
      <c r="BF3035">
        <v>8.7100000000000009</v>
      </c>
      <c r="BG3035" t="s">
        <v>27064</v>
      </c>
      <c r="BH3035" t="s">
        <v>27065</v>
      </c>
      <c r="BI3035" t="s">
        <v>11542</v>
      </c>
      <c r="BJ3035" t="s">
        <v>101</v>
      </c>
      <c r="BK3035" t="s">
        <v>5637</v>
      </c>
      <c r="BL3035" t="s">
        <v>14672</v>
      </c>
      <c r="BM3035" t="s">
        <v>27066</v>
      </c>
      <c r="BN3035" t="s">
        <v>23454</v>
      </c>
    </row>
    <row r="3036" spans="1:66" x14ac:dyDescent="0.25">
      <c r="A3036" t="str">
        <f>HYPERLINK("https://elite.finviz.com/quote.ashx?t=PEG&amp;ty=c&amp;p=d&amp;b=1", "PEG")</f>
        <v>PEG</v>
      </c>
      <c r="B3036">
        <v>5</v>
      </c>
      <c r="C3036">
        <v>116.22</v>
      </c>
      <c r="D3036">
        <v>48.28</v>
      </c>
      <c r="E3036" t="s">
        <v>27067</v>
      </c>
      <c r="F3036" t="s">
        <v>195</v>
      </c>
      <c r="G3036" t="s">
        <v>287</v>
      </c>
      <c r="H3036" t="s">
        <v>676</v>
      </c>
      <c r="I3036" t="s">
        <v>70</v>
      </c>
      <c r="J3036" t="s">
        <v>71</v>
      </c>
      <c r="K3036">
        <v>40934.519999999997</v>
      </c>
      <c r="L3036">
        <v>82.02</v>
      </c>
      <c r="M3036" t="s">
        <v>2554</v>
      </c>
      <c r="N3036">
        <v>408670</v>
      </c>
      <c r="O3036">
        <v>20.71</v>
      </c>
      <c r="P3036">
        <v>18.670000000000002</v>
      </c>
      <c r="Q3036">
        <v>2.44</v>
      </c>
      <c r="R3036">
        <v>3.66</v>
      </c>
      <c r="S3036">
        <v>2.46</v>
      </c>
      <c r="T3036" t="s">
        <v>1902</v>
      </c>
      <c r="U3036">
        <v>2.4900000000000002</v>
      </c>
      <c r="V3036" t="s">
        <v>163</v>
      </c>
      <c r="W3036" t="s">
        <v>3981</v>
      </c>
      <c r="X3036" t="s">
        <v>4697</v>
      </c>
      <c r="Y3036" t="s">
        <v>2732</v>
      </c>
      <c r="Z3036" t="s">
        <v>9876</v>
      </c>
      <c r="AA3036">
        <v>3.96</v>
      </c>
      <c r="AC3036" t="s">
        <v>1417</v>
      </c>
      <c r="AD3036" t="s">
        <v>1927</v>
      </c>
      <c r="AE3036" t="s">
        <v>10137</v>
      </c>
      <c r="AF3036" t="s">
        <v>3937</v>
      </c>
      <c r="AG3036" t="s">
        <v>2720</v>
      </c>
      <c r="AH3036" t="s">
        <v>5046</v>
      </c>
      <c r="AI3036" t="s">
        <v>8401</v>
      </c>
      <c r="AJ3036" t="s">
        <v>9084</v>
      </c>
      <c r="AK3036" t="s">
        <v>27068</v>
      </c>
      <c r="AL3036">
        <v>1</v>
      </c>
      <c r="AM3036">
        <v>0.76</v>
      </c>
      <c r="AN3036">
        <v>1.41</v>
      </c>
      <c r="AO3036" t="s">
        <v>1737</v>
      </c>
      <c r="AP3036" t="s">
        <v>1737</v>
      </c>
      <c r="AQ3036" t="s">
        <v>1383</v>
      </c>
      <c r="AR3036" t="s">
        <v>4280</v>
      </c>
      <c r="AS3036" t="s">
        <v>3349</v>
      </c>
      <c r="AT3036" t="s">
        <v>4901</v>
      </c>
      <c r="AU3036" t="s">
        <v>9085</v>
      </c>
      <c r="AV3036" t="s">
        <v>1820</v>
      </c>
      <c r="AW3036" t="s">
        <v>13001</v>
      </c>
      <c r="AX3036" t="s">
        <v>903</v>
      </c>
      <c r="AY3036" t="s">
        <v>18956</v>
      </c>
      <c r="AZ3036" t="s">
        <v>3793</v>
      </c>
      <c r="BA3036">
        <v>2.42</v>
      </c>
      <c r="BB3036">
        <v>2577.84</v>
      </c>
      <c r="BC3036">
        <v>0.56000000000000005</v>
      </c>
      <c r="BD3036">
        <v>80.88</v>
      </c>
      <c r="BE3036">
        <v>82.27</v>
      </c>
      <c r="BF3036">
        <v>80.959999999999994</v>
      </c>
      <c r="BG3036" t="s">
        <v>27069</v>
      </c>
      <c r="BH3036" t="s">
        <v>18956</v>
      </c>
      <c r="BI3036" t="s">
        <v>27070</v>
      </c>
      <c r="BJ3036" t="s">
        <v>101</v>
      </c>
      <c r="BK3036" t="s">
        <v>5257</v>
      </c>
      <c r="BL3036" t="s">
        <v>2186</v>
      </c>
      <c r="BM3036" t="s">
        <v>2594</v>
      </c>
      <c r="BN3036" t="s">
        <v>23454</v>
      </c>
    </row>
    <row r="3037" spans="1:66" x14ac:dyDescent="0.25">
      <c r="A3037" t="str">
        <f>HYPERLINK("https://elite.finviz.com/quote.ashx?t=AEP&amp;ty=c&amp;p=d&amp;b=1", "AEP")</f>
        <v>AEP</v>
      </c>
      <c r="B3037">
        <v>5</v>
      </c>
      <c r="C3037">
        <v>116.22</v>
      </c>
      <c r="D3037">
        <v>48.32</v>
      </c>
      <c r="E3037" t="s">
        <v>27071</v>
      </c>
      <c r="F3037" t="s">
        <v>319</v>
      </c>
      <c r="G3037" t="s">
        <v>287</v>
      </c>
      <c r="H3037" t="s">
        <v>676</v>
      </c>
      <c r="I3037" t="s">
        <v>70</v>
      </c>
      <c r="J3037" t="s">
        <v>321</v>
      </c>
      <c r="K3037">
        <v>58070.69</v>
      </c>
      <c r="L3037">
        <v>108.58</v>
      </c>
      <c r="M3037" t="s">
        <v>4782</v>
      </c>
      <c r="N3037">
        <v>568557</v>
      </c>
      <c r="O3037">
        <v>15.91</v>
      </c>
      <c r="P3037">
        <v>17.260000000000002</v>
      </c>
      <c r="Q3037">
        <v>2.48</v>
      </c>
      <c r="R3037">
        <v>2.78</v>
      </c>
      <c r="S3037">
        <v>1.94</v>
      </c>
      <c r="T3037" t="s">
        <v>2941</v>
      </c>
      <c r="U3037">
        <v>3.72</v>
      </c>
      <c r="V3037" t="s">
        <v>1762</v>
      </c>
      <c r="W3037" t="s">
        <v>2196</v>
      </c>
      <c r="X3037" t="s">
        <v>8164</v>
      </c>
      <c r="Y3037" t="s">
        <v>7118</v>
      </c>
      <c r="Z3037" t="s">
        <v>8296</v>
      </c>
      <c r="AA3037">
        <v>6.83</v>
      </c>
      <c r="AB3037" t="s">
        <v>4795</v>
      </c>
      <c r="AC3037" t="s">
        <v>2796</v>
      </c>
      <c r="AD3037" t="s">
        <v>3115</v>
      </c>
      <c r="AE3037" t="s">
        <v>3733</v>
      </c>
      <c r="AF3037" t="s">
        <v>8925</v>
      </c>
      <c r="AG3037" t="s">
        <v>6419</v>
      </c>
      <c r="AH3037" t="s">
        <v>1491</v>
      </c>
      <c r="AI3037" t="s">
        <v>915</v>
      </c>
      <c r="AJ3037" t="s">
        <v>7948</v>
      </c>
      <c r="AK3037" t="s">
        <v>27072</v>
      </c>
      <c r="AL3037">
        <v>0.55000000000000004</v>
      </c>
      <c r="AM3037">
        <v>0.41</v>
      </c>
      <c r="AN3037">
        <v>1.56</v>
      </c>
      <c r="AO3037" t="s">
        <v>12398</v>
      </c>
      <c r="AP3037" t="s">
        <v>2687</v>
      </c>
      <c r="AQ3037" t="s">
        <v>1422</v>
      </c>
      <c r="AR3037" t="s">
        <v>2449</v>
      </c>
      <c r="AS3037" t="s">
        <v>2554</v>
      </c>
      <c r="AT3037" t="s">
        <v>4794</v>
      </c>
      <c r="AU3037" t="s">
        <v>1413</v>
      </c>
      <c r="AV3037" t="s">
        <v>5554</v>
      </c>
      <c r="AW3037" t="s">
        <v>8654</v>
      </c>
      <c r="AX3037" t="s">
        <v>4569</v>
      </c>
      <c r="AY3037" t="s">
        <v>8654</v>
      </c>
      <c r="AZ3037" t="s">
        <v>12784</v>
      </c>
      <c r="BA3037">
        <v>2.57</v>
      </c>
      <c r="BB3037">
        <v>3191.74</v>
      </c>
      <c r="BC3037">
        <v>0.63</v>
      </c>
      <c r="BD3037">
        <v>107.86</v>
      </c>
      <c r="BE3037">
        <v>109.5</v>
      </c>
      <c r="BF3037">
        <v>108.27</v>
      </c>
      <c r="BG3037" t="s">
        <v>27073</v>
      </c>
      <c r="BH3037" t="s">
        <v>8654</v>
      </c>
      <c r="BI3037" t="s">
        <v>27074</v>
      </c>
      <c r="BJ3037" t="s">
        <v>101</v>
      </c>
      <c r="BK3037" t="s">
        <v>5152</v>
      </c>
      <c r="BL3037" t="s">
        <v>2317</v>
      </c>
      <c r="BM3037" t="s">
        <v>8054</v>
      </c>
      <c r="BN3037" t="s">
        <v>23454</v>
      </c>
    </row>
    <row r="3038" spans="1:66" x14ac:dyDescent="0.25">
      <c r="A3038" t="str">
        <f>HYPERLINK("https://elite.finviz.com/quote.ashx?t=RBRK&amp;ty=c&amp;p=d&amp;b=1", "RBRK")</f>
        <v>RBRK</v>
      </c>
      <c r="B3038">
        <v>5</v>
      </c>
      <c r="C3038">
        <v>116.22</v>
      </c>
      <c r="D3038">
        <v>48.35</v>
      </c>
      <c r="E3038" t="s">
        <v>27075</v>
      </c>
      <c r="F3038" t="s">
        <v>107</v>
      </c>
      <c r="G3038" t="s">
        <v>108</v>
      </c>
      <c r="H3038" t="s">
        <v>109</v>
      </c>
      <c r="I3038" t="s">
        <v>70</v>
      </c>
      <c r="J3038" t="s">
        <v>71</v>
      </c>
      <c r="K3038">
        <v>16154.1</v>
      </c>
      <c r="L3038">
        <v>81.81</v>
      </c>
      <c r="M3038" t="s">
        <v>4191</v>
      </c>
      <c r="N3038">
        <v>992582</v>
      </c>
      <c r="R3038">
        <v>14.92</v>
      </c>
      <c r="AA3038">
        <v>-2.35</v>
      </c>
      <c r="AB3038" t="s">
        <v>27076</v>
      </c>
      <c r="AC3038" t="s">
        <v>19625</v>
      </c>
      <c r="AE3038" t="s">
        <v>15415</v>
      </c>
      <c r="AF3038" t="s">
        <v>10006</v>
      </c>
      <c r="AG3038" t="s">
        <v>2961</v>
      </c>
      <c r="AH3038" t="s">
        <v>7809</v>
      </c>
      <c r="AI3038" t="s">
        <v>26681</v>
      </c>
      <c r="AJ3038" t="s">
        <v>10469</v>
      </c>
      <c r="AK3038" t="s">
        <v>780</v>
      </c>
      <c r="AL3038">
        <v>1.73</v>
      </c>
      <c r="AM3038">
        <v>1.72</v>
      </c>
      <c r="AO3038" t="s">
        <v>19566</v>
      </c>
      <c r="AP3038" t="s">
        <v>27077</v>
      </c>
      <c r="AQ3038" t="s">
        <v>22818</v>
      </c>
      <c r="AR3038" t="s">
        <v>7118</v>
      </c>
      <c r="AS3038" t="s">
        <v>3057</v>
      </c>
      <c r="AT3038" t="s">
        <v>3484</v>
      </c>
      <c r="AU3038" t="s">
        <v>4559</v>
      </c>
      <c r="AV3038" t="s">
        <v>755</v>
      </c>
      <c r="AW3038" t="s">
        <v>421</v>
      </c>
      <c r="AX3038" t="s">
        <v>794</v>
      </c>
      <c r="AY3038" t="s">
        <v>15323</v>
      </c>
      <c r="AZ3038" t="s">
        <v>27078</v>
      </c>
      <c r="BA3038">
        <v>1.32</v>
      </c>
      <c r="BB3038">
        <v>4118.8</v>
      </c>
      <c r="BC3038">
        <v>0.85</v>
      </c>
      <c r="BD3038">
        <v>81.99</v>
      </c>
      <c r="BE3038">
        <v>81.900000000000006</v>
      </c>
      <c r="BF3038">
        <v>79.84</v>
      </c>
      <c r="BG3038" t="s">
        <v>27079</v>
      </c>
      <c r="BH3038" t="s">
        <v>15323</v>
      </c>
      <c r="BI3038" t="s">
        <v>27080</v>
      </c>
      <c r="BJ3038" t="s">
        <v>101</v>
      </c>
      <c r="BK3038" t="s">
        <v>657</v>
      </c>
      <c r="BL3038" t="s">
        <v>12598</v>
      </c>
      <c r="BM3038" t="s">
        <v>27081</v>
      </c>
      <c r="BN3038" t="s">
        <v>23454</v>
      </c>
    </row>
    <row r="3039" spans="1:66" x14ac:dyDescent="0.25">
      <c r="A3039" t="str">
        <f>HYPERLINK("https://elite.finviz.com/quote.ashx?t=SGRY&amp;ty=c&amp;p=d&amp;b=1", "SGRY")</f>
        <v>SGRY</v>
      </c>
      <c r="B3039">
        <v>5</v>
      </c>
      <c r="C3039">
        <v>116.22</v>
      </c>
      <c r="D3039">
        <v>48.37</v>
      </c>
      <c r="E3039" t="s">
        <v>27082</v>
      </c>
      <c r="F3039" t="s">
        <v>67</v>
      </c>
      <c r="G3039" t="s">
        <v>428</v>
      </c>
      <c r="H3039" t="s">
        <v>3160</v>
      </c>
      <c r="I3039" t="s">
        <v>70</v>
      </c>
      <c r="J3039" t="s">
        <v>321</v>
      </c>
      <c r="K3039">
        <v>2815.48</v>
      </c>
      <c r="L3039">
        <v>21.96</v>
      </c>
      <c r="M3039" t="s">
        <v>6493</v>
      </c>
      <c r="N3039">
        <v>181938</v>
      </c>
      <c r="P3039">
        <v>19.07</v>
      </c>
      <c r="R3039">
        <v>0.87</v>
      </c>
      <c r="S3039">
        <v>1.61</v>
      </c>
      <c r="AA3039">
        <v>-1.43</v>
      </c>
      <c r="AB3039" t="s">
        <v>15100</v>
      </c>
      <c r="AC3039" t="s">
        <v>8401</v>
      </c>
      <c r="AD3039" t="s">
        <v>2820</v>
      </c>
      <c r="AE3039" t="s">
        <v>953</v>
      </c>
      <c r="AF3039" t="s">
        <v>6751</v>
      </c>
      <c r="AG3039" t="s">
        <v>6293</v>
      </c>
      <c r="AH3039" t="s">
        <v>6456</v>
      </c>
      <c r="AI3039" t="s">
        <v>2893</v>
      </c>
      <c r="AJ3039" t="s">
        <v>1648</v>
      </c>
      <c r="AK3039" t="s">
        <v>27083</v>
      </c>
      <c r="AL3039">
        <v>1.93</v>
      </c>
      <c r="AM3039">
        <v>1.78</v>
      </c>
      <c r="AN3039">
        <v>2.2200000000000002</v>
      </c>
      <c r="AO3039" t="s">
        <v>7283</v>
      </c>
      <c r="AP3039" t="s">
        <v>3434</v>
      </c>
      <c r="AQ3039" t="s">
        <v>8190</v>
      </c>
      <c r="AR3039" t="s">
        <v>3208</v>
      </c>
      <c r="AS3039" t="s">
        <v>2640</v>
      </c>
      <c r="AT3039" t="s">
        <v>1842</v>
      </c>
      <c r="AU3039" t="s">
        <v>123</v>
      </c>
      <c r="AV3039" t="s">
        <v>6276</v>
      </c>
      <c r="AW3039" t="s">
        <v>13088</v>
      </c>
      <c r="AX3039" t="s">
        <v>2065</v>
      </c>
      <c r="AY3039" t="s">
        <v>10363</v>
      </c>
      <c r="AZ3039" t="s">
        <v>976</v>
      </c>
      <c r="BA3039">
        <v>1.5</v>
      </c>
      <c r="BB3039">
        <v>1535.56</v>
      </c>
      <c r="BC3039">
        <v>0.42</v>
      </c>
      <c r="BD3039">
        <v>21.59</v>
      </c>
      <c r="BE3039">
        <v>22.03</v>
      </c>
      <c r="BF3039">
        <v>21.59</v>
      </c>
      <c r="BG3039" t="s">
        <v>27084</v>
      </c>
      <c r="BH3039" t="s">
        <v>27085</v>
      </c>
      <c r="BI3039" t="s">
        <v>27086</v>
      </c>
      <c r="BJ3039" t="s">
        <v>101</v>
      </c>
      <c r="BK3039" t="s">
        <v>4237</v>
      </c>
      <c r="BL3039" t="s">
        <v>16810</v>
      </c>
      <c r="BM3039" t="s">
        <v>18426</v>
      </c>
      <c r="BN3039" t="s">
        <v>23454</v>
      </c>
    </row>
    <row r="3040" spans="1:66" x14ac:dyDescent="0.25">
      <c r="A3040" t="str">
        <f>HYPERLINK("https://elite.finviz.com/quote.ashx?t=BRO&amp;ty=c&amp;p=d&amp;b=1", "BRO")</f>
        <v>BRO</v>
      </c>
      <c r="B3040">
        <v>5</v>
      </c>
      <c r="C3040">
        <v>116.22</v>
      </c>
      <c r="D3040">
        <v>48.4</v>
      </c>
      <c r="E3040" t="s">
        <v>27087</v>
      </c>
      <c r="F3040" t="s">
        <v>195</v>
      </c>
      <c r="G3040" t="s">
        <v>550</v>
      </c>
      <c r="H3040" t="s">
        <v>10916</v>
      </c>
      <c r="I3040" t="s">
        <v>70</v>
      </c>
      <c r="J3040" t="s">
        <v>71</v>
      </c>
      <c r="K3040">
        <v>30889.78</v>
      </c>
      <c r="L3040">
        <v>93.65</v>
      </c>
      <c r="M3040" t="s">
        <v>344</v>
      </c>
      <c r="N3040">
        <v>344178</v>
      </c>
      <c r="O3040">
        <v>27.01</v>
      </c>
      <c r="P3040">
        <v>19.809999999999999</v>
      </c>
      <c r="Q3040">
        <v>2.54</v>
      </c>
      <c r="R3040">
        <v>6.11</v>
      </c>
      <c r="S3040">
        <v>2.67</v>
      </c>
      <c r="T3040" t="s">
        <v>1022</v>
      </c>
      <c r="U3040">
        <v>0.6</v>
      </c>
      <c r="V3040" t="s">
        <v>8649</v>
      </c>
      <c r="W3040" t="s">
        <v>2699</v>
      </c>
      <c r="X3040" t="s">
        <v>2946</v>
      </c>
      <c r="Y3040" t="s">
        <v>10247</v>
      </c>
      <c r="Z3040" t="s">
        <v>583</v>
      </c>
      <c r="AA3040">
        <v>3.47</v>
      </c>
      <c r="AB3040" t="s">
        <v>13661</v>
      </c>
      <c r="AC3040" t="s">
        <v>8415</v>
      </c>
      <c r="AD3040" t="s">
        <v>4857</v>
      </c>
      <c r="AE3040" t="s">
        <v>8530</v>
      </c>
      <c r="AF3040" t="s">
        <v>4594</v>
      </c>
      <c r="AG3040" t="s">
        <v>7735</v>
      </c>
      <c r="AH3040" t="s">
        <v>8662</v>
      </c>
      <c r="AI3040" t="s">
        <v>5885</v>
      </c>
      <c r="AJ3040" t="s">
        <v>406</v>
      </c>
      <c r="AK3040" t="s">
        <v>1275</v>
      </c>
      <c r="AL3040">
        <v>2.75</v>
      </c>
      <c r="AM3040">
        <v>2.75</v>
      </c>
      <c r="AN3040">
        <v>0.67</v>
      </c>
      <c r="AO3040" t="s">
        <v>4830</v>
      </c>
      <c r="AP3040" t="s">
        <v>3508</v>
      </c>
      <c r="AQ3040" t="s">
        <v>5950</v>
      </c>
      <c r="AR3040" t="s">
        <v>7338</v>
      </c>
      <c r="AS3040" t="s">
        <v>3257</v>
      </c>
      <c r="AT3040" t="s">
        <v>430</v>
      </c>
      <c r="AU3040" t="s">
        <v>2372</v>
      </c>
      <c r="AV3040" t="s">
        <v>14529</v>
      </c>
      <c r="AW3040" t="s">
        <v>19240</v>
      </c>
      <c r="AX3040" t="s">
        <v>5164</v>
      </c>
      <c r="AY3040" t="s">
        <v>4769</v>
      </c>
      <c r="AZ3040" t="s">
        <v>5164</v>
      </c>
      <c r="BA3040">
        <v>2.56</v>
      </c>
      <c r="BB3040">
        <v>3352.77</v>
      </c>
      <c r="BC3040">
        <v>0.36</v>
      </c>
      <c r="BD3040">
        <v>92.65</v>
      </c>
      <c r="BE3040">
        <v>94.12</v>
      </c>
      <c r="BF3040">
        <v>92.79</v>
      </c>
      <c r="BG3040" t="s">
        <v>27088</v>
      </c>
      <c r="BH3040" t="s">
        <v>4769</v>
      </c>
      <c r="BI3040" t="s">
        <v>27089</v>
      </c>
      <c r="BJ3040" t="s">
        <v>101</v>
      </c>
      <c r="BK3040" t="s">
        <v>19937</v>
      </c>
      <c r="BL3040" t="s">
        <v>5826</v>
      </c>
      <c r="BM3040" t="s">
        <v>7587</v>
      </c>
      <c r="BN3040" t="s">
        <v>23454</v>
      </c>
    </row>
    <row r="3041" spans="1:66" x14ac:dyDescent="0.25">
      <c r="A3041" t="str">
        <f>HYPERLINK("https://elite.finviz.com/quote.ashx?t=NIC&amp;ty=c&amp;p=d&amp;b=1", "NIC")</f>
        <v>NIC</v>
      </c>
      <c r="B3041">
        <v>5</v>
      </c>
      <c r="C3041">
        <v>116.22</v>
      </c>
      <c r="D3041">
        <v>48.43</v>
      </c>
      <c r="E3041" t="s">
        <v>27090</v>
      </c>
      <c r="F3041" t="s">
        <v>67</v>
      </c>
      <c r="G3041" t="s">
        <v>550</v>
      </c>
      <c r="H3041" t="s">
        <v>697</v>
      </c>
      <c r="I3041" t="s">
        <v>70</v>
      </c>
      <c r="J3041" t="s">
        <v>71</v>
      </c>
      <c r="K3041">
        <v>1972.1</v>
      </c>
      <c r="L3041">
        <v>132.74</v>
      </c>
      <c r="M3041" t="s">
        <v>211</v>
      </c>
      <c r="N3041">
        <v>5944</v>
      </c>
      <c r="O3041">
        <v>15.23</v>
      </c>
      <c r="P3041">
        <v>13.76</v>
      </c>
      <c r="R3041">
        <v>3.67</v>
      </c>
      <c r="S3041">
        <v>1.66</v>
      </c>
      <c r="T3041" t="s">
        <v>7388</v>
      </c>
      <c r="U3041">
        <v>1.2</v>
      </c>
      <c r="V3041" t="s">
        <v>2187</v>
      </c>
      <c r="W3041" t="s">
        <v>27091</v>
      </c>
      <c r="Z3041" t="s">
        <v>5390</v>
      </c>
      <c r="AA3041">
        <v>8.7100000000000009</v>
      </c>
      <c r="AB3041" t="s">
        <v>10736</v>
      </c>
      <c r="AC3041" t="s">
        <v>7566</v>
      </c>
      <c r="AE3041" t="s">
        <v>8050</v>
      </c>
      <c r="AF3041" t="s">
        <v>4581</v>
      </c>
      <c r="AG3041" t="s">
        <v>10829</v>
      </c>
      <c r="AH3041" t="s">
        <v>438</v>
      </c>
      <c r="AI3041" t="s">
        <v>8535</v>
      </c>
      <c r="AJ3041" t="s">
        <v>6659</v>
      </c>
      <c r="AK3041" t="s">
        <v>766</v>
      </c>
      <c r="AL3041">
        <v>0.09</v>
      </c>
      <c r="AN3041">
        <v>0.11</v>
      </c>
      <c r="AP3041" t="s">
        <v>11690</v>
      </c>
      <c r="AQ3041" t="s">
        <v>23909</v>
      </c>
      <c r="AR3041" t="s">
        <v>4800</v>
      </c>
      <c r="AS3041" t="s">
        <v>6151</v>
      </c>
      <c r="AT3041" t="s">
        <v>3484</v>
      </c>
      <c r="AU3041" t="s">
        <v>2294</v>
      </c>
      <c r="AV3041" t="s">
        <v>5248</v>
      </c>
      <c r="AW3041" t="s">
        <v>4947</v>
      </c>
      <c r="AX3041" t="s">
        <v>10237</v>
      </c>
      <c r="AY3041" t="s">
        <v>4947</v>
      </c>
      <c r="AZ3041" t="s">
        <v>19126</v>
      </c>
      <c r="BA3041">
        <v>2.2000000000000002</v>
      </c>
      <c r="BB3041">
        <v>82.84</v>
      </c>
      <c r="BC3041">
        <v>0.25</v>
      </c>
      <c r="BD3041">
        <v>132.6</v>
      </c>
      <c r="BE3041">
        <v>134.05000000000001</v>
      </c>
      <c r="BF3041">
        <v>132.6</v>
      </c>
      <c r="BG3041" t="s">
        <v>27092</v>
      </c>
      <c r="BH3041" t="s">
        <v>4947</v>
      </c>
      <c r="BI3041" t="s">
        <v>27093</v>
      </c>
      <c r="BJ3041" t="s">
        <v>101</v>
      </c>
      <c r="BK3041" t="s">
        <v>2776</v>
      </c>
      <c r="BL3041" t="s">
        <v>5394</v>
      </c>
      <c r="BM3041" t="s">
        <v>7306</v>
      </c>
      <c r="BN3041" t="s">
        <v>26049</v>
      </c>
    </row>
    <row r="3042" spans="1:66" x14ac:dyDescent="0.25">
      <c r="A3042" t="str">
        <f>HYPERLINK("https://elite.finviz.com/quote.ashx?t=CCK&amp;ty=c&amp;p=d&amp;b=1", "CCK")</f>
        <v>CCK</v>
      </c>
      <c r="B3042">
        <v>5</v>
      </c>
      <c r="C3042">
        <v>116.22</v>
      </c>
      <c r="D3042">
        <v>48.55</v>
      </c>
      <c r="E3042" t="s">
        <v>27094</v>
      </c>
      <c r="F3042" t="s">
        <v>107</v>
      </c>
      <c r="G3042" t="s">
        <v>813</v>
      </c>
      <c r="H3042" t="s">
        <v>7355</v>
      </c>
      <c r="I3042" t="s">
        <v>70</v>
      </c>
      <c r="J3042" t="s">
        <v>71</v>
      </c>
      <c r="K3042">
        <v>11202.31</v>
      </c>
      <c r="L3042">
        <v>96.26</v>
      </c>
      <c r="M3042" t="s">
        <v>2554</v>
      </c>
      <c r="N3042">
        <v>243972</v>
      </c>
      <c r="O3042">
        <v>20.2</v>
      </c>
      <c r="P3042">
        <v>12.09</v>
      </c>
      <c r="Q3042">
        <v>1.88</v>
      </c>
      <c r="R3042">
        <v>0.93</v>
      </c>
      <c r="S3042">
        <v>3.87</v>
      </c>
      <c r="T3042" t="s">
        <v>2864</v>
      </c>
      <c r="U3042">
        <v>1.03</v>
      </c>
      <c r="V3042" t="s">
        <v>2420</v>
      </c>
      <c r="W3042" t="s">
        <v>2841</v>
      </c>
      <c r="X3042" t="s">
        <v>4512</v>
      </c>
      <c r="Z3042" t="s">
        <v>20389</v>
      </c>
      <c r="AA3042">
        <v>4.76</v>
      </c>
      <c r="AC3042" t="s">
        <v>13366</v>
      </c>
      <c r="AD3042" t="s">
        <v>5841</v>
      </c>
      <c r="AE3042" t="s">
        <v>4276</v>
      </c>
      <c r="AF3042" t="s">
        <v>2610</v>
      </c>
      <c r="AG3042" t="s">
        <v>439</v>
      </c>
      <c r="AH3042" t="s">
        <v>4892</v>
      </c>
      <c r="AI3042" t="s">
        <v>3490</v>
      </c>
      <c r="AJ3042" t="s">
        <v>6741</v>
      </c>
      <c r="AK3042" t="s">
        <v>1203</v>
      </c>
      <c r="AL3042">
        <v>1.06</v>
      </c>
      <c r="AM3042">
        <v>0.69</v>
      </c>
      <c r="AN3042">
        <v>2.3199999999999998</v>
      </c>
      <c r="AO3042" t="s">
        <v>6574</v>
      </c>
      <c r="AP3042" t="s">
        <v>7775</v>
      </c>
      <c r="AQ3042" t="s">
        <v>5685</v>
      </c>
      <c r="AR3042" t="s">
        <v>4856</v>
      </c>
      <c r="AS3042" t="s">
        <v>4267</v>
      </c>
      <c r="AT3042" t="s">
        <v>1338</v>
      </c>
      <c r="AU3042" t="s">
        <v>1272</v>
      </c>
      <c r="AV3042" t="s">
        <v>465</v>
      </c>
      <c r="AW3042" t="s">
        <v>9472</v>
      </c>
      <c r="AX3042" t="s">
        <v>4173</v>
      </c>
      <c r="AY3042" t="s">
        <v>384</v>
      </c>
      <c r="AZ3042" t="s">
        <v>5207</v>
      </c>
      <c r="BA3042">
        <v>1.5</v>
      </c>
      <c r="BB3042">
        <v>1205.08</v>
      </c>
      <c r="BC3042">
        <v>0.71</v>
      </c>
      <c r="BD3042">
        <v>94.92</v>
      </c>
      <c r="BE3042">
        <v>96.68</v>
      </c>
      <c r="BF3042">
        <v>94.82</v>
      </c>
      <c r="BG3042" t="s">
        <v>27095</v>
      </c>
      <c r="BH3042" t="s">
        <v>27096</v>
      </c>
      <c r="BI3042" t="s">
        <v>27097</v>
      </c>
      <c r="BJ3042" t="s">
        <v>101</v>
      </c>
      <c r="BK3042" t="s">
        <v>15013</v>
      </c>
      <c r="BL3042" t="s">
        <v>6420</v>
      </c>
      <c r="BM3042" t="s">
        <v>6842</v>
      </c>
      <c r="BN3042" t="s">
        <v>23454</v>
      </c>
    </row>
    <row r="3043" spans="1:66" x14ac:dyDescent="0.25">
      <c r="A3043" t="str">
        <f>HYPERLINK("https://elite.finviz.com/quote.ashx?t=LAB&amp;ty=c&amp;p=d&amp;b=1", "LAB")</f>
        <v>LAB</v>
      </c>
      <c r="B3043">
        <v>5</v>
      </c>
      <c r="C3043">
        <v>116.22</v>
      </c>
      <c r="D3043">
        <v>48.58</v>
      </c>
      <c r="E3043" t="s">
        <v>27098</v>
      </c>
      <c r="F3043" t="s">
        <v>67</v>
      </c>
      <c r="G3043" t="s">
        <v>428</v>
      </c>
      <c r="H3043" t="s">
        <v>2051</v>
      </c>
      <c r="I3043" t="s">
        <v>70</v>
      </c>
      <c r="J3043" t="s">
        <v>321</v>
      </c>
      <c r="K3043">
        <v>500.41</v>
      </c>
      <c r="L3043">
        <v>1.31</v>
      </c>
      <c r="M3043" t="s">
        <v>9136</v>
      </c>
      <c r="N3043">
        <v>216711</v>
      </c>
      <c r="R3043">
        <v>3.24</v>
      </c>
      <c r="S3043">
        <v>1.18</v>
      </c>
      <c r="AA3043">
        <v>-0.32</v>
      </c>
      <c r="AB3043" t="s">
        <v>11867</v>
      </c>
      <c r="AC3043" t="s">
        <v>5446</v>
      </c>
      <c r="AD3043" t="s">
        <v>8536</v>
      </c>
      <c r="AE3043" t="s">
        <v>15351</v>
      </c>
      <c r="AF3043" t="s">
        <v>9300</v>
      </c>
      <c r="AG3043" t="s">
        <v>5579</v>
      </c>
      <c r="AH3043" t="s">
        <v>27099</v>
      </c>
      <c r="AI3043" t="s">
        <v>4298</v>
      </c>
      <c r="AJ3043" t="s">
        <v>12048</v>
      </c>
      <c r="AK3043" t="s">
        <v>22619</v>
      </c>
      <c r="AL3043">
        <v>5.16</v>
      </c>
      <c r="AM3043">
        <v>4.92</v>
      </c>
      <c r="AN3043">
        <v>7.0000000000000007E-2</v>
      </c>
      <c r="AO3043" t="s">
        <v>27100</v>
      </c>
      <c r="AP3043" t="s">
        <v>27101</v>
      </c>
      <c r="AQ3043" t="s">
        <v>27102</v>
      </c>
      <c r="AR3043" t="s">
        <v>7453</v>
      </c>
      <c r="AS3043" t="s">
        <v>1576</v>
      </c>
      <c r="AT3043" t="s">
        <v>2518</v>
      </c>
      <c r="AU3043" t="s">
        <v>3890</v>
      </c>
      <c r="AV3043" t="s">
        <v>609</v>
      </c>
      <c r="AW3043" t="s">
        <v>23606</v>
      </c>
      <c r="AX3043" t="s">
        <v>7301</v>
      </c>
      <c r="AY3043" t="s">
        <v>27103</v>
      </c>
      <c r="AZ3043" t="s">
        <v>17181</v>
      </c>
      <c r="BA3043">
        <v>2.33</v>
      </c>
      <c r="BB3043">
        <v>1397.85</v>
      </c>
      <c r="BC3043">
        <v>0.55000000000000004</v>
      </c>
      <c r="BD3043">
        <v>1.29</v>
      </c>
      <c r="BE3043">
        <v>1.32</v>
      </c>
      <c r="BF3043">
        <v>1.28</v>
      </c>
      <c r="BG3043" t="s">
        <v>27104</v>
      </c>
      <c r="BH3043" t="s">
        <v>27105</v>
      </c>
      <c r="BI3043" t="s">
        <v>17181</v>
      </c>
      <c r="BJ3043" t="s">
        <v>101</v>
      </c>
      <c r="BK3043" t="s">
        <v>3491</v>
      </c>
      <c r="BL3043" t="s">
        <v>5897</v>
      </c>
      <c r="BM3043" t="s">
        <v>9914</v>
      </c>
      <c r="BN3043" t="s">
        <v>23454</v>
      </c>
    </row>
    <row r="3044" spans="1:66" x14ac:dyDescent="0.25">
      <c r="A3044" t="str">
        <f>HYPERLINK("https://elite.finviz.com/quote.ashx?t=ORC&amp;ty=c&amp;p=d&amp;b=1", "ORC")</f>
        <v>ORC</v>
      </c>
      <c r="B3044">
        <v>5</v>
      </c>
      <c r="C3044">
        <v>116.22</v>
      </c>
      <c r="D3044">
        <v>48.58</v>
      </c>
      <c r="E3044" t="s">
        <v>27106</v>
      </c>
      <c r="F3044" t="s">
        <v>67</v>
      </c>
      <c r="G3044" t="s">
        <v>68</v>
      </c>
      <c r="H3044" t="s">
        <v>5566</v>
      </c>
      <c r="I3044" t="s">
        <v>70</v>
      </c>
      <c r="J3044" t="s">
        <v>71</v>
      </c>
      <c r="K3044">
        <v>1029.49</v>
      </c>
      <c r="L3044">
        <v>7.05</v>
      </c>
      <c r="M3044" t="s">
        <v>6463</v>
      </c>
      <c r="N3044">
        <v>2091076</v>
      </c>
      <c r="O3044">
        <v>36.04</v>
      </c>
      <c r="P3044">
        <v>6.74</v>
      </c>
      <c r="R3044">
        <v>3.44</v>
      </c>
      <c r="S3044">
        <v>0.98</v>
      </c>
      <c r="T3044" t="s">
        <v>6166</v>
      </c>
      <c r="U3044">
        <v>1.44</v>
      </c>
      <c r="V3044" t="s">
        <v>198</v>
      </c>
      <c r="W3044" t="s">
        <v>2914</v>
      </c>
      <c r="X3044" t="s">
        <v>5768</v>
      </c>
      <c r="Y3044" t="s">
        <v>2588</v>
      </c>
      <c r="Z3044" t="s">
        <v>27107</v>
      </c>
      <c r="AA3044">
        <v>0.2</v>
      </c>
      <c r="AC3044" t="s">
        <v>19909</v>
      </c>
      <c r="AE3044" t="s">
        <v>27108</v>
      </c>
      <c r="AF3044" t="s">
        <v>13484</v>
      </c>
      <c r="AG3044" t="s">
        <v>11867</v>
      </c>
      <c r="AH3044" t="s">
        <v>21203</v>
      </c>
      <c r="AI3044" t="s">
        <v>27109</v>
      </c>
      <c r="AJ3044" t="s">
        <v>406</v>
      </c>
      <c r="AK3044" t="s">
        <v>1565</v>
      </c>
      <c r="AL3044">
        <v>0.09</v>
      </c>
      <c r="AM3044">
        <v>0.09</v>
      </c>
      <c r="AN3044">
        <v>7.3</v>
      </c>
      <c r="AO3044" t="s">
        <v>820</v>
      </c>
      <c r="AP3044" t="s">
        <v>27110</v>
      </c>
      <c r="AQ3044" t="s">
        <v>4891</v>
      </c>
      <c r="AR3044" t="s">
        <v>1438</v>
      </c>
      <c r="AS3044" t="s">
        <v>6493</v>
      </c>
      <c r="AT3044" t="s">
        <v>4809</v>
      </c>
      <c r="AU3044" t="s">
        <v>5388</v>
      </c>
      <c r="AV3044" t="s">
        <v>5628</v>
      </c>
      <c r="AW3044" t="s">
        <v>8670</v>
      </c>
      <c r="AX3044" t="s">
        <v>5779</v>
      </c>
      <c r="AY3044" t="s">
        <v>6352</v>
      </c>
      <c r="AZ3044" t="s">
        <v>8093</v>
      </c>
      <c r="BA3044">
        <v>2</v>
      </c>
      <c r="BB3044">
        <v>4365.51</v>
      </c>
      <c r="BC3044">
        <v>1.69</v>
      </c>
      <c r="BD3044">
        <v>6.99</v>
      </c>
      <c r="BE3044">
        <v>7.11</v>
      </c>
      <c r="BF3044">
        <v>7.01</v>
      </c>
      <c r="BG3044" t="s">
        <v>27111</v>
      </c>
      <c r="BH3044" t="s">
        <v>27112</v>
      </c>
      <c r="BI3044" t="s">
        <v>8093</v>
      </c>
      <c r="BJ3044" t="s">
        <v>101</v>
      </c>
      <c r="BK3044" t="s">
        <v>497</v>
      </c>
      <c r="BL3044" t="s">
        <v>8974</v>
      </c>
      <c r="BM3044" t="s">
        <v>11529</v>
      </c>
      <c r="BN3044" t="s">
        <v>23454</v>
      </c>
    </row>
    <row r="3045" spans="1:66" x14ac:dyDescent="0.25">
      <c r="A3045" t="str">
        <f>HYPERLINK("https://elite.finviz.com/quote.ashx?t=RELI&amp;ty=c&amp;p=d&amp;b=1", "RELI")</f>
        <v>RELI</v>
      </c>
      <c r="B3045">
        <v>5</v>
      </c>
      <c r="C3045">
        <v>116.22</v>
      </c>
      <c r="D3045">
        <v>48.6</v>
      </c>
      <c r="E3045" t="s">
        <v>27113</v>
      </c>
      <c r="F3045" t="s">
        <v>107</v>
      </c>
      <c r="G3045" t="s">
        <v>550</v>
      </c>
      <c r="H3045" t="s">
        <v>10916</v>
      </c>
      <c r="I3045" t="s">
        <v>70</v>
      </c>
      <c r="J3045" t="s">
        <v>321</v>
      </c>
      <c r="K3045">
        <v>4.07</v>
      </c>
      <c r="L3045">
        <v>0.88</v>
      </c>
      <c r="M3045" t="s">
        <v>5639</v>
      </c>
      <c r="N3045">
        <v>725978</v>
      </c>
      <c r="R3045">
        <v>0.28999999999999998</v>
      </c>
      <c r="S3045">
        <v>0.89</v>
      </c>
      <c r="AA3045">
        <v>-2.8</v>
      </c>
      <c r="AB3045" t="s">
        <v>27114</v>
      </c>
      <c r="AC3045" t="s">
        <v>6402</v>
      </c>
      <c r="AE3045" t="s">
        <v>2644</v>
      </c>
      <c r="AF3045" t="s">
        <v>1557</v>
      </c>
      <c r="AG3045" t="s">
        <v>9539</v>
      </c>
      <c r="AH3045" t="s">
        <v>5189</v>
      </c>
      <c r="AJ3045" t="s">
        <v>4174</v>
      </c>
      <c r="AK3045" t="s">
        <v>5102</v>
      </c>
      <c r="AL3045">
        <v>1.42</v>
      </c>
      <c r="AM3045">
        <v>1.42</v>
      </c>
      <c r="AN3045">
        <v>4.33</v>
      </c>
      <c r="AO3045" t="s">
        <v>13905</v>
      </c>
      <c r="AP3045" t="s">
        <v>10032</v>
      </c>
      <c r="AQ3045" t="s">
        <v>27115</v>
      </c>
      <c r="AR3045" t="s">
        <v>15360</v>
      </c>
      <c r="AS3045" t="s">
        <v>13932</v>
      </c>
      <c r="AT3045" t="s">
        <v>7453</v>
      </c>
      <c r="AU3045" t="s">
        <v>19537</v>
      </c>
      <c r="AV3045" t="s">
        <v>27116</v>
      </c>
      <c r="AW3045" t="s">
        <v>27117</v>
      </c>
      <c r="AX3045" t="s">
        <v>27118</v>
      </c>
      <c r="AY3045" t="s">
        <v>27119</v>
      </c>
      <c r="AZ3045" t="s">
        <v>27118</v>
      </c>
      <c r="BA3045">
        <v>1</v>
      </c>
      <c r="BB3045">
        <v>3394.02</v>
      </c>
      <c r="BC3045">
        <v>0.76</v>
      </c>
      <c r="BD3045">
        <v>0.92</v>
      </c>
      <c r="BE3045">
        <v>0.94</v>
      </c>
      <c r="BF3045">
        <v>0.72</v>
      </c>
      <c r="BG3045" t="s">
        <v>27120</v>
      </c>
      <c r="BH3045" t="s">
        <v>579</v>
      </c>
      <c r="BI3045" t="s">
        <v>27118</v>
      </c>
      <c r="BJ3045" t="s">
        <v>101</v>
      </c>
      <c r="BK3045" t="s">
        <v>27121</v>
      </c>
      <c r="BL3045" t="s">
        <v>25220</v>
      </c>
      <c r="BM3045" t="s">
        <v>27122</v>
      </c>
      <c r="BN3045" t="s">
        <v>23454</v>
      </c>
    </row>
    <row r="3046" spans="1:66" x14ac:dyDescent="0.25">
      <c r="A3046" t="str">
        <f>HYPERLINK("https://elite.finviz.com/quote.ashx?t=BTCS&amp;ty=c&amp;p=d&amp;b=1", "BTCS")</f>
        <v>BTCS</v>
      </c>
      <c r="B3046">
        <v>5</v>
      </c>
      <c r="C3046">
        <v>116.22</v>
      </c>
      <c r="D3046">
        <v>48.61</v>
      </c>
      <c r="E3046" t="s">
        <v>27123</v>
      </c>
      <c r="F3046" t="s">
        <v>107</v>
      </c>
      <c r="G3046" t="s">
        <v>550</v>
      </c>
      <c r="H3046" t="s">
        <v>551</v>
      </c>
      <c r="I3046" t="s">
        <v>70</v>
      </c>
      <c r="J3046" t="s">
        <v>321</v>
      </c>
      <c r="K3046">
        <v>214.56</v>
      </c>
      <c r="L3046">
        <v>4.47</v>
      </c>
      <c r="M3046" t="s">
        <v>1864</v>
      </c>
      <c r="N3046">
        <v>449961</v>
      </c>
      <c r="R3046">
        <v>28.53</v>
      </c>
      <c r="S3046">
        <v>3.47</v>
      </c>
      <c r="T3046" t="s">
        <v>4902</v>
      </c>
      <c r="U3046">
        <v>0.05</v>
      </c>
      <c r="V3046" t="s">
        <v>4741</v>
      </c>
      <c r="AA3046">
        <v>-1.17</v>
      </c>
      <c r="AB3046" t="s">
        <v>18803</v>
      </c>
      <c r="AC3046" t="s">
        <v>4497</v>
      </c>
      <c r="AE3046" t="s">
        <v>27124</v>
      </c>
      <c r="AF3046" t="s">
        <v>15098</v>
      </c>
      <c r="AH3046" t="s">
        <v>27125</v>
      </c>
      <c r="AI3046" t="s">
        <v>1441</v>
      </c>
      <c r="AJ3046" t="s">
        <v>1779</v>
      </c>
      <c r="AK3046" t="s">
        <v>180</v>
      </c>
      <c r="AL3046">
        <v>8.19</v>
      </c>
      <c r="AM3046">
        <v>8.19</v>
      </c>
      <c r="AN3046">
        <v>0.28000000000000003</v>
      </c>
      <c r="AO3046" t="s">
        <v>6475</v>
      </c>
      <c r="AP3046" t="s">
        <v>27126</v>
      </c>
      <c r="AQ3046" t="s">
        <v>27127</v>
      </c>
      <c r="AR3046" t="s">
        <v>9703</v>
      </c>
      <c r="AS3046" t="s">
        <v>1160</v>
      </c>
      <c r="AT3046" t="s">
        <v>1714</v>
      </c>
      <c r="AU3046" t="s">
        <v>2814</v>
      </c>
      <c r="AV3046" t="s">
        <v>27128</v>
      </c>
      <c r="AW3046" t="s">
        <v>1201</v>
      </c>
      <c r="AX3046" t="s">
        <v>3817</v>
      </c>
      <c r="AY3046" t="s">
        <v>1201</v>
      </c>
      <c r="AZ3046" t="s">
        <v>27129</v>
      </c>
      <c r="BA3046">
        <v>1</v>
      </c>
      <c r="BB3046">
        <v>9003.86</v>
      </c>
      <c r="BC3046">
        <v>0.18</v>
      </c>
      <c r="BD3046">
        <v>4.5199999999999996</v>
      </c>
      <c r="BE3046">
        <v>4.49</v>
      </c>
      <c r="BF3046">
        <v>4.3899999999999997</v>
      </c>
      <c r="BG3046" t="s">
        <v>27130</v>
      </c>
      <c r="BH3046" t="s">
        <v>579</v>
      </c>
      <c r="BI3046" t="s">
        <v>27131</v>
      </c>
      <c r="BJ3046" t="s">
        <v>101</v>
      </c>
      <c r="BK3046" t="s">
        <v>10540</v>
      </c>
      <c r="BL3046" t="s">
        <v>27132</v>
      </c>
      <c r="BM3046" t="s">
        <v>27133</v>
      </c>
      <c r="BN3046" t="s">
        <v>23454</v>
      </c>
    </row>
    <row r="3047" spans="1:66" x14ac:dyDescent="0.25">
      <c r="A3047" t="str">
        <f>HYPERLINK("https://elite.finviz.com/quote.ashx?t=MAR&amp;ty=c&amp;p=d&amp;b=1", "MAR")</f>
        <v>MAR</v>
      </c>
      <c r="B3047">
        <v>5</v>
      </c>
      <c r="C3047">
        <v>116.22</v>
      </c>
      <c r="D3047">
        <v>48.7</v>
      </c>
      <c r="E3047" t="s">
        <v>27134</v>
      </c>
      <c r="F3047" t="s">
        <v>319</v>
      </c>
      <c r="G3047" t="s">
        <v>813</v>
      </c>
      <c r="H3047" t="s">
        <v>16375</v>
      </c>
      <c r="I3047" t="s">
        <v>70</v>
      </c>
      <c r="J3047" t="s">
        <v>321</v>
      </c>
      <c r="K3047">
        <v>71720.52</v>
      </c>
      <c r="L3047">
        <v>264.2</v>
      </c>
      <c r="M3047" t="s">
        <v>5745</v>
      </c>
      <c r="N3047">
        <v>263718</v>
      </c>
      <c r="O3047">
        <v>29.8</v>
      </c>
      <c r="P3047">
        <v>23.4</v>
      </c>
      <c r="Q3047">
        <v>2.75</v>
      </c>
      <c r="R3047">
        <v>2.79</v>
      </c>
      <c r="T3047" t="s">
        <v>1338</v>
      </c>
      <c r="U3047">
        <v>2.6</v>
      </c>
      <c r="V3047" t="s">
        <v>5037</v>
      </c>
      <c r="W3047" t="s">
        <v>3241</v>
      </c>
      <c r="Y3047" t="s">
        <v>5591</v>
      </c>
      <c r="Z3047" t="s">
        <v>20778</v>
      </c>
      <c r="AA3047">
        <v>8.86</v>
      </c>
      <c r="AB3047" t="s">
        <v>4165</v>
      </c>
      <c r="AC3047" t="s">
        <v>5046</v>
      </c>
      <c r="AD3047" t="s">
        <v>7512</v>
      </c>
      <c r="AE3047" t="s">
        <v>1063</v>
      </c>
      <c r="AF3047" t="s">
        <v>8290</v>
      </c>
      <c r="AG3047" t="s">
        <v>2494</v>
      </c>
      <c r="AH3047" t="s">
        <v>215</v>
      </c>
      <c r="AI3047" t="s">
        <v>3024</v>
      </c>
      <c r="AJ3047" t="s">
        <v>3598</v>
      </c>
      <c r="AK3047" t="s">
        <v>11784</v>
      </c>
      <c r="AL3047">
        <v>0.49</v>
      </c>
      <c r="AM3047">
        <v>0.49</v>
      </c>
      <c r="AO3047" t="s">
        <v>7225</v>
      </c>
      <c r="AP3047" t="s">
        <v>5468</v>
      </c>
      <c r="AQ3047" t="s">
        <v>2010</v>
      </c>
      <c r="AR3047" t="s">
        <v>7423</v>
      </c>
      <c r="AS3047" t="s">
        <v>2424</v>
      </c>
      <c r="AT3047" t="s">
        <v>6871</v>
      </c>
      <c r="AU3047" t="s">
        <v>174</v>
      </c>
      <c r="AV3047" t="s">
        <v>2203</v>
      </c>
      <c r="AW3047" t="s">
        <v>3509</v>
      </c>
      <c r="AX3047" t="s">
        <v>2170</v>
      </c>
      <c r="AY3047" t="s">
        <v>5299</v>
      </c>
      <c r="AZ3047" t="s">
        <v>1257</v>
      </c>
      <c r="BA3047">
        <v>2.42</v>
      </c>
      <c r="BB3047">
        <v>1393.28</v>
      </c>
      <c r="BC3047">
        <v>0.67</v>
      </c>
      <c r="BD3047">
        <v>260.89999999999998</v>
      </c>
      <c r="BE3047">
        <v>266</v>
      </c>
      <c r="BF3047">
        <v>261.73</v>
      </c>
      <c r="BG3047" t="s">
        <v>27135</v>
      </c>
      <c r="BH3047" t="s">
        <v>5299</v>
      </c>
      <c r="BI3047" t="s">
        <v>27136</v>
      </c>
      <c r="BJ3047" t="s">
        <v>101</v>
      </c>
      <c r="BK3047" t="s">
        <v>12575</v>
      </c>
      <c r="BL3047" t="s">
        <v>9636</v>
      </c>
      <c r="BM3047" t="s">
        <v>9703</v>
      </c>
      <c r="BN3047" t="s">
        <v>23454</v>
      </c>
    </row>
    <row r="3048" spans="1:66" x14ac:dyDescent="0.25">
      <c r="A3048" t="str">
        <f>HYPERLINK("https://elite.finviz.com/quote.ashx?t=JBL&amp;ty=c&amp;p=d&amp;b=1", "JBL")</f>
        <v>JBL</v>
      </c>
      <c r="B3048">
        <v>5</v>
      </c>
      <c r="C3048">
        <v>116.22</v>
      </c>
      <c r="D3048">
        <v>48.76</v>
      </c>
      <c r="E3048" t="s">
        <v>27137</v>
      </c>
      <c r="F3048" t="s">
        <v>195</v>
      </c>
      <c r="G3048" t="s">
        <v>108</v>
      </c>
      <c r="H3048" t="s">
        <v>3346</v>
      </c>
      <c r="I3048" t="s">
        <v>70</v>
      </c>
      <c r="J3048" t="s">
        <v>71</v>
      </c>
      <c r="K3048">
        <v>23096.09</v>
      </c>
      <c r="L3048">
        <v>215.21</v>
      </c>
      <c r="M3048" t="s">
        <v>4839</v>
      </c>
      <c r="N3048">
        <v>471689</v>
      </c>
      <c r="O3048">
        <v>36.159999999999997</v>
      </c>
      <c r="P3048">
        <v>16.87</v>
      </c>
      <c r="Q3048">
        <v>2.36</v>
      </c>
      <c r="R3048">
        <v>0.77</v>
      </c>
      <c r="S3048">
        <v>17.97</v>
      </c>
      <c r="T3048" t="s">
        <v>183</v>
      </c>
      <c r="U3048">
        <v>0.32</v>
      </c>
      <c r="V3048" t="s">
        <v>3046</v>
      </c>
      <c r="W3048" t="s">
        <v>164</v>
      </c>
      <c r="X3048" t="s">
        <v>164</v>
      </c>
      <c r="Y3048" t="s">
        <v>164</v>
      </c>
      <c r="Z3048" t="s">
        <v>3602</v>
      </c>
      <c r="AA3048">
        <v>5.95</v>
      </c>
      <c r="AB3048" t="s">
        <v>4553</v>
      </c>
      <c r="AC3048" t="s">
        <v>3823</v>
      </c>
      <c r="AD3048" t="s">
        <v>2470</v>
      </c>
      <c r="AE3048" t="s">
        <v>4204</v>
      </c>
      <c r="AF3048" t="s">
        <v>3005</v>
      </c>
      <c r="AG3048" t="s">
        <v>2201</v>
      </c>
      <c r="AH3048" t="s">
        <v>13792</v>
      </c>
      <c r="AI3048" t="s">
        <v>794</v>
      </c>
      <c r="AJ3048" t="s">
        <v>20325</v>
      </c>
      <c r="AK3048" t="s">
        <v>7756</v>
      </c>
      <c r="AL3048">
        <v>1</v>
      </c>
      <c r="AM3048">
        <v>0.66</v>
      </c>
      <c r="AN3048">
        <v>2.2200000000000002</v>
      </c>
      <c r="AO3048" t="s">
        <v>5265</v>
      </c>
      <c r="AP3048" t="s">
        <v>3450</v>
      </c>
      <c r="AQ3048" t="s">
        <v>2876</v>
      </c>
      <c r="AR3048" t="s">
        <v>3244</v>
      </c>
      <c r="AS3048" t="s">
        <v>4658</v>
      </c>
      <c r="AT3048" t="s">
        <v>211</v>
      </c>
      <c r="AU3048" t="s">
        <v>8634</v>
      </c>
      <c r="AV3048" t="s">
        <v>8258</v>
      </c>
      <c r="AW3048" t="s">
        <v>9731</v>
      </c>
      <c r="AX3048" t="s">
        <v>2886</v>
      </c>
      <c r="AY3048" t="s">
        <v>9731</v>
      </c>
      <c r="AZ3048" t="s">
        <v>27138</v>
      </c>
      <c r="BA3048">
        <v>1.6</v>
      </c>
      <c r="BB3048">
        <v>1473.9</v>
      </c>
      <c r="BC3048">
        <v>1.1299999999999999</v>
      </c>
      <c r="BD3048">
        <v>210.2</v>
      </c>
      <c r="BE3048">
        <v>217.12</v>
      </c>
      <c r="BF3048">
        <v>211.51</v>
      </c>
      <c r="BG3048" t="s">
        <v>27139</v>
      </c>
      <c r="BH3048" t="s">
        <v>9731</v>
      </c>
      <c r="BI3048" t="s">
        <v>27140</v>
      </c>
      <c r="BJ3048" t="s">
        <v>101</v>
      </c>
      <c r="BK3048" t="s">
        <v>2132</v>
      </c>
      <c r="BL3048" t="s">
        <v>5522</v>
      </c>
      <c r="BM3048" t="s">
        <v>27141</v>
      </c>
      <c r="BN3048" t="s">
        <v>23454</v>
      </c>
    </row>
    <row r="3049" spans="1:66" x14ac:dyDescent="0.25">
      <c r="A3049" t="str">
        <f>HYPERLINK("https://elite.finviz.com/quote.ashx?t=CUBE&amp;ty=c&amp;p=d&amp;b=1", "CUBE")</f>
        <v>CUBE</v>
      </c>
      <c r="B3049">
        <v>5</v>
      </c>
      <c r="C3049">
        <v>116.22</v>
      </c>
      <c r="D3049">
        <v>48.8</v>
      </c>
      <c r="E3049" t="s">
        <v>27142</v>
      </c>
      <c r="F3049" t="s">
        <v>107</v>
      </c>
      <c r="G3049" t="s">
        <v>68</v>
      </c>
      <c r="H3049" t="s">
        <v>6342</v>
      </c>
      <c r="I3049" t="s">
        <v>70</v>
      </c>
      <c r="J3049" t="s">
        <v>71</v>
      </c>
      <c r="K3049">
        <v>9251.4699999999993</v>
      </c>
      <c r="L3049">
        <v>40.380000000000003</v>
      </c>
      <c r="M3049" t="s">
        <v>2082</v>
      </c>
      <c r="N3049">
        <v>231056</v>
      </c>
      <c r="O3049">
        <v>24.61</v>
      </c>
      <c r="P3049">
        <v>26.27</v>
      </c>
      <c r="R3049">
        <v>8.4600000000000009</v>
      </c>
      <c r="S3049">
        <v>3.27</v>
      </c>
      <c r="T3049" t="s">
        <v>5395</v>
      </c>
      <c r="U3049">
        <v>2.0699999999999998</v>
      </c>
      <c r="V3049" t="s">
        <v>700</v>
      </c>
      <c r="W3049" t="s">
        <v>3205</v>
      </c>
      <c r="X3049" t="s">
        <v>435</v>
      </c>
      <c r="Y3049" t="s">
        <v>2499</v>
      </c>
      <c r="Z3049" t="s">
        <v>27143</v>
      </c>
      <c r="AA3049">
        <v>1.64</v>
      </c>
      <c r="AB3049" t="s">
        <v>1464</v>
      </c>
      <c r="AC3049" t="s">
        <v>7555</v>
      </c>
      <c r="AD3049" t="s">
        <v>9618</v>
      </c>
      <c r="AE3049" t="s">
        <v>911</v>
      </c>
      <c r="AF3049" t="s">
        <v>2984</v>
      </c>
      <c r="AG3049" t="s">
        <v>5227</v>
      </c>
      <c r="AH3049" t="s">
        <v>8460</v>
      </c>
      <c r="AI3049" t="s">
        <v>2136</v>
      </c>
      <c r="AJ3049" t="s">
        <v>745</v>
      </c>
      <c r="AK3049" t="s">
        <v>27144</v>
      </c>
      <c r="AL3049">
        <v>0.24</v>
      </c>
      <c r="AM3049">
        <v>0.24</v>
      </c>
      <c r="AN3049">
        <v>1.22</v>
      </c>
      <c r="AO3049" t="s">
        <v>8766</v>
      </c>
      <c r="AP3049" t="s">
        <v>13798</v>
      </c>
      <c r="AQ3049" t="s">
        <v>16681</v>
      </c>
      <c r="AR3049" t="s">
        <v>3350</v>
      </c>
      <c r="AS3049" t="s">
        <v>2186</v>
      </c>
      <c r="AT3049" t="s">
        <v>1226</v>
      </c>
      <c r="AU3049" t="s">
        <v>3227</v>
      </c>
      <c r="AV3049" t="s">
        <v>5245</v>
      </c>
      <c r="AW3049" t="s">
        <v>4673</v>
      </c>
      <c r="AX3049" t="s">
        <v>8966</v>
      </c>
      <c r="AY3049" t="s">
        <v>12461</v>
      </c>
      <c r="AZ3049" t="s">
        <v>6131</v>
      </c>
      <c r="BA3049">
        <v>2.21</v>
      </c>
      <c r="BB3049">
        <v>1740.78</v>
      </c>
      <c r="BC3049">
        <v>0.47</v>
      </c>
      <c r="BD3049">
        <v>39.71</v>
      </c>
      <c r="BE3049">
        <v>40.47</v>
      </c>
      <c r="BF3049">
        <v>39.770000000000003</v>
      </c>
      <c r="BG3049" t="s">
        <v>27145</v>
      </c>
      <c r="BH3049" t="s">
        <v>27146</v>
      </c>
      <c r="BI3049" t="s">
        <v>27147</v>
      </c>
      <c r="BJ3049" t="s">
        <v>101</v>
      </c>
      <c r="BK3049" t="s">
        <v>3625</v>
      </c>
      <c r="BL3049" t="s">
        <v>4408</v>
      </c>
      <c r="BM3049" t="s">
        <v>26006</v>
      </c>
      <c r="BN3049" t="s">
        <v>23454</v>
      </c>
    </row>
    <row r="3050" spans="1:66" x14ac:dyDescent="0.25">
      <c r="A3050" t="str">
        <f>HYPERLINK("https://elite.finviz.com/quote.ashx?t=SMR&amp;ty=c&amp;p=d&amp;b=1", "SMR")</f>
        <v>SMR</v>
      </c>
      <c r="B3050">
        <v>5</v>
      </c>
      <c r="C3050">
        <v>116.22</v>
      </c>
      <c r="D3050">
        <v>48.81</v>
      </c>
      <c r="E3050" t="s">
        <v>27148</v>
      </c>
      <c r="F3050" t="s">
        <v>67</v>
      </c>
      <c r="G3050" t="s">
        <v>260</v>
      </c>
      <c r="H3050" t="s">
        <v>261</v>
      </c>
      <c r="I3050" t="s">
        <v>70</v>
      </c>
      <c r="J3050" t="s">
        <v>71</v>
      </c>
      <c r="K3050">
        <v>10802.53</v>
      </c>
      <c r="L3050">
        <v>37.92</v>
      </c>
      <c r="M3050" t="s">
        <v>2571</v>
      </c>
      <c r="N3050">
        <v>6070296</v>
      </c>
      <c r="R3050">
        <v>192.46</v>
      </c>
      <c r="S3050">
        <v>7.32</v>
      </c>
      <c r="AA3050">
        <v>-1.19</v>
      </c>
      <c r="AB3050" t="s">
        <v>10525</v>
      </c>
      <c r="AC3050" t="s">
        <v>23660</v>
      </c>
      <c r="AD3050" t="s">
        <v>13426</v>
      </c>
      <c r="AE3050" t="s">
        <v>27149</v>
      </c>
      <c r="AF3050" t="s">
        <v>27150</v>
      </c>
      <c r="AH3050" t="s">
        <v>27151</v>
      </c>
      <c r="AI3050" t="s">
        <v>13342</v>
      </c>
      <c r="AJ3050" t="s">
        <v>14774</v>
      </c>
      <c r="AK3050" t="s">
        <v>10960</v>
      </c>
      <c r="AL3050">
        <v>4.22</v>
      </c>
      <c r="AM3050">
        <v>4.22</v>
      </c>
      <c r="AN3050">
        <v>0</v>
      </c>
      <c r="AO3050" t="s">
        <v>3893</v>
      </c>
      <c r="AP3050" t="s">
        <v>27152</v>
      </c>
      <c r="AQ3050" t="s">
        <v>27153</v>
      </c>
      <c r="AR3050" t="s">
        <v>12555</v>
      </c>
      <c r="AS3050" t="s">
        <v>10542</v>
      </c>
      <c r="AT3050" t="s">
        <v>183</v>
      </c>
      <c r="AU3050" t="s">
        <v>4234</v>
      </c>
      <c r="AV3050" t="s">
        <v>5168</v>
      </c>
      <c r="AW3050" t="s">
        <v>9421</v>
      </c>
      <c r="AX3050" t="s">
        <v>13137</v>
      </c>
      <c r="AY3050" t="s">
        <v>9421</v>
      </c>
      <c r="AZ3050" t="s">
        <v>27154</v>
      </c>
      <c r="BA3050">
        <v>2.31</v>
      </c>
      <c r="BB3050">
        <v>14523.47</v>
      </c>
      <c r="BC3050">
        <v>1.47</v>
      </c>
      <c r="BD3050">
        <v>37.700000000000003</v>
      </c>
      <c r="BE3050">
        <v>38.65</v>
      </c>
      <c r="BF3050">
        <v>36.96</v>
      </c>
      <c r="BG3050" t="s">
        <v>27155</v>
      </c>
      <c r="BH3050" t="s">
        <v>9421</v>
      </c>
      <c r="BI3050" t="s">
        <v>27156</v>
      </c>
      <c r="BJ3050" t="s">
        <v>101</v>
      </c>
      <c r="BK3050" t="s">
        <v>9084</v>
      </c>
      <c r="BL3050" t="s">
        <v>27157</v>
      </c>
      <c r="BM3050" t="s">
        <v>27158</v>
      </c>
      <c r="BN3050" t="s">
        <v>23454</v>
      </c>
    </row>
    <row r="3051" spans="1:66" x14ac:dyDescent="0.25">
      <c r="A3051" t="str">
        <f>HYPERLINK("https://elite.finviz.com/quote.ashx?t=GIS&amp;ty=c&amp;p=d&amp;b=1", "GIS")</f>
        <v>GIS</v>
      </c>
      <c r="B3051">
        <v>5</v>
      </c>
      <c r="C3051">
        <v>116.22</v>
      </c>
      <c r="D3051">
        <v>48.82</v>
      </c>
      <c r="E3051" t="s">
        <v>27159</v>
      </c>
      <c r="F3051" t="s">
        <v>195</v>
      </c>
      <c r="G3051" t="s">
        <v>2244</v>
      </c>
      <c r="H3051" t="s">
        <v>3269</v>
      </c>
      <c r="I3051" t="s">
        <v>70</v>
      </c>
      <c r="J3051" t="s">
        <v>71</v>
      </c>
      <c r="K3051">
        <v>26545.46</v>
      </c>
      <c r="L3051">
        <v>49.76</v>
      </c>
      <c r="M3051" t="s">
        <v>5253</v>
      </c>
      <c r="N3051">
        <v>923698</v>
      </c>
      <c r="O3051">
        <v>9.42</v>
      </c>
      <c r="P3051">
        <v>13.11</v>
      </c>
      <c r="R3051">
        <v>1.39</v>
      </c>
      <c r="S3051">
        <v>2.8</v>
      </c>
      <c r="T3051" t="s">
        <v>5163</v>
      </c>
      <c r="U3051">
        <v>2.41</v>
      </c>
      <c r="V3051" t="s">
        <v>2573</v>
      </c>
      <c r="W3051" t="s">
        <v>2274</v>
      </c>
      <c r="X3051" t="s">
        <v>4697</v>
      </c>
      <c r="Y3051" t="s">
        <v>4299</v>
      </c>
      <c r="Z3051" t="s">
        <v>3562</v>
      </c>
      <c r="AA3051">
        <v>5.28</v>
      </c>
      <c r="AB3051" t="s">
        <v>5195</v>
      </c>
      <c r="AC3051" t="s">
        <v>5425</v>
      </c>
      <c r="AD3051" t="s">
        <v>4938</v>
      </c>
      <c r="AE3051" t="s">
        <v>4920</v>
      </c>
      <c r="AF3051" t="s">
        <v>7388</v>
      </c>
      <c r="AG3051" t="s">
        <v>617</v>
      </c>
      <c r="AH3051" t="s">
        <v>14645</v>
      </c>
      <c r="AI3051" t="s">
        <v>3855</v>
      </c>
      <c r="AJ3051" t="s">
        <v>1364</v>
      </c>
      <c r="AK3051" t="s">
        <v>27160</v>
      </c>
      <c r="AL3051">
        <v>0.66</v>
      </c>
      <c r="AM3051">
        <v>0.4</v>
      </c>
      <c r="AN3051">
        <v>1.52</v>
      </c>
      <c r="AO3051" t="s">
        <v>11986</v>
      </c>
      <c r="AP3051" t="s">
        <v>6799</v>
      </c>
      <c r="AQ3051" t="s">
        <v>1601</v>
      </c>
      <c r="AR3051" t="s">
        <v>5420</v>
      </c>
      <c r="AS3051" t="s">
        <v>3118</v>
      </c>
      <c r="AT3051" t="s">
        <v>386</v>
      </c>
      <c r="AU3051" t="s">
        <v>3227</v>
      </c>
      <c r="AV3051" t="s">
        <v>2052</v>
      </c>
      <c r="AW3051" t="s">
        <v>4289</v>
      </c>
      <c r="AX3051" t="s">
        <v>1769</v>
      </c>
      <c r="AY3051" t="s">
        <v>26475</v>
      </c>
      <c r="AZ3051" t="s">
        <v>1769</v>
      </c>
      <c r="BA3051">
        <v>2.87</v>
      </c>
      <c r="BB3051">
        <v>6152.9</v>
      </c>
      <c r="BC3051">
        <v>0.53</v>
      </c>
      <c r="BD3051">
        <v>49.43</v>
      </c>
      <c r="BE3051">
        <v>50.11</v>
      </c>
      <c r="BF3051">
        <v>49.5</v>
      </c>
      <c r="BG3051" t="s">
        <v>27161</v>
      </c>
      <c r="BH3051" t="s">
        <v>25506</v>
      </c>
      <c r="BI3051" t="s">
        <v>27162</v>
      </c>
      <c r="BJ3051" t="s">
        <v>101</v>
      </c>
      <c r="BK3051" t="s">
        <v>2856</v>
      </c>
      <c r="BL3051" t="s">
        <v>12700</v>
      </c>
      <c r="BM3051" t="s">
        <v>17503</v>
      </c>
      <c r="BN3051" t="s">
        <v>23454</v>
      </c>
    </row>
    <row r="3052" spans="1:66" x14ac:dyDescent="0.25">
      <c r="A3052" t="str">
        <f>HYPERLINK("https://elite.finviz.com/quote.ashx?t=MSFT&amp;ty=c&amp;p=d&amp;b=1", "MSFT")</f>
        <v>MSFT</v>
      </c>
      <c r="B3052">
        <v>5</v>
      </c>
      <c r="C3052">
        <v>116.22</v>
      </c>
      <c r="D3052">
        <v>48.9</v>
      </c>
      <c r="E3052" t="s">
        <v>27163</v>
      </c>
      <c r="F3052" t="s">
        <v>13356</v>
      </c>
      <c r="G3052" t="s">
        <v>108</v>
      </c>
      <c r="H3052" t="s">
        <v>109</v>
      </c>
      <c r="I3052" t="s">
        <v>70</v>
      </c>
      <c r="J3052" t="s">
        <v>321</v>
      </c>
      <c r="K3052">
        <v>3773521.33</v>
      </c>
      <c r="L3052">
        <v>507.66</v>
      </c>
      <c r="M3052" t="s">
        <v>2275</v>
      </c>
      <c r="N3052">
        <v>5348454</v>
      </c>
      <c r="O3052">
        <v>37.21</v>
      </c>
      <c r="P3052">
        <v>27.74</v>
      </c>
      <c r="Q3052">
        <v>2.2400000000000002</v>
      </c>
      <c r="R3052">
        <v>13.39</v>
      </c>
      <c r="S3052">
        <v>10.99</v>
      </c>
      <c r="T3052" t="s">
        <v>8179</v>
      </c>
      <c r="U3052">
        <v>3.32</v>
      </c>
      <c r="V3052" t="s">
        <v>13819</v>
      </c>
      <c r="W3052" t="s">
        <v>531</v>
      </c>
      <c r="X3052" t="s">
        <v>7669</v>
      </c>
      <c r="Y3052" t="s">
        <v>8240</v>
      </c>
      <c r="Z3052" t="s">
        <v>9999</v>
      </c>
      <c r="AA3052">
        <v>13.64</v>
      </c>
      <c r="AB3052" t="s">
        <v>435</v>
      </c>
      <c r="AC3052" t="s">
        <v>5465</v>
      </c>
      <c r="AD3052" t="s">
        <v>6694</v>
      </c>
      <c r="AE3052" t="s">
        <v>3180</v>
      </c>
      <c r="AF3052" t="s">
        <v>6530</v>
      </c>
      <c r="AG3052" t="s">
        <v>11292</v>
      </c>
      <c r="AH3052" t="s">
        <v>8063</v>
      </c>
      <c r="AI3052" t="s">
        <v>1282</v>
      </c>
      <c r="AJ3052" t="s">
        <v>2402</v>
      </c>
      <c r="AK3052" t="s">
        <v>27164</v>
      </c>
      <c r="AL3052">
        <v>1.35</v>
      </c>
      <c r="AM3052">
        <v>1.35</v>
      </c>
      <c r="AN3052">
        <v>0.33</v>
      </c>
      <c r="AO3052" t="s">
        <v>27165</v>
      </c>
      <c r="AP3052" t="s">
        <v>11504</v>
      </c>
      <c r="AQ3052" t="s">
        <v>27166</v>
      </c>
      <c r="AR3052" t="s">
        <v>80</v>
      </c>
      <c r="AS3052" t="s">
        <v>2554</v>
      </c>
      <c r="AT3052" t="s">
        <v>6156</v>
      </c>
      <c r="AU3052" t="s">
        <v>530</v>
      </c>
      <c r="AV3052" t="s">
        <v>2905</v>
      </c>
      <c r="AW3052" t="s">
        <v>5205</v>
      </c>
      <c r="AX3052" t="s">
        <v>3500</v>
      </c>
      <c r="AY3052" t="s">
        <v>5205</v>
      </c>
      <c r="AZ3052" t="s">
        <v>16079</v>
      </c>
      <c r="BA3052">
        <v>1.2</v>
      </c>
      <c r="BB3052">
        <v>20418.009999999998</v>
      </c>
      <c r="BC3052">
        <v>0.92</v>
      </c>
      <c r="BD3052">
        <v>507.03</v>
      </c>
      <c r="BE3052">
        <v>513.94000000000005</v>
      </c>
      <c r="BF3052">
        <v>507</v>
      </c>
      <c r="BG3052" t="s">
        <v>27167</v>
      </c>
      <c r="BH3052" t="s">
        <v>5205</v>
      </c>
      <c r="BI3052" t="s">
        <v>27168</v>
      </c>
      <c r="BJ3052" t="s">
        <v>101</v>
      </c>
      <c r="BK3052" t="s">
        <v>352</v>
      </c>
      <c r="BL3052" t="s">
        <v>7376</v>
      </c>
      <c r="BM3052" t="s">
        <v>5394</v>
      </c>
      <c r="BN3052" t="s">
        <v>23454</v>
      </c>
    </row>
    <row r="3053" spans="1:66" x14ac:dyDescent="0.25">
      <c r="A3053" t="str">
        <f>HYPERLINK("https://elite.finviz.com/quote.ashx?t=PLNT&amp;ty=c&amp;p=d&amp;b=1", "PLNT")</f>
        <v>PLNT</v>
      </c>
      <c r="B3053">
        <v>5</v>
      </c>
      <c r="C3053">
        <v>116.22</v>
      </c>
      <c r="D3053">
        <v>49.11</v>
      </c>
      <c r="E3053" t="s">
        <v>27169</v>
      </c>
      <c r="F3053" t="s">
        <v>107</v>
      </c>
      <c r="G3053" t="s">
        <v>813</v>
      </c>
      <c r="H3053" t="s">
        <v>5941</v>
      </c>
      <c r="I3053" t="s">
        <v>70</v>
      </c>
      <c r="J3053" t="s">
        <v>71</v>
      </c>
      <c r="K3053">
        <v>8658.32</v>
      </c>
      <c r="L3053">
        <v>102.79</v>
      </c>
      <c r="M3053" t="s">
        <v>1086</v>
      </c>
      <c r="N3053">
        <v>243115</v>
      </c>
      <c r="O3053">
        <v>45.9</v>
      </c>
      <c r="P3053">
        <v>29.78</v>
      </c>
      <c r="Q3053">
        <v>2.91</v>
      </c>
      <c r="R3053">
        <v>6.93</v>
      </c>
      <c r="V3053" t="s">
        <v>27170</v>
      </c>
      <c r="Z3053" t="s">
        <v>164</v>
      </c>
      <c r="AA3053">
        <v>2.2400000000000002</v>
      </c>
      <c r="AB3053" t="s">
        <v>9519</v>
      </c>
      <c r="AC3053" t="s">
        <v>4850</v>
      </c>
      <c r="AD3053" t="s">
        <v>12222</v>
      </c>
      <c r="AE3053" t="s">
        <v>9861</v>
      </c>
      <c r="AF3053" t="s">
        <v>10462</v>
      </c>
      <c r="AG3053" t="s">
        <v>7605</v>
      </c>
      <c r="AH3053" t="s">
        <v>6946</v>
      </c>
      <c r="AI3053" t="s">
        <v>1341</v>
      </c>
      <c r="AJ3053" t="s">
        <v>4764</v>
      </c>
      <c r="AK3053" t="s">
        <v>27171</v>
      </c>
      <c r="AL3053">
        <v>2.0499999999999998</v>
      </c>
      <c r="AM3053">
        <v>2.04</v>
      </c>
      <c r="AO3053" t="s">
        <v>14654</v>
      </c>
      <c r="AP3053" t="s">
        <v>12178</v>
      </c>
      <c r="AQ3053" t="s">
        <v>7683</v>
      </c>
      <c r="AR3053" t="s">
        <v>862</v>
      </c>
      <c r="AS3053" t="s">
        <v>3208</v>
      </c>
      <c r="AT3053" t="s">
        <v>3871</v>
      </c>
      <c r="AU3053" t="s">
        <v>7742</v>
      </c>
      <c r="AV3053" t="s">
        <v>2571</v>
      </c>
      <c r="AW3053" t="s">
        <v>21630</v>
      </c>
      <c r="AX3053" t="s">
        <v>5395</v>
      </c>
      <c r="AY3053" t="s">
        <v>21630</v>
      </c>
      <c r="AZ3053" t="s">
        <v>15975</v>
      </c>
      <c r="BA3053">
        <v>1.47</v>
      </c>
      <c r="BB3053">
        <v>1295.06</v>
      </c>
      <c r="BC3053">
        <v>0.66</v>
      </c>
      <c r="BD3053">
        <v>103.39</v>
      </c>
      <c r="BE3053">
        <v>103.25</v>
      </c>
      <c r="BF3053">
        <v>101.52</v>
      </c>
      <c r="BG3053" t="s">
        <v>27172</v>
      </c>
      <c r="BH3053" t="s">
        <v>21630</v>
      </c>
      <c r="BI3053" t="s">
        <v>27173</v>
      </c>
      <c r="BJ3053" t="s">
        <v>101</v>
      </c>
      <c r="BK3053" t="s">
        <v>8004</v>
      </c>
      <c r="BL3053" t="s">
        <v>3613</v>
      </c>
      <c r="BM3053" t="s">
        <v>4799</v>
      </c>
      <c r="BN3053" t="s">
        <v>23454</v>
      </c>
    </row>
    <row r="3054" spans="1:66" x14ac:dyDescent="0.25">
      <c r="A3054" t="str">
        <f>HYPERLINK("https://elite.finviz.com/quote.ashx?t=OI&amp;ty=c&amp;p=d&amp;b=1", "OI")</f>
        <v>OI</v>
      </c>
      <c r="B3054">
        <v>5</v>
      </c>
      <c r="C3054">
        <v>116.22</v>
      </c>
      <c r="D3054">
        <v>49.13</v>
      </c>
      <c r="E3054" t="s">
        <v>27174</v>
      </c>
      <c r="F3054" t="s">
        <v>67</v>
      </c>
      <c r="G3054" t="s">
        <v>813</v>
      </c>
      <c r="H3054" t="s">
        <v>7355</v>
      </c>
      <c r="I3054" t="s">
        <v>70</v>
      </c>
      <c r="J3054" t="s">
        <v>71</v>
      </c>
      <c r="K3054">
        <v>2004.49</v>
      </c>
      <c r="L3054">
        <v>13.01</v>
      </c>
      <c r="M3054" t="s">
        <v>7780</v>
      </c>
      <c r="N3054">
        <v>127607</v>
      </c>
      <c r="P3054">
        <v>6.85</v>
      </c>
      <c r="R3054">
        <v>0.31</v>
      </c>
      <c r="S3054">
        <v>1.62</v>
      </c>
      <c r="V3054" t="s">
        <v>27175</v>
      </c>
      <c r="AA3054">
        <v>-1.66</v>
      </c>
      <c r="AC3054" t="s">
        <v>2422</v>
      </c>
      <c r="AD3054" t="s">
        <v>8100</v>
      </c>
      <c r="AE3054" t="s">
        <v>5061</v>
      </c>
      <c r="AF3054" t="s">
        <v>3493</v>
      </c>
      <c r="AG3054" t="s">
        <v>4886</v>
      </c>
      <c r="AH3054" t="s">
        <v>10852</v>
      </c>
      <c r="AI3054" t="s">
        <v>5391</v>
      </c>
      <c r="AJ3054" t="s">
        <v>7346</v>
      </c>
      <c r="AK3054" t="s">
        <v>1647</v>
      </c>
      <c r="AL3054">
        <v>1.24</v>
      </c>
      <c r="AM3054">
        <v>0.77</v>
      </c>
      <c r="AN3054">
        <v>4.1500000000000004</v>
      </c>
      <c r="AO3054" t="s">
        <v>4941</v>
      </c>
      <c r="AP3054" t="s">
        <v>716</v>
      </c>
      <c r="AQ3054" t="s">
        <v>944</v>
      </c>
      <c r="AR3054" t="s">
        <v>5929</v>
      </c>
      <c r="AS3054" t="s">
        <v>5929</v>
      </c>
      <c r="AT3054" t="s">
        <v>458</v>
      </c>
      <c r="AU3054" t="s">
        <v>1225</v>
      </c>
      <c r="AV3054" t="s">
        <v>3025</v>
      </c>
      <c r="AW3054" t="s">
        <v>17752</v>
      </c>
      <c r="AX3054" t="s">
        <v>578</v>
      </c>
      <c r="AY3054" t="s">
        <v>19132</v>
      </c>
      <c r="AZ3054" t="s">
        <v>143</v>
      </c>
      <c r="BA3054">
        <v>2.1800000000000002</v>
      </c>
      <c r="BB3054">
        <v>1639.3</v>
      </c>
      <c r="BC3054">
        <v>0.27</v>
      </c>
      <c r="BD3054">
        <v>12.83</v>
      </c>
      <c r="BE3054">
        <v>13.01</v>
      </c>
      <c r="BF3054">
        <v>12.84</v>
      </c>
      <c r="BG3054" t="s">
        <v>27176</v>
      </c>
      <c r="BH3054" t="s">
        <v>27177</v>
      </c>
      <c r="BI3054" t="s">
        <v>27178</v>
      </c>
      <c r="BJ3054" t="s">
        <v>101</v>
      </c>
      <c r="BK3054" t="s">
        <v>15067</v>
      </c>
      <c r="BL3054" t="s">
        <v>3100</v>
      </c>
      <c r="BM3054" t="s">
        <v>84</v>
      </c>
      <c r="BN3054" t="s">
        <v>23454</v>
      </c>
    </row>
    <row r="3055" spans="1:66" x14ac:dyDescent="0.25">
      <c r="A3055" t="str">
        <f>HYPERLINK("https://elite.finviz.com/quote.ashx?t=PGR&amp;ty=c&amp;p=d&amp;b=1", "PGR")</f>
        <v>PGR</v>
      </c>
      <c r="B3055">
        <v>5</v>
      </c>
      <c r="C3055">
        <v>116.22</v>
      </c>
      <c r="D3055">
        <v>49.16</v>
      </c>
      <c r="E3055" t="s">
        <v>27179</v>
      </c>
      <c r="F3055" t="s">
        <v>195</v>
      </c>
      <c r="G3055" t="s">
        <v>550</v>
      </c>
      <c r="H3055" t="s">
        <v>4407</v>
      </c>
      <c r="I3055" t="s">
        <v>70</v>
      </c>
      <c r="J3055" t="s">
        <v>71</v>
      </c>
      <c r="K3055">
        <v>143148.07</v>
      </c>
      <c r="L3055">
        <v>244.19</v>
      </c>
      <c r="M3055" t="s">
        <v>2734</v>
      </c>
      <c r="N3055">
        <v>480208</v>
      </c>
      <c r="O3055">
        <v>13.75</v>
      </c>
      <c r="P3055">
        <v>14.83</v>
      </c>
      <c r="Q3055">
        <v>2.2999999999999998</v>
      </c>
      <c r="R3055">
        <v>1.74</v>
      </c>
      <c r="S3055">
        <v>4.3899999999999997</v>
      </c>
      <c r="T3055" t="s">
        <v>3494</v>
      </c>
      <c r="U3055">
        <v>0.4</v>
      </c>
      <c r="V3055" t="s">
        <v>5149</v>
      </c>
      <c r="W3055" t="s">
        <v>27180</v>
      </c>
      <c r="X3055" t="s">
        <v>5601</v>
      </c>
      <c r="Y3055" t="s">
        <v>7137</v>
      </c>
      <c r="Z3055" t="s">
        <v>8573</v>
      </c>
      <c r="AA3055">
        <v>17.760000000000002</v>
      </c>
      <c r="AB3055" t="s">
        <v>6794</v>
      </c>
      <c r="AC3055" t="s">
        <v>5976</v>
      </c>
      <c r="AD3055" t="s">
        <v>7090</v>
      </c>
      <c r="AE3055" t="s">
        <v>1990</v>
      </c>
      <c r="AF3055" t="s">
        <v>5976</v>
      </c>
      <c r="AG3055" t="s">
        <v>2711</v>
      </c>
      <c r="AH3055" t="s">
        <v>4536</v>
      </c>
      <c r="AI3055" t="s">
        <v>4193</v>
      </c>
      <c r="AJ3055" t="s">
        <v>14249</v>
      </c>
      <c r="AK3055" t="s">
        <v>10836</v>
      </c>
      <c r="AL3055">
        <v>0.75</v>
      </c>
      <c r="AN3055">
        <v>0.21</v>
      </c>
      <c r="AP3055" t="s">
        <v>3939</v>
      </c>
      <c r="AQ3055" t="s">
        <v>2712</v>
      </c>
      <c r="AR3055" t="s">
        <v>3019</v>
      </c>
      <c r="AS3055" t="s">
        <v>6990</v>
      </c>
      <c r="AT3055" t="s">
        <v>2717</v>
      </c>
      <c r="AU3055" t="s">
        <v>4273</v>
      </c>
      <c r="AV3055" t="s">
        <v>4234</v>
      </c>
      <c r="AW3055" t="s">
        <v>6123</v>
      </c>
      <c r="AX3055" t="s">
        <v>911</v>
      </c>
      <c r="AY3055" t="s">
        <v>4997</v>
      </c>
      <c r="AZ3055" t="s">
        <v>8276</v>
      </c>
      <c r="BA3055">
        <v>2.33</v>
      </c>
      <c r="BB3055">
        <v>3342.27</v>
      </c>
      <c r="BC3055">
        <v>0.51</v>
      </c>
      <c r="BD3055">
        <v>242.19</v>
      </c>
      <c r="BE3055">
        <v>245.61</v>
      </c>
      <c r="BF3055">
        <v>243.2</v>
      </c>
      <c r="BG3055" t="s">
        <v>27181</v>
      </c>
      <c r="BH3055" t="s">
        <v>4997</v>
      </c>
      <c r="BI3055" t="s">
        <v>27182</v>
      </c>
      <c r="BJ3055" t="s">
        <v>101</v>
      </c>
      <c r="BK3055" t="s">
        <v>5271</v>
      </c>
      <c r="BL3055" t="s">
        <v>12057</v>
      </c>
      <c r="BM3055" t="s">
        <v>10774</v>
      </c>
      <c r="BN3055" t="s">
        <v>23454</v>
      </c>
    </row>
    <row r="3056" spans="1:66" x14ac:dyDescent="0.25">
      <c r="A3056" t="str">
        <f>HYPERLINK("https://elite.finviz.com/quote.ashx?t=GRND&amp;ty=c&amp;p=d&amp;b=1", "GRND")</f>
        <v>GRND</v>
      </c>
      <c r="B3056">
        <v>5</v>
      </c>
      <c r="C3056">
        <v>116.22</v>
      </c>
      <c r="D3056">
        <v>49.17</v>
      </c>
      <c r="E3056" t="s">
        <v>27183</v>
      </c>
      <c r="F3056" t="s">
        <v>67</v>
      </c>
      <c r="G3056" t="s">
        <v>108</v>
      </c>
      <c r="H3056" t="s">
        <v>136</v>
      </c>
      <c r="I3056" t="s">
        <v>70</v>
      </c>
      <c r="J3056" t="s">
        <v>71</v>
      </c>
      <c r="K3056">
        <v>3078.15</v>
      </c>
      <c r="L3056">
        <v>16.03</v>
      </c>
      <c r="M3056" t="s">
        <v>2195</v>
      </c>
      <c r="N3056">
        <v>331084</v>
      </c>
      <c r="P3056">
        <v>27.76</v>
      </c>
      <c r="R3056">
        <v>7.99</v>
      </c>
      <c r="S3056">
        <v>16.52</v>
      </c>
      <c r="AA3056">
        <v>-0.39</v>
      </c>
      <c r="AC3056" t="s">
        <v>3595</v>
      </c>
      <c r="AE3056" t="s">
        <v>6641</v>
      </c>
      <c r="AF3056" t="s">
        <v>8505</v>
      </c>
      <c r="AH3056" t="s">
        <v>1669</v>
      </c>
      <c r="AI3056" t="s">
        <v>4357</v>
      </c>
      <c r="AJ3056" t="s">
        <v>4645</v>
      </c>
      <c r="AK3056" t="s">
        <v>13484</v>
      </c>
      <c r="AL3056">
        <v>2.42</v>
      </c>
      <c r="AM3056">
        <v>2.42</v>
      </c>
      <c r="AN3056">
        <v>1.53</v>
      </c>
      <c r="AO3056" t="s">
        <v>24156</v>
      </c>
      <c r="AP3056" t="s">
        <v>8253</v>
      </c>
      <c r="AQ3056" t="s">
        <v>4356</v>
      </c>
      <c r="AR3056" t="s">
        <v>2743</v>
      </c>
      <c r="AS3056" t="s">
        <v>4204</v>
      </c>
      <c r="AT3056" t="s">
        <v>2876</v>
      </c>
      <c r="AU3056" t="s">
        <v>3905</v>
      </c>
      <c r="AV3056" t="s">
        <v>7443</v>
      </c>
      <c r="AW3056" t="s">
        <v>26762</v>
      </c>
      <c r="AX3056" t="s">
        <v>801</v>
      </c>
      <c r="AY3056" t="s">
        <v>6418</v>
      </c>
      <c r="AZ3056" t="s">
        <v>6376</v>
      </c>
      <c r="BA3056">
        <v>1.25</v>
      </c>
      <c r="BB3056">
        <v>1987.11</v>
      </c>
      <c r="BC3056">
        <v>0.59</v>
      </c>
      <c r="BD3056">
        <v>15.76</v>
      </c>
      <c r="BE3056">
        <v>16.11</v>
      </c>
      <c r="BF3056">
        <v>15.8</v>
      </c>
      <c r="BG3056" t="s">
        <v>27184</v>
      </c>
      <c r="BH3056" t="s">
        <v>27185</v>
      </c>
      <c r="BI3056" t="s">
        <v>27186</v>
      </c>
      <c r="BJ3056" t="s">
        <v>101</v>
      </c>
      <c r="BK3056" t="s">
        <v>16208</v>
      </c>
      <c r="BL3056" t="s">
        <v>15553</v>
      </c>
      <c r="BM3056" t="s">
        <v>9147</v>
      </c>
      <c r="BN3056" t="s">
        <v>23454</v>
      </c>
    </row>
    <row r="3057" spans="1:66" x14ac:dyDescent="0.25">
      <c r="A3057" t="str">
        <f>HYPERLINK("https://elite.finviz.com/quote.ashx?t=UDMY&amp;ty=c&amp;p=d&amp;b=1", "UDMY")</f>
        <v>UDMY</v>
      </c>
      <c r="B3057">
        <v>5</v>
      </c>
      <c r="C3057">
        <v>116.22</v>
      </c>
      <c r="D3057">
        <v>49.18</v>
      </c>
      <c r="E3057" t="s">
        <v>27187</v>
      </c>
      <c r="F3057" t="s">
        <v>67</v>
      </c>
      <c r="G3057" t="s">
        <v>2244</v>
      </c>
      <c r="H3057" t="s">
        <v>2483</v>
      </c>
      <c r="I3057" t="s">
        <v>70</v>
      </c>
      <c r="J3057" t="s">
        <v>321</v>
      </c>
      <c r="K3057">
        <v>1053.1600000000001</v>
      </c>
      <c r="L3057">
        <v>7.01</v>
      </c>
      <c r="M3057" t="s">
        <v>227</v>
      </c>
      <c r="N3057">
        <v>197667</v>
      </c>
      <c r="P3057">
        <v>13.02</v>
      </c>
      <c r="R3057">
        <v>1.32</v>
      </c>
      <c r="S3057">
        <v>4.5</v>
      </c>
      <c r="AA3057">
        <v>-0.21</v>
      </c>
      <c r="AB3057" t="s">
        <v>4782</v>
      </c>
      <c r="AC3057" t="s">
        <v>7332</v>
      </c>
      <c r="AD3057" t="s">
        <v>11155</v>
      </c>
      <c r="AE3057" t="s">
        <v>3334</v>
      </c>
      <c r="AF3057" t="s">
        <v>3042</v>
      </c>
      <c r="AG3057" t="s">
        <v>2779</v>
      </c>
      <c r="AH3057" t="s">
        <v>2080</v>
      </c>
      <c r="AI3057" t="s">
        <v>10090</v>
      </c>
      <c r="AJ3057" t="s">
        <v>5242</v>
      </c>
      <c r="AK3057" t="s">
        <v>17222</v>
      </c>
      <c r="AL3057">
        <v>1.24</v>
      </c>
      <c r="AM3057">
        <v>1.24</v>
      </c>
      <c r="AN3057">
        <v>0.04</v>
      </c>
      <c r="AO3057" t="s">
        <v>13475</v>
      </c>
      <c r="AP3057" t="s">
        <v>3845</v>
      </c>
      <c r="AQ3057" t="s">
        <v>156</v>
      </c>
      <c r="AR3057" t="s">
        <v>7484</v>
      </c>
      <c r="AS3057" t="s">
        <v>1926</v>
      </c>
      <c r="AT3057" t="s">
        <v>4539</v>
      </c>
      <c r="AU3057" t="s">
        <v>148</v>
      </c>
      <c r="AV3057" t="s">
        <v>9471</v>
      </c>
      <c r="AW3057" t="s">
        <v>1951</v>
      </c>
      <c r="AX3057" t="s">
        <v>3746</v>
      </c>
      <c r="AY3057" t="s">
        <v>24183</v>
      </c>
      <c r="AZ3057" t="s">
        <v>9341</v>
      </c>
      <c r="BA3057">
        <v>1.8</v>
      </c>
      <c r="BB3057">
        <v>1611.71</v>
      </c>
      <c r="BC3057">
        <v>0.43</v>
      </c>
      <c r="BD3057">
        <v>6.96</v>
      </c>
      <c r="BE3057">
        <v>7.05</v>
      </c>
      <c r="BF3057">
        <v>6.93</v>
      </c>
      <c r="BG3057" t="s">
        <v>27188</v>
      </c>
      <c r="BH3057" t="s">
        <v>27177</v>
      </c>
      <c r="BI3057" t="s">
        <v>9341</v>
      </c>
      <c r="BJ3057" t="s">
        <v>101</v>
      </c>
      <c r="BK3057" t="s">
        <v>1445</v>
      </c>
      <c r="BL3057" t="s">
        <v>20586</v>
      </c>
      <c r="BM3057" t="s">
        <v>16894</v>
      </c>
      <c r="BN3057" t="s">
        <v>23454</v>
      </c>
    </row>
    <row r="3058" spans="1:66" x14ac:dyDescent="0.25">
      <c r="A3058" t="str">
        <f>HYPERLINK("https://elite.finviz.com/quote.ashx?t=SBFG&amp;ty=c&amp;p=d&amp;b=1", "SBFG")</f>
        <v>SBFG</v>
      </c>
      <c r="B3058">
        <v>5</v>
      </c>
      <c r="C3058">
        <v>116.22</v>
      </c>
      <c r="D3058">
        <v>49.2</v>
      </c>
      <c r="E3058" t="s">
        <v>27189</v>
      </c>
      <c r="F3058" t="s">
        <v>67</v>
      </c>
      <c r="G3058" t="s">
        <v>550</v>
      </c>
      <c r="H3058" t="s">
        <v>697</v>
      </c>
      <c r="I3058" t="s">
        <v>70</v>
      </c>
      <c r="J3058" t="s">
        <v>321</v>
      </c>
      <c r="K3058">
        <v>131.52000000000001</v>
      </c>
      <c r="L3058">
        <v>20.77</v>
      </c>
      <c r="M3058" t="s">
        <v>3447</v>
      </c>
      <c r="N3058">
        <v>1757</v>
      </c>
      <c r="O3058">
        <v>11.38</v>
      </c>
      <c r="P3058">
        <v>8.84</v>
      </c>
      <c r="R3058">
        <v>1.52</v>
      </c>
      <c r="S3058">
        <v>1</v>
      </c>
      <c r="T3058" t="s">
        <v>2080</v>
      </c>
      <c r="U3058">
        <v>0.59</v>
      </c>
      <c r="V3058" t="s">
        <v>3046</v>
      </c>
      <c r="W3058" t="s">
        <v>2698</v>
      </c>
      <c r="X3058" t="s">
        <v>1115</v>
      </c>
      <c r="Y3058" t="s">
        <v>7106</v>
      </c>
      <c r="Z3058" t="s">
        <v>4905</v>
      </c>
      <c r="AA3058">
        <v>1.83</v>
      </c>
      <c r="AB3058" t="s">
        <v>7951</v>
      </c>
      <c r="AC3058" t="s">
        <v>6726</v>
      </c>
      <c r="AE3058" t="s">
        <v>7288</v>
      </c>
      <c r="AF3058" t="s">
        <v>7117</v>
      </c>
      <c r="AG3058" t="s">
        <v>4403</v>
      </c>
      <c r="AH3058" t="s">
        <v>10441</v>
      </c>
      <c r="AI3058" t="s">
        <v>2816</v>
      </c>
      <c r="AJ3058" t="s">
        <v>3736</v>
      </c>
      <c r="AK3058" t="s">
        <v>9234</v>
      </c>
      <c r="AL3058">
        <v>0.12</v>
      </c>
      <c r="AN3058">
        <v>0.6</v>
      </c>
      <c r="AP3058" t="s">
        <v>4096</v>
      </c>
      <c r="AQ3058" t="s">
        <v>4961</v>
      </c>
      <c r="AR3058" t="s">
        <v>454</v>
      </c>
      <c r="AS3058" t="s">
        <v>5592</v>
      </c>
      <c r="AT3058" t="s">
        <v>9511</v>
      </c>
      <c r="AU3058" t="s">
        <v>3463</v>
      </c>
      <c r="AV3058" t="s">
        <v>4839</v>
      </c>
      <c r="AW3058" t="s">
        <v>440</v>
      </c>
      <c r="AX3058" t="s">
        <v>6737</v>
      </c>
      <c r="AY3058" t="s">
        <v>15204</v>
      </c>
      <c r="AZ3058" t="s">
        <v>14500</v>
      </c>
      <c r="BA3058">
        <v>1</v>
      </c>
      <c r="BB3058">
        <v>35.58</v>
      </c>
      <c r="BC3058">
        <v>0.18</v>
      </c>
      <c r="BD3058">
        <v>20.56</v>
      </c>
      <c r="BE3058">
        <v>20.77</v>
      </c>
      <c r="BF3058">
        <v>20.53</v>
      </c>
      <c r="BG3058" t="s">
        <v>27190</v>
      </c>
      <c r="BH3058" t="s">
        <v>15204</v>
      </c>
      <c r="BI3058" t="s">
        <v>27191</v>
      </c>
      <c r="BJ3058" t="s">
        <v>101</v>
      </c>
      <c r="BK3058" t="s">
        <v>3430</v>
      </c>
      <c r="BL3058" t="s">
        <v>8763</v>
      </c>
      <c r="BM3058" t="s">
        <v>4394</v>
      </c>
      <c r="BN3058" t="s">
        <v>26049</v>
      </c>
    </row>
    <row r="3059" spans="1:66" x14ac:dyDescent="0.25">
      <c r="A3059" t="str">
        <f>HYPERLINK("https://elite.finviz.com/quote.ashx?t=TELO&amp;ty=c&amp;p=d&amp;b=1", "TELO")</f>
        <v>TELO</v>
      </c>
      <c r="B3059">
        <v>5</v>
      </c>
      <c r="C3059">
        <v>116.22</v>
      </c>
      <c r="D3059">
        <v>49.27</v>
      </c>
      <c r="E3059" t="s">
        <v>27192</v>
      </c>
      <c r="F3059" t="s">
        <v>107</v>
      </c>
      <c r="G3059" t="s">
        <v>428</v>
      </c>
      <c r="H3059" t="s">
        <v>429</v>
      </c>
      <c r="I3059" t="s">
        <v>70</v>
      </c>
      <c r="J3059" t="s">
        <v>321</v>
      </c>
      <c r="K3059">
        <v>46.05</v>
      </c>
      <c r="L3059">
        <v>1.43</v>
      </c>
      <c r="M3059" t="s">
        <v>4493</v>
      </c>
      <c r="N3059">
        <v>81694</v>
      </c>
      <c r="S3059">
        <v>90.46</v>
      </c>
      <c r="AA3059">
        <v>-0.54</v>
      </c>
      <c r="AB3059" t="s">
        <v>27193</v>
      </c>
      <c r="AI3059" t="s">
        <v>164</v>
      </c>
      <c r="AJ3059" t="s">
        <v>164</v>
      </c>
      <c r="AK3059" t="s">
        <v>9159</v>
      </c>
      <c r="AL3059">
        <v>2.38</v>
      </c>
      <c r="AM3059">
        <v>2.38</v>
      </c>
      <c r="AN3059">
        <v>0</v>
      </c>
      <c r="AR3059" t="s">
        <v>1771</v>
      </c>
      <c r="AS3059" t="s">
        <v>5618</v>
      </c>
      <c r="AT3059" t="s">
        <v>2580</v>
      </c>
      <c r="AU3059" t="s">
        <v>1399</v>
      </c>
      <c r="AV3059" t="s">
        <v>27194</v>
      </c>
      <c r="AW3059" t="s">
        <v>27195</v>
      </c>
      <c r="AX3059" t="s">
        <v>3683</v>
      </c>
      <c r="AY3059" t="s">
        <v>11365</v>
      </c>
      <c r="AZ3059" t="s">
        <v>7578</v>
      </c>
      <c r="BA3059">
        <v>1</v>
      </c>
      <c r="BB3059">
        <v>4563.3</v>
      </c>
      <c r="BC3059">
        <v>0.06</v>
      </c>
      <c r="BD3059">
        <v>1.4</v>
      </c>
      <c r="BE3059">
        <v>1.46</v>
      </c>
      <c r="BF3059">
        <v>1.41</v>
      </c>
      <c r="BG3059" t="s">
        <v>27196</v>
      </c>
      <c r="BH3059" t="s">
        <v>27197</v>
      </c>
      <c r="BI3059" t="s">
        <v>7578</v>
      </c>
      <c r="BJ3059" t="s">
        <v>101</v>
      </c>
      <c r="BK3059" t="s">
        <v>14915</v>
      </c>
      <c r="BL3059" t="s">
        <v>24678</v>
      </c>
      <c r="BM3059" t="s">
        <v>7638</v>
      </c>
      <c r="BN3059" t="s">
        <v>23454</v>
      </c>
    </row>
    <row r="3060" spans="1:66" x14ac:dyDescent="0.25">
      <c r="A3060" t="str">
        <f>HYPERLINK("https://elite.finviz.com/quote.ashx?t=LTH&amp;ty=c&amp;p=d&amp;b=1", "LTH")</f>
        <v>LTH</v>
      </c>
      <c r="B3060">
        <v>5</v>
      </c>
      <c r="C3060">
        <v>116.22</v>
      </c>
      <c r="D3060">
        <v>49.27</v>
      </c>
      <c r="E3060" t="s">
        <v>27198</v>
      </c>
      <c r="F3060" t="s">
        <v>67</v>
      </c>
      <c r="G3060" t="s">
        <v>813</v>
      </c>
      <c r="H3060" t="s">
        <v>5941</v>
      </c>
      <c r="I3060" t="s">
        <v>70</v>
      </c>
      <c r="J3060" t="s">
        <v>71</v>
      </c>
      <c r="K3060">
        <v>6190.69</v>
      </c>
      <c r="L3060">
        <v>28.14</v>
      </c>
      <c r="M3060" t="s">
        <v>908</v>
      </c>
      <c r="N3060">
        <v>221987</v>
      </c>
      <c r="O3060">
        <v>27.55</v>
      </c>
      <c r="P3060">
        <v>18.47</v>
      </c>
      <c r="Q3060">
        <v>0.8</v>
      </c>
      <c r="R3060">
        <v>2.19</v>
      </c>
      <c r="S3060">
        <v>2.16</v>
      </c>
      <c r="Z3060" t="s">
        <v>164</v>
      </c>
      <c r="AA3060">
        <v>1.02</v>
      </c>
      <c r="AC3060" t="s">
        <v>17737</v>
      </c>
      <c r="AD3060" t="s">
        <v>15396</v>
      </c>
      <c r="AE3060" t="s">
        <v>2976</v>
      </c>
      <c r="AF3060" t="s">
        <v>6672</v>
      </c>
      <c r="AG3060" t="s">
        <v>521</v>
      </c>
      <c r="AH3060" t="s">
        <v>6413</v>
      </c>
      <c r="AI3060" t="s">
        <v>4953</v>
      </c>
      <c r="AJ3060" t="s">
        <v>15609</v>
      </c>
      <c r="AK3060" t="s">
        <v>27199</v>
      </c>
      <c r="AL3060">
        <v>0.65</v>
      </c>
      <c r="AM3060">
        <v>0.53</v>
      </c>
      <c r="AN3060">
        <v>1.42</v>
      </c>
      <c r="AO3060" t="s">
        <v>5572</v>
      </c>
      <c r="AP3060" t="s">
        <v>6387</v>
      </c>
      <c r="AQ3060" t="s">
        <v>8727</v>
      </c>
      <c r="AR3060" t="s">
        <v>1560</v>
      </c>
      <c r="AS3060" t="s">
        <v>6430</v>
      </c>
      <c r="AT3060" t="s">
        <v>2203</v>
      </c>
      <c r="AU3060" t="s">
        <v>4809</v>
      </c>
      <c r="AV3060" t="s">
        <v>6533</v>
      </c>
      <c r="AW3060" t="s">
        <v>1571</v>
      </c>
      <c r="AX3060" t="s">
        <v>6278</v>
      </c>
      <c r="AY3060" t="s">
        <v>5064</v>
      </c>
      <c r="AZ3060" t="s">
        <v>15195</v>
      </c>
      <c r="BA3060">
        <v>1.17</v>
      </c>
      <c r="BB3060">
        <v>2517.59</v>
      </c>
      <c r="BC3060">
        <v>0.31</v>
      </c>
      <c r="BD3060">
        <v>27.67</v>
      </c>
      <c r="BE3060">
        <v>28.36</v>
      </c>
      <c r="BF3060">
        <v>27.76</v>
      </c>
      <c r="BG3060" t="s">
        <v>27200</v>
      </c>
      <c r="BH3060" t="s">
        <v>5064</v>
      </c>
      <c r="BI3060" t="s">
        <v>27201</v>
      </c>
      <c r="BJ3060" t="s">
        <v>101</v>
      </c>
      <c r="BK3060" t="s">
        <v>5567</v>
      </c>
      <c r="BL3060" t="s">
        <v>5247</v>
      </c>
      <c r="BM3060" t="s">
        <v>5551</v>
      </c>
      <c r="BN3060" t="s">
        <v>23454</v>
      </c>
    </row>
    <row r="3061" spans="1:66" x14ac:dyDescent="0.25">
      <c r="A3061" t="str">
        <f>HYPERLINK("https://elite.finviz.com/quote.ashx?t=EXEL&amp;ty=c&amp;p=d&amp;b=1", "EXEL")</f>
        <v>EXEL</v>
      </c>
      <c r="B3061">
        <v>5</v>
      </c>
      <c r="C3061">
        <v>116.22</v>
      </c>
      <c r="D3061">
        <v>49.31</v>
      </c>
      <c r="E3061" t="s">
        <v>27202</v>
      </c>
      <c r="F3061" t="s">
        <v>107</v>
      </c>
      <c r="G3061" t="s">
        <v>428</v>
      </c>
      <c r="H3061" t="s">
        <v>429</v>
      </c>
      <c r="I3061" t="s">
        <v>70</v>
      </c>
      <c r="J3061" t="s">
        <v>321</v>
      </c>
      <c r="K3061">
        <v>10477.370000000001</v>
      </c>
      <c r="L3061">
        <v>38.92</v>
      </c>
      <c r="M3061" t="s">
        <v>4623</v>
      </c>
      <c r="N3061">
        <v>176454</v>
      </c>
      <c r="O3061">
        <v>18.670000000000002</v>
      </c>
      <c r="P3061">
        <v>12.43</v>
      </c>
      <c r="Q3061">
        <v>0.59</v>
      </c>
      <c r="R3061">
        <v>4.7</v>
      </c>
      <c r="S3061">
        <v>5.17</v>
      </c>
      <c r="Z3061" t="s">
        <v>164</v>
      </c>
      <c r="AA3061">
        <v>2.08</v>
      </c>
      <c r="AB3061" t="s">
        <v>3678</v>
      </c>
      <c r="AC3061" t="s">
        <v>12555</v>
      </c>
      <c r="AD3061" t="s">
        <v>244</v>
      </c>
      <c r="AE3061" t="s">
        <v>249</v>
      </c>
      <c r="AF3061" t="s">
        <v>800</v>
      </c>
      <c r="AG3061" t="s">
        <v>15014</v>
      </c>
      <c r="AH3061" t="s">
        <v>6205</v>
      </c>
      <c r="AI3061" t="s">
        <v>7655</v>
      </c>
      <c r="AJ3061" t="s">
        <v>7165</v>
      </c>
      <c r="AK3061" t="s">
        <v>15326</v>
      </c>
      <c r="AL3061">
        <v>3.51</v>
      </c>
      <c r="AM3061">
        <v>3.44</v>
      </c>
      <c r="AN3061">
        <v>0.09</v>
      </c>
      <c r="AO3061" t="s">
        <v>25702</v>
      </c>
      <c r="AP3061" t="s">
        <v>16831</v>
      </c>
      <c r="AQ3061" t="s">
        <v>10392</v>
      </c>
      <c r="AR3061" t="s">
        <v>3544</v>
      </c>
      <c r="AS3061" t="s">
        <v>1776</v>
      </c>
      <c r="AT3061" t="s">
        <v>1763</v>
      </c>
      <c r="AU3061" t="s">
        <v>2426</v>
      </c>
      <c r="AV3061" t="s">
        <v>2082</v>
      </c>
      <c r="AW3061" t="s">
        <v>14485</v>
      </c>
      <c r="AX3061" t="s">
        <v>3455</v>
      </c>
      <c r="AY3061" t="s">
        <v>866</v>
      </c>
      <c r="AZ3061" t="s">
        <v>27203</v>
      </c>
      <c r="BA3061">
        <v>1.9</v>
      </c>
      <c r="BB3061">
        <v>3024.46</v>
      </c>
      <c r="BC3061">
        <v>0.21</v>
      </c>
      <c r="BD3061">
        <v>38.69</v>
      </c>
      <c r="BE3061">
        <v>38.979999999999997</v>
      </c>
      <c r="BF3061">
        <v>38.68</v>
      </c>
      <c r="BG3061" t="s">
        <v>27204</v>
      </c>
      <c r="BH3061" t="s">
        <v>14118</v>
      </c>
      <c r="BI3061" t="s">
        <v>27205</v>
      </c>
      <c r="BJ3061" t="s">
        <v>101</v>
      </c>
      <c r="BK3061" t="s">
        <v>17277</v>
      </c>
      <c r="BL3061" t="s">
        <v>204</v>
      </c>
      <c r="BM3061" t="s">
        <v>12226</v>
      </c>
      <c r="BN3061" t="s">
        <v>23454</v>
      </c>
    </row>
    <row r="3062" spans="1:66" x14ac:dyDescent="0.25">
      <c r="A3062" t="str">
        <f>HYPERLINK("https://elite.finviz.com/quote.ashx?t=XAIR&amp;ty=c&amp;p=d&amp;b=1", "XAIR")</f>
        <v>XAIR</v>
      </c>
      <c r="B3062">
        <v>5</v>
      </c>
      <c r="C3062">
        <v>116.22</v>
      </c>
      <c r="D3062">
        <v>49.36</v>
      </c>
      <c r="E3062" t="s">
        <v>27206</v>
      </c>
      <c r="F3062" t="s">
        <v>107</v>
      </c>
      <c r="G3062" t="s">
        <v>428</v>
      </c>
      <c r="H3062" t="s">
        <v>2051</v>
      </c>
      <c r="I3062" t="s">
        <v>70</v>
      </c>
      <c r="J3062" t="s">
        <v>321</v>
      </c>
      <c r="K3062">
        <v>12.92</v>
      </c>
      <c r="L3062">
        <v>2.41</v>
      </c>
      <c r="M3062" t="s">
        <v>2662</v>
      </c>
      <c r="N3062">
        <v>74896</v>
      </c>
      <c r="R3062">
        <v>2.7</v>
      </c>
      <c r="S3062">
        <v>1.1399999999999999</v>
      </c>
      <c r="AA3062">
        <v>-11.95</v>
      </c>
      <c r="AB3062" t="s">
        <v>6672</v>
      </c>
      <c r="AC3062" t="s">
        <v>11525</v>
      </c>
      <c r="AD3062" t="s">
        <v>27207</v>
      </c>
      <c r="AE3062" t="s">
        <v>27208</v>
      </c>
      <c r="AG3062" t="s">
        <v>233</v>
      </c>
      <c r="AH3062" t="s">
        <v>27209</v>
      </c>
      <c r="AI3062" t="s">
        <v>15433</v>
      </c>
      <c r="AJ3062" t="s">
        <v>5158</v>
      </c>
      <c r="AK3062" t="s">
        <v>2795</v>
      </c>
      <c r="AL3062">
        <v>3.24</v>
      </c>
      <c r="AM3062">
        <v>2.71</v>
      </c>
      <c r="AN3062">
        <v>1.18</v>
      </c>
      <c r="AO3062" t="s">
        <v>13589</v>
      </c>
      <c r="AP3062" t="s">
        <v>27210</v>
      </c>
      <c r="AQ3062" t="s">
        <v>27211</v>
      </c>
      <c r="AR3062" t="s">
        <v>437</v>
      </c>
      <c r="AS3062" t="s">
        <v>8530</v>
      </c>
      <c r="AT3062" t="s">
        <v>2720</v>
      </c>
      <c r="AU3062" t="s">
        <v>502</v>
      </c>
      <c r="AV3062" t="s">
        <v>13533</v>
      </c>
      <c r="AW3062" t="s">
        <v>27212</v>
      </c>
      <c r="AX3062" t="s">
        <v>8464</v>
      </c>
      <c r="AY3062" t="s">
        <v>27213</v>
      </c>
      <c r="AZ3062" t="s">
        <v>8464</v>
      </c>
      <c r="BA3062">
        <v>1</v>
      </c>
      <c r="BB3062">
        <v>2966.8</v>
      </c>
      <c r="BC3062">
        <v>0.09</v>
      </c>
      <c r="BD3062">
        <v>2.33</v>
      </c>
      <c r="BE3062">
        <v>2.4500000000000002</v>
      </c>
      <c r="BF3062">
        <v>2.36</v>
      </c>
      <c r="BG3062" t="s">
        <v>27214</v>
      </c>
      <c r="BH3062" t="s">
        <v>19225</v>
      </c>
      <c r="BI3062" t="s">
        <v>8464</v>
      </c>
      <c r="BJ3062" t="s">
        <v>101</v>
      </c>
      <c r="BK3062" t="s">
        <v>25451</v>
      </c>
      <c r="BL3062" t="s">
        <v>27215</v>
      </c>
      <c r="BM3062" t="s">
        <v>20383</v>
      </c>
      <c r="BN3062" t="s">
        <v>23454</v>
      </c>
    </row>
    <row r="3063" spans="1:66" x14ac:dyDescent="0.25">
      <c r="A3063" t="str">
        <f>HYPERLINK("https://elite.finviz.com/quote.ashx?t=SLNO&amp;ty=c&amp;p=d&amp;b=1", "SLNO")</f>
        <v>SLNO</v>
      </c>
      <c r="B3063">
        <v>5</v>
      </c>
      <c r="C3063">
        <v>116.22</v>
      </c>
      <c r="D3063">
        <v>49.36</v>
      </c>
      <c r="E3063" t="s">
        <v>27216</v>
      </c>
      <c r="F3063" t="s">
        <v>67</v>
      </c>
      <c r="G3063" t="s">
        <v>428</v>
      </c>
      <c r="H3063" t="s">
        <v>429</v>
      </c>
      <c r="I3063" t="s">
        <v>70</v>
      </c>
      <c r="J3063" t="s">
        <v>321</v>
      </c>
      <c r="K3063">
        <v>3348.13</v>
      </c>
      <c r="L3063">
        <v>63</v>
      </c>
      <c r="M3063" t="s">
        <v>914</v>
      </c>
      <c r="N3063">
        <v>360595</v>
      </c>
      <c r="P3063">
        <v>20.97</v>
      </c>
      <c r="R3063">
        <v>102.51</v>
      </c>
      <c r="S3063">
        <v>13.23</v>
      </c>
      <c r="AA3063">
        <v>-4.1500000000000004</v>
      </c>
      <c r="AB3063" t="s">
        <v>3648</v>
      </c>
      <c r="AC3063" t="s">
        <v>5792</v>
      </c>
      <c r="AI3063" t="s">
        <v>7377</v>
      </c>
      <c r="AJ3063" t="s">
        <v>21585</v>
      </c>
      <c r="AK3063" t="s">
        <v>27217</v>
      </c>
      <c r="AL3063">
        <v>15.13</v>
      </c>
      <c r="AM3063">
        <v>15.01</v>
      </c>
      <c r="AN3063">
        <v>0.22</v>
      </c>
      <c r="AO3063" t="s">
        <v>18525</v>
      </c>
      <c r="AP3063" t="s">
        <v>27218</v>
      </c>
      <c r="AQ3063" t="s">
        <v>27219</v>
      </c>
      <c r="AR3063" t="s">
        <v>3204</v>
      </c>
      <c r="AS3063" t="s">
        <v>6420</v>
      </c>
      <c r="AT3063" t="s">
        <v>8013</v>
      </c>
      <c r="AU3063" t="s">
        <v>3101</v>
      </c>
      <c r="AV3063" t="s">
        <v>10819</v>
      </c>
      <c r="AW3063" t="s">
        <v>19983</v>
      </c>
      <c r="AX3063" t="s">
        <v>2790</v>
      </c>
      <c r="AY3063" t="s">
        <v>10667</v>
      </c>
      <c r="AZ3063" t="s">
        <v>3563</v>
      </c>
      <c r="BA3063">
        <v>1.0900000000000001</v>
      </c>
      <c r="BB3063">
        <v>1817.39</v>
      </c>
      <c r="BC3063">
        <v>0.7</v>
      </c>
      <c r="BD3063">
        <v>62.72</v>
      </c>
      <c r="BE3063">
        <v>63.11</v>
      </c>
      <c r="BF3063">
        <v>62.3</v>
      </c>
      <c r="BG3063" t="s">
        <v>27220</v>
      </c>
      <c r="BH3063" t="s">
        <v>27221</v>
      </c>
      <c r="BI3063" t="s">
        <v>27222</v>
      </c>
      <c r="BJ3063" t="s">
        <v>101</v>
      </c>
      <c r="BK3063" t="s">
        <v>8717</v>
      </c>
      <c r="BL3063" t="s">
        <v>3401</v>
      </c>
      <c r="BM3063" t="s">
        <v>21262</v>
      </c>
      <c r="BN3063" t="s">
        <v>23454</v>
      </c>
    </row>
    <row r="3064" spans="1:66" x14ac:dyDescent="0.25">
      <c r="A3064" t="str">
        <f>HYPERLINK("https://elite.finviz.com/quote.ashx?t=VRNT&amp;ty=c&amp;p=d&amp;b=1", "VRNT")</f>
        <v>VRNT</v>
      </c>
      <c r="B3064">
        <v>5</v>
      </c>
      <c r="C3064">
        <v>116.22</v>
      </c>
      <c r="D3064">
        <v>49.4</v>
      </c>
      <c r="E3064" t="s">
        <v>27223</v>
      </c>
      <c r="F3064" t="s">
        <v>67</v>
      </c>
      <c r="G3064" t="s">
        <v>108</v>
      </c>
      <c r="H3064" t="s">
        <v>109</v>
      </c>
      <c r="I3064" t="s">
        <v>70</v>
      </c>
      <c r="J3064" t="s">
        <v>321</v>
      </c>
      <c r="K3064">
        <v>1222.48</v>
      </c>
      <c r="L3064">
        <v>20.27</v>
      </c>
      <c r="M3064" t="s">
        <v>164</v>
      </c>
      <c r="N3064">
        <v>206834</v>
      </c>
      <c r="O3064">
        <v>30.75</v>
      </c>
      <c r="P3064">
        <v>6.34</v>
      </c>
      <c r="Q3064">
        <v>2.68</v>
      </c>
      <c r="R3064">
        <v>1.37</v>
      </c>
      <c r="S3064">
        <v>1.37</v>
      </c>
      <c r="Z3064" t="s">
        <v>164</v>
      </c>
      <c r="AA3064">
        <v>0.66</v>
      </c>
      <c r="AC3064" t="s">
        <v>218</v>
      </c>
      <c r="AD3064" t="s">
        <v>9387</v>
      </c>
      <c r="AE3064" t="s">
        <v>7176</v>
      </c>
      <c r="AF3064" t="s">
        <v>2509</v>
      </c>
      <c r="AG3064" t="s">
        <v>12921</v>
      </c>
      <c r="AH3064" t="s">
        <v>7137</v>
      </c>
      <c r="AI3064" t="s">
        <v>97</v>
      </c>
      <c r="AJ3064" t="s">
        <v>7646</v>
      </c>
      <c r="AK3064" t="s">
        <v>895</v>
      </c>
      <c r="AL3064">
        <v>0.65</v>
      </c>
      <c r="AM3064">
        <v>0.63</v>
      </c>
      <c r="AN3064">
        <v>0.34</v>
      </c>
      <c r="AO3064" t="s">
        <v>7583</v>
      </c>
      <c r="AP3064" t="s">
        <v>582</v>
      </c>
      <c r="AQ3064" t="s">
        <v>3855</v>
      </c>
      <c r="AR3064" t="s">
        <v>6182</v>
      </c>
      <c r="AS3064" t="s">
        <v>2646</v>
      </c>
      <c r="AT3064" t="s">
        <v>4538</v>
      </c>
      <c r="AU3064" t="s">
        <v>10852</v>
      </c>
      <c r="AV3064" t="s">
        <v>77</v>
      </c>
      <c r="AW3064" t="s">
        <v>4802</v>
      </c>
      <c r="AX3064" t="s">
        <v>3171</v>
      </c>
      <c r="AY3064" t="s">
        <v>509</v>
      </c>
      <c r="AZ3064" t="s">
        <v>10038</v>
      </c>
      <c r="BA3064">
        <v>2.75</v>
      </c>
      <c r="BB3064">
        <v>2213.38</v>
      </c>
      <c r="BC3064">
        <v>0.33</v>
      </c>
      <c r="BD3064">
        <v>20.27</v>
      </c>
      <c r="BE3064">
        <v>20.3</v>
      </c>
      <c r="BF3064">
        <v>20.27</v>
      </c>
      <c r="BG3064" t="s">
        <v>27224</v>
      </c>
      <c r="BH3064" t="s">
        <v>27225</v>
      </c>
      <c r="BI3064" t="s">
        <v>27226</v>
      </c>
      <c r="BJ3064" t="s">
        <v>101</v>
      </c>
      <c r="BK3064" t="s">
        <v>223</v>
      </c>
      <c r="BL3064" t="s">
        <v>2848</v>
      </c>
      <c r="BM3064" t="s">
        <v>18613</v>
      </c>
      <c r="BN3064" t="s">
        <v>23454</v>
      </c>
    </row>
    <row r="3065" spans="1:66" x14ac:dyDescent="0.25">
      <c r="A3065" t="str">
        <f>HYPERLINK("https://elite.finviz.com/quote.ashx?t=RCKT&amp;ty=c&amp;p=d&amp;b=1", "RCKT")</f>
        <v>RCKT</v>
      </c>
      <c r="B3065">
        <v>5</v>
      </c>
      <c r="C3065">
        <v>116.22</v>
      </c>
      <c r="D3065">
        <v>49.42</v>
      </c>
      <c r="E3065" t="s">
        <v>27227</v>
      </c>
      <c r="F3065" t="s">
        <v>67</v>
      </c>
      <c r="G3065" t="s">
        <v>428</v>
      </c>
      <c r="H3065" t="s">
        <v>429</v>
      </c>
      <c r="I3065" t="s">
        <v>70</v>
      </c>
      <c r="J3065" t="s">
        <v>321</v>
      </c>
      <c r="K3065">
        <v>344.21</v>
      </c>
      <c r="L3065">
        <v>3.19</v>
      </c>
      <c r="M3065" t="s">
        <v>164</v>
      </c>
      <c r="N3065">
        <v>460302</v>
      </c>
      <c r="S3065">
        <v>0.97</v>
      </c>
      <c r="AA3065">
        <v>-2.5</v>
      </c>
      <c r="AB3065" t="s">
        <v>6298</v>
      </c>
      <c r="AC3065" t="s">
        <v>12738</v>
      </c>
      <c r="AD3065" t="s">
        <v>718</v>
      </c>
      <c r="AI3065" t="s">
        <v>2982</v>
      </c>
      <c r="AJ3065" t="s">
        <v>1547</v>
      </c>
      <c r="AK3065" t="s">
        <v>27228</v>
      </c>
      <c r="AL3065">
        <v>6.39</v>
      </c>
      <c r="AM3065">
        <v>6.39</v>
      </c>
      <c r="AN3065">
        <v>7.0000000000000007E-2</v>
      </c>
      <c r="AR3065" t="s">
        <v>4850</v>
      </c>
      <c r="AS3065" t="s">
        <v>755</v>
      </c>
      <c r="AT3065" t="s">
        <v>2103</v>
      </c>
      <c r="AU3065" t="s">
        <v>5549</v>
      </c>
      <c r="AV3065" t="s">
        <v>5518</v>
      </c>
      <c r="AW3065" t="s">
        <v>6686</v>
      </c>
      <c r="AX3065" t="s">
        <v>1359</v>
      </c>
      <c r="AY3065" t="s">
        <v>16834</v>
      </c>
      <c r="AZ3065" t="s">
        <v>27229</v>
      </c>
      <c r="BA3065">
        <v>2.12</v>
      </c>
      <c r="BB3065">
        <v>3826.31</v>
      </c>
      <c r="BC3065">
        <v>0.42</v>
      </c>
      <c r="BD3065">
        <v>3.19</v>
      </c>
      <c r="BE3065">
        <v>3.22</v>
      </c>
      <c r="BF3065">
        <v>3.14</v>
      </c>
      <c r="BG3065" t="s">
        <v>27230</v>
      </c>
      <c r="BH3065" t="s">
        <v>17778</v>
      </c>
      <c r="BI3065" t="s">
        <v>27229</v>
      </c>
      <c r="BJ3065" t="s">
        <v>101</v>
      </c>
      <c r="BK3065" t="s">
        <v>11659</v>
      </c>
      <c r="BL3065" t="s">
        <v>24321</v>
      </c>
      <c r="BM3065" t="s">
        <v>9246</v>
      </c>
      <c r="BN3065" t="s">
        <v>23454</v>
      </c>
    </row>
    <row r="3066" spans="1:66" x14ac:dyDescent="0.25">
      <c r="A3066" t="str">
        <f>HYPERLINK("https://elite.finviz.com/quote.ashx?t=EOG&amp;ty=c&amp;p=d&amp;b=1", "EOG")</f>
        <v>EOG</v>
      </c>
      <c r="B3066">
        <v>5</v>
      </c>
      <c r="C3066">
        <v>116.22</v>
      </c>
      <c r="D3066">
        <v>49.43</v>
      </c>
      <c r="E3066" t="s">
        <v>27231</v>
      </c>
      <c r="F3066" t="s">
        <v>195</v>
      </c>
      <c r="G3066" t="s">
        <v>1048</v>
      </c>
      <c r="H3066" t="s">
        <v>1049</v>
      </c>
      <c r="I3066" t="s">
        <v>70</v>
      </c>
      <c r="J3066" t="s">
        <v>71</v>
      </c>
      <c r="K3066">
        <v>64662</v>
      </c>
      <c r="L3066">
        <v>118.43</v>
      </c>
      <c r="M3066" t="s">
        <v>4759</v>
      </c>
      <c r="N3066">
        <v>713699</v>
      </c>
      <c r="O3066">
        <v>11.52</v>
      </c>
      <c r="P3066">
        <v>10.73</v>
      </c>
      <c r="Q3066">
        <v>2.66</v>
      </c>
      <c r="R3066">
        <v>2.84</v>
      </c>
      <c r="S3066">
        <v>2.21</v>
      </c>
      <c r="T3066" t="s">
        <v>2522</v>
      </c>
      <c r="U3066">
        <v>3.83</v>
      </c>
      <c r="V3066" t="s">
        <v>3662</v>
      </c>
      <c r="W3066" t="s">
        <v>4998</v>
      </c>
      <c r="X3066" t="s">
        <v>16093</v>
      </c>
      <c r="Y3066" t="s">
        <v>14588</v>
      </c>
      <c r="Z3066" t="s">
        <v>1654</v>
      </c>
      <c r="AA3066">
        <v>10.28</v>
      </c>
      <c r="AB3066" t="s">
        <v>231</v>
      </c>
      <c r="AC3066" t="s">
        <v>7206</v>
      </c>
      <c r="AD3066" t="s">
        <v>5497</v>
      </c>
      <c r="AE3066" t="s">
        <v>6693</v>
      </c>
      <c r="AF3066" t="s">
        <v>4907</v>
      </c>
      <c r="AG3066" t="s">
        <v>8960</v>
      </c>
      <c r="AH3066" t="s">
        <v>13219</v>
      </c>
      <c r="AI3066" t="s">
        <v>316</v>
      </c>
      <c r="AJ3066" t="s">
        <v>1067</v>
      </c>
      <c r="AK3066" t="s">
        <v>12186</v>
      </c>
      <c r="AL3066">
        <v>1.79</v>
      </c>
      <c r="AM3066">
        <v>1.61</v>
      </c>
      <c r="AN3066">
        <v>0.16</v>
      </c>
      <c r="AO3066" t="s">
        <v>1513</v>
      </c>
      <c r="AP3066" t="s">
        <v>15004</v>
      </c>
      <c r="AQ3066" t="s">
        <v>6792</v>
      </c>
      <c r="AR3066" t="s">
        <v>4891</v>
      </c>
      <c r="AS3066" t="s">
        <v>2868</v>
      </c>
      <c r="AT3066" t="s">
        <v>5777</v>
      </c>
      <c r="AU3066" t="s">
        <v>5777</v>
      </c>
      <c r="AV3066" t="s">
        <v>4150</v>
      </c>
      <c r="AW3066" t="s">
        <v>8626</v>
      </c>
      <c r="AX3066" t="s">
        <v>5045</v>
      </c>
      <c r="AY3066" t="s">
        <v>8795</v>
      </c>
      <c r="AZ3066" t="s">
        <v>12975</v>
      </c>
      <c r="BA3066">
        <v>2.0499999999999998</v>
      </c>
      <c r="BB3066">
        <v>2898.2</v>
      </c>
      <c r="BC3066">
        <v>0.87</v>
      </c>
      <c r="BD3066">
        <v>117.3</v>
      </c>
      <c r="BE3066">
        <v>118.89</v>
      </c>
      <c r="BF3066">
        <v>116.7</v>
      </c>
      <c r="BG3066" t="s">
        <v>27232</v>
      </c>
      <c r="BH3066" t="s">
        <v>24613</v>
      </c>
      <c r="BI3066" t="s">
        <v>27233</v>
      </c>
      <c r="BJ3066" t="s">
        <v>101</v>
      </c>
      <c r="BK3066" t="s">
        <v>1225</v>
      </c>
      <c r="BL3066" t="s">
        <v>16868</v>
      </c>
      <c r="BM3066" t="s">
        <v>7347</v>
      </c>
      <c r="BN3066" t="s">
        <v>23454</v>
      </c>
    </row>
    <row r="3067" spans="1:66" x14ac:dyDescent="0.25">
      <c r="A3067" t="str">
        <f>HYPERLINK("https://elite.finviz.com/quote.ashx?t=CFLT&amp;ty=c&amp;p=d&amp;b=1", "CFLT")</f>
        <v>CFLT</v>
      </c>
      <c r="B3067">
        <v>5</v>
      </c>
      <c r="C3067">
        <v>116.22</v>
      </c>
      <c r="D3067">
        <v>49.57</v>
      </c>
      <c r="E3067" t="s">
        <v>27234</v>
      </c>
      <c r="F3067" t="s">
        <v>107</v>
      </c>
      <c r="G3067" t="s">
        <v>108</v>
      </c>
      <c r="H3067" t="s">
        <v>109</v>
      </c>
      <c r="I3067" t="s">
        <v>70</v>
      </c>
      <c r="J3067" t="s">
        <v>321</v>
      </c>
      <c r="K3067">
        <v>6744.91</v>
      </c>
      <c r="L3067">
        <v>19.57</v>
      </c>
      <c r="M3067" t="s">
        <v>3487</v>
      </c>
      <c r="N3067">
        <v>842090</v>
      </c>
      <c r="P3067">
        <v>42.09</v>
      </c>
      <c r="R3067">
        <v>6.33</v>
      </c>
      <c r="S3067">
        <v>6.32</v>
      </c>
      <c r="AA3067">
        <v>-0.94</v>
      </c>
      <c r="AB3067" t="s">
        <v>8966</v>
      </c>
      <c r="AC3067" t="s">
        <v>27235</v>
      </c>
      <c r="AD3067" t="s">
        <v>26758</v>
      </c>
      <c r="AE3067" t="s">
        <v>1953</v>
      </c>
      <c r="AF3067" t="s">
        <v>6933</v>
      </c>
      <c r="AG3067" t="s">
        <v>27236</v>
      </c>
      <c r="AH3067" t="s">
        <v>11608</v>
      </c>
      <c r="AI3067" t="s">
        <v>418</v>
      </c>
      <c r="AJ3067" t="s">
        <v>3753</v>
      </c>
      <c r="AK3067" t="s">
        <v>12423</v>
      </c>
      <c r="AL3067">
        <v>3.91</v>
      </c>
      <c r="AM3067">
        <v>3.91</v>
      </c>
      <c r="AN3067">
        <v>1.04</v>
      </c>
      <c r="AO3067" t="s">
        <v>27237</v>
      </c>
      <c r="AP3067" t="s">
        <v>24662</v>
      </c>
      <c r="AQ3067" t="s">
        <v>2327</v>
      </c>
      <c r="AR3067" t="s">
        <v>1148</v>
      </c>
      <c r="AS3067" t="s">
        <v>4795</v>
      </c>
      <c r="AT3067" t="s">
        <v>3388</v>
      </c>
      <c r="AU3067" t="s">
        <v>1866</v>
      </c>
      <c r="AV3067" t="s">
        <v>5196</v>
      </c>
      <c r="AW3067" t="s">
        <v>15455</v>
      </c>
      <c r="AX3067" t="s">
        <v>7515</v>
      </c>
      <c r="AY3067" t="s">
        <v>27238</v>
      </c>
      <c r="AZ3067" t="s">
        <v>7515</v>
      </c>
      <c r="BA3067">
        <v>1.69</v>
      </c>
      <c r="BB3067">
        <v>8111.99</v>
      </c>
      <c r="BC3067">
        <v>0.37</v>
      </c>
      <c r="BD3067">
        <v>19.25</v>
      </c>
      <c r="BE3067">
        <v>19.649999999999999</v>
      </c>
      <c r="BF3067">
        <v>19.14</v>
      </c>
      <c r="BG3067" t="s">
        <v>27239</v>
      </c>
      <c r="BH3067" t="s">
        <v>27240</v>
      </c>
      <c r="BI3067" t="s">
        <v>9008</v>
      </c>
      <c r="BJ3067" t="s">
        <v>101</v>
      </c>
      <c r="BK3067" t="s">
        <v>10504</v>
      </c>
      <c r="BL3067" t="s">
        <v>23834</v>
      </c>
      <c r="BM3067" t="s">
        <v>11260</v>
      </c>
      <c r="BN3067" t="s">
        <v>23454</v>
      </c>
    </row>
    <row r="3068" spans="1:66" x14ac:dyDescent="0.25">
      <c r="A3068" t="str">
        <f>HYPERLINK("https://elite.finviz.com/quote.ashx?t=ATUS&amp;ty=c&amp;p=d&amp;b=1", "ATUS")</f>
        <v>ATUS</v>
      </c>
      <c r="B3068">
        <v>5</v>
      </c>
      <c r="C3068">
        <v>116.22</v>
      </c>
      <c r="D3068">
        <v>49.79</v>
      </c>
      <c r="E3068" t="s">
        <v>27241</v>
      </c>
      <c r="F3068" t="s">
        <v>67</v>
      </c>
      <c r="G3068" t="s">
        <v>598</v>
      </c>
      <c r="H3068" t="s">
        <v>6147</v>
      </c>
      <c r="I3068" t="s">
        <v>70</v>
      </c>
      <c r="J3068" t="s">
        <v>71</v>
      </c>
      <c r="K3068">
        <v>1149.5899999999999</v>
      </c>
      <c r="L3068">
        <v>2.4500000000000002</v>
      </c>
      <c r="M3068" t="s">
        <v>2808</v>
      </c>
      <c r="N3068">
        <v>592463</v>
      </c>
      <c r="R3068">
        <v>0.13</v>
      </c>
      <c r="V3068" t="s">
        <v>27242</v>
      </c>
      <c r="AA3068">
        <v>-0.57999999999999996</v>
      </c>
      <c r="AD3068" t="s">
        <v>7634</v>
      </c>
      <c r="AE3068" t="s">
        <v>759</v>
      </c>
      <c r="AF3068" t="s">
        <v>3124</v>
      </c>
      <c r="AG3068" t="s">
        <v>2372</v>
      </c>
      <c r="AH3068" t="s">
        <v>6080</v>
      </c>
      <c r="AI3068" t="s">
        <v>27243</v>
      </c>
      <c r="AJ3068" t="s">
        <v>164</v>
      </c>
      <c r="AK3068" t="s">
        <v>27244</v>
      </c>
      <c r="AL3068">
        <v>0.33</v>
      </c>
      <c r="AM3068">
        <v>0.33</v>
      </c>
      <c r="AO3068" t="s">
        <v>8025</v>
      </c>
      <c r="AP3068" t="s">
        <v>1791</v>
      </c>
      <c r="AQ3068" t="s">
        <v>7429</v>
      </c>
      <c r="AR3068" t="s">
        <v>1950</v>
      </c>
      <c r="AS3068" t="s">
        <v>1886</v>
      </c>
      <c r="AT3068" t="s">
        <v>193</v>
      </c>
      <c r="AU3068" t="s">
        <v>4794</v>
      </c>
      <c r="AV3068" t="s">
        <v>4501</v>
      </c>
      <c r="AW3068" t="s">
        <v>27245</v>
      </c>
      <c r="AX3068" t="s">
        <v>6969</v>
      </c>
      <c r="AY3068" t="s">
        <v>1633</v>
      </c>
      <c r="AZ3068" t="s">
        <v>15084</v>
      </c>
      <c r="BA3068">
        <v>2.94</v>
      </c>
      <c r="BB3068">
        <v>4683.83</v>
      </c>
      <c r="BC3068">
        <v>0.45</v>
      </c>
      <c r="BD3068">
        <v>2.4</v>
      </c>
      <c r="BE3068">
        <v>2.46</v>
      </c>
      <c r="BF3068">
        <v>2.4</v>
      </c>
      <c r="BG3068" t="s">
        <v>27246</v>
      </c>
      <c r="BH3068" t="s">
        <v>27247</v>
      </c>
      <c r="BI3068" t="s">
        <v>7275</v>
      </c>
      <c r="BJ3068" t="s">
        <v>101</v>
      </c>
      <c r="BK3068" t="s">
        <v>8456</v>
      </c>
      <c r="BL3068" t="s">
        <v>7526</v>
      </c>
      <c r="BM3068" t="s">
        <v>2362</v>
      </c>
      <c r="BN3068" t="s">
        <v>23454</v>
      </c>
    </row>
    <row r="3069" spans="1:66" x14ac:dyDescent="0.25">
      <c r="A3069" t="str">
        <f>HYPERLINK("https://elite.finviz.com/quote.ashx?t=BLMN&amp;ty=c&amp;p=d&amp;b=1", "BLMN")</f>
        <v>BLMN</v>
      </c>
      <c r="B3069">
        <v>5</v>
      </c>
      <c r="C3069">
        <v>116.22</v>
      </c>
      <c r="D3069">
        <v>49.89</v>
      </c>
      <c r="E3069" t="s">
        <v>27248</v>
      </c>
      <c r="F3069" t="s">
        <v>67</v>
      </c>
      <c r="G3069" t="s">
        <v>813</v>
      </c>
      <c r="H3069" t="s">
        <v>2285</v>
      </c>
      <c r="I3069" t="s">
        <v>70</v>
      </c>
      <c r="J3069" t="s">
        <v>321</v>
      </c>
      <c r="K3069">
        <v>609.42999999999995</v>
      </c>
      <c r="L3069">
        <v>7.16</v>
      </c>
      <c r="M3069" t="s">
        <v>4801</v>
      </c>
      <c r="N3069">
        <v>246405</v>
      </c>
      <c r="P3069">
        <v>6.53</v>
      </c>
      <c r="R3069">
        <v>0.15</v>
      </c>
      <c r="S3069">
        <v>1.53</v>
      </c>
      <c r="T3069" t="s">
        <v>8050</v>
      </c>
      <c r="U3069">
        <v>0.69</v>
      </c>
      <c r="V3069" t="s">
        <v>10236</v>
      </c>
      <c r="W3069" t="s">
        <v>164</v>
      </c>
      <c r="Y3069" t="s">
        <v>7001</v>
      </c>
      <c r="AA3069">
        <v>-0.08</v>
      </c>
      <c r="AD3069" t="s">
        <v>16624</v>
      </c>
      <c r="AE3069" t="s">
        <v>2537</v>
      </c>
      <c r="AF3069" t="s">
        <v>13117</v>
      </c>
      <c r="AG3069" t="s">
        <v>3950</v>
      </c>
      <c r="AH3069" t="s">
        <v>3561</v>
      </c>
      <c r="AI3069" t="s">
        <v>2948</v>
      </c>
      <c r="AJ3069" t="s">
        <v>164</v>
      </c>
      <c r="AK3069" t="s">
        <v>27249</v>
      </c>
      <c r="AL3069">
        <v>0.41</v>
      </c>
      <c r="AM3069">
        <v>0.34</v>
      </c>
      <c r="AN3069">
        <v>5.47</v>
      </c>
      <c r="AO3069" t="s">
        <v>2635</v>
      </c>
      <c r="AP3069" t="s">
        <v>5672</v>
      </c>
      <c r="AQ3069" t="s">
        <v>4955</v>
      </c>
      <c r="AR3069" t="s">
        <v>4142</v>
      </c>
      <c r="AS3069" t="s">
        <v>2838</v>
      </c>
      <c r="AT3069" t="s">
        <v>92</v>
      </c>
      <c r="AU3069" t="s">
        <v>7008</v>
      </c>
      <c r="AV3069" t="s">
        <v>2930</v>
      </c>
      <c r="AW3069" t="s">
        <v>12514</v>
      </c>
      <c r="AX3069" t="s">
        <v>146</v>
      </c>
      <c r="AY3069" t="s">
        <v>4505</v>
      </c>
      <c r="AZ3069" t="s">
        <v>2733</v>
      </c>
      <c r="BA3069">
        <v>3.08</v>
      </c>
      <c r="BB3069">
        <v>2572.8000000000002</v>
      </c>
      <c r="BC3069">
        <v>0.34</v>
      </c>
      <c r="BD3069">
        <v>7.13</v>
      </c>
      <c r="BE3069">
        <v>7.27</v>
      </c>
      <c r="BF3069">
        <v>7.09</v>
      </c>
      <c r="BG3069" t="s">
        <v>27250</v>
      </c>
      <c r="BH3069" t="s">
        <v>26415</v>
      </c>
      <c r="BI3069" t="s">
        <v>3650</v>
      </c>
      <c r="BJ3069" t="s">
        <v>101</v>
      </c>
      <c r="BK3069" t="s">
        <v>19530</v>
      </c>
      <c r="BL3069" t="s">
        <v>7527</v>
      </c>
      <c r="BM3069" t="s">
        <v>27251</v>
      </c>
      <c r="BN3069" t="s">
        <v>23454</v>
      </c>
    </row>
    <row r="3070" spans="1:66" x14ac:dyDescent="0.25">
      <c r="A3070" t="str">
        <f>HYPERLINK("https://elite.finviz.com/quote.ashx?t=REG&amp;ty=c&amp;p=d&amp;b=1", "REG")</f>
        <v>REG</v>
      </c>
      <c r="B3070">
        <v>5</v>
      </c>
      <c r="C3070">
        <v>116.22</v>
      </c>
      <c r="D3070">
        <v>49.92</v>
      </c>
      <c r="E3070" t="s">
        <v>27252</v>
      </c>
      <c r="F3070" t="s">
        <v>195</v>
      </c>
      <c r="G3070" t="s">
        <v>68</v>
      </c>
      <c r="H3070" t="s">
        <v>160</v>
      </c>
      <c r="I3070" t="s">
        <v>70</v>
      </c>
      <c r="J3070" t="s">
        <v>321</v>
      </c>
      <c r="K3070">
        <v>26013.08</v>
      </c>
      <c r="L3070">
        <v>71.430000000000007</v>
      </c>
      <c r="M3070" t="s">
        <v>4849</v>
      </c>
      <c r="N3070">
        <v>149125</v>
      </c>
      <c r="O3070">
        <v>33.31</v>
      </c>
      <c r="P3070">
        <v>29.75</v>
      </c>
      <c r="Q3070">
        <v>5.25</v>
      </c>
      <c r="R3070">
        <v>17.39</v>
      </c>
      <c r="S3070">
        <v>2</v>
      </c>
      <c r="T3070" t="s">
        <v>1148</v>
      </c>
      <c r="U3070">
        <v>2.82</v>
      </c>
      <c r="V3070" t="s">
        <v>7788</v>
      </c>
      <c r="W3070" t="s">
        <v>5736</v>
      </c>
      <c r="X3070" t="s">
        <v>4142</v>
      </c>
      <c r="Y3070" t="s">
        <v>304</v>
      </c>
      <c r="Z3070" t="s">
        <v>27253</v>
      </c>
      <c r="AA3070">
        <v>2.14</v>
      </c>
      <c r="AB3070" t="s">
        <v>171</v>
      </c>
      <c r="AC3070" t="s">
        <v>1282</v>
      </c>
      <c r="AD3070" t="s">
        <v>713</v>
      </c>
      <c r="AE3070" t="s">
        <v>5210</v>
      </c>
      <c r="AF3070" t="s">
        <v>2635</v>
      </c>
      <c r="AG3070" t="s">
        <v>8925</v>
      </c>
      <c r="AH3070" t="s">
        <v>10237</v>
      </c>
      <c r="AI3070" t="s">
        <v>1952</v>
      </c>
      <c r="AJ3070" t="s">
        <v>4955</v>
      </c>
      <c r="AK3070" t="s">
        <v>27254</v>
      </c>
      <c r="AL3070">
        <v>1.22</v>
      </c>
      <c r="AM3070">
        <v>1.22</v>
      </c>
      <c r="AN3070">
        <v>0.81</v>
      </c>
      <c r="AO3070" t="s">
        <v>14670</v>
      </c>
      <c r="AP3070" t="s">
        <v>9612</v>
      </c>
      <c r="AQ3070" t="s">
        <v>8874</v>
      </c>
      <c r="AR3070" t="s">
        <v>4856</v>
      </c>
      <c r="AS3070" t="s">
        <v>5058</v>
      </c>
      <c r="AT3070" t="s">
        <v>386</v>
      </c>
      <c r="AU3070" t="s">
        <v>2003</v>
      </c>
      <c r="AV3070" t="s">
        <v>8357</v>
      </c>
      <c r="AW3070" t="s">
        <v>1770</v>
      </c>
      <c r="AX3070" t="s">
        <v>1453</v>
      </c>
      <c r="AY3070" t="s">
        <v>5741</v>
      </c>
      <c r="AZ3070" t="s">
        <v>920</v>
      </c>
      <c r="BA3070">
        <v>1.86</v>
      </c>
      <c r="BB3070">
        <v>1177.98</v>
      </c>
      <c r="BC3070">
        <v>0.45</v>
      </c>
      <c r="BD3070">
        <v>71.069999999999993</v>
      </c>
      <c r="BE3070">
        <v>71.81</v>
      </c>
      <c r="BF3070">
        <v>71.09</v>
      </c>
      <c r="BG3070" t="s">
        <v>27255</v>
      </c>
      <c r="BH3070" t="s">
        <v>19085</v>
      </c>
      <c r="BI3070" t="s">
        <v>27256</v>
      </c>
      <c r="BJ3070" t="s">
        <v>101</v>
      </c>
      <c r="BK3070" t="s">
        <v>80</v>
      </c>
      <c r="BL3070" t="s">
        <v>10852</v>
      </c>
      <c r="BM3070" t="s">
        <v>5879</v>
      </c>
      <c r="BN3070" t="s">
        <v>23454</v>
      </c>
    </row>
    <row r="3071" spans="1:66" x14ac:dyDescent="0.25">
      <c r="A3071" t="str">
        <f>HYPERLINK("https://elite.finviz.com/quote.ashx?t=CAPR&amp;ty=c&amp;p=d&amp;b=1", "CAPR")</f>
        <v>CAPR</v>
      </c>
      <c r="B3071">
        <v>5</v>
      </c>
      <c r="C3071">
        <v>116.22</v>
      </c>
      <c r="D3071">
        <v>50.03</v>
      </c>
      <c r="E3071" t="s">
        <v>27257</v>
      </c>
      <c r="F3071" t="s">
        <v>67</v>
      </c>
      <c r="G3071" t="s">
        <v>428</v>
      </c>
      <c r="H3071" t="s">
        <v>429</v>
      </c>
      <c r="I3071" t="s">
        <v>70</v>
      </c>
      <c r="J3071" t="s">
        <v>321</v>
      </c>
      <c r="K3071">
        <v>301.73</v>
      </c>
      <c r="L3071">
        <v>6.6</v>
      </c>
      <c r="M3071" t="s">
        <v>343</v>
      </c>
      <c r="N3071">
        <v>472780</v>
      </c>
      <c r="R3071">
        <v>22.53</v>
      </c>
      <c r="S3071">
        <v>2.87</v>
      </c>
      <c r="AA3071">
        <v>-1.64</v>
      </c>
      <c r="AB3071" t="s">
        <v>2850</v>
      </c>
      <c r="AC3071" t="s">
        <v>2513</v>
      </c>
      <c r="AD3071" t="s">
        <v>26093</v>
      </c>
      <c r="AE3071" t="s">
        <v>27258</v>
      </c>
      <c r="AF3071" t="s">
        <v>27259</v>
      </c>
      <c r="AG3071" t="s">
        <v>27260</v>
      </c>
      <c r="AH3071" t="s">
        <v>579</v>
      </c>
      <c r="AI3071" t="s">
        <v>7009</v>
      </c>
      <c r="AJ3071" t="s">
        <v>164</v>
      </c>
      <c r="AK3071" t="s">
        <v>4940</v>
      </c>
      <c r="AL3071">
        <v>4.37</v>
      </c>
      <c r="AM3071">
        <v>4.37</v>
      </c>
      <c r="AN3071">
        <v>0.04</v>
      </c>
      <c r="AO3071" t="s">
        <v>8243</v>
      </c>
      <c r="AP3071" t="s">
        <v>27261</v>
      </c>
      <c r="AQ3071" t="s">
        <v>27262</v>
      </c>
      <c r="AR3071" t="s">
        <v>699</v>
      </c>
      <c r="AS3071" t="s">
        <v>8125</v>
      </c>
      <c r="AT3071" t="s">
        <v>6936</v>
      </c>
      <c r="AU3071" t="s">
        <v>4665</v>
      </c>
      <c r="AV3071" t="s">
        <v>16702</v>
      </c>
      <c r="AW3071" t="s">
        <v>14237</v>
      </c>
      <c r="AX3071" t="s">
        <v>9721</v>
      </c>
      <c r="AY3071" t="s">
        <v>2766</v>
      </c>
      <c r="AZ3071" t="s">
        <v>9721</v>
      </c>
      <c r="BA3071">
        <v>1</v>
      </c>
      <c r="BB3071">
        <v>1918.88</v>
      </c>
      <c r="BC3071">
        <v>0.87</v>
      </c>
      <c r="BD3071">
        <v>6.52</v>
      </c>
      <c r="BE3071">
        <v>6.82</v>
      </c>
      <c r="BF3071">
        <v>6.35</v>
      </c>
      <c r="BG3071" t="s">
        <v>27263</v>
      </c>
      <c r="BH3071" t="s">
        <v>3107</v>
      </c>
      <c r="BI3071" t="s">
        <v>7103</v>
      </c>
      <c r="BJ3071" t="s">
        <v>101</v>
      </c>
      <c r="BK3071" t="s">
        <v>27264</v>
      </c>
      <c r="BL3071" t="s">
        <v>27265</v>
      </c>
      <c r="BM3071" t="s">
        <v>27266</v>
      </c>
      <c r="BN3071" t="s">
        <v>23454</v>
      </c>
    </row>
    <row r="3072" spans="1:66" x14ac:dyDescent="0.25">
      <c r="A3072" t="str">
        <f>HYPERLINK("https://elite.finviz.com/quote.ashx?t=SLND&amp;ty=c&amp;p=d&amp;b=1", "SLND")</f>
        <v>SLND</v>
      </c>
      <c r="B3072">
        <v>5</v>
      </c>
      <c r="C3072">
        <v>116.22</v>
      </c>
      <c r="D3072">
        <v>50.06</v>
      </c>
      <c r="E3072" t="s">
        <v>27267</v>
      </c>
      <c r="F3072" t="s">
        <v>67</v>
      </c>
      <c r="G3072" t="s">
        <v>260</v>
      </c>
      <c r="H3072" t="s">
        <v>2944</v>
      </c>
      <c r="I3072" t="s">
        <v>70</v>
      </c>
      <c r="J3072" t="s">
        <v>383</v>
      </c>
      <c r="K3072">
        <v>234.68</v>
      </c>
      <c r="L3072">
        <v>4.34</v>
      </c>
      <c r="M3072" t="s">
        <v>5256</v>
      </c>
      <c r="N3072">
        <v>3896</v>
      </c>
      <c r="R3072">
        <v>0.26</v>
      </c>
      <c r="S3072">
        <v>1.55</v>
      </c>
      <c r="AA3072">
        <v>-1.5</v>
      </c>
      <c r="AB3072" t="s">
        <v>27268</v>
      </c>
      <c r="AE3072" t="s">
        <v>27269</v>
      </c>
      <c r="AH3072" t="s">
        <v>16281</v>
      </c>
      <c r="AI3072" t="s">
        <v>5484</v>
      </c>
      <c r="AJ3072" t="s">
        <v>164</v>
      </c>
      <c r="AK3072" t="s">
        <v>537</v>
      </c>
      <c r="AL3072">
        <v>1.36</v>
      </c>
      <c r="AM3072">
        <v>1.36</v>
      </c>
      <c r="AN3072">
        <v>2.2200000000000002</v>
      </c>
      <c r="AO3072" t="s">
        <v>3634</v>
      </c>
      <c r="AP3072" t="s">
        <v>6195</v>
      </c>
      <c r="AQ3072" t="s">
        <v>4053</v>
      </c>
      <c r="AR3072" t="s">
        <v>3121</v>
      </c>
      <c r="AS3072" t="s">
        <v>2809</v>
      </c>
      <c r="AT3072" t="s">
        <v>2423</v>
      </c>
      <c r="AU3072" t="s">
        <v>2650</v>
      </c>
      <c r="AV3072" t="s">
        <v>2601</v>
      </c>
      <c r="AW3072" t="s">
        <v>15157</v>
      </c>
      <c r="AX3072" t="s">
        <v>6388</v>
      </c>
      <c r="AY3072" t="s">
        <v>10146</v>
      </c>
      <c r="AZ3072" t="s">
        <v>27270</v>
      </c>
      <c r="BA3072">
        <v>1.67</v>
      </c>
      <c r="BB3072">
        <v>54.85</v>
      </c>
      <c r="BC3072">
        <v>0.25</v>
      </c>
      <c r="BD3072">
        <v>4.22</v>
      </c>
      <c r="BE3072">
        <v>4.41</v>
      </c>
      <c r="BF3072">
        <v>4.3</v>
      </c>
      <c r="BG3072" t="s">
        <v>27271</v>
      </c>
      <c r="BH3072" t="s">
        <v>27272</v>
      </c>
      <c r="BI3072" t="s">
        <v>27270</v>
      </c>
      <c r="BJ3072" t="s">
        <v>101</v>
      </c>
      <c r="BK3072" t="s">
        <v>295</v>
      </c>
      <c r="BL3072" t="s">
        <v>20486</v>
      </c>
      <c r="BM3072" t="s">
        <v>12025</v>
      </c>
      <c r="BN3072" t="s">
        <v>26674</v>
      </c>
    </row>
    <row r="3073" spans="1:66" x14ac:dyDescent="0.25">
      <c r="A3073" t="str">
        <f>HYPERLINK("https://elite.finviz.com/quote.ashx?t=AIP&amp;ty=c&amp;p=d&amp;b=1", "AIP")</f>
        <v>AIP</v>
      </c>
      <c r="B3073">
        <v>5</v>
      </c>
      <c r="C3073">
        <v>116.22</v>
      </c>
      <c r="D3073">
        <v>50.08</v>
      </c>
      <c r="E3073" t="s">
        <v>27273</v>
      </c>
      <c r="F3073" t="s">
        <v>67</v>
      </c>
      <c r="G3073" t="s">
        <v>108</v>
      </c>
      <c r="H3073" t="s">
        <v>1808</v>
      </c>
      <c r="I3073" t="s">
        <v>70</v>
      </c>
      <c r="J3073" t="s">
        <v>321</v>
      </c>
      <c r="K3073">
        <v>406.03</v>
      </c>
      <c r="L3073">
        <v>9.52</v>
      </c>
      <c r="M3073" t="s">
        <v>4222</v>
      </c>
      <c r="N3073">
        <v>108818</v>
      </c>
      <c r="R3073">
        <v>6.42</v>
      </c>
      <c r="AA3073">
        <v>-0.82</v>
      </c>
      <c r="AB3073" t="s">
        <v>10228</v>
      </c>
      <c r="AE3073" t="s">
        <v>8922</v>
      </c>
      <c r="AF3073" t="s">
        <v>8078</v>
      </c>
      <c r="AG3073" t="s">
        <v>584</v>
      </c>
      <c r="AH3073" t="s">
        <v>2863</v>
      </c>
      <c r="AI3073" t="s">
        <v>2901</v>
      </c>
      <c r="AJ3073" t="s">
        <v>3853</v>
      </c>
      <c r="AK3073" t="s">
        <v>8940</v>
      </c>
      <c r="AL3073">
        <v>0.95</v>
      </c>
      <c r="AM3073">
        <v>0.95</v>
      </c>
      <c r="AO3073" t="s">
        <v>10178</v>
      </c>
      <c r="AP3073" t="s">
        <v>6510</v>
      </c>
      <c r="AQ3073" t="s">
        <v>15258</v>
      </c>
      <c r="AR3073" t="s">
        <v>1496</v>
      </c>
      <c r="AS3073" t="s">
        <v>1950</v>
      </c>
      <c r="AT3073" t="s">
        <v>1599</v>
      </c>
      <c r="AU3073" t="s">
        <v>2760</v>
      </c>
      <c r="AV3073" t="s">
        <v>6420</v>
      </c>
      <c r="AW3073" t="s">
        <v>12189</v>
      </c>
      <c r="AX3073" t="s">
        <v>3449</v>
      </c>
      <c r="AY3073" t="s">
        <v>12189</v>
      </c>
      <c r="AZ3073" t="s">
        <v>16068</v>
      </c>
      <c r="BA3073">
        <v>1.5</v>
      </c>
      <c r="BB3073">
        <v>1025.58</v>
      </c>
      <c r="BC3073">
        <v>0.37</v>
      </c>
      <c r="BD3073">
        <v>9.84</v>
      </c>
      <c r="BE3073">
        <v>9.9600000000000009</v>
      </c>
      <c r="BF3073">
        <v>9.5500000000000007</v>
      </c>
      <c r="BG3073" t="s">
        <v>27274</v>
      </c>
      <c r="BH3073" t="s">
        <v>27275</v>
      </c>
      <c r="BI3073" t="s">
        <v>27276</v>
      </c>
      <c r="BJ3073" t="s">
        <v>101</v>
      </c>
      <c r="BK3073" t="s">
        <v>11830</v>
      </c>
      <c r="BL3073" t="s">
        <v>10462</v>
      </c>
      <c r="BM3073" t="s">
        <v>2790</v>
      </c>
      <c r="BN3073" t="s">
        <v>23454</v>
      </c>
    </row>
    <row r="3074" spans="1:66" x14ac:dyDescent="0.25">
      <c r="A3074" t="str">
        <f>HYPERLINK("https://elite.finviz.com/quote.ashx?t=DELL&amp;ty=c&amp;p=d&amp;b=1", "DELL")</f>
        <v>DELL</v>
      </c>
      <c r="B3074">
        <v>5</v>
      </c>
      <c r="C3074">
        <v>116.22</v>
      </c>
      <c r="D3074">
        <v>50.2</v>
      </c>
      <c r="E3074" t="s">
        <v>27277</v>
      </c>
      <c r="F3074" t="s">
        <v>195</v>
      </c>
      <c r="G3074" t="s">
        <v>108</v>
      </c>
      <c r="H3074" t="s">
        <v>496</v>
      </c>
      <c r="I3074" t="s">
        <v>70</v>
      </c>
      <c r="J3074" t="s">
        <v>71</v>
      </c>
      <c r="K3074">
        <v>87211.5</v>
      </c>
      <c r="L3074">
        <v>129.71</v>
      </c>
      <c r="M3074" t="s">
        <v>3634</v>
      </c>
      <c r="N3074">
        <v>1218843</v>
      </c>
      <c r="O3074">
        <v>19.07</v>
      </c>
      <c r="P3074">
        <v>11.78</v>
      </c>
      <c r="Q3074">
        <v>1.27</v>
      </c>
      <c r="R3074">
        <v>0.86</v>
      </c>
      <c r="T3074" t="s">
        <v>2449</v>
      </c>
      <c r="U3074">
        <v>1.94</v>
      </c>
      <c r="V3074" t="s">
        <v>27278</v>
      </c>
      <c r="W3074" t="s">
        <v>7710</v>
      </c>
      <c r="Z3074" t="s">
        <v>7656</v>
      </c>
      <c r="AA3074">
        <v>6.8</v>
      </c>
      <c r="AB3074" t="s">
        <v>3322</v>
      </c>
      <c r="AC3074" t="s">
        <v>3018</v>
      </c>
      <c r="AD3074" t="s">
        <v>3270</v>
      </c>
      <c r="AE3074" t="s">
        <v>3901</v>
      </c>
      <c r="AF3074" t="s">
        <v>4707</v>
      </c>
      <c r="AG3074" t="s">
        <v>6245</v>
      </c>
      <c r="AH3074" t="s">
        <v>2928</v>
      </c>
      <c r="AI3074" t="s">
        <v>2650</v>
      </c>
      <c r="AJ3074" t="s">
        <v>2604</v>
      </c>
      <c r="AK3074" t="s">
        <v>5315</v>
      </c>
      <c r="AL3074">
        <v>0.76</v>
      </c>
      <c r="AM3074">
        <v>0.63</v>
      </c>
      <c r="AO3074" t="s">
        <v>14013</v>
      </c>
      <c r="AP3074" t="s">
        <v>11494</v>
      </c>
      <c r="AQ3074" t="s">
        <v>372</v>
      </c>
      <c r="AR3074" t="s">
        <v>5188</v>
      </c>
      <c r="AS3074" t="s">
        <v>4892</v>
      </c>
      <c r="AT3074" t="s">
        <v>4946</v>
      </c>
      <c r="AU3074" t="s">
        <v>4963</v>
      </c>
      <c r="AV3074" t="s">
        <v>15574</v>
      </c>
      <c r="AW3074" t="s">
        <v>3705</v>
      </c>
      <c r="AX3074" t="s">
        <v>3468</v>
      </c>
      <c r="AY3074" t="s">
        <v>13806</v>
      </c>
      <c r="AZ3074" t="s">
        <v>12138</v>
      </c>
      <c r="BA3074">
        <v>1.65</v>
      </c>
      <c r="BB3074">
        <v>5692.74</v>
      </c>
      <c r="BC3074">
        <v>0.75</v>
      </c>
      <c r="BD3074">
        <v>130.96</v>
      </c>
      <c r="BE3074">
        <v>130.30000000000001</v>
      </c>
      <c r="BF3074">
        <v>127.6</v>
      </c>
      <c r="BG3074" t="s">
        <v>27279</v>
      </c>
      <c r="BH3074" t="s">
        <v>2843</v>
      </c>
      <c r="BI3074" t="s">
        <v>27280</v>
      </c>
      <c r="BJ3074" t="s">
        <v>101</v>
      </c>
      <c r="BK3074" t="s">
        <v>1872</v>
      </c>
      <c r="BL3074" t="s">
        <v>8683</v>
      </c>
      <c r="BM3074" t="s">
        <v>326</v>
      </c>
      <c r="BN3074" t="s">
        <v>23454</v>
      </c>
    </row>
    <row r="3075" spans="1:66" x14ac:dyDescent="0.25">
      <c r="A3075" t="str">
        <f>HYPERLINK("https://elite.finviz.com/quote.ashx?t=STGW&amp;ty=c&amp;p=d&amp;b=1", "STGW")</f>
        <v>STGW</v>
      </c>
      <c r="B3075">
        <v>5</v>
      </c>
      <c r="C3075">
        <v>116.22</v>
      </c>
      <c r="D3075">
        <v>50.37</v>
      </c>
      <c r="E3075" t="s">
        <v>27281</v>
      </c>
      <c r="F3075" t="s">
        <v>67</v>
      </c>
      <c r="G3075" t="s">
        <v>598</v>
      </c>
      <c r="H3075" t="s">
        <v>1020</v>
      </c>
      <c r="I3075" t="s">
        <v>70</v>
      </c>
      <c r="J3075" t="s">
        <v>321</v>
      </c>
      <c r="K3075">
        <v>1398.29</v>
      </c>
      <c r="L3075">
        <v>5.41</v>
      </c>
      <c r="M3075" t="s">
        <v>1760</v>
      </c>
      <c r="N3075">
        <v>175454</v>
      </c>
      <c r="O3075">
        <v>486.94</v>
      </c>
      <c r="P3075">
        <v>5.35</v>
      </c>
      <c r="Q3075">
        <v>32.14</v>
      </c>
      <c r="R3075">
        <v>0.49</v>
      </c>
      <c r="S3075">
        <v>1.88</v>
      </c>
      <c r="Z3075" t="s">
        <v>164</v>
      </c>
      <c r="AA3075">
        <v>0.01</v>
      </c>
      <c r="AD3075" t="s">
        <v>6721</v>
      </c>
      <c r="AE3075" t="s">
        <v>1533</v>
      </c>
      <c r="AF3075" t="s">
        <v>12619</v>
      </c>
      <c r="AG3075" t="s">
        <v>5795</v>
      </c>
      <c r="AH3075" t="s">
        <v>3874</v>
      </c>
      <c r="AI3075" t="s">
        <v>3432</v>
      </c>
      <c r="AJ3075" t="s">
        <v>306</v>
      </c>
      <c r="AK3075" t="s">
        <v>5689</v>
      </c>
      <c r="AL3075">
        <v>0.86</v>
      </c>
      <c r="AM3075">
        <v>0.86</v>
      </c>
      <c r="AN3075">
        <v>2.34</v>
      </c>
      <c r="AO3075" t="s">
        <v>5348</v>
      </c>
      <c r="AP3075" t="s">
        <v>197</v>
      </c>
      <c r="AQ3075" t="s">
        <v>2745</v>
      </c>
      <c r="AR3075" t="s">
        <v>4956</v>
      </c>
      <c r="AS3075" t="s">
        <v>2233</v>
      </c>
      <c r="AT3075" t="s">
        <v>770</v>
      </c>
      <c r="AU3075" t="s">
        <v>5312</v>
      </c>
      <c r="AV3075" t="s">
        <v>8225</v>
      </c>
      <c r="AW3075" t="s">
        <v>5846</v>
      </c>
      <c r="AX3075" t="s">
        <v>5010</v>
      </c>
      <c r="AY3075" t="s">
        <v>23370</v>
      </c>
      <c r="AZ3075" t="s">
        <v>8664</v>
      </c>
      <c r="BA3075">
        <v>1.57</v>
      </c>
      <c r="BB3075">
        <v>1356.86</v>
      </c>
      <c r="BC3075">
        <v>0.46</v>
      </c>
      <c r="BD3075">
        <v>5.32</v>
      </c>
      <c r="BE3075">
        <v>5.47</v>
      </c>
      <c r="BF3075">
        <v>5.3</v>
      </c>
      <c r="BG3075" t="s">
        <v>27282</v>
      </c>
      <c r="BH3075" t="s">
        <v>27283</v>
      </c>
      <c r="BI3075" t="s">
        <v>27284</v>
      </c>
      <c r="BJ3075" t="s">
        <v>101</v>
      </c>
      <c r="BK3075" t="s">
        <v>12146</v>
      </c>
      <c r="BL3075" t="s">
        <v>5846</v>
      </c>
      <c r="BM3075" t="s">
        <v>6594</v>
      </c>
      <c r="BN3075" t="s">
        <v>23454</v>
      </c>
    </row>
    <row r="3076" spans="1:66" x14ac:dyDescent="0.25">
      <c r="A3076" t="str">
        <f>HYPERLINK("https://elite.finviz.com/quote.ashx?t=AMPL&amp;ty=c&amp;p=d&amp;b=1", "AMPL")</f>
        <v>AMPL</v>
      </c>
      <c r="B3076">
        <v>5</v>
      </c>
      <c r="C3076">
        <v>116.22</v>
      </c>
      <c r="D3076">
        <v>50.41</v>
      </c>
      <c r="E3076" t="s">
        <v>27285</v>
      </c>
      <c r="F3076" t="s">
        <v>67</v>
      </c>
      <c r="G3076" t="s">
        <v>108</v>
      </c>
      <c r="H3076" t="s">
        <v>136</v>
      </c>
      <c r="I3076" t="s">
        <v>70</v>
      </c>
      <c r="J3076" t="s">
        <v>321</v>
      </c>
      <c r="K3076">
        <v>1535.24</v>
      </c>
      <c r="L3076">
        <v>11.59</v>
      </c>
      <c r="M3076" t="s">
        <v>3227</v>
      </c>
      <c r="N3076">
        <v>126964</v>
      </c>
      <c r="P3076">
        <v>106.5</v>
      </c>
      <c r="R3076">
        <v>4.8499999999999996</v>
      </c>
      <c r="S3076">
        <v>5.49</v>
      </c>
      <c r="AA3076">
        <v>-0.75</v>
      </c>
      <c r="AB3076" t="s">
        <v>4289</v>
      </c>
      <c r="AC3076" t="s">
        <v>16906</v>
      </c>
      <c r="AD3076" t="s">
        <v>3382</v>
      </c>
      <c r="AE3076" t="s">
        <v>1491</v>
      </c>
      <c r="AF3076" t="s">
        <v>13872</v>
      </c>
      <c r="AG3076" t="s">
        <v>3816</v>
      </c>
      <c r="AH3076" t="s">
        <v>9843</v>
      </c>
      <c r="AI3076" t="s">
        <v>5051</v>
      </c>
      <c r="AJ3076" t="s">
        <v>4955</v>
      </c>
      <c r="AK3076" t="s">
        <v>4199</v>
      </c>
      <c r="AL3076">
        <v>1.58</v>
      </c>
      <c r="AM3076">
        <v>1.58</v>
      </c>
      <c r="AN3076">
        <v>0.02</v>
      </c>
      <c r="AO3076" t="s">
        <v>27286</v>
      </c>
      <c r="AP3076" t="s">
        <v>14310</v>
      </c>
      <c r="AQ3076" t="s">
        <v>17278</v>
      </c>
      <c r="AR3076" t="s">
        <v>6150</v>
      </c>
      <c r="AS3076" t="s">
        <v>1751</v>
      </c>
      <c r="AT3076" t="s">
        <v>3024</v>
      </c>
      <c r="AU3076" t="s">
        <v>4436</v>
      </c>
      <c r="AV3076" t="s">
        <v>2759</v>
      </c>
      <c r="AW3076" t="s">
        <v>7719</v>
      </c>
      <c r="AX3076" t="s">
        <v>684</v>
      </c>
      <c r="AY3076" t="s">
        <v>24695</v>
      </c>
      <c r="AZ3076" t="s">
        <v>3176</v>
      </c>
      <c r="BA3076">
        <v>1.9</v>
      </c>
      <c r="BB3076">
        <v>1564.24</v>
      </c>
      <c r="BC3076">
        <v>0.28999999999999998</v>
      </c>
      <c r="BD3076">
        <v>11.59</v>
      </c>
      <c r="BE3076">
        <v>11.71</v>
      </c>
      <c r="BF3076">
        <v>11.51</v>
      </c>
      <c r="BG3076" t="s">
        <v>27287</v>
      </c>
      <c r="BH3076" t="s">
        <v>27288</v>
      </c>
      <c r="BI3076" t="s">
        <v>22127</v>
      </c>
      <c r="BJ3076" t="s">
        <v>101</v>
      </c>
      <c r="BK3076" t="s">
        <v>2951</v>
      </c>
      <c r="BL3076" t="s">
        <v>614</v>
      </c>
      <c r="BM3076" t="s">
        <v>10694</v>
      </c>
      <c r="BN3076" t="s">
        <v>23454</v>
      </c>
    </row>
    <row r="3077" spans="1:66" x14ac:dyDescent="0.25">
      <c r="A3077" t="str">
        <f>HYPERLINK("https://elite.finviz.com/quote.ashx?t=MBIO&amp;ty=c&amp;p=d&amp;b=1", "MBIO")</f>
        <v>MBIO</v>
      </c>
      <c r="B3077">
        <v>5</v>
      </c>
      <c r="C3077">
        <v>116.22</v>
      </c>
      <c r="D3077">
        <v>50.49</v>
      </c>
      <c r="E3077" t="s">
        <v>27289</v>
      </c>
      <c r="F3077" t="s">
        <v>107</v>
      </c>
      <c r="G3077" t="s">
        <v>428</v>
      </c>
      <c r="H3077" t="s">
        <v>429</v>
      </c>
      <c r="I3077" t="s">
        <v>70</v>
      </c>
      <c r="J3077" t="s">
        <v>321</v>
      </c>
      <c r="K3077">
        <v>11.58</v>
      </c>
      <c r="L3077">
        <v>1.6</v>
      </c>
      <c r="M3077" t="s">
        <v>1249</v>
      </c>
      <c r="N3077">
        <v>19492</v>
      </c>
      <c r="S3077">
        <v>2.42</v>
      </c>
      <c r="AA3077">
        <v>-3.11</v>
      </c>
      <c r="AB3077" t="s">
        <v>7191</v>
      </c>
      <c r="AC3077" t="s">
        <v>20581</v>
      </c>
      <c r="AI3077" t="s">
        <v>27290</v>
      </c>
      <c r="AJ3077" t="s">
        <v>164</v>
      </c>
      <c r="AK3077" t="s">
        <v>2610</v>
      </c>
      <c r="AL3077">
        <v>1.3</v>
      </c>
      <c r="AM3077">
        <v>1.3</v>
      </c>
      <c r="AN3077">
        <v>0</v>
      </c>
      <c r="AR3077" t="s">
        <v>3506</v>
      </c>
      <c r="AS3077" t="s">
        <v>1026</v>
      </c>
      <c r="AT3077" t="s">
        <v>4495</v>
      </c>
      <c r="AU3077" t="s">
        <v>3845</v>
      </c>
      <c r="AV3077" t="s">
        <v>10603</v>
      </c>
      <c r="AW3077" t="s">
        <v>27291</v>
      </c>
      <c r="AX3077" t="s">
        <v>7501</v>
      </c>
      <c r="AY3077" t="s">
        <v>27292</v>
      </c>
      <c r="AZ3077" t="s">
        <v>17592</v>
      </c>
      <c r="BA3077">
        <v>1</v>
      </c>
      <c r="BB3077">
        <v>5671.96</v>
      </c>
      <c r="BC3077">
        <v>0.01</v>
      </c>
      <c r="BD3077">
        <v>1.6</v>
      </c>
      <c r="BE3077">
        <v>1.61</v>
      </c>
      <c r="BF3077">
        <v>1.58</v>
      </c>
      <c r="BG3077" t="s">
        <v>27293</v>
      </c>
      <c r="BH3077" t="s">
        <v>3265</v>
      </c>
      <c r="BI3077" t="s">
        <v>17592</v>
      </c>
      <c r="BJ3077" t="s">
        <v>101</v>
      </c>
      <c r="BK3077" t="s">
        <v>12440</v>
      </c>
      <c r="BL3077" t="s">
        <v>2712</v>
      </c>
      <c r="BM3077" t="s">
        <v>27030</v>
      </c>
      <c r="BN3077" t="s">
        <v>23454</v>
      </c>
    </row>
    <row r="3078" spans="1:66" x14ac:dyDescent="0.25">
      <c r="A3078" t="str">
        <f>HYPERLINK("https://elite.finviz.com/quote.ashx?t=MDLZ&amp;ty=c&amp;p=d&amp;b=1", "MDLZ")</f>
        <v>MDLZ</v>
      </c>
      <c r="B3078">
        <v>5</v>
      </c>
      <c r="C3078">
        <v>116.22</v>
      </c>
      <c r="D3078">
        <v>50.6</v>
      </c>
      <c r="E3078" t="s">
        <v>27294</v>
      </c>
      <c r="F3078" t="s">
        <v>319</v>
      </c>
      <c r="G3078" t="s">
        <v>2244</v>
      </c>
      <c r="H3078" t="s">
        <v>7398</v>
      </c>
      <c r="I3078" t="s">
        <v>70</v>
      </c>
      <c r="J3078" t="s">
        <v>321</v>
      </c>
      <c r="K3078">
        <v>81570.320000000007</v>
      </c>
      <c r="L3078">
        <v>63.04</v>
      </c>
      <c r="M3078" t="s">
        <v>84</v>
      </c>
      <c r="N3078">
        <v>1252981</v>
      </c>
      <c r="O3078">
        <v>23.02</v>
      </c>
      <c r="P3078">
        <v>19.010000000000002</v>
      </c>
      <c r="Q3078">
        <v>8.31</v>
      </c>
      <c r="R3078">
        <v>2.2000000000000002</v>
      </c>
      <c r="S3078">
        <v>3.11</v>
      </c>
      <c r="T3078" t="s">
        <v>1902</v>
      </c>
      <c r="U3078">
        <v>1.88</v>
      </c>
      <c r="V3078" t="s">
        <v>198</v>
      </c>
      <c r="W3078" t="s">
        <v>7106</v>
      </c>
      <c r="X3078" t="s">
        <v>12553</v>
      </c>
      <c r="Y3078" t="s">
        <v>6168</v>
      </c>
      <c r="Z3078" t="s">
        <v>14700</v>
      </c>
      <c r="AA3078">
        <v>2.74</v>
      </c>
      <c r="AB3078" t="s">
        <v>3433</v>
      </c>
      <c r="AC3078" t="s">
        <v>246</v>
      </c>
      <c r="AD3078" t="s">
        <v>5256</v>
      </c>
      <c r="AE3078" t="s">
        <v>911</v>
      </c>
      <c r="AF3078" t="s">
        <v>1889</v>
      </c>
      <c r="AG3078" t="s">
        <v>906</v>
      </c>
      <c r="AH3078" t="s">
        <v>7403</v>
      </c>
      <c r="AI3078" t="s">
        <v>5122</v>
      </c>
      <c r="AJ3078" t="s">
        <v>164</v>
      </c>
      <c r="AK3078" t="s">
        <v>2917</v>
      </c>
      <c r="AL3078">
        <v>0.64</v>
      </c>
      <c r="AM3078">
        <v>0.39</v>
      </c>
      <c r="AN3078">
        <v>0.82</v>
      </c>
      <c r="AO3078" t="s">
        <v>11454</v>
      </c>
      <c r="AP3078" t="s">
        <v>1489</v>
      </c>
      <c r="AQ3078" t="s">
        <v>9342</v>
      </c>
      <c r="AR3078" t="s">
        <v>3925</v>
      </c>
      <c r="AS3078" t="s">
        <v>7338</v>
      </c>
      <c r="AT3078" t="s">
        <v>3344</v>
      </c>
      <c r="AU3078" t="s">
        <v>7568</v>
      </c>
      <c r="AV3078" t="s">
        <v>5070</v>
      </c>
      <c r="AW3078" t="s">
        <v>1108</v>
      </c>
      <c r="AX3078" t="s">
        <v>2839</v>
      </c>
      <c r="AY3078" t="s">
        <v>2036</v>
      </c>
      <c r="AZ3078" t="s">
        <v>2122</v>
      </c>
      <c r="BA3078">
        <v>1.79</v>
      </c>
      <c r="BB3078">
        <v>7640.4</v>
      </c>
      <c r="BC3078">
        <v>0.57999999999999996</v>
      </c>
      <c r="BD3078">
        <v>62.56</v>
      </c>
      <c r="BE3078">
        <v>63.26</v>
      </c>
      <c r="BF3078">
        <v>62.27</v>
      </c>
      <c r="BG3078" t="s">
        <v>27295</v>
      </c>
      <c r="BH3078" t="s">
        <v>10021</v>
      </c>
      <c r="BI3078" t="s">
        <v>27296</v>
      </c>
      <c r="BJ3078" t="s">
        <v>101</v>
      </c>
      <c r="BK3078" t="s">
        <v>269</v>
      </c>
      <c r="BL3078" t="s">
        <v>4622</v>
      </c>
      <c r="BM3078" t="s">
        <v>4054</v>
      </c>
      <c r="BN3078" t="s">
        <v>23454</v>
      </c>
    </row>
    <row r="3079" spans="1:66" x14ac:dyDescent="0.25">
      <c r="A3079" t="str">
        <f>HYPERLINK("https://elite.finviz.com/quote.ashx?t=QTTB&amp;ty=c&amp;p=d&amp;b=1", "QTTB")</f>
        <v>QTTB</v>
      </c>
      <c r="B3079">
        <v>5</v>
      </c>
      <c r="C3079">
        <v>116.22</v>
      </c>
      <c r="D3079">
        <v>50.62</v>
      </c>
      <c r="E3079" t="s">
        <v>27297</v>
      </c>
      <c r="F3079" t="s">
        <v>107</v>
      </c>
      <c r="G3079" t="s">
        <v>428</v>
      </c>
      <c r="H3079" t="s">
        <v>429</v>
      </c>
      <c r="I3079" t="s">
        <v>70</v>
      </c>
      <c r="J3079" t="s">
        <v>321</v>
      </c>
      <c r="K3079">
        <v>22.52</v>
      </c>
      <c r="L3079">
        <v>1.85</v>
      </c>
      <c r="M3079" t="s">
        <v>4149</v>
      </c>
      <c r="N3079">
        <v>70835</v>
      </c>
      <c r="AA3079">
        <v>-4.3</v>
      </c>
      <c r="AB3079" t="s">
        <v>3703</v>
      </c>
      <c r="AC3079" t="s">
        <v>8455</v>
      </c>
      <c r="AD3079" t="s">
        <v>6419</v>
      </c>
      <c r="AE3079" t="s">
        <v>579</v>
      </c>
      <c r="AI3079" t="s">
        <v>7710</v>
      </c>
      <c r="AJ3079" t="s">
        <v>2294</v>
      </c>
      <c r="AK3079" t="s">
        <v>849</v>
      </c>
      <c r="AL3079">
        <v>5.0599999999999996</v>
      </c>
      <c r="AM3079">
        <v>5.0599999999999996</v>
      </c>
      <c r="AR3079" t="s">
        <v>5122</v>
      </c>
      <c r="AS3079" t="s">
        <v>3100</v>
      </c>
      <c r="AT3079" t="s">
        <v>3456</v>
      </c>
      <c r="AU3079" t="s">
        <v>1175</v>
      </c>
      <c r="AV3079" t="s">
        <v>25231</v>
      </c>
      <c r="AW3079" t="s">
        <v>9543</v>
      </c>
      <c r="AX3079" t="s">
        <v>5627</v>
      </c>
      <c r="AY3079" t="s">
        <v>6866</v>
      </c>
      <c r="AZ3079" t="s">
        <v>15360</v>
      </c>
      <c r="BA3079">
        <v>2</v>
      </c>
      <c r="BB3079">
        <v>1270.8699999999999</v>
      </c>
      <c r="BC3079">
        <v>0.2</v>
      </c>
      <c r="BD3079">
        <v>1.88</v>
      </c>
      <c r="BE3079">
        <v>1.95</v>
      </c>
      <c r="BF3079">
        <v>1.84</v>
      </c>
      <c r="BG3079" t="s">
        <v>27298</v>
      </c>
      <c r="BH3079" t="s">
        <v>8704</v>
      </c>
      <c r="BI3079" t="s">
        <v>15360</v>
      </c>
      <c r="BJ3079" t="s">
        <v>101</v>
      </c>
      <c r="BK3079" t="s">
        <v>2520</v>
      </c>
      <c r="BL3079" t="s">
        <v>7036</v>
      </c>
      <c r="BM3079" t="s">
        <v>27299</v>
      </c>
      <c r="BN3079" t="s">
        <v>23454</v>
      </c>
    </row>
    <row r="3080" spans="1:66" x14ac:dyDescent="0.25">
      <c r="A3080" t="str">
        <f>HYPERLINK("https://elite.finviz.com/quote.ashx?t=NVDA&amp;ty=c&amp;p=d&amp;b=1", "NVDA")</f>
        <v>NVDA</v>
      </c>
      <c r="B3080">
        <v>5</v>
      </c>
      <c r="C3080">
        <v>116.22</v>
      </c>
      <c r="D3080">
        <v>50.66</v>
      </c>
      <c r="E3080" t="s">
        <v>27300</v>
      </c>
      <c r="F3080" t="s">
        <v>13356</v>
      </c>
      <c r="G3080" t="s">
        <v>108</v>
      </c>
      <c r="H3080" t="s">
        <v>1808</v>
      </c>
      <c r="I3080" t="s">
        <v>70</v>
      </c>
      <c r="J3080" t="s">
        <v>321</v>
      </c>
      <c r="K3080">
        <v>4285548.0199999996</v>
      </c>
      <c r="L3080">
        <v>176.36</v>
      </c>
      <c r="M3080" t="s">
        <v>240</v>
      </c>
      <c r="N3080">
        <v>57594159</v>
      </c>
      <c r="O3080">
        <v>50.19</v>
      </c>
      <c r="P3080">
        <v>27.58</v>
      </c>
      <c r="Q3080">
        <v>1.44</v>
      </c>
      <c r="R3080">
        <v>25.94</v>
      </c>
      <c r="S3080">
        <v>42.88</v>
      </c>
      <c r="T3080" t="s">
        <v>2215</v>
      </c>
      <c r="U3080">
        <v>0.04</v>
      </c>
      <c r="V3080" t="s">
        <v>7788</v>
      </c>
      <c r="W3080" t="s">
        <v>1882</v>
      </c>
      <c r="X3080" t="s">
        <v>5699</v>
      </c>
      <c r="Y3080" t="s">
        <v>712</v>
      </c>
      <c r="Z3080" t="s">
        <v>5166</v>
      </c>
      <c r="AA3080">
        <v>3.51</v>
      </c>
      <c r="AB3080" t="s">
        <v>27301</v>
      </c>
      <c r="AC3080" t="s">
        <v>27302</v>
      </c>
      <c r="AD3080" t="s">
        <v>9057</v>
      </c>
      <c r="AE3080" t="s">
        <v>22367</v>
      </c>
      <c r="AF3080" t="s">
        <v>878</v>
      </c>
      <c r="AG3080" t="s">
        <v>7584</v>
      </c>
      <c r="AH3080" t="s">
        <v>8544</v>
      </c>
      <c r="AI3080" t="s">
        <v>4299</v>
      </c>
      <c r="AJ3080" t="s">
        <v>11369</v>
      </c>
      <c r="AK3080" t="s">
        <v>21413</v>
      </c>
      <c r="AL3080">
        <v>4.21</v>
      </c>
      <c r="AM3080">
        <v>3.6</v>
      </c>
      <c r="AN3080">
        <v>0.11</v>
      </c>
      <c r="AO3080" t="s">
        <v>13379</v>
      </c>
      <c r="AP3080" t="s">
        <v>12870</v>
      </c>
      <c r="AQ3080" t="s">
        <v>15802</v>
      </c>
      <c r="AR3080" t="s">
        <v>4093</v>
      </c>
      <c r="AS3080" t="s">
        <v>4976</v>
      </c>
      <c r="AT3080" t="s">
        <v>3761</v>
      </c>
      <c r="AU3080" t="s">
        <v>6192</v>
      </c>
      <c r="AV3080" t="s">
        <v>11397</v>
      </c>
      <c r="AW3080" t="s">
        <v>15245</v>
      </c>
      <c r="AX3080" t="s">
        <v>2193</v>
      </c>
      <c r="AY3080" t="s">
        <v>15245</v>
      </c>
      <c r="AZ3080" t="s">
        <v>27303</v>
      </c>
      <c r="BA3080">
        <v>1.33</v>
      </c>
      <c r="BB3080">
        <v>174590.26</v>
      </c>
      <c r="BC3080">
        <v>1.1599999999999999</v>
      </c>
      <c r="BD3080">
        <v>177.69</v>
      </c>
      <c r="BE3080">
        <v>178.64</v>
      </c>
      <c r="BF3080">
        <v>174.93</v>
      </c>
      <c r="BG3080" t="s">
        <v>27304</v>
      </c>
      <c r="BH3080" t="s">
        <v>15245</v>
      </c>
      <c r="BI3080" t="s">
        <v>27305</v>
      </c>
      <c r="BJ3080" t="s">
        <v>101</v>
      </c>
      <c r="BK3080" t="s">
        <v>7898</v>
      </c>
      <c r="BL3080" t="s">
        <v>23036</v>
      </c>
      <c r="BM3080" t="s">
        <v>13127</v>
      </c>
      <c r="BN3080" t="s">
        <v>23454</v>
      </c>
    </row>
    <row r="3081" spans="1:66" x14ac:dyDescent="0.25">
      <c r="A3081" t="str">
        <f>HYPERLINK("https://elite.finviz.com/quote.ashx?t=ASAN&amp;ty=c&amp;p=d&amp;b=1", "ASAN")</f>
        <v>ASAN</v>
      </c>
      <c r="B3081">
        <v>5</v>
      </c>
      <c r="C3081">
        <v>116.22</v>
      </c>
      <c r="D3081">
        <v>50.69</v>
      </c>
      <c r="E3081" t="s">
        <v>27306</v>
      </c>
      <c r="F3081" t="s">
        <v>67</v>
      </c>
      <c r="G3081" t="s">
        <v>108</v>
      </c>
      <c r="H3081" t="s">
        <v>136</v>
      </c>
      <c r="I3081" t="s">
        <v>70</v>
      </c>
      <c r="J3081" t="s">
        <v>71</v>
      </c>
      <c r="K3081">
        <v>3323.99</v>
      </c>
      <c r="L3081">
        <v>14.07</v>
      </c>
      <c r="M3081" t="s">
        <v>3463</v>
      </c>
      <c r="N3081">
        <v>580214</v>
      </c>
      <c r="P3081">
        <v>41.69</v>
      </c>
      <c r="R3081">
        <v>4.3899999999999997</v>
      </c>
      <c r="S3081">
        <v>14.81</v>
      </c>
      <c r="AA3081">
        <v>-0.89</v>
      </c>
      <c r="AB3081" t="s">
        <v>5127</v>
      </c>
      <c r="AC3081" t="s">
        <v>11528</v>
      </c>
      <c r="AE3081" t="s">
        <v>1809</v>
      </c>
      <c r="AF3081" t="s">
        <v>4285</v>
      </c>
      <c r="AG3081" t="s">
        <v>1177</v>
      </c>
      <c r="AH3081" t="s">
        <v>4728</v>
      </c>
      <c r="AI3081" t="s">
        <v>1062</v>
      </c>
      <c r="AJ3081" t="s">
        <v>4956</v>
      </c>
      <c r="AK3081" t="s">
        <v>5140</v>
      </c>
      <c r="AL3081">
        <v>1.36</v>
      </c>
      <c r="AM3081">
        <v>1.36</v>
      </c>
      <c r="AN3081">
        <v>1.1499999999999999</v>
      </c>
      <c r="AO3081" t="s">
        <v>26448</v>
      </c>
      <c r="AP3081" t="s">
        <v>23521</v>
      </c>
      <c r="AQ3081" t="s">
        <v>27307</v>
      </c>
      <c r="AR3081" t="s">
        <v>1100</v>
      </c>
      <c r="AS3081" t="s">
        <v>6378</v>
      </c>
      <c r="AT3081" t="s">
        <v>3013</v>
      </c>
      <c r="AU3081" t="s">
        <v>2059</v>
      </c>
      <c r="AV3081" t="s">
        <v>4227</v>
      </c>
      <c r="AW3081" t="s">
        <v>23263</v>
      </c>
      <c r="AX3081" t="s">
        <v>3326</v>
      </c>
      <c r="AY3081" t="s">
        <v>19020</v>
      </c>
      <c r="AZ3081" t="s">
        <v>931</v>
      </c>
      <c r="BA3081">
        <v>2.75</v>
      </c>
      <c r="BB3081">
        <v>3859.84</v>
      </c>
      <c r="BC3081">
        <v>0.53</v>
      </c>
      <c r="BD3081">
        <v>13.98</v>
      </c>
      <c r="BE3081">
        <v>14.07</v>
      </c>
      <c r="BF3081">
        <v>13.8</v>
      </c>
      <c r="BG3081" t="s">
        <v>27308</v>
      </c>
      <c r="BH3081" t="s">
        <v>3419</v>
      </c>
      <c r="BI3081" t="s">
        <v>7478</v>
      </c>
      <c r="BJ3081" t="s">
        <v>101</v>
      </c>
      <c r="BK3081" t="s">
        <v>2231</v>
      </c>
      <c r="BL3081" t="s">
        <v>11801</v>
      </c>
      <c r="BM3081" t="s">
        <v>18267</v>
      </c>
      <c r="BN3081" t="s">
        <v>23454</v>
      </c>
    </row>
    <row r="3082" spans="1:66" x14ac:dyDescent="0.25">
      <c r="A3082" t="str">
        <f>HYPERLINK("https://elite.finviz.com/quote.ashx?t=NMRA&amp;ty=c&amp;p=d&amp;b=1", "NMRA")</f>
        <v>NMRA</v>
      </c>
      <c r="B3082">
        <v>5</v>
      </c>
      <c r="C3082">
        <v>116.22</v>
      </c>
      <c r="D3082">
        <v>50.69</v>
      </c>
      <c r="E3082" t="s">
        <v>27309</v>
      </c>
      <c r="F3082" t="s">
        <v>107</v>
      </c>
      <c r="G3082" t="s">
        <v>428</v>
      </c>
      <c r="H3082" t="s">
        <v>429</v>
      </c>
      <c r="I3082" t="s">
        <v>70</v>
      </c>
      <c r="J3082" t="s">
        <v>321</v>
      </c>
      <c r="K3082">
        <v>272.07</v>
      </c>
      <c r="L3082">
        <v>1.68</v>
      </c>
      <c r="M3082" t="s">
        <v>6407</v>
      </c>
      <c r="N3082">
        <v>48351</v>
      </c>
      <c r="S3082">
        <v>1.49</v>
      </c>
      <c r="AA3082">
        <v>-1.57</v>
      </c>
      <c r="AB3082" t="s">
        <v>8179</v>
      </c>
      <c r="AD3082" t="s">
        <v>3180</v>
      </c>
      <c r="AI3082" t="s">
        <v>1133</v>
      </c>
      <c r="AJ3082" t="s">
        <v>164</v>
      </c>
      <c r="AK3082" t="s">
        <v>2961</v>
      </c>
      <c r="AL3082">
        <v>10.54</v>
      </c>
      <c r="AM3082">
        <v>10.54</v>
      </c>
      <c r="AN3082">
        <v>0.11</v>
      </c>
      <c r="AR3082" t="s">
        <v>5212</v>
      </c>
      <c r="AS3082" t="s">
        <v>9936</v>
      </c>
      <c r="AT3082" t="s">
        <v>4901</v>
      </c>
      <c r="AU3082" t="s">
        <v>9854</v>
      </c>
      <c r="AV3082" t="s">
        <v>3203</v>
      </c>
      <c r="AW3082" t="s">
        <v>26119</v>
      </c>
      <c r="AX3082" t="s">
        <v>3373</v>
      </c>
      <c r="AY3082" t="s">
        <v>22986</v>
      </c>
      <c r="AZ3082" t="s">
        <v>27310</v>
      </c>
      <c r="BA3082">
        <v>2.5</v>
      </c>
      <c r="BB3082">
        <v>1273.52</v>
      </c>
      <c r="BC3082">
        <v>0.13</v>
      </c>
      <c r="BD3082">
        <v>1.7</v>
      </c>
      <c r="BE3082">
        <v>1.72</v>
      </c>
      <c r="BF3082">
        <v>1.67</v>
      </c>
      <c r="BG3082" t="s">
        <v>27311</v>
      </c>
      <c r="BH3082" t="s">
        <v>27312</v>
      </c>
      <c r="BI3082" t="s">
        <v>27310</v>
      </c>
      <c r="BJ3082" t="s">
        <v>101</v>
      </c>
      <c r="BK3082" t="s">
        <v>27313</v>
      </c>
      <c r="BL3082" t="s">
        <v>27314</v>
      </c>
      <c r="BM3082" t="s">
        <v>27315</v>
      </c>
      <c r="BN3082" t="s">
        <v>23454</v>
      </c>
    </row>
    <row r="3083" spans="1:66" x14ac:dyDescent="0.25">
      <c r="A3083" t="str">
        <f>HYPERLINK("https://elite.finviz.com/quote.ashx?t=EXFY&amp;ty=c&amp;p=d&amp;b=1", "EXFY")</f>
        <v>EXFY</v>
      </c>
      <c r="B3083">
        <v>5</v>
      </c>
      <c r="C3083">
        <v>116.22</v>
      </c>
      <c r="D3083">
        <v>50.7</v>
      </c>
      <c r="E3083" t="s">
        <v>27316</v>
      </c>
      <c r="F3083" t="s">
        <v>67</v>
      </c>
      <c r="G3083" t="s">
        <v>108</v>
      </c>
      <c r="H3083" t="s">
        <v>136</v>
      </c>
      <c r="I3083" t="s">
        <v>70</v>
      </c>
      <c r="J3083" t="s">
        <v>321</v>
      </c>
      <c r="K3083">
        <v>180.3</v>
      </c>
      <c r="L3083">
        <v>1.95</v>
      </c>
      <c r="M3083" t="s">
        <v>698</v>
      </c>
      <c r="N3083">
        <v>79402</v>
      </c>
      <c r="P3083">
        <v>8.1999999999999993</v>
      </c>
      <c r="R3083">
        <v>1.25</v>
      </c>
      <c r="S3083">
        <v>1.37</v>
      </c>
      <c r="AA3083">
        <v>-0.17</v>
      </c>
      <c r="AB3083" t="s">
        <v>6196</v>
      </c>
      <c r="AD3083" t="s">
        <v>2175</v>
      </c>
      <c r="AE3083" t="s">
        <v>4299</v>
      </c>
      <c r="AF3083" t="s">
        <v>530</v>
      </c>
      <c r="AG3083" t="s">
        <v>1675</v>
      </c>
      <c r="AH3083" t="s">
        <v>3746</v>
      </c>
      <c r="AI3083" t="s">
        <v>27317</v>
      </c>
      <c r="AJ3083" t="s">
        <v>2007</v>
      </c>
      <c r="AK3083" t="s">
        <v>13286</v>
      </c>
      <c r="AL3083">
        <v>3.14</v>
      </c>
      <c r="AM3083">
        <v>3.14</v>
      </c>
      <c r="AN3083">
        <v>0.05</v>
      </c>
      <c r="AO3083" t="s">
        <v>5353</v>
      </c>
      <c r="AP3083" t="s">
        <v>3892</v>
      </c>
      <c r="AQ3083" t="s">
        <v>8722</v>
      </c>
      <c r="AR3083" t="s">
        <v>3036</v>
      </c>
      <c r="AS3083" t="s">
        <v>2810</v>
      </c>
      <c r="AT3083" t="s">
        <v>2571</v>
      </c>
      <c r="AU3083" t="s">
        <v>7346</v>
      </c>
      <c r="AV3083" t="s">
        <v>26443</v>
      </c>
      <c r="AW3083" t="s">
        <v>6649</v>
      </c>
      <c r="AX3083" t="s">
        <v>11368</v>
      </c>
      <c r="AY3083" t="s">
        <v>14337</v>
      </c>
      <c r="AZ3083" t="s">
        <v>11368</v>
      </c>
      <c r="BA3083">
        <v>2.5</v>
      </c>
      <c r="BB3083">
        <v>795.53</v>
      </c>
      <c r="BC3083">
        <v>0.35</v>
      </c>
      <c r="BD3083">
        <v>1.94</v>
      </c>
      <c r="BE3083">
        <v>1.96</v>
      </c>
      <c r="BF3083">
        <v>1.92</v>
      </c>
      <c r="BG3083" t="s">
        <v>27318</v>
      </c>
      <c r="BH3083" t="s">
        <v>17480</v>
      </c>
      <c r="BI3083" t="s">
        <v>1774</v>
      </c>
      <c r="BJ3083" t="s">
        <v>101</v>
      </c>
      <c r="BK3083" t="s">
        <v>23541</v>
      </c>
      <c r="BL3083" t="s">
        <v>14423</v>
      </c>
      <c r="BM3083" t="s">
        <v>5559</v>
      </c>
      <c r="BN3083" t="s">
        <v>26674</v>
      </c>
    </row>
    <row r="3084" spans="1:66" x14ac:dyDescent="0.25">
      <c r="A3084" t="str">
        <f>HYPERLINK("https://elite.finviz.com/quote.ashx?t=ABSI&amp;ty=c&amp;p=d&amp;b=1", "ABSI")</f>
        <v>ABSI</v>
      </c>
      <c r="B3084">
        <v>5</v>
      </c>
      <c r="C3084">
        <v>116.22</v>
      </c>
      <c r="D3084">
        <v>50.74</v>
      </c>
      <c r="E3084" t="s">
        <v>27319</v>
      </c>
      <c r="F3084" t="s">
        <v>67</v>
      </c>
      <c r="G3084" t="s">
        <v>428</v>
      </c>
      <c r="H3084" t="s">
        <v>429</v>
      </c>
      <c r="I3084" t="s">
        <v>70</v>
      </c>
      <c r="J3084" t="s">
        <v>321</v>
      </c>
      <c r="K3084">
        <v>394.73</v>
      </c>
      <c r="L3084">
        <v>2.64</v>
      </c>
      <c r="M3084" t="s">
        <v>1564</v>
      </c>
      <c r="N3084">
        <v>1393284</v>
      </c>
      <c r="R3084">
        <v>95.35</v>
      </c>
      <c r="S3084">
        <v>1.94</v>
      </c>
      <c r="AA3084">
        <v>-0.95</v>
      </c>
      <c r="AB3084" t="s">
        <v>7118</v>
      </c>
      <c r="AC3084" t="s">
        <v>14509</v>
      </c>
      <c r="AD3084" t="s">
        <v>3491</v>
      </c>
      <c r="AE3084" t="s">
        <v>6793</v>
      </c>
      <c r="AF3084" t="s">
        <v>2649</v>
      </c>
      <c r="AG3084" t="s">
        <v>2866</v>
      </c>
      <c r="AH3084" t="s">
        <v>27320</v>
      </c>
      <c r="AI3084" t="s">
        <v>24267</v>
      </c>
      <c r="AJ3084" t="s">
        <v>2734</v>
      </c>
      <c r="AK3084" t="s">
        <v>8778</v>
      </c>
      <c r="AL3084">
        <v>4.3899999999999997</v>
      </c>
      <c r="AM3084">
        <v>4.3899999999999997</v>
      </c>
      <c r="AN3084">
        <v>0.04</v>
      </c>
      <c r="AO3084" t="s">
        <v>27321</v>
      </c>
      <c r="AP3084" t="s">
        <v>27322</v>
      </c>
      <c r="AQ3084" t="s">
        <v>27323</v>
      </c>
      <c r="AR3084" t="s">
        <v>8125</v>
      </c>
      <c r="AS3084" t="s">
        <v>8960</v>
      </c>
      <c r="AT3084" t="s">
        <v>9130</v>
      </c>
      <c r="AU3084" t="s">
        <v>922</v>
      </c>
      <c r="AV3084" t="s">
        <v>16239</v>
      </c>
      <c r="AW3084" t="s">
        <v>17455</v>
      </c>
      <c r="AX3084" t="s">
        <v>5743</v>
      </c>
      <c r="AY3084" t="s">
        <v>27324</v>
      </c>
      <c r="AZ3084" t="s">
        <v>7105</v>
      </c>
      <c r="BA3084">
        <v>1</v>
      </c>
      <c r="BB3084">
        <v>5202.49</v>
      </c>
      <c r="BC3084">
        <v>0.94</v>
      </c>
      <c r="BD3084">
        <v>2.65</v>
      </c>
      <c r="BE3084">
        <v>2.71</v>
      </c>
      <c r="BF3084">
        <v>2.61</v>
      </c>
      <c r="BG3084" t="s">
        <v>27325</v>
      </c>
      <c r="BH3084" t="s">
        <v>670</v>
      </c>
      <c r="BI3084" t="s">
        <v>27326</v>
      </c>
      <c r="BJ3084" t="s">
        <v>101</v>
      </c>
      <c r="BK3084" t="s">
        <v>6245</v>
      </c>
      <c r="BL3084" t="s">
        <v>746</v>
      </c>
      <c r="BM3084" t="s">
        <v>15523</v>
      </c>
      <c r="BN3084" t="s">
        <v>23454</v>
      </c>
    </row>
    <row r="3085" spans="1:66" x14ac:dyDescent="0.25">
      <c r="A3085" t="str">
        <f>HYPERLINK("https://elite.finviz.com/quote.ashx?t=MNTS&amp;ty=c&amp;p=d&amp;b=1", "MNTS")</f>
        <v>MNTS</v>
      </c>
      <c r="B3085">
        <v>5</v>
      </c>
      <c r="C3085">
        <v>116.22</v>
      </c>
      <c r="D3085">
        <v>50.82</v>
      </c>
      <c r="E3085" t="s">
        <v>27327</v>
      </c>
      <c r="F3085" t="s">
        <v>107</v>
      </c>
      <c r="G3085" t="s">
        <v>260</v>
      </c>
      <c r="H3085" t="s">
        <v>4779</v>
      </c>
      <c r="I3085" t="s">
        <v>70</v>
      </c>
      <c r="J3085" t="s">
        <v>321</v>
      </c>
      <c r="K3085">
        <v>14.72</v>
      </c>
      <c r="L3085">
        <v>1.26</v>
      </c>
      <c r="M3085" t="s">
        <v>6692</v>
      </c>
      <c r="N3085">
        <v>79617</v>
      </c>
      <c r="R3085">
        <v>16.18</v>
      </c>
      <c r="AA3085">
        <v>-13.4</v>
      </c>
      <c r="AE3085" t="s">
        <v>26616</v>
      </c>
      <c r="AF3085" t="s">
        <v>6927</v>
      </c>
      <c r="AH3085" t="s">
        <v>27328</v>
      </c>
      <c r="AI3085" t="s">
        <v>5895</v>
      </c>
      <c r="AJ3085" t="s">
        <v>164</v>
      </c>
      <c r="AK3085" t="s">
        <v>7938</v>
      </c>
      <c r="AL3085">
        <v>0.22</v>
      </c>
      <c r="AM3085">
        <v>0.22</v>
      </c>
      <c r="AO3085" t="s">
        <v>27329</v>
      </c>
      <c r="AP3085" t="s">
        <v>27330</v>
      </c>
      <c r="AQ3085" t="s">
        <v>27331</v>
      </c>
      <c r="AR3085" t="s">
        <v>2945</v>
      </c>
      <c r="AS3085" t="s">
        <v>4254</v>
      </c>
      <c r="AT3085" t="s">
        <v>89</v>
      </c>
      <c r="AU3085" t="s">
        <v>2418</v>
      </c>
      <c r="AV3085" t="s">
        <v>27332</v>
      </c>
      <c r="AW3085" t="s">
        <v>27333</v>
      </c>
      <c r="AX3085" t="s">
        <v>1132</v>
      </c>
      <c r="AY3085" t="s">
        <v>27334</v>
      </c>
      <c r="AZ3085" t="s">
        <v>18081</v>
      </c>
      <c r="BA3085">
        <v>1</v>
      </c>
      <c r="BB3085">
        <v>6570.32</v>
      </c>
      <c r="BC3085">
        <v>0.04</v>
      </c>
      <c r="BD3085">
        <v>1.24</v>
      </c>
      <c r="BE3085">
        <v>1.29</v>
      </c>
      <c r="BF3085">
        <v>1.25</v>
      </c>
      <c r="BG3085" t="s">
        <v>27335</v>
      </c>
      <c r="BH3085" t="s">
        <v>3320</v>
      </c>
      <c r="BI3085" t="s">
        <v>18081</v>
      </c>
      <c r="BJ3085" t="s">
        <v>101</v>
      </c>
      <c r="BK3085" t="s">
        <v>9330</v>
      </c>
      <c r="BL3085" t="s">
        <v>20938</v>
      </c>
      <c r="BM3085" t="s">
        <v>27336</v>
      </c>
      <c r="BN3085" t="s">
        <v>23454</v>
      </c>
    </row>
    <row r="3086" spans="1:66" x14ac:dyDescent="0.25">
      <c r="A3086" t="str">
        <f>HYPERLINK("https://elite.finviz.com/quote.ashx?t=PROK&amp;ty=c&amp;p=d&amp;b=1", "PROK")</f>
        <v>PROK</v>
      </c>
      <c r="B3086">
        <v>5</v>
      </c>
      <c r="C3086">
        <v>116.22</v>
      </c>
      <c r="D3086">
        <v>50.91</v>
      </c>
      <c r="E3086" t="s">
        <v>27337</v>
      </c>
      <c r="F3086" t="s">
        <v>107</v>
      </c>
      <c r="G3086" t="s">
        <v>428</v>
      </c>
      <c r="H3086" t="s">
        <v>429</v>
      </c>
      <c r="I3086" t="s">
        <v>70</v>
      </c>
      <c r="J3086" t="s">
        <v>321</v>
      </c>
      <c r="K3086">
        <v>759.01</v>
      </c>
      <c r="L3086">
        <v>2.58</v>
      </c>
      <c r="M3086" t="s">
        <v>5070</v>
      </c>
      <c r="N3086">
        <v>150914</v>
      </c>
      <c r="R3086">
        <v>1432.1</v>
      </c>
      <c r="AA3086">
        <v>-0.56000000000000005</v>
      </c>
      <c r="AB3086" t="s">
        <v>4565</v>
      </c>
      <c r="AD3086" t="s">
        <v>296</v>
      </c>
      <c r="AI3086" t="s">
        <v>9037</v>
      </c>
      <c r="AJ3086" t="s">
        <v>5425</v>
      </c>
      <c r="AK3086" t="s">
        <v>22043</v>
      </c>
      <c r="AL3086">
        <v>11.48</v>
      </c>
      <c r="AM3086">
        <v>11.48</v>
      </c>
      <c r="AO3086" t="s">
        <v>27338</v>
      </c>
      <c r="AP3086" t="s">
        <v>27339</v>
      </c>
      <c r="AQ3086" t="s">
        <v>27340</v>
      </c>
      <c r="AR3086" t="s">
        <v>370</v>
      </c>
      <c r="AS3086" t="s">
        <v>875</v>
      </c>
      <c r="AT3086" t="s">
        <v>7088</v>
      </c>
      <c r="AU3086" t="s">
        <v>2950</v>
      </c>
      <c r="AV3086" t="s">
        <v>10253</v>
      </c>
      <c r="AW3086" t="s">
        <v>20582</v>
      </c>
      <c r="AX3086" t="s">
        <v>233</v>
      </c>
      <c r="AY3086" t="s">
        <v>27341</v>
      </c>
      <c r="AZ3086" t="s">
        <v>27342</v>
      </c>
      <c r="BA3086">
        <v>2.12</v>
      </c>
      <c r="BB3086">
        <v>13589.91</v>
      </c>
      <c r="BC3086">
        <v>0.04</v>
      </c>
      <c r="BD3086">
        <v>2.62</v>
      </c>
      <c r="BE3086">
        <v>2.66</v>
      </c>
      <c r="BF3086">
        <v>2.5499999999999998</v>
      </c>
      <c r="BG3086" t="s">
        <v>27343</v>
      </c>
      <c r="BH3086" t="s">
        <v>556</v>
      </c>
      <c r="BI3086" t="s">
        <v>27342</v>
      </c>
      <c r="BJ3086" t="s">
        <v>101</v>
      </c>
      <c r="BK3086" t="s">
        <v>27344</v>
      </c>
      <c r="BL3086" t="s">
        <v>27345</v>
      </c>
      <c r="BM3086" t="s">
        <v>18007</v>
      </c>
      <c r="BN3086" t="s">
        <v>23454</v>
      </c>
    </row>
    <row r="3087" spans="1:66" x14ac:dyDescent="0.25">
      <c r="A3087" t="str">
        <f>HYPERLINK("https://elite.finviz.com/quote.ashx?t=GDYN&amp;ty=c&amp;p=d&amp;b=1", "GDYN")</f>
        <v>GDYN</v>
      </c>
      <c r="B3087">
        <v>5</v>
      </c>
      <c r="C3087">
        <v>116.22</v>
      </c>
      <c r="D3087">
        <v>51.02</v>
      </c>
      <c r="E3087" t="s">
        <v>27346</v>
      </c>
      <c r="F3087" t="s">
        <v>67</v>
      </c>
      <c r="G3087" t="s">
        <v>108</v>
      </c>
      <c r="H3087" t="s">
        <v>1322</v>
      </c>
      <c r="I3087" t="s">
        <v>70</v>
      </c>
      <c r="J3087" t="s">
        <v>321</v>
      </c>
      <c r="K3087">
        <v>684.07</v>
      </c>
      <c r="L3087">
        <v>8.08</v>
      </c>
      <c r="M3087" t="s">
        <v>1338</v>
      </c>
      <c r="N3087">
        <v>87033</v>
      </c>
      <c r="O3087">
        <v>39.9</v>
      </c>
      <c r="P3087">
        <v>17.04</v>
      </c>
      <c r="Q3087">
        <v>8.6199999999999992</v>
      </c>
      <c r="R3087">
        <v>1.76</v>
      </c>
      <c r="S3087">
        <v>1.28</v>
      </c>
      <c r="Z3087" t="s">
        <v>164</v>
      </c>
      <c r="AA3087">
        <v>0.2</v>
      </c>
      <c r="AC3087" t="s">
        <v>23458</v>
      </c>
      <c r="AD3087" t="s">
        <v>3119</v>
      </c>
      <c r="AE3087" t="s">
        <v>7693</v>
      </c>
      <c r="AF3087" t="s">
        <v>7718</v>
      </c>
      <c r="AG3087" t="s">
        <v>8885</v>
      </c>
      <c r="AH3087" t="s">
        <v>3860</v>
      </c>
      <c r="AI3087" t="s">
        <v>4476</v>
      </c>
      <c r="AJ3087" t="s">
        <v>2768</v>
      </c>
      <c r="AK3087" t="s">
        <v>25265</v>
      </c>
      <c r="AL3087">
        <v>7.37</v>
      </c>
      <c r="AM3087">
        <v>7.37</v>
      </c>
      <c r="AN3087">
        <v>0.03</v>
      </c>
      <c r="AO3087" t="s">
        <v>4940</v>
      </c>
      <c r="AP3087" t="s">
        <v>6245</v>
      </c>
      <c r="AQ3087" t="s">
        <v>6936</v>
      </c>
      <c r="AR3087" t="s">
        <v>3545</v>
      </c>
      <c r="AS3087" t="s">
        <v>2647</v>
      </c>
      <c r="AT3087" t="s">
        <v>2892</v>
      </c>
      <c r="AU3087" t="s">
        <v>5309</v>
      </c>
      <c r="AV3087" t="s">
        <v>12115</v>
      </c>
      <c r="AW3087" t="s">
        <v>21145</v>
      </c>
      <c r="AX3087" t="s">
        <v>7209</v>
      </c>
      <c r="AY3087" t="s">
        <v>27347</v>
      </c>
      <c r="AZ3087" t="s">
        <v>7209</v>
      </c>
      <c r="BA3087">
        <v>1.33</v>
      </c>
      <c r="BB3087">
        <v>1189.96</v>
      </c>
      <c r="BC3087">
        <v>0.26</v>
      </c>
      <c r="BD3087">
        <v>8</v>
      </c>
      <c r="BE3087">
        <v>8.01</v>
      </c>
      <c r="BF3087">
        <v>7.95</v>
      </c>
      <c r="BG3087" t="s">
        <v>27348</v>
      </c>
      <c r="BH3087" t="s">
        <v>27283</v>
      </c>
      <c r="BI3087" t="s">
        <v>24056</v>
      </c>
      <c r="BJ3087" t="s">
        <v>101</v>
      </c>
      <c r="BK3087" t="s">
        <v>4959</v>
      </c>
      <c r="BL3087" t="s">
        <v>7836</v>
      </c>
      <c r="BM3087" t="s">
        <v>24468</v>
      </c>
      <c r="BN3087" t="s">
        <v>23454</v>
      </c>
    </row>
    <row r="3088" spans="1:66" x14ac:dyDescent="0.25">
      <c r="A3088" t="str">
        <f>HYPERLINK("https://elite.finviz.com/quote.ashx?t=CRBU&amp;ty=c&amp;p=d&amp;b=1", "CRBU")</f>
        <v>CRBU</v>
      </c>
      <c r="B3088">
        <v>5</v>
      </c>
      <c r="C3088">
        <v>116.22</v>
      </c>
      <c r="D3088">
        <v>51.18</v>
      </c>
      <c r="E3088" t="s">
        <v>27349</v>
      </c>
      <c r="F3088" t="s">
        <v>107</v>
      </c>
      <c r="G3088" t="s">
        <v>428</v>
      </c>
      <c r="H3088" t="s">
        <v>429</v>
      </c>
      <c r="I3088" t="s">
        <v>70</v>
      </c>
      <c r="J3088" t="s">
        <v>321</v>
      </c>
      <c r="K3088">
        <v>176.56</v>
      </c>
      <c r="L3088">
        <v>1.9</v>
      </c>
      <c r="M3088" t="s">
        <v>2649</v>
      </c>
      <c r="N3088">
        <v>450845</v>
      </c>
      <c r="R3088">
        <v>19.36</v>
      </c>
      <c r="S3088">
        <v>1.06</v>
      </c>
      <c r="AA3088">
        <v>-1.79</v>
      </c>
      <c r="AB3088" t="s">
        <v>27350</v>
      </c>
      <c r="AC3088" t="s">
        <v>11621</v>
      </c>
      <c r="AD3088" t="s">
        <v>1133</v>
      </c>
      <c r="AE3088" t="s">
        <v>27351</v>
      </c>
      <c r="AF3088" t="s">
        <v>4280</v>
      </c>
      <c r="AG3088" t="s">
        <v>7510</v>
      </c>
      <c r="AH3088" t="s">
        <v>15096</v>
      </c>
      <c r="AI3088" t="s">
        <v>1470</v>
      </c>
      <c r="AJ3088" t="s">
        <v>164</v>
      </c>
      <c r="AK3088" t="s">
        <v>16314</v>
      </c>
      <c r="AL3088">
        <v>6.66</v>
      </c>
      <c r="AM3088">
        <v>6.66</v>
      </c>
      <c r="AN3088">
        <v>0.16</v>
      </c>
      <c r="AO3088" t="s">
        <v>27352</v>
      </c>
      <c r="AP3088" t="s">
        <v>27353</v>
      </c>
      <c r="AQ3088" t="s">
        <v>27354</v>
      </c>
      <c r="AR3088" t="s">
        <v>8041</v>
      </c>
      <c r="AS3088" t="s">
        <v>5552</v>
      </c>
      <c r="AT3088" t="s">
        <v>7322</v>
      </c>
      <c r="AU3088" t="s">
        <v>9475</v>
      </c>
      <c r="AV3088" t="s">
        <v>19843</v>
      </c>
      <c r="AW3088" t="s">
        <v>21109</v>
      </c>
      <c r="AX3088" t="s">
        <v>5046</v>
      </c>
      <c r="AY3088" t="s">
        <v>27355</v>
      </c>
      <c r="AZ3088" t="s">
        <v>27356</v>
      </c>
      <c r="BA3088">
        <v>1.25</v>
      </c>
      <c r="BB3088">
        <v>1449.43</v>
      </c>
      <c r="BC3088">
        <v>1.1000000000000001</v>
      </c>
      <c r="BD3088">
        <v>1.93</v>
      </c>
      <c r="BE3088">
        <v>1.96</v>
      </c>
      <c r="BF3088">
        <v>1.85</v>
      </c>
      <c r="BG3088" t="s">
        <v>27357</v>
      </c>
      <c r="BH3088" t="s">
        <v>27358</v>
      </c>
      <c r="BI3088" t="s">
        <v>27356</v>
      </c>
      <c r="BJ3088" t="s">
        <v>101</v>
      </c>
      <c r="BK3088" t="s">
        <v>17072</v>
      </c>
      <c r="BL3088" t="s">
        <v>8056</v>
      </c>
      <c r="BM3088" t="s">
        <v>13366</v>
      </c>
      <c r="BN3088" t="s">
        <v>23454</v>
      </c>
    </row>
    <row r="3089" spans="1:66" x14ac:dyDescent="0.25">
      <c r="A3089" t="str">
        <f>HYPERLINK("https://elite.finviz.com/quote.ashx?t=ASPN&amp;ty=c&amp;p=d&amp;b=1", "ASPN")</f>
        <v>ASPN</v>
      </c>
      <c r="B3089">
        <v>5</v>
      </c>
      <c r="C3089">
        <v>116.22</v>
      </c>
      <c r="D3089">
        <v>51.21</v>
      </c>
      <c r="E3089" t="s">
        <v>27359</v>
      </c>
      <c r="F3089" t="s">
        <v>67</v>
      </c>
      <c r="G3089" t="s">
        <v>260</v>
      </c>
      <c r="H3089" t="s">
        <v>3225</v>
      </c>
      <c r="I3089" t="s">
        <v>70</v>
      </c>
      <c r="J3089" t="s">
        <v>71</v>
      </c>
      <c r="K3089">
        <v>572.82000000000005</v>
      </c>
      <c r="L3089">
        <v>6.95</v>
      </c>
      <c r="M3089" t="s">
        <v>2650</v>
      </c>
      <c r="N3089">
        <v>227516</v>
      </c>
      <c r="P3089">
        <v>166.91</v>
      </c>
      <c r="R3089">
        <v>1.44</v>
      </c>
      <c r="S3089">
        <v>1.85</v>
      </c>
      <c r="Z3089" t="s">
        <v>164</v>
      </c>
      <c r="AA3089">
        <v>-3.81</v>
      </c>
      <c r="AD3089" t="s">
        <v>9948</v>
      </c>
      <c r="AE3089" t="s">
        <v>2399</v>
      </c>
      <c r="AF3089" t="s">
        <v>3309</v>
      </c>
      <c r="AG3089" t="s">
        <v>1669</v>
      </c>
      <c r="AH3089" t="s">
        <v>7785</v>
      </c>
      <c r="AI3089" t="s">
        <v>4892</v>
      </c>
      <c r="AJ3089" t="s">
        <v>5577</v>
      </c>
      <c r="AK3089" t="s">
        <v>17359</v>
      </c>
      <c r="AL3089">
        <v>3.98</v>
      </c>
      <c r="AM3089">
        <v>3.31</v>
      </c>
      <c r="AN3089">
        <v>0.56000000000000005</v>
      </c>
      <c r="AO3089" t="s">
        <v>6259</v>
      </c>
      <c r="AP3089" t="s">
        <v>5552</v>
      </c>
      <c r="AQ3089" t="s">
        <v>27177</v>
      </c>
      <c r="AR3089" t="s">
        <v>3115</v>
      </c>
      <c r="AS3089" t="s">
        <v>4403</v>
      </c>
      <c r="AT3089" t="s">
        <v>205</v>
      </c>
      <c r="AU3089" t="s">
        <v>7391</v>
      </c>
      <c r="AV3089" t="s">
        <v>23553</v>
      </c>
      <c r="AW3089" t="s">
        <v>8310</v>
      </c>
      <c r="AX3089" t="s">
        <v>3918</v>
      </c>
      <c r="AY3089" t="s">
        <v>6251</v>
      </c>
      <c r="AZ3089" t="s">
        <v>24189</v>
      </c>
      <c r="BA3089">
        <v>2</v>
      </c>
      <c r="BB3089">
        <v>2031.37</v>
      </c>
      <c r="BC3089">
        <v>0.39</v>
      </c>
      <c r="BD3089">
        <v>6.87</v>
      </c>
      <c r="BE3089">
        <v>6.97</v>
      </c>
      <c r="BF3089">
        <v>6.8</v>
      </c>
      <c r="BG3089" t="s">
        <v>27360</v>
      </c>
      <c r="BH3089" t="s">
        <v>23185</v>
      </c>
      <c r="BI3089" t="s">
        <v>27361</v>
      </c>
      <c r="BJ3089" t="s">
        <v>101</v>
      </c>
      <c r="BK3089" t="s">
        <v>8015</v>
      </c>
      <c r="BL3089" t="s">
        <v>580</v>
      </c>
      <c r="BM3089" t="s">
        <v>27362</v>
      </c>
      <c r="BN3089" t="s">
        <v>23454</v>
      </c>
    </row>
    <row r="3090" spans="1:66" x14ac:dyDescent="0.25">
      <c r="A3090" t="str">
        <f>HYPERLINK("https://elite.finviz.com/quote.ashx?t=BYRN&amp;ty=c&amp;p=d&amp;b=1", "BYRN")</f>
        <v>BYRN</v>
      </c>
      <c r="B3090">
        <v>5</v>
      </c>
      <c r="C3090">
        <v>116.22</v>
      </c>
      <c r="D3090">
        <v>51.25</v>
      </c>
      <c r="E3090" t="s">
        <v>27363</v>
      </c>
      <c r="F3090" t="s">
        <v>67</v>
      </c>
      <c r="G3090" t="s">
        <v>260</v>
      </c>
      <c r="H3090" t="s">
        <v>4779</v>
      </c>
      <c r="I3090" t="s">
        <v>70</v>
      </c>
      <c r="J3090" t="s">
        <v>321</v>
      </c>
      <c r="K3090">
        <v>477.1</v>
      </c>
      <c r="L3090">
        <v>21.01</v>
      </c>
      <c r="M3090" t="s">
        <v>6732</v>
      </c>
      <c r="N3090">
        <v>69640</v>
      </c>
      <c r="O3090">
        <v>33.82</v>
      </c>
      <c r="P3090">
        <v>28.55</v>
      </c>
      <c r="Q3090">
        <v>1.69</v>
      </c>
      <c r="R3090">
        <v>4.6100000000000003</v>
      </c>
      <c r="S3090">
        <v>7.92</v>
      </c>
      <c r="Z3090" t="s">
        <v>164</v>
      </c>
      <c r="AA3090">
        <v>0.62</v>
      </c>
      <c r="AD3090" t="s">
        <v>11840</v>
      </c>
      <c r="AE3090" t="s">
        <v>22371</v>
      </c>
      <c r="AF3090" t="s">
        <v>11897</v>
      </c>
      <c r="AG3090" t="s">
        <v>27364</v>
      </c>
      <c r="AH3090" t="s">
        <v>14030</v>
      </c>
      <c r="AI3090" t="s">
        <v>23206</v>
      </c>
      <c r="AJ3090" t="s">
        <v>4507</v>
      </c>
      <c r="AK3090" t="s">
        <v>20994</v>
      </c>
      <c r="AL3090">
        <v>3.63</v>
      </c>
      <c r="AM3090">
        <v>1.53</v>
      </c>
      <c r="AN3090">
        <v>0.04</v>
      </c>
      <c r="AO3090" t="s">
        <v>14802</v>
      </c>
      <c r="AP3090" t="s">
        <v>1575</v>
      </c>
      <c r="AQ3090" t="s">
        <v>4683</v>
      </c>
      <c r="AR3090" t="s">
        <v>8925</v>
      </c>
      <c r="AS3090" t="s">
        <v>3506</v>
      </c>
      <c r="AT3090" t="s">
        <v>4800</v>
      </c>
      <c r="AU3090" t="s">
        <v>2362</v>
      </c>
      <c r="AV3090" t="s">
        <v>1865</v>
      </c>
      <c r="AW3090" t="s">
        <v>12206</v>
      </c>
      <c r="AX3090" t="s">
        <v>15574</v>
      </c>
      <c r="AY3090" t="s">
        <v>27077</v>
      </c>
      <c r="AZ3090" t="s">
        <v>9493</v>
      </c>
      <c r="BA3090">
        <v>1</v>
      </c>
      <c r="BB3090">
        <v>615.13</v>
      </c>
      <c r="BC3090">
        <v>0.4</v>
      </c>
      <c r="BD3090">
        <v>20.77</v>
      </c>
      <c r="BE3090">
        <v>21.25</v>
      </c>
      <c r="BF3090">
        <v>20.85</v>
      </c>
      <c r="BG3090" t="s">
        <v>27365</v>
      </c>
      <c r="BH3090" t="s">
        <v>27366</v>
      </c>
      <c r="BI3090" t="s">
        <v>27367</v>
      </c>
      <c r="BJ3090" t="s">
        <v>101</v>
      </c>
      <c r="BK3090" t="s">
        <v>27368</v>
      </c>
      <c r="BL3090" t="s">
        <v>2601</v>
      </c>
      <c r="BM3090" t="s">
        <v>15574</v>
      </c>
      <c r="BN3090" t="s">
        <v>26674</v>
      </c>
    </row>
    <row r="3091" spans="1:66" x14ac:dyDescent="0.25">
      <c r="A3091" t="str">
        <f>HYPERLINK("https://elite.finviz.com/quote.ashx?t=SJM&amp;ty=c&amp;p=d&amp;b=1", "SJM")</f>
        <v>SJM</v>
      </c>
      <c r="B3091">
        <v>5</v>
      </c>
      <c r="C3091">
        <v>116.22</v>
      </c>
      <c r="D3091">
        <v>51.31</v>
      </c>
      <c r="E3091" t="s">
        <v>27369</v>
      </c>
      <c r="F3091" t="s">
        <v>195</v>
      </c>
      <c r="G3091" t="s">
        <v>2244</v>
      </c>
      <c r="H3091" t="s">
        <v>3269</v>
      </c>
      <c r="I3091" t="s">
        <v>70</v>
      </c>
      <c r="J3091" t="s">
        <v>71</v>
      </c>
      <c r="K3091">
        <v>11661.75</v>
      </c>
      <c r="L3091">
        <v>109.31</v>
      </c>
      <c r="M3091" t="s">
        <v>2185</v>
      </c>
      <c r="N3091">
        <v>161285</v>
      </c>
      <c r="P3091">
        <v>11.04</v>
      </c>
      <c r="R3091">
        <v>1.34</v>
      </c>
      <c r="S3091">
        <v>1.97</v>
      </c>
      <c r="T3091" t="s">
        <v>4323</v>
      </c>
      <c r="U3091">
        <v>4.34</v>
      </c>
      <c r="V3091" t="s">
        <v>3046</v>
      </c>
      <c r="W3091" t="s">
        <v>2609</v>
      </c>
      <c r="X3091" t="s">
        <v>4873</v>
      </c>
      <c r="Y3091" t="s">
        <v>5467</v>
      </c>
      <c r="AA3091">
        <v>-13.72</v>
      </c>
      <c r="AD3091" t="s">
        <v>3925</v>
      </c>
      <c r="AE3091" t="s">
        <v>387</v>
      </c>
      <c r="AF3091" t="s">
        <v>4873</v>
      </c>
      <c r="AG3091" t="s">
        <v>6003</v>
      </c>
      <c r="AH3091" t="s">
        <v>2103</v>
      </c>
      <c r="AI3091" t="s">
        <v>5000</v>
      </c>
      <c r="AJ3091" t="s">
        <v>7346</v>
      </c>
      <c r="AK3091" t="s">
        <v>27370</v>
      </c>
      <c r="AL3091">
        <v>0.81</v>
      </c>
      <c r="AM3091">
        <v>0.34</v>
      </c>
      <c r="AN3091">
        <v>1.37</v>
      </c>
      <c r="AO3091" t="s">
        <v>26780</v>
      </c>
      <c r="AP3091" t="s">
        <v>5337</v>
      </c>
      <c r="AQ3091" t="s">
        <v>8144</v>
      </c>
      <c r="AR3091" t="s">
        <v>92</v>
      </c>
      <c r="AS3091" t="s">
        <v>2742</v>
      </c>
      <c r="AT3091" t="s">
        <v>3736</v>
      </c>
      <c r="AU3091" t="s">
        <v>2213</v>
      </c>
      <c r="AV3091" t="s">
        <v>2560</v>
      </c>
      <c r="AW3091" t="s">
        <v>9814</v>
      </c>
      <c r="AX3091" t="s">
        <v>1960</v>
      </c>
      <c r="AY3091" t="s">
        <v>1024</v>
      </c>
      <c r="AZ3091" t="s">
        <v>4116</v>
      </c>
      <c r="BA3091">
        <v>2.33</v>
      </c>
      <c r="BB3091">
        <v>2185.91</v>
      </c>
      <c r="BC3091">
        <v>0.26</v>
      </c>
      <c r="BD3091">
        <v>107.86</v>
      </c>
      <c r="BE3091">
        <v>109.62</v>
      </c>
      <c r="BF3091">
        <v>108.17</v>
      </c>
      <c r="BG3091" t="s">
        <v>27371</v>
      </c>
      <c r="BH3091" t="s">
        <v>27372</v>
      </c>
      <c r="BI3091" t="s">
        <v>27373</v>
      </c>
      <c r="BJ3091" t="s">
        <v>101</v>
      </c>
      <c r="BK3091" t="s">
        <v>15021</v>
      </c>
      <c r="BL3091" t="s">
        <v>5567</v>
      </c>
      <c r="BM3091" t="s">
        <v>3436</v>
      </c>
      <c r="BN3091" t="s">
        <v>23454</v>
      </c>
    </row>
    <row r="3092" spans="1:66" x14ac:dyDescent="0.25">
      <c r="A3092" t="str">
        <f>HYPERLINK("https://elite.finviz.com/quote.ashx?t=CLX&amp;ty=c&amp;p=d&amp;b=1", "CLX")</f>
        <v>CLX</v>
      </c>
      <c r="B3092">
        <v>5</v>
      </c>
      <c r="C3092">
        <v>116.22</v>
      </c>
      <c r="D3092">
        <v>51.38</v>
      </c>
      <c r="E3092" t="s">
        <v>27374</v>
      </c>
      <c r="F3092" t="s">
        <v>195</v>
      </c>
      <c r="G3092" t="s">
        <v>2244</v>
      </c>
      <c r="H3092" t="s">
        <v>5311</v>
      </c>
      <c r="I3092" t="s">
        <v>70</v>
      </c>
      <c r="J3092" t="s">
        <v>71</v>
      </c>
      <c r="K3092">
        <v>15088.7</v>
      </c>
      <c r="L3092">
        <v>123.36</v>
      </c>
      <c r="M3092" t="s">
        <v>2362</v>
      </c>
      <c r="N3092">
        <v>297583</v>
      </c>
      <c r="O3092">
        <v>18.91</v>
      </c>
      <c r="P3092">
        <v>17.84</v>
      </c>
      <c r="R3092">
        <v>2.12</v>
      </c>
      <c r="S3092">
        <v>47.15</v>
      </c>
      <c r="T3092" t="s">
        <v>1751</v>
      </c>
      <c r="U3092">
        <v>4.9000000000000004</v>
      </c>
      <c r="V3092" t="s">
        <v>4268</v>
      </c>
      <c r="W3092" t="s">
        <v>3494</v>
      </c>
      <c r="X3092" t="s">
        <v>2274</v>
      </c>
      <c r="Y3092" t="s">
        <v>1768</v>
      </c>
      <c r="Z3092" t="s">
        <v>2758</v>
      </c>
      <c r="AA3092">
        <v>6.52</v>
      </c>
      <c r="AB3092" t="s">
        <v>10384</v>
      </c>
      <c r="AC3092" t="s">
        <v>13522</v>
      </c>
      <c r="AD3092" t="s">
        <v>6127</v>
      </c>
      <c r="AE3092" t="s">
        <v>6156</v>
      </c>
      <c r="AF3092" t="s">
        <v>1249</v>
      </c>
      <c r="AG3092" t="s">
        <v>3018</v>
      </c>
      <c r="AH3092" t="s">
        <v>5045</v>
      </c>
      <c r="AI3092" t="s">
        <v>11737</v>
      </c>
      <c r="AJ3092" t="s">
        <v>8293</v>
      </c>
      <c r="AK3092" t="s">
        <v>12695</v>
      </c>
      <c r="AL3092">
        <v>0.84</v>
      </c>
      <c r="AM3092">
        <v>0.56999999999999995</v>
      </c>
      <c r="AN3092">
        <v>9.0399999999999991</v>
      </c>
      <c r="AO3092" t="s">
        <v>8612</v>
      </c>
      <c r="AP3092" t="s">
        <v>1562</v>
      </c>
      <c r="AQ3092" t="s">
        <v>7605</v>
      </c>
      <c r="AR3092" t="s">
        <v>4800</v>
      </c>
      <c r="AS3092" t="s">
        <v>2609</v>
      </c>
      <c r="AT3092" t="s">
        <v>3358</v>
      </c>
      <c r="AU3092" t="s">
        <v>2402</v>
      </c>
      <c r="AV3092" t="s">
        <v>12057</v>
      </c>
      <c r="AW3092" t="s">
        <v>4764</v>
      </c>
      <c r="AX3092" t="s">
        <v>2408</v>
      </c>
      <c r="AY3092" t="s">
        <v>19597</v>
      </c>
      <c r="AZ3092" t="s">
        <v>2408</v>
      </c>
      <c r="BA3092">
        <v>3.24</v>
      </c>
      <c r="BB3092">
        <v>1935.84</v>
      </c>
      <c r="BC3092">
        <v>0.54</v>
      </c>
      <c r="BD3092">
        <v>122.71</v>
      </c>
      <c r="BE3092">
        <v>124.04</v>
      </c>
      <c r="BF3092">
        <v>122.88</v>
      </c>
      <c r="BG3092" t="s">
        <v>27375</v>
      </c>
      <c r="BH3092" t="s">
        <v>24350</v>
      </c>
      <c r="BI3092" t="s">
        <v>27376</v>
      </c>
      <c r="BJ3092" t="s">
        <v>101</v>
      </c>
      <c r="BK3092" t="s">
        <v>2234</v>
      </c>
      <c r="BL3092" t="s">
        <v>10847</v>
      </c>
      <c r="BM3092" t="s">
        <v>24539</v>
      </c>
      <c r="BN3092" t="s">
        <v>23454</v>
      </c>
    </row>
    <row r="3093" spans="1:66" x14ac:dyDescent="0.25">
      <c r="A3093" t="str">
        <f>HYPERLINK("https://elite.finviz.com/quote.ashx?t=CTM&amp;ty=c&amp;p=d&amp;b=1", "CTM")</f>
        <v>CTM</v>
      </c>
      <c r="B3093">
        <v>5</v>
      </c>
      <c r="C3093">
        <v>116.22</v>
      </c>
      <c r="D3093">
        <v>51.4</v>
      </c>
      <c r="E3093" t="s">
        <v>27377</v>
      </c>
      <c r="F3093" t="s">
        <v>107</v>
      </c>
      <c r="G3093" t="s">
        <v>108</v>
      </c>
      <c r="H3093" t="s">
        <v>1322</v>
      </c>
      <c r="I3093" t="s">
        <v>70</v>
      </c>
      <c r="J3093" t="s">
        <v>383</v>
      </c>
      <c r="K3093">
        <v>105.56</v>
      </c>
      <c r="L3093">
        <v>1.1299999999999999</v>
      </c>
      <c r="M3093" t="s">
        <v>4953</v>
      </c>
      <c r="N3093">
        <v>422997</v>
      </c>
      <c r="P3093">
        <v>113.5</v>
      </c>
      <c r="R3093">
        <v>2.2200000000000002</v>
      </c>
      <c r="S3093">
        <v>3.24</v>
      </c>
      <c r="AA3093">
        <v>-0.09</v>
      </c>
      <c r="AB3093" t="s">
        <v>2334</v>
      </c>
      <c r="AC3093" t="s">
        <v>172</v>
      </c>
      <c r="AE3093" t="s">
        <v>2841</v>
      </c>
      <c r="AF3093" t="s">
        <v>8153</v>
      </c>
      <c r="AG3093" t="s">
        <v>27378</v>
      </c>
      <c r="AH3093" t="s">
        <v>5679</v>
      </c>
      <c r="AJ3093" t="s">
        <v>1571</v>
      </c>
      <c r="AK3093" t="s">
        <v>18326</v>
      </c>
      <c r="AL3093">
        <v>3.62</v>
      </c>
      <c r="AM3093">
        <v>3.62</v>
      </c>
      <c r="AN3093">
        <v>0.18</v>
      </c>
      <c r="AO3093" t="s">
        <v>7500</v>
      </c>
      <c r="AP3093" t="s">
        <v>2752</v>
      </c>
      <c r="AQ3093" t="s">
        <v>20278</v>
      </c>
      <c r="AR3093" t="s">
        <v>2655</v>
      </c>
      <c r="AS3093" t="s">
        <v>2777</v>
      </c>
      <c r="AT3093" t="s">
        <v>2087</v>
      </c>
      <c r="AU3093" t="s">
        <v>1510</v>
      </c>
      <c r="AV3093" t="s">
        <v>5739</v>
      </c>
      <c r="AW3093" t="s">
        <v>18097</v>
      </c>
      <c r="AX3093" t="s">
        <v>5886</v>
      </c>
      <c r="AY3093" t="s">
        <v>27379</v>
      </c>
      <c r="AZ3093" t="s">
        <v>27380</v>
      </c>
      <c r="BA3093">
        <v>1</v>
      </c>
      <c r="BB3093">
        <v>2686.49</v>
      </c>
      <c r="BC3093">
        <v>0.55000000000000004</v>
      </c>
      <c r="BD3093">
        <v>1.1499999999999999</v>
      </c>
      <c r="BE3093">
        <v>1.17</v>
      </c>
      <c r="BF3093">
        <v>1.1299999999999999</v>
      </c>
      <c r="BG3093" t="s">
        <v>27381</v>
      </c>
      <c r="BH3093" t="s">
        <v>579</v>
      </c>
      <c r="BI3093" t="s">
        <v>27382</v>
      </c>
      <c r="BJ3093" t="s">
        <v>101</v>
      </c>
      <c r="BK3093" t="s">
        <v>8054</v>
      </c>
      <c r="BL3093" t="s">
        <v>8054</v>
      </c>
      <c r="BM3093" t="s">
        <v>27383</v>
      </c>
      <c r="BN3093" t="s">
        <v>23454</v>
      </c>
    </row>
    <row r="3094" spans="1:66" x14ac:dyDescent="0.25">
      <c r="A3094" t="str">
        <f>HYPERLINK("https://elite.finviz.com/quote.ashx?t=ECL&amp;ty=c&amp;p=d&amp;b=1", "ECL")</f>
        <v>ECL</v>
      </c>
      <c r="B3094">
        <v>5</v>
      </c>
      <c r="C3094">
        <v>116.22</v>
      </c>
      <c r="D3094">
        <v>51.52</v>
      </c>
      <c r="E3094" t="s">
        <v>27384</v>
      </c>
      <c r="F3094" t="s">
        <v>195</v>
      </c>
      <c r="G3094" t="s">
        <v>355</v>
      </c>
      <c r="H3094" t="s">
        <v>1147</v>
      </c>
      <c r="I3094" t="s">
        <v>70</v>
      </c>
      <c r="J3094" t="s">
        <v>71</v>
      </c>
      <c r="K3094">
        <v>76997.08</v>
      </c>
      <c r="L3094">
        <v>271.48</v>
      </c>
      <c r="M3094" t="s">
        <v>4275</v>
      </c>
      <c r="N3094">
        <v>321237</v>
      </c>
      <c r="O3094">
        <v>36.299999999999997</v>
      </c>
      <c r="P3094">
        <v>31.89</v>
      </c>
      <c r="Q3094">
        <v>2.69</v>
      </c>
      <c r="R3094">
        <v>4.9000000000000004</v>
      </c>
      <c r="S3094">
        <v>8.26</v>
      </c>
      <c r="T3094" t="s">
        <v>2630</v>
      </c>
      <c r="U3094">
        <v>2.6</v>
      </c>
      <c r="V3094" t="s">
        <v>5925</v>
      </c>
      <c r="W3094" t="s">
        <v>10619</v>
      </c>
      <c r="X3094" t="s">
        <v>8960</v>
      </c>
      <c r="Y3094" t="s">
        <v>275</v>
      </c>
      <c r="Z3094" t="s">
        <v>15533</v>
      </c>
      <c r="AA3094">
        <v>7.48</v>
      </c>
      <c r="AB3094" t="s">
        <v>11152</v>
      </c>
      <c r="AC3094" t="s">
        <v>616</v>
      </c>
      <c r="AD3094" t="s">
        <v>2111</v>
      </c>
      <c r="AE3094" t="s">
        <v>2216</v>
      </c>
      <c r="AF3094" t="s">
        <v>4850</v>
      </c>
      <c r="AG3094" t="s">
        <v>4659</v>
      </c>
      <c r="AH3094" t="s">
        <v>1338</v>
      </c>
      <c r="AI3094" t="s">
        <v>3486</v>
      </c>
      <c r="AJ3094" t="s">
        <v>3752</v>
      </c>
      <c r="AK3094" t="s">
        <v>8944</v>
      </c>
      <c r="AL3094">
        <v>1.44</v>
      </c>
      <c r="AM3094">
        <v>1.1200000000000001</v>
      </c>
      <c r="AN3094">
        <v>0.96</v>
      </c>
      <c r="AO3094" t="s">
        <v>4030</v>
      </c>
      <c r="AP3094" t="s">
        <v>3103</v>
      </c>
      <c r="AQ3094" t="s">
        <v>8916</v>
      </c>
      <c r="AR3094" t="s">
        <v>273</v>
      </c>
      <c r="AS3094" t="s">
        <v>4881</v>
      </c>
      <c r="AT3094" t="s">
        <v>914</v>
      </c>
      <c r="AU3094" t="s">
        <v>2760</v>
      </c>
      <c r="AV3094" t="s">
        <v>3758</v>
      </c>
      <c r="AW3094" t="s">
        <v>15172</v>
      </c>
      <c r="AX3094" t="s">
        <v>2232</v>
      </c>
      <c r="AY3094" t="s">
        <v>15172</v>
      </c>
      <c r="AZ3094" t="s">
        <v>8712</v>
      </c>
      <c r="BA3094">
        <v>2.08</v>
      </c>
      <c r="BB3094">
        <v>1274.79</v>
      </c>
      <c r="BC3094">
        <v>0.89</v>
      </c>
      <c r="BD3094">
        <v>267.25</v>
      </c>
      <c r="BE3094">
        <v>272.93</v>
      </c>
      <c r="BF3094">
        <v>266.75</v>
      </c>
      <c r="BG3094" t="s">
        <v>27385</v>
      </c>
      <c r="BH3094" t="s">
        <v>15172</v>
      </c>
      <c r="BI3094" t="s">
        <v>27386</v>
      </c>
      <c r="BJ3094" t="s">
        <v>101</v>
      </c>
      <c r="BK3094" t="s">
        <v>4780</v>
      </c>
      <c r="BL3094" t="s">
        <v>3746</v>
      </c>
      <c r="BM3094" t="s">
        <v>954</v>
      </c>
      <c r="BN3094" t="s">
        <v>23454</v>
      </c>
    </row>
    <row r="3095" spans="1:66" x14ac:dyDescent="0.25">
      <c r="A3095" t="str">
        <f>HYPERLINK("https://elite.finviz.com/quote.ashx?t=TSSI&amp;ty=c&amp;p=d&amp;b=1", "TSSI")</f>
        <v>TSSI</v>
      </c>
      <c r="B3095">
        <v>5</v>
      </c>
      <c r="C3095">
        <v>116.22</v>
      </c>
      <c r="D3095">
        <v>51.61</v>
      </c>
      <c r="E3095" t="s">
        <v>27387</v>
      </c>
      <c r="F3095" t="s">
        <v>67</v>
      </c>
      <c r="G3095" t="s">
        <v>108</v>
      </c>
      <c r="H3095" t="s">
        <v>1322</v>
      </c>
      <c r="I3095" t="s">
        <v>70</v>
      </c>
      <c r="J3095" t="s">
        <v>321</v>
      </c>
      <c r="K3095">
        <v>482.76</v>
      </c>
      <c r="L3095">
        <v>17.02</v>
      </c>
      <c r="M3095" t="s">
        <v>4646</v>
      </c>
      <c r="N3095">
        <v>712990</v>
      </c>
      <c r="O3095">
        <v>47.85</v>
      </c>
      <c r="R3095">
        <v>1.84</v>
      </c>
      <c r="S3095">
        <v>42.36</v>
      </c>
      <c r="Z3095" t="s">
        <v>164</v>
      </c>
      <c r="AA3095">
        <v>0.36</v>
      </c>
      <c r="AC3095" t="s">
        <v>27388</v>
      </c>
      <c r="AE3095" t="s">
        <v>27389</v>
      </c>
      <c r="AF3095" t="s">
        <v>27390</v>
      </c>
      <c r="AG3095" t="s">
        <v>9370</v>
      </c>
      <c r="AH3095" t="s">
        <v>27391</v>
      </c>
      <c r="AJ3095" t="s">
        <v>8357</v>
      </c>
      <c r="AK3095" t="s">
        <v>3582</v>
      </c>
      <c r="AL3095">
        <v>0.81</v>
      </c>
      <c r="AM3095">
        <v>0.65</v>
      </c>
      <c r="AN3095">
        <v>4.62</v>
      </c>
      <c r="AO3095" t="s">
        <v>8209</v>
      </c>
      <c r="AP3095" t="s">
        <v>246</v>
      </c>
      <c r="AQ3095" t="s">
        <v>2736</v>
      </c>
      <c r="AR3095" t="s">
        <v>7221</v>
      </c>
      <c r="AS3095" t="s">
        <v>3664</v>
      </c>
      <c r="AT3095" t="s">
        <v>6234</v>
      </c>
      <c r="AU3095" t="s">
        <v>5773</v>
      </c>
      <c r="AV3095" t="s">
        <v>9096</v>
      </c>
      <c r="AW3095" t="s">
        <v>19474</v>
      </c>
      <c r="AX3095" t="s">
        <v>5916</v>
      </c>
      <c r="AY3095" t="s">
        <v>27392</v>
      </c>
      <c r="AZ3095" t="s">
        <v>27393</v>
      </c>
      <c r="BB3095">
        <v>3050.95</v>
      </c>
      <c r="BC3095">
        <v>0.82</v>
      </c>
      <c r="BD3095">
        <v>17.510000000000002</v>
      </c>
      <c r="BE3095">
        <v>17.98</v>
      </c>
      <c r="BF3095">
        <v>16.649999999999999</v>
      </c>
      <c r="BG3095" t="s">
        <v>27394</v>
      </c>
      <c r="BH3095" t="s">
        <v>27392</v>
      </c>
      <c r="BI3095" t="s">
        <v>27395</v>
      </c>
      <c r="BJ3095" t="s">
        <v>101</v>
      </c>
      <c r="BK3095" t="s">
        <v>27396</v>
      </c>
      <c r="BL3095" t="s">
        <v>1647</v>
      </c>
      <c r="BM3095" t="s">
        <v>27397</v>
      </c>
      <c r="BN3095" t="s">
        <v>23454</v>
      </c>
    </row>
    <row r="3096" spans="1:66" x14ac:dyDescent="0.25">
      <c r="A3096" t="str">
        <f>HYPERLINK("https://elite.finviz.com/quote.ashx?t=OPTT&amp;ty=c&amp;p=d&amp;b=1", "OPTT")</f>
        <v>OPTT</v>
      </c>
      <c r="B3096">
        <v>5</v>
      </c>
      <c r="C3096">
        <v>116.22</v>
      </c>
      <c r="D3096">
        <v>51.66</v>
      </c>
      <c r="E3096" t="s">
        <v>27398</v>
      </c>
      <c r="F3096" t="s">
        <v>107</v>
      </c>
      <c r="G3096" t="s">
        <v>260</v>
      </c>
      <c r="H3096" t="s">
        <v>261</v>
      </c>
      <c r="I3096" t="s">
        <v>70</v>
      </c>
      <c r="J3096" t="s">
        <v>383</v>
      </c>
      <c r="K3096">
        <v>97.73</v>
      </c>
      <c r="L3096">
        <v>0.53</v>
      </c>
      <c r="M3096" t="s">
        <v>4203</v>
      </c>
      <c r="N3096">
        <v>1344171</v>
      </c>
      <c r="R3096">
        <v>17.03</v>
      </c>
      <c r="S3096">
        <v>3.78</v>
      </c>
      <c r="AA3096">
        <v>-0.16</v>
      </c>
      <c r="AB3096" t="s">
        <v>8592</v>
      </c>
      <c r="AC3096" t="s">
        <v>7470</v>
      </c>
      <c r="AE3096" t="s">
        <v>3454</v>
      </c>
      <c r="AF3096" t="s">
        <v>11496</v>
      </c>
      <c r="AG3096" t="s">
        <v>1873</v>
      </c>
      <c r="AH3096" t="s">
        <v>1851</v>
      </c>
      <c r="AJ3096" t="s">
        <v>2215</v>
      </c>
      <c r="AK3096" t="s">
        <v>2053</v>
      </c>
      <c r="AL3096">
        <v>1.58</v>
      </c>
      <c r="AM3096">
        <v>1.1599999999999999</v>
      </c>
      <c r="AN3096">
        <v>0.36</v>
      </c>
      <c r="AO3096" t="s">
        <v>631</v>
      </c>
      <c r="AP3096" t="s">
        <v>27399</v>
      </c>
      <c r="AQ3096" t="s">
        <v>27400</v>
      </c>
      <c r="AR3096" t="s">
        <v>2796</v>
      </c>
      <c r="AS3096" t="s">
        <v>5025</v>
      </c>
      <c r="AT3096" t="s">
        <v>633</v>
      </c>
      <c r="AU3096" t="s">
        <v>5686</v>
      </c>
      <c r="AV3096" t="s">
        <v>10364</v>
      </c>
      <c r="AW3096" t="s">
        <v>27401</v>
      </c>
      <c r="AX3096" t="s">
        <v>7555</v>
      </c>
      <c r="AY3096" t="s">
        <v>13052</v>
      </c>
      <c r="AZ3096" t="s">
        <v>27402</v>
      </c>
      <c r="BA3096">
        <v>1</v>
      </c>
      <c r="BB3096">
        <v>5701.04</v>
      </c>
      <c r="BC3096">
        <v>0.83</v>
      </c>
      <c r="BD3096">
        <v>0.54</v>
      </c>
      <c r="BE3096">
        <v>0.55000000000000004</v>
      </c>
      <c r="BF3096">
        <v>0.53</v>
      </c>
      <c r="BG3096" t="s">
        <v>27403</v>
      </c>
      <c r="BH3096" t="s">
        <v>3320</v>
      </c>
      <c r="BI3096" t="s">
        <v>27404</v>
      </c>
      <c r="BJ3096" t="s">
        <v>101</v>
      </c>
      <c r="BK3096" t="s">
        <v>7854</v>
      </c>
      <c r="BL3096" t="s">
        <v>6466</v>
      </c>
      <c r="BM3096" t="s">
        <v>27405</v>
      </c>
      <c r="BN3096" t="s">
        <v>23454</v>
      </c>
    </row>
    <row r="3097" spans="1:66" x14ac:dyDescent="0.25">
      <c r="A3097" t="str">
        <f>HYPERLINK("https://elite.finviz.com/quote.ashx?t=CMS&amp;ty=c&amp;p=d&amp;b=1", "CMS")</f>
        <v>CMS</v>
      </c>
      <c r="B3097">
        <v>5</v>
      </c>
      <c r="C3097">
        <v>116.22</v>
      </c>
      <c r="D3097">
        <v>51.74</v>
      </c>
      <c r="E3097" t="s">
        <v>27406</v>
      </c>
      <c r="F3097" t="s">
        <v>195</v>
      </c>
      <c r="G3097" t="s">
        <v>287</v>
      </c>
      <c r="H3097" t="s">
        <v>676</v>
      </c>
      <c r="I3097" t="s">
        <v>70</v>
      </c>
      <c r="J3097" t="s">
        <v>71</v>
      </c>
      <c r="K3097">
        <v>21424.93</v>
      </c>
      <c r="L3097">
        <v>71.569999999999993</v>
      </c>
      <c r="M3097" t="s">
        <v>7124</v>
      </c>
      <c r="N3097">
        <v>351149</v>
      </c>
      <c r="O3097">
        <v>21.12</v>
      </c>
      <c r="P3097">
        <v>18.57</v>
      </c>
      <c r="Q3097">
        <v>2.79</v>
      </c>
      <c r="R3097">
        <v>2.67</v>
      </c>
      <c r="S3097">
        <v>2.62</v>
      </c>
      <c r="T3097" t="s">
        <v>2735</v>
      </c>
      <c r="U3097">
        <v>2.14</v>
      </c>
      <c r="V3097" t="s">
        <v>1762</v>
      </c>
      <c r="W3097" t="s">
        <v>7231</v>
      </c>
      <c r="X3097" t="s">
        <v>2932</v>
      </c>
      <c r="Y3097" t="s">
        <v>283</v>
      </c>
      <c r="Z3097" t="s">
        <v>14802</v>
      </c>
      <c r="AA3097">
        <v>3.39</v>
      </c>
      <c r="AB3097" t="s">
        <v>8794</v>
      </c>
      <c r="AC3097" t="s">
        <v>5025</v>
      </c>
      <c r="AD3097" t="s">
        <v>2796</v>
      </c>
      <c r="AE3097" t="s">
        <v>723</v>
      </c>
      <c r="AF3097" t="s">
        <v>7124</v>
      </c>
      <c r="AG3097" t="s">
        <v>2609</v>
      </c>
      <c r="AH3097" t="s">
        <v>6474</v>
      </c>
      <c r="AI3097" t="s">
        <v>3020</v>
      </c>
      <c r="AJ3097" t="s">
        <v>124</v>
      </c>
      <c r="AK3097" t="s">
        <v>14047</v>
      </c>
      <c r="AL3097">
        <v>1</v>
      </c>
      <c r="AM3097">
        <v>0.77</v>
      </c>
      <c r="AN3097">
        <v>2.15</v>
      </c>
      <c r="AO3097" t="s">
        <v>18279</v>
      </c>
      <c r="AP3097" t="s">
        <v>1746</v>
      </c>
      <c r="AQ3097" t="s">
        <v>1609</v>
      </c>
      <c r="AR3097" t="s">
        <v>2082</v>
      </c>
      <c r="AS3097" t="s">
        <v>5692</v>
      </c>
      <c r="AT3097" t="s">
        <v>5253</v>
      </c>
      <c r="AU3097" t="s">
        <v>8357</v>
      </c>
      <c r="AV3097" t="s">
        <v>5692</v>
      </c>
      <c r="AW3097" t="s">
        <v>3622</v>
      </c>
      <c r="AX3097" t="s">
        <v>2742</v>
      </c>
      <c r="AY3097" t="s">
        <v>657</v>
      </c>
      <c r="AZ3097" t="s">
        <v>2377</v>
      </c>
      <c r="BA3097">
        <v>2.12</v>
      </c>
      <c r="BB3097">
        <v>2194.04</v>
      </c>
      <c r="BC3097">
        <v>0.56000000000000005</v>
      </c>
      <c r="BD3097">
        <v>70.98</v>
      </c>
      <c r="BE3097">
        <v>71.89</v>
      </c>
      <c r="BF3097">
        <v>70.989999999999995</v>
      </c>
      <c r="BG3097" t="s">
        <v>27407</v>
      </c>
      <c r="BH3097" t="s">
        <v>657</v>
      </c>
      <c r="BI3097" t="s">
        <v>27408</v>
      </c>
      <c r="BJ3097" t="s">
        <v>101</v>
      </c>
      <c r="BK3097" t="s">
        <v>1050</v>
      </c>
      <c r="BL3097" t="s">
        <v>9475</v>
      </c>
      <c r="BM3097" t="s">
        <v>212</v>
      </c>
      <c r="BN3097" t="s">
        <v>23454</v>
      </c>
    </row>
    <row r="3098" spans="1:66" x14ac:dyDescent="0.25">
      <c r="A3098" t="str">
        <f>HYPERLINK("https://elite.finviz.com/quote.ashx?t=JACK&amp;ty=c&amp;p=d&amp;b=1", "JACK")</f>
        <v>JACK</v>
      </c>
      <c r="B3098">
        <v>5</v>
      </c>
      <c r="C3098">
        <v>116.22</v>
      </c>
      <c r="D3098">
        <v>51.78</v>
      </c>
      <c r="E3098" t="s">
        <v>27409</v>
      </c>
      <c r="F3098" t="s">
        <v>67</v>
      </c>
      <c r="G3098" t="s">
        <v>813</v>
      </c>
      <c r="H3098" t="s">
        <v>2285</v>
      </c>
      <c r="I3098" t="s">
        <v>70</v>
      </c>
      <c r="J3098" t="s">
        <v>321</v>
      </c>
      <c r="K3098">
        <v>364.9</v>
      </c>
      <c r="L3098">
        <v>19.329999999999998</v>
      </c>
      <c r="M3098" t="s">
        <v>9925</v>
      </c>
      <c r="N3098">
        <v>213994</v>
      </c>
      <c r="P3098">
        <v>4.13</v>
      </c>
      <c r="R3098">
        <v>0.25</v>
      </c>
      <c r="T3098" t="s">
        <v>1981</v>
      </c>
      <c r="U3098">
        <v>0.88</v>
      </c>
      <c r="V3098" t="s">
        <v>5092</v>
      </c>
      <c r="W3098" t="s">
        <v>164</v>
      </c>
      <c r="X3098" t="s">
        <v>192</v>
      </c>
      <c r="Y3098" t="s">
        <v>3118</v>
      </c>
      <c r="AA3098">
        <v>-3.44</v>
      </c>
      <c r="AD3098" t="s">
        <v>8670</v>
      </c>
      <c r="AE3098" t="s">
        <v>217</v>
      </c>
      <c r="AF3098" t="s">
        <v>5459</v>
      </c>
      <c r="AG3098" t="s">
        <v>237</v>
      </c>
      <c r="AH3098" t="s">
        <v>1884</v>
      </c>
      <c r="AI3098" t="s">
        <v>27410</v>
      </c>
      <c r="AJ3098" t="s">
        <v>3227</v>
      </c>
      <c r="AK3098" t="s">
        <v>27411</v>
      </c>
      <c r="AL3098">
        <v>0.46</v>
      </c>
      <c r="AM3098">
        <v>0.45</v>
      </c>
      <c r="AO3098" t="s">
        <v>18905</v>
      </c>
      <c r="AP3098" t="s">
        <v>3797</v>
      </c>
      <c r="AQ3098" t="s">
        <v>13232</v>
      </c>
      <c r="AR3098" t="s">
        <v>4824</v>
      </c>
      <c r="AS3098" t="s">
        <v>283</v>
      </c>
      <c r="AT3098" t="s">
        <v>907</v>
      </c>
      <c r="AU3098" t="s">
        <v>10852</v>
      </c>
      <c r="AV3098" t="s">
        <v>19876</v>
      </c>
      <c r="AW3098" t="s">
        <v>21336</v>
      </c>
      <c r="AX3098" t="s">
        <v>7629</v>
      </c>
      <c r="AY3098" t="s">
        <v>25655</v>
      </c>
      <c r="AZ3098" t="s">
        <v>7629</v>
      </c>
      <c r="BA3098">
        <v>2.89</v>
      </c>
      <c r="BB3098">
        <v>1226.1199999999999</v>
      </c>
      <c r="BC3098">
        <v>0.61</v>
      </c>
      <c r="BD3098">
        <v>19.39</v>
      </c>
      <c r="BE3098">
        <v>19.38</v>
      </c>
      <c r="BF3098">
        <v>18.989999999999998</v>
      </c>
      <c r="BG3098" t="s">
        <v>27412</v>
      </c>
      <c r="BH3098" t="s">
        <v>27413</v>
      </c>
      <c r="BI3098" t="s">
        <v>27414</v>
      </c>
      <c r="BJ3098" t="s">
        <v>101</v>
      </c>
      <c r="BK3098" t="s">
        <v>10794</v>
      </c>
      <c r="BL3098" t="s">
        <v>27291</v>
      </c>
      <c r="BM3098" t="s">
        <v>14474</v>
      </c>
      <c r="BN3098" t="s">
        <v>23454</v>
      </c>
    </row>
    <row r="3099" spans="1:66" x14ac:dyDescent="0.25">
      <c r="A3099" t="str">
        <f>HYPERLINK("https://elite.finviz.com/quote.ashx?t=AKRO&amp;ty=c&amp;p=d&amp;b=1", "AKRO")</f>
        <v>AKRO</v>
      </c>
      <c r="B3099">
        <v>5</v>
      </c>
      <c r="C3099">
        <v>116.22</v>
      </c>
      <c r="D3099">
        <v>51.98</v>
      </c>
      <c r="E3099" t="s">
        <v>27415</v>
      </c>
      <c r="F3099" t="s">
        <v>67</v>
      </c>
      <c r="G3099" t="s">
        <v>428</v>
      </c>
      <c r="H3099" t="s">
        <v>429</v>
      </c>
      <c r="I3099" t="s">
        <v>70</v>
      </c>
      <c r="J3099" t="s">
        <v>321</v>
      </c>
      <c r="K3099">
        <v>3736</v>
      </c>
      <c r="L3099">
        <v>46.71</v>
      </c>
      <c r="M3099" t="s">
        <v>3447</v>
      </c>
      <c r="N3099">
        <v>82168</v>
      </c>
      <c r="S3099">
        <v>3.64</v>
      </c>
      <c r="AA3099">
        <v>-3.8</v>
      </c>
      <c r="AB3099" t="s">
        <v>5559</v>
      </c>
      <c r="AC3099" t="s">
        <v>1052</v>
      </c>
      <c r="AD3099" t="s">
        <v>12610</v>
      </c>
      <c r="AI3099" t="s">
        <v>216</v>
      </c>
      <c r="AJ3099" t="s">
        <v>3753</v>
      </c>
      <c r="AK3099" t="s">
        <v>27416</v>
      </c>
      <c r="AL3099">
        <v>12.66</v>
      </c>
      <c r="AM3099">
        <v>12.66</v>
      </c>
      <c r="AN3099">
        <v>0.04</v>
      </c>
      <c r="AR3099" t="s">
        <v>4956</v>
      </c>
      <c r="AS3099" t="s">
        <v>1302</v>
      </c>
      <c r="AT3099" t="s">
        <v>9130</v>
      </c>
      <c r="AU3099" t="s">
        <v>6533</v>
      </c>
      <c r="AV3099" t="s">
        <v>3036</v>
      </c>
      <c r="AW3099" t="s">
        <v>4336</v>
      </c>
      <c r="AX3099" t="s">
        <v>662</v>
      </c>
      <c r="AY3099" t="s">
        <v>10324</v>
      </c>
      <c r="AZ3099" t="s">
        <v>27417</v>
      </c>
      <c r="BA3099">
        <v>1</v>
      </c>
      <c r="BB3099">
        <v>1124.81</v>
      </c>
      <c r="BC3099">
        <v>0.26</v>
      </c>
      <c r="BD3099">
        <v>46.22</v>
      </c>
      <c r="BE3099">
        <v>46.94</v>
      </c>
      <c r="BF3099">
        <v>46</v>
      </c>
      <c r="BG3099" t="s">
        <v>27418</v>
      </c>
      <c r="BH3099" t="s">
        <v>10324</v>
      </c>
      <c r="BI3099" t="s">
        <v>27419</v>
      </c>
      <c r="BJ3099" t="s">
        <v>101</v>
      </c>
      <c r="BK3099" t="s">
        <v>19682</v>
      </c>
      <c r="BL3099" t="s">
        <v>3688</v>
      </c>
      <c r="BM3099" t="s">
        <v>27420</v>
      </c>
      <c r="BN3099" t="s">
        <v>23454</v>
      </c>
    </row>
    <row r="3100" spans="1:66" x14ac:dyDescent="0.25">
      <c r="A3100" t="str">
        <f>HYPERLINK("https://elite.finviz.com/quote.ashx?t=ACHR&amp;ty=c&amp;p=d&amp;b=1", "ACHR")</f>
        <v>ACHR</v>
      </c>
      <c r="B3100">
        <v>5</v>
      </c>
      <c r="C3100">
        <v>116.22</v>
      </c>
      <c r="D3100">
        <v>52.1</v>
      </c>
      <c r="E3100" t="s">
        <v>27421</v>
      </c>
      <c r="F3100" t="s">
        <v>67</v>
      </c>
      <c r="G3100" t="s">
        <v>260</v>
      </c>
      <c r="H3100" t="s">
        <v>4779</v>
      </c>
      <c r="I3100" t="s">
        <v>70</v>
      </c>
      <c r="J3100" t="s">
        <v>71</v>
      </c>
      <c r="K3100">
        <v>6105.18</v>
      </c>
      <c r="L3100">
        <v>9.4700000000000006</v>
      </c>
      <c r="M3100" t="s">
        <v>907</v>
      </c>
      <c r="N3100">
        <v>13873456</v>
      </c>
      <c r="S3100">
        <v>3.61</v>
      </c>
      <c r="AA3100">
        <v>-1.28</v>
      </c>
      <c r="AB3100" t="s">
        <v>458</v>
      </c>
      <c r="AC3100" t="s">
        <v>4143</v>
      </c>
      <c r="AD3100" t="s">
        <v>1006</v>
      </c>
      <c r="AI3100" t="s">
        <v>16758</v>
      </c>
      <c r="AJ3100" t="s">
        <v>4086</v>
      </c>
      <c r="AK3100" t="s">
        <v>6831</v>
      </c>
      <c r="AL3100">
        <v>22.3</v>
      </c>
      <c r="AM3100">
        <v>22.3</v>
      </c>
      <c r="AN3100">
        <v>0.05</v>
      </c>
      <c r="AR3100" t="s">
        <v>3723</v>
      </c>
      <c r="AS3100" t="s">
        <v>3545</v>
      </c>
      <c r="AT3100" t="s">
        <v>3066</v>
      </c>
      <c r="AU3100" t="s">
        <v>4688</v>
      </c>
      <c r="AV3100" t="s">
        <v>581</v>
      </c>
      <c r="AW3100" t="s">
        <v>22857</v>
      </c>
      <c r="AX3100" t="s">
        <v>146</v>
      </c>
      <c r="AY3100" t="s">
        <v>16713</v>
      </c>
      <c r="AZ3100" t="s">
        <v>27422</v>
      </c>
      <c r="BA3100">
        <v>1.43</v>
      </c>
      <c r="BB3100">
        <v>34671.46</v>
      </c>
      <c r="BC3100">
        <v>1.41</v>
      </c>
      <c r="BD3100">
        <v>9.33</v>
      </c>
      <c r="BE3100">
        <v>9.82</v>
      </c>
      <c r="BF3100">
        <v>9.36</v>
      </c>
      <c r="BG3100" t="s">
        <v>27423</v>
      </c>
      <c r="BH3100" t="s">
        <v>27424</v>
      </c>
      <c r="BI3100" t="s">
        <v>27425</v>
      </c>
      <c r="BJ3100" t="s">
        <v>101</v>
      </c>
      <c r="BK3100" t="s">
        <v>17437</v>
      </c>
      <c r="BL3100" t="s">
        <v>3735</v>
      </c>
      <c r="BM3100" t="s">
        <v>17158</v>
      </c>
      <c r="BN3100" t="s">
        <v>23454</v>
      </c>
    </row>
    <row r="3101" spans="1:66" x14ac:dyDescent="0.25">
      <c r="A3101" t="str">
        <f>HYPERLINK("https://elite.finviz.com/quote.ashx?t=WTRG&amp;ty=c&amp;p=d&amp;b=1", "WTRG")</f>
        <v>WTRG</v>
      </c>
      <c r="B3101">
        <v>5</v>
      </c>
      <c r="C3101">
        <v>116.22</v>
      </c>
      <c r="D3101">
        <v>52.12</v>
      </c>
      <c r="E3101" t="s">
        <v>27426</v>
      </c>
      <c r="F3101" t="s">
        <v>107</v>
      </c>
      <c r="G3101" t="s">
        <v>287</v>
      </c>
      <c r="H3101" t="s">
        <v>13133</v>
      </c>
      <c r="I3101" t="s">
        <v>70</v>
      </c>
      <c r="J3101" t="s">
        <v>71</v>
      </c>
      <c r="K3101">
        <v>10720.91</v>
      </c>
      <c r="L3101">
        <v>38.22</v>
      </c>
      <c r="M3101" t="s">
        <v>1488</v>
      </c>
      <c r="N3101">
        <v>226470</v>
      </c>
      <c r="O3101">
        <v>16.350000000000001</v>
      </c>
      <c r="P3101">
        <v>17.149999999999999</v>
      </c>
      <c r="Q3101">
        <v>2.36</v>
      </c>
      <c r="R3101">
        <v>4.59</v>
      </c>
      <c r="S3101">
        <v>1.6</v>
      </c>
      <c r="T3101" t="s">
        <v>2700</v>
      </c>
      <c r="U3101">
        <v>1.32</v>
      </c>
      <c r="V3101" t="s">
        <v>7906</v>
      </c>
      <c r="W3101" t="s">
        <v>8855</v>
      </c>
      <c r="X3101" t="s">
        <v>1691</v>
      </c>
      <c r="Y3101" t="s">
        <v>1691</v>
      </c>
      <c r="Z3101" t="s">
        <v>1138</v>
      </c>
      <c r="AA3101">
        <v>2.34</v>
      </c>
      <c r="AB3101" t="s">
        <v>2093</v>
      </c>
      <c r="AC3101" t="s">
        <v>2133</v>
      </c>
      <c r="AD3101" t="s">
        <v>4999</v>
      </c>
      <c r="AE3101" t="s">
        <v>17808</v>
      </c>
      <c r="AF3101" t="s">
        <v>6726</v>
      </c>
      <c r="AG3101" t="s">
        <v>264</v>
      </c>
      <c r="AH3101" t="s">
        <v>1227</v>
      </c>
      <c r="AI3101" t="s">
        <v>5068</v>
      </c>
      <c r="AJ3101" t="s">
        <v>164</v>
      </c>
      <c r="AK3101" t="s">
        <v>22711</v>
      </c>
      <c r="AL3101">
        <v>0.73</v>
      </c>
      <c r="AM3101">
        <v>0.57999999999999996</v>
      </c>
      <c r="AN3101">
        <v>1.1599999999999999</v>
      </c>
      <c r="AO3101" t="s">
        <v>19638</v>
      </c>
      <c r="AP3101" t="s">
        <v>21726</v>
      </c>
      <c r="AQ3101" t="s">
        <v>14730</v>
      </c>
      <c r="AR3101" t="s">
        <v>1025</v>
      </c>
      <c r="AS3101" t="s">
        <v>2449</v>
      </c>
      <c r="AT3101" t="s">
        <v>6719</v>
      </c>
      <c r="AU3101" t="s">
        <v>2745</v>
      </c>
      <c r="AV3101" t="s">
        <v>3344</v>
      </c>
      <c r="AW3101" t="s">
        <v>7392</v>
      </c>
      <c r="AX3101" t="s">
        <v>4872</v>
      </c>
      <c r="AY3101" t="s">
        <v>4410</v>
      </c>
      <c r="AZ3101" t="s">
        <v>10303</v>
      </c>
      <c r="BA3101">
        <v>1.6</v>
      </c>
      <c r="BB3101">
        <v>1964.45</v>
      </c>
      <c r="BC3101">
        <v>0.41</v>
      </c>
      <c r="BD3101">
        <v>37.79</v>
      </c>
      <c r="BE3101">
        <v>38.36</v>
      </c>
      <c r="BF3101">
        <v>37.93</v>
      </c>
      <c r="BG3101" t="s">
        <v>27427</v>
      </c>
      <c r="BH3101" t="s">
        <v>24150</v>
      </c>
      <c r="BI3101" t="s">
        <v>27428</v>
      </c>
      <c r="BJ3101" t="s">
        <v>101</v>
      </c>
      <c r="BK3101" t="s">
        <v>2822</v>
      </c>
      <c r="BL3101" t="s">
        <v>2768</v>
      </c>
      <c r="BM3101" t="s">
        <v>227</v>
      </c>
      <c r="BN3101" t="s">
        <v>23454</v>
      </c>
    </row>
    <row r="3102" spans="1:66" x14ac:dyDescent="0.25">
      <c r="A3102" t="str">
        <f>HYPERLINK("https://elite.finviz.com/quote.ashx?t=EXC&amp;ty=c&amp;p=d&amp;b=1", "EXC")</f>
        <v>EXC</v>
      </c>
      <c r="B3102">
        <v>5</v>
      </c>
      <c r="C3102">
        <v>116.22</v>
      </c>
      <c r="D3102">
        <v>52.12</v>
      </c>
      <c r="E3102" t="s">
        <v>27429</v>
      </c>
      <c r="F3102" t="s">
        <v>319</v>
      </c>
      <c r="G3102" t="s">
        <v>287</v>
      </c>
      <c r="H3102" t="s">
        <v>676</v>
      </c>
      <c r="I3102" t="s">
        <v>70</v>
      </c>
      <c r="J3102" t="s">
        <v>321</v>
      </c>
      <c r="K3102">
        <v>44317.43</v>
      </c>
      <c r="L3102">
        <v>43.88</v>
      </c>
      <c r="M3102" t="s">
        <v>822</v>
      </c>
      <c r="N3102">
        <v>945162</v>
      </c>
      <c r="O3102">
        <v>16.66</v>
      </c>
      <c r="P3102">
        <v>15.54</v>
      </c>
      <c r="Q3102">
        <v>2.67</v>
      </c>
      <c r="R3102">
        <v>1.86</v>
      </c>
      <c r="S3102">
        <v>1.6</v>
      </c>
      <c r="T3102" t="s">
        <v>891</v>
      </c>
      <c r="U3102">
        <v>1.58</v>
      </c>
      <c r="V3102" t="s">
        <v>893</v>
      </c>
      <c r="W3102" t="s">
        <v>892</v>
      </c>
      <c r="X3102" t="s">
        <v>4191</v>
      </c>
      <c r="Y3102" t="s">
        <v>2881</v>
      </c>
      <c r="Z3102" t="s">
        <v>3356</v>
      </c>
      <c r="AA3102">
        <v>2.63</v>
      </c>
      <c r="AB3102" t="s">
        <v>231</v>
      </c>
      <c r="AC3102" t="s">
        <v>5273</v>
      </c>
      <c r="AD3102" t="s">
        <v>216</v>
      </c>
      <c r="AE3102" t="s">
        <v>5554</v>
      </c>
      <c r="AF3102" t="s">
        <v>1388</v>
      </c>
      <c r="AG3102" t="s">
        <v>5506</v>
      </c>
      <c r="AH3102" t="s">
        <v>343</v>
      </c>
      <c r="AI3102" t="s">
        <v>4686</v>
      </c>
      <c r="AJ3102" t="s">
        <v>164</v>
      </c>
      <c r="AK3102" t="s">
        <v>11616</v>
      </c>
      <c r="AL3102">
        <v>0.95</v>
      </c>
      <c r="AM3102">
        <v>0.85</v>
      </c>
      <c r="AN3102">
        <v>1.78</v>
      </c>
      <c r="AO3102" t="s">
        <v>1669</v>
      </c>
      <c r="AP3102" t="s">
        <v>1746</v>
      </c>
      <c r="AQ3102" t="s">
        <v>1454</v>
      </c>
      <c r="AR3102" t="s">
        <v>4275</v>
      </c>
      <c r="AS3102" t="s">
        <v>3019</v>
      </c>
      <c r="AT3102" t="s">
        <v>1338</v>
      </c>
      <c r="AU3102" t="s">
        <v>15000</v>
      </c>
      <c r="AV3102" t="s">
        <v>3842</v>
      </c>
      <c r="AW3102" t="s">
        <v>15052</v>
      </c>
      <c r="AX3102" t="s">
        <v>1769</v>
      </c>
      <c r="AY3102" t="s">
        <v>20212</v>
      </c>
      <c r="AZ3102" t="s">
        <v>4838</v>
      </c>
      <c r="BA3102">
        <v>2.61</v>
      </c>
      <c r="BB3102">
        <v>5649.79</v>
      </c>
      <c r="BC3102">
        <v>0.59</v>
      </c>
      <c r="BD3102">
        <v>43.78</v>
      </c>
      <c r="BE3102">
        <v>44.25</v>
      </c>
      <c r="BF3102">
        <v>43.85</v>
      </c>
      <c r="BG3102" t="s">
        <v>27430</v>
      </c>
      <c r="BH3102" t="s">
        <v>16069</v>
      </c>
      <c r="BI3102" t="s">
        <v>27431</v>
      </c>
      <c r="BJ3102" t="s">
        <v>101</v>
      </c>
      <c r="BK3102" t="s">
        <v>1599</v>
      </c>
      <c r="BL3102" t="s">
        <v>5424</v>
      </c>
      <c r="BM3102" t="s">
        <v>2400</v>
      </c>
      <c r="BN3102" t="s">
        <v>23454</v>
      </c>
    </row>
    <row r="3103" spans="1:66" x14ac:dyDescent="0.25">
      <c r="A3103" t="str">
        <f>HYPERLINK("https://elite.finviz.com/quote.ashx?t=URBN&amp;ty=c&amp;p=d&amp;b=1", "URBN")</f>
        <v>URBN</v>
      </c>
      <c r="B3103">
        <v>5</v>
      </c>
      <c r="C3103">
        <v>116.22</v>
      </c>
      <c r="D3103">
        <v>52.24</v>
      </c>
      <c r="E3103" t="s">
        <v>27432</v>
      </c>
      <c r="F3103" t="s">
        <v>67</v>
      </c>
      <c r="G3103" t="s">
        <v>813</v>
      </c>
      <c r="H3103" t="s">
        <v>4488</v>
      </c>
      <c r="I3103" t="s">
        <v>70</v>
      </c>
      <c r="J3103" t="s">
        <v>321</v>
      </c>
      <c r="K3103">
        <v>6538.97</v>
      </c>
      <c r="L3103">
        <v>72.900000000000006</v>
      </c>
      <c r="M3103" t="s">
        <v>7322</v>
      </c>
      <c r="N3103">
        <v>238671</v>
      </c>
      <c r="O3103">
        <v>14.27</v>
      </c>
      <c r="P3103">
        <v>12.9</v>
      </c>
      <c r="Q3103">
        <v>0.91</v>
      </c>
      <c r="R3103">
        <v>1.1200000000000001</v>
      </c>
      <c r="S3103">
        <v>2.5299999999999998</v>
      </c>
      <c r="Z3103" t="s">
        <v>164</v>
      </c>
      <c r="AA3103">
        <v>5.1100000000000003</v>
      </c>
      <c r="AB3103" t="s">
        <v>6928</v>
      </c>
      <c r="AC3103" t="s">
        <v>1531</v>
      </c>
      <c r="AD3103" t="s">
        <v>1497</v>
      </c>
      <c r="AE3103" t="s">
        <v>3230</v>
      </c>
      <c r="AF3103" t="s">
        <v>6584</v>
      </c>
      <c r="AG3103" t="s">
        <v>6584</v>
      </c>
      <c r="AH3103" t="s">
        <v>9187</v>
      </c>
      <c r="AI3103" t="s">
        <v>1955</v>
      </c>
      <c r="AJ3103" t="s">
        <v>2197</v>
      </c>
      <c r="AK3103" t="s">
        <v>9311</v>
      </c>
      <c r="AL3103">
        <v>1.48</v>
      </c>
      <c r="AM3103">
        <v>0.84</v>
      </c>
      <c r="AN3103">
        <v>0.46</v>
      </c>
      <c r="AO3103" t="s">
        <v>17134</v>
      </c>
      <c r="AP3103" t="s">
        <v>5618</v>
      </c>
      <c r="AQ3103" t="s">
        <v>6859</v>
      </c>
      <c r="AR3103" t="s">
        <v>248</v>
      </c>
      <c r="AS3103" t="s">
        <v>2821</v>
      </c>
      <c r="AT3103" t="s">
        <v>911</v>
      </c>
      <c r="AU3103" t="s">
        <v>5895</v>
      </c>
      <c r="AV3103" t="s">
        <v>3103</v>
      </c>
      <c r="AW3103" t="s">
        <v>5707</v>
      </c>
      <c r="AX3103" t="s">
        <v>9187</v>
      </c>
      <c r="AY3103" t="s">
        <v>5707</v>
      </c>
      <c r="AZ3103" t="s">
        <v>27433</v>
      </c>
      <c r="BA3103">
        <v>2.36</v>
      </c>
      <c r="BB3103">
        <v>1917.77</v>
      </c>
      <c r="BC3103">
        <v>0.44</v>
      </c>
      <c r="BD3103">
        <v>71.260000000000005</v>
      </c>
      <c r="BE3103">
        <v>72.91</v>
      </c>
      <c r="BF3103">
        <v>71.349999999999994</v>
      </c>
      <c r="BG3103" t="s">
        <v>27434</v>
      </c>
      <c r="BH3103" t="s">
        <v>5707</v>
      </c>
      <c r="BI3103" t="s">
        <v>27435</v>
      </c>
      <c r="BJ3103" t="s">
        <v>101</v>
      </c>
      <c r="BK3103" t="s">
        <v>2429</v>
      </c>
      <c r="BL3103" t="s">
        <v>27436</v>
      </c>
      <c r="BM3103" t="s">
        <v>15969</v>
      </c>
      <c r="BN3103" t="s">
        <v>23454</v>
      </c>
    </row>
    <row r="3104" spans="1:66" x14ac:dyDescent="0.25">
      <c r="A3104" t="str">
        <f>HYPERLINK("https://elite.finviz.com/quote.ashx?t=SCHW&amp;ty=c&amp;p=d&amp;b=1", "SCHW")</f>
        <v>SCHW</v>
      </c>
      <c r="B3104">
        <v>5</v>
      </c>
      <c r="C3104">
        <v>116.22</v>
      </c>
      <c r="D3104">
        <v>52.5</v>
      </c>
      <c r="E3104" t="s">
        <v>27437</v>
      </c>
      <c r="F3104" t="s">
        <v>195</v>
      </c>
      <c r="G3104" t="s">
        <v>550</v>
      </c>
      <c r="H3104" t="s">
        <v>551</v>
      </c>
      <c r="I3104" t="s">
        <v>70</v>
      </c>
      <c r="J3104" t="s">
        <v>71</v>
      </c>
      <c r="K3104">
        <v>172336.92</v>
      </c>
      <c r="L3104">
        <v>94.94</v>
      </c>
      <c r="M3104" t="s">
        <v>2560</v>
      </c>
      <c r="N3104">
        <v>1297680</v>
      </c>
      <c r="O3104">
        <v>25.56</v>
      </c>
      <c r="P3104">
        <v>17.48</v>
      </c>
      <c r="Q3104">
        <v>1.05</v>
      </c>
      <c r="R3104">
        <v>6.46</v>
      </c>
      <c r="S3104">
        <v>4.04</v>
      </c>
      <c r="T3104" t="s">
        <v>1488</v>
      </c>
      <c r="U3104">
        <v>1.06</v>
      </c>
      <c r="V3104" t="s">
        <v>1762</v>
      </c>
      <c r="W3104" t="s">
        <v>164</v>
      </c>
      <c r="X3104" t="s">
        <v>7216</v>
      </c>
      <c r="Y3104" t="s">
        <v>7938</v>
      </c>
      <c r="Z3104" t="s">
        <v>14076</v>
      </c>
      <c r="AA3104">
        <v>3.71</v>
      </c>
      <c r="AB3104" t="s">
        <v>5071</v>
      </c>
      <c r="AC3104" t="s">
        <v>1599</v>
      </c>
      <c r="AD3104" t="s">
        <v>3996</v>
      </c>
      <c r="AE3104" t="s">
        <v>5685</v>
      </c>
      <c r="AF3104" t="s">
        <v>3553</v>
      </c>
      <c r="AG3104" t="s">
        <v>3428</v>
      </c>
      <c r="AH3104" t="s">
        <v>11494</v>
      </c>
      <c r="AI3104" t="s">
        <v>2494</v>
      </c>
      <c r="AJ3104" t="s">
        <v>3937</v>
      </c>
      <c r="AK3104" t="s">
        <v>27438</v>
      </c>
      <c r="AL3104">
        <v>1.18</v>
      </c>
      <c r="AM3104">
        <v>1.18</v>
      </c>
      <c r="AN3104">
        <v>0.76</v>
      </c>
      <c r="AO3104" t="s">
        <v>9744</v>
      </c>
      <c r="AP3104" t="s">
        <v>13165</v>
      </c>
      <c r="AQ3104" t="s">
        <v>23658</v>
      </c>
      <c r="AR3104" t="s">
        <v>6975</v>
      </c>
      <c r="AS3104" t="s">
        <v>2430</v>
      </c>
      <c r="AT3104" t="s">
        <v>3018</v>
      </c>
      <c r="AU3104" t="s">
        <v>4963</v>
      </c>
      <c r="AV3104" t="s">
        <v>6196</v>
      </c>
      <c r="AW3104" t="s">
        <v>8358</v>
      </c>
      <c r="AX3104" t="s">
        <v>5163</v>
      </c>
      <c r="AY3104" t="s">
        <v>8358</v>
      </c>
      <c r="AZ3104" t="s">
        <v>1073</v>
      </c>
      <c r="BA3104">
        <v>1.73</v>
      </c>
      <c r="BB3104">
        <v>9126.86</v>
      </c>
      <c r="BC3104">
        <v>0.5</v>
      </c>
      <c r="BD3104">
        <v>94.78</v>
      </c>
      <c r="BE3104">
        <v>95.76</v>
      </c>
      <c r="BF3104">
        <v>94.75</v>
      </c>
      <c r="BG3104" t="s">
        <v>27439</v>
      </c>
      <c r="BH3104" t="s">
        <v>8358</v>
      </c>
      <c r="BI3104" t="s">
        <v>27440</v>
      </c>
      <c r="BJ3104" t="s">
        <v>101</v>
      </c>
      <c r="BK3104" t="s">
        <v>1475</v>
      </c>
      <c r="BL3104" t="s">
        <v>2862</v>
      </c>
      <c r="BM3104" t="s">
        <v>5829</v>
      </c>
      <c r="BN3104" t="s">
        <v>23454</v>
      </c>
    </row>
    <row r="3105" spans="1:66" x14ac:dyDescent="0.25">
      <c r="A3105" t="str">
        <f>HYPERLINK("https://elite.finviz.com/quote.ashx?t=PMVP&amp;ty=c&amp;p=d&amp;b=1", "PMVP")</f>
        <v>PMVP</v>
      </c>
      <c r="B3105">
        <v>5</v>
      </c>
      <c r="C3105">
        <v>116.22</v>
      </c>
      <c r="D3105">
        <v>52.61</v>
      </c>
      <c r="E3105" t="s">
        <v>27441</v>
      </c>
      <c r="F3105" t="s">
        <v>107</v>
      </c>
      <c r="G3105" t="s">
        <v>428</v>
      </c>
      <c r="H3105" t="s">
        <v>429</v>
      </c>
      <c r="I3105" t="s">
        <v>70</v>
      </c>
      <c r="J3105" t="s">
        <v>321</v>
      </c>
      <c r="K3105">
        <v>74.72</v>
      </c>
      <c r="L3105">
        <v>1.41</v>
      </c>
      <c r="M3105" t="s">
        <v>4865</v>
      </c>
      <c r="N3105">
        <v>38294</v>
      </c>
      <c r="S3105">
        <v>0.53</v>
      </c>
      <c r="AA3105">
        <v>-1.56</v>
      </c>
      <c r="AB3105" t="s">
        <v>2384</v>
      </c>
      <c r="AC3105" t="s">
        <v>4866</v>
      </c>
      <c r="AD3105" t="s">
        <v>120</v>
      </c>
      <c r="AI3105" t="s">
        <v>4236</v>
      </c>
      <c r="AJ3105" t="s">
        <v>10065</v>
      </c>
      <c r="AK3105" t="s">
        <v>18414</v>
      </c>
      <c r="AL3105">
        <v>12.52</v>
      </c>
      <c r="AM3105">
        <v>12.52</v>
      </c>
      <c r="AN3105">
        <v>0.01</v>
      </c>
      <c r="AR3105" t="s">
        <v>5455</v>
      </c>
      <c r="AS3105" t="s">
        <v>5877</v>
      </c>
      <c r="AT3105" t="s">
        <v>2764</v>
      </c>
      <c r="AU3105" t="s">
        <v>2717</v>
      </c>
      <c r="AV3105" t="s">
        <v>11337</v>
      </c>
      <c r="AW3105" t="s">
        <v>8268</v>
      </c>
      <c r="AX3105" t="s">
        <v>6672</v>
      </c>
      <c r="AY3105" t="s">
        <v>8268</v>
      </c>
      <c r="AZ3105" t="s">
        <v>12988</v>
      </c>
      <c r="BA3105">
        <v>1</v>
      </c>
      <c r="BB3105">
        <v>1094.3499999999999</v>
      </c>
      <c r="BC3105">
        <v>0.12</v>
      </c>
      <c r="BD3105">
        <v>1.4</v>
      </c>
      <c r="BE3105">
        <v>1.42</v>
      </c>
      <c r="BF3105">
        <v>1.4</v>
      </c>
      <c r="BG3105" t="s">
        <v>27442</v>
      </c>
      <c r="BH3105" t="s">
        <v>27443</v>
      </c>
      <c r="BI3105" t="s">
        <v>12988</v>
      </c>
      <c r="BJ3105" t="s">
        <v>101</v>
      </c>
      <c r="BK3105" t="s">
        <v>3778</v>
      </c>
      <c r="BL3105" t="s">
        <v>9461</v>
      </c>
      <c r="BM3105" t="s">
        <v>8933</v>
      </c>
      <c r="BN3105" t="s">
        <v>23454</v>
      </c>
    </row>
    <row r="3106" spans="1:66" x14ac:dyDescent="0.25">
      <c r="A3106" t="str">
        <f>HYPERLINK("https://elite.finviz.com/quote.ashx?t=SPCE&amp;ty=c&amp;p=d&amp;b=1", "SPCE")</f>
        <v>SPCE</v>
      </c>
      <c r="B3106">
        <v>5</v>
      </c>
      <c r="C3106">
        <v>116.22</v>
      </c>
      <c r="D3106">
        <v>52.7</v>
      </c>
      <c r="E3106" t="s">
        <v>27444</v>
      </c>
      <c r="F3106" t="s">
        <v>107</v>
      </c>
      <c r="G3106" t="s">
        <v>260</v>
      </c>
      <c r="H3106" t="s">
        <v>4779</v>
      </c>
      <c r="I3106" t="s">
        <v>70</v>
      </c>
      <c r="J3106" t="s">
        <v>71</v>
      </c>
      <c r="K3106">
        <v>195.54</v>
      </c>
      <c r="L3106">
        <v>3.4</v>
      </c>
      <c r="M3106" t="s">
        <v>9475</v>
      </c>
      <c r="N3106">
        <v>936870</v>
      </c>
      <c r="R3106">
        <v>115.02</v>
      </c>
      <c r="S3106">
        <v>0.72</v>
      </c>
      <c r="AA3106">
        <v>-9.0500000000000007</v>
      </c>
      <c r="AB3106" t="s">
        <v>12021</v>
      </c>
      <c r="AC3106" t="s">
        <v>1700</v>
      </c>
      <c r="AD3106" t="s">
        <v>17121</v>
      </c>
      <c r="AE3106" t="s">
        <v>16371</v>
      </c>
      <c r="AF3106" t="s">
        <v>6260</v>
      </c>
      <c r="AG3106" t="s">
        <v>2709</v>
      </c>
      <c r="AH3106" t="s">
        <v>25950</v>
      </c>
      <c r="AI3106" t="s">
        <v>12108</v>
      </c>
      <c r="AJ3106" t="s">
        <v>164</v>
      </c>
      <c r="AK3106" t="s">
        <v>3735</v>
      </c>
      <c r="AL3106">
        <v>3.38</v>
      </c>
      <c r="AM3106">
        <v>3.38</v>
      </c>
      <c r="AN3106">
        <v>1.83</v>
      </c>
      <c r="AO3106" t="s">
        <v>27445</v>
      </c>
      <c r="AP3106" t="s">
        <v>27446</v>
      </c>
      <c r="AQ3106" t="s">
        <v>27447</v>
      </c>
      <c r="AR3106" t="s">
        <v>8650</v>
      </c>
      <c r="AS3106" t="s">
        <v>5527</v>
      </c>
      <c r="AT3106" t="s">
        <v>1391</v>
      </c>
      <c r="AU3106" t="s">
        <v>6194</v>
      </c>
      <c r="AV3106" t="s">
        <v>16801</v>
      </c>
      <c r="AW3106" t="s">
        <v>27448</v>
      </c>
      <c r="AX3106" t="s">
        <v>3939</v>
      </c>
      <c r="AY3106" t="s">
        <v>21196</v>
      </c>
      <c r="AZ3106" t="s">
        <v>14132</v>
      </c>
      <c r="BA3106">
        <v>3</v>
      </c>
      <c r="BB3106">
        <v>3499.39</v>
      </c>
      <c r="BC3106">
        <v>0.94</v>
      </c>
      <c r="BD3106">
        <v>3.47</v>
      </c>
      <c r="BE3106">
        <v>3.55</v>
      </c>
      <c r="BF3106">
        <v>3.39</v>
      </c>
      <c r="BG3106" t="s">
        <v>27449</v>
      </c>
      <c r="BH3106" t="s">
        <v>19225</v>
      </c>
      <c r="BI3106" t="s">
        <v>14132</v>
      </c>
      <c r="BJ3106" t="s">
        <v>101</v>
      </c>
      <c r="BK3106" t="s">
        <v>3548</v>
      </c>
      <c r="BL3106" t="s">
        <v>5045</v>
      </c>
      <c r="BM3106" t="s">
        <v>17857</v>
      </c>
      <c r="BN3106" t="s">
        <v>23454</v>
      </c>
    </row>
    <row r="3107" spans="1:66" x14ac:dyDescent="0.25">
      <c r="A3107" t="str">
        <f>HYPERLINK("https://elite.finviz.com/quote.ashx?t=UAVS&amp;ty=c&amp;p=d&amp;b=1", "UAVS")</f>
        <v>UAVS</v>
      </c>
      <c r="B3107">
        <v>5</v>
      </c>
      <c r="C3107">
        <v>116.22</v>
      </c>
      <c r="D3107">
        <v>52.74</v>
      </c>
      <c r="E3107" t="s">
        <v>27450</v>
      </c>
      <c r="F3107" t="s">
        <v>107</v>
      </c>
      <c r="G3107" t="s">
        <v>108</v>
      </c>
      <c r="H3107" t="s">
        <v>496</v>
      </c>
      <c r="I3107" t="s">
        <v>70</v>
      </c>
      <c r="J3107" t="s">
        <v>383</v>
      </c>
      <c r="K3107">
        <v>68.400000000000006</v>
      </c>
      <c r="L3107">
        <v>2.0099999999999998</v>
      </c>
      <c r="M3107" t="s">
        <v>3349</v>
      </c>
      <c r="N3107">
        <v>1014487</v>
      </c>
      <c r="R3107">
        <v>4.9000000000000004</v>
      </c>
      <c r="S3107">
        <v>2.69</v>
      </c>
      <c r="AA3107">
        <v>-19.899999999999999</v>
      </c>
      <c r="AB3107" t="s">
        <v>20806</v>
      </c>
      <c r="AC3107" t="s">
        <v>15907</v>
      </c>
      <c r="AE3107" t="s">
        <v>4493</v>
      </c>
      <c r="AF3107" t="s">
        <v>6408</v>
      </c>
      <c r="AG3107" t="s">
        <v>27451</v>
      </c>
      <c r="AH3107" t="s">
        <v>10580</v>
      </c>
      <c r="AJ3107" t="s">
        <v>430</v>
      </c>
      <c r="AK3107" t="s">
        <v>4658</v>
      </c>
      <c r="AL3107">
        <v>2.82</v>
      </c>
      <c r="AM3107">
        <v>1.68</v>
      </c>
      <c r="AN3107">
        <v>0.17</v>
      </c>
      <c r="AO3107" t="s">
        <v>27452</v>
      </c>
      <c r="AP3107" t="s">
        <v>21667</v>
      </c>
      <c r="AQ3107" t="s">
        <v>27453</v>
      </c>
      <c r="AR3107" t="s">
        <v>6206</v>
      </c>
      <c r="AS3107" t="s">
        <v>1252</v>
      </c>
      <c r="AT3107" t="s">
        <v>1104</v>
      </c>
      <c r="AU3107" t="s">
        <v>6162</v>
      </c>
      <c r="AV3107" t="s">
        <v>11336</v>
      </c>
      <c r="AW3107" t="s">
        <v>27454</v>
      </c>
      <c r="AX3107" t="s">
        <v>9763</v>
      </c>
      <c r="AY3107" t="s">
        <v>3288</v>
      </c>
      <c r="AZ3107" t="s">
        <v>27455</v>
      </c>
      <c r="BA3107">
        <v>1</v>
      </c>
      <c r="BB3107">
        <v>8302.5</v>
      </c>
      <c r="BC3107">
        <v>0.43</v>
      </c>
      <c r="BD3107">
        <v>1.98</v>
      </c>
      <c r="BE3107">
        <v>2.0699999999999998</v>
      </c>
      <c r="BF3107">
        <v>1.98</v>
      </c>
      <c r="BG3107" t="s">
        <v>27456</v>
      </c>
      <c r="BH3107" t="s">
        <v>579</v>
      </c>
      <c r="BI3107" t="s">
        <v>27455</v>
      </c>
      <c r="BJ3107" t="s">
        <v>101</v>
      </c>
      <c r="BK3107" t="s">
        <v>27457</v>
      </c>
      <c r="BL3107" t="s">
        <v>1184</v>
      </c>
      <c r="BM3107" t="s">
        <v>20273</v>
      </c>
      <c r="BN3107" t="s">
        <v>23454</v>
      </c>
    </row>
    <row r="3108" spans="1:66" x14ac:dyDescent="0.25">
      <c r="A3108" t="str">
        <f>HYPERLINK("https://elite.finviz.com/quote.ashx?t=SANA&amp;ty=c&amp;p=d&amp;b=1", "SANA")</f>
        <v>SANA</v>
      </c>
      <c r="B3108">
        <v>5</v>
      </c>
      <c r="C3108">
        <v>116.22</v>
      </c>
      <c r="D3108">
        <v>52.79</v>
      </c>
      <c r="E3108" t="s">
        <v>27458</v>
      </c>
      <c r="F3108" t="s">
        <v>67</v>
      </c>
      <c r="G3108" t="s">
        <v>428</v>
      </c>
      <c r="H3108" t="s">
        <v>429</v>
      </c>
      <c r="I3108" t="s">
        <v>70</v>
      </c>
      <c r="J3108" t="s">
        <v>321</v>
      </c>
      <c r="K3108">
        <v>870.53</v>
      </c>
      <c r="L3108">
        <v>3.37</v>
      </c>
      <c r="M3108" t="s">
        <v>1574</v>
      </c>
      <c r="N3108">
        <v>913115</v>
      </c>
      <c r="S3108">
        <v>6.33</v>
      </c>
      <c r="AA3108">
        <v>-1.06</v>
      </c>
      <c r="AB3108" t="s">
        <v>6574</v>
      </c>
      <c r="AC3108" t="s">
        <v>8416</v>
      </c>
      <c r="AD3108" t="s">
        <v>3525</v>
      </c>
      <c r="AI3108" t="s">
        <v>27459</v>
      </c>
      <c r="AJ3108" t="s">
        <v>164</v>
      </c>
      <c r="AK3108" t="s">
        <v>15700</v>
      </c>
      <c r="AL3108">
        <v>2.4700000000000002</v>
      </c>
      <c r="AM3108">
        <v>2.4700000000000002</v>
      </c>
      <c r="AN3108">
        <v>0.7</v>
      </c>
      <c r="AR3108" t="s">
        <v>3745</v>
      </c>
      <c r="AS3108" t="s">
        <v>4512</v>
      </c>
      <c r="AT3108" t="s">
        <v>6420</v>
      </c>
      <c r="AU3108" t="s">
        <v>8506</v>
      </c>
      <c r="AV3108" t="s">
        <v>16344</v>
      </c>
      <c r="AW3108" t="s">
        <v>13268</v>
      </c>
      <c r="AX3108" t="s">
        <v>5556</v>
      </c>
      <c r="AY3108" t="s">
        <v>27460</v>
      </c>
      <c r="AZ3108" t="s">
        <v>27461</v>
      </c>
      <c r="BA3108">
        <v>1</v>
      </c>
      <c r="BB3108">
        <v>5316.84</v>
      </c>
      <c r="BC3108">
        <v>0.61</v>
      </c>
      <c r="BD3108">
        <v>3.39</v>
      </c>
      <c r="BE3108">
        <v>3.49</v>
      </c>
      <c r="BF3108">
        <v>3.33</v>
      </c>
      <c r="BG3108" t="s">
        <v>27462</v>
      </c>
      <c r="BH3108" t="s">
        <v>27463</v>
      </c>
      <c r="BI3108" t="s">
        <v>27461</v>
      </c>
      <c r="BJ3108" t="s">
        <v>101</v>
      </c>
      <c r="BK3108" t="s">
        <v>3413</v>
      </c>
      <c r="BL3108" t="s">
        <v>27464</v>
      </c>
      <c r="BM3108" t="s">
        <v>3527</v>
      </c>
      <c r="BN3108" t="s">
        <v>23454</v>
      </c>
    </row>
    <row r="3109" spans="1:66" x14ac:dyDescent="0.25">
      <c r="A3109" t="str">
        <f>HYPERLINK("https://elite.finviz.com/quote.ashx?t=CCOI&amp;ty=c&amp;p=d&amp;b=1", "CCOI")</f>
        <v>CCOI</v>
      </c>
      <c r="B3109">
        <v>5</v>
      </c>
      <c r="C3109">
        <v>116.22</v>
      </c>
      <c r="D3109">
        <v>52.89</v>
      </c>
      <c r="E3109" t="s">
        <v>27465</v>
      </c>
      <c r="F3109" t="s">
        <v>67</v>
      </c>
      <c r="G3109" t="s">
        <v>598</v>
      </c>
      <c r="H3109" t="s">
        <v>6147</v>
      </c>
      <c r="I3109" t="s">
        <v>70</v>
      </c>
      <c r="J3109" t="s">
        <v>321</v>
      </c>
      <c r="K3109">
        <v>1927.22</v>
      </c>
      <c r="L3109">
        <v>39.19</v>
      </c>
      <c r="M3109" t="s">
        <v>123</v>
      </c>
      <c r="N3109">
        <v>125645</v>
      </c>
      <c r="R3109">
        <v>1.92</v>
      </c>
      <c r="S3109">
        <v>41.35</v>
      </c>
      <c r="T3109" t="s">
        <v>10247</v>
      </c>
      <c r="U3109">
        <v>4.0199999999999996</v>
      </c>
      <c r="V3109" t="s">
        <v>5037</v>
      </c>
      <c r="W3109" t="s">
        <v>165</v>
      </c>
      <c r="X3109" t="s">
        <v>2884</v>
      </c>
      <c r="Y3109" t="s">
        <v>10273</v>
      </c>
      <c r="AA3109">
        <v>-4.55</v>
      </c>
      <c r="AD3109" t="s">
        <v>11250</v>
      </c>
      <c r="AE3109" t="s">
        <v>10586</v>
      </c>
      <c r="AF3109" t="s">
        <v>14815</v>
      </c>
      <c r="AG3109" t="s">
        <v>2338</v>
      </c>
      <c r="AH3109" t="s">
        <v>9738</v>
      </c>
      <c r="AI3109" t="s">
        <v>8741</v>
      </c>
      <c r="AJ3109" t="s">
        <v>18482</v>
      </c>
      <c r="AK3109" t="s">
        <v>8423</v>
      </c>
      <c r="AL3109">
        <v>2.31</v>
      </c>
      <c r="AM3109">
        <v>2.31</v>
      </c>
      <c r="AN3109">
        <v>57.12</v>
      </c>
      <c r="AO3109" t="s">
        <v>6573</v>
      </c>
      <c r="AP3109" t="s">
        <v>18055</v>
      </c>
      <c r="AQ3109" t="s">
        <v>18759</v>
      </c>
      <c r="AR3109" t="s">
        <v>5611</v>
      </c>
      <c r="AS3109" t="s">
        <v>3520</v>
      </c>
      <c r="AT3109" t="s">
        <v>1981</v>
      </c>
      <c r="AU3109" t="s">
        <v>7243</v>
      </c>
      <c r="AV3109" t="s">
        <v>22890</v>
      </c>
      <c r="AW3109" t="s">
        <v>5300</v>
      </c>
      <c r="AX3109" t="s">
        <v>7631</v>
      </c>
      <c r="AY3109" t="s">
        <v>24922</v>
      </c>
      <c r="AZ3109" t="s">
        <v>7631</v>
      </c>
      <c r="BA3109">
        <v>2.0699999999999998</v>
      </c>
      <c r="BB3109">
        <v>1357.18</v>
      </c>
      <c r="BC3109">
        <v>0.33</v>
      </c>
      <c r="BD3109">
        <v>39.86</v>
      </c>
      <c r="BE3109">
        <v>40.03</v>
      </c>
      <c r="BF3109">
        <v>39.24</v>
      </c>
      <c r="BG3109" t="s">
        <v>27466</v>
      </c>
      <c r="BH3109" t="s">
        <v>27467</v>
      </c>
      <c r="BI3109" t="s">
        <v>27468</v>
      </c>
      <c r="BJ3109" t="s">
        <v>101</v>
      </c>
      <c r="BK3109" t="s">
        <v>3464</v>
      </c>
      <c r="BL3109" t="s">
        <v>21384</v>
      </c>
      <c r="BM3109" t="s">
        <v>23175</v>
      </c>
      <c r="BN3109" t="s">
        <v>23454</v>
      </c>
    </row>
    <row r="3110" spans="1:66" x14ac:dyDescent="0.25">
      <c r="A3110" t="str">
        <f>HYPERLINK("https://elite.finviz.com/quote.ashx?t=INTU&amp;ty=c&amp;p=d&amp;b=1", "INTU")</f>
        <v>INTU</v>
      </c>
      <c r="B3110">
        <v>5</v>
      </c>
      <c r="C3110">
        <v>116.22</v>
      </c>
      <c r="D3110">
        <v>53.27</v>
      </c>
      <c r="E3110" t="s">
        <v>27469</v>
      </c>
      <c r="F3110" t="s">
        <v>319</v>
      </c>
      <c r="G3110" t="s">
        <v>108</v>
      </c>
      <c r="H3110" t="s">
        <v>136</v>
      </c>
      <c r="I3110" t="s">
        <v>70</v>
      </c>
      <c r="J3110" t="s">
        <v>321</v>
      </c>
      <c r="K3110">
        <v>192880.08</v>
      </c>
      <c r="L3110">
        <v>691.81</v>
      </c>
      <c r="M3110" t="s">
        <v>1842</v>
      </c>
      <c r="N3110">
        <v>270868</v>
      </c>
      <c r="O3110">
        <v>50.45</v>
      </c>
      <c r="P3110">
        <v>26.22</v>
      </c>
      <c r="Q3110">
        <v>3.49</v>
      </c>
      <c r="R3110">
        <v>10.24</v>
      </c>
      <c r="S3110">
        <v>9.8000000000000007</v>
      </c>
      <c r="T3110" t="s">
        <v>4782</v>
      </c>
      <c r="U3110">
        <v>4.16</v>
      </c>
      <c r="V3110" t="s">
        <v>228</v>
      </c>
      <c r="W3110" t="s">
        <v>328</v>
      </c>
      <c r="X3110" t="s">
        <v>11141</v>
      </c>
      <c r="Y3110" t="s">
        <v>10254</v>
      </c>
      <c r="Z3110" t="s">
        <v>4724</v>
      </c>
      <c r="AA3110">
        <v>13.71</v>
      </c>
      <c r="AB3110" t="s">
        <v>4930</v>
      </c>
      <c r="AC3110" t="s">
        <v>5775</v>
      </c>
      <c r="AD3110" t="s">
        <v>11732</v>
      </c>
      <c r="AE3110" t="s">
        <v>583</v>
      </c>
      <c r="AF3110" t="s">
        <v>73</v>
      </c>
      <c r="AG3110" t="s">
        <v>3546</v>
      </c>
      <c r="AH3110" t="s">
        <v>5681</v>
      </c>
      <c r="AI3110" t="s">
        <v>2522</v>
      </c>
      <c r="AJ3110" t="s">
        <v>6074</v>
      </c>
      <c r="AK3110" t="s">
        <v>14793</v>
      </c>
      <c r="AL3110">
        <v>1.36</v>
      </c>
      <c r="AM3110">
        <v>1.36</v>
      </c>
      <c r="AN3110">
        <v>0.34</v>
      </c>
      <c r="AO3110" t="s">
        <v>23128</v>
      </c>
      <c r="AP3110" t="s">
        <v>6439</v>
      </c>
      <c r="AQ3110" t="s">
        <v>4554</v>
      </c>
      <c r="AR3110" t="s">
        <v>6975</v>
      </c>
      <c r="AS3110" t="s">
        <v>1129</v>
      </c>
      <c r="AT3110" t="s">
        <v>205</v>
      </c>
      <c r="AU3110" t="s">
        <v>9854</v>
      </c>
      <c r="AV3110" t="s">
        <v>4395</v>
      </c>
      <c r="AW3110" t="s">
        <v>20126</v>
      </c>
      <c r="AX3110" t="s">
        <v>484</v>
      </c>
      <c r="AY3110" t="s">
        <v>20126</v>
      </c>
      <c r="AZ3110" t="s">
        <v>10294</v>
      </c>
      <c r="BA3110">
        <v>1.62</v>
      </c>
      <c r="BB3110">
        <v>1877.93</v>
      </c>
      <c r="BC3110">
        <v>0.51</v>
      </c>
      <c r="BD3110">
        <v>692.68</v>
      </c>
      <c r="BE3110">
        <v>697.94</v>
      </c>
      <c r="BF3110">
        <v>691.02</v>
      </c>
      <c r="BG3110" t="s">
        <v>27470</v>
      </c>
      <c r="BH3110" t="s">
        <v>20126</v>
      </c>
      <c r="BI3110" t="s">
        <v>27471</v>
      </c>
      <c r="BJ3110" t="s">
        <v>101</v>
      </c>
      <c r="BK3110" t="s">
        <v>6107</v>
      </c>
      <c r="BL3110" t="s">
        <v>2946</v>
      </c>
      <c r="BM3110" t="s">
        <v>1252</v>
      </c>
      <c r="BN3110" t="s">
        <v>23454</v>
      </c>
    </row>
    <row r="3111" spans="1:66" x14ac:dyDescent="0.25">
      <c r="A3111" t="str">
        <f>HYPERLINK("https://elite.finviz.com/quote.ashx?t=CRS&amp;ty=c&amp;p=d&amp;b=1", "CRS")</f>
        <v>CRS</v>
      </c>
      <c r="B3111">
        <v>5</v>
      </c>
      <c r="C3111">
        <v>116.22</v>
      </c>
      <c r="D3111">
        <v>53.5</v>
      </c>
      <c r="E3111" t="s">
        <v>27472</v>
      </c>
      <c r="F3111" t="s">
        <v>107</v>
      </c>
      <c r="G3111" t="s">
        <v>260</v>
      </c>
      <c r="H3111" t="s">
        <v>2223</v>
      </c>
      <c r="I3111" t="s">
        <v>70</v>
      </c>
      <c r="J3111" t="s">
        <v>71</v>
      </c>
      <c r="K3111">
        <v>12343.83</v>
      </c>
      <c r="L3111">
        <v>247.62</v>
      </c>
      <c r="M3111" t="s">
        <v>3723</v>
      </c>
      <c r="N3111">
        <v>368029</v>
      </c>
      <c r="O3111">
        <v>33.4</v>
      </c>
      <c r="P3111">
        <v>22.32</v>
      </c>
      <c r="Q3111">
        <v>1.6</v>
      </c>
      <c r="R3111">
        <v>4.29</v>
      </c>
      <c r="S3111">
        <v>6.52</v>
      </c>
      <c r="T3111" t="s">
        <v>3736</v>
      </c>
      <c r="U3111">
        <v>0.8</v>
      </c>
      <c r="V3111" t="s">
        <v>2882</v>
      </c>
      <c r="W3111" t="s">
        <v>164</v>
      </c>
      <c r="X3111" t="s">
        <v>164</v>
      </c>
      <c r="Y3111" t="s">
        <v>164</v>
      </c>
      <c r="Z3111" t="s">
        <v>3614</v>
      </c>
      <c r="AA3111">
        <v>7.41</v>
      </c>
      <c r="AC3111" t="s">
        <v>27473</v>
      </c>
      <c r="AD3111" t="s">
        <v>6969</v>
      </c>
      <c r="AE3111" t="s">
        <v>353</v>
      </c>
      <c r="AF3111" t="s">
        <v>2912</v>
      </c>
      <c r="AG3111" t="s">
        <v>1772</v>
      </c>
      <c r="AH3111" t="s">
        <v>7964</v>
      </c>
      <c r="AI3111" t="s">
        <v>6674</v>
      </c>
      <c r="AJ3111" t="s">
        <v>9475</v>
      </c>
      <c r="AK3111" t="s">
        <v>12374</v>
      </c>
      <c r="AL3111">
        <v>3.65</v>
      </c>
      <c r="AM3111">
        <v>2.0099999999999998</v>
      </c>
      <c r="AN3111">
        <v>0.39</v>
      </c>
      <c r="AO3111" t="s">
        <v>2189</v>
      </c>
      <c r="AP3111" t="s">
        <v>9488</v>
      </c>
      <c r="AQ3111" t="s">
        <v>3449</v>
      </c>
      <c r="AR3111" t="s">
        <v>7284</v>
      </c>
      <c r="AS3111" t="s">
        <v>5132</v>
      </c>
      <c r="AT3111" t="s">
        <v>1761</v>
      </c>
      <c r="AU3111" t="s">
        <v>4634</v>
      </c>
      <c r="AV3111" t="s">
        <v>2863</v>
      </c>
      <c r="AW3111" t="s">
        <v>14689</v>
      </c>
      <c r="AX3111" t="s">
        <v>7436</v>
      </c>
      <c r="AY3111" t="s">
        <v>14689</v>
      </c>
      <c r="AZ3111" t="s">
        <v>27474</v>
      </c>
      <c r="BA3111">
        <v>1.25</v>
      </c>
      <c r="BB3111">
        <v>1039.6300000000001</v>
      </c>
      <c r="BC3111">
        <v>1.25</v>
      </c>
      <c r="BD3111">
        <v>232.4</v>
      </c>
      <c r="BE3111">
        <v>251.34</v>
      </c>
      <c r="BF3111">
        <v>234.5</v>
      </c>
      <c r="BG3111" t="s">
        <v>27475</v>
      </c>
      <c r="BH3111" t="s">
        <v>14689</v>
      </c>
      <c r="BI3111" t="s">
        <v>27476</v>
      </c>
      <c r="BJ3111" t="s">
        <v>101</v>
      </c>
      <c r="BK3111" t="s">
        <v>14906</v>
      </c>
      <c r="BL3111" t="s">
        <v>1266</v>
      </c>
      <c r="BM3111" t="s">
        <v>27477</v>
      </c>
      <c r="BN3111" t="s">
        <v>23454</v>
      </c>
    </row>
    <row r="3112" spans="1:66" x14ac:dyDescent="0.25">
      <c r="A3112" t="str">
        <f>HYPERLINK("https://elite.finviz.com/quote.ashx?t=CAR&amp;ty=c&amp;p=d&amp;b=1", "CAR")</f>
        <v>CAR</v>
      </c>
      <c r="B3112">
        <v>5</v>
      </c>
      <c r="C3112">
        <v>116.22</v>
      </c>
      <c r="D3112">
        <v>53.78</v>
      </c>
      <c r="E3112" t="s">
        <v>27478</v>
      </c>
      <c r="F3112" t="s">
        <v>107</v>
      </c>
      <c r="G3112" t="s">
        <v>260</v>
      </c>
      <c r="H3112" t="s">
        <v>7905</v>
      </c>
      <c r="I3112" t="s">
        <v>70</v>
      </c>
      <c r="J3112" t="s">
        <v>321</v>
      </c>
      <c r="K3112">
        <v>5667.21</v>
      </c>
      <c r="L3112">
        <v>161.03</v>
      </c>
      <c r="M3112" t="s">
        <v>1510</v>
      </c>
      <c r="N3112">
        <v>86151</v>
      </c>
      <c r="P3112">
        <v>13.82</v>
      </c>
      <c r="R3112">
        <v>0.49</v>
      </c>
      <c r="V3112" t="s">
        <v>27479</v>
      </c>
      <c r="AA3112">
        <v>-63.22</v>
      </c>
      <c r="AE3112" t="s">
        <v>7867</v>
      </c>
      <c r="AF3112" t="s">
        <v>2492</v>
      </c>
      <c r="AG3112" t="s">
        <v>6527</v>
      </c>
      <c r="AH3112" t="s">
        <v>3890</v>
      </c>
      <c r="AI3112" t="s">
        <v>6868</v>
      </c>
      <c r="AJ3112" t="s">
        <v>11644</v>
      </c>
      <c r="AK3112" t="s">
        <v>6678</v>
      </c>
      <c r="AL3112">
        <v>0.77</v>
      </c>
      <c r="AM3112">
        <v>0.77</v>
      </c>
      <c r="AO3112" t="s">
        <v>12137</v>
      </c>
      <c r="AP3112" t="s">
        <v>6168</v>
      </c>
      <c r="AQ3112" t="s">
        <v>17301</v>
      </c>
      <c r="AR3112" t="s">
        <v>4395</v>
      </c>
      <c r="AS3112" t="s">
        <v>5736</v>
      </c>
      <c r="AT3112" t="s">
        <v>633</v>
      </c>
      <c r="AU3112" t="s">
        <v>10568</v>
      </c>
      <c r="AV3112" t="s">
        <v>16746</v>
      </c>
      <c r="AW3112" t="s">
        <v>6658</v>
      </c>
      <c r="AX3112" t="s">
        <v>1009</v>
      </c>
      <c r="AY3112" t="s">
        <v>6658</v>
      </c>
      <c r="AZ3112" t="s">
        <v>9838</v>
      </c>
      <c r="BA3112">
        <v>2.8</v>
      </c>
      <c r="BB3112">
        <v>1091.1300000000001</v>
      </c>
      <c r="BC3112">
        <v>0.28000000000000003</v>
      </c>
      <c r="BD3112">
        <v>163.28</v>
      </c>
      <c r="BE3112">
        <v>163.28</v>
      </c>
      <c r="BF3112">
        <v>160.29</v>
      </c>
      <c r="BG3112" t="s">
        <v>27480</v>
      </c>
      <c r="BH3112" t="s">
        <v>27481</v>
      </c>
      <c r="BI3112" t="s">
        <v>27482</v>
      </c>
      <c r="BJ3112" t="s">
        <v>101</v>
      </c>
      <c r="BK3112" t="s">
        <v>10338</v>
      </c>
      <c r="BL3112" t="s">
        <v>17471</v>
      </c>
      <c r="BM3112" t="s">
        <v>27483</v>
      </c>
      <c r="BN3112" t="s">
        <v>23454</v>
      </c>
    </row>
    <row r="3113" spans="1:66" x14ac:dyDescent="0.25">
      <c r="A3113" t="str">
        <f>HYPERLINK("https://elite.finviz.com/quote.ashx?t=OKE&amp;ty=c&amp;p=d&amp;b=1", "OKE")</f>
        <v>OKE</v>
      </c>
      <c r="B3113">
        <v>5</v>
      </c>
      <c r="C3113">
        <v>116.22</v>
      </c>
      <c r="D3113">
        <v>53.9</v>
      </c>
      <c r="E3113" t="s">
        <v>27484</v>
      </c>
      <c r="F3113" t="s">
        <v>195</v>
      </c>
      <c r="G3113" t="s">
        <v>1048</v>
      </c>
      <c r="H3113" t="s">
        <v>3915</v>
      </c>
      <c r="I3113" t="s">
        <v>70</v>
      </c>
      <c r="J3113" t="s">
        <v>71</v>
      </c>
      <c r="K3113">
        <v>46998.5</v>
      </c>
      <c r="L3113">
        <v>74.63</v>
      </c>
      <c r="M3113" t="s">
        <v>2186</v>
      </c>
      <c r="N3113">
        <v>802587</v>
      </c>
      <c r="O3113">
        <v>14.55</v>
      </c>
      <c r="P3113">
        <v>12.16</v>
      </c>
      <c r="Q3113">
        <v>1.63</v>
      </c>
      <c r="R3113">
        <v>1.68</v>
      </c>
      <c r="S3113">
        <v>2.15</v>
      </c>
      <c r="T3113" t="s">
        <v>4403</v>
      </c>
      <c r="U3113">
        <v>4.08</v>
      </c>
      <c r="V3113" t="s">
        <v>4066</v>
      </c>
      <c r="W3113" t="s">
        <v>2494</v>
      </c>
      <c r="X3113" t="s">
        <v>3118</v>
      </c>
      <c r="Y3113" t="s">
        <v>180</v>
      </c>
      <c r="Z3113" t="s">
        <v>11436</v>
      </c>
      <c r="AA3113">
        <v>5.13</v>
      </c>
      <c r="AB3113" t="s">
        <v>6875</v>
      </c>
      <c r="AC3113" t="s">
        <v>602</v>
      </c>
      <c r="AD3113" t="s">
        <v>5912</v>
      </c>
      <c r="AE3113" t="s">
        <v>22217</v>
      </c>
      <c r="AF3113" t="s">
        <v>8535</v>
      </c>
      <c r="AG3113" t="s">
        <v>5119</v>
      </c>
      <c r="AH3113" t="s">
        <v>7644</v>
      </c>
      <c r="AI3113" t="s">
        <v>6842</v>
      </c>
      <c r="AJ3113" t="s">
        <v>164</v>
      </c>
      <c r="AK3113" t="s">
        <v>17526</v>
      </c>
      <c r="AL3113">
        <v>0.59</v>
      </c>
      <c r="AM3113">
        <v>0.46</v>
      </c>
      <c r="AN3113">
        <v>1.49</v>
      </c>
      <c r="AO3113" t="s">
        <v>10803</v>
      </c>
      <c r="AP3113" t="s">
        <v>2713</v>
      </c>
      <c r="AQ3113" t="s">
        <v>18151</v>
      </c>
      <c r="AR3113" t="s">
        <v>7322</v>
      </c>
      <c r="AS3113" t="s">
        <v>5263</v>
      </c>
      <c r="AT3113" t="s">
        <v>1129</v>
      </c>
      <c r="AU3113" t="s">
        <v>8789</v>
      </c>
      <c r="AV3113" t="s">
        <v>27485</v>
      </c>
      <c r="AW3113" t="s">
        <v>10906</v>
      </c>
      <c r="AX3113" t="s">
        <v>5210</v>
      </c>
      <c r="AY3113" t="s">
        <v>27355</v>
      </c>
      <c r="AZ3113" t="s">
        <v>5210</v>
      </c>
      <c r="BA3113">
        <v>1.91</v>
      </c>
      <c r="BB3113">
        <v>3473.23</v>
      </c>
      <c r="BC3113">
        <v>0.81</v>
      </c>
      <c r="BD3113">
        <v>73.44</v>
      </c>
      <c r="BE3113">
        <v>75.25</v>
      </c>
      <c r="BF3113">
        <v>73.64</v>
      </c>
      <c r="BG3113" t="s">
        <v>27486</v>
      </c>
      <c r="BH3113" t="s">
        <v>27355</v>
      </c>
      <c r="BI3113" t="s">
        <v>27487</v>
      </c>
      <c r="BJ3113" t="s">
        <v>101</v>
      </c>
      <c r="BK3113" t="s">
        <v>3376</v>
      </c>
      <c r="BL3113" t="s">
        <v>17058</v>
      </c>
      <c r="BM3113" t="s">
        <v>22918</v>
      </c>
      <c r="BN3113" t="s">
        <v>23454</v>
      </c>
    </row>
    <row r="3114" spans="1:66" x14ac:dyDescent="0.25">
      <c r="A3114" t="str">
        <f>HYPERLINK("https://elite.finviz.com/quote.ashx?t=DUOL&amp;ty=c&amp;p=d&amp;b=1", "DUOL")</f>
        <v>DUOL</v>
      </c>
      <c r="B3114">
        <v>5</v>
      </c>
      <c r="C3114">
        <v>116.22</v>
      </c>
      <c r="D3114">
        <v>54.06</v>
      </c>
      <c r="E3114" t="s">
        <v>27488</v>
      </c>
      <c r="F3114" t="s">
        <v>107</v>
      </c>
      <c r="G3114" t="s">
        <v>108</v>
      </c>
      <c r="H3114" t="s">
        <v>136</v>
      </c>
      <c r="I3114" t="s">
        <v>70</v>
      </c>
      <c r="J3114" t="s">
        <v>321</v>
      </c>
      <c r="K3114">
        <v>14486.71</v>
      </c>
      <c r="L3114">
        <v>316.14999999999998</v>
      </c>
      <c r="M3114" t="s">
        <v>3013</v>
      </c>
      <c r="N3114">
        <v>309705</v>
      </c>
      <c r="O3114">
        <v>131.38999999999999</v>
      </c>
      <c r="P3114">
        <v>66.650000000000006</v>
      </c>
      <c r="Q3114">
        <v>2.5499999999999998</v>
      </c>
      <c r="R3114">
        <v>16.37</v>
      </c>
      <c r="S3114">
        <v>14.82</v>
      </c>
      <c r="Z3114" t="s">
        <v>164</v>
      </c>
      <c r="AA3114">
        <v>2.41</v>
      </c>
      <c r="AD3114" t="s">
        <v>20581</v>
      </c>
      <c r="AE3114" t="s">
        <v>16401</v>
      </c>
      <c r="AF3114" t="s">
        <v>12073</v>
      </c>
      <c r="AG3114" t="s">
        <v>10936</v>
      </c>
      <c r="AH3114" t="s">
        <v>1479</v>
      </c>
      <c r="AI3114" t="s">
        <v>27489</v>
      </c>
      <c r="AJ3114" t="s">
        <v>4698</v>
      </c>
      <c r="AK3114" t="s">
        <v>27490</v>
      </c>
      <c r="AL3114">
        <v>2.81</v>
      </c>
      <c r="AM3114">
        <v>2.81</v>
      </c>
      <c r="AN3114">
        <v>0.1</v>
      </c>
      <c r="AO3114" t="s">
        <v>27491</v>
      </c>
      <c r="AP3114" t="s">
        <v>2635</v>
      </c>
      <c r="AQ3114" t="s">
        <v>5756</v>
      </c>
      <c r="AR3114" t="s">
        <v>5163</v>
      </c>
      <c r="AS3114" t="s">
        <v>1576</v>
      </c>
      <c r="AT3114" t="s">
        <v>1736</v>
      </c>
      <c r="AU3114" t="s">
        <v>6838</v>
      </c>
      <c r="AV3114" t="s">
        <v>6431</v>
      </c>
      <c r="AW3114" t="s">
        <v>17878</v>
      </c>
      <c r="AX3114" t="s">
        <v>15814</v>
      </c>
      <c r="AY3114" t="s">
        <v>25339</v>
      </c>
      <c r="AZ3114" t="s">
        <v>15814</v>
      </c>
      <c r="BA3114">
        <v>1.93</v>
      </c>
      <c r="BB3114">
        <v>1670.18</v>
      </c>
      <c r="BC3114">
        <v>0.65</v>
      </c>
      <c r="BD3114">
        <v>313.49</v>
      </c>
      <c r="BE3114">
        <v>316.49</v>
      </c>
      <c r="BF3114">
        <v>309.99</v>
      </c>
      <c r="BG3114" t="s">
        <v>27492</v>
      </c>
      <c r="BH3114" t="s">
        <v>25339</v>
      </c>
      <c r="BI3114" t="s">
        <v>27493</v>
      </c>
      <c r="BJ3114" t="s">
        <v>101</v>
      </c>
      <c r="BK3114" t="s">
        <v>1964</v>
      </c>
      <c r="BL3114" t="s">
        <v>10194</v>
      </c>
      <c r="BM3114" t="s">
        <v>3817</v>
      </c>
      <c r="BN3114" t="s">
        <v>23454</v>
      </c>
    </row>
    <row r="3115" spans="1:66" x14ac:dyDescent="0.25">
      <c r="A3115" t="str">
        <f>HYPERLINK("https://elite.finviz.com/quote.ashx?t=RYAN&amp;ty=c&amp;p=d&amp;b=1", "RYAN")</f>
        <v>RYAN</v>
      </c>
      <c r="B3115">
        <v>5</v>
      </c>
      <c r="C3115">
        <v>116.22</v>
      </c>
      <c r="D3115">
        <v>54.28</v>
      </c>
      <c r="E3115" t="s">
        <v>27494</v>
      </c>
      <c r="F3115" t="s">
        <v>107</v>
      </c>
      <c r="G3115" t="s">
        <v>550</v>
      </c>
      <c r="H3115" t="s">
        <v>4675</v>
      </c>
      <c r="I3115" t="s">
        <v>70</v>
      </c>
      <c r="J3115" t="s">
        <v>71</v>
      </c>
      <c r="K3115">
        <v>14776.57</v>
      </c>
      <c r="L3115">
        <v>56.03</v>
      </c>
      <c r="M3115" t="s">
        <v>648</v>
      </c>
      <c r="N3115">
        <v>336577</v>
      </c>
      <c r="O3115">
        <v>2436.3000000000002</v>
      </c>
      <c r="P3115">
        <v>22.14</v>
      </c>
      <c r="Q3115">
        <v>126.04</v>
      </c>
      <c r="R3115">
        <v>5.22</v>
      </c>
      <c r="S3115">
        <v>11.67</v>
      </c>
      <c r="T3115" t="s">
        <v>3013</v>
      </c>
      <c r="U3115">
        <v>0.47</v>
      </c>
      <c r="V3115" t="s">
        <v>7906</v>
      </c>
      <c r="Z3115" t="s">
        <v>13528</v>
      </c>
      <c r="AA3115">
        <v>0.02</v>
      </c>
      <c r="AB3115" t="s">
        <v>3874</v>
      </c>
      <c r="AC3115" t="s">
        <v>4394</v>
      </c>
      <c r="AD3115" t="s">
        <v>7913</v>
      </c>
      <c r="AE3115" t="s">
        <v>9501</v>
      </c>
      <c r="AF3115" t="s">
        <v>10851</v>
      </c>
      <c r="AG3115" t="s">
        <v>9381</v>
      </c>
      <c r="AH3115" t="s">
        <v>12471</v>
      </c>
      <c r="AI3115" t="s">
        <v>7780</v>
      </c>
      <c r="AJ3115" t="s">
        <v>4849</v>
      </c>
      <c r="AK3115" t="s">
        <v>27495</v>
      </c>
      <c r="AL3115">
        <v>1.01</v>
      </c>
      <c r="AM3115">
        <v>1.01</v>
      </c>
      <c r="AN3115">
        <v>5.99</v>
      </c>
      <c r="AP3115" t="s">
        <v>5492</v>
      </c>
      <c r="AQ3115" t="s">
        <v>617</v>
      </c>
      <c r="AR3115" t="s">
        <v>5132</v>
      </c>
      <c r="AS3115" t="s">
        <v>90</v>
      </c>
      <c r="AT3115" t="s">
        <v>2721</v>
      </c>
      <c r="AU3115" t="s">
        <v>900</v>
      </c>
      <c r="AV3115" t="s">
        <v>2178</v>
      </c>
      <c r="AW3115" t="s">
        <v>11328</v>
      </c>
      <c r="AX3115" t="s">
        <v>2377</v>
      </c>
      <c r="AY3115" t="s">
        <v>4681</v>
      </c>
      <c r="AZ3115" t="s">
        <v>2377</v>
      </c>
      <c r="BA3115">
        <v>1.89</v>
      </c>
      <c r="BB3115">
        <v>1471.15</v>
      </c>
      <c r="BC3115">
        <v>0.81</v>
      </c>
      <c r="BD3115">
        <v>54.56</v>
      </c>
      <c r="BE3115">
        <v>56.32</v>
      </c>
      <c r="BF3115">
        <v>54.79</v>
      </c>
      <c r="BG3115" t="s">
        <v>27496</v>
      </c>
      <c r="BH3115" t="s">
        <v>4681</v>
      </c>
      <c r="BI3115" t="s">
        <v>27497</v>
      </c>
      <c r="BJ3115" t="s">
        <v>101</v>
      </c>
      <c r="BK3115" t="s">
        <v>13554</v>
      </c>
      <c r="BL3115" t="s">
        <v>13509</v>
      </c>
      <c r="BM3115" t="s">
        <v>27498</v>
      </c>
      <c r="BN3115" t="s">
        <v>23454</v>
      </c>
    </row>
    <row r="3116" spans="1:66" x14ac:dyDescent="0.25">
      <c r="A3116" t="str">
        <f>HYPERLINK("https://elite.finviz.com/quote.ashx?t=PAGP&amp;ty=c&amp;p=d&amp;b=1", "PAGP")</f>
        <v>PAGP</v>
      </c>
      <c r="B3116">
        <v>5</v>
      </c>
      <c r="C3116">
        <v>116.22</v>
      </c>
      <c r="D3116">
        <v>54.43</v>
      </c>
      <c r="E3116" t="s">
        <v>27499</v>
      </c>
      <c r="F3116" t="s">
        <v>107</v>
      </c>
      <c r="G3116" t="s">
        <v>1048</v>
      </c>
      <c r="H3116" t="s">
        <v>3915</v>
      </c>
      <c r="I3116" t="s">
        <v>70</v>
      </c>
      <c r="J3116" t="s">
        <v>321</v>
      </c>
      <c r="K3116">
        <v>14379.85</v>
      </c>
      <c r="L3116">
        <v>18.93</v>
      </c>
      <c r="M3116" t="s">
        <v>8179</v>
      </c>
      <c r="N3116">
        <v>108764</v>
      </c>
      <c r="O3116">
        <v>27.54</v>
      </c>
      <c r="P3116">
        <v>11.02</v>
      </c>
      <c r="Q3116">
        <v>0.55000000000000004</v>
      </c>
      <c r="R3116">
        <v>0.3</v>
      </c>
      <c r="S3116">
        <v>2.76</v>
      </c>
      <c r="T3116" t="s">
        <v>223</v>
      </c>
      <c r="U3116">
        <v>1.46</v>
      </c>
      <c r="V3116" t="s">
        <v>5604</v>
      </c>
      <c r="W3116" t="s">
        <v>6081</v>
      </c>
      <c r="X3116" t="s">
        <v>13279</v>
      </c>
      <c r="Y3116" t="s">
        <v>14607</v>
      </c>
      <c r="Z3116" t="s">
        <v>27500</v>
      </c>
      <c r="AA3116">
        <v>0.69</v>
      </c>
      <c r="AB3116" t="s">
        <v>9557</v>
      </c>
      <c r="AC3116" t="s">
        <v>7363</v>
      </c>
      <c r="AD3116" t="s">
        <v>24920</v>
      </c>
      <c r="AE3116" t="s">
        <v>8225</v>
      </c>
      <c r="AF3116" t="s">
        <v>1871</v>
      </c>
      <c r="AG3116" t="s">
        <v>2053</v>
      </c>
      <c r="AH3116" t="s">
        <v>3527</v>
      </c>
      <c r="AI3116" t="s">
        <v>22971</v>
      </c>
      <c r="AJ3116" t="s">
        <v>164</v>
      </c>
      <c r="AK3116" t="s">
        <v>20457</v>
      </c>
      <c r="AL3116">
        <v>1</v>
      </c>
      <c r="AM3116">
        <v>0.97</v>
      </c>
      <c r="AN3116">
        <v>6.55</v>
      </c>
      <c r="AO3116" t="s">
        <v>3170</v>
      </c>
      <c r="AP3116" t="s">
        <v>5188</v>
      </c>
      <c r="AQ3116" t="s">
        <v>193</v>
      </c>
      <c r="AR3116" t="s">
        <v>2082</v>
      </c>
      <c r="AS3116" t="s">
        <v>9136</v>
      </c>
      <c r="AT3116" t="s">
        <v>5116</v>
      </c>
      <c r="AU3116" t="s">
        <v>148</v>
      </c>
      <c r="AV3116" t="s">
        <v>3845</v>
      </c>
      <c r="AW3116" t="s">
        <v>703</v>
      </c>
      <c r="AX3116" t="s">
        <v>1872</v>
      </c>
      <c r="AY3116" t="s">
        <v>9632</v>
      </c>
      <c r="AZ3116" t="s">
        <v>1360</v>
      </c>
      <c r="BA3116">
        <v>2.6</v>
      </c>
      <c r="BB3116">
        <v>1299.96</v>
      </c>
      <c r="BC3116">
        <v>0.28999999999999998</v>
      </c>
      <c r="BD3116">
        <v>18.8</v>
      </c>
      <c r="BE3116">
        <v>19.03</v>
      </c>
      <c r="BF3116">
        <v>18.86</v>
      </c>
      <c r="BG3116" t="s">
        <v>27501</v>
      </c>
      <c r="BH3116" t="s">
        <v>27502</v>
      </c>
      <c r="BI3116" t="s">
        <v>27503</v>
      </c>
      <c r="BJ3116" t="s">
        <v>101</v>
      </c>
      <c r="BK3116" t="s">
        <v>10568</v>
      </c>
      <c r="BL3116" t="s">
        <v>15540</v>
      </c>
      <c r="BM3116" t="s">
        <v>5070</v>
      </c>
      <c r="BN3116" t="s">
        <v>23454</v>
      </c>
    </row>
    <row r="3117" spans="1:66" x14ac:dyDescent="0.25">
      <c r="A3117" t="str">
        <f>HYPERLINK("https://elite.finviz.com/quote.ashx?t=ENVX&amp;ty=c&amp;p=d&amp;b=1", "ENVX")</f>
        <v>ENVX</v>
      </c>
      <c r="B3117">
        <v>5</v>
      </c>
      <c r="C3117">
        <v>116.22</v>
      </c>
      <c r="D3117">
        <v>54.7</v>
      </c>
      <c r="E3117" t="s">
        <v>27504</v>
      </c>
      <c r="F3117" t="s">
        <v>67</v>
      </c>
      <c r="G3117" t="s">
        <v>260</v>
      </c>
      <c r="H3117" t="s">
        <v>1128</v>
      </c>
      <c r="I3117" t="s">
        <v>70</v>
      </c>
      <c r="J3117" t="s">
        <v>321</v>
      </c>
      <c r="K3117">
        <v>2027.92</v>
      </c>
      <c r="L3117">
        <v>10.31</v>
      </c>
      <c r="M3117" t="s">
        <v>6182</v>
      </c>
      <c r="N3117">
        <v>1177762</v>
      </c>
      <c r="R3117">
        <v>76.239999999999995</v>
      </c>
      <c r="S3117">
        <v>9.77</v>
      </c>
      <c r="AA3117">
        <v>-0.84</v>
      </c>
      <c r="AB3117" t="s">
        <v>5104</v>
      </c>
      <c r="AC3117" t="s">
        <v>6151</v>
      </c>
      <c r="AD3117" t="s">
        <v>20745</v>
      </c>
      <c r="AE3117" t="s">
        <v>17064</v>
      </c>
      <c r="AH3117" t="s">
        <v>18983</v>
      </c>
      <c r="AI3117" t="s">
        <v>631</v>
      </c>
      <c r="AJ3117" t="s">
        <v>3598</v>
      </c>
      <c r="AK3117" t="s">
        <v>12315</v>
      </c>
      <c r="AL3117">
        <v>4.37</v>
      </c>
      <c r="AM3117">
        <v>4.1100000000000003</v>
      </c>
      <c r="AN3117">
        <v>0.94</v>
      </c>
      <c r="AO3117" t="s">
        <v>27505</v>
      </c>
      <c r="AP3117" t="s">
        <v>27506</v>
      </c>
      <c r="AQ3117" t="s">
        <v>27507</v>
      </c>
      <c r="AR3117" t="s">
        <v>4551</v>
      </c>
      <c r="AS3117" t="s">
        <v>1772</v>
      </c>
      <c r="AT3117" t="s">
        <v>2984</v>
      </c>
      <c r="AU3117" t="s">
        <v>8004</v>
      </c>
      <c r="AV3117" t="s">
        <v>3372</v>
      </c>
      <c r="AW3117" t="s">
        <v>16866</v>
      </c>
      <c r="AX3117" t="s">
        <v>5086</v>
      </c>
      <c r="AY3117" t="s">
        <v>16866</v>
      </c>
      <c r="AZ3117" t="s">
        <v>11662</v>
      </c>
      <c r="BA3117">
        <v>1.36</v>
      </c>
      <c r="BB3117">
        <v>8908.07</v>
      </c>
      <c r="BC3117">
        <v>0.47</v>
      </c>
      <c r="BD3117">
        <v>10.29</v>
      </c>
      <c r="BE3117">
        <v>10.32</v>
      </c>
      <c r="BF3117">
        <v>10.07</v>
      </c>
      <c r="BG3117" t="s">
        <v>27508</v>
      </c>
      <c r="BH3117" t="s">
        <v>22570</v>
      </c>
      <c r="BI3117" t="s">
        <v>11662</v>
      </c>
      <c r="BJ3117" t="s">
        <v>101</v>
      </c>
      <c r="BK3117" t="s">
        <v>3025</v>
      </c>
      <c r="BL3117" t="s">
        <v>8687</v>
      </c>
      <c r="BM3117" t="s">
        <v>10648</v>
      </c>
      <c r="BN3117" t="s">
        <v>23454</v>
      </c>
    </row>
    <row r="3118" spans="1:66" x14ac:dyDescent="0.25">
      <c r="A3118" t="str">
        <f>HYPERLINK("https://elite.finviz.com/quote.ashx?t=CHTR&amp;ty=c&amp;p=d&amp;b=1", "CHTR")</f>
        <v>CHTR</v>
      </c>
      <c r="B3118">
        <v>5</v>
      </c>
      <c r="C3118">
        <v>116.22</v>
      </c>
      <c r="D3118">
        <v>54.75</v>
      </c>
      <c r="E3118" t="s">
        <v>27509</v>
      </c>
      <c r="F3118" t="s">
        <v>319</v>
      </c>
      <c r="G3118" t="s">
        <v>598</v>
      </c>
      <c r="H3118" t="s">
        <v>6147</v>
      </c>
      <c r="I3118" t="s">
        <v>70</v>
      </c>
      <c r="J3118" t="s">
        <v>321</v>
      </c>
      <c r="K3118">
        <v>41893.32</v>
      </c>
      <c r="L3118">
        <v>274.81</v>
      </c>
      <c r="M3118" t="s">
        <v>2720</v>
      </c>
      <c r="N3118">
        <v>617452</v>
      </c>
      <c r="O3118">
        <v>7.48</v>
      </c>
      <c r="P3118">
        <v>6.36</v>
      </c>
      <c r="Q3118">
        <v>0.62</v>
      </c>
      <c r="R3118">
        <v>0.76</v>
      </c>
      <c r="S3118">
        <v>2.3199999999999998</v>
      </c>
      <c r="Z3118" t="s">
        <v>164</v>
      </c>
      <c r="AA3118">
        <v>36.75</v>
      </c>
      <c r="AB3118" t="s">
        <v>3077</v>
      </c>
      <c r="AC3118" t="s">
        <v>15837</v>
      </c>
      <c r="AD3118" t="s">
        <v>6388</v>
      </c>
      <c r="AE3118" t="s">
        <v>2144</v>
      </c>
      <c r="AF3118" t="s">
        <v>2430</v>
      </c>
      <c r="AG3118" t="s">
        <v>2108</v>
      </c>
      <c r="AH3118" t="s">
        <v>4623</v>
      </c>
      <c r="AI3118" t="s">
        <v>842</v>
      </c>
      <c r="AJ3118" t="s">
        <v>406</v>
      </c>
      <c r="AK3118" t="s">
        <v>9569</v>
      </c>
      <c r="AL3118">
        <v>0.33</v>
      </c>
      <c r="AM3118">
        <v>0.33</v>
      </c>
      <c r="AN3118">
        <v>5.86</v>
      </c>
      <c r="AO3118" t="s">
        <v>4510</v>
      </c>
      <c r="AP3118" t="s">
        <v>4467</v>
      </c>
      <c r="AQ3118" t="s">
        <v>9515</v>
      </c>
      <c r="AR3118" t="s">
        <v>862</v>
      </c>
      <c r="AS3118" t="s">
        <v>2146</v>
      </c>
      <c r="AT3118" t="s">
        <v>1148</v>
      </c>
      <c r="AU3118" t="s">
        <v>2372</v>
      </c>
      <c r="AV3118" t="s">
        <v>7957</v>
      </c>
      <c r="AW3118" t="s">
        <v>17955</v>
      </c>
      <c r="AX3118" t="s">
        <v>1078</v>
      </c>
      <c r="AY3118" t="s">
        <v>16502</v>
      </c>
      <c r="AZ3118" t="s">
        <v>1078</v>
      </c>
      <c r="BA3118">
        <v>2.52</v>
      </c>
      <c r="BB3118">
        <v>2001.03</v>
      </c>
      <c r="BC3118">
        <v>1.0900000000000001</v>
      </c>
      <c r="BD3118">
        <v>270.57</v>
      </c>
      <c r="BE3118">
        <v>277.72000000000003</v>
      </c>
      <c r="BF3118">
        <v>271.79000000000002</v>
      </c>
      <c r="BG3118" t="s">
        <v>27510</v>
      </c>
      <c r="BH3118" t="s">
        <v>27511</v>
      </c>
      <c r="BI3118" t="s">
        <v>27512</v>
      </c>
      <c r="BJ3118" t="s">
        <v>101</v>
      </c>
      <c r="BK3118" t="s">
        <v>6279</v>
      </c>
      <c r="BL3118" t="s">
        <v>27513</v>
      </c>
      <c r="BM3118" t="s">
        <v>14833</v>
      </c>
      <c r="BN3118" t="s">
        <v>23454</v>
      </c>
    </row>
    <row r="3119" spans="1:66" x14ac:dyDescent="0.25">
      <c r="A3119" t="str">
        <f>HYPERLINK("https://elite.finviz.com/quote.ashx?t=FTNT&amp;ty=c&amp;p=d&amp;b=1", "FTNT")</f>
        <v>FTNT</v>
      </c>
      <c r="B3119">
        <v>5</v>
      </c>
      <c r="C3119">
        <v>116.22</v>
      </c>
      <c r="D3119">
        <v>54.92</v>
      </c>
      <c r="E3119" t="s">
        <v>27514</v>
      </c>
      <c r="F3119" t="s">
        <v>319</v>
      </c>
      <c r="G3119" t="s">
        <v>108</v>
      </c>
      <c r="H3119" t="s">
        <v>109</v>
      </c>
      <c r="I3119" t="s">
        <v>70</v>
      </c>
      <c r="J3119" t="s">
        <v>321</v>
      </c>
      <c r="K3119">
        <v>64542.59</v>
      </c>
      <c r="L3119">
        <v>84.23</v>
      </c>
      <c r="M3119" t="s">
        <v>343</v>
      </c>
      <c r="N3119">
        <v>1050283</v>
      </c>
      <c r="O3119">
        <v>33.619999999999997</v>
      </c>
      <c r="P3119">
        <v>30.38</v>
      </c>
      <c r="Q3119">
        <v>3.77</v>
      </c>
      <c r="R3119">
        <v>10.18</v>
      </c>
      <c r="S3119">
        <v>31.3</v>
      </c>
      <c r="Z3119" t="s">
        <v>164</v>
      </c>
      <c r="AA3119">
        <v>2.5099999999999998</v>
      </c>
      <c r="AB3119" t="s">
        <v>21151</v>
      </c>
      <c r="AC3119" t="s">
        <v>9986</v>
      </c>
      <c r="AD3119" t="s">
        <v>3245</v>
      </c>
      <c r="AE3119" t="s">
        <v>4315</v>
      </c>
      <c r="AF3119" t="s">
        <v>10135</v>
      </c>
      <c r="AG3119" t="s">
        <v>8005</v>
      </c>
      <c r="AH3119" t="s">
        <v>5539</v>
      </c>
      <c r="AI3119" t="s">
        <v>3455</v>
      </c>
      <c r="AJ3119" t="s">
        <v>8932</v>
      </c>
      <c r="AK3119" t="s">
        <v>27515</v>
      </c>
      <c r="AL3119">
        <v>1.33</v>
      </c>
      <c r="AM3119">
        <v>1.24</v>
      </c>
      <c r="AN3119">
        <v>0.48</v>
      </c>
      <c r="AO3119" t="s">
        <v>27516</v>
      </c>
      <c r="AP3119" t="s">
        <v>9331</v>
      </c>
      <c r="AQ3119" t="s">
        <v>10172</v>
      </c>
      <c r="AR3119" t="s">
        <v>5132</v>
      </c>
      <c r="AS3119" t="s">
        <v>212</v>
      </c>
      <c r="AT3119" t="s">
        <v>2811</v>
      </c>
      <c r="AU3119" t="s">
        <v>6152</v>
      </c>
      <c r="AV3119" t="s">
        <v>4899</v>
      </c>
      <c r="AW3119" t="s">
        <v>13478</v>
      </c>
      <c r="AX3119" t="s">
        <v>3663</v>
      </c>
      <c r="AY3119" t="s">
        <v>17323</v>
      </c>
      <c r="AZ3119" t="s">
        <v>3663</v>
      </c>
      <c r="BA3119">
        <v>2.6</v>
      </c>
      <c r="BB3119">
        <v>7198.39</v>
      </c>
      <c r="BC3119">
        <v>0.51</v>
      </c>
      <c r="BD3119">
        <v>83.21</v>
      </c>
      <c r="BE3119">
        <v>84.33</v>
      </c>
      <c r="BF3119">
        <v>82.99</v>
      </c>
      <c r="BG3119" t="s">
        <v>27517</v>
      </c>
      <c r="BH3119" t="s">
        <v>17323</v>
      </c>
      <c r="BI3119" t="s">
        <v>27518</v>
      </c>
      <c r="BJ3119" t="s">
        <v>101</v>
      </c>
      <c r="BK3119" t="s">
        <v>6019</v>
      </c>
      <c r="BL3119" t="s">
        <v>5104</v>
      </c>
      <c r="BM3119" t="s">
        <v>776</v>
      </c>
      <c r="BN3119" t="s">
        <v>23454</v>
      </c>
    </row>
    <row r="3120" spans="1:66" x14ac:dyDescent="0.25">
      <c r="A3120" t="str">
        <f>HYPERLINK("https://elite.finviz.com/quote.ashx?t=CSX&amp;ty=c&amp;p=d&amp;b=1", "CSX")</f>
        <v>CSX</v>
      </c>
      <c r="B3120">
        <v>5</v>
      </c>
      <c r="C3120">
        <v>116.22</v>
      </c>
      <c r="D3120">
        <v>54.99</v>
      </c>
      <c r="E3120" t="s">
        <v>27519</v>
      </c>
      <c r="F3120" t="s">
        <v>319</v>
      </c>
      <c r="G3120" t="s">
        <v>260</v>
      </c>
      <c r="H3120" t="s">
        <v>10167</v>
      </c>
      <c r="I3120" t="s">
        <v>70</v>
      </c>
      <c r="J3120" t="s">
        <v>321</v>
      </c>
      <c r="K3120">
        <v>63087.13</v>
      </c>
      <c r="L3120">
        <v>33.840000000000003</v>
      </c>
      <c r="M3120" t="s">
        <v>4794</v>
      </c>
      <c r="N3120">
        <v>2085061</v>
      </c>
      <c r="O3120">
        <v>20.79</v>
      </c>
      <c r="P3120">
        <v>17.53</v>
      </c>
      <c r="Q3120">
        <v>3.95</v>
      </c>
      <c r="R3120">
        <v>4.46</v>
      </c>
      <c r="S3120">
        <v>5.0999999999999996</v>
      </c>
      <c r="T3120" t="s">
        <v>2145</v>
      </c>
      <c r="U3120">
        <v>0.51</v>
      </c>
      <c r="V3120" t="s">
        <v>4882</v>
      </c>
      <c r="W3120" t="s">
        <v>290</v>
      </c>
      <c r="X3120" t="s">
        <v>2625</v>
      </c>
      <c r="Y3120" t="s">
        <v>712</v>
      </c>
      <c r="Z3120" t="s">
        <v>10169</v>
      </c>
      <c r="AA3120">
        <v>1.63</v>
      </c>
      <c r="AB3120" t="s">
        <v>212</v>
      </c>
      <c r="AC3120" t="s">
        <v>1063</v>
      </c>
      <c r="AD3120" t="s">
        <v>3981</v>
      </c>
      <c r="AE3120" t="s">
        <v>3814</v>
      </c>
      <c r="AF3120" t="s">
        <v>7453</v>
      </c>
      <c r="AG3120" t="s">
        <v>289</v>
      </c>
      <c r="AH3120" t="s">
        <v>1082</v>
      </c>
      <c r="AI3120" t="s">
        <v>4133</v>
      </c>
      <c r="AJ3120" t="s">
        <v>164</v>
      </c>
      <c r="AK3120" t="s">
        <v>20685</v>
      </c>
      <c r="AL3120">
        <v>0.77</v>
      </c>
      <c r="AM3120">
        <v>0.63</v>
      </c>
      <c r="AN3120">
        <v>1.59</v>
      </c>
      <c r="AO3120" t="s">
        <v>13335</v>
      </c>
      <c r="AP3120" t="s">
        <v>13335</v>
      </c>
      <c r="AQ3120" t="s">
        <v>5471</v>
      </c>
      <c r="AR3120" t="s">
        <v>5660</v>
      </c>
      <c r="AS3120" t="s">
        <v>2424</v>
      </c>
      <c r="AT3120" t="s">
        <v>295</v>
      </c>
      <c r="AU3120" t="s">
        <v>4436</v>
      </c>
      <c r="AV3120" t="s">
        <v>3496</v>
      </c>
      <c r="AW3120" t="s">
        <v>1851</v>
      </c>
      <c r="AX3120" t="s">
        <v>4742</v>
      </c>
      <c r="AY3120" t="s">
        <v>1851</v>
      </c>
      <c r="AZ3120" t="s">
        <v>6809</v>
      </c>
      <c r="BA3120">
        <v>1.76</v>
      </c>
      <c r="BB3120">
        <v>19413.580000000002</v>
      </c>
      <c r="BC3120">
        <v>0.38</v>
      </c>
      <c r="BD3120">
        <v>33.78</v>
      </c>
      <c r="BE3120">
        <v>34.1</v>
      </c>
      <c r="BF3120">
        <v>33.619999999999997</v>
      </c>
      <c r="BG3120" t="s">
        <v>27520</v>
      </c>
      <c r="BH3120" t="s">
        <v>4580</v>
      </c>
      <c r="BI3120" t="s">
        <v>27521</v>
      </c>
      <c r="BJ3120" t="s">
        <v>101</v>
      </c>
      <c r="BK3120" t="s">
        <v>7437</v>
      </c>
      <c r="BL3120" t="s">
        <v>6202</v>
      </c>
      <c r="BM3120" t="s">
        <v>2694</v>
      </c>
      <c r="BN3120" t="s">
        <v>23454</v>
      </c>
    </row>
    <row r="3121" spans="1:66" x14ac:dyDescent="0.25">
      <c r="A3121" t="str">
        <f>HYPERLINK("https://elite.finviz.com/quote.ashx?t=SLDB&amp;ty=c&amp;p=d&amp;b=1", "SLDB")</f>
        <v>SLDB</v>
      </c>
      <c r="B3121">
        <v>5</v>
      </c>
      <c r="C3121">
        <v>116.22</v>
      </c>
      <c r="D3121">
        <v>55.03</v>
      </c>
      <c r="E3121" t="s">
        <v>27522</v>
      </c>
      <c r="F3121" t="s">
        <v>67</v>
      </c>
      <c r="G3121" t="s">
        <v>428</v>
      </c>
      <c r="H3121" t="s">
        <v>429</v>
      </c>
      <c r="I3121" t="s">
        <v>70</v>
      </c>
      <c r="J3121" t="s">
        <v>321</v>
      </c>
      <c r="K3121">
        <v>457.09</v>
      </c>
      <c r="L3121">
        <v>5.87</v>
      </c>
      <c r="M3121" t="s">
        <v>5424</v>
      </c>
      <c r="N3121">
        <v>184800</v>
      </c>
      <c r="S3121">
        <v>1.76</v>
      </c>
      <c r="AA3121">
        <v>-2.8</v>
      </c>
      <c r="AB3121" t="s">
        <v>8653</v>
      </c>
      <c r="AC3121" t="s">
        <v>14383</v>
      </c>
      <c r="AD3121" t="s">
        <v>535</v>
      </c>
      <c r="AI3121" t="s">
        <v>4455</v>
      </c>
      <c r="AJ3121" t="s">
        <v>164</v>
      </c>
      <c r="AK3121" t="s">
        <v>27523</v>
      </c>
      <c r="AL3121">
        <v>9.34</v>
      </c>
      <c r="AM3121">
        <v>9.34</v>
      </c>
      <c r="AN3121">
        <v>0.09</v>
      </c>
      <c r="AR3121" t="s">
        <v>2400</v>
      </c>
      <c r="AS3121" t="s">
        <v>11629</v>
      </c>
      <c r="AT3121" t="s">
        <v>7236</v>
      </c>
      <c r="AU3121" t="s">
        <v>11830</v>
      </c>
      <c r="AV3121" t="s">
        <v>5429</v>
      </c>
      <c r="AW3121" t="s">
        <v>844</v>
      </c>
      <c r="AX3121" t="s">
        <v>14815</v>
      </c>
      <c r="AY3121" t="s">
        <v>24107</v>
      </c>
      <c r="AZ3121" t="s">
        <v>27524</v>
      </c>
      <c r="BA3121">
        <v>1.08</v>
      </c>
      <c r="BB3121">
        <v>1299.6199999999999</v>
      </c>
      <c r="BC3121">
        <v>0.5</v>
      </c>
      <c r="BD3121">
        <v>5.92</v>
      </c>
      <c r="BE3121">
        <v>6.01</v>
      </c>
      <c r="BF3121">
        <v>5.78</v>
      </c>
      <c r="BG3121" t="s">
        <v>27525</v>
      </c>
      <c r="BH3121" t="s">
        <v>13235</v>
      </c>
      <c r="BI3121" t="s">
        <v>27526</v>
      </c>
      <c r="BJ3121" t="s">
        <v>101</v>
      </c>
      <c r="BK3121" t="s">
        <v>11397</v>
      </c>
      <c r="BL3121" t="s">
        <v>3816</v>
      </c>
      <c r="BM3121" t="s">
        <v>12994</v>
      </c>
      <c r="BN3121" t="s">
        <v>23454</v>
      </c>
    </row>
    <row r="3122" spans="1:66" x14ac:dyDescent="0.25">
      <c r="A3122" t="str">
        <f>HYPERLINK("https://elite.finviz.com/quote.ashx?t=XBIO&amp;ty=c&amp;p=d&amp;b=1", "XBIO")</f>
        <v>XBIO</v>
      </c>
      <c r="B3122">
        <v>5</v>
      </c>
      <c r="C3122">
        <v>116.22</v>
      </c>
      <c r="D3122">
        <v>55.04</v>
      </c>
      <c r="E3122" t="s">
        <v>27527</v>
      </c>
      <c r="F3122" t="s">
        <v>107</v>
      </c>
      <c r="G3122" t="s">
        <v>428</v>
      </c>
      <c r="H3122" t="s">
        <v>429</v>
      </c>
      <c r="I3122" t="s">
        <v>70</v>
      </c>
      <c r="J3122" t="s">
        <v>321</v>
      </c>
      <c r="K3122">
        <v>5.05</v>
      </c>
      <c r="L3122">
        <v>3.27</v>
      </c>
      <c r="M3122" t="s">
        <v>3761</v>
      </c>
      <c r="N3122">
        <v>4566</v>
      </c>
      <c r="R3122">
        <v>2.06</v>
      </c>
      <c r="S3122">
        <v>1.1299999999999999</v>
      </c>
      <c r="AA3122">
        <v>-2</v>
      </c>
      <c r="AB3122" t="s">
        <v>2825</v>
      </c>
      <c r="AC3122" t="s">
        <v>18280</v>
      </c>
      <c r="AD3122" t="s">
        <v>13943</v>
      </c>
      <c r="AE3122" t="s">
        <v>3845</v>
      </c>
      <c r="AF3122" t="s">
        <v>13179</v>
      </c>
      <c r="AG3122" t="s">
        <v>12252</v>
      </c>
      <c r="AH3122" t="s">
        <v>27528</v>
      </c>
      <c r="AI3122" t="s">
        <v>9296</v>
      </c>
      <c r="AJ3122" t="s">
        <v>164</v>
      </c>
      <c r="AK3122" t="s">
        <v>4690</v>
      </c>
      <c r="AL3122">
        <v>5.93</v>
      </c>
      <c r="AM3122">
        <v>5.93</v>
      </c>
      <c r="AN3122">
        <v>0</v>
      </c>
      <c r="AP3122" t="s">
        <v>27529</v>
      </c>
      <c r="AQ3122" t="s">
        <v>27530</v>
      </c>
      <c r="AR3122" t="s">
        <v>1063</v>
      </c>
      <c r="AS3122" t="s">
        <v>2448</v>
      </c>
      <c r="AT3122" t="s">
        <v>4495</v>
      </c>
      <c r="AU3122" t="s">
        <v>9651</v>
      </c>
      <c r="AV3122" t="s">
        <v>103</v>
      </c>
      <c r="AW3122" t="s">
        <v>11328</v>
      </c>
      <c r="AX3122" t="s">
        <v>1628</v>
      </c>
      <c r="AY3122" t="s">
        <v>773</v>
      </c>
      <c r="AZ3122" t="s">
        <v>8681</v>
      </c>
      <c r="BA3122">
        <v>3</v>
      </c>
      <c r="BB3122">
        <v>33.53</v>
      </c>
      <c r="BC3122">
        <v>0.48</v>
      </c>
      <c r="BD3122">
        <v>3.24</v>
      </c>
      <c r="BE3122">
        <v>3.27</v>
      </c>
      <c r="BF3122">
        <v>3.07</v>
      </c>
      <c r="BG3122" t="s">
        <v>27531</v>
      </c>
      <c r="BH3122" t="s">
        <v>3320</v>
      </c>
      <c r="BI3122" t="s">
        <v>8681</v>
      </c>
      <c r="BJ3122" t="s">
        <v>101</v>
      </c>
      <c r="BK3122" t="s">
        <v>5134</v>
      </c>
      <c r="BL3122" t="s">
        <v>4222</v>
      </c>
      <c r="BM3122" t="s">
        <v>24147</v>
      </c>
      <c r="BN3122" t="s">
        <v>26674</v>
      </c>
    </row>
    <row r="3123" spans="1:66" x14ac:dyDescent="0.25">
      <c r="A3123" t="str">
        <f>HYPERLINK("https://elite.finviz.com/quote.ashx?t=LBRDK&amp;ty=c&amp;p=d&amp;b=1", "LBRDK")</f>
        <v>LBRDK</v>
      </c>
      <c r="B3123">
        <v>5</v>
      </c>
      <c r="C3123">
        <v>116.22</v>
      </c>
      <c r="D3123">
        <v>55.24</v>
      </c>
      <c r="E3123" t="s">
        <v>27532</v>
      </c>
      <c r="F3123" t="s">
        <v>107</v>
      </c>
      <c r="G3123" t="s">
        <v>598</v>
      </c>
      <c r="H3123" t="s">
        <v>6147</v>
      </c>
      <c r="I3123" t="s">
        <v>70</v>
      </c>
      <c r="J3123" t="s">
        <v>321</v>
      </c>
      <c r="K3123">
        <v>9062.16</v>
      </c>
      <c r="L3123">
        <v>63.17</v>
      </c>
      <c r="M3123" t="s">
        <v>2572</v>
      </c>
      <c r="N3123">
        <v>270787</v>
      </c>
      <c r="O3123">
        <v>8.33</v>
      </c>
      <c r="P3123">
        <v>13.7</v>
      </c>
      <c r="R3123">
        <v>8.61</v>
      </c>
      <c r="S3123">
        <v>0.87</v>
      </c>
      <c r="Z3123" t="s">
        <v>164</v>
      </c>
      <c r="AA3123">
        <v>7.58</v>
      </c>
      <c r="AB3123" t="s">
        <v>583</v>
      </c>
      <c r="AC3123" t="s">
        <v>25343</v>
      </c>
      <c r="AD3123" t="s">
        <v>3845</v>
      </c>
      <c r="AE3123" t="s">
        <v>1653</v>
      </c>
      <c r="AF3123" t="s">
        <v>2759</v>
      </c>
      <c r="AG3123" t="s">
        <v>22189</v>
      </c>
      <c r="AH3123" t="s">
        <v>6183</v>
      </c>
      <c r="AJ3123" t="s">
        <v>164</v>
      </c>
      <c r="AK3123" t="s">
        <v>27533</v>
      </c>
      <c r="AL3123">
        <v>0.6</v>
      </c>
      <c r="AM3123">
        <v>0.6</v>
      </c>
      <c r="AN3123">
        <v>0.3</v>
      </c>
      <c r="AO3123" t="s">
        <v>13466</v>
      </c>
      <c r="AP3123" t="s">
        <v>13765</v>
      </c>
      <c r="AQ3123" t="s">
        <v>12510</v>
      </c>
      <c r="AR3123" t="s">
        <v>862</v>
      </c>
      <c r="AS3123" t="s">
        <v>4687</v>
      </c>
      <c r="AT3123" t="s">
        <v>289</v>
      </c>
      <c r="AU3123" t="s">
        <v>3484</v>
      </c>
      <c r="AV3123" t="s">
        <v>12000</v>
      </c>
      <c r="AW3123" t="s">
        <v>26178</v>
      </c>
      <c r="AX3123" t="s">
        <v>3212</v>
      </c>
      <c r="AY3123" t="s">
        <v>22829</v>
      </c>
      <c r="AZ3123" t="s">
        <v>3212</v>
      </c>
      <c r="BA3123">
        <v>2</v>
      </c>
      <c r="BB3123">
        <v>1746.05</v>
      </c>
      <c r="BC3123">
        <v>0.55000000000000004</v>
      </c>
      <c r="BD3123">
        <v>62.21</v>
      </c>
      <c r="BE3123">
        <v>63.87</v>
      </c>
      <c r="BF3123">
        <v>62.45</v>
      </c>
      <c r="BG3123" t="s">
        <v>27534</v>
      </c>
      <c r="BH3123" t="s">
        <v>11004</v>
      </c>
      <c r="BI3123" t="s">
        <v>26700</v>
      </c>
      <c r="BJ3123" t="s">
        <v>101</v>
      </c>
      <c r="BK3123" t="s">
        <v>26311</v>
      </c>
      <c r="BL3123" t="s">
        <v>10323</v>
      </c>
      <c r="BM3123" t="s">
        <v>20045</v>
      </c>
      <c r="BN3123" t="s">
        <v>23454</v>
      </c>
    </row>
    <row r="3124" spans="1:66" x14ac:dyDescent="0.25">
      <c r="A3124" t="str">
        <f>HYPERLINK("https://elite.finviz.com/quote.ashx?t=IT&amp;ty=c&amp;p=d&amp;b=1", "IT")</f>
        <v>IT</v>
      </c>
      <c r="B3124">
        <v>5</v>
      </c>
      <c r="C3124">
        <v>116.22</v>
      </c>
      <c r="D3124">
        <v>55.5</v>
      </c>
      <c r="E3124" t="s">
        <v>27535</v>
      </c>
      <c r="F3124" t="s">
        <v>195</v>
      </c>
      <c r="G3124" t="s">
        <v>108</v>
      </c>
      <c r="H3124" t="s">
        <v>1322</v>
      </c>
      <c r="I3124" t="s">
        <v>70</v>
      </c>
      <c r="J3124" t="s">
        <v>71</v>
      </c>
      <c r="K3124">
        <v>19999.55</v>
      </c>
      <c r="L3124">
        <v>264.07</v>
      </c>
      <c r="M3124" t="s">
        <v>3463</v>
      </c>
      <c r="N3124">
        <v>412093</v>
      </c>
      <c r="O3124">
        <v>16.239999999999998</v>
      </c>
      <c r="P3124">
        <v>20.350000000000001</v>
      </c>
      <c r="Q3124">
        <v>12.89</v>
      </c>
      <c r="R3124">
        <v>3.12</v>
      </c>
      <c r="S3124">
        <v>13.23</v>
      </c>
      <c r="Z3124" t="s">
        <v>164</v>
      </c>
      <c r="AA3124">
        <v>16.260000000000002</v>
      </c>
      <c r="AB3124" t="s">
        <v>4832</v>
      </c>
      <c r="AC3124" t="s">
        <v>21139</v>
      </c>
      <c r="AD3124" t="s">
        <v>80</v>
      </c>
      <c r="AE3124" t="s">
        <v>4551</v>
      </c>
      <c r="AF3124" t="s">
        <v>7407</v>
      </c>
      <c r="AG3124" t="s">
        <v>2655</v>
      </c>
      <c r="AH3124" t="s">
        <v>4641</v>
      </c>
      <c r="AI3124" t="s">
        <v>5642</v>
      </c>
      <c r="AJ3124" t="s">
        <v>1086</v>
      </c>
      <c r="AK3124" t="s">
        <v>27536</v>
      </c>
      <c r="AL3124">
        <v>1.01</v>
      </c>
      <c r="AM3124">
        <v>1.01</v>
      </c>
      <c r="AN3124">
        <v>1.87</v>
      </c>
      <c r="AO3124" t="s">
        <v>15557</v>
      </c>
      <c r="AP3124" t="s">
        <v>2733</v>
      </c>
      <c r="AQ3124" t="s">
        <v>7804</v>
      </c>
      <c r="AR3124" t="s">
        <v>179</v>
      </c>
      <c r="AS3124" t="s">
        <v>1768</v>
      </c>
      <c r="AT3124" t="s">
        <v>3054</v>
      </c>
      <c r="AU3124" t="s">
        <v>13522</v>
      </c>
      <c r="AV3124" t="s">
        <v>14470</v>
      </c>
      <c r="AW3124" t="s">
        <v>8011</v>
      </c>
      <c r="AX3124" t="s">
        <v>433</v>
      </c>
      <c r="AY3124" t="s">
        <v>27537</v>
      </c>
      <c r="AZ3124" t="s">
        <v>433</v>
      </c>
      <c r="BA3124">
        <v>2.5</v>
      </c>
      <c r="BB3124">
        <v>1426.24</v>
      </c>
      <c r="BC3124">
        <v>1.02</v>
      </c>
      <c r="BD3124">
        <v>262.39999999999998</v>
      </c>
      <c r="BE3124">
        <v>264.64</v>
      </c>
      <c r="BF3124">
        <v>260.92</v>
      </c>
      <c r="BG3124" t="s">
        <v>27538</v>
      </c>
      <c r="BH3124" t="s">
        <v>27537</v>
      </c>
      <c r="BI3124" t="s">
        <v>27539</v>
      </c>
      <c r="BJ3124" t="s">
        <v>101</v>
      </c>
      <c r="BK3124" t="s">
        <v>26621</v>
      </c>
      <c r="BL3124" t="s">
        <v>7034</v>
      </c>
      <c r="BM3124" t="s">
        <v>18563</v>
      </c>
      <c r="BN3124" t="s">
        <v>23454</v>
      </c>
    </row>
    <row r="3125" spans="1:66" x14ac:dyDescent="0.25">
      <c r="A3125" t="str">
        <f>HYPERLINK("https://elite.finviz.com/quote.ashx?t=BYND&amp;ty=c&amp;p=d&amp;b=1", "BYND")</f>
        <v>BYND</v>
      </c>
      <c r="B3125">
        <v>5</v>
      </c>
      <c r="C3125">
        <v>116.22</v>
      </c>
      <c r="D3125">
        <v>55.54</v>
      </c>
      <c r="E3125" t="s">
        <v>27540</v>
      </c>
      <c r="F3125" t="s">
        <v>67</v>
      </c>
      <c r="G3125" t="s">
        <v>2244</v>
      </c>
      <c r="H3125" t="s">
        <v>3269</v>
      </c>
      <c r="I3125" t="s">
        <v>70</v>
      </c>
      <c r="J3125" t="s">
        <v>321</v>
      </c>
      <c r="K3125">
        <v>216.92</v>
      </c>
      <c r="L3125">
        <v>2.83</v>
      </c>
      <c r="M3125" t="s">
        <v>164</v>
      </c>
      <c r="N3125">
        <v>412991</v>
      </c>
      <c r="R3125">
        <v>0.72</v>
      </c>
      <c r="AA3125">
        <v>-2.13</v>
      </c>
      <c r="AB3125" t="s">
        <v>892</v>
      </c>
      <c r="AC3125" t="s">
        <v>27541</v>
      </c>
      <c r="AD3125" t="s">
        <v>5759</v>
      </c>
      <c r="AE3125" t="s">
        <v>6469</v>
      </c>
      <c r="AF3125" t="s">
        <v>12057</v>
      </c>
      <c r="AG3125" t="s">
        <v>4267</v>
      </c>
      <c r="AH3125" t="s">
        <v>13555</v>
      </c>
      <c r="AI3125" t="s">
        <v>23553</v>
      </c>
      <c r="AJ3125" t="s">
        <v>4699</v>
      </c>
      <c r="AK3125" t="s">
        <v>18480</v>
      </c>
      <c r="AL3125">
        <v>3.29</v>
      </c>
      <c r="AM3125">
        <v>2.0699999999999998</v>
      </c>
      <c r="AO3125" t="s">
        <v>2849</v>
      </c>
      <c r="AP3125" t="s">
        <v>26065</v>
      </c>
      <c r="AQ3125" t="s">
        <v>11938</v>
      </c>
      <c r="AR3125" t="s">
        <v>4254</v>
      </c>
      <c r="AS3125" t="s">
        <v>1772</v>
      </c>
      <c r="AT3125" t="s">
        <v>6584</v>
      </c>
      <c r="AU3125" t="s">
        <v>3999</v>
      </c>
      <c r="AV3125" t="s">
        <v>11692</v>
      </c>
      <c r="AW3125" t="s">
        <v>18026</v>
      </c>
      <c r="AX3125" t="s">
        <v>4745</v>
      </c>
      <c r="AY3125" t="s">
        <v>27542</v>
      </c>
      <c r="AZ3125" t="s">
        <v>9223</v>
      </c>
      <c r="BA3125">
        <v>4.25</v>
      </c>
      <c r="BB3125">
        <v>2552.02</v>
      </c>
      <c r="BC3125">
        <v>0.56999999999999995</v>
      </c>
      <c r="BD3125">
        <v>2.83</v>
      </c>
      <c r="BE3125">
        <v>2.88</v>
      </c>
      <c r="BF3125">
        <v>2.78</v>
      </c>
      <c r="BG3125" t="s">
        <v>27543</v>
      </c>
      <c r="BH3125" t="s">
        <v>21755</v>
      </c>
      <c r="BI3125" t="s">
        <v>9223</v>
      </c>
      <c r="BJ3125" t="s">
        <v>101</v>
      </c>
      <c r="BK3125" t="s">
        <v>18117</v>
      </c>
      <c r="BL3125" t="s">
        <v>16239</v>
      </c>
      <c r="BM3125" t="s">
        <v>24216</v>
      </c>
      <c r="BN3125" t="s">
        <v>23454</v>
      </c>
    </row>
    <row r="3126" spans="1:66" x14ac:dyDescent="0.25">
      <c r="A3126" t="str">
        <f>HYPERLINK("https://elite.finviz.com/quote.ashx?t=ED&amp;ty=c&amp;p=d&amp;b=1", "ED")</f>
        <v>ED</v>
      </c>
      <c r="B3126">
        <v>5</v>
      </c>
      <c r="C3126">
        <v>116.22</v>
      </c>
      <c r="D3126">
        <v>55.85</v>
      </c>
      <c r="E3126" t="s">
        <v>27544</v>
      </c>
      <c r="F3126" t="s">
        <v>195</v>
      </c>
      <c r="G3126" t="s">
        <v>287</v>
      </c>
      <c r="H3126" t="s">
        <v>676</v>
      </c>
      <c r="I3126" t="s">
        <v>70</v>
      </c>
      <c r="J3126" t="s">
        <v>71</v>
      </c>
      <c r="K3126">
        <v>35874.019999999997</v>
      </c>
      <c r="L3126">
        <v>99.47</v>
      </c>
      <c r="M3126" t="s">
        <v>1279</v>
      </c>
      <c r="N3126">
        <v>407022</v>
      </c>
      <c r="O3126">
        <v>18.04</v>
      </c>
      <c r="P3126">
        <v>16.55</v>
      </c>
      <c r="Q3126">
        <v>3.3</v>
      </c>
      <c r="R3126">
        <v>2.2200000000000002</v>
      </c>
      <c r="S3126">
        <v>1.37</v>
      </c>
      <c r="T3126" t="s">
        <v>6150</v>
      </c>
      <c r="U3126">
        <v>3.38</v>
      </c>
      <c r="V3126" t="s">
        <v>8649</v>
      </c>
      <c r="W3126" t="s">
        <v>2789</v>
      </c>
      <c r="X3126" t="s">
        <v>4255</v>
      </c>
      <c r="Y3126" t="s">
        <v>2640</v>
      </c>
      <c r="Z3126" t="s">
        <v>27545</v>
      </c>
      <c r="AA3126">
        <v>5.52</v>
      </c>
      <c r="AB3126" t="s">
        <v>8319</v>
      </c>
      <c r="AC3126" t="s">
        <v>6527</v>
      </c>
      <c r="AD3126" t="s">
        <v>272</v>
      </c>
      <c r="AE3126" t="s">
        <v>2984</v>
      </c>
      <c r="AF3126" t="s">
        <v>1050</v>
      </c>
      <c r="AG3126" t="s">
        <v>4323</v>
      </c>
      <c r="AH3126" t="s">
        <v>8209</v>
      </c>
      <c r="AI3126" t="s">
        <v>247</v>
      </c>
      <c r="AJ3126" t="s">
        <v>164</v>
      </c>
      <c r="AK3126" t="s">
        <v>8463</v>
      </c>
      <c r="AL3126">
        <v>1.1000000000000001</v>
      </c>
      <c r="AM3126">
        <v>1.01</v>
      </c>
      <c r="AN3126">
        <v>1.1399999999999999</v>
      </c>
      <c r="AO3126" t="s">
        <v>27546</v>
      </c>
      <c r="AP3126" t="s">
        <v>9281</v>
      </c>
      <c r="AQ3126" t="s">
        <v>3492</v>
      </c>
      <c r="AR3126" t="s">
        <v>6829</v>
      </c>
      <c r="AS3126" t="s">
        <v>3976</v>
      </c>
      <c r="AT3126" t="s">
        <v>6975</v>
      </c>
      <c r="AU3126" t="s">
        <v>2694</v>
      </c>
      <c r="AV3126" t="s">
        <v>5789</v>
      </c>
      <c r="AW3126" t="s">
        <v>15918</v>
      </c>
      <c r="AX3126" t="s">
        <v>2472</v>
      </c>
      <c r="AY3126" t="s">
        <v>1951</v>
      </c>
      <c r="AZ3126" t="s">
        <v>1161</v>
      </c>
      <c r="BA3126">
        <v>3.33</v>
      </c>
      <c r="BB3126">
        <v>2357.5500000000002</v>
      </c>
      <c r="BC3126">
        <v>0.61</v>
      </c>
      <c r="BD3126">
        <v>98.35</v>
      </c>
      <c r="BE3126">
        <v>99.92</v>
      </c>
      <c r="BF3126">
        <v>98.19</v>
      </c>
      <c r="BG3126" t="s">
        <v>27547</v>
      </c>
      <c r="BH3126" t="s">
        <v>1951</v>
      </c>
      <c r="BI3126" t="s">
        <v>27548</v>
      </c>
      <c r="BJ3126" t="s">
        <v>101</v>
      </c>
      <c r="BK3126" t="s">
        <v>2185</v>
      </c>
      <c r="BL3126" t="s">
        <v>5197</v>
      </c>
      <c r="BM3126" t="s">
        <v>4920</v>
      </c>
      <c r="BN3126" t="s">
        <v>23454</v>
      </c>
    </row>
    <row r="3127" spans="1:66" x14ac:dyDescent="0.25">
      <c r="A3127" t="str">
        <f>HYPERLINK("https://elite.finviz.com/quote.ashx?t=NDRA&amp;ty=c&amp;p=d&amp;b=1", "NDRA")</f>
        <v>NDRA</v>
      </c>
      <c r="B3127">
        <v>5</v>
      </c>
      <c r="C3127">
        <v>116.22</v>
      </c>
      <c r="D3127">
        <v>55.88</v>
      </c>
      <c r="E3127" t="s">
        <v>27549</v>
      </c>
      <c r="F3127" t="s">
        <v>107</v>
      </c>
      <c r="G3127" t="s">
        <v>428</v>
      </c>
      <c r="H3127" t="s">
        <v>4202</v>
      </c>
      <c r="I3127" t="s">
        <v>70</v>
      </c>
      <c r="J3127" t="s">
        <v>321</v>
      </c>
      <c r="K3127">
        <v>3.65</v>
      </c>
      <c r="L3127">
        <v>4.8499999999999996</v>
      </c>
      <c r="M3127" t="s">
        <v>1820</v>
      </c>
      <c r="N3127">
        <v>13623</v>
      </c>
      <c r="S3127">
        <v>2.48</v>
      </c>
      <c r="AA3127">
        <v>-345.12</v>
      </c>
      <c r="AB3127" t="s">
        <v>13094</v>
      </c>
      <c r="AC3127" t="s">
        <v>27550</v>
      </c>
      <c r="AI3127" t="s">
        <v>1719</v>
      </c>
      <c r="AJ3127" t="s">
        <v>164</v>
      </c>
      <c r="AK3127" t="s">
        <v>3871</v>
      </c>
      <c r="AL3127">
        <v>3.21</v>
      </c>
      <c r="AM3127">
        <v>3.21</v>
      </c>
      <c r="AN3127">
        <v>0.38</v>
      </c>
      <c r="AR3127" t="s">
        <v>7210</v>
      </c>
      <c r="AS3127" t="s">
        <v>2884</v>
      </c>
      <c r="AT3127" t="s">
        <v>6593</v>
      </c>
      <c r="AU3127" t="s">
        <v>3999</v>
      </c>
      <c r="AV3127" t="s">
        <v>5592</v>
      </c>
      <c r="AW3127" t="s">
        <v>27551</v>
      </c>
      <c r="AX3127" t="s">
        <v>315</v>
      </c>
      <c r="AY3127" t="s">
        <v>16696</v>
      </c>
      <c r="AZ3127" t="s">
        <v>7660</v>
      </c>
      <c r="BA3127">
        <v>1</v>
      </c>
      <c r="BB3127">
        <v>1587.86</v>
      </c>
      <c r="BC3127">
        <v>0.03</v>
      </c>
      <c r="BD3127">
        <v>4.9000000000000004</v>
      </c>
      <c r="BE3127">
        <v>4.99</v>
      </c>
      <c r="BF3127">
        <v>4.79</v>
      </c>
      <c r="BG3127" t="s">
        <v>27552</v>
      </c>
      <c r="BH3127" t="s">
        <v>579</v>
      </c>
      <c r="BI3127" t="s">
        <v>7660</v>
      </c>
      <c r="BJ3127" t="s">
        <v>101</v>
      </c>
      <c r="BK3127" t="s">
        <v>27553</v>
      </c>
      <c r="BL3127" t="s">
        <v>10917</v>
      </c>
      <c r="BM3127" t="s">
        <v>27554</v>
      </c>
      <c r="BN3127" t="s">
        <v>23454</v>
      </c>
    </row>
    <row r="3128" spans="1:66" x14ac:dyDescent="0.25">
      <c r="A3128" t="str">
        <f>HYPERLINK("https://elite.finviz.com/quote.ashx?t=JOBY&amp;ty=c&amp;p=d&amp;b=1", "JOBY")</f>
        <v>JOBY</v>
      </c>
      <c r="B3128">
        <v>5</v>
      </c>
      <c r="C3128">
        <v>116.22</v>
      </c>
      <c r="D3128">
        <v>55.96</v>
      </c>
      <c r="E3128" t="s">
        <v>27555</v>
      </c>
      <c r="F3128" t="s">
        <v>67</v>
      </c>
      <c r="G3128" t="s">
        <v>260</v>
      </c>
      <c r="H3128" t="s">
        <v>7188</v>
      </c>
      <c r="I3128" t="s">
        <v>70</v>
      </c>
      <c r="J3128" t="s">
        <v>71</v>
      </c>
      <c r="K3128">
        <v>13499.43</v>
      </c>
      <c r="L3128">
        <v>15.77</v>
      </c>
      <c r="M3128" t="s">
        <v>2103</v>
      </c>
      <c r="N3128">
        <v>8688880</v>
      </c>
      <c r="R3128">
        <v>134994.32</v>
      </c>
      <c r="S3128">
        <v>14.93</v>
      </c>
      <c r="AA3128">
        <v>-1.06</v>
      </c>
      <c r="AB3128" t="s">
        <v>14774</v>
      </c>
      <c r="AC3128" t="s">
        <v>2205</v>
      </c>
      <c r="AD3128" t="s">
        <v>2205</v>
      </c>
      <c r="AE3128" t="s">
        <v>26158</v>
      </c>
      <c r="AH3128" t="s">
        <v>16315</v>
      </c>
      <c r="AI3128" t="s">
        <v>27556</v>
      </c>
      <c r="AJ3128" t="s">
        <v>2338</v>
      </c>
      <c r="AK3128" t="s">
        <v>19843</v>
      </c>
      <c r="AL3128">
        <v>17.23</v>
      </c>
      <c r="AM3128">
        <v>17.23</v>
      </c>
      <c r="AN3128">
        <v>0.03</v>
      </c>
      <c r="AO3128" t="s">
        <v>27557</v>
      </c>
      <c r="AP3128" t="s">
        <v>27558</v>
      </c>
      <c r="AQ3128" t="s">
        <v>27559</v>
      </c>
      <c r="AR3128" t="s">
        <v>5460</v>
      </c>
      <c r="AS3128" t="s">
        <v>414</v>
      </c>
      <c r="AT3128" t="s">
        <v>5557</v>
      </c>
      <c r="AU3128" t="s">
        <v>2760</v>
      </c>
      <c r="AV3128" t="s">
        <v>20859</v>
      </c>
      <c r="AW3128" t="s">
        <v>16656</v>
      </c>
      <c r="AX3128" t="s">
        <v>1185</v>
      </c>
      <c r="AY3128" t="s">
        <v>16656</v>
      </c>
      <c r="AZ3128" t="s">
        <v>27560</v>
      </c>
      <c r="BA3128">
        <v>3.29</v>
      </c>
      <c r="BB3128">
        <v>37906.21</v>
      </c>
      <c r="BC3128">
        <v>0.81</v>
      </c>
      <c r="BD3128">
        <v>15.86</v>
      </c>
      <c r="BE3128">
        <v>16.38</v>
      </c>
      <c r="BF3128">
        <v>15.58</v>
      </c>
      <c r="BG3128" t="s">
        <v>27561</v>
      </c>
      <c r="BH3128" t="s">
        <v>16656</v>
      </c>
      <c r="BI3128" t="s">
        <v>27562</v>
      </c>
      <c r="BJ3128" t="s">
        <v>101</v>
      </c>
      <c r="BK3128" t="s">
        <v>23249</v>
      </c>
      <c r="BL3128" t="s">
        <v>27563</v>
      </c>
      <c r="BM3128" t="s">
        <v>2959</v>
      </c>
      <c r="BN3128" t="s">
        <v>23454</v>
      </c>
    </row>
    <row r="3129" spans="1:66" x14ac:dyDescent="0.25">
      <c r="A3129" t="str">
        <f>HYPERLINK("https://elite.finviz.com/quote.ashx?t=CME&amp;ty=c&amp;p=d&amp;b=1", "CME")</f>
        <v>CME</v>
      </c>
      <c r="B3129">
        <v>5</v>
      </c>
      <c r="C3129">
        <v>116.22</v>
      </c>
      <c r="D3129">
        <v>56.09</v>
      </c>
      <c r="E3129" t="s">
        <v>27564</v>
      </c>
      <c r="F3129" t="s">
        <v>195</v>
      </c>
      <c r="G3129" t="s">
        <v>550</v>
      </c>
      <c r="H3129" t="s">
        <v>16129</v>
      </c>
      <c r="I3129" t="s">
        <v>70</v>
      </c>
      <c r="J3129" t="s">
        <v>321</v>
      </c>
      <c r="K3129">
        <v>96933.26</v>
      </c>
      <c r="L3129">
        <v>268.98</v>
      </c>
      <c r="M3129" t="s">
        <v>1324</v>
      </c>
      <c r="N3129">
        <v>356746</v>
      </c>
      <c r="O3129">
        <v>26.03</v>
      </c>
      <c r="P3129">
        <v>23.22</v>
      </c>
      <c r="Q3129">
        <v>4.3</v>
      </c>
      <c r="R3129">
        <v>15.04</v>
      </c>
      <c r="S3129">
        <v>3.49</v>
      </c>
      <c r="T3129" t="s">
        <v>1302</v>
      </c>
      <c r="U3129">
        <v>4.87</v>
      </c>
      <c r="V3129" t="s">
        <v>163</v>
      </c>
      <c r="W3129" t="s">
        <v>1021</v>
      </c>
      <c r="X3129" t="s">
        <v>3180</v>
      </c>
      <c r="Y3129" t="s">
        <v>8916</v>
      </c>
      <c r="Z3129" t="s">
        <v>27565</v>
      </c>
      <c r="AA3129">
        <v>10.33</v>
      </c>
      <c r="AB3129" t="s">
        <v>341</v>
      </c>
      <c r="AC3129" t="s">
        <v>2555</v>
      </c>
      <c r="AD3129" t="s">
        <v>8460</v>
      </c>
      <c r="AE3129" t="s">
        <v>5865</v>
      </c>
      <c r="AF3129" t="s">
        <v>9789</v>
      </c>
      <c r="AG3129" t="s">
        <v>5907</v>
      </c>
      <c r="AH3129" t="s">
        <v>12553</v>
      </c>
      <c r="AI3129" t="s">
        <v>4275</v>
      </c>
      <c r="AJ3129" t="s">
        <v>5746</v>
      </c>
      <c r="AK3129" t="s">
        <v>27566</v>
      </c>
      <c r="AL3129">
        <v>1.02</v>
      </c>
      <c r="AM3129">
        <v>1.02</v>
      </c>
      <c r="AN3129">
        <v>0.14000000000000001</v>
      </c>
      <c r="AO3129" t="s">
        <v>17767</v>
      </c>
      <c r="AP3129" t="s">
        <v>12840</v>
      </c>
      <c r="AQ3129" t="s">
        <v>18772</v>
      </c>
      <c r="AR3129" t="s">
        <v>3257</v>
      </c>
      <c r="AS3129" t="s">
        <v>9136</v>
      </c>
      <c r="AT3129" t="s">
        <v>5420</v>
      </c>
      <c r="AU3129" t="s">
        <v>240</v>
      </c>
      <c r="AV3129" t="s">
        <v>304</v>
      </c>
      <c r="AW3129" t="s">
        <v>134</v>
      </c>
      <c r="AX3129" t="s">
        <v>3025</v>
      </c>
      <c r="AY3129" t="s">
        <v>5271</v>
      </c>
      <c r="AZ3129" t="s">
        <v>17530</v>
      </c>
      <c r="BA3129">
        <v>2.52</v>
      </c>
      <c r="BB3129">
        <v>2014.48</v>
      </c>
      <c r="BC3129">
        <v>0.62</v>
      </c>
      <c r="BD3129">
        <v>268.73</v>
      </c>
      <c r="BE3129">
        <v>271.02</v>
      </c>
      <c r="BF3129">
        <v>268.37</v>
      </c>
      <c r="BG3129" t="s">
        <v>27567</v>
      </c>
      <c r="BH3129" t="s">
        <v>5271</v>
      </c>
      <c r="BI3129" t="s">
        <v>27568</v>
      </c>
      <c r="BJ3129" t="s">
        <v>101</v>
      </c>
      <c r="BK3129" t="s">
        <v>1863</v>
      </c>
      <c r="BL3129" t="s">
        <v>901</v>
      </c>
      <c r="BM3129" t="s">
        <v>12475</v>
      </c>
      <c r="BN3129" t="s">
        <v>23454</v>
      </c>
    </row>
    <row r="3130" spans="1:66" x14ac:dyDescent="0.25">
      <c r="A3130" t="str">
        <f>HYPERLINK("https://elite.finviz.com/quote.ashx?t=KOS&amp;ty=c&amp;p=d&amp;b=1", "KOS")</f>
        <v>KOS</v>
      </c>
      <c r="B3130">
        <v>5</v>
      </c>
      <c r="C3130">
        <v>116.22</v>
      </c>
      <c r="D3130">
        <v>56.14</v>
      </c>
      <c r="E3130" t="s">
        <v>27569</v>
      </c>
      <c r="F3130" t="s">
        <v>67</v>
      </c>
      <c r="G3130" t="s">
        <v>1048</v>
      </c>
      <c r="H3130" t="s">
        <v>1049</v>
      </c>
      <c r="I3130" t="s">
        <v>70</v>
      </c>
      <c r="J3130" t="s">
        <v>71</v>
      </c>
      <c r="K3130">
        <v>882.42</v>
      </c>
      <c r="L3130">
        <v>1.85</v>
      </c>
      <c r="M3130" t="s">
        <v>5188</v>
      </c>
      <c r="N3130">
        <v>2732979</v>
      </c>
      <c r="P3130">
        <v>16.170000000000002</v>
      </c>
      <c r="R3130">
        <v>0.59</v>
      </c>
      <c r="S3130">
        <v>0.87</v>
      </c>
      <c r="V3130" t="s">
        <v>27570</v>
      </c>
      <c r="Z3130" t="s">
        <v>164</v>
      </c>
      <c r="AA3130">
        <v>-0.34</v>
      </c>
      <c r="AD3130" t="s">
        <v>7469</v>
      </c>
      <c r="AE3130" t="s">
        <v>6352</v>
      </c>
      <c r="AF3130" t="s">
        <v>4416</v>
      </c>
      <c r="AG3130" t="s">
        <v>2640</v>
      </c>
      <c r="AH3130" t="s">
        <v>10240</v>
      </c>
      <c r="AI3130" t="s">
        <v>27571</v>
      </c>
      <c r="AJ3130" t="s">
        <v>1998</v>
      </c>
      <c r="AK3130" t="s">
        <v>23158</v>
      </c>
      <c r="AL3130">
        <v>0.45</v>
      </c>
      <c r="AM3130">
        <v>0.25</v>
      </c>
      <c r="AN3130">
        <v>2.8</v>
      </c>
      <c r="AO3130" t="s">
        <v>2795</v>
      </c>
      <c r="AP3130" t="s">
        <v>165</v>
      </c>
      <c r="AQ3130" t="s">
        <v>5846</v>
      </c>
      <c r="AR3130" t="s">
        <v>5527</v>
      </c>
      <c r="AS3130" t="s">
        <v>5527</v>
      </c>
      <c r="AT3130" t="s">
        <v>4760</v>
      </c>
      <c r="AU3130" t="s">
        <v>6182</v>
      </c>
      <c r="AV3130" t="s">
        <v>3165</v>
      </c>
      <c r="AW3130" t="s">
        <v>22938</v>
      </c>
      <c r="AX3130" t="s">
        <v>5775</v>
      </c>
      <c r="AY3130" t="s">
        <v>27572</v>
      </c>
      <c r="AZ3130" t="s">
        <v>21408</v>
      </c>
      <c r="BA3130">
        <v>1.89</v>
      </c>
      <c r="BB3130">
        <v>8774.15</v>
      </c>
      <c r="BC3130">
        <v>1.1000000000000001</v>
      </c>
      <c r="BD3130">
        <v>1.79</v>
      </c>
      <c r="BE3130">
        <v>1.88</v>
      </c>
      <c r="BF3130">
        <v>1.78</v>
      </c>
      <c r="BG3130" t="s">
        <v>27573</v>
      </c>
      <c r="BH3130" t="s">
        <v>26892</v>
      </c>
      <c r="BI3130" t="s">
        <v>27574</v>
      </c>
      <c r="BJ3130" t="s">
        <v>101</v>
      </c>
      <c r="BK3130" t="s">
        <v>2734</v>
      </c>
      <c r="BL3130" t="s">
        <v>27575</v>
      </c>
      <c r="BM3130" t="s">
        <v>27576</v>
      </c>
      <c r="BN3130" t="s">
        <v>23454</v>
      </c>
    </row>
    <row r="3131" spans="1:66" x14ac:dyDescent="0.25">
      <c r="A3131" t="str">
        <f>HYPERLINK("https://elite.finviz.com/quote.ashx?t=BBLG&amp;ty=c&amp;p=d&amp;b=1", "BBLG")</f>
        <v>BBLG</v>
      </c>
      <c r="B3131">
        <v>5</v>
      </c>
      <c r="C3131">
        <v>116.22</v>
      </c>
      <c r="D3131">
        <v>57.16</v>
      </c>
      <c r="E3131" t="s">
        <v>27577</v>
      </c>
      <c r="F3131" t="s">
        <v>107</v>
      </c>
      <c r="G3131" t="s">
        <v>428</v>
      </c>
      <c r="H3131" t="s">
        <v>2051</v>
      </c>
      <c r="I3131" t="s">
        <v>70</v>
      </c>
      <c r="J3131" t="s">
        <v>321</v>
      </c>
      <c r="K3131">
        <v>4.3600000000000003</v>
      </c>
      <c r="L3131">
        <v>2.4300000000000002</v>
      </c>
      <c r="M3131" t="s">
        <v>1476</v>
      </c>
      <c r="N3131">
        <v>225541</v>
      </c>
      <c r="S3131">
        <v>0.62</v>
      </c>
      <c r="AA3131">
        <v>-20.55</v>
      </c>
      <c r="AB3131" t="s">
        <v>8767</v>
      </c>
      <c r="AC3131" t="s">
        <v>17796</v>
      </c>
      <c r="AD3131" t="s">
        <v>21554</v>
      </c>
      <c r="AI3131" t="s">
        <v>164</v>
      </c>
      <c r="AJ3131" t="s">
        <v>164</v>
      </c>
      <c r="AK3131" t="s">
        <v>5549</v>
      </c>
      <c r="AL3131">
        <v>17.239999999999998</v>
      </c>
      <c r="AM3131">
        <v>17.239999999999998</v>
      </c>
      <c r="AN3131">
        <v>0</v>
      </c>
      <c r="AR3131" t="s">
        <v>8818</v>
      </c>
      <c r="AS3131" t="s">
        <v>7209</v>
      </c>
      <c r="AT3131" t="s">
        <v>5128</v>
      </c>
      <c r="AU3131" t="s">
        <v>2195</v>
      </c>
      <c r="AV3131" t="s">
        <v>15576</v>
      </c>
      <c r="AW3131" t="s">
        <v>27578</v>
      </c>
      <c r="AX3131" t="s">
        <v>9747</v>
      </c>
      <c r="AY3131" t="s">
        <v>27579</v>
      </c>
      <c r="AZ3131" t="s">
        <v>9747</v>
      </c>
      <c r="BA3131">
        <v>1</v>
      </c>
      <c r="BB3131">
        <v>2429.9899999999998</v>
      </c>
      <c r="BC3131">
        <v>0.33</v>
      </c>
      <c r="BD3131">
        <v>2.13</v>
      </c>
      <c r="BE3131">
        <v>2.44</v>
      </c>
      <c r="BF3131">
        <v>2.15</v>
      </c>
      <c r="BG3131" t="s">
        <v>27580</v>
      </c>
      <c r="BH3131" t="s">
        <v>579</v>
      </c>
      <c r="BI3131" t="s">
        <v>9747</v>
      </c>
      <c r="BJ3131" t="s">
        <v>101</v>
      </c>
      <c r="BK3131" t="s">
        <v>27581</v>
      </c>
      <c r="BL3131" t="s">
        <v>27582</v>
      </c>
      <c r="BM3131" t="s">
        <v>27583</v>
      </c>
      <c r="BN3131" t="s">
        <v>23454</v>
      </c>
    </row>
    <row r="3132" spans="1:66" x14ac:dyDescent="0.25">
      <c r="A3132" t="str">
        <f>HYPERLINK("https://elite.finviz.com/quote.ashx?t=AESI&amp;ty=c&amp;p=d&amp;b=1", "AESI")</f>
        <v>AESI</v>
      </c>
      <c r="B3132">
        <v>5</v>
      </c>
      <c r="C3132">
        <v>116.22</v>
      </c>
      <c r="D3132">
        <v>57.93</v>
      </c>
      <c r="E3132" t="s">
        <v>27584</v>
      </c>
      <c r="F3132" t="s">
        <v>67</v>
      </c>
      <c r="G3132" t="s">
        <v>1048</v>
      </c>
      <c r="H3132" t="s">
        <v>8341</v>
      </c>
      <c r="I3132" t="s">
        <v>70</v>
      </c>
      <c r="J3132" t="s">
        <v>71</v>
      </c>
      <c r="K3132">
        <v>1475.59</v>
      </c>
      <c r="L3132">
        <v>11.93</v>
      </c>
      <c r="M3132" t="s">
        <v>3173</v>
      </c>
      <c r="N3132">
        <v>346523</v>
      </c>
      <c r="O3132">
        <v>91.8</v>
      </c>
      <c r="P3132">
        <v>21.09</v>
      </c>
      <c r="Q3132">
        <v>5.87</v>
      </c>
      <c r="R3132">
        <v>1.27</v>
      </c>
      <c r="S3132">
        <v>1.1599999999999999</v>
      </c>
      <c r="T3132" t="s">
        <v>224</v>
      </c>
      <c r="U3132">
        <v>0.99</v>
      </c>
      <c r="V3132" t="s">
        <v>2708</v>
      </c>
      <c r="W3132" t="s">
        <v>3876</v>
      </c>
      <c r="Z3132" t="s">
        <v>23668</v>
      </c>
      <c r="AA3132">
        <v>0.13</v>
      </c>
      <c r="AB3132" t="s">
        <v>27585</v>
      </c>
      <c r="AD3132" t="s">
        <v>9175</v>
      </c>
      <c r="AE3132" t="s">
        <v>8025</v>
      </c>
      <c r="AF3132" t="s">
        <v>27586</v>
      </c>
      <c r="AG3132" t="s">
        <v>22376</v>
      </c>
      <c r="AH3132" t="s">
        <v>2423</v>
      </c>
      <c r="AI3132" t="s">
        <v>27587</v>
      </c>
      <c r="AJ3132" t="s">
        <v>2757</v>
      </c>
      <c r="AK3132" t="s">
        <v>25326</v>
      </c>
      <c r="AL3132">
        <v>1.56</v>
      </c>
      <c r="AM3132">
        <v>1.3</v>
      </c>
      <c r="AN3132">
        <v>0.43</v>
      </c>
      <c r="AO3132" t="s">
        <v>3059</v>
      </c>
      <c r="AP3132" t="s">
        <v>2124</v>
      </c>
      <c r="AQ3132" t="s">
        <v>1417</v>
      </c>
      <c r="AR3132" t="s">
        <v>3303</v>
      </c>
      <c r="AS3132" t="s">
        <v>3433</v>
      </c>
      <c r="AT3132" t="s">
        <v>2697</v>
      </c>
      <c r="AU3132" t="s">
        <v>1409</v>
      </c>
      <c r="AV3132" t="s">
        <v>14268</v>
      </c>
      <c r="AW3132" t="s">
        <v>10979</v>
      </c>
      <c r="AX3132" t="s">
        <v>8848</v>
      </c>
      <c r="AY3132" t="s">
        <v>11582</v>
      </c>
      <c r="AZ3132" t="s">
        <v>8848</v>
      </c>
      <c r="BA3132">
        <v>2.38</v>
      </c>
      <c r="BB3132">
        <v>1656</v>
      </c>
      <c r="BC3132">
        <v>0.74</v>
      </c>
      <c r="BD3132">
        <v>11.6</v>
      </c>
      <c r="BE3132">
        <v>12.07</v>
      </c>
      <c r="BF3132">
        <v>11.61</v>
      </c>
      <c r="BG3132" t="s">
        <v>27588</v>
      </c>
      <c r="BH3132" t="s">
        <v>11582</v>
      </c>
      <c r="BI3132" t="s">
        <v>8848</v>
      </c>
      <c r="BJ3132" t="s">
        <v>101</v>
      </c>
      <c r="BK3132" t="s">
        <v>967</v>
      </c>
      <c r="BL3132" t="s">
        <v>21170</v>
      </c>
      <c r="BM3132" t="s">
        <v>27589</v>
      </c>
      <c r="BN3132" t="s">
        <v>23454</v>
      </c>
    </row>
    <row r="3133" spans="1:66" x14ac:dyDescent="0.25">
      <c r="A3133" t="str">
        <f>HYPERLINK("https://elite.finviz.com/quote.ashx?t=KLG&amp;ty=c&amp;p=d&amp;b=1", "KLG")</f>
        <v>KLG</v>
      </c>
      <c r="B3133">
        <v>5</v>
      </c>
      <c r="C3133">
        <v>116.22</v>
      </c>
      <c r="D3133">
        <v>63.04</v>
      </c>
      <c r="E3133" t="s">
        <v>27590</v>
      </c>
      <c r="F3133" t="s">
        <v>67</v>
      </c>
      <c r="G3133" t="s">
        <v>2244</v>
      </c>
      <c r="H3133" t="s">
        <v>3269</v>
      </c>
      <c r="I3133" t="s">
        <v>70</v>
      </c>
      <c r="J3133" t="s">
        <v>71</v>
      </c>
      <c r="K3133">
        <v>1987.58</v>
      </c>
      <c r="L3133">
        <v>23</v>
      </c>
      <c r="M3133" t="s">
        <v>164</v>
      </c>
      <c r="N3133">
        <v>0</v>
      </c>
      <c r="O3133">
        <v>57.27</v>
      </c>
      <c r="P3133">
        <v>15.66</v>
      </c>
      <c r="Q3133">
        <v>520.64</v>
      </c>
      <c r="R3133">
        <v>0.76</v>
      </c>
      <c r="S3133">
        <v>5.75</v>
      </c>
      <c r="T3133" t="s">
        <v>465</v>
      </c>
      <c r="U3133">
        <v>0.66</v>
      </c>
      <c r="V3133" t="s">
        <v>4882</v>
      </c>
      <c r="W3133" t="s">
        <v>1441</v>
      </c>
      <c r="Z3133" t="s">
        <v>19988</v>
      </c>
      <c r="AA3133">
        <v>0.4</v>
      </c>
      <c r="AB3133" t="s">
        <v>13478</v>
      </c>
      <c r="AC3133" t="s">
        <v>6197</v>
      </c>
      <c r="AD3133" t="s">
        <v>211</v>
      </c>
      <c r="AE3133" t="s">
        <v>7468</v>
      </c>
      <c r="AF3133" t="s">
        <v>7484</v>
      </c>
      <c r="AG3133" t="s">
        <v>7089</v>
      </c>
      <c r="AH3133" t="s">
        <v>3502</v>
      </c>
      <c r="AI3133" t="s">
        <v>9612</v>
      </c>
      <c r="AJ3133" t="s">
        <v>164</v>
      </c>
      <c r="AK3133" t="s">
        <v>5209</v>
      </c>
      <c r="AL3133">
        <v>0.99</v>
      </c>
      <c r="AM3133">
        <v>0.47</v>
      </c>
      <c r="AN3133">
        <v>2.4900000000000002</v>
      </c>
      <c r="AO3133" t="s">
        <v>18724</v>
      </c>
      <c r="AP3133" t="s">
        <v>6225</v>
      </c>
      <c r="AQ3133" t="s">
        <v>1025</v>
      </c>
      <c r="AR3133" t="s">
        <v>2275</v>
      </c>
      <c r="AS3133" t="s">
        <v>2880</v>
      </c>
      <c r="AT3133" t="s">
        <v>1324</v>
      </c>
      <c r="AU3133" t="s">
        <v>2402</v>
      </c>
      <c r="AV3133" t="s">
        <v>1477</v>
      </c>
      <c r="AW3133" t="s">
        <v>10819</v>
      </c>
      <c r="AX3133" t="s">
        <v>6463</v>
      </c>
      <c r="AY3133" t="s">
        <v>10819</v>
      </c>
      <c r="AZ3133" t="s">
        <v>27591</v>
      </c>
      <c r="BA3133">
        <v>3.22</v>
      </c>
      <c r="BB3133">
        <v>2030.3</v>
      </c>
      <c r="BC3133">
        <v>0</v>
      </c>
      <c r="BD3133">
        <v>23</v>
      </c>
      <c r="BE3133">
        <v>23</v>
      </c>
      <c r="BF3133">
        <v>23</v>
      </c>
      <c r="BG3133" t="s">
        <v>27592</v>
      </c>
      <c r="BH3133" t="s">
        <v>4622</v>
      </c>
      <c r="BI3133" t="s">
        <v>27593</v>
      </c>
      <c r="BJ3133" t="s">
        <v>101</v>
      </c>
      <c r="BK3133" t="s">
        <v>27594</v>
      </c>
      <c r="BL3133" t="s">
        <v>631</v>
      </c>
      <c r="BM3133" t="s">
        <v>5634</v>
      </c>
      <c r="BN3133" t="s">
        <v>23454</v>
      </c>
    </row>
    <row r="3134" spans="1:66" x14ac:dyDescent="0.25">
      <c r="A3134" t="str">
        <f>HYPERLINK("https://elite.finviz.com/quote.ashx?t=BRCB&amp;ty=c&amp;p=d&amp;b=1", "BRCB")</f>
        <v>BRCB</v>
      </c>
      <c r="B3134">
        <v>5</v>
      </c>
      <c r="C3134">
        <v>116.22</v>
      </c>
      <c r="E3134" t="s">
        <v>27595</v>
      </c>
      <c r="F3134" t="s">
        <v>107</v>
      </c>
      <c r="G3134" t="s">
        <v>813</v>
      </c>
      <c r="H3134" t="s">
        <v>2285</v>
      </c>
      <c r="I3134" t="s">
        <v>70</v>
      </c>
      <c r="J3134" t="s">
        <v>321</v>
      </c>
      <c r="K3134">
        <v>1216.83</v>
      </c>
      <c r="L3134">
        <v>24.4</v>
      </c>
      <c r="M3134" t="s">
        <v>7272</v>
      </c>
      <c r="N3134">
        <v>24326</v>
      </c>
      <c r="AJ3134" t="s">
        <v>164</v>
      </c>
      <c r="AR3134" t="s">
        <v>6183</v>
      </c>
      <c r="AT3134" t="s">
        <v>7996</v>
      </c>
      <c r="AU3134" t="s">
        <v>7996</v>
      </c>
      <c r="AV3134" t="s">
        <v>7996</v>
      </c>
      <c r="AW3134" t="s">
        <v>17574</v>
      </c>
      <c r="AX3134" t="s">
        <v>5132</v>
      </c>
      <c r="AY3134" t="s">
        <v>17574</v>
      </c>
      <c r="AZ3134" t="s">
        <v>5132</v>
      </c>
      <c r="BB3134">
        <v>1277.67</v>
      </c>
      <c r="BC3134">
        <v>7.0000000000000007E-2</v>
      </c>
      <c r="BD3134">
        <v>25.01</v>
      </c>
      <c r="BE3134">
        <v>25.04</v>
      </c>
      <c r="BF3134">
        <v>24.85</v>
      </c>
      <c r="BG3134" t="s">
        <v>27596</v>
      </c>
      <c r="BH3134" t="s">
        <v>17574</v>
      </c>
      <c r="BI3134" t="s">
        <v>5132</v>
      </c>
      <c r="BJ3134" t="s">
        <v>101</v>
      </c>
      <c r="BN3134" t="s">
        <v>23454</v>
      </c>
    </row>
    <row r="3135" spans="1:66" x14ac:dyDescent="0.25">
      <c r="A3135" t="str">
        <f>HYPERLINK("https://elite.finviz.com/quote.ashx?t=DMIIU&amp;ty=c&amp;p=d&amp;b=1", "DMIIU")</f>
        <v>DMIIU</v>
      </c>
      <c r="B3135">
        <v>5</v>
      </c>
      <c r="C3135">
        <v>116.22</v>
      </c>
      <c r="E3135" t="s">
        <v>27597</v>
      </c>
      <c r="F3135" t="s">
        <v>107</v>
      </c>
      <c r="G3135" t="s">
        <v>550</v>
      </c>
      <c r="H3135" t="s">
        <v>2120</v>
      </c>
      <c r="I3135" t="s">
        <v>70</v>
      </c>
      <c r="J3135" t="s">
        <v>321</v>
      </c>
      <c r="K3135">
        <v>498.5</v>
      </c>
      <c r="L3135">
        <v>9.9700000000000006</v>
      </c>
      <c r="M3135" t="s">
        <v>2213</v>
      </c>
      <c r="N3135">
        <v>963693</v>
      </c>
      <c r="AL3135">
        <v>0.04</v>
      </c>
      <c r="AM3135">
        <v>0.04</v>
      </c>
      <c r="AT3135" t="s">
        <v>2638</v>
      </c>
      <c r="AU3135" t="s">
        <v>2638</v>
      </c>
      <c r="AV3135" t="s">
        <v>2638</v>
      </c>
      <c r="AW3135" t="s">
        <v>2213</v>
      </c>
      <c r="AX3135" t="s">
        <v>1083</v>
      </c>
      <c r="AY3135" t="s">
        <v>2213</v>
      </c>
      <c r="AZ3135" t="s">
        <v>1083</v>
      </c>
      <c r="BB3135">
        <v>28823.200000000001</v>
      </c>
      <c r="BC3135">
        <v>0.12</v>
      </c>
      <c r="BD3135">
        <v>9.99</v>
      </c>
      <c r="BE3135">
        <v>9.98</v>
      </c>
      <c r="BF3135">
        <v>9.9600000000000009</v>
      </c>
      <c r="BG3135" t="s">
        <v>27598</v>
      </c>
      <c r="BH3135" t="s">
        <v>2213</v>
      </c>
      <c r="BI3135" t="s">
        <v>1083</v>
      </c>
      <c r="BJ3135" t="s">
        <v>101</v>
      </c>
      <c r="BN3135" t="s">
        <v>23454</v>
      </c>
    </row>
    <row r="3136" spans="1:66" x14ac:dyDescent="0.25">
      <c r="A3136" t="str">
        <f>HYPERLINK("https://elite.finviz.com/quote.ashx?t=EMISU&amp;ty=c&amp;p=d&amp;b=1", "EMISU")</f>
        <v>EMISU</v>
      </c>
      <c r="B3136">
        <v>5</v>
      </c>
      <c r="C3136">
        <v>116.22</v>
      </c>
      <c r="E3136" t="s">
        <v>27599</v>
      </c>
      <c r="F3136" t="s">
        <v>107</v>
      </c>
      <c r="G3136" t="s">
        <v>550</v>
      </c>
      <c r="H3136" t="s">
        <v>2120</v>
      </c>
      <c r="I3136" t="s">
        <v>70</v>
      </c>
      <c r="J3136" t="s">
        <v>321</v>
      </c>
      <c r="K3136">
        <v>99.9</v>
      </c>
      <c r="L3136">
        <v>9.99</v>
      </c>
      <c r="M3136" t="s">
        <v>164</v>
      </c>
      <c r="N3136">
        <v>92646</v>
      </c>
      <c r="AL3136">
        <v>0</v>
      </c>
      <c r="AM3136">
        <v>0</v>
      </c>
      <c r="AT3136" t="s">
        <v>164</v>
      </c>
      <c r="AU3136" t="s">
        <v>164</v>
      </c>
      <c r="AV3136" t="s">
        <v>164</v>
      </c>
      <c r="AW3136" t="s">
        <v>2213</v>
      </c>
      <c r="AX3136" t="s">
        <v>2757</v>
      </c>
      <c r="AY3136" t="s">
        <v>2213</v>
      </c>
      <c r="AZ3136" t="s">
        <v>2757</v>
      </c>
      <c r="BB3136">
        <v>2176.88</v>
      </c>
      <c r="BC3136">
        <v>0.15</v>
      </c>
      <c r="BD3136">
        <v>9.99</v>
      </c>
      <c r="BE3136">
        <v>10</v>
      </c>
      <c r="BF3136">
        <v>9.99</v>
      </c>
      <c r="BG3136" t="s">
        <v>27600</v>
      </c>
      <c r="BH3136" t="s">
        <v>2213</v>
      </c>
      <c r="BI3136" t="s">
        <v>2757</v>
      </c>
      <c r="BJ3136" t="s">
        <v>101</v>
      </c>
      <c r="BN3136" t="s">
        <v>23454</v>
      </c>
    </row>
    <row r="3137" spans="1:66" x14ac:dyDescent="0.25">
      <c r="A3137" t="str">
        <f>HYPERLINK("https://elite.finviz.com/quote.ashx?t=GEMI&amp;ty=c&amp;p=d&amp;b=1", "GEMI")</f>
        <v>GEMI</v>
      </c>
      <c r="B3137">
        <v>5</v>
      </c>
      <c r="C3137">
        <v>116.22</v>
      </c>
      <c r="E3137" t="s">
        <v>27601</v>
      </c>
      <c r="F3137" t="s">
        <v>107</v>
      </c>
      <c r="G3137" t="s">
        <v>550</v>
      </c>
      <c r="H3137" t="s">
        <v>551</v>
      </c>
      <c r="I3137" t="s">
        <v>70</v>
      </c>
      <c r="J3137" t="s">
        <v>321</v>
      </c>
      <c r="K3137">
        <v>2838.34</v>
      </c>
      <c r="L3137">
        <v>24.18</v>
      </c>
      <c r="M3137" t="s">
        <v>759</v>
      </c>
      <c r="N3137">
        <v>641500</v>
      </c>
      <c r="R3137">
        <v>22.57</v>
      </c>
      <c r="AA3137">
        <v>-3.41</v>
      </c>
      <c r="AE3137" t="s">
        <v>12518</v>
      </c>
      <c r="AH3137" t="s">
        <v>19031</v>
      </c>
      <c r="AJ3137" t="s">
        <v>3896</v>
      </c>
      <c r="AL3137">
        <v>1.06</v>
      </c>
      <c r="AM3137">
        <v>1.06</v>
      </c>
      <c r="AO3137" t="s">
        <v>4141</v>
      </c>
      <c r="AP3137" t="s">
        <v>27602</v>
      </c>
      <c r="AQ3137" t="s">
        <v>27603</v>
      </c>
      <c r="AR3137" t="s">
        <v>1423</v>
      </c>
      <c r="AT3137" t="s">
        <v>7091</v>
      </c>
      <c r="AU3137" t="s">
        <v>7091</v>
      </c>
      <c r="AV3137" t="s">
        <v>7091</v>
      </c>
      <c r="AW3137" t="s">
        <v>27604</v>
      </c>
      <c r="AX3137" t="s">
        <v>1955</v>
      </c>
      <c r="AY3137" t="s">
        <v>27604</v>
      </c>
      <c r="AZ3137" t="s">
        <v>1955</v>
      </c>
      <c r="BB3137">
        <v>9798.64</v>
      </c>
      <c r="BC3137">
        <v>0.23</v>
      </c>
      <c r="BD3137">
        <v>25.14</v>
      </c>
      <c r="BE3137">
        <v>25.37</v>
      </c>
      <c r="BF3137">
        <v>24.07</v>
      </c>
      <c r="BG3137" t="s">
        <v>27605</v>
      </c>
      <c r="BH3137" t="s">
        <v>27604</v>
      </c>
      <c r="BI3137" t="s">
        <v>1955</v>
      </c>
      <c r="BJ3137" t="s">
        <v>101</v>
      </c>
      <c r="BN3137" t="s">
        <v>23454</v>
      </c>
    </row>
    <row r="3138" spans="1:66" x14ac:dyDescent="0.25">
      <c r="A3138" t="str">
        <f>HYPERLINK("https://elite.finviz.com/quote.ashx?t=NTSK&amp;ty=c&amp;p=d&amp;b=1", "NTSK")</f>
        <v>NTSK</v>
      </c>
      <c r="B3138">
        <v>5</v>
      </c>
      <c r="C3138">
        <v>116.22</v>
      </c>
      <c r="E3138" t="s">
        <v>27606</v>
      </c>
      <c r="F3138" t="s">
        <v>107</v>
      </c>
      <c r="G3138" t="s">
        <v>108</v>
      </c>
      <c r="H3138" t="s">
        <v>109</v>
      </c>
      <c r="I3138" t="s">
        <v>70</v>
      </c>
      <c r="J3138" t="s">
        <v>321</v>
      </c>
      <c r="K3138">
        <v>8948.81</v>
      </c>
      <c r="L3138">
        <v>23.42</v>
      </c>
      <c r="M3138" t="s">
        <v>4204</v>
      </c>
      <c r="N3138">
        <v>752938</v>
      </c>
      <c r="AJ3138" t="s">
        <v>2424</v>
      </c>
      <c r="AK3138" t="s">
        <v>4686</v>
      </c>
      <c r="AL3138">
        <v>0.83</v>
      </c>
      <c r="AM3138">
        <v>0.82</v>
      </c>
      <c r="AR3138" t="s">
        <v>5656</v>
      </c>
      <c r="AT3138" t="s">
        <v>6265</v>
      </c>
      <c r="AU3138" t="s">
        <v>6265</v>
      </c>
      <c r="AV3138" t="s">
        <v>6265</v>
      </c>
      <c r="AW3138" t="s">
        <v>7835</v>
      </c>
      <c r="AX3138" t="s">
        <v>2678</v>
      </c>
      <c r="AY3138" t="s">
        <v>7835</v>
      </c>
      <c r="AZ3138" t="s">
        <v>2678</v>
      </c>
      <c r="BB3138">
        <v>11751.46</v>
      </c>
      <c r="BC3138">
        <v>0.23</v>
      </c>
      <c r="BD3138">
        <v>22.7</v>
      </c>
      <c r="BE3138">
        <v>23.56</v>
      </c>
      <c r="BF3138">
        <v>22.42</v>
      </c>
      <c r="BG3138" t="s">
        <v>27607</v>
      </c>
      <c r="BH3138" t="s">
        <v>7835</v>
      </c>
      <c r="BI3138" t="s">
        <v>2678</v>
      </c>
      <c r="BJ3138" t="s">
        <v>101</v>
      </c>
      <c r="BN3138" t="s">
        <v>23454</v>
      </c>
    </row>
    <row r="3139" spans="1:66" x14ac:dyDescent="0.25">
      <c r="A3139" t="str">
        <f>HYPERLINK("https://elite.finviz.com/quote.ashx?t=PTRN&amp;ty=c&amp;p=d&amp;b=1", "PTRN")</f>
        <v>PTRN</v>
      </c>
      <c r="B3139">
        <v>5</v>
      </c>
      <c r="C3139">
        <v>116.22</v>
      </c>
      <c r="E3139" t="s">
        <v>27608</v>
      </c>
      <c r="F3139" t="s">
        <v>107</v>
      </c>
      <c r="G3139" t="s">
        <v>813</v>
      </c>
      <c r="H3139" t="s">
        <v>4388</v>
      </c>
      <c r="I3139" t="s">
        <v>70</v>
      </c>
      <c r="J3139" t="s">
        <v>321</v>
      </c>
      <c r="K3139">
        <v>2288.6999999999998</v>
      </c>
      <c r="L3139">
        <v>13</v>
      </c>
      <c r="M3139" t="s">
        <v>2185</v>
      </c>
      <c r="N3139">
        <v>292850</v>
      </c>
      <c r="O3139">
        <v>35.5</v>
      </c>
      <c r="R3139">
        <v>1.0900000000000001</v>
      </c>
      <c r="S3139">
        <v>14.77</v>
      </c>
      <c r="AA3139">
        <v>0.37</v>
      </c>
      <c r="AE3139" t="s">
        <v>9742</v>
      </c>
      <c r="AF3139" t="s">
        <v>7666</v>
      </c>
      <c r="AH3139" t="s">
        <v>4579</v>
      </c>
      <c r="AJ3139" t="s">
        <v>26762</v>
      </c>
      <c r="AL3139">
        <v>2.2799999999999998</v>
      </c>
      <c r="AM3139">
        <v>1.32</v>
      </c>
      <c r="AN3139">
        <v>7.0000000000000007E-2</v>
      </c>
      <c r="AO3139" t="s">
        <v>17181</v>
      </c>
      <c r="AP3139" t="s">
        <v>1749</v>
      </c>
      <c r="AQ3139" t="s">
        <v>5188</v>
      </c>
      <c r="AT3139" t="s">
        <v>4446</v>
      </c>
      <c r="AU3139" t="s">
        <v>4446</v>
      </c>
      <c r="AV3139" t="s">
        <v>4446</v>
      </c>
      <c r="AW3139" t="s">
        <v>9283</v>
      </c>
      <c r="AX3139" t="s">
        <v>2783</v>
      </c>
      <c r="AY3139" t="s">
        <v>9283</v>
      </c>
      <c r="AZ3139" t="s">
        <v>2783</v>
      </c>
      <c r="BB3139">
        <v>6195.76</v>
      </c>
      <c r="BC3139">
        <v>0.17</v>
      </c>
      <c r="BD3139">
        <v>12.83</v>
      </c>
      <c r="BE3139">
        <v>12.99</v>
      </c>
      <c r="BF3139">
        <v>12.62</v>
      </c>
      <c r="BG3139" t="s">
        <v>27609</v>
      </c>
      <c r="BH3139" t="s">
        <v>9283</v>
      </c>
      <c r="BI3139" t="s">
        <v>2783</v>
      </c>
      <c r="BJ3139" t="s">
        <v>101</v>
      </c>
      <c r="BN3139" t="s">
        <v>23454</v>
      </c>
    </row>
    <row r="3140" spans="1:66" x14ac:dyDescent="0.25">
      <c r="A3140" t="str">
        <f>HYPERLINK("https://elite.finviz.com/quote.ashx?t=STUB&amp;ty=c&amp;p=d&amp;b=1", "STUB")</f>
        <v>STUB</v>
      </c>
      <c r="B3140">
        <v>5</v>
      </c>
      <c r="C3140">
        <v>116.22</v>
      </c>
      <c r="E3140" t="s">
        <v>27610</v>
      </c>
      <c r="F3140" t="s">
        <v>107</v>
      </c>
      <c r="G3140" t="s">
        <v>598</v>
      </c>
      <c r="H3140" t="s">
        <v>599</v>
      </c>
      <c r="I3140" t="s">
        <v>70</v>
      </c>
      <c r="J3140" t="s">
        <v>71</v>
      </c>
      <c r="K3140">
        <v>6245.41</v>
      </c>
      <c r="L3140">
        <v>16.98</v>
      </c>
      <c r="M3140" t="s">
        <v>15172</v>
      </c>
      <c r="N3140">
        <v>1061050</v>
      </c>
      <c r="R3140">
        <v>3.48</v>
      </c>
      <c r="S3140">
        <v>7.81</v>
      </c>
      <c r="AA3140">
        <v>-0.25</v>
      </c>
      <c r="AB3140" t="s">
        <v>13041</v>
      </c>
      <c r="AC3140" t="s">
        <v>1438</v>
      </c>
      <c r="AE3140" t="s">
        <v>1085</v>
      </c>
      <c r="AF3140" t="s">
        <v>6902</v>
      </c>
      <c r="AG3140" t="s">
        <v>1447</v>
      </c>
      <c r="AH3140" t="s">
        <v>3845</v>
      </c>
      <c r="AJ3140" t="s">
        <v>164</v>
      </c>
      <c r="AK3140" t="s">
        <v>4824</v>
      </c>
      <c r="AL3140">
        <v>1.01</v>
      </c>
      <c r="AM3140">
        <v>1</v>
      </c>
      <c r="AN3140">
        <v>1.79</v>
      </c>
      <c r="AO3140" t="s">
        <v>27611</v>
      </c>
      <c r="AP3140" t="s">
        <v>511</v>
      </c>
      <c r="AQ3140" t="s">
        <v>3577</v>
      </c>
      <c r="AR3140" t="s">
        <v>2933</v>
      </c>
      <c r="AT3140" t="s">
        <v>13780</v>
      </c>
      <c r="AU3140" t="s">
        <v>13780</v>
      </c>
      <c r="AV3140" t="s">
        <v>13780</v>
      </c>
      <c r="AW3140" t="s">
        <v>27612</v>
      </c>
      <c r="AX3140" t="s">
        <v>901</v>
      </c>
      <c r="AY3140" t="s">
        <v>27612</v>
      </c>
      <c r="AZ3140" t="s">
        <v>901</v>
      </c>
      <c r="BB3140">
        <v>14763.45</v>
      </c>
      <c r="BC3140">
        <v>0.25</v>
      </c>
      <c r="BD3140">
        <v>17.89</v>
      </c>
      <c r="BE3140">
        <v>17.8</v>
      </c>
      <c r="BF3140">
        <v>16.87</v>
      </c>
      <c r="BG3140" t="s">
        <v>27613</v>
      </c>
      <c r="BH3140" t="s">
        <v>27612</v>
      </c>
      <c r="BI3140" t="s">
        <v>901</v>
      </c>
      <c r="BJ3140" t="s">
        <v>101</v>
      </c>
      <c r="BN3140" t="s">
        <v>23454</v>
      </c>
    </row>
    <row r="3141" spans="1:66" x14ac:dyDescent="0.25">
      <c r="A3141" t="str">
        <f>HYPERLINK("https://elite.finviz.com/quote.ashx?t=VIA&amp;ty=c&amp;p=d&amp;b=1", "VIA")</f>
        <v>VIA</v>
      </c>
      <c r="B3141">
        <v>5</v>
      </c>
      <c r="C3141">
        <v>116.22</v>
      </c>
      <c r="E3141" t="s">
        <v>27614</v>
      </c>
      <c r="F3141" t="s">
        <v>107</v>
      </c>
      <c r="G3141" t="s">
        <v>108</v>
      </c>
      <c r="H3141" t="s">
        <v>136</v>
      </c>
      <c r="I3141" t="s">
        <v>70</v>
      </c>
      <c r="J3141" t="s">
        <v>71</v>
      </c>
      <c r="K3141">
        <v>3893.56</v>
      </c>
      <c r="L3141">
        <v>49.06</v>
      </c>
      <c r="M3141" t="s">
        <v>2646</v>
      </c>
      <c r="N3141">
        <v>12912</v>
      </c>
      <c r="R3141">
        <v>10.23</v>
      </c>
      <c r="AA3141">
        <v>-0.98</v>
      </c>
      <c r="AE3141" t="s">
        <v>6129</v>
      </c>
      <c r="AH3141" t="s">
        <v>7796</v>
      </c>
      <c r="AJ3141" t="s">
        <v>5746</v>
      </c>
      <c r="AK3141" t="s">
        <v>6155</v>
      </c>
      <c r="AL3141">
        <v>2.1</v>
      </c>
      <c r="AM3141">
        <v>2.1</v>
      </c>
      <c r="AO3141" t="s">
        <v>12080</v>
      </c>
      <c r="AP3141" t="s">
        <v>9443</v>
      </c>
      <c r="AQ3141" t="s">
        <v>4789</v>
      </c>
      <c r="AR3141" t="s">
        <v>5210</v>
      </c>
      <c r="AT3141" t="s">
        <v>3937</v>
      </c>
      <c r="AU3141" t="s">
        <v>3937</v>
      </c>
      <c r="AV3141" t="s">
        <v>3937</v>
      </c>
      <c r="AW3141" t="s">
        <v>8294</v>
      </c>
      <c r="AX3141" t="s">
        <v>1489</v>
      </c>
      <c r="AY3141" t="s">
        <v>8294</v>
      </c>
      <c r="AZ3141" t="s">
        <v>1489</v>
      </c>
      <c r="BB3141">
        <v>1066.3900000000001</v>
      </c>
      <c r="BC3141">
        <v>0.04</v>
      </c>
      <c r="BD3141">
        <v>48.92</v>
      </c>
      <c r="BE3141">
        <v>49.28</v>
      </c>
      <c r="BF3141">
        <v>48.39</v>
      </c>
      <c r="BG3141" t="s">
        <v>27615</v>
      </c>
      <c r="BH3141" t="s">
        <v>8294</v>
      </c>
      <c r="BI3141" t="s">
        <v>1489</v>
      </c>
      <c r="BJ3141" t="s">
        <v>101</v>
      </c>
      <c r="BN3141" t="s">
        <v>23454</v>
      </c>
    </row>
    <row r="3142" spans="1:66" x14ac:dyDescent="0.25">
      <c r="A3142" t="str">
        <f>HYPERLINK("https://elite.finviz.com/quote.ashx?t=WHF&amp;ty=c&amp;p=d&amp;b=1", "WHF")</f>
        <v>WHF</v>
      </c>
      <c r="B3142">
        <v>4</v>
      </c>
      <c r="C3142">
        <v>105.92</v>
      </c>
      <c r="D3142">
        <v>16.21</v>
      </c>
      <c r="E3142" t="s">
        <v>27616</v>
      </c>
      <c r="F3142" t="s">
        <v>107</v>
      </c>
      <c r="G3142" t="s">
        <v>550</v>
      </c>
      <c r="H3142" t="s">
        <v>2597</v>
      </c>
      <c r="I3142" t="s">
        <v>70</v>
      </c>
      <c r="J3142" t="s">
        <v>321</v>
      </c>
      <c r="K3142">
        <v>166.51</v>
      </c>
      <c r="L3142">
        <v>7.16</v>
      </c>
      <c r="M3142" t="s">
        <v>1364</v>
      </c>
      <c r="N3142">
        <v>27118</v>
      </c>
      <c r="O3142">
        <v>44.77</v>
      </c>
      <c r="P3142">
        <v>6.6</v>
      </c>
      <c r="R3142">
        <v>2.04</v>
      </c>
      <c r="S3142">
        <v>0.61</v>
      </c>
      <c r="T3142" t="s">
        <v>1990</v>
      </c>
      <c r="U3142">
        <v>1.54</v>
      </c>
      <c r="V3142" t="s">
        <v>7552</v>
      </c>
      <c r="W3142" t="s">
        <v>4659</v>
      </c>
      <c r="X3142" t="s">
        <v>1926</v>
      </c>
      <c r="Y3142" t="s">
        <v>1933</v>
      </c>
      <c r="Z3142" t="s">
        <v>27617</v>
      </c>
      <c r="AA3142">
        <v>0.16</v>
      </c>
      <c r="AH3142" t="s">
        <v>3175</v>
      </c>
      <c r="AI3142" t="s">
        <v>11528</v>
      </c>
      <c r="AJ3142" t="s">
        <v>633</v>
      </c>
      <c r="AK3142" t="s">
        <v>2077</v>
      </c>
      <c r="AR3142" t="s">
        <v>1449</v>
      </c>
      <c r="AS3142" t="s">
        <v>3856</v>
      </c>
      <c r="AT3142" t="s">
        <v>19619</v>
      </c>
      <c r="AU3142" t="s">
        <v>9199</v>
      </c>
      <c r="AV3142" t="s">
        <v>27618</v>
      </c>
      <c r="AW3142" t="s">
        <v>11631</v>
      </c>
      <c r="AX3142" t="s">
        <v>2880</v>
      </c>
      <c r="AY3142" t="s">
        <v>27619</v>
      </c>
      <c r="AZ3142" t="s">
        <v>2880</v>
      </c>
      <c r="BB3142">
        <v>98.22</v>
      </c>
      <c r="BC3142">
        <v>0.97</v>
      </c>
      <c r="BD3142">
        <v>7.19</v>
      </c>
      <c r="BE3142">
        <v>7.29</v>
      </c>
      <c r="BF3142">
        <v>7.16</v>
      </c>
      <c r="BG3142" t="s">
        <v>27620</v>
      </c>
      <c r="BH3142" t="s">
        <v>5234</v>
      </c>
      <c r="BI3142" t="s">
        <v>4072</v>
      </c>
      <c r="BJ3142" t="s">
        <v>101</v>
      </c>
      <c r="BK3142" t="s">
        <v>4790</v>
      </c>
      <c r="BL3142" t="s">
        <v>6294</v>
      </c>
      <c r="BM3142" t="s">
        <v>16308</v>
      </c>
      <c r="BN3142" t="s">
        <v>27621</v>
      </c>
    </row>
    <row r="3143" spans="1:66" x14ac:dyDescent="0.25">
      <c r="A3143" t="str">
        <f>HYPERLINK("https://elite.finviz.com/quote.ashx?t=PAR&amp;ty=c&amp;p=d&amp;b=1", "PAR")</f>
        <v>PAR</v>
      </c>
      <c r="B3143">
        <v>4</v>
      </c>
      <c r="C3143">
        <v>105.92</v>
      </c>
      <c r="D3143">
        <v>18.64</v>
      </c>
      <c r="E3143" t="s">
        <v>27622</v>
      </c>
      <c r="F3143" t="s">
        <v>67</v>
      </c>
      <c r="G3143" t="s">
        <v>108</v>
      </c>
      <c r="H3143" t="s">
        <v>136</v>
      </c>
      <c r="I3143" t="s">
        <v>70</v>
      </c>
      <c r="J3143" t="s">
        <v>71</v>
      </c>
      <c r="K3143">
        <v>1605.26</v>
      </c>
      <c r="L3143">
        <v>39.56</v>
      </c>
      <c r="M3143" t="s">
        <v>5693</v>
      </c>
      <c r="N3143">
        <v>146095</v>
      </c>
      <c r="P3143">
        <v>59.6</v>
      </c>
      <c r="R3143">
        <v>3.84</v>
      </c>
      <c r="S3143">
        <v>1.87</v>
      </c>
      <c r="AA3143">
        <v>-2.37</v>
      </c>
      <c r="AB3143" t="s">
        <v>2581</v>
      </c>
      <c r="AC3143" t="s">
        <v>23257</v>
      </c>
      <c r="AE3143" t="s">
        <v>246</v>
      </c>
      <c r="AF3143" t="s">
        <v>3745</v>
      </c>
      <c r="AG3143" t="s">
        <v>485</v>
      </c>
      <c r="AH3143" t="s">
        <v>27623</v>
      </c>
      <c r="AI3143" t="s">
        <v>27624</v>
      </c>
      <c r="AJ3143" t="s">
        <v>6597</v>
      </c>
      <c r="AK3143" t="s">
        <v>27625</v>
      </c>
      <c r="AL3143">
        <v>1.7</v>
      </c>
      <c r="AM3143">
        <v>1.49</v>
      </c>
      <c r="AN3143">
        <v>0.47</v>
      </c>
      <c r="AO3143" t="s">
        <v>18452</v>
      </c>
      <c r="AP3143" t="s">
        <v>15067</v>
      </c>
      <c r="AQ3143" t="s">
        <v>8477</v>
      </c>
      <c r="AR3143" t="s">
        <v>3456</v>
      </c>
      <c r="AS3143" t="s">
        <v>2522</v>
      </c>
      <c r="AT3143" t="s">
        <v>22707</v>
      </c>
      <c r="AU3143" t="s">
        <v>9571</v>
      </c>
      <c r="AV3143" t="s">
        <v>13306</v>
      </c>
      <c r="AW3143" t="s">
        <v>3790</v>
      </c>
      <c r="AX3143" t="s">
        <v>4203</v>
      </c>
      <c r="AY3143" t="s">
        <v>26258</v>
      </c>
      <c r="AZ3143" t="s">
        <v>4203</v>
      </c>
      <c r="BA3143">
        <v>1.2</v>
      </c>
      <c r="BB3143">
        <v>800.36</v>
      </c>
      <c r="BC3143">
        <v>0.64</v>
      </c>
      <c r="BD3143">
        <v>39.9</v>
      </c>
      <c r="BE3143">
        <v>40.01</v>
      </c>
      <c r="BF3143">
        <v>39.35</v>
      </c>
      <c r="BG3143" t="s">
        <v>27626</v>
      </c>
      <c r="BH3143" t="s">
        <v>27627</v>
      </c>
      <c r="BI3143" t="s">
        <v>27628</v>
      </c>
      <c r="BJ3143" t="s">
        <v>101</v>
      </c>
      <c r="BK3143" t="s">
        <v>13538</v>
      </c>
      <c r="BL3143" t="s">
        <v>27629</v>
      </c>
      <c r="BM3143" t="s">
        <v>6282</v>
      </c>
      <c r="BN3143" t="s">
        <v>27621</v>
      </c>
    </row>
    <row r="3144" spans="1:66" x14ac:dyDescent="0.25">
      <c r="A3144" t="str">
        <f>HYPERLINK("https://elite.finviz.com/quote.ashx?t=PFLT&amp;ty=c&amp;p=d&amp;b=1", "PFLT")</f>
        <v>PFLT</v>
      </c>
      <c r="B3144">
        <v>4</v>
      </c>
      <c r="C3144">
        <v>105.92</v>
      </c>
      <c r="D3144">
        <v>19.899999999999999</v>
      </c>
      <c r="E3144" t="s">
        <v>27630</v>
      </c>
      <c r="F3144" t="s">
        <v>107</v>
      </c>
      <c r="G3144" t="s">
        <v>550</v>
      </c>
      <c r="H3144" t="s">
        <v>2597</v>
      </c>
      <c r="I3144" t="s">
        <v>70</v>
      </c>
      <c r="J3144" t="s">
        <v>71</v>
      </c>
      <c r="K3144">
        <v>914.29</v>
      </c>
      <c r="L3144">
        <v>9.2200000000000006</v>
      </c>
      <c r="M3144" t="s">
        <v>4273</v>
      </c>
      <c r="N3144">
        <v>334404</v>
      </c>
      <c r="O3144">
        <v>11.24</v>
      </c>
      <c r="P3144">
        <v>7.88</v>
      </c>
      <c r="R3144">
        <v>3.69</v>
      </c>
      <c r="S3144">
        <v>0.84</v>
      </c>
      <c r="T3144" t="s">
        <v>3955</v>
      </c>
      <c r="U3144">
        <v>1.22</v>
      </c>
      <c r="V3144" t="s">
        <v>3833</v>
      </c>
      <c r="W3144" t="s">
        <v>3494</v>
      </c>
      <c r="X3144" t="s">
        <v>4710</v>
      </c>
      <c r="Y3144" t="s">
        <v>4839</v>
      </c>
      <c r="Z3144" t="s">
        <v>8711</v>
      </c>
      <c r="AA3144">
        <v>0.82</v>
      </c>
      <c r="AH3144" t="s">
        <v>21917</v>
      </c>
      <c r="AI3144" t="s">
        <v>18222</v>
      </c>
      <c r="AJ3144" t="s">
        <v>2185</v>
      </c>
      <c r="AK3144" t="s">
        <v>7947</v>
      </c>
      <c r="AR3144" t="s">
        <v>2609</v>
      </c>
      <c r="AS3144" t="s">
        <v>3024</v>
      </c>
      <c r="AT3144" t="s">
        <v>869</v>
      </c>
      <c r="AU3144" t="s">
        <v>613</v>
      </c>
      <c r="AV3144" t="s">
        <v>11786</v>
      </c>
      <c r="AW3144" t="s">
        <v>15935</v>
      </c>
      <c r="AX3144" t="s">
        <v>4703</v>
      </c>
      <c r="AY3144" t="s">
        <v>16561</v>
      </c>
      <c r="AZ3144" t="s">
        <v>2842</v>
      </c>
      <c r="BB3144">
        <v>861.83</v>
      </c>
      <c r="BC3144">
        <v>1.37</v>
      </c>
      <c r="BD3144">
        <v>9.26</v>
      </c>
      <c r="BE3144">
        <v>9.34</v>
      </c>
      <c r="BF3144">
        <v>9.2200000000000006</v>
      </c>
      <c r="BG3144" t="s">
        <v>27631</v>
      </c>
      <c r="BH3144" t="s">
        <v>27632</v>
      </c>
      <c r="BI3144" t="s">
        <v>27633</v>
      </c>
      <c r="BJ3144" t="s">
        <v>101</v>
      </c>
      <c r="BK3144" t="s">
        <v>225</v>
      </c>
      <c r="BL3144" t="s">
        <v>24115</v>
      </c>
      <c r="BM3144" t="s">
        <v>6676</v>
      </c>
      <c r="BN3144" t="s">
        <v>27621</v>
      </c>
    </row>
    <row r="3145" spans="1:66" x14ac:dyDescent="0.25">
      <c r="A3145" t="str">
        <f>HYPERLINK("https://elite.finviz.com/quote.ashx?t=HRZN&amp;ty=c&amp;p=d&amp;b=1", "HRZN")</f>
        <v>HRZN</v>
      </c>
      <c r="B3145">
        <v>4</v>
      </c>
      <c r="C3145">
        <v>105.92</v>
      </c>
      <c r="D3145">
        <v>20.079999999999998</v>
      </c>
      <c r="E3145" t="s">
        <v>27634</v>
      </c>
      <c r="F3145" t="s">
        <v>107</v>
      </c>
      <c r="G3145" t="s">
        <v>550</v>
      </c>
      <c r="H3145" t="s">
        <v>2597</v>
      </c>
      <c r="I3145" t="s">
        <v>70</v>
      </c>
      <c r="J3145" t="s">
        <v>321</v>
      </c>
      <c r="K3145">
        <v>261.44</v>
      </c>
      <c r="L3145">
        <v>6.14</v>
      </c>
      <c r="M3145" t="s">
        <v>2518</v>
      </c>
      <c r="N3145">
        <v>173915</v>
      </c>
      <c r="P3145">
        <v>5.95</v>
      </c>
      <c r="R3145">
        <v>2.69</v>
      </c>
      <c r="S3145">
        <v>0.91</v>
      </c>
      <c r="T3145" t="s">
        <v>5556</v>
      </c>
      <c r="U3145">
        <v>1.32</v>
      </c>
      <c r="V3145" t="s">
        <v>3518</v>
      </c>
      <c r="W3145" t="s">
        <v>6245</v>
      </c>
      <c r="X3145" t="s">
        <v>975</v>
      </c>
      <c r="Y3145" t="s">
        <v>1761</v>
      </c>
      <c r="AA3145">
        <v>-1.19</v>
      </c>
      <c r="AH3145" t="s">
        <v>4396</v>
      </c>
      <c r="AI3145" t="s">
        <v>227</v>
      </c>
      <c r="AJ3145" t="s">
        <v>164</v>
      </c>
      <c r="AK3145" t="s">
        <v>6075</v>
      </c>
      <c r="AR3145" t="s">
        <v>295</v>
      </c>
      <c r="AS3145" t="s">
        <v>4276</v>
      </c>
      <c r="AT3145" t="s">
        <v>4868</v>
      </c>
      <c r="AU3145" t="s">
        <v>4521</v>
      </c>
      <c r="AV3145" t="s">
        <v>15646</v>
      </c>
      <c r="AW3145" t="s">
        <v>10051</v>
      </c>
      <c r="AX3145" t="s">
        <v>2760</v>
      </c>
      <c r="AY3145" t="s">
        <v>25650</v>
      </c>
      <c r="AZ3145" t="s">
        <v>2760</v>
      </c>
      <c r="BB3145">
        <v>634.46</v>
      </c>
      <c r="BC3145">
        <v>0.97</v>
      </c>
      <c r="BD3145">
        <v>6.22</v>
      </c>
      <c r="BE3145">
        <v>6.26</v>
      </c>
      <c r="BF3145">
        <v>6.14</v>
      </c>
      <c r="BG3145" t="s">
        <v>27635</v>
      </c>
      <c r="BH3145" t="s">
        <v>27636</v>
      </c>
      <c r="BI3145" t="s">
        <v>21575</v>
      </c>
      <c r="BJ3145" t="s">
        <v>101</v>
      </c>
      <c r="BK3145" t="s">
        <v>15053</v>
      </c>
      <c r="BL3145" t="s">
        <v>24263</v>
      </c>
      <c r="BM3145" t="s">
        <v>27637</v>
      </c>
      <c r="BN3145" t="s">
        <v>27621</v>
      </c>
    </row>
    <row r="3146" spans="1:66" x14ac:dyDescent="0.25">
      <c r="A3146" t="str">
        <f>HYPERLINK("https://elite.finviz.com/quote.ashx?t=HRMY&amp;ty=c&amp;p=d&amp;b=1", "HRMY")</f>
        <v>HRMY</v>
      </c>
      <c r="B3146">
        <v>4</v>
      </c>
      <c r="C3146">
        <v>105.92</v>
      </c>
      <c r="D3146">
        <v>20.87</v>
      </c>
      <c r="E3146" t="s">
        <v>27638</v>
      </c>
      <c r="F3146" t="s">
        <v>67</v>
      </c>
      <c r="G3146" t="s">
        <v>428</v>
      </c>
      <c r="H3146" t="s">
        <v>429</v>
      </c>
      <c r="I3146" t="s">
        <v>70</v>
      </c>
      <c r="J3146" t="s">
        <v>321</v>
      </c>
      <c r="K3146">
        <v>1568.05</v>
      </c>
      <c r="L3146">
        <v>27.25</v>
      </c>
      <c r="M3146" t="s">
        <v>2785</v>
      </c>
      <c r="N3146">
        <v>184137</v>
      </c>
      <c r="O3146">
        <v>8.7899999999999991</v>
      </c>
      <c r="P3146">
        <v>6.83</v>
      </c>
      <c r="Q3146">
        <v>0.38</v>
      </c>
      <c r="R3146">
        <v>2.0299999999999998</v>
      </c>
      <c r="S3146">
        <v>2.0299999999999998</v>
      </c>
      <c r="Z3146" t="s">
        <v>164</v>
      </c>
      <c r="AA3146">
        <v>3.1</v>
      </c>
      <c r="AB3146" t="s">
        <v>27639</v>
      </c>
      <c r="AD3146" t="s">
        <v>4541</v>
      </c>
      <c r="AE3146" t="s">
        <v>7851</v>
      </c>
      <c r="AF3146" t="s">
        <v>16790</v>
      </c>
      <c r="AG3146" t="s">
        <v>27640</v>
      </c>
      <c r="AH3146" t="s">
        <v>10359</v>
      </c>
      <c r="AI3146" t="s">
        <v>7959</v>
      </c>
      <c r="AJ3146" t="s">
        <v>1364</v>
      </c>
      <c r="AK3146" t="s">
        <v>25615</v>
      </c>
      <c r="AL3146">
        <v>3.84</v>
      </c>
      <c r="AM3146">
        <v>3.8</v>
      </c>
      <c r="AN3146">
        <v>0.27</v>
      </c>
      <c r="AO3146" t="s">
        <v>24056</v>
      </c>
      <c r="AP3146" t="s">
        <v>1875</v>
      </c>
      <c r="AQ3146" t="s">
        <v>9224</v>
      </c>
      <c r="AR3146" t="s">
        <v>3545</v>
      </c>
      <c r="AS3146" t="s">
        <v>5111</v>
      </c>
      <c r="AT3146" t="s">
        <v>17228</v>
      </c>
      <c r="AU3146" t="s">
        <v>11868</v>
      </c>
      <c r="AV3146" t="s">
        <v>9116</v>
      </c>
      <c r="AW3146" t="s">
        <v>19170</v>
      </c>
      <c r="AX3146" t="s">
        <v>2736</v>
      </c>
      <c r="AY3146" t="s">
        <v>2830</v>
      </c>
      <c r="AZ3146" t="s">
        <v>2736</v>
      </c>
      <c r="BA3146">
        <v>1.45</v>
      </c>
      <c r="BB3146">
        <v>719.83</v>
      </c>
      <c r="BC3146">
        <v>0.9</v>
      </c>
      <c r="BD3146">
        <v>27.04</v>
      </c>
      <c r="BE3146">
        <v>27.25</v>
      </c>
      <c r="BF3146">
        <v>26.72</v>
      </c>
      <c r="BG3146" t="s">
        <v>27641</v>
      </c>
      <c r="BH3146" t="s">
        <v>21667</v>
      </c>
      <c r="BI3146" t="s">
        <v>3283</v>
      </c>
      <c r="BJ3146" t="s">
        <v>101</v>
      </c>
      <c r="BK3146" t="s">
        <v>7973</v>
      </c>
      <c r="BL3146" t="s">
        <v>5570</v>
      </c>
      <c r="BM3146" t="s">
        <v>5300</v>
      </c>
      <c r="BN3146" t="s">
        <v>27621</v>
      </c>
    </row>
    <row r="3147" spans="1:66" x14ac:dyDescent="0.25">
      <c r="A3147" t="str">
        <f>HYPERLINK("https://elite.finviz.com/quote.ashx?t=PSBD&amp;ty=c&amp;p=d&amp;b=1", "PSBD")</f>
        <v>PSBD</v>
      </c>
      <c r="B3147">
        <v>4</v>
      </c>
      <c r="C3147">
        <v>105.92</v>
      </c>
      <c r="D3147">
        <v>22.76</v>
      </c>
      <c r="E3147" t="s">
        <v>27642</v>
      </c>
      <c r="F3147" t="s">
        <v>107</v>
      </c>
      <c r="G3147" t="s">
        <v>550</v>
      </c>
      <c r="H3147" t="s">
        <v>2597</v>
      </c>
      <c r="I3147" t="s">
        <v>70</v>
      </c>
      <c r="J3147" t="s">
        <v>71</v>
      </c>
      <c r="K3147">
        <v>387.44</v>
      </c>
      <c r="L3147">
        <v>12.06</v>
      </c>
      <c r="M3147" t="s">
        <v>2431</v>
      </c>
      <c r="N3147">
        <v>26762</v>
      </c>
      <c r="O3147">
        <v>21.93</v>
      </c>
      <c r="P3147">
        <v>7.73</v>
      </c>
      <c r="T3147" t="s">
        <v>11924</v>
      </c>
      <c r="U3147">
        <v>1.49</v>
      </c>
      <c r="V3147" t="s">
        <v>4741</v>
      </c>
      <c r="Z3147" t="s">
        <v>26359</v>
      </c>
      <c r="AA3147">
        <v>0.55000000000000004</v>
      </c>
      <c r="AI3147" t="s">
        <v>272</v>
      </c>
      <c r="AJ3147" t="s">
        <v>164</v>
      </c>
      <c r="AK3147" t="s">
        <v>27643</v>
      </c>
      <c r="AR3147" t="s">
        <v>4394</v>
      </c>
      <c r="AS3147" t="s">
        <v>4710</v>
      </c>
      <c r="AT3147" t="s">
        <v>16279</v>
      </c>
      <c r="AU3147" t="s">
        <v>7469</v>
      </c>
      <c r="AV3147" t="s">
        <v>14833</v>
      </c>
      <c r="AW3147" t="s">
        <v>25071</v>
      </c>
      <c r="AX3147" t="s">
        <v>1000</v>
      </c>
      <c r="AY3147" t="s">
        <v>23508</v>
      </c>
      <c r="AZ3147" t="s">
        <v>2205</v>
      </c>
      <c r="BB3147">
        <v>63.26</v>
      </c>
      <c r="BC3147">
        <v>1.5</v>
      </c>
      <c r="BD3147">
        <v>12.65</v>
      </c>
      <c r="BE3147">
        <v>12.27</v>
      </c>
      <c r="BF3147">
        <v>12.06</v>
      </c>
      <c r="BG3147" t="s">
        <v>27644</v>
      </c>
      <c r="BH3147" t="s">
        <v>6750</v>
      </c>
      <c r="BI3147" t="s">
        <v>2205</v>
      </c>
      <c r="BJ3147" t="s">
        <v>101</v>
      </c>
      <c r="BK3147" t="s">
        <v>11993</v>
      </c>
      <c r="BL3147" t="s">
        <v>17119</v>
      </c>
      <c r="BM3147" t="s">
        <v>23659</v>
      </c>
      <c r="BN3147" t="s">
        <v>27621</v>
      </c>
    </row>
    <row r="3148" spans="1:66" x14ac:dyDescent="0.25">
      <c r="A3148" t="str">
        <f>HYPERLINK("https://elite.finviz.com/quote.ashx?t=WING&amp;ty=c&amp;p=d&amp;b=1", "WING")</f>
        <v>WING</v>
      </c>
      <c r="B3148">
        <v>4</v>
      </c>
      <c r="C3148">
        <v>105.92</v>
      </c>
      <c r="D3148">
        <v>22.98</v>
      </c>
      <c r="E3148" t="s">
        <v>27645</v>
      </c>
      <c r="F3148" t="s">
        <v>107</v>
      </c>
      <c r="G3148" t="s">
        <v>813</v>
      </c>
      <c r="H3148" t="s">
        <v>2285</v>
      </c>
      <c r="I3148" t="s">
        <v>70</v>
      </c>
      <c r="J3148" t="s">
        <v>321</v>
      </c>
      <c r="K3148">
        <v>6673.08</v>
      </c>
      <c r="L3148">
        <v>238.98</v>
      </c>
      <c r="M3148" t="s">
        <v>5650</v>
      </c>
      <c r="N3148">
        <v>322219</v>
      </c>
      <c r="O3148">
        <v>39.94</v>
      </c>
      <c r="P3148">
        <v>46.76</v>
      </c>
      <c r="Q3148">
        <v>1.89</v>
      </c>
      <c r="R3148">
        <v>9.9600000000000009</v>
      </c>
      <c r="T3148" t="s">
        <v>1657</v>
      </c>
      <c r="U3148">
        <v>1.1100000000000001</v>
      </c>
      <c r="V3148" t="s">
        <v>3046</v>
      </c>
      <c r="W3148" t="s">
        <v>15580</v>
      </c>
      <c r="X3148" t="s">
        <v>3009</v>
      </c>
      <c r="Y3148" t="s">
        <v>5950</v>
      </c>
      <c r="Z3148" t="s">
        <v>3255</v>
      </c>
      <c r="AA3148">
        <v>5.98</v>
      </c>
      <c r="AB3148" t="s">
        <v>859</v>
      </c>
      <c r="AC3148" t="s">
        <v>9213</v>
      </c>
      <c r="AD3148" t="s">
        <v>3437</v>
      </c>
      <c r="AE3148" t="s">
        <v>3666</v>
      </c>
      <c r="AF3148" t="s">
        <v>2817</v>
      </c>
      <c r="AG3148" t="s">
        <v>15089</v>
      </c>
      <c r="AH3148" t="s">
        <v>8594</v>
      </c>
      <c r="AI3148" t="s">
        <v>7401</v>
      </c>
      <c r="AJ3148" t="s">
        <v>27245</v>
      </c>
      <c r="AK3148" t="s">
        <v>27646</v>
      </c>
      <c r="AL3148">
        <v>4.37</v>
      </c>
      <c r="AM3148">
        <v>4.37</v>
      </c>
      <c r="AO3148" t="s">
        <v>12915</v>
      </c>
      <c r="AP3148" t="s">
        <v>5295</v>
      </c>
      <c r="AQ3148" t="s">
        <v>18126</v>
      </c>
      <c r="AR3148" t="s">
        <v>4499</v>
      </c>
      <c r="AS3148" t="s">
        <v>3521</v>
      </c>
      <c r="AT3148" t="s">
        <v>16941</v>
      </c>
      <c r="AU3148" t="s">
        <v>6033</v>
      </c>
      <c r="AV3148" t="s">
        <v>23942</v>
      </c>
      <c r="AW3148" t="s">
        <v>12595</v>
      </c>
      <c r="AX3148" t="s">
        <v>10581</v>
      </c>
      <c r="AY3148" t="s">
        <v>27647</v>
      </c>
      <c r="AZ3148" t="s">
        <v>2360</v>
      </c>
      <c r="BA3148">
        <v>1.82</v>
      </c>
      <c r="BB3148">
        <v>796.62</v>
      </c>
      <c r="BC3148">
        <v>1.43</v>
      </c>
      <c r="BD3148">
        <v>249.23</v>
      </c>
      <c r="BE3148">
        <v>245.3</v>
      </c>
      <c r="BF3148">
        <v>238.91</v>
      </c>
      <c r="BG3148" t="s">
        <v>27648</v>
      </c>
      <c r="BH3148" t="s">
        <v>27649</v>
      </c>
      <c r="BI3148" t="s">
        <v>27650</v>
      </c>
      <c r="BJ3148" t="s">
        <v>101</v>
      </c>
      <c r="BK3148" t="s">
        <v>24682</v>
      </c>
      <c r="BL3148" t="s">
        <v>6460</v>
      </c>
      <c r="BM3148" t="s">
        <v>12185</v>
      </c>
      <c r="BN3148" t="s">
        <v>27621</v>
      </c>
    </row>
    <row r="3149" spans="1:66" x14ac:dyDescent="0.25">
      <c r="A3149" t="str">
        <f>HYPERLINK("https://elite.finviz.com/quote.ashx?t=KBDC&amp;ty=c&amp;p=d&amp;b=1", "KBDC")</f>
        <v>KBDC</v>
      </c>
      <c r="B3149">
        <v>4</v>
      </c>
      <c r="C3149">
        <v>105.92</v>
      </c>
      <c r="D3149">
        <v>23.6</v>
      </c>
      <c r="E3149" t="s">
        <v>27651</v>
      </c>
      <c r="F3149" t="s">
        <v>107</v>
      </c>
      <c r="G3149" t="s">
        <v>550</v>
      </c>
      <c r="H3149" t="s">
        <v>2597</v>
      </c>
      <c r="I3149" t="s">
        <v>70</v>
      </c>
      <c r="J3149" t="s">
        <v>71</v>
      </c>
      <c r="K3149">
        <v>978.99</v>
      </c>
      <c r="L3149">
        <v>13.87</v>
      </c>
      <c r="M3149" t="s">
        <v>4623</v>
      </c>
      <c r="N3149">
        <v>83999</v>
      </c>
      <c r="O3149">
        <v>8.26</v>
      </c>
      <c r="P3149">
        <v>8.9499999999999993</v>
      </c>
      <c r="T3149" t="s">
        <v>6331</v>
      </c>
      <c r="U3149">
        <v>1.59</v>
      </c>
      <c r="V3149" t="s">
        <v>198</v>
      </c>
      <c r="Z3149" t="s">
        <v>12100</v>
      </c>
      <c r="AA3149">
        <v>1.68</v>
      </c>
      <c r="AI3149" t="s">
        <v>7270</v>
      </c>
      <c r="AJ3149" t="s">
        <v>789</v>
      </c>
      <c r="AK3149" t="s">
        <v>27652</v>
      </c>
      <c r="AR3149" t="s">
        <v>7322</v>
      </c>
      <c r="AS3149" t="s">
        <v>4946</v>
      </c>
      <c r="AT3149" t="s">
        <v>6060</v>
      </c>
      <c r="AU3149" t="s">
        <v>8507</v>
      </c>
      <c r="AV3149" t="s">
        <v>5507</v>
      </c>
      <c r="AW3149" t="s">
        <v>9038</v>
      </c>
      <c r="AX3149" t="s">
        <v>2743</v>
      </c>
      <c r="AY3149" t="s">
        <v>15598</v>
      </c>
      <c r="AZ3149" t="s">
        <v>2743</v>
      </c>
      <c r="BA3149">
        <v>2</v>
      </c>
      <c r="BB3149">
        <v>196.29</v>
      </c>
      <c r="BC3149">
        <v>1.51</v>
      </c>
      <c r="BD3149">
        <v>13.79</v>
      </c>
      <c r="BE3149">
        <v>13.97</v>
      </c>
      <c r="BF3149">
        <v>13.86</v>
      </c>
      <c r="BG3149" t="s">
        <v>27653</v>
      </c>
      <c r="BH3149" t="s">
        <v>15598</v>
      </c>
      <c r="BI3149" t="s">
        <v>2743</v>
      </c>
      <c r="BJ3149" t="s">
        <v>101</v>
      </c>
      <c r="BK3149" t="s">
        <v>612</v>
      </c>
      <c r="BL3149" t="s">
        <v>14754</v>
      </c>
      <c r="BM3149" t="s">
        <v>7496</v>
      </c>
      <c r="BN3149" t="s">
        <v>27621</v>
      </c>
    </row>
    <row r="3150" spans="1:66" x14ac:dyDescent="0.25">
      <c r="A3150" t="str">
        <f>HYPERLINK("https://elite.finviz.com/quote.ashx?t=FDS&amp;ty=c&amp;p=d&amp;b=1", "FDS")</f>
        <v>FDS</v>
      </c>
      <c r="B3150">
        <v>4</v>
      </c>
      <c r="C3150">
        <v>105.92</v>
      </c>
      <c r="D3150">
        <v>24.11</v>
      </c>
      <c r="E3150" t="s">
        <v>27654</v>
      </c>
      <c r="F3150" t="s">
        <v>195</v>
      </c>
      <c r="G3150" t="s">
        <v>550</v>
      </c>
      <c r="H3150" t="s">
        <v>16129</v>
      </c>
      <c r="I3150" t="s">
        <v>70</v>
      </c>
      <c r="J3150" t="s">
        <v>71</v>
      </c>
      <c r="K3150">
        <v>10992.51</v>
      </c>
      <c r="L3150">
        <v>290.76</v>
      </c>
      <c r="M3150" t="s">
        <v>2582</v>
      </c>
      <c r="N3150">
        <v>108220</v>
      </c>
      <c r="O3150">
        <v>18.690000000000001</v>
      </c>
      <c r="P3150">
        <v>15.44</v>
      </c>
      <c r="Q3150">
        <v>2.98</v>
      </c>
      <c r="R3150">
        <v>4.7300000000000004</v>
      </c>
      <c r="S3150">
        <v>5.1100000000000003</v>
      </c>
      <c r="T3150" t="s">
        <v>6990</v>
      </c>
      <c r="U3150">
        <v>4.28</v>
      </c>
      <c r="V3150" t="s">
        <v>4882</v>
      </c>
      <c r="W3150" t="s">
        <v>755</v>
      </c>
      <c r="X3150" t="s">
        <v>4114</v>
      </c>
      <c r="Y3150" t="s">
        <v>262</v>
      </c>
      <c r="Z3150" t="s">
        <v>17189</v>
      </c>
      <c r="AA3150">
        <v>15.56</v>
      </c>
      <c r="AB3150" t="s">
        <v>18834</v>
      </c>
      <c r="AC3150" t="s">
        <v>4783</v>
      </c>
      <c r="AD3150" t="s">
        <v>414</v>
      </c>
      <c r="AE3150" t="s">
        <v>896</v>
      </c>
      <c r="AF3150" t="s">
        <v>10425</v>
      </c>
      <c r="AG3150" t="s">
        <v>7019</v>
      </c>
      <c r="AH3150" t="s">
        <v>2776</v>
      </c>
      <c r="AI3150" t="s">
        <v>7808</v>
      </c>
      <c r="AJ3150" t="s">
        <v>4296</v>
      </c>
      <c r="AK3150" t="s">
        <v>10362</v>
      </c>
      <c r="AL3150">
        <v>1.4</v>
      </c>
      <c r="AM3150">
        <v>1.47</v>
      </c>
      <c r="AN3150">
        <v>0.71</v>
      </c>
      <c r="AO3150" t="s">
        <v>12427</v>
      </c>
      <c r="AP3150" t="s">
        <v>5500</v>
      </c>
      <c r="AQ3150" t="s">
        <v>11960</v>
      </c>
      <c r="AR3150" t="s">
        <v>203</v>
      </c>
      <c r="AS3150" t="s">
        <v>3500</v>
      </c>
      <c r="AT3150" t="s">
        <v>17960</v>
      </c>
      <c r="AU3150" t="s">
        <v>15765</v>
      </c>
      <c r="AV3150" t="s">
        <v>5820</v>
      </c>
      <c r="AW3150" t="s">
        <v>735</v>
      </c>
      <c r="AX3150" t="s">
        <v>1932</v>
      </c>
      <c r="AY3150" t="s">
        <v>13996</v>
      </c>
      <c r="AZ3150" t="s">
        <v>1932</v>
      </c>
      <c r="BA3150">
        <v>3.21</v>
      </c>
      <c r="BB3150">
        <v>499.85</v>
      </c>
      <c r="BC3150">
        <v>0.76</v>
      </c>
      <c r="BD3150">
        <v>283.86</v>
      </c>
      <c r="BE3150">
        <v>291</v>
      </c>
      <c r="BF3150">
        <v>285.08</v>
      </c>
      <c r="BG3150" t="s">
        <v>27655</v>
      </c>
      <c r="BH3150" t="s">
        <v>13996</v>
      </c>
      <c r="BI3150" t="s">
        <v>27656</v>
      </c>
      <c r="BJ3150" t="s">
        <v>101</v>
      </c>
      <c r="BK3150" t="s">
        <v>27657</v>
      </c>
      <c r="BL3150" t="s">
        <v>14470</v>
      </c>
      <c r="BM3150" t="s">
        <v>17429</v>
      </c>
      <c r="BN3150" t="s">
        <v>27621</v>
      </c>
    </row>
    <row r="3151" spans="1:66" x14ac:dyDescent="0.25">
      <c r="A3151" t="str">
        <f>HYPERLINK("https://elite.finviz.com/quote.ashx?t=AGM&amp;ty=c&amp;p=d&amp;b=1", "AGM")</f>
        <v>AGM</v>
      </c>
      <c r="B3151">
        <v>4</v>
      </c>
      <c r="C3151">
        <v>105.92</v>
      </c>
      <c r="D3151">
        <v>24.24</v>
      </c>
      <c r="E3151" t="s">
        <v>27658</v>
      </c>
      <c r="F3151" t="s">
        <v>67</v>
      </c>
      <c r="G3151" t="s">
        <v>550</v>
      </c>
      <c r="H3151" t="s">
        <v>3744</v>
      </c>
      <c r="I3151" t="s">
        <v>70</v>
      </c>
      <c r="J3151" t="s">
        <v>71</v>
      </c>
      <c r="K3151">
        <v>1842.03</v>
      </c>
      <c r="L3151">
        <v>172.85</v>
      </c>
      <c r="M3151" t="s">
        <v>9938</v>
      </c>
      <c r="N3151">
        <v>26516</v>
      </c>
      <c r="O3151">
        <v>10.18</v>
      </c>
      <c r="P3151">
        <v>8.83</v>
      </c>
      <c r="Q3151">
        <v>0.99</v>
      </c>
      <c r="R3151">
        <v>1.84</v>
      </c>
      <c r="S3151">
        <v>1.67</v>
      </c>
      <c r="T3151" t="s">
        <v>5736</v>
      </c>
      <c r="U3151">
        <v>5.9</v>
      </c>
      <c r="V3151" t="s">
        <v>3833</v>
      </c>
      <c r="W3151" t="s">
        <v>3001</v>
      </c>
      <c r="X3151" t="s">
        <v>9031</v>
      </c>
      <c r="Y3151" t="s">
        <v>1561</v>
      </c>
      <c r="Z3151" t="s">
        <v>1517</v>
      </c>
      <c r="AA3151">
        <v>16.98</v>
      </c>
      <c r="AB3151" t="s">
        <v>15034</v>
      </c>
      <c r="AC3151" t="s">
        <v>9843</v>
      </c>
      <c r="AD3151" t="s">
        <v>3526</v>
      </c>
      <c r="AE3151" t="s">
        <v>8474</v>
      </c>
      <c r="AF3151" t="s">
        <v>14240</v>
      </c>
      <c r="AG3151" t="s">
        <v>5528</v>
      </c>
      <c r="AH3151" t="s">
        <v>7855</v>
      </c>
      <c r="AI3151" t="s">
        <v>3047</v>
      </c>
      <c r="AJ3151" t="s">
        <v>110</v>
      </c>
      <c r="AK3151" t="s">
        <v>13098</v>
      </c>
      <c r="AL3151">
        <v>0.13</v>
      </c>
      <c r="AM3151">
        <v>0.13</v>
      </c>
      <c r="AN3151">
        <v>18.68</v>
      </c>
      <c r="AO3151" t="s">
        <v>1647</v>
      </c>
      <c r="AP3151" t="s">
        <v>11827</v>
      </c>
      <c r="AQ3151" t="s">
        <v>705</v>
      </c>
      <c r="AR3151" t="s">
        <v>5258</v>
      </c>
      <c r="AS3151" t="s">
        <v>2307</v>
      </c>
      <c r="AT3151" t="s">
        <v>2752</v>
      </c>
      <c r="AU3151" t="s">
        <v>14985</v>
      </c>
      <c r="AV3151" t="s">
        <v>9666</v>
      </c>
      <c r="AW3151" t="s">
        <v>23149</v>
      </c>
      <c r="AX3151" t="s">
        <v>648</v>
      </c>
      <c r="AY3151" t="s">
        <v>5196</v>
      </c>
      <c r="AZ3151" t="s">
        <v>5389</v>
      </c>
      <c r="BA3151">
        <v>2</v>
      </c>
      <c r="BB3151">
        <v>85.32</v>
      </c>
      <c r="BC3151">
        <v>1.0900000000000001</v>
      </c>
      <c r="BD3151">
        <v>177.3</v>
      </c>
      <c r="BE3151">
        <v>176.64</v>
      </c>
      <c r="BF3151">
        <v>171.43</v>
      </c>
      <c r="BG3151" t="s">
        <v>27659</v>
      </c>
      <c r="BH3151" t="s">
        <v>15323</v>
      </c>
      <c r="BI3151" t="s">
        <v>27660</v>
      </c>
      <c r="BJ3151" t="s">
        <v>101</v>
      </c>
      <c r="BK3151" t="s">
        <v>9761</v>
      </c>
      <c r="BL3151" t="s">
        <v>16883</v>
      </c>
      <c r="BM3151" t="s">
        <v>5264</v>
      </c>
      <c r="BN3151" t="s">
        <v>27621</v>
      </c>
    </row>
    <row r="3152" spans="1:66" x14ac:dyDescent="0.25">
      <c r="A3152" t="str">
        <f>HYPERLINK("https://elite.finviz.com/quote.ashx?t=KRUS&amp;ty=c&amp;p=d&amp;b=1", "KRUS")</f>
        <v>KRUS</v>
      </c>
      <c r="B3152">
        <v>4</v>
      </c>
      <c r="C3152">
        <v>105.92</v>
      </c>
      <c r="D3152">
        <v>24.29</v>
      </c>
      <c r="E3152" t="s">
        <v>27661</v>
      </c>
      <c r="F3152" t="s">
        <v>67</v>
      </c>
      <c r="G3152" t="s">
        <v>813</v>
      </c>
      <c r="H3152" t="s">
        <v>2285</v>
      </c>
      <c r="I3152" t="s">
        <v>70</v>
      </c>
      <c r="J3152" t="s">
        <v>321</v>
      </c>
      <c r="K3152">
        <v>754.12</v>
      </c>
      <c r="L3152">
        <v>62.35</v>
      </c>
      <c r="M3152" t="s">
        <v>2560</v>
      </c>
      <c r="N3152">
        <v>71647</v>
      </c>
      <c r="P3152">
        <v>8794.7800000000007</v>
      </c>
      <c r="R3152">
        <v>2.8</v>
      </c>
      <c r="S3152">
        <v>3.32</v>
      </c>
      <c r="AA3152">
        <v>-0.81</v>
      </c>
      <c r="AB3152" t="s">
        <v>485</v>
      </c>
      <c r="AE3152" t="s">
        <v>12209</v>
      </c>
      <c r="AF3152" t="s">
        <v>7331</v>
      </c>
      <c r="AG3152" t="s">
        <v>8958</v>
      </c>
      <c r="AH3152" t="s">
        <v>2976</v>
      </c>
      <c r="AI3152" t="s">
        <v>27662</v>
      </c>
      <c r="AJ3152" t="s">
        <v>164</v>
      </c>
      <c r="AK3152" t="s">
        <v>27663</v>
      </c>
      <c r="AL3152">
        <v>1.87</v>
      </c>
      <c r="AM3152">
        <v>1.81</v>
      </c>
      <c r="AN3152">
        <v>0.73</v>
      </c>
      <c r="AO3152" t="s">
        <v>11151</v>
      </c>
      <c r="AP3152" t="s">
        <v>8789</v>
      </c>
      <c r="AQ3152" t="s">
        <v>7959</v>
      </c>
      <c r="AR3152" t="s">
        <v>5455</v>
      </c>
      <c r="AS3152" t="s">
        <v>1063</v>
      </c>
      <c r="AT3152" t="s">
        <v>17300</v>
      </c>
      <c r="AU3152" t="s">
        <v>14970</v>
      </c>
      <c r="AV3152" t="s">
        <v>6591</v>
      </c>
      <c r="AW3152" t="s">
        <v>12719</v>
      </c>
      <c r="AX3152" t="s">
        <v>5084</v>
      </c>
      <c r="AY3152" t="s">
        <v>27664</v>
      </c>
      <c r="AZ3152" t="s">
        <v>9367</v>
      </c>
      <c r="BA3152">
        <v>1.8</v>
      </c>
      <c r="BB3152">
        <v>289.82</v>
      </c>
      <c r="BC3152">
        <v>0.87</v>
      </c>
      <c r="BD3152">
        <v>62.25</v>
      </c>
      <c r="BE3152">
        <v>62.47</v>
      </c>
      <c r="BF3152">
        <v>61</v>
      </c>
      <c r="BG3152" t="s">
        <v>27665</v>
      </c>
      <c r="BH3152" t="s">
        <v>27666</v>
      </c>
      <c r="BI3152" t="s">
        <v>27667</v>
      </c>
      <c r="BJ3152" t="s">
        <v>101</v>
      </c>
      <c r="BK3152" t="s">
        <v>441</v>
      </c>
      <c r="BL3152" t="s">
        <v>5795</v>
      </c>
      <c r="BM3152" t="s">
        <v>4769</v>
      </c>
      <c r="BN3152" t="s">
        <v>27621</v>
      </c>
    </row>
    <row r="3153" spans="1:66" x14ac:dyDescent="0.25">
      <c r="A3153" t="str">
        <f>HYPERLINK("https://elite.finviz.com/quote.ashx?t=SXT&amp;ty=c&amp;p=d&amp;b=1", "SXT")</f>
        <v>SXT</v>
      </c>
      <c r="B3153">
        <v>4</v>
      </c>
      <c r="C3153">
        <v>105.92</v>
      </c>
      <c r="D3153">
        <v>24.36</v>
      </c>
      <c r="E3153" t="s">
        <v>27668</v>
      </c>
      <c r="F3153" t="s">
        <v>67</v>
      </c>
      <c r="G3153" t="s">
        <v>355</v>
      </c>
      <c r="H3153" t="s">
        <v>1147</v>
      </c>
      <c r="I3153" t="s">
        <v>70</v>
      </c>
      <c r="J3153" t="s">
        <v>71</v>
      </c>
      <c r="K3153">
        <v>4089.48</v>
      </c>
      <c r="L3153">
        <v>96.3</v>
      </c>
      <c r="M3153" t="s">
        <v>7346</v>
      </c>
      <c r="N3153">
        <v>65982</v>
      </c>
      <c r="O3153">
        <v>30.34</v>
      </c>
      <c r="P3153">
        <v>24.5</v>
      </c>
      <c r="Q3153">
        <v>1.86</v>
      </c>
      <c r="R3153">
        <v>2.6</v>
      </c>
      <c r="S3153">
        <v>3.52</v>
      </c>
      <c r="T3153" t="s">
        <v>908</v>
      </c>
      <c r="U3153">
        <v>1.64</v>
      </c>
      <c r="V3153" t="s">
        <v>4827</v>
      </c>
      <c r="W3153" t="s">
        <v>164</v>
      </c>
      <c r="X3153" t="s">
        <v>3350</v>
      </c>
      <c r="Y3153" t="s">
        <v>2808</v>
      </c>
      <c r="Z3153" t="s">
        <v>9367</v>
      </c>
      <c r="AA3153">
        <v>3.17</v>
      </c>
      <c r="AB3153" t="s">
        <v>3349</v>
      </c>
      <c r="AC3153" t="s">
        <v>2428</v>
      </c>
      <c r="AD3153" t="s">
        <v>3190</v>
      </c>
      <c r="AE3153" t="s">
        <v>7978</v>
      </c>
      <c r="AF3153" t="s">
        <v>2647</v>
      </c>
      <c r="AG3153" t="s">
        <v>6770</v>
      </c>
      <c r="AH3153" t="s">
        <v>213</v>
      </c>
      <c r="AI3153" t="s">
        <v>3126</v>
      </c>
      <c r="AJ3153" t="s">
        <v>2402</v>
      </c>
      <c r="AK3153" t="s">
        <v>27669</v>
      </c>
      <c r="AL3153">
        <v>4.25</v>
      </c>
      <c r="AM3153">
        <v>1.78</v>
      </c>
      <c r="AN3153">
        <v>0.64</v>
      </c>
      <c r="AO3153" t="s">
        <v>4479</v>
      </c>
      <c r="AP3153" t="s">
        <v>9545</v>
      </c>
      <c r="AQ3153" t="s">
        <v>2053</v>
      </c>
      <c r="AR3153" t="s">
        <v>4547</v>
      </c>
      <c r="AS3153" t="s">
        <v>6118</v>
      </c>
      <c r="AT3153" t="s">
        <v>15157</v>
      </c>
      <c r="AU3153" t="s">
        <v>13240</v>
      </c>
      <c r="AV3153" t="s">
        <v>7236</v>
      </c>
      <c r="AW3153" t="s">
        <v>2475</v>
      </c>
      <c r="AX3153" t="s">
        <v>3227</v>
      </c>
      <c r="AY3153" t="s">
        <v>2475</v>
      </c>
      <c r="AZ3153" t="s">
        <v>27670</v>
      </c>
      <c r="BA3153">
        <v>2</v>
      </c>
      <c r="BB3153">
        <v>500.69</v>
      </c>
      <c r="BC3153">
        <v>0.46</v>
      </c>
      <c r="BD3153">
        <v>96.72</v>
      </c>
      <c r="BE3153">
        <v>97.05</v>
      </c>
      <c r="BF3153">
        <v>95.86</v>
      </c>
      <c r="BG3153" t="s">
        <v>27671</v>
      </c>
      <c r="BH3153" t="s">
        <v>2475</v>
      </c>
      <c r="BI3153" t="s">
        <v>27672</v>
      </c>
      <c r="BJ3153" t="s">
        <v>101</v>
      </c>
      <c r="BK3153" t="s">
        <v>9500</v>
      </c>
      <c r="BL3153" t="s">
        <v>3617</v>
      </c>
      <c r="BM3153" t="s">
        <v>16344</v>
      </c>
      <c r="BN3153" t="s">
        <v>27621</v>
      </c>
    </row>
    <row r="3154" spans="1:66" x14ac:dyDescent="0.25">
      <c r="A3154" t="str">
        <f>HYPERLINK("https://elite.finviz.com/quote.ashx?t=COCH&amp;ty=c&amp;p=d&amp;b=1", "COCH")</f>
        <v>COCH</v>
      </c>
      <c r="B3154">
        <v>4</v>
      </c>
      <c r="C3154">
        <v>105.92</v>
      </c>
      <c r="D3154">
        <v>24.37</v>
      </c>
      <c r="E3154" t="s">
        <v>27673</v>
      </c>
      <c r="F3154" t="s">
        <v>107</v>
      </c>
      <c r="G3154" t="s">
        <v>428</v>
      </c>
      <c r="H3154" t="s">
        <v>2051</v>
      </c>
      <c r="I3154" t="s">
        <v>70</v>
      </c>
      <c r="J3154" t="s">
        <v>321</v>
      </c>
      <c r="K3154">
        <v>17.32</v>
      </c>
      <c r="L3154">
        <v>0.79</v>
      </c>
      <c r="M3154" t="s">
        <v>440</v>
      </c>
      <c r="N3154">
        <v>78242</v>
      </c>
      <c r="R3154">
        <v>78.72</v>
      </c>
      <c r="AA3154">
        <v>-1.35</v>
      </c>
      <c r="AB3154" t="s">
        <v>27674</v>
      </c>
      <c r="AE3154" t="s">
        <v>23018</v>
      </c>
      <c r="AH3154" t="s">
        <v>5795</v>
      </c>
      <c r="AI3154" t="s">
        <v>2934</v>
      </c>
      <c r="AJ3154" t="s">
        <v>2418</v>
      </c>
      <c r="AK3154" t="s">
        <v>27675</v>
      </c>
      <c r="AL3154">
        <v>0.94</v>
      </c>
      <c r="AM3154">
        <v>0.74</v>
      </c>
      <c r="AO3154" t="s">
        <v>27676</v>
      </c>
      <c r="AP3154" t="s">
        <v>27677</v>
      </c>
      <c r="AQ3154" t="s">
        <v>27678</v>
      </c>
      <c r="AR3154" t="s">
        <v>6969</v>
      </c>
      <c r="AS3154" t="s">
        <v>1809</v>
      </c>
      <c r="AT3154" t="s">
        <v>16630</v>
      </c>
      <c r="AU3154" t="s">
        <v>23738</v>
      </c>
      <c r="AV3154" t="s">
        <v>27679</v>
      </c>
      <c r="AW3154" t="s">
        <v>27680</v>
      </c>
      <c r="AX3154" t="s">
        <v>4795</v>
      </c>
      <c r="AY3154" t="s">
        <v>19859</v>
      </c>
      <c r="AZ3154" t="s">
        <v>4795</v>
      </c>
      <c r="BA3154">
        <v>1</v>
      </c>
      <c r="BB3154">
        <v>321.13</v>
      </c>
      <c r="BC3154">
        <v>0.87</v>
      </c>
      <c r="BD3154">
        <v>0.85</v>
      </c>
      <c r="BE3154">
        <v>0.85</v>
      </c>
      <c r="BF3154">
        <v>0.79</v>
      </c>
      <c r="BG3154" t="s">
        <v>27681</v>
      </c>
      <c r="BH3154" t="s">
        <v>989</v>
      </c>
      <c r="BI3154" t="s">
        <v>7210</v>
      </c>
      <c r="BJ3154" t="s">
        <v>101</v>
      </c>
      <c r="BK3154" t="s">
        <v>18563</v>
      </c>
      <c r="BL3154" t="s">
        <v>27682</v>
      </c>
      <c r="BM3154" t="s">
        <v>27683</v>
      </c>
      <c r="BN3154" t="s">
        <v>27621</v>
      </c>
    </row>
    <row r="3155" spans="1:66" x14ac:dyDescent="0.25">
      <c r="A3155" t="str">
        <f>HYPERLINK("https://elite.finviz.com/quote.ashx?t=IMA&amp;ty=c&amp;p=d&amp;b=1", "IMA")</f>
        <v>IMA</v>
      </c>
      <c r="B3155">
        <v>4</v>
      </c>
      <c r="C3155">
        <v>105.92</v>
      </c>
      <c r="D3155">
        <v>24.51</v>
      </c>
      <c r="E3155" t="s">
        <v>27684</v>
      </c>
      <c r="F3155" t="s">
        <v>107</v>
      </c>
      <c r="G3155" t="s">
        <v>428</v>
      </c>
      <c r="H3155" t="s">
        <v>429</v>
      </c>
      <c r="I3155" t="s">
        <v>70</v>
      </c>
      <c r="J3155" t="s">
        <v>321</v>
      </c>
      <c r="K3155">
        <v>86.99</v>
      </c>
      <c r="L3155">
        <v>7.78</v>
      </c>
      <c r="M3155" t="s">
        <v>164</v>
      </c>
      <c r="N3155">
        <v>810</v>
      </c>
      <c r="S3155">
        <v>0.27</v>
      </c>
      <c r="AA3155">
        <v>-7.64</v>
      </c>
      <c r="AB3155" t="s">
        <v>14462</v>
      </c>
      <c r="AC3155" t="s">
        <v>16135</v>
      </c>
      <c r="AD3155" t="s">
        <v>4607</v>
      </c>
      <c r="AE3155" t="s">
        <v>579</v>
      </c>
      <c r="AI3155" t="s">
        <v>6719</v>
      </c>
      <c r="AJ3155" t="s">
        <v>7401</v>
      </c>
      <c r="AK3155" t="s">
        <v>2635</v>
      </c>
      <c r="AL3155">
        <v>13.52</v>
      </c>
      <c r="AM3155">
        <v>13.52</v>
      </c>
      <c r="AN3155">
        <v>0.05</v>
      </c>
      <c r="AR3155" t="s">
        <v>2384</v>
      </c>
      <c r="AS3155" t="s">
        <v>4498</v>
      </c>
      <c r="AT3155" t="s">
        <v>22446</v>
      </c>
      <c r="AU3155" t="s">
        <v>27685</v>
      </c>
      <c r="AV3155" t="s">
        <v>16189</v>
      </c>
      <c r="AW3155" t="s">
        <v>14380</v>
      </c>
      <c r="AX3155" t="s">
        <v>6719</v>
      </c>
      <c r="AY3155" t="s">
        <v>27686</v>
      </c>
      <c r="AZ3155" t="s">
        <v>6719</v>
      </c>
      <c r="BA3155">
        <v>2</v>
      </c>
      <c r="BB3155">
        <v>37.67</v>
      </c>
      <c r="BC3155">
        <v>0.08</v>
      </c>
      <c r="BD3155">
        <v>7.78</v>
      </c>
      <c r="BE3155">
        <v>7.9</v>
      </c>
      <c r="BF3155">
        <v>7.77</v>
      </c>
      <c r="BG3155" t="s">
        <v>27687</v>
      </c>
      <c r="BH3155" t="s">
        <v>27688</v>
      </c>
      <c r="BI3155" t="s">
        <v>6719</v>
      </c>
      <c r="BJ3155" t="s">
        <v>101</v>
      </c>
      <c r="BK3155" t="s">
        <v>24579</v>
      </c>
      <c r="BL3155" t="s">
        <v>27689</v>
      </c>
      <c r="BM3155" t="s">
        <v>14340</v>
      </c>
      <c r="BN3155" t="s">
        <v>27621</v>
      </c>
    </row>
    <row r="3156" spans="1:66" x14ac:dyDescent="0.25">
      <c r="A3156" t="str">
        <f>HYPERLINK("https://elite.finviz.com/quote.ashx?t=JJSF&amp;ty=c&amp;p=d&amp;b=1", "JJSF")</f>
        <v>JJSF</v>
      </c>
      <c r="B3156">
        <v>4</v>
      </c>
      <c r="C3156">
        <v>105.92</v>
      </c>
      <c r="D3156">
        <v>24.57</v>
      </c>
      <c r="E3156" t="s">
        <v>27690</v>
      </c>
      <c r="F3156" t="s">
        <v>67</v>
      </c>
      <c r="G3156" t="s">
        <v>2244</v>
      </c>
      <c r="H3156" t="s">
        <v>3269</v>
      </c>
      <c r="I3156" t="s">
        <v>70</v>
      </c>
      <c r="J3156" t="s">
        <v>321</v>
      </c>
      <c r="K3156">
        <v>1857.84</v>
      </c>
      <c r="L3156">
        <v>95.43</v>
      </c>
      <c r="M3156" t="s">
        <v>2560</v>
      </c>
      <c r="N3156">
        <v>22737</v>
      </c>
      <c r="O3156">
        <v>22.24</v>
      </c>
      <c r="P3156">
        <v>20.28</v>
      </c>
      <c r="Q3156">
        <v>7.22</v>
      </c>
      <c r="R3156">
        <v>1.1599999999999999</v>
      </c>
      <c r="S3156">
        <v>1.91</v>
      </c>
      <c r="T3156" t="s">
        <v>5593</v>
      </c>
      <c r="U3156">
        <v>3.14</v>
      </c>
      <c r="V3156" t="s">
        <v>5925</v>
      </c>
      <c r="W3156" t="s">
        <v>4172</v>
      </c>
      <c r="X3156" t="s">
        <v>3121</v>
      </c>
      <c r="Y3156" t="s">
        <v>6421</v>
      </c>
      <c r="Z3156" t="s">
        <v>10238</v>
      </c>
      <c r="AA3156">
        <v>4.29</v>
      </c>
      <c r="AB3156" t="s">
        <v>1788</v>
      </c>
      <c r="AC3156" t="s">
        <v>7036</v>
      </c>
      <c r="AD3156" t="s">
        <v>5188</v>
      </c>
      <c r="AE3156" t="s">
        <v>3336</v>
      </c>
      <c r="AF3156" t="s">
        <v>2740</v>
      </c>
      <c r="AG3156" t="s">
        <v>2581</v>
      </c>
      <c r="AH3156" t="s">
        <v>4499</v>
      </c>
      <c r="AI3156" t="s">
        <v>2685</v>
      </c>
      <c r="AJ3156" t="s">
        <v>164</v>
      </c>
      <c r="AK3156" t="s">
        <v>25390</v>
      </c>
      <c r="AL3156">
        <v>2.38</v>
      </c>
      <c r="AM3156">
        <v>1.43</v>
      </c>
      <c r="AN3156">
        <v>0.17</v>
      </c>
      <c r="AO3156" t="s">
        <v>19737</v>
      </c>
      <c r="AP3156" t="s">
        <v>2066</v>
      </c>
      <c r="AQ3156" t="s">
        <v>2293</v>
      </c>
      <c r="AR3156" t="s">
        <v>213</v>
      </c>
      <c r="AS3156" t="s">
        <v>180</v>
      </c>
      <c r="AT3156" t="s">
        <v>4875</v>
      </c>
      <c r="AU3156" t="s">
        <v>25533</v>
      </c>
      <c r="AV3156" t="s">
        <v>24107</v>
      </c>
      <c r="AW3156" t="s">
        <v>12829</v>
      </c>
      <c r="AX3156" t="s">
        <v>2560</v>
      </c>
      <c r="AY3156" t="s">
        <v>15125</v>
      </c>
      <c r="AZ3156" t="s">
        <v>2560</v>
      </c>
      <c r="BA3156">
        <v>1.5</v>
      </c>
      <c r="BB3156">
        <v>159.02000000000001</v>
      </c>
      <c r="BC3156">
        <v>0.5</v>
      </c>
      <c r="BD3156">
        <v>95.27</v>
      </c>
      <c r="BE3156">
        <v>96.38</v>
      </c>
      <c r="BF3156">
        <v>95.21</v>
      </c>
      <c r="BG3156" t="s">
        <v>27691</v>
      </c>
      <c r="BH3156" t="s">
        <v>21147</v>
      </c>
      <c r="BI3156" t="s">
        <v>27692</v>
      </c>
      <c r="BJ3156" t="s">
        <v>101</v>
      </c>
      <c r="BK3156" t="s">
        <v>2452</v>
      </c>
      <c r="BL3156" t="s">
        <v>17444</v>
      </c>
      <c r="BM3156" t="s">
        <v>5622</v>
      </c>
      <c r="BN3156" t="s">
        <v>27621</v>
      </c>
    </row>
    <row r="3157" spans="1:66" x14ac:dyDescent="0.25">
      <c r="A3157" t="str">
        <f>HYPERLINK("https://elite.finviz.com/quote.ashx?t=VIRT&amp;ty=c&amp;p=d&amp;b=1", "VIRT")</f>
        <v>VIRT</v>
      </c>
      <c r="B3157">
        <v>4</v>
      </c>
      <c r="C3157">
        <v>105.92</v>
      </c>
      <c r="D3157">
        <v>24.65</v>
      </c>
      <c r="E3157" t="s">
        <v>27693</v>
      </c>
      <c r="F3157" t="s">
        <v>107</v>
      </c>
      <c r="G3157" t="s">
        <v>550</v>
      </c>
      <c r="H3157" t="s">
        <v>551</v>
      </c>
      <c r="I3157" t="s">
        <v>70</v>
      </c>
      <c r="J3157" t="s">
        <v>71</v>
      </c>
      <c r="K3157">
        <v>5364.77</v>
      </c>
      <c r="L3157">
        <v>35.1</v>
      </c>
      <c r="M3157" t="s">
        <v>2757</v>
      </c>
      <c r="N3157">
        <v>56064</v>
      </c>
      <c r="O3157">
        <v>7.97</v>
      </c>
      <c r="P3157">
        <v>7.86</v>
      </c>
      <c r="Q3157">
        <v>0.82</v>
      </c>
      <c r="R3157">
        <v>1.83</v>
      </c>
      <c r="S3157">
        <v>2.12</v>
      </c>
      <c r="T3157" t="s">
        <v>4658</v>
      </c>
      <c r="U3157">
        <v>0.96</v>
      </c>
      <c r="V3157" t="s">
        <v>4882</v>
      </c>
      <c r="W3157" t="s">
        <v>164</v>
      </c>
      <c r="X3157" t="s">
        <v>164</v>
      </c>
      <c r="Y3157" t="s">
        <v>164</v>
      </c>
      <c r="Z3157" t="s">
        <v>11098</v>
      </c>
      <c r="AA3157">
        <v>4.41</v>
      </c>
      <c r="AB3157" t="s">
        <v>16256</v>
      </c>
      <c r="AD3157" t="s">
        <v>419</v>
      </c>
      <c r="AE3157" t="s">
        <v>10233</v>
      </c>
      <c r="AF3157" t="s">
        <v>205</v>
      </c>
      <c r="AG3157" t="s">
        <v>6387</v>
      </c>
      <c r="AH3157" t="s">
        <v>10854</v>
      </c>
      <c r="AI3157" t="s">
        <v>12806</v>
      </c>
      <c r="AJ3157" t="s">
        <v>4215</v>
      </c>
      <c r="AK3157" t="s">
        <v>27694</v>
      </c>
      <c r="AL3157">
        <v>0.94</v>
      </c>
      <c r="AM3157">
        <v>0.94</v>
      </c>
      <c r="AN3157">
        <v>2.93</v>
      </c>
      <c r="AO3157" t="s">
        <v>26883</v>
      </c>
      <c r="AP3157" t="s">
        <v>3037</v>
      </c>
      <c r="AQ3157" t="s">
        <v>12316</v>
      </c>
      <c r="AR3157" t="s">
        <v>2201</v>
      </c>
      <c r="AS3157" t="s">
        <v>1933</v>
      </c>
      <c r="AT3157" t="s">
        <v>8654</v>
      </c>
      <c r="AU3157" t="s">
        <v>18777</v>
      </c>
      <c r="AV3157" t="s">
        <v>12495</v>
      </c>
      <c r="AW3157" t="s">
        <v>2013</v>
      </c>
      <c r="AX3157" t="s">
        <v>5577</v>
      </c>
      <c r="AY3157" t="s">
        <v>2013</v>
      </c>
      <c r="AZ3157" t="s">
        <v>1383</v>
      </c>
      <c r="BA3157">
        <v>2.5</v>
      </c>
      <c r="BB3157">
        <v>970.17</v>
      </c>
      <c r="BC3157">
        <v>0.2</v>
      </c>
      <c r="BD3157">
        <v>35.06</v>
      </c>
      <c r="BE3157">
        <v>35.32</v>
      </c>
      <c r="BF3157">
        <v>35.06</v>
      </c>
      <c r="BG3157" t="s">
        <v>27695</v>
      </c>
      <c r="BH3157" t="s">
        <v>2013</v>
      </c>
      <c r="BI3157" t="s">
        <v>27696</v>
      </c>
      <c r="BJ3157" t="s">
        <v>101</v>
      </c>
      <c r="BK3157" t="s">
        <v>27697</v>
      </c>
      <c r="BL3157" t="s">
        <v>6231</v>
      </c>
      <c r="BM3157" t="s">
        <v>9196</v>
      </c>
      <c r="BN3157" t="s">
        <v>27621</v>
      </c>
    </row>
    <row r="3158" spans="1:66" x14ac:dyDescent="0.25">
      <c r="A3158" t="str">
        <f>HYPERLINK("https://elite.finviz.com/quote.ashx?t=NCDL&amp;ty=c&amp;p=d&amp;b=1", "NCDL")</f>
        <v>NCDL</v>
      </c>
      <c r="B3158">
        <v>4</v>
      </c>
      <c r="C3158">
        <v>105.92</v>
      </c>
      <c r="D3158">
        <v>24.66</v>
      </c>
      <c r="E3158" t="s">
        <v>27698</v>
      </c>
      <c r="F3158" t="s">
        <v>107</v>
      </c>
      <c r="G3158" t="s">
        <v>550</v>
      </c>
      <c r="H3158" t="s">
        <v>2597</v>
      </c>
      <c r="I3158" t="s">
        <v>70</v>
      </c>
      <c r="J3158" t="s">
        <v>71</v>
      </c>
      <c r="K3158">
        <v>719.07</v>
      </c>
      <c r="L3158">
        <v>14.56</v>
      </c>
      <c r="M3158" t="s">
        <v>580</v>
      </c>
      <c r="N3158">
        <v>28294</v>
      </c>
      <c r="O3158">
        <v>7.96</v>
      </c>
      <c r="P3158">
        <v>8.48</v>
      </c>
      <c r="R3158">
        <v>3.53</v>
      </c>
      <c r="S3158">
        <v>0.81</v>
      </c>
      <c r="T3158" t="s">
        <v>7883</v>
      </c>
      <c r="U3158">
        <v>1.79</v>
      </c>
      <c r="V3158" t="s">
        <v>198</v>
      </c>
      <c r="Z3158" t="s">
        <v>27699</v>
      </c>
      <c r="AA3158">
        <v>1.83</v>
      </c>
      <c r="AB3158" t="s">
        <v>7464</v>
      </c>
      <c r="AC3158" t="s">
        <v>3482</v>
      </c>
      <c r="AD3158" t="s">
        <v>13001</v>
      </c>
      <c r="AE3158" t="s">
        <v>7553</v>
      </c>
      <c r="AF3158" t="s">
        <v>27700</v>
      </c>
      <c r="AG3158" t="s">
        <v>9876</v>
      </c>
      <c r="AH3158" t="s">
        <v>1301</v>
      </c>
      <c r="AI3158" t="s">
        <v>1938</v>
      </c>
      <c r="AJ3158" t="s">
        <v>2216</v>
      </c>
      <c r="AK3158" t="s">
        <v>18724</v>
      </c>
      <c r="AL3158">
        <v>0.87</v>
      </c>
      <c r="AM3158">
        <v>0.87</v>
      </c>
      <c r="AN3158">
        <v>1.26</v>
      </c>
      <c r="AO3158" t="s">
        <v>19214</v>
      </c>
      <c r="AP3158" t="s">
        <v>11836</v>
      </c>
      <c r="AQ3158" t="s">
        <v>7695</v>
      </c>
      <c r="AR3158" t="s">
        <v>2554</v>
      </c>
      <c r="AS3158" t="s">
        <v>3487</v>
      </c>
      <c r="AT3158" t="s">
        <v>9814</v>
      </c>
      <c r="AU3158" t="s">
        <v>5371</v>
      </c>
      <c r="AV3158" t="s">
        <v>7951</v>
      </c>
      <c r="AW3158" t="s">
        <v>22446</v>
      </c>
      <c r="AX3158" t="s">
        <v>580</v>
      </c>
      <c r="AY3158" t="s">
        <v>22995</v>
      </c>
      <c r="AZ3158" t="s">
        <v>4547</v>
      </c>
      <c r="BA3158">
        <v>2</v>
      </c>
      <c r="BB3158">
        <v>162.72</v>
      </c>
      <c r="BC3158">
        <v>0.61</v>
      </c>
      <c r="BD3158">
        <v>14.55</v>
      </c>
      <c r="BE3158">
        <v>14.66</v>
      </c>
      <c r="BF3158">
        <v>14.56</v>
      </c>
      <c r="BG3158" t="s">
        <v>27701</v>
      </c>
      <c r="BH3158" t="s">
        <v>22995</v>
      </c>
      <c r="BI3158" t="s">
        <v>4547</v>
      </c>
      <c r="BJ3158" t="s">
        <v>101</v>
      </c>
      <c r="BK3158" t="s">
        <v>16624</v>
      </c>
      <c r="BL3158" t="s">
        <v>9220</v>
      </c>
      <c r="BM3158" t="s">
        <v>9567</v>
      </c>
      <c r="BN3158" t="s">
        <v>27621</v>
      </c>
    </row>
    <row r="3159" spans="1:66" x14ac:dyDescent="0.25">
      <c r="A3159" t="str">
        <f>HYPERLINK("https://elite.finviz.com/quote.ashx?t=REVB&amp;ty=c&amp;p=d&amp;b=1", "REVB")</f>
        <v>REVB</v>
      </c>
      <c r="B3159">
        <v>4</v>
      </c>
      <c r="C3159">
        <v>105.92</v>
      </c>
      <c r="D3159">
        <v>24.83</v>
      </c>
      <c r="E3159" t="s">
        <v>27702</v>
      </c>
      <c r="F3159" t="s">
        <v>107</v>
      </c>
      <c r="G3159" t="s">
        <v>428</v>
      </c>
      <c r="H3159" t="s">
        <v>429</v>
      </c>
      <c r="I3159" t="s">
        <v>70</v>
      </c>
      <c r="J3159" t="s">
        <v>321</v>
      </c>
      <c r="K3159">
        <v>3.32</v>
      </c>
      <c r="L3159">
        <v>1.41</v>
      </c>
      <c r="M3159" t="s">
        <v>2644</v>
      </c>
      <c r="N3159">
        <v>108108</v>
      </c>
      <c r="S3159">
        <v>0.56999999999999995</v>
      </c>
      <c r="AA3159">
        <v>-68.430000000000007</v>
      </c>
      <c r="AB3159" t="s">
        <v>27699</v>
      </c>
      <c r="AC3159" t="s">
        <v>25529</v>
      </c>
      <c r="AD3159" t="s">
        <v>15655</v>
      </c>
      <c r="AI3159" t="s">
        <v>27703</v>
      </c>
      <c r="AK3159" t="s">
        <v>8013</v>
      </c>
      <c r="AL3159">
        <v>3.42</v>
      </c>
      <c r="AM3159">
        <v>3.42</v>
      </c>
      <c r="AN3159">
        <v>0</v>
      </c>
      <c r="AR3159" t="s">
        <v>1576</v>
      </c>
      <c r="AS3159" t="s">
        <v>5864</v>
      </c>
      <c r="AT3159" t="s">
        <v>21822</v>
      </c>
      <c r="AU3159" t="s">
        <v>17255</v>
      </c>
      <c r="AV3159" t="s">
        <v>16834</v>
      </c>
      <c r="AW3159" t="s">
        <v>20240</v>
      </c>
      <c r="AX3159" t="s">
        <v>2644</v>
      </c>
      <c r="AY3159" t="s">
        <v>12041</v>
      </c>
      <c r="AZ3159" t="s">
        <v>2644</v>
      </c>
      <c r="BA3159">
        <v>1</v>
      </c>
      <c r="BB3159">
        <v>436.13</v>
      </c>
      <c r="BC3159">
        <v>0.88</v>
      </c>
      <c r="BD3159">
        <v>1.4</v>
      </c>
      <c r="BE3159">
        <v>1.46</v>
      </c>
      <c r="BF3159">
        <v>1.41</v>
      </c>
      <c r="BG3159" t="s">
        <v>27704</v>
      </c>
      <c r="BH3159" t="s">
        <v>579</v>
      </c>
      <c r="BI3159" t="s">
        <v>2644</v>
      </c>
      <c r="BJ3159" t="s">
        <v>101</v>
      </c>
      <c r="BK3159" t="s">
        <v>11224</v>
      </c>
      <c r="BL3159" t="s">
        <v>14849</v>
      </c>
      <c r="BM3159" t="s">
        <v>15370</v>
      </c>
      <c r="BN3159" t="s">
        <v>27621</v>
      </c>
    </row>
    <row r="3160" spans="1:66" x14ac:dyDescent="0.25">
      <c r="A3160" t="str">
        <f>HYPERLINK("https://elite.finviz.com/quote.ashx?t=SNDR&amp;ty=c&amp;p=d&amp;b=1", "SNDR")</f>
        <v>SNDR</v>
      </c>
      <c r="B3160">
        <v>4</v>
      </c>
      <c r="C3160">
        <v>105.92</v>
      </c>
      <c r="D3160">
        <v>25.49</v>
      </c>
      <c r="E3160" t="s">
        <v>27705</v>
      </c>
      <c r="F3160" t="s">
        <v>107</v>
      </c>
      <c r="G3160" t="s">
        <v>260</v>
      </c>
      <c r="H3160" t="s">
        <v>6190</v>
      </c>
      <c r="I3160" t="s">
        <v>70</v>
      </c>
      <c r="J3160" t="s">
        <v>71</v>
      </c>
      <c r="K3160">
        <v>3727.41</v>
      </c>
      <c r="L3160">
        <v>21.27</v>
      </c>
      <c r="M3160" t="s">
        <v>2745</v>
      </c>
      <c r="N3160">
        <v>137020</v>
      </c>
      <c r="O3160">
        <v>29.86</v>
      </c>
      <c r="P3160">
        <v>16.22</v>
      </c>
      <c r="Q3160">
        <v>0.77</v>
      </c>
      <c r="R3160">
        <v>0.68</v>
      </c>
      <c r="S3160">
        <v>1.27</v>
      </c>
      <c r="T3160" t="s">
        <v>3925</v>
      </c>
      <c r="U3160">
        <v>0.38</v>
      </c>
      <c r="V3160" t="s">
        <v>2620</v>
      </c>
      <c r="W3160" t="s">
        <v>892</v>
      </c>
      <c r="X3160" t="s">
        <v>5841</v>
      </c>
      <c r="Y3160" t="s">
        <v>3230</v>
      </c>
      <c r="Z3160" t="s">
        <v>22127</v>
      </c>
      <c r="AA3160">
        <v>0.71</v>
      </c>
      <c r="AB3160" t="s">
        <v>1995</v>
      </c>
      <c r="AC3160" t="s">
        <v>9672</v>
      </c>
      <c r="AD3160" t="s">
        <v>5822</v>
      </c>
      <c r="AE3160" t="s">
        <v>2876</v>
      </c>
      <c r="AF3160" t="s">
        <v>6152</v>
      </c>
      <c r="AG3160" t="s">
        <v>633</v>
      </c>
      <c r="AH3160" t="s">
        <v>265</v>
      </c>
      <c r="AI3160" t="s">
        <v>90</v>
      </c>
      <c r="AJ3160" t="s">
        <v>3598</v>
      </c>
      <c r="AK3160" t="s">
        <v>11392</v>
      </c>
      <c r="AL3160">
        <v>1.91</v>
      </c>
      <c r="AM3160">
        <v>1.77</v>
      </c>
      <c r="AN3160">
        <v>0.17</v>
      </c>
      <c r="AO3160" t="s">
        <v>2932</v>
      </c>
      <c r="AP3160" t="s">
        <v>3035</v>
      </c>
      <c r="AQ3160" t="s">
        <v>679</v>
      </c>
      <c r="AR3160" t="s">
        <v>248</v>
      </c>
      <c r="AS3160" t="s">
        <v>4800</v>
      </c>
      <c r="AT3160" t="s">
        <v>4229</v>
      </c>
      <c r="AU3160" t="s">
        <v>12939</v>
      </c>
      <c r="AV3160" t="s">
        <v>23335</v>
      </c>
      <c r="AW3160" t="s">
        <v>933</v>
      </c>
      <c r="AX3160" t="s">
        <v>3000</v>
      </c>
      <c r="AY3160" t="s">
        <v>27706</v>
      </c>
      <c r="AZ3160" t="s">
        <v>5593</v>
      </c>
      <c r="BA3160">
        <v>2.41</v>
      </c>
      <c r="BB3160">
        <v>814.81</v>
      </c>
      <c r="BC3160">
        <v>0.59</v>
      </c>
      <c r="BD3160">
        <v>21.28</v>
      </c>
      <c r="BE3160">
        <v>21.5</v>
      </c>
      <c r="BF3160">
        <v>21.27</v>
      </c>
      <c r="BG3160" t="s">
        <v>27707</v>
      </c>
      <c r="BH3160" t="s">
        <v>27706</v>
      </c>
      <c r="BI3160" t="s">
        <v>4519</v>
      </c>
      <c r="BJ3160" t="s">
        <v>101</v>
      </c>
      <c r="BK3160" t="s">
        <v>8048</v>
      </c>
      <c r="BL3160" t="s">
        <v>11932</v>
      </c>
      <c r="BM3160" t="s">
        <v>26316</v>
      </c>
      <c r="BN3160" t="s">
        <v>27621</v>
      </c>
    </row>
    <row r="3161" spans="1:66" x14ac:dyDescent="0.25">
      <c r="A3161" t="str">
        <f>HYPERLINK("https://elite.finviz.com/quote.ashx?t=MGPI&amp;ty=c&amp;p=d&amp;b=1", "MGPI")</f>
        <v>MGPI</v>
      </c>
      <c r="B3161">
        <v>4</v>
      </c>
      <c r="C3161">
        <v>105.92</v>
      </c>
      <c r="D3161">
        <v>25.65</v>
      </c>
      <c r="E3161" t="s">
        <v>27708</v>
      </c>
      <c r="F3161" t="s">
        <v>67</v>
      </c>
      <c r="G3161" t="s">
        <v>2244</v>
      </c>
      <c r="H3161" t="s">
        <v>2245</v>
      </c>
      <c r="I3161" t="s">
        <v>70</v>
      </c>
      <c r="J3161" t="s">
        <v>321</v>
      </c>
      <c r="K3161">
        <v>530.05999999999995</v>
      </c>
      <c r="L3161">
        <v>24.89</v>
      </c>
      <c r="M3161" t="s">
        <v>2906</v>
      </c>
      <c r="N3161">
        <v>27388</v>
      </c>
      <c r="P3161">
        <v>9.18</v>
      </c>
      <c r="R3161">
        <v>0.87</v>
      </c>
      <c r="S3161">
        <v>0.63</v>
      </c>
      <c r="T3161" t="s">
        <v>3832</v>
      </c>
      <c r="U3161">
        <v>0.48</v>
      </c>
      <c r="V3161" t="s">
        <v>3046</v>
      </c>
      <c r="W3161" t="s">
        <v>164</v>
      </c>
      <c r="X3161" t="s">
        <v>164</v>
      </c>
      <c r="Y3161" t="s">
        <v>3482</v>
      </c>
      <c r="Z3161" t="s">
        <v>24895</v>
      </c>
      <c r="AA3161">
        <v>-0.31</v>
      </c>
      <c r="AB3161" t="s">
        <v>4649</v>
      </c>
      <c r="AC3161" t="s">
        <v>6013</v>
      </c>
      <c r="AD3161" t="s">
        <v>7818</v>
      </c>
      <c r="AE3161" t="s">
        <v>6861</v>
      </c>
      <c r="AF3161" t="s">
        <v>3334</v>
      </c>
      <c r="AG3161" t="s">
        <v>3789</v>
      </c>
      <c r="AH3161" t="s">
        <v>22575</v>
      </c>
      <c r="AI3161" t="s">
        <v>10127</v>
      </c>
      <c r="AJ3161" t="s">
        <v>9085</v>
      </c>
      <c r="AK3161" t="s">
        <v>20946</v>
      </c>
      <c r="AL3161">
        <v>2.91</v>
      </c>
      <c r="AM3161">
        <v>0.79</v>
      </c>
      <c r="AN3161">
        <v>0.37</v>
      </c>
      <c r="AO3161" t="s">
        <v>21485</v>
      </c>
      <c r="AP3161" t="s">
        <v>9884</v>
      </c>
      <c r="AQ3161" t="s">
        <v>575</v>
      </c>
      <c r="AR3161" t="s">
        <v>4294</v>
      </c>
      <c r="AS3161" t="s">
        <v>305</v>
      </c>
      <c r="AT3161" t="s">
        <v>11990</v>
      </c>
      <c r="AU3161" t="s">
        <v>16620</v>
      </c>
      <c r="AV3161" t="s">
        <v>13768</v>
      </c>
      <c r="AW3161" t="s">
        <v>7339</v>
      </c>
      <c r="AX3161" t="s">
        <v>7709</v>
      </c>
      <c r="AY3161" t="s">
        <v>27709</v>
      </c>
      <c r="AZ3161" t="s">
        <v>7709</v>
      </c>
      <c r="BA3161">
        <v>1.33</v>
      </c>
      <c r="BB3161">
        <v>218.64</v>
      </c>
      <c r="BC3161">
        <v>0.45</v>
      </c>
      <c r="BD3161">
        <v>24.94</v>
      </c>
      <c r="BE3161">
        <v>25.35</v>
      </c>
      <c r="BF3161">
        <v>24.88</v>
      </c>
      <c r="BG3161" t="s">
        <v>27710</v>
      </c>
      <c r="BH3161" t="s">
        <v>27711</v>
      </c>
      <c r="BI3161" t="s">
        <v>27712</v>
      </c>
      <c r="BJ3161" t="s">
        <v>101</v>
      </c>
      <c r="BK3161" t="s">
        <v>21505</v>
      </c>
      <c r="BL3161" t="s">
        <v>11427</v>
      </c>
      <c r="BM3161" t="s">
        <v>27713</v>
      </c>
      <c r="BN3161" t="s">
        <v>27621</v>
      </c>
    </row>
    <row r="3162" spans="1:66" x14ac:dyDescent="0.25">
      <c r="A3162" t="str">
        <f>HYPERLINK("https://elite.finviz.com/quote.ashx?t=SCM&amp;ty=c&amp;p=d&amp;b=1", "SCM")</f>
        <v>SCM</v>
      </c>
      <c r="B3162">
        <v>4</v>
      </c>
      <c r="C3162">
        <v>105.92</v>
      </c>
      <c r="D3162">
        <v>25.66</v>
      </c>
      <c r="E3162" t="s">
        <v>27714</v>
      </c>
      <c r="F3162" t="s">
        <v>107</v>
      </c>
      <c r="G3162" t="s">
        <v>550</v>
      </c>
      <c r="H3162" t="s">
        <v>2597</v>
      </c>
      <c r="I3162" t="s">
        <v>70</v>
      </c>
      <c r="J3162" t="s">
        <v>71</v>
      </c>
      <c r="K3162">
        <v>380.49</v>
      </c>
      <c r="L3162">
        <v>13.39</v>
      </c>
      <c r="M3162" t="s">
        <v>580</v>
      </c>
      <c r="N3162">
        <v>26472</v>
      </c>
      <c r="O3162">
        <v>9.3000000000000007</v>
      </c>
      <c r="P3162">
        <v>10.95</v>
      </c>
      <c r="R3162">
        <v>3.7</v>
      </c>
      <c r="S3162">
        <v>1.01</v>
      </c>
      <c r="T3162" t="s">
        <v>5387</v>
      </c>
      <c r="U3162">
        <v>1.6</v>
      </c>
      <c r="V3162" t="s">
        <v>198</v>
      </c>
      <c r="W3162" t="s">
        <v>164</v>
      </c>
      <c r="X3162" t="s">
        <v>3797</v>
      </c>
      <c r="Y3162" t="s">
        <v>3170</v>
      </c>
      <c r="Z3162" t="s">
        <v>27715</v>
      </c>
      <c r="AA3162">
        <v>1.44</v>
      </c>
      <c r="AH3162" t="s">
        <v>5763</v>
      </c>
      <c r="AI3162" t="s">
        <v>7391</v>
      </c>
      <c r="AJ3162" t="s">
        <v>164</v>
      </c>
      <c r="AK3162" t="s">
        <v>7435</v>
      </c>
      <c r="AR3162" t="s">
        <v>3842</v>
      </c>
      <c r="AS3162" t="s">
        <v>908</v>
      </c>
      <c r="AT3162" t="s">
        <v>7289</v>
      </c>
      <c r="AU3162" t="s">
        <v>3436</v>
      </c>
      <c r="AV3162" t="s">
        <v>8534</v>
      </c>
      <c r="AW3162" t="s">
        <v>5372</v>
      </c>
      <c r="AX3162" t="s">
        <v>5253</v>
      </c>
      <c r="AY3162" t="s">
        <v>374</v>
      </c>
      <c r="AZ3162" t="s">
        <v>2008</v>
      </c>
      <c r="BB3162">
        <v>171.97</v>
      </c>
      <c r="BC3162">
        <v>0.54</v>
      </c>
      <c r="BD3162">
        <v>13.38</v>
      </c>
      <c r="BE3162">
        <v>13.54</v>
      </c>
      <c r="BF3162">
        <v>13.38</v>
      </c>
      <c r="BG3162" t="s">
        <v>27716</v>
      </c>
      <c r="BH3162" t="s">
        <v>10181</v>
      </c>
      <c r="BI3162" t="s">
        <v>27717</v>
      </c>
      <c r="BJ3162" t="s">
        <v>101</v>
      </c>
      <c r="BK3162" t="s">
        <v>10842</v>
      </c>
      <c r="BL3162" t="s">
        <v>10065</v>
      </c>
      <c r="BM3162" t="s">
        <v>6533</v>
      </c>
      <c r="BN3162" t="s">
        <v>27621</v>
      </c>
    </row>
    <row r="3163" spans="1:66" x14ac:dyDescent="0.25">
      <c r="A3163" t="str">
        <f>HYPERLINK("https://elite.finviz.com/quote.ashx?t=TCPC&amp;ty=c&amp;p=d&amp;b=1", "TCPC")</f>
        <v>TCPC</v>
      </c>
      <c r="B3163">
        <v>4</v>
      </c>
      <c r="C3163">
        <v>105.92</v>
      </c>
      <c r="D3163">
        <v>25.96</v>
      </c>
      <c r="E3163" t="s">
        <v>27718</v>
      </c>
      <c r="F3163" t="s">
        <v>107</v>
      </c>
      <c r="G3163" t="s">
        <v>550</v>
      </c>
      <c r="H3163" t="s">
        <v>2597</v>
      </c>
      <c r="I3163" t="s">
        <v>70</v>
      </c>
      <c r="J3163" t="s">
        <v>321</v>
      </c>
      <c r="K3163">
        <v>530.54999999999995</v>
      </c>
      <c r="L3163">
        <v>6.24</v>
      </c>
      <c r="M3163" t="s">
        <v>4328</v>
      </c>
      <c r="N3163">
        <v>92180</v>
      </c>
      <c r="P3163">
        <v>6.5</v>
      </c>
      <c r="R3163">
        <v>2.21</v>
      </c>
      <c r="S3163">
        <v>0.72</v>
      </c>
      <c r="T3163" t="s">
        <v>1005</v>
      </c>
      <c r="U3163">
        <v>1.08</v>
      </c>
      <c r="V3163" t="s">
        <v>5925</v>
      </c>
      <c r="W3163" t="s">
        <v>749</v>
      </c>
      <c r="X3163" t="s">
        <v>272</v>
      </c>
      <c r="Y3163" t="s">
        <v>15000</v>
      </c>
      <c r="AA3163">
        <v>-0.1</v>
      </c>
      <c r="AH3163" t="s">
        <v>27719</v>
      </c>
      <c r="AI3163" t="s">
        <v>3328</v>
      </c>
      <c r="AJ3163" t="s">
        <v>2650</v>
      </c>
      <c r="AK3163" t="s">
        <v>4833</v>
      </c>
      <c r="AR3163" t="s">
        <v>4658</v>
      </c>
      <c r="AS3163" t="s">
        <v>617</v>
      </c>
      <c r="AT3163" t="s">
        <v>14481</v>
      </c>
      <c r="AU3163" t="s">
        <v>14667</v>
      </c>
      <c r="AV3163" t="s">
        <v>18717</v>
      </c>
      <c r="AW3163" t="s">
        <v>7992</v>
      </c>
      <c r="AX3163" t="s">
        <v>4759</v>
      </c>
      <c r="AY3163" t="s">
        <v>4630</v>
      </c>
      <c r="AZ3163" t="s">
        <v>4759</v>
      </c>
      <c r="BB3163">
        <v>552.57000000000005</v>
      </c>
      <c r="BC3163">
        <v>0.59</v>
      </c>
      <c r="BD3163">
        <v>6.31</v>
      </c>
      <c r="BE3163">
        <v>6.35</v>
      </c>
      <c r="BF3163">
        <v>6.24</v>
      </c>
      <c r="BG3163" t="s">
        <v>27720</v>
      </c>
      <c r="BH3163" t="s">
        <v>4626</v>
      </c>
      <c r="BI3163" t="s">
        <v>11469</v>
      </c>
      <c r="BJ3163" t="s">
        <v>101</v>
      </c>
      <c r="BK3163" t="s">
        <v>26491</v>
      </c>
      <c r="BL3163" t="s">
        <v>985</v>
      </c>
      <c r="BM3163" t="s">
        <v>11339</v>
      </c>
      <c r="BN3163" t="s">
        <v>27621</v>
      </c>
    </row>
    <row r="3164" spans="1:66" x14ac:dyDescent="0.25">
      <c r="A3164" t="str">
        <f>HYPERLINK("https://elite.finviz.com/quote.ashx?t=AACT&amp;ty=c&amp;p=d&amp;b=1", "AACT")</f>
        <v>AACT</v>
      </c>
      <c r="B3164">
        <v>4</v>
      </c>
      <c r="C3164">
        <v>105.92</v>
      </c>
      <c r="D3164">
        <v>26.42</v>
      </c>
      <c r="E3164" t="s">
        <v>22889</v>
      </c>
      <c r="F3164" t="s">
        <v>107</v>
      </c>
      <c r="G3164" t="s">
        <v>550</v>
      </c>
      <c r="H3164" t="s">
        <v>2120</v>
      </c>
      <c r="I3164" t="s">
        <v>70</v>
      </c>
      <c r="J3164" t="s">
        <v>321</v>
      </c>
      <c r="K3164">
        <v>587.04999999999995</v>
      </c>
      <c r="L3164">
        <v>9.49</v>
      </c>
      <c r="M3164" t="s">
        <v>164</v>
      </c>
      <c r="N3164">
        <v>0</v>
      </c>
      <c r="O3164">
        <v>36.32</v>
      </c>
      <c r="S3164">
        <v>1.1000000000000001</v>
      </c>
      <c r="Z3164" t="s">
        <v>164</v>
      </c>
      <c r="AA3164">
        <v>0.26</v>
      </c>
      <c r="AJ3164" t="s">
        <v>164</v>
      </c>
      <c r="AK3164" t="s">
        <v>5631</v>
      </c>
      <c r="AL3164">
        <v>0.23</v>
      </c>
      <c r="AM3164">
        <v>0.23</v>
      </c>
      <c r="AN3164">
        <v>0.02</v>
      </c>
      <c r="AR3164" t="s">
        <v>6967</v>
      </c>
      <c r="AS3164" t="s">
        <v>4093</v>
      </c>
      <c r="AT3164" t="s">
        <v>20126</v>
      </c>
      <c r="AU3164" t="s">
        <v>2872</v>
      </c>
      <c r="AV3164" t="s">
        <v>8993</v>
      </c>
      <c r="AW3164" t="s">
        <v>11979</v>
      </c>
      <c r="AX3164" t="s">
        <v>13322</v>
      </c>
      <c r="AY3164" t="s">
        <v>6606</v>
      </c>
      <c r="AZ3164" t="s">
        <v>13322</v>
      </c>
      <c r="BB3164">
        <v>399.4</v>
      </c>
      <c r="BC3164">
        <v>0</v>
      </c>
      <c r="BD3164">
        <v>9.49</v>
      </c>
      <c r="BE3164">
        <v>9.49</v>
      </c>
      <c r="BF3164">
        <v>9.49</v>
      </c>
      <c r="BG3164" t="s">
        <v>27721</v>
      </c>
      <c r="BH3164" t="s">
        <v>6606</v>
      </c>
      <c r="BI3164" t="s">
        <v>13322</v>
      </c>
      <c r="BJ3164" t="s">
        <v>101</v>
      </c>
      <c r="BK3164" t="s">
        <v>20311</v>
      </c>
      <c r="BL3164" t="s">
        <v>18581</v>
      </c>
      <c r="BM3164" t="s">
        <v>15141</v>
      </c>
      <c r="BN3164" t="s">
        <v>27621</v>
      </c>
    </row>
    <row r="3165" spans="1:66" x14ac:dyDescent="0.25">
      <c r="A3165" t="str">
        <f>HYPERLINK("https://elite.finviz.com/quote.ashx?t=CRMT&amp;ty=c&amp;p=d&amp;b=1", "CRMT")</f>
        <v>CRMT</v>
      </c>
      <c r="B3165">
        <v>4</v>
      </c>
      <c r="C3165">
        <v>105.92</v>
      </c>
      <c r="D3165">
        <v>26.64</v>
      </c>
      <c r="E3165" t="s">
        <v>27722</v>
      </c>
      <c r="F3165" t="s">
        <v>67</v>
      </c>
      <c r="G3165" t="s">
        <v>813</v>
      </c>
      <c r="H3165" t="s">
        <v>5888</v>
      </c>
      <c r="I3165" t="s">
        <v>70</v>
      </c>
      <c r="J3165" t="s">
        <v>321</v>
      </c>
      <c r="K3165">
        <v>253.23</v>
      </c>
      <c r="L3165">
        <v>30.59</v>
      </c>
      <c r="M3165" t="s">
        <v>124</v>
      </c>
      <c r="N3165">
        <v>21550</v>
      </c>
      <c r="O3165">
        <v>19.68</v>
      </c>
      <c r="P3165">
        <v>7.45</v>
      </c>
      <c r="Q3165">
        <v>0.7</v>
      </c>
      <c r="R3165">
        <v>0.18</v>
      </c>
      <c r="S3165">
        <v>0.45</v>
      </c>
      <c r="Z3165" t="s">
        <v>164</v>
      </c>
      <c r="AA3165">
        <v>1.55</v>
      </c>
      <c r="AB3165" t="s">
        <v>27723</v>
      </c>
      <c r="AC3165" t="s">
        <v>9004</v>
      </c>
      <c r="AD3165" t="s">
        <v>14666</v>
      </c>
      <c r="AE3165" t="s">
        <v>6463</v>
      </c>
      <c r="AF3165" t="s">
        <v>3303</v>
      </c>
      <c r="AG3165" t="s">
        <v>3231</v>
      </c>
      <c r="AH3165" t="s">
        <v>6359</v>
      </c>
      <c r="AI3165" t="s">
        <v>27724</v>
      </c>
      <c r="AJ3165" t="s">
        <v>21420</v>
      </c>
      <c r="AK3165" t="s">
        <v>19693</v>
      </c>
      <c r="AL3165">
        <v>7.31</v>
      </c>
      <c r="AM3165">
        <v>6.75</v>
      </c>
      <c r="AN3165">
        <v>1.5</v>
      </c>
      <c r="AO3165" t="s">
        <v>21952</v>
      </c>
      <c r="AP3165" t="s">
        <v>216</v>
      </c>
      <c r="AQ3165" t="s">
        <v>2881</v>
      </c>
      <c r="AR3165" t="s">
        <v>3521</v>
      </c>
      <c r="AS3165" t="s">
        <v>3887</v>
      </c>
      <c r="AT3165" t="s">
        <v>16941</v>
      </c>
      <c r="AU3165" t="s">
        <v>27725</v>
      </c>
      <c r="AV3165" t="s">
        <v>23198</v>
      </c>
      <c r="AW3165" t="s">
        <v>15040</v>
      </c>
      <c r="AX3165" t="s">
        <v>822</v>
      </c>
      <c r="AY3165" t="s">
        <v>27726</v>
      </c>
      <c r="AZ3165" t="s">
        <v>822</v>
      </c>
      <c r="BA3165">
        <v>2.33</v>
      </c>
      <c r="BB3165">
        <v>132.58000000000001</v>
      </c>
      <c r="BC3165">
        <v>0.56999999999999995</v>
      </c>
      <c r="BD3165">
        <v>30.69</v>
      </c>
      <c r="BE3165">
        <v>30.58</v>
      </c>
      <c r="BF3165">
        <v>30.01</v>
      </c>
      <c r="BG3165" t="s">
        <v>27727</v>
      </c>
      <c r="BH3165" t="s">
        <v>27728</v>
      </c>
      <c r="BI3165" t="s">
        <v>27729</v>
      </c>
      <c r="BJ3165" t="s">
        <v>101</v>
      </c>
      <c r="BK3165" t="s">
        <v>26927</v>
      </c>
      <c r="BL3165" t="s">
        <v>27730</v>
      </c>
      <c r="BM3165" t="s">
        <v>3646</v>
      </c>
      <c r="BN3165" t="s">
        <v>27621</v>
      </c>
    </row>
    <row r="3166" spans="1:66" x14ac:dyDescent="0.25">
      <c r="A3166" t="str">
        <f>HYPERLINK("https://elite.finviz.com/quote.ashx?t=ENVB&amp;ty=c&amp;p=d&amp;b=1", "ENVB")</f>
        <v>ENVB</v>
      </c>
      <c r="B3166">
        <v>4</v>
      </c>
      <c r="C3166">
        <v>105.92</v>
      </c>
      <c r="D3166">
        <v>26.96</v>
      </c>
      <c r="E3166" t="s">
        <v>27731</v>
      </c>
      <c r="F3166" t="s">
        <v>107</v>
      </c>
      <c r="G3166" t="s">
        <v>428</v>
      </c>
      <c r="H3166" t="s">
        <v>429</v>
      </c>
      <c r="I3166" t="s">
        <v>70</v>
      </c>
      <c r="J3166" t="s">
        <v>321</v>
      </c>
      <c r="K3166">
        <v>1.97</v>
      </c>
      <c r="L3166">
        <v>0.61</v>
      </c>
      <c r="M3166" t="s">
        <v>3495</v>
      </c>
      <c r="N3166">
        <v>29592</v>
      </c>
      <c r="S3166">
        <v>0.84</v>
      </c>
      <c r="AA3166">
        <v>-10.59</v>
      </c>
      <c r="AB3166" t="s">
        <v>27732</v>
      </c>
      <c r="AC3166" t="s">
        <v>27733</v>
      </c>
      <c r="AJ3166" t="s">
        <v>164</v>
      </c>
      <c r="AK3166" t="s">
        <v>1159</v>
      </c>
      <c r="AL3166">
        <v>2.4300000000000002</v>
      </c>
      <c r="AM3166">
        <v>2.4300000000000002</v>
      </c>
      <c r="AN3166">
        <v>0</v>
      </c>
      <c r="AR3166" t="s">
        <v>3507</v>
      </c>
      <c r="AS3166" t="s">
        <v>2627</v>
      </c>
      <c r="AT3166" t="s">
        <v>13783</v>
      </c>
      <c r="AU3166" t="s">
        <v>26214</v>
      </c>
      <c r="AV3166" t="s">
        <v>13201</v>
      </c>
      <c r="AW3166" t="s">
        <v>27734</v>
      </c>
      <c r="AX3166" t="s">
        <v>707</v>
      </c>
      <c r="AY3166" t="s">
        <v>27735</v>
      </c>
      <c r="AZ3166" t="s">
        <v>707</v>
      </c>
      <c r="BA3166">
        <v>1</v>
      </c>
      <c r="BB3166">
        <v>324.79000000000002</v>
      </c>
      <c r="BC3166">
        <v>0.32</v>
      </c>
      <c r="BD3166">
        <v>0.61</v>
      </c>
      <c r="BE3166">
        <v>0.61</v>
      </c>
      <c r="BF3166">
        <v>0.6</v>
      </c>
      <c r="BG3166" t="s">
        <v>27736</v>
      </c>
      <c r="BH3166" t="s">
        <v>579</v>
      </c>
      <c r="BI3166" t="s">
        <v>707</v>
      </c>
      <c r="BJ3166" t="s">
        <v>101</v>
      </c>
      <c r="BK3166" t="s">
        <v>7277</v>
      </c>
      <c r="BL3166" t="s">
        <v>27737</v>
      </c>
      <c r="BM3166" t="s">
        <v>7197</v>
      </c>
      <c r="BN3166" t="s">
        <v>27621</v>
      </c>
    </row>
    <row r="3167" spans="1:66" x14ac:dyDescent="0.25">
      <c r="A3167" t="str">
        <f>HYPERLINK("https://elite.finviz.com/quote.ashx?t=MLSS&amp;ty=c&amp;p=d&amp;b=1", "MLSS")</f>
        <v>MLSS</v>
      </c>
      <c r="B3167">
        <v>4</v>
      </c>
      <c r="C3167">
        <v>105.92</v>
      </c>
      <c r="D3167">
        <v>27.31</v>
      </c>
      <c r="E3167" t="s">
        <v>27738</v>
      </c>
      <c r="F3167" t="s">
        <v>107</v>
      </c>
      <c r="G3167" t="s">
        <v>428</v>
      </c>
      <c r="H3167" t="s">
        <v>2161</v>
      </c>
      <c r="I3167" t="s">
        <v>70</v>
      </c>
      <c r="J3167" t="s">
        <v>383</v>
      </c>
      <c r="K3167">
        <v>35.75</v>
      </c>
      <c r="L3167">
        <v>0.46</v>
      </c>
      <c r="M3167" t="s">
        <v>9085</v>
      </c>
      <c r="N3167">
        <v>41710</v>
      </c>
      <c r="R3167">
        <v>3.94</v>
      </c>
      <c r="S3167">
        <v>10.7</v>
      </c>
      <c r="AA3167">
        <v>-0.09</v>
      </c>
      <c r="AB3167" t="s">
        <v>15941</v>
      </c>
      <c r="AC3167" t="s">
        <v>7684</v>
      </c>
      <c r="AE3167" t="s">
        <v>10610</v>
      </c>
      <c r="AF3167" t="s">
        <v>5584</v>
      </c>
      <c r="AG3167" t="s">
        <v>1763</v>
      </c>
      <c r="AH3167" t="s">
        <v>10971</v>
      </c>
      <c r="AI3167" t="s">
        <v>579</v>
      </c>
      <c r="AJ3167" t="s">
        <v>1783</v>
      </c>
      <c r="AK3167" t="s">
        <v>1496</v>
      </c>
      <c r="AL3167">
        <v>2.0299999999999998</v>
      </c>
      <c r="AM3167">
        <v>0.99</v>
      </c>
      <c r="AN3167">
        <v>0.33</v>
      </c>
      <c r="AO3167" t="s">
        <v>27739</v>
      </c>
      <c r="AP3167" t="s">
        <v>6251</v>
      </c>
      <c r="AQ3167" t="s">
        <v>24739</v>
      </c>
      <c r="AR3167" t="s">
        <v>2193</v>
      </c>
      <c r="AS3167" t="s">
        <v>2386</v>
      </c>
      <c r="AT3167" t="s">
        <v>14832</v>
      </c>
      <c r="AU3167" t="s">
        <v>21460</v>
      </c>
      <c r="AV3167" t="s">
        <v>15412</v>
      </c>
      <c r="AW3167" t="s">
        <v>27740</v>
      </c>
      <c r="AX3167" t="s">
        <v>510</v>
      </c>
      <c r="AY3167" t="s">
        <v>21438</v>
      </c>
      <c r="AZ3167" t="s">
        <v>510</v>
      </c>
      <c r="BA3167">
        <v>1</v>
      </c>
      <c r="BB3167">
        <v>367.95</v>
      </c>
      <c r="BC3167">
        <v>0.4</v>
      </c>
      <c r="BD3167">
        <v>0.47</v>
      </c>
      <c r="BE3167">
        <v>0.46</v>
      </c>
      <c r="BF3167">
        <v>0.46</v>
      </c>
      <c r="BG3167" t="s">
        <v>27741</v>
      </c>
      <c r="BH3167" t="s">
        <v>17722</v>
      </c>
      <c r="BI3167" t="s">
        <v>27742</v>
      </c>
      <c r="BJ3167" t="s">
        <v>101</v>
      </c>
      <c r="BK3167" t="s">
        <v>10628</v>
      </c>
      <c r="BL3167" t="s">
        <v>26615</v>
      </c>
      <c r="BM3167" t="s">
        <v>27743</v>
      </c>
      <c r="BN3167" t="s">
        <v>27621</v>
      </c>
    </row>
    <row r="3168" spans="1:66" x14ac:dyDescent="0.25">
      <c r="A3168" t="str">
        <f>HYPERLINK("https://elite.finviz.com/quote.ashx?t=AIN&amp;ty=c&amp;p=d&amp;b=1", "AIN")</f>
        <v>AIN</v>
      </c>
      <c r="B3168">
        <v>4</v>
      </c>
      <c r="C3168">
        <v>105.92</v>
      </c>
      <c r="D3168">
        <v>27.35</v>
      </c>
      <c r="E3168" t="s">
        <v>27744</v>
      </c>
      <c r="F3168" t="s">
        <v>67</v>
      </c>
      <c r="G3168" t="s">
        <v>813</v>
      </c>
      <c r="H3168" t="s">
        <v>14450</v>
      </c>
      <c r="I3168" t="s">
        <v>70</v>
      </c>
      <c r="J3168" t="s">
        <v>71</v>
      </c>
      <c r="K3168">
        <v>1589.17</v>
      </c>
      <c r="L3168">
        <v>53.87</v>
      </c>
      <c r="M3168" t="s">
        <v>530</v>
      </c>
      <c r="N3168">
        <v>42128</v>
      </c>
      <c r="O3168">
        <v>26.88</v>
      </c>
      <c r="P3168">
        <v>15.51</v>
      </c>
      <c r="R3168">
        <v>1.34</v>
      </c>
      <c r="S3168">
        <v>1.79</v>
      </c>
      <c r="T3168" t="s">
        <v>3925</v>
      </c>
      <c r="U3168">
        <v>1.08</v>
      </c>
      <c r="V3168" t="s">
        <v>2187</v>
      </c>
      <c r="W3168" t="s">
        <v>6475</v>
      </c>
      <c r="X3168" t="s">
        <v>1960</v>
      </c>
      <c r="Y3168" t="s">
        <v>1495</v>
      </c>
      <c r="Z3168" t="s">
        <v>21115</v>
      </c>
      <c r="AA3168">
        <v>2</v>
      </c>
      <c r="AB3168" t="s">
        <v>5674</v>
      </c>
      <c r="AC3168" t="s">
        <v>11592</v>
      </c>
      <c r="AE3168" t="s">
        <v>6494</v>
      </c>
      <c r="AF3168" t="s">
        <v>801</v>
      </c>
      <c r="AG3168" t="s">
        <v>911</v>
      </c>
      <c r="AH3168" t="s">
        <v>10713</v>
      </c>
      <c r="AI3168" t="s">
        <v>4456</v>
      </c>
      <c r="AJ3168" t="s">
        <v>3112</v>
      </c>
      <c r="AK3168" t="s">
        <v>26516</v>
      </c>
      <c r="AL3168">
        <v>3.51</v>
      </c>
      <c r="AM3168">
        <v>2.78</v>
      </c>
      <c r="AN3168">
        <v>0.5</v>
      </c>
      <c r="AO3168" t="s">
        <v>2532</v>
      </c>
      <c r="AP3168" t="s">
        <v>8650</v>
      </c>
      <c r="AQ3168" t="s">
        <v>3958</v>
      </c>
      <c r="AR3168" t="s">
        <v>179</v>
      </c>
      <c r="AS3168" t="s">
        <v>4154</v>
      </c>
      <c r="AT3168" t="s">
        <v>9635</v>
      </c>
      <c r="AU3168" t="s">
        <v>12206</v>
      </c>
      <c r="AV3168" t="s">
        <v>25363</v>
      </c>
      <c r="AW3168" t="s">
        <v>19678</v>
      </c>
      <c r="AX3168" t="s">
        <v>3389</v>
      </c>
      <c r="AY3168" t="s">
        <v>27745</v>
      </c>
      <c r="AZ3168" t="s">
        <v>3389</v>
      </c>
      <c r="BA3168">
        <v>3</v>
      </c>
      <c r="BB3168">
        <v>300.97000000000003</v>
      </c>
      <c r="BC3168">
        <v>0.49</v>
      </c>
      <c r="BD3168">
        <v>54.33</v>
      </c>
      <c r="BE3168">
        <v>54.97</v>
      </c>
      <c r="BF3168">
        <v>53.83</v>
      </c>
      <c r="BG3168" t="s">
        <v>27746</v>
      </c>
      <c r="BH3168" t="s">
        <v>26842</v>
      </c>
      <c r="BI3168" t="s">
        <v>27747</v>
      </c>
      <c r="BJ3168" t="s">
        <v>101</v>
      </c>
      <c r="BK3168" t="s">
        <v>5915</v>
      </c>
      <c r="BL3168" t="s">
        <v>6617</v>
      </c>
      <c r="BM3168" t="s">
        <v>12310</v>
      </c>
      <c r="BN3168" t="s">
        <v>27621</v>
      </c>
    </row>
    <row r="3169" spans="1:66" x14ac:dyDescent="0.25">
      <c r="A3169" t="str">
        <f>HYPERLINK("https://elite.finviz.com/quote.ashx?t=WLKP&amp;ty=c&amp;p=d&amp;b=1", "WLKP")</f>
        <v>WLKP</v>
      </c>
      <c r="B3169">
        <v>4</v>
      </c>
      <c r="C3169">
        <v>105.92</v>
      </c>
      <c r="D3169">
        <v>27.6</v>
      </c>
      <c r="E3169" t="s">
        <v>27748</v>
      </c>
      <c r="F3169" t="s">
        <v>107</v>
      </c>
      <c r="G3169" t="s">
        <v>355</v>
      </c>
      <c r="H3169" t="s">
        <v>5130</v>
      </c>
      <c r="I3169" t="s">
        <v>70</v>
      </c>
      <c r="J3169" t="s">
        <v>71</v>
      </c>
      <c r="K3169">
        <v>734.01</v>
      </c>
      <c r="L3169">
        <v>20.83</v>
      </c>
      <c r="M3169" t="s">
        <v>2646</v>
      </c>
      <c r="N3169">
        <v>14109</v>
      </c>
      <c r="O3169">
        <v>13.94</v>
      </c>
      <c r="P3169">
        <v>10.210000000000001</v>
      </c>
      <c r="Q3169">
        <v>3.52</v>
      </c>
      <c r="R3169">
        <v>0.67</v>
      </c>
      <c r="S3169">
        <v>1.45</v>
      </c>
      <c r="T3169" t="s">
        <v>2625</v>
      </c>
      <c r="U3169">
        <v>1.88</v>
      </c>
      <c r="V3169" t="s">
        <v>7906</v>
      </c>
      <c r="W3169" t="s">
        <v>164</v>
      </c>
      <c r="X3169" t="s">
        <v>164</v>
      </c>
      <c r="Y3169" t="s">
        <v>5055</v>
      </c>
      <c r="Z3169" t="s">
        <v>14795</v>
      </c>
      <c r="AA3169">
        <v>1.49</v>
      </c>
      <c r="AB3169" t="s">
        <v>12181</v>
      </c>
      <c r="AC3169" t="s">
        <v>5549</v>
      </c>
      <c r="AD3169" t="s">
        <v>6475</v>
      </c>
      <c r="AE3169" t="s">
        <v>3415</v>
      </c>
      <c r="AF3169" t="s">
        <v>5444</v>
      </c>
      <c r="AG3169" t="s">
        <v>747</v>
      </c>
      <c r="AH3169" t="s">
        <v>371</v>
      </c>
      <c r="AI3169" t="s">
        <v>17881</v>
      </c>
      <c r="AJ3169" t="s">
        <v>3227</v>
      </c>
      <c r="AK3169" t="s">
        <v>18357</v>
      </c>
      <c r="AL3169">
        <v>2.15</v>
      </c>
      <c r="AM3169">
        <v>2.1</v>
      </c>
      <c r="AN3169">
        <v>0.79</v>
      </c>
      <c r="AO3169" t="s">
        <v>7353</v>
      </c>
      <c r="AP3169" t="s">
        <v>24895</v>
      </c>
      <c r="AQ3169" t="s">
        <v>9228</v>
      </c>
      <c r="AR3169" t="s">
        <v>3349</v>
      </c>
      <c r="AS3169" t="s">
        <v>343</v>
      </c>
      <c r="AT3169" t="s">
        <v>5356</v>
      </c>
      <c r="AU3169" t="s">
        <v>4430</v>
      </c>
      <c r="AV3169" t="s">
        <v>16256</v>
      </c>
      <c r="AW3169" t="s">
        <v>11795</v>
      </c>
      <c r="AX3169" t="s">
        <v>2630</v>
      </c>
      <c r="AY3169" t="s">
        <v>16135</v>
      </c>
      <c r="AZ3169" t="s">
        <v>2630</v>
      </c>
      <c r="BA3169">
        <v>2</v>
      </c>
      <c r="BB3169">
        <v>34.89</v>
      </c>
      <c r="BC3169">
        <v>1.44</v>
      </c>
      <c r="BD3169">
        <v>20.77</v>
      </c>
      <c r="BE3169">
        <v>20.84</v>
      </c>
      <c r="BF3169">
        <v>20.68</v>
      </c>
      <c r="BG3169" t="s">
        <v>27749</v>
      </c>
      <c r="BH3169" t="s">
        <v>27750</v>
      </c>
      <c r="BI3169" t="s">
        <v>24393</v>
      </c>
      <c r="BJ3169" t="s">
        <v>101</v>
      </c>
      <c r="BK3169" t="s">
        <v>8156</v>
      </c>
      <c r="BL3169" t="s">
        <v>14502</v>
      </c>
      <c r="BM3169" t="s">
        <v>10546</v>
      </c>
      <c r="BN3169" t="s">
        <v>27621</v>
      </c>
    </row>
    <row r="3170" spans="1:66" x14ac:dyDescent="0.25">
      <c r="A3170" t="str">
        <f>HYPERLINK("https://elite.finviz.com/quote.ashx?t=HAE&amp;ty=c&amp;p=d&amp;b=1", "HAE")</f>
        <v>HAE</v>
      </c>
      <c r="B3170">
        <v>4</v>
      </c>
      <c r="C3170">
        <v>105.92</v>
      </c>
      <c r="D3170">
        <v>27.99</v>
      </c>
      <c r="E3170" t="s">
        <v>27751</v>
      </c>
      <c r="F3170" t="s">
        <v>67</v>
      </c>
      <c r="G3170" t="s">
        <v>428</v>
      </c>
      <c r="H3170" t="s">
        <v>2051</v>
      </c>
      <c r="I3170" t="s">
        <v>70</v>
      </c>
      <c r="J3170" t="s">
        <v>71</v>
      </c>
      <c r="K3170">
        <v>2320.9899999999998</v>
      </c>
      <c r="L3170">
        <v>48.18</v>
      </c>
      <c r="M3170" t="s">
        <v>3552</v>
      </c>
      <c r="N3170">
        <v>134271</v>
      </c>
      <c r="O3170">
        <v>14.7</v>
      </c>
      <c r="P3170">
        <v>8.7799999999999994</v>
      </c>
      <c r="Q3170">
        <v>1.43</v>
      </c>
      <c r="R3170">
        <v>1.72</v>
      </c>
      <c r="S3170">
        <v>2.63</v>
      </c>
      <c r="T3170" t="s">
        <v>2421</v>
      </c>
      <c r="Z3170" t="s">
        <v>164</v>
      </c>
      <c r="AA3170">
        <v>3.28</v>
      </c>
      <c r="AB3170" t="s">
        <v>18384</v>
      </c>
      <c r="AC3170" t="s">
        <v>5003</v>
      </c>
      <c r="AD3170" t="s">
        <v>797</v>
      </c>
      <c r="AE3170" t="s">
        <v>3344</v>
      </c>
      <c r="AF3170" t="s">
        <v>3759</v>
      </c>
      <c r="AG3170" t="s">
        <v>1254</v>
      </c>
      <c r="AH3170" t="s">
        <v>8058</v>
      </c>
      <c r="AI3170" t="s">
        <v>1775</v>
      </c>
      <c r="AJ3170" t="s">
        <v>164</v>
      </c>
      <c r="AK3170" t="s">
        <v>27752</v>
      </c>
      <c r="AL3170">
        <v>1.72</v>
      </c>
      <c r="AM3170">
        <v>1.04</v>
      </c>
      <c r="AN3170">
        <v>1.39</v>
      </c>
      <c r="AO3170" t="s">
        <v>15665</v>
      </c>
      <c r="AP3170" t="s">
        <v>4130</v>
      </c>
      <c r="AQ3170" t="s">
        <v>8356</v>
      </c>
      <c r="AR3170" t="s">
        <v>2495</v>
      </c>
      <c r="AS3170" t="s">
        <v>648</v>
      </c>
      <c r="AT3170" t="s">
        <v>5573</v>
      </c>
      <c r="AU3170" t="s">
        <v>15230</v>
      </c>
      <c r="AV3170" t="s">
        <v>2749</v>
      </c>
      <c r="AW3170" t="s">
        <v>27753</v>
      </c>
      <c r="AX3170" t="s">
        <v>2217</v>
      </c>
      <c r="AY3170" t="s">
        <v>23671</v>
      </c>
      <c r="AZ3170" t="s">
        <v>2217</v>
      </c>
      <c r="BA3170">
        <v>1.64</v>
      </c>
      <c r="BB3170">
        <v>982.34</v>
      </c>
      <c r="BC3170">
        <v>0.48</v>
      </c>
      <c r="BD3170">
        <v>47.67</v>
      </c>
      <c r="BE3170">
        <v>48.23</v>
      </c>
      <c r="BF3170">
        <v>47.4</v>
      </c>
      <c r="BG3170" t="s">
        <v>27754</v>
      </c>
      <c r="BH3170" t="s">
        <v>27755</v>
      </c>
      <c r="BI3170" t="s">
        <v>27756</v>
      </c>
      <c r="BJ3170" t="s">
        <v>101</v>
      </c>
      <c r="BK3170" t="s">
        <v>11589</v>
      </c>
      <c r="BL3170" t="s">
        <v>9027</v>
      </c>
      <c r="BM3170" t="s">
        <v>18577</v>
      </c>
      <c r="BN3170" t="s">
        <v>27621</v>
      </c>
    </row>
    <row r="3171" spans="1:66" x14ac:dyDescent="0.25">
      <c r="A3171" t="str">
        <f>HYPERLINK("https://elite.finviz.com/quote.ashx?t=NUWE&amp;ty=c&amp;p=d&amp;b=1", "NUWE")</f>
        <v>NUWE</v>
      </c>
      <c r="B3171">
        <v>4</v>
      </c>
      <c r="C3171">
        <v>105.92</v>
      </c>
      <c r="D3171">
        <v>28.08</v>
      </c>
      <c r="E3171" t="s">
        <v>27757</v>
      </c>
      <c r="F3171" t="s">
        <v>107</v>
      </c>
      <c r="G3171" t="s">
        <v>428</v>
      </c>
      <c r="H3171" t="s">
        <v>2051</v>
      </c>
      <c r="I3171" t="s">
        <v>70</v>
      </c>
      <c r="J3171" t="s">
        <v>321</v>
      </c>
      <c r="K3171">
        <v>3.11</v>
      </c>
      <c r="L3171">
        <v>3.45</v>
      </c>
      <c r="M3171" t="s">
        <v>5061</v>
      </c>
      <c r="N3171">
        <v>26368</v>
      </c>
      <c r="R3171">
        <v>0.37</v>
      </c>
      <c r="AA3171">
        <v>-34.97</v>
      </c>
      <c r="AB3171" t="s">
        <v>27758</v>
      </c>
      <c r="AC3171" t="s">
        <v>27759</v>
      </c>
      <c r="AE3171" t="s">
        <v>8055</v>
      </c>
      <c r="AF3171" t="s">
        <v>4189</v>
      </c>
      <c r="AG3171" t="s">
        <v>419</v>
      </c>
      <c r="AH3171" t="s">
        <v>14673</v>
      </c>
      <c r="AJ3171" t="s">
        <v>164</v>
      </c>
      <c r="AK3171" t="s">
        <v>7388</v>
      </c>
      <c r="AL3171">
        <v>2.16</v>
      </c>
      <c r="AM3171">
        <v>1.64</v>
      </c>
      <c r="AO3171" t="s">
        <v>18683</v>
      </c>
      <c r="AP3171" t="s">
        <v>27760</v>
      </c>
      <c r="AQ3171" t="s">
        <v>27761</v>
      </c>
      <c r="AR3171" t="s">
        <v>2385</v>
      </c>
      <c r="AS3171" t="s">
        <v>3688</v>
      </c>
      <c r="AT3171" t="s">
        <v>6019</v>
      </c>
      <c r="AU3171" t="s">
        <v>3074</v>
      </c>
      <c r="AV3171" t="s">
        <v>5599</v>
      </c>
      <c r="AW3171" t="s">
        <v>26212</v>
      </c>
      <c r="AX3171" t="s">
        <v>4124</v>
      </c>
      <c r="AY3171" t="s">
        <v>3154</v>
      </c>
      <c r="AZ3171" t="s">
        <v>4124</v>
      </c>
      <c r="BA3171">
        <v>1</v>
      </c>
      <c r="BB3171">
        <v>895.64</v>
      </c>
      <c r="BC3171">
        <v>0.1</v>
      </c>
      <c r="BD3171">
        <v>3.57</v>
      </c>
      <c r="BE3171">
        <v>3.56</v>
      </c>
      <c r="BF3171">
        <v>3.42</v>
      </c>
      <c r="BG3171" t="s">
        <v>27762</v>
      </c>
      <c r="BH3171" t="s">
        <v>579</v>
      </c>
      <c r="BI3171" t="s">
        <v>4124</v>
      </c>
      <c r="BJ3171" t="s">
        <v>101</v>
      </c>
      <c r="BK3171" t="s">
        <v>15176</v>
      </c>
      <c r="BL3171" t="s">
        <v>1688</v>
      </c>
      <c r="BM3171" t="s">
        <v>8676</v>
      </c>
      <c r="BN3171" t="s">
        <v>27621</v>
      </c>
    </row>
    <row r="3172" spans="1:66" x14ac:dyDescent="0.25">
      <c r="A3172" t="str">
        <f>HYPERLINK("https://elite.finviz.com/quote.ashx?t=FIZZ&amp;ty=c&amp;p=d&amp;b=1", "FIZZ")</f>
        <v>FIZZ</v>
      </c>
      <c r="B3172">
        <v>4</v>
      </c>
      <c r="C3172">
        <v>105.92</v>
      </c>
      <c r="D3172">
        <v>28.14</v>
      </c>
      <c r="E3172" t="s">
        <v>27763</v>
      </c>
      <c r="F3172" t="s">
        <v>67</v>
      </c>
      <c r="G3172" t="s">
        <v>2244</v>
      </c>
      <c r="H3172" t="s">
        <v>4568</v>
      </c>
      <c r="I3172" t="s">
        <v>70</v>
      </c>
      <c r="J3172" t="s">
        <v>321</v>
      </c>
      <c r="K3172">
        <v>3470.61</v>
      </c>
      <c r="L3172">
        <v>37.07</v>
      </c>
      <c r="M3172" t="s">
        <v>907</v>
      </c>
      <c r="N3172">
        <v>39267</v>
      </c>
      <c r="O3172">
        <v>18.690000000000001</v>
      </c>
      <c r="P3172">
        <v>17.600000000000001</v>
      </c>
      <c r="Q3172">
        <v>4.91</v>
      </c>
      <c r="R3172">
        <v>2.89</v>
      </c>
      <c r="S3172">
        <v>6.89</v>
      </c>
      <c r="V3172" t="s">
        <v>27764</v>
      </c>
      <c r="Z3172" t="s">
        <v>164</v>
      </c>
      <c r="AA3172">
        <v>1.98</v>
      </c>
      <c r="AB3172" t="s">
        <v>334</v>
      </c>
      <c r="AC3172" t="s">
        <v>2378</v>
      </c>
      <c r="AD3172" t="s">
        <v>2493</v>
      </c>
      <c r="AE3172" t="s">
        <v>8228</v>
      </c>
      <c r="AF3172" t="s">
        <v>1303</v>
      </c>
      <c r="AG3172" t="s">
        <v>8818</v>
      </c>
      <c r="AH3172" t="s">
        <v>3446</v>
      </c>
      <c r="AI3172" t="s">
        <v>4794</v>
      </c>
      <c r="AJ3172" t="s">
        <v>1249</v>
      </c>
      <c r="AK3172" t="s">
        <v>10456</v>
      </c>
      <c r="AL3172">
        <v>3.24</v>
      </c>
      <c r="AM3172">
        <v>2.6</v>
      </c>
      <c r="AN3172">
        <v>0.14000000000000001</v>
      </c>
      <c r="AO3172" t="s">
        <v>3742</v>
      </c>
      <c r="AP3172" t="s">
        <v>11840</v>
      </c>
      <c r="AQ3172" t="s">
        <v>9523</v>
      </c>
      <c r="AR3172" t="s">
        <v>5420</v>
      </c>
      <c r="AS3172" t="s">
        <v>352</v>
      </c>
      <c r="AT3172" t="s">
        <v>10194</v>
      </c>
      <c r="AU3172" t="s">
        <v>13331</v>
      </c>
      <c r="AV3172" t="s">
        <v>3977</v>
      </c>
      <c r="AW3172" t="s">
        <v>14208</v>
      </c>
      <c r="AX3172" t="s">
        <v>2808</v>
      </c>
      <c r="AY3172" t="s">
        <v>10285</v>
      </c>
      <c r="AZ3172" t="s">
        <v>2808</v>
      </c>
      <c r="BA3172">
        <v>4</v>
      </c>
      <c r="BB3172">
        <v>205.07</v>
      </c>
      <c r="BC3172">
        <v>0.67</v>
      </c>
      <c r="BD3172">
        <v>36.54</v>
      </c>
      <c r="BE3172">
        <v>37.130000000000003</v>
      </c>
      <c r="BF3172">
        <v>36.5</v>
      </c>
      <c r="BG3172" t="s">
        <v>27765</v>
      </c>
      <c r="BH3172" t="s">
        <v>27766</v>
      </c>
      <c r="BI3172" t="s">
        <v>27767</v>
      </c>
      <c r="BJ3172" t="s">
        <v>101</v>
      </c>
      <c r="BK3172" t="s">
        <v>15002</v>
      </c>
      <c r="BL3172" t="s">
        <v>3561</v>
      </c>
      <c r="BM3172" t="s">
        <v>9917</v>
      </c>
      <c r="BN3172" t="s">
        <v>27621</v>
      </c>
    </row>
    <row r="3173" spans="1:66" x14ac:dyDescent="0.25">
      <c r="A3173" t="str">
        <f>HYPERLINK("https://elite.finviz.com/quote.ashx?t=TPVG&amp;ty=c&amp;p=d&amp;b=1", "TPVG")</f>
        <v>TPVG</v>
      </c>
      <c r="B3173">
        <v>4</v>
      </c>
      <c r="C3173">
        <v>105.92</v>
      </c>
      <c r="D3173">
        <v>28.3</v>
      </c>
      <c r="E3173" t="s">
        <v>27768</v>
      </c>
      <c r="F3173" t="s">
        <v>107</v>
      </c>
      <c r="G3173" t="s">
        <v>550</v>
      </c>
      <c r="H3173" t="s">
        <v>2597</v>
      </c>
      <c r="I3173" t="s">
        <v>70</v>
      </c>
      <c r="J3173" t="s">
        <v>71</v>
      </c>
      <c r="K3173">
        <v>236.3</v>
      </c>
      <c r="L3173">
        <v>5.86</v>
      </c>
      <c r="M3173" t="s">
        <v>9925</v>
      </c>
      <c r="N3173">
        <v>40843</v>
      </c>
      <c r="O3173">
        <v>5.69</v>
      </c>
      <c r="P3173">
        <v>6.02</v>
      </c>
      <c r="R3173">
        <v>2.4300000000000002</v>
      </c>
      <c r="S3173">
        <v>0.68</v>
      </c>
      <c r="T3173" t="s">
        <v>10854</v>
      </c>
      <c r="U3173">
        <v>1.1299999999999999</v>
      </c>
      <c r="V3173" t="s">
        <v>5925</v>
      </c>
      <c r="W3173" t="s">
        <v>1579</v>
      </c>
      <c r="X3173" t="s">
        <v>2331</v>
      </c>
      <c r="Y3173" t="s">
        <v>2294</v>
      </c>
      <c r="Z3173" t="s">
        <v>27769</v>
      </c>
      <c r="AA3173">
        <v>1.03</v>
      </c>
      <c r="AE3173" t="s">
        <v>23025</v>
      </c>
      <c r="AH3173" t="s">
        <v>15053</v>
      </c>
      <c r="AI3173" t="s">
        <v>5578</v>
      </c>
      <c r="AJ3173" t="s">
        <v>27770</v>
      </c>
      <c r="AK3173" t="s">
        <v>8240</v>
      </c>
      <c r="AR3173" t="s">
        <v>2356</v>
      </c>
      <c r="AS3173" t="s">
        <v>213</v>
      </c>
      <c r="AT3173" t="s">
        <v>20212</v>
      </c>
      <c r="AU3173" t="s">
        <v>7794</v>
      </c>
      <c r="AV3173" t="s">
        <v>6505</v>
      </c>
      <c r="AW3173" t="s">
        <v>11868</v>
      </c>
      <c r="AX3173" t="s">
        <v>164</v>
      </c>
      <c r="AY3173" t="s">
        <v>22857</v>
      </c>
      <c r="AZ3173" t="s">
        <v>8164</v>
      </c>
      <c r="BB3173">
        <v>353.12</v>
      </c>
      <c r="BC3173">
        <v>0.41</v>
      </c>
      <c r="BD3173">
        <v>5.88</v>
      </c>
      <c r="BE3173">
        <v>5.95</v>
      </c>
      <c r="BF3173">
        <v>5.86</v>
      </c>
      <c r="BG3173" t="s">
        <v>27771</v>
      </c>
      <c r="BH3173" t="s">
        <v>23744</v>
      </c>
      <c r="BI3173" t="s">
        <v>27772</v>
      </c>
      <c r="BJ3173" t="s">
        <v>101</v>
      </c>
      <c r="BK3173" t="s">
        <v>6688</v>
      </c>
      <c r="BL3173" t="s">
        <v>1029</v>
      </c>
      <c r="BM3173" t="s">
        <v>14485</v>
      </c>
      <c r="BN3173" t="s">
        <v>27621</v>
      </c>
    </row>
    <row r="3174" spans="1:66" x14ac:dyDescent="0.25">
      <c r="A3174" t="str">
        <f>HYPERLINK("https://elite.finviz.com/quote.ashx?t=EPC&amp;ty=c&amp;p=d&amp;b=1", "EPC")</f>
        <v>EPC</v>
      </c>
      <c r="B3174">
        <v>4</v>
      </c>
      <c r="C3174">
        <v>105.92</v>
      </c>
      <c r="D3174">
        <v>28.37</v>
      </c>
      <c r="E3174" t="s">
        <v>27773</v>
      </c>
      <c r="F3174" t="s">
        <v>67</v>
      </c>
      <c r="G3174" t="s">
        <v>2244</v>
      </c>
      <c r="H3174" t="s">
        <v>5311</v>
      </c>
      <c r="I3174" t="s">
        <v>70</v>
      </c>
      <c r="J3174" t="s">
        <v>71</v>
      </c>
      <c r="K3174">
        <v>909.91</v>
      </c>
      <c r="L3174">
        <v>19.579999999999998</v>
      </c>
      <c r="M3174" t="s">
        <v>7124</v>
      </c>
      <c r="N3174">
        <v>67845</v>
      </c>
      <c r="O3174">
        <v>14.46</v>
      </c>
      <c r="P3174">
        <v>7.17</v>
      </c>
      <c r="Q3174">
        <v>55.63</v>
      </c>
      <c r="R3174">
        <v>0.41</v>
      </c>
      <c r="S3174">
        <v>0.57999999999999996</v>
      </c>
      <c r="T3174" t="s">
        <v>911</v>
      </c>
      <c r="U3174">
        <v>0.6</v>
      </c>
      <c r="V3174" t="s">
        <v>6223</v>
      </c>
      <c r="W3174" t="s">
        <v>164</v>
      </c>
      <c r="X3174" t="s">
        <v>164</v>
      </c>
      <c r="Z3174" t="s">
        <v>21821</v>
      </c>
      <c r="AA3174">
        <v>1.35</v>
      </c>
      <c r="AB3174" t="s">
        <v>7272</v>
      </c>
      <c r="AD3174" t="s">
        <v>182</v>
      </c>
      <c r="AE3174" t="s">
        <v>7742</v>
      </c>
      <c r="AF3174" t="s">
        <v>90</v>
      </c>
      <c r="AG3174" t="s">
        <v>2144</v>
      </c>
      <c r="AH3174" t="s">
        <v>9098</v>
      </c>
      <c r="AI3174" t="s">
        <v>10518</v>
      </c>
      <c r="AJ3174" t="s">
        <v>164</v>
      </c>
      <c r="AK3174" t="s">
        <v>27774</v>
      </c>
      <c r="AL3174">
        <v>1.77</v>
      </c>
      <c r="AM3174">
        <v>0.91</v>
      </c>
      <c r="AN3174">
        <v>0.9</v>
      </c>
      <c r="AO3174" t="s">
        <v>2767</v>
      </c>
      <c r="AP3174" t="s">
        <v>2200</v>
      </c>
      <c r="AQ3174" t="s">
        <v>4873</v>
      </c>
      <c r="AR3174" t="s">
        <v>2662</v>
      </c>
      <c r="AS3174" t="s">
        <v>1902</v>
      </c>
      <c r="AT3174" t="s">
        <v>7439</v>
      </c>
      <c r="AU3174" t="s">
        <v>8919</v>
      </c>
      <c r="AV3174" t="s">
        <v>27775</v>
      </c>
      <c r="AW3174" t="s">
        <v>27776</v>
      </c>
      <c r="AX3174" t="s">
        <v>4600</v>
      </c>
      <c r="AY3174" t="s">
        <v>9755</v>
      </c>
      <c r="AZ3174" t="s">
        <v>4600</v>
      </c>
      <c r="BA3174">
        <v>2</v>
      </c>
      <c r="BB3174">
        <v>830.39</v>
      </c>
      <c r="BC3174">
        <v>0.28999999999999998</v>
      </c>
      <c r="BD3174">
        <v>19.420000000000002</v>
      </c>
      <c r="BE3174">
        <v>19.600000000000001</v>
      </c>
      <c r="BF3174">
        <v>19.43</v>
      </c>
      <c r="BG3174" t="s">
        <v>27777</v>
      </c>
      <c r="BH3174" t="s">
        <v>11822</v>
      </c>
      <c r="BI3174" t="s">
        <v>1898</v>
      </c>
      <c r="BJ3174" t="s">
        <v>101</v>
      </c>
      <c r="BK3174" t="s">
        <v>13762</v>
      </c>
      <c r="BL3174" t="s">
        <v>14794</v>
      </c>
      <c r="BM3174" t="s">
        <v>27778</v>
      </c>
      <c r="BN3174" t="s">
        <v>27621</v>
      </c>
    </row>
    <row r="3175" spans="1:66" x14ac:dyDescent="0.25">
      <c r="A3175" t="str">
        <f>HYPERLINK("https://elite.finviz.com/quote.ashx?t=POWI&amp;ty=c&amp;p=d&amp;b=1", "POWI")</f>
        <v>POWI</v>
      </c>
      <c r="B3175">
        <v>4</v>
      </c>
      <c r="C3175">
        <v>105.92</v>
      </c>
      <c r="D3175">
        <v>28.38</v>
      </c>
      <c r="E3175" t="s">
        <v>27779</v>
      </c>
      <c r="F3175" t="s">
        <v>67</v>
      </c>
      <c r="G3175" t="s">
        <v>108</v>
      </c>
      <c r="H3175" t="s">
        <v>1808</v>
      </c>
      <c r="I3175" t="s">
        <v>70</v>
      </c>
      <c r="J3175" t="s">
        <v>321</v>
      </c>
      <c r="K3175">
        <v>2206.2600000000002</v>
      </c>
      <c r="L3175">
        <v>39.33</v>
      </c>
      <c r="M3175" t="s">
        <v>9084</v>
      </c>
      <c r="N3175">
        <v>113323</v>
      </c>
      <c r="O3175">
        <v>66.790000000000006</v>
      </c>
      <c r="P3175">
        <v>23.08</v>
      </c>
      <c r="Q3175">
        <v>2.92</v>
      </c>
      <c r="R3175">
        <v>4.99</v>
      </c>
      <c r="S3175">
        <v>3.14</v>
      </c>
      <c r="T3175" t="s">
        <v>4891</v>
      </c>
      <c r="U3175">
        <v>0.84</v>
      </c>
      <c r="V3175" t="s">
        <v>4882</v>
      </c>
      <c r="W3175" t="s">
        <v>5395</v>
      </c>
      <c r="X3175" t="s">
        <v>5699</v>
      </c>
      <c r="Y3175" t="s">
        <v>15197</v>
      </c>
      <c r="Z3175" t="s">
        <v>27524</v>
      </c>
      <c r="AA3175">
        <v>0.59</v>
      </c>
      <c r="AB3175" t="s">
        <v>15818</v>
      </c>
      <c r="AC3175" t="s">
        <v>27780</v>
      </c>
      <c r="AD3175" t="s">
        <v>235</v>
      </c>
      <c r="AE3175" t="s">
        <v>6420</v>
      </c>
      <c r="AF3175" t="s">
        <v>19245</v>
      </c>
      <c r="AG3175" t="s">
        <v>1547</v>
      </c>
      <c r="AH3175" t="s">
        <v>290</v>
      </c>
      <c r="AI3175" t="s">
        <v>5166</v>
      </c>
      <c r="AJ3175" t="s">
        <v>4776</v>
      </c>
      <c r="AK3175" t="s">
        <v>27781</v>
      </c>
      <c r="AL3175">
        <v>7.43</v>
      </c>
      <c r="AM3175">
        <v>4.84</v>
      </c>
      <c r="AN3175">
        <v>0</v>
      </c>
      <c r="AO3175" t="s">
        <v>21121</v>
      </c>
      <c r="AP3175" t="s">
        <v>506</v>
      </c>
      <c r="AQ3175" t="s">
        <v>2351</v>
      </c>
      <c r="AR3175" t="s">
        <v>3334</v>
      </c>
      <c r="AS3175" t="s">
        <v>4204</v>
      </c>
      <c r="AT3175" t="s">
        <v>5445</v>
      </c>
      <c r="AU3175" t="s">
        <v>14863</v>
      </c>
      <c r="AV3175" t="s">
        <v>27782</v>
      </c>
      <c r="AW3175" t="s">
        <v>15919</v>
      </c>
      <c r="AX3175" t="s">
        <v>8228</v>
      </c>
      <c r="AY3175" t="s">
        <v>27783</v>
      </c>
      <c r="AZ3175" t="s">
        <v>8228</v>
      </c>
      <c r="BA3175">
        <v>1.5</v>
      </c>
      <c r="BB3175">
        <v>573.70000000000005</v>
      </c>
      <c r="BC3175">
        <v>0.7</v>
      </c>
      <c r="BD3175">
        <v>39.619999999999997</v>
      </c>
      <c r="BE3175">
        <v>39.869999999999997</v>
      </c>
      <c r="BF3175">
        <v>39.21</v>
      </c>
      <c r="BG3175" t="s">
        <v>27784</v>
      </c>
      <c r="BH3175" t="s">
        <v>27785</v>
      </c>
      <c r="BI3175" t="s">
        <v>27786</v>
      </c>
      <c r="BJ3175" t="s">
        <v>101</v>
      </c>
      <c r="BK3175" t="s">
        <v>26450</v>
      </c>
      <c r="BL3175" t="s">
        <v>23580</v>
      </c>
      <c r="BM3175" t="s">
        <v>24662</v>
      </c>
      <c r="BN3175" t="s">
        <v>27621</v>
      </c>
    </row>
    <row r="3176" spans="1:66" x14ac:dyDescent="0.25">
      <c r="A3176" t="str">
        <f>HYPERLINK("https://elite.finviz.com/quote.ashx?t=CNS&amp;ty=c&amp;p=d&amp;b=1", "CNS")</f>
        <v>CNS</v>
      </c>
      <c r="B3176">
        <v>4</v>
      </c>
      <c r="C3176">
        <v>105.92</v>
      </c>
      <c r="D3176">
        <v>28.38</v>
      </c>
      <c r="E3176" t="s">
        <v>27787</v>
      </c>
      <c r="F3176" t="s">
        <v>67</v>
      </c>
      <c r="G3176" t="s">
        <v>550</v>
      </c>
      <c r="H3176" t="s">
        <v>2597</v>
      </c>
      <c r="I3176" t="s">
        <v>70</v>
      </c>
      <c r="J3176" t="s">
        <v>71</v>
      </c>
      <c r="K3176">
        <v>3379.04</v>
      </c>
      <c r="L3176">
        <v>66.260000000000005</v>
      </c>
      <c r="M3176" t="s">
        <v>1554</v>
      </c>
      <c r="N3176">
        <v>32287</v>
      </c>
      <c r="O3176">
        <v>21.05</v>
      </c>
      <c r="P3176">
        <v>19.600000000000001</v>
      </c>
      <c r="R3176">
        <v>6.21</v>
      </c>
      <c r="S3176">
        <v>6.39</v>
      </c>
      <c r="T3176" t="s">
        <v>5592</v>
      </c>
      <c r="U3176">
        <v>2.4500000000000002</v>
      </c>
      <c r="V3176" t="s">
        <v>893</v>
      </c>
      <c r="W3176" t="s">
        <v>1926</v>
      </c>
      <c r="X3176" t="s">
        <v>5308</v>
      </c>
      <c r="Y3176" t="s">
        <v>6981</v>
      </c>
      <c r="Z3176" t="s">
        <v>6904</v>
      </c>
      <c r="AA3176">
        <v>3.15</v>
      </c>
      <c r="AB3176" t="s">
        <v>8184</v>
      </c>
      <c r="AC3176" t="s">
        <v>5745</v>
      </c>
      <c r="AE3176" t="s">
        <v>13468</v>
      </c>
      <c r="AF3176" t="s">
        <v>13734</v>
      </c>
      <c r="AG3176" t="s">
        <v>4323</v>
      </c>
      <c r="AH3176" t="s">
        <v>563</v>
      </c>
      <c r="AI3176" t="s">
        <v>2149</v>
      </c>
      <c r="AJ3176" t="s">
        <v>4699</v>
      </c>
      <c r="AK3176" t="s">
        <v>10035</v>
      </c>
      <c r="AL3176">
        <v>4.8</v>
      </c>
      <c r="AM3176">
        <v>4.8</v>
      </c>
      <c r="AN3176">
        <v>0.27</v>
      </c>
      <c r="AO3176" t="s">
        <v>6210</v>
      </c>
      <c r="AP3176" t="s">
        <v>20689</v>
      </c>
      <c r="AQ3176" t="s">
        <v>20298</v>
      </c>
      <c r="AR3176" t="s">
        <v>6493</v>
      </c>
      <c r="AS3176" t="s">
        <v>212</v>
      </c>
      <c r="AT3176" t="s">
        <v>15684</v>
      </c>
      <c r="AU3176" t="s">
        <v>11264</v>
      </c>
      <c r="AV3176" t="s">
        <v>10629</v>
      </c>
      <c r="AW3176" t="s">
        <v>7652</v>
      </c>
      <c r="AX3176" t="s">
        <v>3463</v>
      </c>
      <c r="AY3176" t="s">
        <v>2942</v>
      </c>
      <c r="AZ3176" t="s">
        <v>3463</v>
      </c>
      <c r="BA3176">
        <v>2.67</v>
      </c>
      <c r="BB3176">
        <v>249.62</v>
      </c>
      <c r="BC3176">
        <v>0.46</v>
      </c>
      <c r="BD3176">
        <v>66.37</v>
      </c>
      <c r="BE3176">
        <v>66.959999999999994</v>
      </c>
      <c r="BF3176">
        <v>66.239999999999995</v>
      </c>
      <c r="BG3176" t="s">
        <v>27788</v>
      </c>
      <c r="BH3176" t="s">
        <v>2942</v>
      </c>
      <c r="BI3176" t="s">
        <v>27789</v>
      </c>
      <c r="BJ3176" t="s">
        <v>101</v>
      </c>
      <c r="BK3176" t="s">
        <v>7362</v>
      </c>
      <c r="BL3176" t="s">
        <v>4094</v>
      </c>
      <c r="BM3176" t="s">
        <v>16043</v>
      </c>
      <c r="BN3176" t="s">
        <v>27621</v>
      </c>
    </row>
    <row r="3177" spans="1:66" x14ac:dyDescent="0.25">
      <c r="A3177" t="str">
        <f>HYPERLINK("https://elite.finviz.com/quote.ashx?t=TRUG&amp;ty=c&amp;p=d&amp;b=1", "TRUG")</f>
        <v>TRUG</v>
      </c>
      <c r="B3177">
        <v>4</v>
      </c>
      <c r="C3177">
        <v>105.92</v>
      </c>
      <c r="D3177">
        <v>28.43</v>
      </c>
      <c r="E3177" t="s">
        <v>27790</v>
      </c>
      <c r="F3177" t="s">
        <v>107</v>
      </c>
      <c r="G3177" t="s">
        <v>598</v>
      </c>
      <c r="H3177" t="s">
        <v>7474</v>
      </c>
      <c r="I3177" t="s">
        <v>70</v>
      </c>
      <c r="J3177" t="s">
        <v>321</v>
      </c>
      <c r="K3177">
        <v>3.38</v>
      </c>
      <c r="L3177">
        <v>2.56</v>
      </c>
      <c r="M3177" t="s">
        <v>4516</v>
      </c>
      <c r="N3177">
        <v>12105</v>
      </c>
      <c r="R3177">
        <v>0.15</v>
      </c>
      <c r="S3177">
        <v>0.6</v>
      </c>
      <c r="AA3177">
        <v>-18.93</v>
      </c>
      <c r="AB3177" t="s">
        <v>27791</v>
      </c>
      <c r="AH3177" t="s">
        <v>9187</v>
      </c>
      <c r="AI3177" t="s">
        <v>21293</v>
      </c>
      <c r="AJ3177" t="s">
        <v>6298</v>
      </c>
      <c r="AK3177" t="s">
        <v>6842</v>
      </c>
      <c r="AL3177">
        <v>1.1599999999999999</v>
      </c>
      <c r="AM3177">
        <v>1.01</v>
      </c>
      <c r="AN3177">
        <v>2.2599999999999998</v>
      </c>
      <c r="AO3177" t="s">
        <v>9226</v>
      </c>
      <c r="AP3177" t="s">
        <v>16302</v>
      </c>
      <c r="AQ3177" t="s">
        <v>16021</v>
      </c>
      <c r="AR3177" t="s">
        <v>6530</v>
      </c>
      <c r="AS3177" t="s">
        <v>6315</v>
      </c>
      <c r="AT3177" t="s">
        <v>27792</v>
      </c>
      <c r="AU3177" t="s">
        <v>27793</v>
      </c>
      <c r="AV3177" t="s">
        <v>5305</v>
      </c>
      <c r="AW3177" t="s">
        <v>8799</v>
      </c>
      <c r="AX3177" t="s">
        <v>4760</v>
      </c>
      <c r="AY3177" t="s">
        <v>10154</v>
      </c>
      <c r="AZ3177" t="s">
        <v>4760</v>
      </c>
      <c r="BA3177">
        <v>1</v>
      </c>
      <c r="BB3177">
        <v>226.31</v>
      </c>
      <c r="BC3177">
        <v>0.19</v>
      </c>
      <c r="BD3177">
        <v>2.63</v>
      </c>
      <c r="BE3177">
        <v>2.62</v>
      </c>
      <c r="BF3177">
        <v>2.5099999999999998</v>
      </c>
      <c r="BG3177" t="s">
        <v>27794</v>
      </c>
      <c r="BH3177" t="s">
        <v>7370</v>
      </c>
      <c r="BI3177" t="s">
        <v>4760</v>
      </c>
      <c r="BJ3177" t="s">
        <v>101</v>
      </c>
      <c r="BK3177" t="s">
        <v>27795</v>
      </c>
      <c r="BL3177" t="s">
        <v>27796</v>
      </c>
      <c r="BM3177" t="s">
        <v>12082</v>
      </c>
      <c r="BN3177" t="s">
        <v>27621</v>
      </c>
    </row>
    <row r="3178" spans="1:66" x14ac:dyDescent="0.25">
      <c r="A3178" t="str">
        <f>HYPERLINK("https://elite.finviz.com/quote.ashx?t=SAIC&amp;ty=c&amp;p=d&amp;b=1", "SAIC")</f>
        <v>SAIC</v>
      </c>
      <c r="B3178">
        <v>4</v>
      </c>
      <c r="C3178">
        <v>105.92</v>
      </c>
      <c r="D3178">
        <v>28.48</v>
      </c>
      <c r="E3178" t="s">
        <v>27797</v>
      </c>
      <c r="F3178" t="s">
        <v>107</v>
      </c>
      <c r="G3178" t="s">
        <v>108</v>
      </c>
      <c r="H3178" t="s">
        <v>1322</v>
      </c>
      <c r="I3178" t="s">
        <v>70</v>
      </c>
      <c r="J3178" t="s">
        <v>321</v>
      </c>
      <c r="K3178">
        <v>4484.16</v>
      </c>
      <c r="L3178">
        <v>97.43</v>
      </c>
      <c r="M3178" t="s">
        <v>6182</v>
      </c>
      <c r="N3178">
        <v>95142</v>
      </c>
      <c r="O3178">
        <v>11.78</v>
      </c>
      <c r="P3178">
        <v>10.7</v>
      </c>
      <c r="Q3178">
        <v>3.65</v>
      </c>
      <c r="R3178">
        <v>0.6</v>
      </c>
      <c r="S3178">
        <v>2.95</v>
      </c>
      <c r="T3178" t="s">
        <v>2572</v>
      </c>
      <c r="U3178">
        <v>1.48</v>
      </c>
      <c r="V3178" t="s">
        <v>5056</v>
      </c>
      <c r="W3178" t="s">
        <v>164</v>
      </c>
      <c r="X3178" t="s">
        <v>164</v>
      </c>
      <c r="Y3178" t="s">
        <v>164</v>
      </c>
      <c r="Z3178" t="s">
        <v>15283</v>
      </c>
      <c r="AA3178">
        <v>8.27</v>
      </c>
      <c r="AB3178" t="s">
        <v>1581</v>
      </c>
      <c r="AC3178" t="s">
        <v>1777</v>
      </c>
      <c r="AD3178" t="s">
        <v>5187</v>
      </c>
      <c r="AE3178" t="s">
        <v>2868</v>
      </c>
      <c r="AF3178" t="s">
        <v>3226</v>
      </c>
      <c r="AG3178" t="s">
        <v>5187</v>
      </c>
      <c r="AH3178" t="s">
        <v>3315</v>
      </c>
      <c r="AI3178" t="s">
        <v>20065</v>
      </c>
      <c r="AJ3178" t="s">
        <v>6336</v>
      </c>
      <c r="AK3178" t="s">
        <v>27798</v>
      </c>
      <c r="AL3178">
        <v>0.83</v>
      </c>
      <c r="AM3178">
        <v>0.83</v>
      </c>
      <c r="AN3178">
        <v>1.61</v>
      </c>
      <c r="AO3178" t="s">
        <v>10407</v>
      </c>
      <c r="AP3178" t="s">
        <v>3228</v>
      </c>
      <c r="AQ3178" t="s">
        <v>3957</v>
      </c>
      <c r="AR3178" t="s">
        <v>4499</v>
      </c>
      <c r="AS3178" t="s">
        <v>2743</v>
      </c>
      <c r="AT3178" t="s">
        <v>3436</v>
      </c>
      <c r="AU3178" t="s">
        <v>15002</v>
      </c>
      <c r="AV3178" t="s">
        <v>12945</v>
      </c>
      <c r="AW3178" t="s">
        <v>1107</v>
      </c>
      <c r="AX3178" t="s">
        <v>2876</v>
      </c>
      <c r="AY3178" t="s">
        <v>4058</v>
      </c>
      <c r="AZ3178" t="s">
        <v>4892</v>
      </c>
      <c r="BA3178">
        <v>3.09</v>
      </c>
      <c r="BB3178">
        <v>493.97</v>
      </c>
      <c r="BC3178">
        <v>0.68</v>
      </c>
      <c r="BD3178">
        <v>97.2</v>
      </c>
      <c r="BE3178">
        <v>98.53</v>
      </c>
      <c r="BF3178">
        <v>96.57</v>
      </c>
      <c r="BG3178" t="s">
        <v>27799</v>
      </c>
      <c r="BH3178" t="s">
        <v>4058</v>
      </c>
      <c r="BI3178" t="s">
        <v>27800</v>
      </c>
      <c r="BJ3178" t="s">
        <v>101</v>
      </c>
      <c r="BK3178" t="s">
        <v>10240</v>
      </c>
      <c r="BL3178" t="s">
        <v>1579</v>
      </c>
      <c r="BM3178" t="s">
        <v>11603</v>
      </c>
      <c r="BN3178" t="s">
        <v>27621</v>
      </c>
    </row>
    <row r="3179" spans="1:66" x14ac:dyDescent="0.25">
      <c r="A3179" t="str">
        <f>HYPERLINK("https://elite.finviz.com/quote.ashx?t=MSDL&amp;ty=c&amp;p=d&amp;b=1", "MSDL")</f>
        <v>MSDL</v>
      </c>
      <c r="B3179">
        <v>4</v>
      </c>
      <c r="C3179">
        <v>105.92</v>
      </c>
      <c r="D3179">
        <v>28.57</v>
      </c>
      <c r="E3179" t="s">
        <v>27801</v>
      </c>
      <c r="F3179" t="s">
        <v>107</v>
      </c>
      <c r="G3179" t="s">
        <v>550</v>
      </c>
      <c r="H3179" t="s">
        <v>2597</v>
      </c>
      <c r="I3179" t="s">
        <v>70</v>
      </c>
      <c r="J3179" t="s">
        <v>71</v>
      </c>
      <c r="K3179">
        <v>1471.66</v>
      </c>
      <c r="L3179">
        <v>16.95</v>
      </c>
      <c r="M3179" t="s">
        <v>171</v>
      </c>
      <c r="N3179">
        <v>152908</v>
      </c>
      <c r="O3179">
        <v>8.7899999999999991</v>
      </c>
      <c r="P3179">
        <v>8.84</v>
      </c>
      <c r="R3179">
        <v>3.67</v>
      </c>
      <c r="S3179">
        <v>0.82</v>
      </c>
      <c r="T3179" t="s">
        <v>3923</v>
      </c>
      <c r="U3179">
        <v>2</v>
      </c>
      <c r="V3179" t="s">
        <v>198</v>
      </c>
      <c r="W3179" t="s">
        <v>1441</v>
      </c>
      <c r="Z3179" t="s">
        <v>16273</v>
      </c>
      <c r="AA3179">
        <v>1.93</v>
      </c>
      <c r="AB3179" t="s">
        <v>7429</v>
      </c>
      <c r="AD3179" t="s">
        <v>4692</v>
      </c>
      <c r="AE3179" t="s">
        <v>648</v>
      </c>
      <c r="AF3179" t="s">
        <v>963</v>
      </c>
      <c r="AH3179" t="s">
        <v>7468</v>
      </c>
      <c r="AI3179" t="s">
        <v>7391</v>
      </c>
      <c r="AJ3179" t="s">
        <v>1678</v>
      </c>
      <c r="AK3179" t="s">
        <v>11448</v>
      </c>
      <c r="AL3179">
        <v>1.29</v>
      </c>
      <c r="AM3179">
        <v>1.29</v>
      </c>
      <c r="AN3179">
        <v>1.1499999999999999</v>
      </c>
      <c r="AO3179" t="s">
        <v>26855</v>
      </c>
      <c r="AP3179" t="s">
        <v>27802</v>
      </c>
      <c r="AQ3179" t="s">
        <v>24142</v>
      </c>
      <c r="AR3179" t="s">
        <v>2449</v>
      </c>
      <c r="AS3179" t="s">
        <v>1559</v>
      </c>
      <c r="AT3179" t="s">
        <v>2109</v>
      </c>
      <c r="AU3179" t="s">
        <v>6755</v>
      </c>
      <c r="AV3179" t="s">
        <v>12001</v>
      </c>
      <c r="AW3179" t="s">
        <v>14833</v>
      </c>
      <c r="AX3179" t="s">
        <v>458</v>
      </c>
      <c r="AY3179" t="s">
        <v>16900</v>
      </c>
      <c r="AZ3179" t="s">
        <v>458</v>
      </c>
      <c r="BA3179">
        <v>2.67</v>
      </c>
      <c r="BB3179">
        <v>651</v>
      </c>
      <c r="BC3179">
        <v>0.83</v>
      </c>
      <c r="BD3179">
        <v>16.96</v>
      </c>
      <c r="BE3179">
        <v>17.100000000000001</v>
      </c>
      <c r="BF3179">
        <v>16.940000000000001</v>
      </c>
      <c r="BG3179" t="s">
        <v>27803</v>
      </c>
      <c r="BH3179" t="s">
        <v>2547</v>
      </c>
      <c r="BI3179" t="s">
        <v>458</v>
      </c>
      <c r="BJ3179" t="s">
        <v>101</v>
      </c>
      <c r="BK3179" t="s">
        <v>20278</v>
      </c>
      <c r="BL3179" t="s">
        <v>27528</v>
      </c>
      <c r="BM3179" t="s">
        <v>14833</v>
      </c>
      <c r="BN3179" t="s">
        <v>27621</v>
      </c>
    </row>
    <row r="3180" spans="1:66" x14ac:dyDescent="0.25">
      <c r="A3180" t="str">
        <f>HYPERLINK("https://elite.finviz.com/quote.ashx?t=APD&amp;ty=c&amp;p=d&amp;b=1", "APD")</f>
        <v>APD</v>
      </c>
      <c r="B3180">
        <v>4</v>
      </c>
      <c r="C3180">
        <v>105.92</v>
      </c>
      <c r="D3180">
        <v>28.61</v>
      </c>
      <c r="E3180" t="s">
        <v>27804</v>
      </c>
      <c r="F3180" t="s">
        <v>195</v>
      </c>
      <c r="G3180" t="s">
        <v>355</v>
      </c>
      <c r="H3180" t="s">
        <v>1147</v>
      </c>
      <c r="I3180" t="s">
        <v>70</v>
      </c>
      <c r="J3180" t="s">
        <v>71</v>
      </c>
      <c r="K3180">
        <v>59379.58</v>
      </c>
      <c r="L3180">
        <v>266.81</v>
      </c>
      <c r="M3180" t="s">
        <v>6719</v>
      </c>
      <c r="N3180">
        <v>231153</v>
      </c>
      <c r="O3180">
        <v>38.35</v>
      </c>
      <c r="P3180">
        <v>20.62</v>
      </c>
      <c r="Q3180">
        <v>9.35</v>
      </c>
      <c r="R3180">
        <v>4.92</v>
      </c>
      <c r="S3180">
        <v>3.82</v>
      </c>
      <c r="T3180" t="s">
        <v>901</v>
      </c>
      <c r="U3180">
        <v>7.12</v>
      </c>
      <c r="V3180" t="s">
        <v>700</v>
      </c>
      <c r="W3180" t="s">
        <v>5256</v>
      </c>
      <c r="X3180" t="s">
        <v>6008</v>
      </c>
      <c r="Y3180" t="s">
        <v>1960</v>
      </c>
      <c r="Z3180" t="s">
        <v>18433</v>
      </c>
      <c r="AA3180">
        <v>6.96</v>
      </c>
      <c r="AB3180" t="s">
        <v>5081</v>
      </c>
      <c r="AC3180" t="s">
        <v>7167</v>
      </c>
      <c r="AD3180" t="s">
        <v>2647</v>
      </c>
      <c r="AE3180" t="s">
        <v>1564</v>
      </c>
      <c r="AF3180" t="s">
        <v>2123</v>
      </c>
      <c r="AG3180" t="s">
        <v>336</v>
      </c>
      <c r="AH3180" t="s">
        <v>80</v>
      </c>
      <c r="AI3180" t="s">
        <v>3035</v>
      </c>
      <c r="AJ3180" t="s">
        <v>4699</v>
      </c>
      <c r="AK3180" t="s">
        <v>27805</v>
      </c>
      <c r="AL3180">
        <v>1.29</v>
      </c>
      <c r="AM3180">
        <v>1.1200000000000001</v>
      </c>
      <c r="AN3180">
        <v>1.18</v>
      </c>
      <c r="AO3180" t="s">
        <v>25888</v>
      </c>
      <c r="AP3180" t="s">
        <v>4745</v>
      </c>
      <c r="AQ3180" t="s">
        <v>1925</v>
      </c>
      <c r="AR3180" t="s">
        <v>2273</v>
      </c>
      <c r="AS3180" t="s">
        <v>1129</v>
      </c>
      <c r="AT3180" t="s">
        <v>9725</v>
      </c>
      <c r="AU3180" t="s">
        <v>357</v>
      </c>
      <c r="AV3180" t="s">
        <v>23748</v>
      </c>
      <c r="AW3180" t="s">
        <v>18614</v>
      </c>
      <c r="AX3180" t="s">
        <v>6842</v>
      </c>
      <c r="AY3180" t="s">
        <v>10737</v>
      </c>
      <c r="AZ3180" t="s">
        <v>7945</v>
      </c>
      <c r="BA3180">
        <v>1.88</v>
      </c>
      <c r="BB3180">
        <v>952.03</v>
      </c>
      <c r="BC3180">
        <v>0.86</v>
      </c>
      <c r="BD3180">
        <v>265.77999999999997</v>
      </c>
      <c r="BE3180">
        <v>268.31</v>
      </c>
      <c r="BF3180">
        <v>265.10000000000002</v>
      </c>
      <c r="BG3180" t="s">
        <v>27806</v>
      </c>
      <c r="BH3180" t="s">
        <v>10737</v>
      </c>
      <c r="BI3180" t="s">
        <v>27807</v>
      </c>
      <c r="BJ3180" t="s">
        <v>101</v>
      </c>
      <c r="BK3180" t="s">
        <v>15594</v>
      </c>
      <c r="BL3180" t="s">
        <v>19766</v>
      </c>
      <c r="BM3180" t="s">
        <v>3338</v>
      </c>
      <c r="BN3180" t="s">
        <v>27621</v>
      </c>
    </row>
    <row r="3181" spans="1:66" x14ac:dyDescent="0.25">
      <c r="A3181" t="str">
        <f>HYPERLINK("https://elite.finviz.com/quote.ashx?t=FCPT&amp;ty=c&amp;p=d&amp;b=1", "FCPT")</f>
        <v>FCPT</v>
      </c>
      <c r="B3181">
        <v>4</v>
      </c>
      <c r="C3181">
        <v>105.92</v>
      </c>
      <c r="D3181">
        <v>28.69</v>
      </c>
      <c r="E3181" t="s">
        <v>27808</v>
      </c>
      <c r="F3181" t="s">
        <v>67</v>
      </c>
      <c r="G3181" t="s">
        <v>68</v>
      </c>
      <c r="H3181" t="s">
        <v>160</v>
      </c>
      <c r="I3181" t="s">
        <v>70</v>
      </c>
      <c r="J3181" t="s">
        <v>71</v>
      </c>
      <c r="K3181">
        <v>2546.84</v>
      </c>
      <c r="L3181">
        <v>24.38</v>
      </c>
      <c r="M3181" t="s">
        <v>4538</v>
      </c>
      <c r="N3181">
        <v>101793</v>
      </c>
      <c r="O3181">
        <v>22.65</v>
      </c>
      <c r="P3181">
        <v>20.76</v>
      </c>
      <c r="Q3181">
        <v>5.58</v>
      </c>
      <c r="R3181">
        <v>9.11</v>
      </c>
      <c r="S3181">
        <v>1.68</v>
      </c>
      <c r="T3181" t="s">
        <v>3733</v>
      </c>
      <c r="U3181">
        <v>1.38</v>
      </c>
      <c r="V3181" t="s">
        <v>198</v>
      </c>
      <c r="W3181" t="s">
        <v>2808</v>
      </c>
      <c r="X3181" t="s">
        <v>3456</v>
      </c>
      <c r="Y3181" t="s">
        <v>1926</v>
      </c>
      <c r="Z3181" t="s">
        <v>27809</v>
      </c>
      <c r="AA3181">
        <v>1.08</v>
      </c>
      <c r="AB3181" t="s">
        <v>4938</v>
      </c>
      <c r="AC3181" t="s">
        <v>2880</v>
      </c>
      <c r="AD3181" t="s">
        <v>2419</v>
      </c>
      <c r="AE3181" t="s">
        <v>414</v>
      </c>
      <c r="AF3181" t="s">
        <v>1585</v>
      </c>
      <c r="AG3181" t="s">
        <v>6928</v>
      </c>
      <c r="AH3181" t="s">
        <v>4223</v>
      </c>
      <c r="AI3181" t="s">
        <v>2509</v>
      </c>
      <c r="AJ3181" t="s">
        <v>5721</v>
      </c>
      <c r="AK3181" t="s">
        <v>20893</v>
      </c>
      <c r="AL3181">
        <v>2.2200000000000002</v>
      </c>
      <c r="AM3181">
        <v>2.2200000000000002</v>
      </c>
      <c r="AN3181">
        <v>0.82</v>
      </c>
      <c r="AO3181" t="s">
        <v>5804</v>
      </c>
      <c r="AP3181" t="s">
        <v>3209</v>
      </c>
      <c r="AQ3181" t="s">
        <v>554</v>
      </c>
      <c r="AR3181" t="s">
        <v>908</v>
      </c>
      <c r="AS3181" t="s">
        <v>3550</v>
      </c>
      <c r="AT3181" t="s">
        <v>2998</v>
      </c>
      <c r="AU3181" t="s">
        <v>10175</v>
      </c>
      <c r="AV3181" t="s">
        <v>9330</v>
      </c>
      <c r="AW3181" t="s">
        <v>481</v>
      </c>
      <c r="AX3181" t="s">
        <v>6156</v>
      </c>
      <c r="AY3181" t="s">
        <v>17301</v>
      </c>
      <c r="AZ3181" t="s">
        <v>6156</v>
      </c>
      <c r="BA3181">
        <v>2.56</v>
      </c>
      <c r="BB3181">
        <v>621.89</v>
      </c>
      <c r="BC3181">
        <v>0.57999999999999996</v>
      </c>
      <c r="BD3181">
        <v>24.44</v>
      </c>
      <c r="BE3181">
        <v>24.67</v>
      </c>
      <c r="BF3181">
        <v>24.33</v>
      </c>
      <c r="BG3181" t="s">
        <v>27810</v>
      </c>
      <c r="BH3181" t="s">
        <v>3163</v>
      </c>
      <c r="BI3181" t="s">
        <v>21393</v>
      </c>
      <c r="BJ3181" t="s">
        <v>101</v>
      </c>
      <c r="BK3181" t="s">
        <v>6827</v>
      </c>
      <c r="BL3181" t="s">
        <v>16281</v>
      </c>
      <c r="BM3181" t="s">
        <v>26491</v>
      </c>
      <c r="BN3181" t="s">
        <v>27621</v>
      </c>
    </row>
    <row r="3182" spans="1:66" x14ac:dyDescent="0.25">
      <c r="A3182" t="str">
        <f>HYPERLINK("https://elite.finviz.com/quote.ashx?t=SOND&amp;ty=c&amp;p=d&amp;b=1", "SOND")</f>
        <v>SOND</v>
      </c>
      <c r="B3182">
        <v>4</v>
      </c>
      <c r="C3182">
        <v>105.92</v>
      </c>
      <c r="D3182">
        <v>28.71</v>
      </c>
      <c r="E3182" t="s">
        <v>27811</v>
      </c>
      <c r="F3182" t="s">
        <v>107</v>
      </c>
      <c r="G3182" t="s">
        <v>813</v>
      </c>
      <c r="H3182" t="s">
        <v>16375</v>
      </c>
      <c r="I3182" t="s">
        <v>70</v>
      </c>
      <c r="J3182" t="s">
        <v>321</v>
      </c>
      <c r="K3182">
        <v>18.36</v>
      </c>
      <c r="L3182">
        <v>1.38</v>
      </c>
      <c r="M3182" t="s">
        <v>4155</v>
      </c>
      <c r="N3182">
        <v>17510</v>
      </c>
      <c r="R3182">
        <v>0.03</v>
      </c>
      <c r="AA3182">
        <v>-15.44</v>
      </c>
      <c r="AB3182" t="s">
        <v>18691</v>
      </c>
      <c r="AC3182" t="s">
        <v>27812</v>
      </c>
      <c r="AE3182" t="s">
        <v>10852</v>
      </c>
      <c r="AF3182" t="s">
        <v>8824</v>
      </c>
      <c r="AH3182" t="s">
        <v>16522</v>
      </c>
      <c r="AJ3182" t="s">
        <v>164</v>
      </c>
      <c r="AK3182" t="s">
        <v>20513</v>
      </c>
      <c r="AL3182">
        <v>0.23</v>
      </c>
      <c r="AM3182">
        <v>0.23</v>
      </c>
      <c r="AO3182" t="s">
        <v>7687</v>
      </c>
      <c r="AP3182" t="s">
        <v>15861</v>
      </c>
      <c r="AQ3182" t="s">
        <v>15095</v>
      </c>
      <c r="AR3182" t="s">
        <v>1009</v>
      </c>
      <c r="AS3182" t="s">
        <v>1282</v>
      </c>
      <c r="AT3182" t="s">
        <v>14281</v>
      </c>
      <c r="AU3182" t="s">
        <v>21585</v>
      </c>
      <c r="AV3182" t="s">
        <v>27813</v>
      </c>
      <c r="AW3182" t="s">
        <v>27814</v>
      </c>
      <c r="AX3182" t="s">
        <v>5036</v>
      </c>
      <c r="AY3182" t="s">
        <v>25278</v>
      </c>
      <c r="AZ3182" t="s">
        <v>5036</v>
      </c>
      <c r="BA3182">
        <v>3</v>
      </c>
      <c r="BB3182">
        <v>134.25</v>
      </c>
      <c r="BC3182">
        <v>0.46</v>
      </c>
      <c r="BD3182">
        <v>1.41</v>
      </c>
      <c r="BE3182">
        <v>1.45</v>
      </c>
      <c r="BF3182">
        <v>1.42</v>
      </c>
      <c r="BG3182" t="s">
        <v>27815</v>
      </c>
      <c r="BH3182" t="s">
        <v>10742</v>
      </c>
      <c r="BI3182" t="s">
        <v>958</v>
      </c>
      <c r="BJ3182" t="s">
        <v>101</v>
      </c>
      <c r="BK3182" t="s">
        <v>27816</v>
      </c>
      <c r="BL3182" t="s">
        <v>23389</v>
      </c>
      <c r="BM3182" t="s">
        <v>21658</v>
      </c>
      <c r="BN3182" t="s">
        <v>27621</v>
      </c>
    </row>
    <row r="3183" spans="1:66" x14ac:dyDescent="0.25">
      <c r="A3183" t="str">
        <f>HYPERLINK("https://elite.finviz.com/quote.ashx?t=TIL&amp;ty=c&amp;p=d&amp;b=1", "TIL")</f>
        <v>TIL</v>
      </c>
      <c r="B3183">
        <v>4</v>
      </c>
      <c r="C3183">
        <v>105.92</v>
      </c>
      <c r="D3183">
        <v>28.71</v>
      </c>
      <c r="E3183" t="s">
        <v>27817</v>
      </c>
      <c r="F3183" t="s">
        <v>107</v>
      </c>
      <c r="G3183" t="s">
        <v>428</v>
      </c>
      <c r="H3183" t="s">
        <v>429</v>
      </c>
      <c r="I3183" t="s">
        <v>70</v>
      </c>
      <c r="J3183" t="s">
        <v>321</v>
      </c>
      <c r="K3183">
        <v>109.02</v>
      </c>
      <c r="L3183">
        <v>16.149999999999999</v>
      </c>
      <c r="M3183" t="s">
        <v>6130</v>
      </c>
      <c r="N3183">
        <v>42029</v>
      </c>
      <c r="S3183">
        <v>0.83</v>
      </c>
      <c r="AA3183">
        <v>-12.92</v>
      </c>
      <c r="AB3183" t="s">
        <v>6868</v>
      </c>
      <c r="AC3183" t="s">
        <v>27818</v>
      </c>
      <c r="AD3183" t="s">
        <v>3491</v>
      </c>
      <c r="AI3183" t="s">
        <v>23709</v>
      </c>
      <c r="AJ3183" t="s">
        <v>7568</v>
      </c>
      <c r="AK3183" t="s">
        <v>12986</v>
      </c>
      <c r="AL3183">
        <v>14.97</v>
      </c>
      <c r="AM3183">
        <v>14.97</v>
      </c>
      <c r="AN3183">
        <v>0.64</v>
      </c>
      <c r="AR3183" t="s">
        <v>2192</v>
      </c>
      <c r="AS3183" t="s">
        <v>3230</v>
      </c>
      <c r="AT3183" t="s">
        <v>16962</v>
      </c>
      <c r="AU3183" t="s">
        <v>17429</v>
      </c>
      <c r="AV3183" t="s">
        <v>9269</v>
      </c>
      <c r="AW3183" t="s">
        <v>27819</v>
      </c>
      <c r="AX3183" t="s">
        <v>2768</v>
      </c>
      <c r="AY3183" t="s">
        <v>27820</v>
      </c>
      <c r="AZ3183" t="s">
        <v>8158</v>
      </c>
      <c r="BA3183">
        <v>1.75</v>
      </c>
      <c r="BB3183">
        <v>199.15</v>
      </c>
      <c r="BC3183">
        <v>0.74</v>
      </c>
      <c r="BD3183">
        <v>16.649999999999999</v>
      </c>
      <c r="BE3183">
        <v>16.600000000000001</v>
      </c>
      <c r="BF3183">
        <v>15.8</v>
      </c>
      <c r="BG3183" t="s">
        <v>27821</v>
      </c>
      <c r="BH3183" t="s">
        <v>27822</v>
      </c>
      <c r="BI3183" t="s">
        <v>20958</v>
      </c>
      <c r="BJ3183" t="s">
        <v>101</v>
      </c>
      <c r="BK3183" t="s">
        <v>16627</v>
      </c>
      <c r="BL3183" t="s">
        <v>27823</v>
      </c>
      <c r="BM3183" t="s">
        <v>27824</v>
      </c>
      <c r="BN3183" t="s">
        <v>27621</v>
      </c>
    </row>
    <row r="3184" spans="1:66" x14ac:dyDescent="0.25">
      <c r="A3184" t="str">
        <f>HYPERLINK("https://elite.finviz.com/quote.ashx?t=BR&amp;ty=c&amp;p=d&amp;b=1", "BR")</f>
        <v>BR</v>
      </c>
      <c r="B3184">
        <v>4</v>
      </c>
      <c r="C3184">
        <v>105.92</v>
      </c>
      <c r="D3184">
        <v>28.74</v>
      </c>
      <c r="E3184" t="s">
        <v>27825</v>
      </c>
      <c r="F3184" t="s">
        <v>195</v>
      </c>
      <c r="G3184" t="s">
        <v>108</v>
      </c>
      <c r="H3184" t="s">
        <v>1322</v>
      </c>
      <c r="I3184" t="s">
        <v>70</v>
      </c>
      <c r="J3184" t="s">
        <v>71</v>
      </c>
      <c r="K3184">
        <v>27615.58</v>
      </c>
      <c r="L3184">
        <v>235.77</v>
      </c>
      <c r="M3184" t="s">
        <v>3226</v>
      </c>
      <c r="N3184">
        <v>49617</v>
      </c>
      <c r="O3184">
        <v>33.24</v>
      </c>
      <c r="P3184">
        <v>23.12</v>
      </c>
      <c r="Q3184">
        <v>3.52</v>
      </c>
      <c r="R3184">
        <v>4.01</v>
      </c>
      <c r="S3184">
        <v>10.4</v>
      </c>
      <c r="T3184" t="s">
        <v>7423</v>
      </c>
      <c r="U3184">
        <v>3.61</v>
      </c>
      <c r="V3184" t="s">
        <v>7788</v>
      </c>
      <c r="W3184" t="s">
        <v>3962</v>
      </c>
      <c r="X3184" t="s">
        <v>6293</v>
      </c>
      <c r="Y3184" t="s">
        <v>4835</v>
      </c>
      <c r="Z3184" t="s">
        <v>10159</v>
      </c>
      <c r="AA3184">
        <v>7.09</v>
      </c>
      <c r="AB3184" t="s">
        <v>16940</v>
      </c>
      <c r="AC3184" t="s">
        <v>4593</v>
      </c>
      <c r="AD3184" t="s">
        <v>5308</v>
      </c>
      <c r="AE3184" t="s">
        <v>4907</v>
      </c>
      <c r="AF3184" t="s">
        <v>336</v>
      </c>
      <c r="AG3184" t="s">
        <v>1515</v>
      </c>
      <c r="AH3184" t="s">
        <v>216</v>
      </c>
      <c r="AI3184" t="s">
        <v>3550</v>
      </c>
      <c r="AJ3184" t="s">
        <v>23123</v>
      </c>
      <c r="AK3184" t="s">
        <v>2060</v>
      </c>
      <c r="AL3184">
        <v>0.98</v>
      </c>
      <c r="AM3184">
        <v>0.96</v>
      </c>
      <c r="AN3184">
        <v>1.3</v>
      </c>
      <c r="AO3184" t="s">
        <v>13144</v>
      </c>
      <c r="AP3184" t="s">
        <v>7082</v>
      </c>
      <c r="AQ3184" t="s">
        <v>2715</v>
      </c>
      <c r="AR3184" t="s">
        <v>5692</v>
      </c>
      <c r="AS3184" t="s">
        <v>4275</v>
      </c>
      <c r="AT3184" t="s">
        <v>8607</v>
      </c>
      <c r="AU3184" t="s">
        <v>798</v>
      </c>
      <c r="AV3184" t="s">
        <v>5746</v>
      </c>
      <c r="AW3184" t="s">
        <v>4899</v>
      </c>
      <c r="AX3184" t="s">
        <v>7124</v>
      </c>
      <c r="AY3184" t="s">
        <v>4899</v>
      </c>
      <c r="AZ3184" t="s">
        <v>5756</v>
      </c>
      <c r="BA3184">
        <v>2.36</v>
      </c>
      <c r="BB3184">
        <v>728.97</v>
      </c>
      <c r="BC3184">
        <v>0.24</v>
      </c>
      <c r="BD3184">
        <v>234.88</v>
      </c>
      <c r="BE3184">
        <v>236.07</v>
      </c>
      <c r="BF3184">
        <v>235.33</v>
      </c>
      <c r="BG3184" t="s">
        <v>27826</v>
      </c>
      <c r="BH3184" t="s">
        <v>4899</v>
      </c>
      <c r="BI3184" t="s">
        <v>27827</v>
      </c>
      <c r="BJ3184" t="s">
        <v>101</v>
      </c>
      <c r="BK3184" t="s">
        <v>3967</v>
      </c>
      <c r="BL3184" t="s">
        <v>2176</v>
      </c>
      <c r="BM3184" t="s">
        <v>2911</v>
      </c>
      <c r="BN3184" t="s">
        <v>27621</v>
      </c>
    </row>
    <row r="3185" spans="1:66" x14ac:dyDescent="0.25">
      <c r="A3185" t="str">
        <f>HYPERLINK("https://elite.finviz.com/quote.ashx?t=NVNO&amp;ty=c&amp;p=d&amp;b=1", "NVNO")</f>
        <v>NVNO</v>
      </c>
      <c r="B3185">
        <v>4</v>
      </c>
      <c r="C3185">
        <v>105.92</v>
      </c>
      <c r="D3185">
        <v>29.01</v>
      </c>
      <c r="E3185" t="s">
        <v>27828</v>
      </c>
      <c r="F3185" t="s">
        <v>107</v>
      </c>
      <c r="G3185" t="s">
        <v>428</v>
      </c>
      <c r="H3185" t="s">
        <v>2051</v>
      </c>
      <c r="I3185" t="s">
        <v>70</v>
      </c>
      <c r="J3185" t="s">
        <v>321</v>
      </c>
      <c r="K3185">
        <v>18.37</v>
      </c>
      <c r="L3185">
        <v>0.95</v>
      </c>
      <c r="M3185" t="s">
        <v>8425</v>
      </c>
      <c r="N3185">
        <v>138624</v>
      </c>
      <c r="S3185">
        <v>0.56000000000000005</v>
      </c>
      <c r="AA3185">
        <v>-1.26</v>
      </c>
      <c r="AB3185" t="s">
        <v>8379</v>
      </c>
      <c r="AC3185" t="s">
        <v>2986</v>
      </c>
      <c r="AI3185" t="s">
        <v>26491</v>
      </c>
      <c r="AJ3185" t="s">
        <v>4698</v>
      </c>
      <c r="AK3185" t="s">
        <v>15685</v>
      </c>
      <c r="AL3185">
        <v>11.81</v>
      </c>
      <c r="AM3185">
        <v>11.81</v>
      </c>
      <c r="AN3185">
        <v>0.03</v>
      </c>
      <c r="AR3185" t="s">
        <v>3688</v>
      </c>
      <c r="AS3185" t="s">
        <v>710</v>
      </c>
      <c r="AT3185" t="s">
        <v>5387</v>
      </c>
      <c r="AU3185" t="s">
        <v>27829</v>
      </c>
      <c r="AV3185" t="s">
        <v>27830</v>
      </c>
      <c r="AW3185" t="s">
        <v>2477</v>
      </c>
      <c r="AX3185" t="s">
        <v>20543</v>
      </c>
      <c r="AY3185" t="s">
        <v>2477</v>
      </c>
      <c r="AZ3185" t="s">
        <v>20543</v>
      </c>
      <c r="BA3185">
        <v>1</v>
      </c>
      <c r="BB3185">
        <v>913.56</v>
      </c>
      <c r="BC3185">
        <v>0.53</v>
      </c>
      <c r="BD3185">
        <v>0.96</v>
      </c>
      <c r="BE3185">
        <v>0.97</v>
      </c>
      <c r="BF3185">
        <v>0.94</v>
      </c>
      <c r="BG3185" t="s">
        <v>27831</v>
      </c>
      <c r="BH3185" t="s">
        <v>25437</v>
      </c>
      <c r="BI3185" t="s">
        <v>20543</v>
      </c>
      <c r="BJ3185" t="s">
        <v>101</v>
      </c>
      <c r="BK3185" t="s">
        <v>27832</v>
      </c>
      <c r="BL3185" t="s">
        <v>27833</v>
      </c>
      <c r="BM3185" t="s">
        <v>24715</v>
      </c>
      <c r="BN3185" t="s">
        <v>27621</v>
      </c>
    </row>
    <row r="3186" spans="1:66" x14ac:dyDescent="0.25">
      <c r="A3186" t="str">
        <f>HYPERLINK("https://elite.finviz.com/quote.ashx?t=PNNT&amp;ty=c&amp;p=d&amp;b=1", "PNNT")</f>
        <v>PNNT</v>
      </c>
      <c r="B3186">
        <v>4</v>
      </c>
      <c r="C3186">
        <v>105.92</v>
      </c>
      <c r="D3186">
        <v>29.16</v>
      </c>
      <c r="E3186" t="s">
        <v>27834</v>
      </c>
      <c r="F3186" t="s">
        <v>107</v>
      </c>
      <c r="G3186" t="s">
        <v>550</v>
      </c>
      <c r="H3186" t="s">
        <v>2597</v>
      </c>
      <c r="I3186" t="s">
        <v>70</v>
      </c>
      <c r="J3186" t="s">
        <v>71</v>
      </c>
      <c r="K3186">
        <v>436.14</v>
      </c>
      <c r="L3186">
        <v>6.68</v>
      </c>
      <c r="M3186" t="s">
        <v>7270</v>
      </c>
      <c r="N3186">
        <v>62009</v>
      </c>
      <c r="O3186">
        <v>8.35</v>
      </c>
      <c r="P3186">
        <v>9.4499999999999993</v>
      </c>
      <c r="R3186">
        <v>3.33</v>
      </c>
      <c r="S3186">
        <v>0.91</v>
      </c>
      <c r="T3186" t="s">
        <v>6474</v>
      </c>
      <c r="U3186">
        <v>0.96</v>
      </c>
      <c r="V3186" t="s">
        <v>3833</v>
      </c>
      <c r="W3186" t="s">
        <v>1470</v>
      </c>
      <c r="X3186" t="s">
        <v>7581</v>
      </c>
      <c r="Y3186" t="s">
        <v>1950</v>
      </c>
      <c r="Z3186" t="s">
        <v>27835</v>
      </c>
      <c r="AA3186">
        <v>0.8</v>
      </c>
      <c r="AH3186" t="s">
        <v>27836</v>
      </c>
      <c r="AI3186" t="s">
        <v>8789</v>
      </c>
      <c r="AJ3186" t="s">
        <v>822</v>
      </c>
      <c r="AK3186" t="s">
        <v>4466</v>
      </c>
      <c r="AR3186" t="s">
        <v>2307</v>
      </c>
      <c r="AS3186" t="s">
        <v>3349</v>
      </c>
      <c r="AT3186" t="s">
        <v>6499</v>
      </c>
      <c r="AU3186" t="s">
        <v>798</v>
      </c>
      <c r="AV3186" t="s">
        <v>5913</v>
      </c>
      <c r="AW3186" t="s">
        <v>14667</v>
      </c>
      <c r="AX3186" t="s">
        <v>2290</v>
      </c>
      <c r="AY3186" t="s">
        <v>14667</v>
      </c>
      <c r="AZ3186" t="s">
        <v>7167</v>
      </c>
      <c r="BA3186">
        <v>3.12</v>
      </c>
      <c r="BB3186">
        <v>469.65</v>
      </c>
      <c r="BC3186">
        <v>0.47</v>
      </c>
      <c r="BD3186">
        <v>6.72</v>
      </c>
      <c r="BE3186">
        <v>6.76</v>
      </c>
      <c r="BF3186">
        <v>6.68</v>
      </c>
      <c r="BG3186" t="s">
        <v>27837</v>
      </c>
      <c r="BH3186" t="s">
        <v>20240</v>
      </c>
      <c r="BI3186" t="s">
        <v>27838</v>
      </c>
      <c r="BJ3186" t="s">
        <v>101</v>
      </c>
      <c r="BK3186" t="s">
        <v>2826</v>
      </c>
      <c r="BL3186" t="s">
        <v>19119</v>
      </c>
      <c r="BM3186" t="s">
        <v>2109</v>
      </c>
      <c r="BN3186" t="s">
        <v>27621</v>
      </c>
    </row>
    <row r="3187" spans="1:66" x14ac:dyDescent="0.25">
      <c r="A3187" t="str">
        <f>HYPERLINK("https://elite.finviz.com/quote.ashx?t=CBZ&amp;ty=c&amp;p=d&amp;b=1", "CBZ")</f>
        <v>CBZ</v>
      </c>
      <c r="B3187">
        <v>4</v>
      </c>
      <c r="C3187">
        <v>105.92</v>
      </c>
      <c r="D3187">
        <v>29.21</v>
      </c>
      <c r="E3187" t="s">
        <v>27839</v>
      </c>
      <c r="F3187" t="s">
        <v>67</v>
      </c>
      <c r="G3187" t="s">
        <v>260</v>
      </c>
      <c r="H3187" t="s">
        <v>1077</v>
      </c>
      <c r="I3187" t="s">
        <v>70</v>
      </c>
      <c r="J3187" t="s">
        <v>71</v>
      </c>
      <c r="K3187">
        <v>2783.88</v>
      </c>
      <c r="L3187">
        <v>51.58</v>
      </c>
      <c r="M3187" t="s">
        <v>6245</v>
      </c>
      <c r="N3187">
        <v>102040</v>
      </c>
      <c r="O3187">
        <v>29.75</v>
      </c>
      <c r="P3187">
        <v>12.8</v>
      </c>
      <c r="Q3187">
        <v>1.53</v>
      </c>
      <c r="R3187">
        <v>1.1499999999999999</v>
      </c>
      <c r="S3187">
        <v>1.47</v>
      </c>
      <c r="Z3187" t="s">
        <v>164</v>
      </c>
      <c r="AA3187">
        <v>1.73</v>
      </c>
      <c r="AB3187" t="s">
        <v>489</v>
      </c>
      <c r="AC3187" t="s">
        <v>4229</v>
      </c>
      <c r="AD3187" t="s">
        <v>14157</v>
      </c>
      <c r="AE3187" t="s">
        <v>27840</v>
      </c>
      <c r="AF3187" t="s">
        <v>9194</v>
      </c>
      <c r="AG3187" t="s">
        <v>4549</v>
      </c>
      <c r="AH3187" t="s">
        <v>18570</v>
      </c>
      <c r="AI3187" t="s">
        <v>1609</v>
      </c>
      <c r="AJ3187" t="s">
        <v>6192</v>
      </c>
      <c r="AK3187" t="s">
        <v>27841</v>
      </c>
      <c r="AL3187">
        <v>1.6</v>
      </c>
      <c r="AM3187">
        <v>1.6</v>
      </c>
      <c r="AN3187">
        <v>1.04</v>
      </c>
      <c r="AO3187" t="s">
        <v>3815</v>
      </c>
      <c r="AP3187" t="s">
        <v>7510</v>
      </c>
      <c r="AQ3187" t="s">
        <v>1091</v>
      </c>
      <c r="AR3187" t="s">
        <v>295</v>
      </c>
      <c r="AS3187" t="s">
        <v>2522</v>
      </c>
      <c r="AT3187" t="s">
        <v>2236</v>
      </c>
      <c r="AU3187" t="s">
        <v>15929</v>
      </c>
      <c r="AV3187" t="s">
        <v>27842</v>
      </c>
      <c r="AW3187" t="s">
        <v>27843</v>
      </c>
      <c r="AX3187" t="s">
        <v>206</v>
      </c>
      <c r="AY3187" t="s">
        <v>27844</v>
      </c>
      <c r="AZ3187" t="s">
        <v>206</v>
      </c>
      <c r="BA3187">
        <v>1</v>
      </c>
      <c r="BB3187">
        <v>672.44</v>
      </c>
      <c r="BC3187">
        <v>0.53</v>
      </c>
      <c r="BD3187">
        <v>51.19</v>
      </c>
      <c r="BE3187">
        <v>51.8</v>
      </c>
      <c r="BF3187">
        <v>51.2</v>
      </c>
      <c r="BG3187" t="s">
        <v>27845</v>
      </c>
      <c r="BH3187" t="s">
        <v>27844</v>
      </c>
      <c r="BI3187" t="s">
        <v>27846</v>
      </c>
      <c r="BJ3187" t="s">
        <v>101</v>
      </c>
      <c r="BK3187" t="s">
        <v>27266</v>
      </c>
      <c r="BL3187" t="s">
        <v>27847</v>
      </c>
      <c r="BM3187" t="s">
        <v>7181</v>
      </c>
      <c r="BN3187" t="s">
        <v>27621</v>
      </c>
    </row>
    <row r="3188" spans="1:66" x14ac:dyDescent="0.25">
      <c r="A3188" t="str">
        <f>HYPERLINK("https://elite.finviz.com/quote.ashx?t=STAK&amp;ty=c&amp;p=d&amp;b=1", "STAK")</f>
        <v>STAK</v>
      </c>
      <c r="B3188">
        <v>4</v>
      </c>
      <c r="C3188">
        <v>105.92</v>
      </c>
      <c r="D3188">
        <v>29.28</v>
      </c>
      <c r="E3188" t="s">
        <v>27848</v>
      </c>
      <c r="F3188" t="s">
        <v>107</v>
      </c>
      <c r="G3188" t="s">
        <v>1048</v>
      </c>
      <c r="H3188" t="s">
        <v>8341</v>
      </c>
      <c r="I3188" t="s">
        <v>70</v>
      </c>
      <c r="J3188" t="s">
        <v>321</v>
      </c>
      <c r="L3188">
        <v>0.68</v>
      </c>
      <c r="M3188" t="s">
        <v>4210</v>
      </c>
      <c r="N3188">
        <v>79675</v>
      </c>
      <c r="AR3188" t="s">
        <v>7019</v>
      </c>
      <c r="AS3188" t="s">
        <v>11027</v>
      </c>
      <c r="AT3188" t="s">
        <v>489</v>
      </c>
      <c r="AU3188" t="s">
        <v>6020</v>
      </c>
      <c r="AV3188" t="s">
        <v>27849</v>
      </c>
      <c r="AW3188" t="s">
        <v>27850</v>
      </c>
      <c r="AX3188" t="s">
        <v>3336</v>
      </c>
      <c r="AY3188" t="s">
        <v>13101</v>
      </c>
      <c r="AZ3188" t="s">
        <v>3336</v>
      </c>
      <c r="BB3188">
        <v>538.08000000000004</v>
      </c>
      <c r="BC3188">
        <v>0.52</v>
      </c>
      <c r="BD3188">
        <v>0.71</v>
      </c>
      <c r="BE3188">
        <v>0.71</v>
      </c>
      <c r="BF3188">
        <v>0.68</v>
      </c>
      <c r="BG3188" t="s">
        <v>27851</v>
      </c>
      <c r="BH3188" t="s">
        <v>13101</v>
      </c>
      <c r="BI3188" t="s">
        <v>3336</v>
      </c>
      <c r="BJ3188" t="s">
        <v>101</v>
      </c>
      <c r="BK3188" t="s">
        <v>27572</v>
      </c>
      <c r="BL3188" t="s">
        <v>27852</v>
      </c>
      <c r="BN3188" t="s">
        <v>27621</v>
      </c>
    </row>
    <row r="3189" spans="1:66" x14ac:dyDescent="0.25">
      <c r="A3189" t="str">
        <f>HYPERLINK("https://elite.finviz.com/quote.ashx?t=CENT&amp;ty=c&amp;p=d&amp;b=1", "CENT")</f>
        <v>CENT</v>
      </c>
      <c r="B3189">
        <v>4</v>
      </c>
      <c r="C3189">
        <v>105.92</v>
      </c>
      <c r="D3189">
        <v>29.32</v>
      </c>
      <c r="E3189" t="s">
        <v>27853</v>
      </c>
      <c r="F3189" t="s">
        <v>67</v>
      </c>
      <c r="G3189" t="s">
        <v>2244</v>
      </c>
      <c r="H3189" t="s">
        <v>3269</v>
      </c>
      <c r="I3189" t="s">
        <v>70</v>
      </c>
      <c r="J3189" t="s">
        <v>321</v>
      </c>
      <c r="K3189">
        <v>1914.9</v>
      </c>
      <c r="L3189">
        <v>33.04</v>
      </c>
      <c r="M3189" t="s">
        <v>4086</v>
      </c>
      <c r="N3189">
        <v>6135</v>
      </c>
      <c r="O3189">
        <v>15.06</v>
      </c>
      <c r="P3189">
        <v>12.13</v>
      </c>
      <c r="Q3189">
        <v>1.32</v>
      </c>
      <c r="R3189">
        <v>0.61</v>
      </c>
      <c r="S3189">
        <v>1.31</v>
      </c>
      <c r="Z3189" t="s">
        <v>164</v>
      </c>
      <c r="AA3189">
        <v>2.19</v>
      </c>
      <c r="AB3189" t="s">
        <v>6505</v>
      </c>
      <c r="AC3189" t="s">
        <v>4507</v>
      </c>
      <c r="AD3189" t="s">
        <v>6331</v>
      </c>
      <c r="AE3189" t="s">
        <v>309</v>
      </c>
      <c r="AF3189" t="s">
        <v>2276</v>
      </c>
      <c r="AG3189" t="s">
        <v>1204</v>
      </c>
      <c r="AH3189" t="s">
        <v>7582</v>
      </c>
      <c r="AI3189" t="s">
        <v>2363</v>
      </c>
      <c r="AJ3189" t="s">
        <v>1358</v>
      </c>
      <c r="AK3189" t="s">
        <v>2133</v>
      </c>
      <c r="AL3189">
        <v>3.56</v>
      </c>
      <c r="AM3189">
        <v>2.2799999999999998</v>
      </c>
      <c r="AN3189">
        <v>0.9</v>
      </c>
      <c r="AO3189" t="s">
        <v>16058</v>
      </c>
      <c r="AP3189" t="s">
        <v>4416</v>
      </c>
      <c r="AQ3189" t="s">
        <v>2810</v>
      </c>
      <c r="AR3189" t="s">
        <v>4800</v>
      </c>
      <c r="AS3189" t="s">
        <v>2640</v>
      </c>
      <c r="AT3189" t="s">
        <v>5663</v>
      </c>
      <c r="AU3189" t="s">
        <v>7956</v>
      </c>
      <c r="AV3189" t="s">
        <v>8343</v>
      </c>
      <c r="AW3189" t="s">
        <v>9207</v>
      </c>
      <c r="AX3189" t="s">
        <v>2745</v>
      </c>
      <c r="AY3189" t="s">
        <v>27854</v>
      </c>
      <c r="AZ3189" t="s">
        <v>2522</v>
      </c>
      <c r="BA3189">
        <v>1.67</v>
      </c>
      <c r="BB3189">
        <v>76.13</v>
      </c>
      <c r="BC3189">
        <v>0.28000000000000003</v>
      </c>
      <c r="BD3189">
        <v>33.28</v>
      </c>
      <c r="BE3189">
        <v>33.36</v>
      </c>
      <c r="BF3189">
        <v>33.01</v>
      </c>
      <c r="BG3189" t="s">
        <v>27855</v>
      </c>
      <c r="BH3189" t="s">
        <v>16897</v>
      </c>
      <c r="BI3189" t="s">
        <v>27856</v>
      </c>
      <c r="BJ3189" t="s">
        <v>101</v>
      </c>
      <c r="BK3189" t="s">
        <v>4764</v>
      </c>
      <c r="BL3189" t="s">
        <v>2467</v>
      </c>
      <c r="BM3189" t="s">
        <v>2052</v>
      </c>
      <c r="BN3189" t="s">
        <v>27621</v>
      </c>
    </row>
    <row r="3190" spans="1:66" x14ac:dyDescent="0.25">
      <c r="A3190" t="str">
        <f>HYPERLINK("https://elite.finviz.com/quote.ashx?t=TRTX&amp;ty=c&amp;p=d&amp;b=1", "TRTX")</f>
        <v>TRTX</v>
      </c>
      <c r="B3190">
        <v>4</v>
      </c>
      <c r="C3190">
        <v>105.92</v>
      </c>
      <c r="D3190">
        <v>29.34</v>
      </c>
      <c r="E3190" t="s">
        <v>27857</v>
      </c>
      <c r="F3190" t="s">
        <v>67</v>
      </c>
      <c r="G3190" t="s">
        <v>68</v>
      </c>
      <c r="H3190" t="s">
        <v>5566</v>
      </c>
      <c r="I3190" t="s">
        <v>70</v>
      </c>
      <c r="J3190" t="s">
        <v>71</v>
      </c>
      <c r="K3190">
        <v>674.21</v>
      </c>
      <c r="L3190">
        <v>8.58</v>
      </c>
      <c r="M3190" t="s">
        <v>4257</v>
      </c>
      <c r="N3190">
        <v>196139</v>
      </c>
      <c r="O3190">
        <v>13.26</v>
      </c>
      <c r="P3190">
        <v>7.71</v>
      </c>
      <c r="Q3190">
        <v>2.14</v>
      </c>
      <c r="R3190">
        <v>2.0499999999999998</v>
      </c>
      <c r="S3190">
        <v>0.62</v>
      </c>
      <c r="T3190" t="s">
        <v>6076</v>
      </c>
      <c r="U3190">
        <v>0.96</v>
      </c>
      <c r="V3190" t="s">
        <v>4741</v>
      </c>
      <c r="W3190" t="s">
        <v>164</v>
      </c>
      <c r="X3190" t="s">
        <v>4873</v>
      </c>
      <c r="Y3190" t="s">
        <v>7527</v>
      </c>
      <c r="Z3190" t="s">
        <v>26985</v>
      </c>
      <c r="AA3190">
        <v>0.65</v>
      </c>
      <c r="AB3190" t="s">
        <v>4665</v>
      </c>
      <c r="AC3190" t="s">
        <v>7558</v>
      </c>
      <c r="AD3190" t="s">
        <v>2777</v>
      </c>
      <c r="AE3190" t="s">
        <v>27410</v>
      </c>
      <c r="AF3190" t="s">
        <v>13511</v>
      </c>
      <c r="AG3190" t="s">
        <v>4901</v>
      </c>
      <c r="AH3190" t="s">
        <v>3869</v>
      </c>
      <c r="AI3190" t="s">
        <v>4498</v>
      </c>
      <c r="AJ3190" t="s">
        <v>164</v>
      </c>
      <c r="AK3190" t="s">
        <v>12027</v>
      </c>
      <c r="AL3190">
        <v>0.77</v>
      </c>
      <c r="AM3190">
        <v>0.36</v>
      </c>
      <c r="AN3190">
        <v>2.77</v>
      </c>
      <c r="AO3190" t="s">
        <v>22768</v>
      </c>
      <c r="AP3190" t="s">
        <v>2347</v>
      </c>
      <c r="AQ3190" t="s">
        <v>4188</v>
      </c>
      <c r="AR3190" t="s">
        <v>2876</v>
      </c>
      <c r="AS3190" t="s">
        <v>4256</v>
      </c>
      <c r="AT3190" t="s">
        <v>14985</v>
      </c>
      <c r="AU3190" t="s">
        <v>3423</v>
      </c>
      <c r="AV3190" t="s">
        <v>205</v>
      </c>
      <c r="AW3190" t="s">
        <v>17276</v>
      </c>
      <c r="AX3190" t="s">
        <v>2697</v>
      </c>
      <c r="AY3190" t="s">
        <v>17276</v>
      </c>
      <c r="AZ3190" t="s">
        <v>5033</v>
      </c>
      <c r="BA3190">
        <v>2</v>
      </c>
      <c r="BB3190">
        <v>686.15</v>
      </c>
      <c r="BC3190">
        <v>1.01</v>
      </c>
      <c r="BD3190">
        <v>8.83</v>
      </c>
      <c r="BE3190">
        <v>8.67</v>
      </c>
      <c r="BF3190">
        <v>8.5299999999999994</v>
      </c>
      <c r="BG3190" t="s">
        <v>27858</v>
      </c>
      <c r="BH3190" t="s">
        <v>4639</v>
      </c>
      <c r="BI3190" t="s">
        <v>27859</v>
      </c>
      <c r="BJ3190" t="s">
        <v>101</v>
      </c>
      <c r="BK3190" t="s">
        <v>1089</v>
      </c>
      <c r="BL3190" t="s">
        <v>2273</v>
      </c>
      <c r="BM3190" t="s">
        <v>10958</v>
      </c>
      <c r="BN3190" t="s">
        <v>27621</v>
      </c>
    </row>
    <row r="3191" spans="1:66" x14ac:dyDescent="0.25">
      <c r="A3191" t="str">
        <f>HYPERLINK("https://elite.finviz.com/quote.ashx?t=LFVN&amp;ty=c&amp;p=d&amp;b=1", "LFVN")</f>
        <v>LFVN</v>
      </c>
      <c r="B3191">
        <v>4</v>
      </c>
      <c r="C3191">
        <v>105.92</v>
      </c>
      <c r="D3191">
        <v>29.35</v>
      </c>
      <c r="E3191" t="s">
        <v>27860</v>
      </c>
      <c r="F3191" t="s">
        <v>67</v>
      </c>
      <c r="G3191" t="s">
        <v>2244</v>
      </c>
      <c r="H3191" t="s">
        <v>3269</v>
      </c>
      <c r="I3191" t="s">
        <v>70</v>
      </c>
      <c r="J3191" t="s">
        <v>321</v>
      </c>
      <c r="K3191">
        <v>125.83</v>
      </c>
      <c r="L3191">
        <v>9.91</v>
      </c>
      <c r="M3191" t="s">
        <v>240</v>
      </c>
      <c r="N3191">
        <v>19563</v>
      </c>
      <c r="O3191">
        <v>13.29</v>
      </c>
      <c r="P3191">
        <v>8.89</v>
      </c>
      <c r="Q3191">
        <v>1.49</v>
      </c>
      <c r="R3191">
        <v>0.55000000000000004</v>
      </c>
      <c r="S3191">
        <v>3.56</v>
      </c>
      <c r="T3191" t="s">
        <v>6493</v>
      </c>
      <c r="U3191">
        <v>0.17</v>
      </c>
      <c r="V3191" t="s">
        <v>9611</v>
      </c>
      <c r="W3191" t="s">
        <v>8592</v>
      </c>
      <c r="X3191" t="s">
        <v>1898</v>
      </c>
      <c r="Z3191" t="s">
        <v>4771</v>
      </c>
      <c r="AA3191">
        <v>0.75</v>
      </c>
      <c r="AB3191" t="s">
        <v>10337</v>
      </c>
      <c r="AC3191" t="s">
        <v>3950</v>
      </c>
      <c r="AD3191" t="s">
        <v>4193</v>
      </c>
      <c r="AE3191" t="s">
        <v>3789</v>
      </c>
      <c r="AF3191" t="s">
        <v>4394</v>
      </c>
      <c r="AG3191" t="s">
        <v>1564</v>
      </c>
      <c r="AH3191" t="s">
        <v>1609</v>
      </c>
      <c r="AI3191" t="s">
        <v>8380</v>
      </c>
      <c r="AJ3191" t="s">
        <v>1998</v>
      </c>
      <c r="AK3191" t="s">
        <v>5515</v>
      </c>
      <c r="AL3191">
        <v>1.87</v>
      </c>
      <c r="AM3191">
        <v>1.1100000000000001</v>
      </c>
      <c r="AN3191">
        <v>0.34</v>
      </c>
      <c r="AO3191" t="s">
        <v>5657</v>
      </c>
      <c r="AP3191" t="s">
        <v>4428</v>
      </c>
      <c r="AQ3191" t="s">
        <v>5672</v>
      </c>
      <c r="AR3191" t="s">
        <v>6475</v>
      </c>
      <c r="AS3191" t="s">
        <v>8593</v>
      </c>
      <c r="AT3191" t="s">
        <v>25776</v>
      </c>
      <c r="AU3191" t="s">
        <v>10077</v>
      </c>
      <c r="AV3191" t="s">
        <v>9659</v>
      </c>
      <c r="AW3191" t="s">
        <v>27861</v>
      </c>
      <c r="AX3191" t="s">
        <v>3890</v>
      </c>
      <c r="AY3191" t="s">
        <v>24724</v>
      </c>
      <c r="AZ3191" t="s">
        <v>7388</v>
      </c>
      <c r="BA3191">
        <v>1</v>
      </c>
      <c r="BB3191">
        <v>165.35</v>
      </c>
      <c r="BC3191">
        <v>0.42</v>
      </c>
      <c r="BD3191">
        <v>9.99</v>
      </c>
      <c r="BE3191">
        <v>10.24</v>
      </c>
      <c r="BF3191">
        <v>9.91</v>
      </c>
      <c r="BG3191" t="s">
        <v>27862</v>
      </c>
      <c r="BH3191" t="s">
        <v>27863</v>
      </c>
      <c r="BI3191" t="s">
        <v>27864</v>
      </c>
      <c r="BJ3191" t="s">
        <v>101</v>
      </c>
      <c r="BK3191" t="s">
        <v>11868</v>
      </c>
      <c r="BL3191" t="s">
        <v>25113</v>
      </c>
      <c r="BM3191" t="s">
        <v>16666</v>
      </c>
      <c r="BN3191" t="s">
        <v>27621</v>
      </c>
    </row>
    <row r="3192" spans="1:66" x14ac:dyDescent="0.25">
      <c r="A3192" t="str">
        <f>HYPERLINK("https://elite.finviz.com/quote.ashx?t=BOW&amp;ty=c&amp;p=d&amp;b=1", "BOW")</f>
        <v>BOW</v>
      </c>
      <c r="B3192">
        <v>4</v>
      </c>
      <c r="C3192">
        <v>105.92</v>
      </c>
      <c r="D3192">
        <v>29.4</v>
      </c>
      <c r="E3192" t="s">
        <v>27865</v>
      </c>
      <c r="F3192" t="s">
        <v>67</v>
      </c>
      <c r="G3192" t="s">
        <v>550</v>
      </c>
      <c r="H3192" t="s">
        <v>4407</v>
      </c>
      <c r="I3192" t="s">
        <v>70</v>
      </c>
      <c r="J3192" t="s">
        <v>71</v>
      </c>
      <c r="K3192">
        <v>890.18</v>
      </c>
      <c r="L3192">
        <v>27.16</v>
      </c>
      <c r="M3192" t="s">
        <v>306</v>
      </c>
      <c r="N3192">
        <v>65297</v>
      </c>
      <c r="O3192">
        <v>18.47</v>
      </c>
      <c r="P3192">
        <v>13.71</v>
      </c>
      <c r="Q3192">
        <v>1.05</v>
      </c>
      <c r="R3192">
        <v>1.81</v>
      </c>
      <c r="S3192">
        <v>2.1800000000000002</v>
      </c>
      <c r="Z3192" t="s">
        <v>164</v>
      </c>
      <c r="AA3192">
        <v>1.47</v>
      </c>
      <c r="AB3192" t="s">
        <v>27866</v>
      </c>
      <c r="AD3192" t="s">
        <v>1570</v>
      </c>
      <c r="AE3192" t="s">
        <v>143</v>
      </c>
      <c r="AF3192" t="s">
        <v>4425</v>
      </c>
      <c r="AH3192" t="s">
        <v>1311</v>
      </c>
      <c r="AI3192" t="s">
        <v>4324</v>
      </c>
      <c r="AJ3192" t="s">
        <v>15122</v>
      </c>
      <c r="AK3192" t="s">
        <v>13041</v>
      </c>
      <c r="AL3192">
        <v>0.62</v>
      </c>
      <c r="AN3192">
        <v>0</v>
      </c>
      <c r="AP3192" t="s">
        <v>176</v>
      </c>
      <c r="AQ3192" t="s">
        <v>8441</v>
      </c>
      <c r="AR3192" t="s">
        <v>4873</v>
      </c>
      <c r="AS3192" t="s">
        <v>2361</v>
      </c>
      <c r="AT3192" t="s">
        <v>4174</v>
      </c>
      <c r="AU3192" t="s">
        <v>7861</v>
      </c>
      <c r="AV3192" t="s">
        <v>7259</v>
      </c>
      <c r="AW3192" t="s">
        <v>7046</v>
      </c>
      <c r="AX3192" t="s">
        <v>227</v>
      </c>
      <c r="AY3192" t="s">
        <v>7395</v>
      </c>
      <c r="AZ3192" t="s">
        <v>227</v>
      </c>
      <c r="BA3192">
        <v>1.86</v>
      </c>
      <c r="BB3192">
        <v>299.89</v>
      </c>
      <c r="BC3192">
        <v>0.77</v>
      </c>
      <c r="BD3192">
        <v>26.99</v>
      </c>
      <c r="BE3192">
        <v>27.62</v>
      </c>
      <c r="BF3192">
        <v>27.1</v>
      </c>
      <c r="BG3192" t="s">
        <v>27867</v>
      </c>
      <c r="BH3192" t="s">
        <v>7395</v>
      </c>
      <c r="BI3192" t="s">
        <v>3863</v>
      </c>
      <c r="BJ3192" t="s">
        <v>101</v>
      </c>
      <c r="BK3192" t="s">
        <v>23579</v>
      </c>
      <c r="BL3192" t="s">
        <v>25328</v>
      </c>
      <c r="BM3192" t="s">
        <v>8985</v>
      </c>
      <c r="BN3192" t="s">
        <v>27621</v>
      </c>
    </row>
    <row r="3193" spans="1:66" x14ac:dyDescent="0.25">
      <c r="A3193" t="str">
        <f>HYPERLINK("https://elite.finviz.com/quote.ashx?t=RUBI&amp;ty=c&amp;p=d&amp;b=1", "RUBI")</f>
        <v>RUBI</v>
      </c>
      <c r="B3193">
        <v>4</v>
      </c>
      <c r="C3193">
        <v>105.92</v>
      </c>
      <c r="D3193">
        <v>29.47</v>
      </c>
      <c r="E3193" t="s">
        <v>27868</v>
      </c>
      <c r="F3193" t="s">
        <v>107</v>
      </c>
      <c r="G3193" t="s">
        <v>260</v>
      </c>
      <c r="H3193" t="s">
        <v>2696</v>
      </c>
      <c r="I3193" t="s">
        <v>70</v>
      </c>
      <c r="J3193" t="s">
        <v>321</v>
      </c>
      <c r="L3193">
        <v>1.99</v>
      </c>
      <c r="M3193" t="s">
        <v>2619</v>
      </c>
      <c r="N3193">
        <v>11035</v>
      </c>
      <c r="AR3193" t="s">
        <v>8526</v>
      </c>
      <c r="AS3193" t="s">
        <v>7511</v>
      </c>
      <c r="AT3193" t="s">
        <v>11312</v>
      </c>
      <c r="AU3193" t="s">
        <v>26256</v>
      </c>
      <c r="AV3193" t="s">
        <v>26256</v>
      </c>
      <c r="AW3193" t="s">
        <v>27869</v>
      </c>
      <c r="AX3193" t="s">
        <v>9865</v>
      </c>
      <c r="AY3193" t="s">
        <v>27869</v>
      </c>
      <c r="AZ3193" t="s">
        <v>9865</v>
      </c>
      <c r="BB3193">
        <v>302.41000000000003</v>
      </c>
      <c r="BC3193">
        <v>0.13</v>
      </c>
      <c r="BD3193">
        <v>1.94</v>
      </c>
      <c r="BE3193">
        <v>2</v>
      </c>
      <c r="BF3193">
        <v>1.93</v>
      </c>
      <c r="BG3193" t="s">
        <v>27870</v>
      </c>
      <c r="BH3193" t="s">
        <v>27869</v>
      </c>
      <c r="BI3193" t="s">
        <v>9865</v>
      </c>
      <c r="BJ3193" t="s">
        <v>101</v>
      </c>
      <c r="BN3193" t="s">
        <v>27621</v>
      </c>
    </row>
    <row r="3194" spans="1:66" x14ac:dyDescent="0.25">
      <c r="A3194" t="str">
        <f>HYPERLINK("https://elite.finviz.com/quote.ashx?t=IPAR&amp;ty=c&amp;p=d&amp;b=1", "IPAR")</f>
        <v>IPAR</v>
      </c>
      <c r="B3194">
        <v>4</v>
      </c>
      <c r="C3194">
        <v>105.92</v>
      </c>
      <c r="D3194">
        <v>29.48</v>
      </c>
      <c r="E3194" t="s">
        <v>27871</v>
      </c>
      <c r="F3194" t="s">
        <v>67</v>
      </c>
      <c r="G3194" t="s">
        <v>2244</v>
      </c>
      <c r="H3194" t="s">
        <v>5311</v>
      </c>
      <c r="I3194" t="s">
        <v>70</v>
      </c>
      <c r="J3194" t="s">
        <v>321</v>
      </c>
      <c r="K3194">
        <v>3233.74</v>
      </c>
      <c r="L3194">
        <v>100.68</v>
      </c>
      <c r="M3194" t="s">
        <v>747</v>
      </c>
      <c r="N3194">
        <v>19042</v>
      </c>
      <c r="O3194">
        <v>20.14</v>
      </c>
      <c r="P3194">
        <v>17.78</v>
      </c>
      <c r="Q3194">
        <v>3.42</v>
      </c>
      <c r="R3194">
        <v>2.2200000000000002</v>
      </c>
      <c r="S3194">
        <v>3.85</v>
      </c>
      <c r="T3194" t="s">
        <v>7088</v>
      </c>
      <c r="U3194">
        <v>3.15</v>
      </c>
      <c r="V3194" t="s">
        <v>3833</v>
      </c>
      <c r="W3194" t="s">
        <v>1746</v>
      </c>
      <c r="X3194" t="s">
        <v>10635</v>
      </c>
      <c r="Y3194" t="s">
        <v>7834</v>
      </c>
      <c r="Z3194" t="s">
        <v>27872</v>
      </c>
      <c r="AA3194">
        <v>5</v>
      </c>
      <c r="AB3194" t="s">
        <v>15907</v>
      </c>
      <c r="AC3194" t="s">
        <v>4075</v>
      </c>
      <c r="AD3194" t="s">
        <v>4551</v>
      </c>
      <c r="AE3194" t="s">
        <v>3127</v>
      </c>
      <c r="AF3194" t="s">
        <v>9344</v>
      </c>
      <c r="AG3194" t="s">
        <v>6690</v>
      </c>
      <c r="AH3194" t="s">
        <v>5778</v>
      </c>
      <c r="AI3194" t="s">
        <v>8507</v>
      </c>
      <c r="AJ3194" t="s">
        <v>2717</v>
      </c>
      <c r="AK3194" t="s">
        <v>27873</v>
      </c>
      <c r="AL3194">
        <v>2.96</v>
      </c>
      <c r="AM3194">
        <v>1.69</v>
      </c>
      <c r="AN3194">
        <v>0.33</v>
      </c>
      <c r="AO3194" t="s">
        <v>6900</v>
      </c>
      <c r="AP3194" t="s">
        <v>19410</v>
      </c>
      <c r="AQ3194" t="s">
        <v>3553</v>
      </c>
      <c r="AR3194" t="s">
        <v>1761</v>
      </c>
      <c r="AS3194" t="s">
        <v>89</v>
      </c>
      <c r="AT3194" t="s">
        <v>4967</v>
      </c>
      <c r="AU3194" t="s">
        <v>5194</v>
      </c>
      <c r="AV3194" t="s">
        <v>8407</v>
      </c>
      <c r="AW3194" t="s">
        <v>4769</v>
      </c>
      <c r="AX3194" t="s">
        <v>2720</v>
      </c>
      <c r="AY3194" t="s">
        <v>24327</v>
      </c>
      <c r="AZ3194" t="s">
        <v>3500</v>
      </c>
      <c r="BA3194">
        <v>1.33</v>
      </c>
      <c r="BB3194">
        <v>251.86</v>
      </c>
      <c r="BC3194">
        <v>0.27</v>
      </c>
      <c r="BD3194">
        <v>99.88</v>
      </c>
      <c r="BE3194">
        <v>100.87</v>
      </c>
      <c r="BF3194">
        <v>99.75</v>
      </c>
      <c r="BG3194" t="s">
        <v>27874</v>
      </c>
      <c r="BH3194" t="s">
        <v>25351</v>
      </c>
      <c r="BI3194" t="s">
        <v>27875</v>
      </c>
      <c r="BJ3194" t="s">
        <v>101</v>
      </c>
      <c r="BK3194" t="s">
        <v>7483</v>
      </c>
      <c r="BL3194" t="s">
        <v>4368</v>
      </c>
      <c r="BM3194" t="s">
        <v>16748</v>
      </c>
      <c r="BN3194" t="s">
        <v>27621</v>
      </c>
    </row>
    <row r="3195" spans="1:66" x14ac:dyDescent="0.25">
      <c r="A3195" t="str">
        <f>HYPERLINK("https://elite.finviz.com/quote.ashx?t=TONX&amp;ty=c&amp;p=d&amp;b=1", "TONX")</f>
        <v>TONX</v>
      </c>
      <c r="B3195">
        <v>4</v>
      </c>
      <c r="C3195">
        <v>105.92</v>
      </c>
      <c r="D3195">
        <v>29.59</v>
      </c>
      <c r="E3195" t="s">
        <v>27876</v>
      </c>
      <c r="F3195" t="s">
        <v>107</v>
      </c>
      <c r="G3195" t="s">
        <v>108</v>
      </c>
      <c r="H3195" t="s">
        <v>136</v>
      </c>
      <c r="I3195" t="s">
        <v>70</v>
      </c>
      <c r="J3195" t="s">
        <v>321</v>
      </c>
      <c r="K3195">
        <v>401.38</v>
      </c>
      <c r="L3195">
        <v>6.63</v>
      </c>
      <c r="M3195" t="s">
        <v>6480</v>
      </c>
      <c r="N3195">
        <v>217943</v>
      </c>
      <c r="R3195">
        <v>93.78</v>
      </c>
      <c r="S3195">
        <v>0.65</v>
      </c>
      <c r="AA3195">
        <v>-11.59</v>
      </c>
      <c r="AB3195" t="s">
        <v>362</v>
      </c>
      <c r="AE3195" t="s">
        <v>27877</v>
      </c>
      <c r="AF3195" t="s">
        <v>27878</v>
      </c>
      <c r="AG3195" t="s">
        <v>18925</v>
      </c>
      <c r="AH3195" t="s">
        <v>27879</v>
      </c>
      <c r="AI3195" t="s">
        <v>7290</v>
      </c>
      <c r="AJ3195" t="s">
        <v>164</v>
      </c>
      <c r="AK3195" t="s">
        <v>4539</v>
      </c>
      <c r="AL3195">
        <v>3.34</v>
      </c>
      <c r="AM3195">
        <v>3.34</v>
      </c>
      <c r="AN3195">
        <v>0.01</v>
      </c>
      <c r="AO3195" t="s">
        <v>9345</v>
      </c>
      <c r="AP3195" t="s">
        <v>27880</v>
      </c>
      <c r="AQ3195" t="s">
        <v>27881</v>
      </c>
      <c r="AR3195" t="s">
        <v>1889</v>
      </c>
      <c r="AS3195" t="s">
        <v>5405</v>
      </c>
      <c r="AT3195" t="s">
        <v>2319</v>
      </c>
      <c r="AU3195" t="s">
        <v>23495</v>
      </c>
      <c r="AV3195" t="s">
        <v>19806</v>
      </c>
      <c r="AW3195" t="s">
        <v>27882</v>
      </c>
      <c r="AX3195" t="s">
        <v>1439</v>
      </c>
      <c r="AY3195" t="s">
        <v>27882</v>
      </c>
      <c r="AZ3195" t="s">
        <v>22335</v>
      </c>
      <c r="BA3195">
        <v>1</v>
      </c>
      <c r="BB3195">
        <v>949</v>
      </c>
      <c r="BC3195">
        <v>0.81</v>
      </c>
      <c r="BD3195">
        <v>6.97</v>
      </c>
      <c r="BE3195">
        <v>7.03</v>
      </c>
      <c r="BF3195">
        <v>6.61</v>
      </c>
      <c r="BG3195" t="s">
        <v>27883</v>
      </c>
      <c r="BH3195" t="s">
        <v>579</v>
      </c>
      <c r="BI3195" t="s">
        <v>22335</v>
      </c>
      <c r="BJ3195" t="s">
        <v>101</v>
      </c>
      <c r="BK3195" t="s">
        <v>6464</v>
      </c>
      <c r="BL3195" t="s">
        <v>20292</v>
      </c>
      <c r="BM3195" t="s">
        <v>8493</v>
      </c>
      <c r="BN3195" t="s">
        <v>27621</v>
      </c>
    </row>
    <row r="3196" spans="1:66" x14ac:dyDescent="0.25">
      <c r="A3196" t="str">
        <f>HYPERLINK("https://elite.finviz.com/quote.ashx?t=RIGL&amp;ty=c&amp;p=d&amp;b=1", "RIGL")</f>
        <v>RIGL</v>
      </c>
      <c r="B3196">
        <v>4</v>
      </c>
      <c r="C3196">
        <v>105.92</v>
      </c>
      <c r="D3196">
        <v>29.62</v>
      </c>
      <c r="E3196" t="s">
        <v>27884</v>
      </c>
      <c r="F3196" t="s">
        <v>67</v>
      </c>
      <c r="G3196" t="s">
        <v>428</v>
      </c>
      <c r="H3196" t="s">
        <v>429</v>
      </c>
      <c r="I3196" t="s">
        <v>70</v>
      </c>
      <c r="J3196" t="s">
        <v>321</v>
      </c>
      <c r="K3196">
        <v>506.96</v>
      </c>
      <c r="L3196">
        <v>28.26</v>
      </c>
      <c r="M3196" t="s">
        <v>5879</v>
      </c>
      <c r="N3196">
        <v>140231</v>
      </c>
      <c r="O3196">
        <v>5.22</v>
      </c>
      <c r="P3196">
        <v>7.8</v>
      </c>
      <c r="Q3196">
        <v>0.09</v>
      </c>
      <c r="R3196">
        <v>1.89</v>
      </c>
      <c r="S3196">
        <v>6.19</v>
      </c>
      <c r="Z3196" t="s">
        <v>164</v>
      </c>
      <c r="AA3196">
        <v>5.41</v>
      </c>
      <c r="AD3196" t="s">
        <v>22233</v>
      </c>
      <c r="AE3196" t="s">
        <v>27885</v>
      </c>
      <c r="AF3196" t="s">
        <v>2386</v>
      </c>
      <c r="AG3196" t="s">
        <v>17249</v>
      </c>
      <c r="AH3196" t="s">
        <v>27886</v>
      </c>
      <c r="AI3196" t="s">
        <v>9381</v>
      </c>
      <c r="AJ3196" t="s">
        <v>164</v>
      </c>
      <c r="AK3196" t="s">
        <v>6089</v>
      </c>
      <c r="AL3196">
        <v>2.02</v>
      </c>
      <c r="AM3196">
        <v>1.9</v>
      </c>
      <c r="AN3196">
        <v>0.75</v>
      </c>
      <c r="AO3196" t="s">
        <v>15750</v>
      </c>
      <c r="AP3196" t="s">
        <v>412</v>
      </c>
      <c r="AQ3196" t="s">
        <v>1823</v>
      </c>
      <c r="AR3196" t="s">
        <v>3777</v>
      </c>
      <c r="AS3196" t="s">
        <v>1826</v>
      </c>
      <c r="AT3196" t="s">
        <v>13768</v>
      </c>
      <c r="AU3196" t="s">
        <v>3700</v>
      </c>
      <c r="AV3196" t="s">
        <v>3138</v>
      </c>
      <c r="AW3196" t="s">
        <v>27887</v>
      </c>
      <c r="AX3196" t="s">
        <v>27888</v>
      </c>
      <c r="AY3196" t="s">
        <v>27887</v>
      </c>
      <c r="AZ3196" t="s">
        <v>27889</v>
      </c>
      <c r="BA3196">
        <v>2.2000000000000002</v>
      </c>
      <c r="BB3196">
        <v>597.59</v>
      </c>
      <c r="BC3196">
        <v>0.83</v>
      </c>
      <c r="BD3196">
        <v>28.7</v>
      </c>
      <c r="BE3196">
        <v>29</v>
      </c>
      <c r="BF3196">
        <v>28.17</v>
      </c>
      <c r="BG3196" t="s">
        <v>27890</v>
      </c>
      <c r="BH3196" t="s">
        <v>27891</v>
      </c>
      <c r="BI3196" t="s">
        <v>27892</v>
      </c>
      <c r="BJ3196" t="s">
        <v>101</v>
      </c>
      <c r="BK3196" t="s">
        <v>8612</v>
      </c>
      <c r="BL3196" t="s">
        <v>27893</v>
      </c>
      <c r="BM3196" t="s">
        <v>27894</v>
      </c>
      <c r="BN3196" t="s">
        <v>27621</v>
      </c>
    </row>
    <row r="3197" spans="1:66" x14ac:dyDescent="0.25">
      <c r="A3197" t="str">
        <f>HYPERLINK("https://elite.finviz.com/quote.ashx?t=SMG&amp;ty=c&amp;p=d&amp;b=1", "SMG")</f>
        <v>SMG</v>
      </c>
      <c r="B3197">
        <v>4</v>
      </c>
      <c r="C3197">
        <v>105.92</v>
      </c>
      <c r="D3197">
        <v>29.84</v>
      </c>
      <c r="E3197" t="s">
        <v>27895</v>
      </c>
      <c r="F3197" t="s">
        <v>107</v>
      </c>
      <c r="G3197" t="s">
        <v>355</v>
      </c>
      <c r="H3197" t="s">
        <v>9610</v>
      </c>
      <c r="I3197" t="s">
        <v>70</v>
      </c>
      <c r="J3197" t="s">
        <v>71</v>
      </c>
      <c r="K3197">
        <v>3245.05</v>
      </c>
      <c r="L3197">
        <v>56.2</v>
      </c>
      <c r="M3197" t="s">
        <v>3495</v>
      </c>
      <c r="N3197">
        <v>100938</v>
      </c>
      <c r="O3197">
        <v>73.22</v>
      </c>
      <c r="P3197">
        <v>13.08</v>
      </c>
      <c r="Q3197">
        <v>2.4300000000000002</v>
      </c>
      <c r="R3197">
        <v>0.94</v>
      </c>
      <c r="T3197" t="s">
        <v>2774</v>
      </c>
      <c r="U3197">
        <v>2.64</v>
      </c>
      <c r="V3197" t="s">
        <v>4186</v>
      </c>
      <c r="W3197" t="s">
        <v>164</v>
      </c>
      <c r="X3197" t="s">
        <v>192</v>
      </c>
      <c r="Y3197" t="s">
        <v>2736</v>
      </c>
      <c r="AA3197">
        <v>0.77</v>
      </c>
      <c r="AD3197" t="s">
        <v>3260</v>
      </c>
      <c r="AE3197" t="s">
        <v>1180</v>
      </c>
      <c r="AF3197" t="s">
        <v>5773</v>
      </c>
      <c r="AG3197" t="s">
        <v>4710</v>
      </c>
      <c r="AH3197" t="s">
        <v>6407</v>
      </c>
      <c r="AI3197" t="s">
        <v>4666</v>
      </c>
      <c r="AJ3197" t="s">
        <v>4436</v>
      </c>
      <c r="AK3197" t="s">
        <v>14367</v>
      </c>
      <c r="AL3197">
        <v>1.61</v>
      </c>
      <c r="AM3197">
        <v>0.93</v>
      </c>
      <c r="AO3197" t="s">
        <v>6926</v>
      </c>
      <c r="AP3197" t="s">
        <v>1959</v>
      </c>
      <c r="AQ3197" t="s">
        <v>2572</v>
      </c>
      <c r="AR3197" t="s">
        <v>179</v>
      </c>
      <c r="AS3197" t="s">
        <v>2619</v>
      </c>
      <c r="AT3197" t="s">
        <v>2665</v>
      </c>
      <c r="AU3197" t="s">
        <v>19565</v>
      </c>
      <c r="AV3197" t="s">
        <v>13001</v>
      </c>
      <c r="AW3197" t="s">
        <v>4209</v>
      </c>
      <c r="AX3197" t="s">
        <v>1083</v>
      </c>
      <c r="AY3197" t="s">
        <v>27619</v>
      </c>
      <c r="AZ3197" t="s">
        <v>24527</v>
      </c>
      <c r="BA3197">
        <v>1.78</v>
      </c>
      <c r="BB3197">
        <v>749.14</v>
      </c>
      <c r="BC3197">
        <v>0.47</v>
      </c>
      <c r="BD3197">
        <v>56.58</v>
      </c>
      <c r="BE3197">
        <v>57.11</v>
      </c>
      <c r="BF3197">
        <v>56.13</v>
      </c>
      <c r="BG3197" t="s">
        <v>27896</v>
      </c>
      <c r="BH3197" t="s">
        <v>27897</v>
      </c>
      <c r="BI3197" t="s">
        <v>27898</v>
      </c>
      <c r="BJ3197" t="s">
        <v>101</v>
      </c>
      <c r="BK3197" t="s">
        <v>24341</v>
      </c>
      <c r="BL3197" t="s">
        <v>6533</v>
      </c>
      <c r="BM3197" t="s">
        <v>9000</v>
      </c>
      <c r="BN3197" t="s">
        <v>27621</v>
      </c>
    </row>
    <row r="3198" spans="1:66" x14ac:dyDescent="0.25">
      <c r="A3198" t="str">
        <f>HYPERLINK("https://elite.finviz.com/quote.ashx?t=ATR&amp;ty=c&amp;p=d&amp;b=1", "ATR")</f>
        <v>ATR</v>
      </c>
      <c r="B3198">
        <v>4</v>
      </c>
      <c r="C3198">
        <v>105.92</v>
      </c>
      <c r="D3198">
        <v>29.91</v>
      </c>
      <c r="E3198" t="s">
        <v>27899</v>
      </c>
      <c r="F3198" t="s">
        <v>107</v>
      </c>
      <c r="G3198" t="s">
        <v>428</v>
      </c>
      <c r="H3198" t="s">
        <v>2161</v>
      </c>
      <c r="I3198" t="s">
        <v>70</v>
      </c>
      <c r="J3198" t="s">
        <v>71</v>
      </c>
      <c r="K3198">
        <v>8663.6200000000008</v>
      </c>
      <c r="L3198">
        <v>131.51</v>
      </c>
      <c r="M3198" t="s">
        <v>4271</v>
      </c>
      <c r="N3198">
        <v>39576</v>
      </c>
      <c r="O3198">
        <v>22.68</v>
      </c>
      <c r="P3198">
        <v>20.54</v>
      </c>
      <c r="Q3198">
        <v>2.67</v>
      </c>
      <c r="R3198">
        <v>2.4</v>
      </c>
      <c r="S3198">
        <v>3.2</v>
      </c>
      <c r="T3198" t="s">
        <v>4856</v>
      </c>
      <c r="U3198">
        <v>1.8</v>
      </c>
      <c r="V3198" t="s">
        <v>10833</v>
      </c>
      <c r="W3198" t="s">
        <v>716</v>
      </c>
      <c r="X3198" t="s">
        <v>5907</v>
      </c>
      <c r="Y3198" t="s">
        <v>316</v>
      </c>
      <c r="Z3198" t="s">
        <v>2131</v>
      </c>
      <c r="AA3198">
        <v>5.8</v>
      </c>
      <c r="AB3198" t="s">
        <v>12145</v>
      </c>
      <c r="AC3198" t="s">
        <v>7616</v>
      </c>
      <c r="AD3198" t="s">
        <v>1927</v>
      </c>
      <c r="AE3198" t="s">
        <v>2145</v>
      </c>
      <c r="AF3198" t="s">
        <v>2234</v>
      </c>
      <c r="AG3198" t="s">
        <v>1872</v>
      </c>
      <c r="AH3198" t="s">
        <v>4686</v>
      </c>
      <c r="AI3198" t="s">
        <v>1091</v>
      </c>
      <c r="AJ3198" t="s">
        <v>3869</v>
      </c>
      <c r="AK3198" t="s">
        <v>27900</v>
      </c>
      <c r="AL3198">
        <v>1.21</v>
      </c>
      <c r="AM3198">
        <v>0.83</v>
      </c>
      <c r="AN3198">
        <v>0.42</v>
      </c>
      <c r="AO3198" t="s">
        <v>21792</v>
      </c>
      <c r="AP3198" t="s">
        <v>5775</v>
      </c>
      <c r="AQ3198" t="s">
        <v>6928</v>
      </c>
      <c r="AR3198" t="s">
        <v>9136</v>
      </c>
      <c r="AS3198" t="s">
        <v>2217</v>
      </c>
      <c r="AT3198" t="s">
        <v>9085</v>
      </c>
      <c r="AU3198" t="s">
        <v>3300</v>
      </c>
      <c r="AV3198" t="s">
        <v>10227</v>
      </c>
      <c r="AW3198" t="s">
        <v>11311</v>
      </c>
      <c r="AX3198" t="s">
        <v>2881</v>
      </c>
      <c r="AY3198" t="s">
        <v>10129</v>
      </c>
      <c r="AZ3198" t="s">
        <v>2881</v>
      </c>
      <c r="BA3198">
        <v>1.56</v>
      </c>
      <c r="BB3198">
        <v>441.58</v>
      </c>
      <c r="BC3198">
        <v>0.32</v>
      </c>
      <c r="BD3198">
        <v>130.82</v>
      </c>
      <c r="BE3198">
        <v>132.24</v>
      </c>
      <c r="BF3198">
        <v>130.96</v>
      </c>
      <c r="BG3198" t="s">
        <v>27901</v>
      </c>
      <c r="BH3198" t="s">
        <v>10129</v>
      </c>
      <c r="BI3198" t="s">
        <v>27902</v>
      </c>
      <c r="BJ3198" t="s">
        <v>101</v>
      </c>
      <c r="BK3198" t="s">
        <v>19620</v>
      </c>
      <c r="BL3198" t="s">
        <v>4095</v>
      </c>
      <c r="BM3198" t="s">
        <v>9199</v>
      </c>
      <c r="BN3198" t="s">
        <v>27621</v>
      </c>
    </row>
    <row r="3199" spans="1:66" x14ac:dyDescent="0.25">
      <c r="A3199" t="str">
        <f>HYPERLINK("https://elite.finviz.com/quote.ashx?t=MNTN&amp;ty=c&amp;p=d&amp;b=1", "MNTN")</f>
        <v>MNTN</v>
      </c>
      <c r="B3199">
        <v>4</v>
      </c>
      <c r="C3199">
        <v>105.92</v>
      </c>
      <c r="D3199">
        <v>29.94</v>
      </c>
      <c r="E3199" t="s">
        <v>27903</v>
      </c>
      <c r="F3199" t="s">
        <v>107</v>
      </c>
      <c r="G3199" t="s">
        <v>108</v>
      </c>
      <c r="H3199" t="s">
        <v>136</v>
      </c>
      <c r="I3199" t="s">
        <v>70</v>
      </c>
      <c r="J3199" t="s">
        <v>71</v>
      </c>
      <c r="K3199">
        <v>1265.6300000000001</v>
      </c>
      <c r="L3199">
        <v>17.43</v>
      </c>
      <c r="M3199" t="s">
        <v>6265</v>
      </c>
      <c r="N3199">
        <v>80333</v>
      </c>
      <c r="R3199">
        <v>4.87</v>
      </c>
      <c r="S3199">
        <v>5.29</v>
      </c>
      <c r="AA3199">
        <v>-0.76</v>
      </c>
      <c r="AB3199" t="s">
        <v>150</v>
      </c>
      <c r="AE3199" t="s">
        <v>7666</v>
      </c>
      <c r="AF3199" t="s">
        <v>11953</v>
      </c>
      <c r="AH3199" t="s">
        <v>3034</v>
      </c>
      <c r="AI3199" t="s">
        <v>27904</v>
      </c>
      <c r="AJ3199" t="s">
        <v>4282</v>
      </c>
      <c r="AK3199" t="s">
        <v>15195</v>
      </c>
      <c r="AL3199">
        <v>3.28</v>
      </c>
      <c r="AM3199">
        <v>3.28</v>
      </c>
      <c r="AN3199">
        <v>0</v>
      </c>
      <c r="AO3199" t="s">
        <v>10098</v>
      </c>
      <c r="AP3199" t="s">
        <v>295</v>
      </c>
      <c r="AQ3199" t="s">
        <v>985</v>
      </c>
      <c r="AR3199" t="s">
        <v>3148</v>
      </c>
      <c r="AS3199" t="s">
        <v>3958</v>
      </c>
      <c r="AT3199" t="s">
        <v>5498</v>
      </c>
      <c r="AU3199" t="s">
        <v>27618</v>
      </c>
      <c r="AV3199" t="s">
        <v>27618</v>
      </c>
      <c r="AW3199" t="s">
        <v>27905</v>
      </c>
      <c r="AX3199" t="s">
        <v>4552</v>
      </c>
      <c r="AY3199" t="s">
        <v>19628</v>
      </c>
      <c r="AZ3199" t="s">
        <v>4552</v>
      </c>
      <c r="BA3199">
        <v>1.56</v>
      </c>
      <c r="BB3199">
        <v>740</v>
      </c>
      <c r="BC3199">
        <v>0.38</v>
      </c>
      <c r="BD3199">
        <v>17.71</v>
      </c>
      <c r="BE3199">
        <v>17.809999999999999</v>
      </c>
      <c r="BF3199">
        <v>17.37</v>
      </c>
      <c r="BG3199" t="s">
        <v>27906</v>
      </c>
      <c r="BH3199" t="s">
        <v>19628</v>
      </c>
      <c r="BI3199" t="s">
        <v>4552</v>
      </c>
      <c r="BJ3199" t="s">
        <v>101</v>
      </c>
      <c r="BK3199" t="s">
        <v>21794</v>
      </c>
      <c r="BN3199" t="s">
        <v>27621</v>
      </c>
    </row>
    <row r="3200" spans="1:66" x14ac:dyDescent="0.25">
      <c r="A3200" t="str">
        <f>HYPERLINK("https://elite.finviz.com/quote.ashx?t=BNGO&amp;ty=c&amp;p=d&amp;b=1", "BNGO")</f>
        <v>BNGO</v>
      </c>
      <c r="B3200">
        <v>4</v>
      </c>
      <c r="C3200">
        <v>105.92</v>
      </c>
      <c r="D3200">
        <v>29.98</v>
      </c>
      <c r="E3200" t="s">
        <v>27907</v>
      </c>
      <c r="F3200" t="s">
        <v>107</v>
      </c>
      <c r="G3200" t="s">
        <v>428</v>
      </c>
      <c r="H3200" t="s">
        <v>2161</v>
      </c>
      <c r="I3200" t="s">
        <v>70</v>
      </c>
      <c r="J3200" t="s">
        <v>321</v>
      </c>
      <c r="K3200">
        <v>16.39</v>
      </c>
      <c r="L3200">
        <v>1.68</v>
      </c>
      <c r="M3200" t="s">
        <v>181</v>
      </c>
      <c r="N3200">
        <v>195847</v>
      </c>
      <c r="R3200">
        <v>0.6</v>
      </c>
      <c r="S3200">
        <v>0.14000000000000001</v>
      </c>
      <c r="AA3200">
        <v>-44.85</v>
      </c>
      <c r="AB3200" t="s">
        <v>15014</v>
      </c>
      <c r="AC3200" t="s">
        <v>14030</v>
      </c>
      <c r="AD3200" t="s">
        <v>25927</v>
      </c>
      <c r="AE3200" t="s">
        <v>24376</v>
      </c>
      <c r="AF3200" t="s">
        <v>14442</v>
      </c>
      <c r="AG3200" t="s">
        <v>7995</v>
      </c>
      <c r="AH3200" t="s">
        <v>4115</v>
      </c>
      <c r="AI3200" t="s">
        <v>1737</v>
      </c>
      <c r="AJ3200" t="s">
        <v>164</v>
      </c>
      <c r="AK3200" t="s">
        <v>1809</v>
      </c>
      <c r="AL3200">
        <v>1.76</v>
      </c>
      <c r="AM3200">
        <v>1.41</v>
      </c>
      <c r="AN3200">
        <v>0.43</v>
      </c>
      <c r="AO3200" t="s">
        <v>6525</v>
      </c>
      <c r="AP3200" t="s">
        <v>27908</v>
      </c>
      <c r="AQ3200" t="s">
        <v>27909</v>
      </c>
      <c r="AR3200" t="s">
        <v>2205</v>
      </c>
      <c r="AS3200" t="s">
        <v>6085</v>
      </c>
      <c r="AT3200" t="s">
        <v>16823</v>
      </c>
      <c r="AU3200" t="s">
        <v>27910</v>
      </c>
      <c r="AV3200" t="s">
        <v>27911</v>
      </c>
      <c r="AW3200" t="s">
        <v>27912</v>
      </c>
      <c r="AX3200" t="s">
        <v>13322</v>
      </c>
      <c r="AY3200" t="s">
        <v>12082</v>
      </c>
      <c r="AZ3200" t="s">
        <v>13322</v>
      </c>
      <c r="BA3200">
        <v>1</v>
      </c>
      <c r="BB3200">
        <v>511.94</v>
      </c>
      <c r="BC3200">
        <v>1.35</v>
      </c>
      <c r="BD3200">
        <v>1.71</v>
      </c>
      <c r="BE3200">
        <v>1.74</v>
      </c>
      <c r="BF3200">
        <v>1.67</v>
      </c>
      <c r="BG3200" t="s">
        <v>27913</v>
      </c>
      <c r="BH3200" t="s">
        <v>3265</v>
      </c>
      <c r="BI3200" t="s">
        <v>13322</v>
      </c>
      <c r="BJ3200" t="s">
        <v>101</v>
      </c>
      <c r="BK3200" t="s">
        <v>11917</v>
      </c>
      <c r="BL3200" t="s">
        <v>27914</v>
      </c>
      <c r="BM3200" t="s">
        <v>23631</v>
      </c>
      <c r="BN3200" t="s">
        <v>27621</v>
      </c>
    </row>
    <row r="3201" spans="1:66" x14ac:dyDescent="0.25">
      <c r="A3201" t="str">
        <f>HYPERLINK("https://elite.finviz.com/quote.ashx?t=SLRX&amp;ty=c&amp;p=d&amp;b=1", "SLRX")</f>
        <v>SLRX</v>
      </c>
      <c r="B3201">
        <v>4</v>
      </c>
      <c r="C3201">
        <v>105.92</v>
      </c>
      <c r="D3201">
        <v>30.06</v>
      </c>
      <c r="E3201" t="s">
        <v>27915</v>
      </c>
      <c r="F3201" t="s">
        <v>107</v>
      </c>
      <c r="G3201" t="s">
        <v>428</v>
      </c>
      <c r="H3201" t="s">
        <v>429</v>
      </c>
      <c r="I3201" t="s">
        <v>70</v>
      </c>
      <c r="J3201" t="s">
        <v>321</v>
      </c>
      <c r="K3201">
        <v>3.54</v>
      </c>
      <c r="L3201">
        <v>3.77</v>
      </c>
      <c r="M3201" t="s">
        <v>4274</v>
      </c>
      <c r="N3201">
        <v>45664</v>
      </c>
      <c r="AA3201">
        <v>-48.79</v>
      </c>
      <c r="AB3201" t="s">
        <v>7457</v>
      </c>
      <c r="AC3201" t="s">
        <v>27916</v>
      </c>
      <c r="AI3201" t="s">
        <v>164</v>
      </c>
      <c r="AJ3201" t="s">
        <v>164</v>
      </c>
      <c r="AK3201" t="s">
        <v>3349</v>
      </c>
      <c r="AL3201">
        <v>0.38</v>
      </c>
      <c r="AM3201">
        <v>0.38</v>
      </c>
      <c r="AR3201" t="s">
        <v>5210</v>
      </c>
      <c r="AS3201" t="s">
        <v>5389</v>
      </c>
      <c r="AT3201" t="s">
        <v>20487</v>
      </c>
      <c r="AU3201" t="s">
        <v>20872</v>
      </c>
      <c r="AV3201" t="s">
        <v>27917</v>
      </c>
      <c r="AW3201" t="s">
        <v>27918</v>
      </c>
      <c r="AX3201" t="s">
        <v>7193</v>
      </c>
      <c r="AY3201" t="s">
        <v>26339</v>
      </c>
      <c r="AZ3201" t="s">
        <v>7193</v>
      </c>
      <c r="BB3201">
        <v>256.43</v>
      </c>
      <c r="BC3201">
        <v>0.63</v>
      </c>
      <c r="BD3201">
        <v>3.95</v>
      </c>
      <c r="BE3201">
        <v>3.95</v>
      </c>
      <c r="BF3201">
        <v>3.72</v>
      </c>
      <c r="BG3201" t="s">
        <v>27919</v>
      </c>
      <c r="BH3201" t="s">
        <v>579</v>
      </c>
      <c r="BI3201" t="s">
        <v>7193</v>
      </c>
      <c r="BJ3201" t="s">
        <v>101</v>
      </c>
      <c r="BK3201" t="s">
        <v>27920</v>
      </c>
      <c r="BL3201" t="s">
        <v>27921</v>
      </c>
      <c r="BM3201" t="s">
        <v>27922</v>
      </c>
      <c r="BN3201" t="s">
        <v>27621</v>
      </c>
    </row>
    <row r="3202" spans="1:66" x14ac:dyDescent="0.25">
      <c r="A3202" t="str">
        <f>HYPERLINK("https://elite.finviz.com/quote.ashx?t=CENTA&amp;ty=c&amp;p=d&amp;b=1", "CENTA")</f>
        <v>CENTA</v>
      </c>
      <c r="B3202">
        <v>4</v>
      </c>
      <c r="C3202">
        <v>105.92</v>
      </c>
      <c r="D3202">
        <v>30.06</v>
      </c>
      <c r="E3202" t="s">
        <v>27853</v>
      </c>
      <c r="F3202" t="s">
        <v>67</v>
      </c>
      <c r="G3202" t="s">
        <v>2244</v>
      </c>
      <c r="H3202" t="s">
        <v>3269</v>
      </c>
      <c r="I3202" t="s">
        <v>70</v>
      </c>
      <c r="J3202" t="s">
        <v>321</v>
      </c>
      <c r="K3202">
        <v>1914.63</v>
      </c>
      <c r="L3202">
        <v>29.89</v>
      </c>
      <c r="M3202" t="s">
        <v>9084</v>
      </c>
      <c r="N3202">
        <v>30777</v>
      </c>
      <c r="O3202">
        <v>13.62</v>
      </c>
      <c r="P3202">
        <v>10.97</v>
      </c>
      <c r="Q3202">
        <v>1.19</v>
      </c>
      <c r="R3202">
        <v>0.61</v>
      </c>
      <c r="S3202">
        <v>1.18</v>
      </c>
      <c r="Z3202" t="s">
        <v>164</v>
      </c>
      <c r="AA3202">
        <v>2.19</v>
      </c>
      <c r="AB3202" t="s">
        <v>6505</v>
      </c>
      <c r="AC3202" t="s">
        <v>4507</v>
      </c>
      <c r="AD3202" t="s">
        <v>6331</v>
      </c>
      <c r="AE3202" t="s">
        <v>309</v>
      </c>
      <c r="AF3202" t="s">
        <v>2276</v>
      </c>
      <c r="AG3202" t="s">
        <v>1204</v>
      </c>
      <c r="AH3202" t="s">
        <v>7582</v>
      </c>
      <c r="AI3202" t="s">
        <v>2363</v>
      </c>
      <c r="AJ3202" t="s">
        <v>5000</v>
      </c>
      <c r="AK3202" t="s">
        <v>24387</v>
      </c>
      <c r="AL3202">
        <v>3.56</v>
      </c>
      <c r="AM3202">
        <v>2.2799999999999998</v>
      </c>
      <c r="AN3202">
        <v>0.9</v>
      </c>
      <c r="AO3202" t="s">
        <v>16058</v>
      </c>
      <c r="AP3202" t="s">
        <v>4416</v>
      </c>
      <c r="AQ3202" t="s">
        <v>2810</v>
      </c>
      <c r="AR3202" t="s">
        <v>4976</v>
      </c>
      <c r="AS3202" t="s">
        <v>4800</v>
      </c>
      <c r="AT3202" t="s">
        <v>14355</v>
      </c>
      <c r="AU3202" t="s">
        <v>9261</v>
      </c>
      <c r="AV3202" t="s">
        <v>11775</v>
      </c>
      <c r="AW3202" t="s">
        <v>15862</v>
      </c>
      <c r="AX3202" t="s">
        <v>1842</v>
      </c>
      <c r="AY3202" t="s">
        <v>15862</v>
      </c>
      <c r="AZ3202" t="s">
        <v>3687</v>
      </c>
      <c r="BA3202">
        <v>1.67</v>
      </c>
      <c r="BB3202">
        <v>423.09</v>
      </c>
      <c r="BC3202">
        <v>0.26</v>
      </c>
      <c r="BD3202">
        <v>30.11</v>
      </c>
      <c r="BE3202">
        <v>30.14</v>
      </c>
      <c r="BF3202">
        <v>29.86</v>
      </c>
      <c r="BG3202" t="s">
        <v>27923</v>
      </c>
      <c r="BH3202" t="s">
        <v>27740</v>
      </c>
      <c r="BI3202" t="s">
        <v>27924</v>
      </c>
      <c r="BJ3202" t="s">
        <v>101</v>
      </c>
      <c r="BK3202" t="s">
        <v>7165</v>
      </c>
      <c r="BL3202" t="s">
        <v>5567</v>
      </c>
      <c r="BM3202" t="s">
        <v>3792</v>
      </c>
      <c r="BN3202" t="s">
        <v>27621</v>
      </c>
    </row>
    <row r="3203" spans="1:66" x14ac:dyDescent="0.25">
      <c r="A3203" t="str">
        <f>HYPERLINK("https://elite.finviz.com/quote.ashx?t=NSIT&amp;ty=c&amp;p=d&amp;b=1", "NSIT")</f>
        <v>NSIT</v>
      </c>
      <c r="B3203">
        <v>4</v>
      </c>
      <c r="C3203">
        <v>105.92</v>
      </c>
      <c r="D3203">
        <v>30.08</v>
      </c>
      <c r="E3203" t="s">
        <v>27925</v>
      </c>
      <c r="F3203" t="s">
        <v>67</v>
      </c>
      <c r="G3203" t="s">
        <v>108</v>
      </c>
      <c r="H3203" t="s">
        <v>3661</v>
      </c>
      <c r="I3203" t="s">
        <v>70</v>
      </c>
      <c r="J3203" t="s">
        <v>321</v>
      </c>
      <c r="K3203">
        <v>3541.96</v>
      </c>
      <c r="L3203">
        <v>112.55</v>
      </c>
      <c r="M3203" t="s">
        <v>3047</v>
      </c>
      <c r="N3203">
        <v>23178</v>
      </c>
      <c r="O3203">
        <v>26.86</v>
      </c>
      <c r="P3203">
        <v>10.41</v>
      </c>
      <c r="Q3203">
        <v>4.13</v>
      </c>
      <c r="R3203">
        <v>0.42</v>
      </c>
      <c r="S3203">
        <v>2.2000000000000002</v>
      </c>
      <c r="Z3203" t="s">
        <v>164</v>
      </c>
      <c r="AA3203">
        <v>4.1900000000000004</v>
      </c>
      <c r="AB3203" t="s">
        <v>203</v>
      </c>
      <c r="AC3203" t="s">
        <v>614</v>
      </c>
      <c r="AD3203" t="s">
        <v>2772</v>
      </c>
      <c r="AE3203" t="s">
        <v>16867</v>
      </c>
      <c r="AF3203" t="s">
        <v>4516</v>
      </c>
      <c r="AG3203" t="s">
        <v>3013</v>
      </c>
      <c r="AH3203" t="s">
        <v>4222</v>
      </c>
      <c r="AI3203" t="s">
        <v>2965</v>
      </c>
      <c r="AJ3203" t="s">
        <v>25094</v>
      </c>
      <c r="AK3203" t="s">
        <v>27926</v>
      </c>
      <c r="AL3203">
        <v>1.29</v>
      </c>
      <c r="AM3203">
        <v>1.26</v>
      </c>
      <c r="AN3203">
        <v>0.96</v>
      </c>
      <c r="AO3203" t="s">
        <v>1531</v>
      </c>
      <c r="AP3203" t="s">
        <v>4744</v>
      </c>
      <c r="AQ3203" t="s">
        <v>2201</v>
      </c>
      <c r="AR3203" t="s">
        <v>4204</v>
      </c>
      <c r="AS3203" t="s">
        <v>6118</v>
      </c>
      <c r="AT3203" t="s">
        <v>12863</v>
      </c>
      <c r="AU3203" t="s">
        <v>968</v>
      </c>
      <c r="AV3203" t="s">
        <v>24704</v>
      </c>
      <c r="AW3203" t="s">
        <v>10181</v>
      </c>
      <c r="AX3203" t="s">
        <v>1417</v>
      </c>
      <c r="AY3203" t="s">
        <v>19071</v>
      </c>
      <c r="AZ3203" t="s">
        <v>1417</v>
      </c>
      <c r="BA3203">
        <v>2</v>
      </c>
      <c r="BB3203">
        <v>355.6</v>
      </c>
      <c r="BC3203">
        <v>0.23</v>
      </c>
      <c r="BD3203">
        <v>111.76</v>
      </c>
      <c r="BE3203">
        <v>111.77</v>
      </c>
      <c r="BF3203">
        <v>111.26</v>
      </c>
      <c r="BG3203" t="s">
        <v>27927</v>
      </c>
      <c r="BH3203" t="s">
        <v>27928</v>
      </c>
      <c r="BI3203" t="s">
        <v>27929</v>
      </c>
      <c r="BJ3203" t="s">
        <v>101</v>
      </c>
      <c r="BK3203" t="s">
        <v>4997</v>
      </c>
      <c r="BL3203" t="s">
        <v>3206</v>
      </c>
      <c r="BM3203" t="s">
        <v>13965</v>
      </c>
      <c r="BN3203" t="s">
        <v>27621</v>
      </c>
    </row>
    <row r="3204" spans="1:66" x14ac:dyDescent="0.25">
      <c r="A3204" t="str">
        <f>HYPERLINK("https://elite.finviz.com/quote.ashx?t=DRVN&amp;ty=c&amp;p=d&amp;b=1", "DRVN")</f>
        <v>DRVN</v>
      </c>
      <c r="B3204">
        <v>4</v>
      </c>
      <c r="C3204">
        <v>105.92</v>
      </c>
      <c r="D3204">
        <v>30.12</v>
      </c>
      <c r="E3204" t="s">
        <v>27930</v>
      </c>
      <c r="F3204" t="s">
        <v>67</v>
      </c>
      <c r="G3204" t="s">
        <v>813</v>
      </c>
      <c r="H3204" t="s">
        <v>5888</v>
      </c>
      <c r="I3204" t="s">
        <v>70</v>
      </c>
      <c r="J3204" t="s">
        <v>321</v>
      </c>
      <c r="K3204">
        <v>2645.94</v>
      </c>
      <c r="L3204">
        <v>16.11</v>
      </c>
      <c r="M3204" t="s">
        <v>124</v>
      </c>
      <c r="N3204">
        <v>59814</v>
      </c>
      <c r="P3204">
        <v>10.83</v>
      </c>
      <c r="R3204">
        <v>1.19</v>
      </c>
      <c r="S3204">
        <v>3.56</v>
      </c>
      <c r="AA3204">
        <v>-1.71</v>
      </c>
      <c r="AD3204" t="s">
        <v>13511</v>
      </c>
      <c r="AE3204" t="s">
        <v>5101</v>
      </c>
      <c r="AF3204" t="s">
        <v>4601</v>
      </c>
      <c r="AG3204" t="s">
        <v>12768</v>
      </c>
      <c r="AH3204" t="s">
        <v>13090</v>
      </c>
      <c r="AI3204" t="s">
        <v>326</v>
      </c>
      <c r="AJ3204" t="s">
        <v>1554</v>
      </c>
      <c r="AK3204" t="s">
        <v>13241</v>
      </c>
      <c r="AL3204">
        <v>1.1100000000000001</v>
      </c>
      <c r="AM3204">
        <v>1.01</v>
      </c>
      <c r="AN3204">
        <v>3.9</v>
      </c>
      <c r="AO3204" t="s">
        <v>11165</v>
      </c>
      <c r="AP3204" t="s">
        <v>2407</v>
      </c>
      <c r="AQ3204" t="s">
        <v>12147</v>
      </c>
      <c r="AR3204" t="s">
        <v>7088</v>
      </c>
      <c r="AS3204" t="s">
        <v>307</v>
      </c>
      <c r="AT3204" t="s">
        <v>20059</v>
      </c>
      <c r="AU3204" t="s">
        <v>5663</v>
      </c>
      <c r="AV3204" t="s">
        <v>4215</v>
      </c>
      <c r="AW3204" t="s">
        <v>21008</v>
      </c>
      <c r="AX3204" t="s">
        <v>1022</v>
      </c>
      <c r="AY3204" t="s">
        <v>21008</v>
      </c>
      <c r="AZ3204" t="s">
        <v>12410</v>
      </c>
      <c r="BA3204">
        <v>1.71</v>
      </c>
      <c r="BB3204">
        <v>892.87</v>
      </c>
      <c r="BC3204">
        <v>0.24</v>
      </c>
      <c r="BD3204">
        <v>16.16</v>
      </c>
      <c r="BE3204">
        <v>16.239999999999998</v>
      </c>
      <c r="BF3204">
        <v>16.059999999999999</v>
      </c>
      <c r="BG3204" t="s">
        <v>27931</v>
      </c>
      <c r="BH3204" t="s">
        <v>27932</v>
      </c>
      <c r="BI3204" t="s">
        <v>13290</v>
      </c>
      <c r="BJ3204" t="s">
        <v>101</v>
      </c>
      <c r="BK3204" t="s">
        <v>11348</v>
      </c>
      <c r="BL3204" t="s">
        <v>2888</v>
      </c>
      <c r="BM3204" t="s">
        <v>7511</v>
      </c>
      <c r="BN3204" t="s">
        <v>27621</v>
      </c>
    </row>
    <row r="3205" spans="1:66" x14ac:dyDescent="0.25">
      <c r="A3205" t="str">
        <f>HYPERLINK("https://elite.finviz.com/quote.ashx?t=CNMD&amp;ty=c&amp;p=d&amp;b=1", "CNMD")</f>
        <v>CNMD</v>
      </c>
      <c r="B3205">
        <v>4</v>
      </c>
      <c r="C3205">
        <v>105.92</v>
      </c>
      <c r="D3205">
        <v>30.14</v>
      </c>
      <c r="E3205" t="s">
        <v>27933</v>
      </c>
      <c r="F3205" t="s">
        <v>67</v>
      </c>
      <c r="G3205" t="s">
        <v>428</v>
      </c>
      <c r="H3205" t="s">
        <v>2051</v>
      </c>
      <c r="I3205" t="s">
        <v>70</v>
      </c>
      <c r="J3205" t="s">
        <v>71</v>
      </c>
      <c r="K3205">
        <v>1421.17</v>
      </c>
      <c r="L3205">
        <v>45.91</v>
      </c>
      <c r="M3205" t="s">
        <v>1554</v>
      </c>
      <c r="N3205">
        <v>82511</v>
      </c>
      <c r="O3205">
        <v>12.96</v>
      </c>
      <c r="P3205">
        <v>9.68</v>
      </c>
      <c r="Q3205">
        <v>1.51</v>
      </c>
      <c r="R3205">
        <v>1.07</v>
      </c>
      <c r="S3205">
        <v>1.42</v>
      </c>
      <c r="T3205" t="s">
        <v>2195</v>
      </c>
      <c r="U3205">
        <v>0.8</v>
      </c>
      <c r="V3205" t="s">
        <v>3833</v>
      </c>
      <c r="W3205" t="s">
        <v>164</v>
      </c>
      <c r="X3205" t="s">
        <v>164</v>
      </c>
      <c r="Y3205" t="s">
        <v>164</v>
      </c>
      <c r="Z3205" t="s">
        <v>7211</v>
      </c>
      <c r="AA3205">
        <v>3.54</v>
      </c>
      <c r="AB3205" t="s">
        <v>14888</v>
      </c>
      <c r="AC3205" t="s">
        <v>9155</v>
      </c>
      <c r="AD3205" t="s">
        <v>7616</v>
      </c>
      <c r="AE3205" t="s">
        <v>289</v>
      </c>
      <c r="AF3205" t="s">
        <v>848</v>
      </c>
      <c r="AG3205" t="s">
        <v>3429</v>
      </c>
      <c r="AH3205" t="s">
        <v>1050</v>
      </c>
      <c r="AI3205" t="s">
        <v>4839</v>
      </c>
      <c r="AJ3205" t="s">
        <v>1574</v>
      </c>
      <c r="AK3205" t="s">
        <v>27934</v>
      </c>
      <c r="AL3205">
        <v>2.23</v>
      </c>
      <c r="AM3205">
        <v>1</v>
      </c>
      <c r="AN3205">
        <v>0.88</v>
      </c>
      <c r="AO3205" t="s">
        <v>19874</v>
      </c>
      <c r="AP3205" t="s">
        <v>847</v>
      </c>
      <c r="AQ3205" t="s">
        <v>5658</v>
      </c>
      <c r="AR3205" t="s">
        <v>9130</v>
      </c>
      <c r="AS3205" t="s">
        <v>5779</v>
      </c>
      <c r="AT3205" t="s">
        <v>7307</v>
      </c>
      <c r="AU3205" t="s">
        <v>15540</v>
      </c>
      <c r="AV3205" t="s">
        <v>9171</v>
      </c>
      <c r="AW3205" t="s">
        <v>14832</v>
      </c>
      <c r="AX3205" t="s">
        <v>910</v>
      </c>
      <c r="AY3205" t="s">
        <v>11056</v>
      </c>
      <c r="AZ3205" t="s">
        <v>910</v>
      </c>
      <c r="BA3205">
        <v>2.67</v>
      </c>
      <c r="BB3205">
        <v>461.93</v>
      </c>
      <c r="BC3205">
        <v>0.63</v>
      </c>
      <c r="BD3205">
        <v>45.99</v>
      </c>
      <c r="BE3205">
        <v>46.65</v>
      </c>
      <c r="BF3205">
        <v>45.81</v>
      </c>
      <c r="BG3205" t="s">
        <v>27935</v>
      </c>
      <c r="BH3205" t="s">
        <v>27936</v>
      </c>
      <c r="BI3205" t="s">
        <v>27937</v>
      </c>
      <c r="BJ3205" t="s">
        <v>101</v>
      </c>
      <c r="BK3205" t="s">
        <v>17881</v>
      </c>
      <c r="BL3205" t="s">
        <v>11657</v>
      </c>
      <c r="BM3205" t="s">
        <v>24623</v>
      </c>
      <c r="BN3205" t="s">
        <v>27621</v>
      </c>
    </row>
    <row r="3206" spans="1:66" x14ac:dyDescent="0.25">
      <c r="A3206" t="str">
        <f>HYPERLINK("https://elite.finviz.com/quote.ashx?t=ABEO&amp;ty=c&amp;p=d&amp;b=1", "ABEO")</f>
        <v>ABEO</v>
      </c>
      <c r="B3206">
        <v>4</v>
      </c>
      <c r="C3206">
        <v>105.92</v>
      </c>
      <c r="D3206">
        <v>30.16</v>
      </c>
      <c r="E3206" t="s">
        <v>27938</v>
      </c>
      <c r="F3206" t="s">
        <v>67</v>
      </c>
      <c r="G3206" t="s">
        <v>428</v>
      </c>
      <c r="H3206" t="s">
        <v>429</v>
      </c>
      <c r="I3206" t="s">
        <v>70</v>
      </c>
      <c r="J3206" t="s">
        <v>321</v>
      </c>
      <c r="K3206">
        <v>275.67</v>
      </c>
      <c r="L3206">
        <v>5.38</v>
      </c>
      <c r="M3206" t="s">
        <v>2641</v>
      </c>
      <c r="N3206">
        <v>262654</v>
      </c>
      <c r="O3206">
        <v>8.52</v>
      </c>
      <c r="P3206">
        <v>192</v>
      </c>
      <c r="R3206">
        <v>689.18</v>
      </c>
      <c r="S3206">
        <v>1.68</v>
      </c>
      <c r="AA3206">
        <v>0.63</v>
      </c>
      <c r="AB3206" t="s">
        <v>13635</v>
      </c>
      <c r="AC3206" t="s">
        <v>20725</v>
      </c>
      <c r="AE3206" t="s">
        <v>579</v>
      </c>
      <c r="AI3206" t="s">
        <v>27939</v>
      </c>
      <c r="AJ3206" t="s">
        <v>11801</v>
      </c>
      <c r="AK3206" t="s">
        <v>14533</v>
      </c>
      <c r="AL3206">
        <v>6.73</v>
      </c>
      <c r="AM3206">
        <v>6.65</v>
      </c>
      <c r="AN3206">
        <v>0.15</v>
      </c>
      <c r="AO3206" t="s">
        <v>27940</v>
      </c>
      <c r="AP3206" t="s">
        <v>27941</v>
      </c>
      <c r="AQ3206" t="s">
        <v>27942</v>
      </c>
      <c r="AR3206" t="s">
        <v>5554</v>
      </c>
      <c r="AS3206" t="s">
        <v>1091</v>
      </c>
      <c r="AT3206" t="s">
        <v>9761</v>
      </c>
      <c r="AU3206" t="s">
        <v>1345</v>
      </c>
      <c r="AV3206" t="s">
        <v>2086</v>
      </c>
      <c r="AW3206" t="s">
        <v>19614</v>
      </c>
      <c r="AX3206" t="s">
        <v>2219</v>
      </c>
      <c r="AY3206" t="s">
        <v>19614</v>
      </c>
      <c r="AZ3206" t="s">
        <v>3603</v>
      </c>
      <c r="BA3206">
        <v>1</v>
      </c>
      <c r="BB3206">
        <v>879.32</v>
      </c>
      <c r="BC3206">
        <v>1.05</v>
      </c>
      <c r="BD3206">
        <v>5.36</v>
      </c>
      <c r="BE3206">
        <v>5.43</v>
      </c>
      <c r="BF3206">
        <v>5.31</v>
      </c>
      <c r="BG3206" t="s">
        <v>27943</v>
      </c>
      <c r="BH3206" t="s">
        <v>579</v>
      </c>
      <c r="BI3206" t="s">
        <v>20228</v>
      </c>
      <c r="BJ3206" t="s">
        <v>101</v>
      </c>
      <c r="BK3206" t="s">
        <v>2594</v>
      </c>
      <c r="BL3206" t="s">
        <v>4760</v>
      </c>
      <c r="BM3206" t="s">
        <v>6253</v>
      </c>
      <c r="BN3206" t="s">
        <v>27621</v>
      </c>
    </row>
    <row r="3207" spans="1:66" x14ac:dyDescent="0.25">
      <c r="A3207" t="str">
        <f>HYPERLINK("https://elite.finviz.com/quote.ashx?t=BATRK&amp;ty=c&amp;p=d&amp;b=1", "BATRK")</f>
        <v>BATRK</v>
      </c>
      <c r="B3207">
        <v>4</v>
      </c>
      <c r="C3207">
        <v>105.92</v>
      </c>
      <c r="D3207">
        <v>30.25</v>
      </c>
      <c r="E3207" t="s">
        <v>27944</v>
      </c>
      <c r="F3207" t="s">
        <v>67</v>
      </c>
      <c r="G3207" t="s">
        <v>598</v>
      </c>
      <c r="H3207" t="s">
        <v>4247</v>
      </c>
      <c r="I3207" t="s">
        <v>70</v>
      </c>
      <c r="J3207" t="s">
        <v>321</v>
      </c>
      <c r="K3207">
        <v>2581.87</v>
      </c>
      <c r="L3207">
        <v>41.05</v>
      </c>
      <c r="M3207" t="s">
        <v>7709</v>
      </c>
      <c r="N3207">
        <v>37013</v>
      </c>
      <c r="R3207">
        <v>3.68</v>
      </c>
      <c r="S3207">
        <v>4.93</v>
      </c>
      <c r="AA3207">
        <v>-0.34</v>
      </c>
      <c r="AB3207" t="s">
        <v>23970</v>
      </c>
      <c r="AD3207" t="s">
        <v>11690</v>
      </c>
      <c r="AE3207" t="s">
        <v>291</v>
      </c>
      <c r="AF3207" t="s">
        <v>1871</v>
      </c>
      <c r="AH3207" t="s">
        <v>1110</v>
      </c>
      <c r="AI3207" t="s">
        <v>18364</v>
      </c>
      <c r="AJ3207" t="s">
        <v>3940</v>
      </c>
      <c r="AK3207" t="s">
        <v>2531</v>
      </c>
      <c r="AL3207">
        <v>0.64</v>
      </c>
      <c r="AM3207">
        <v>0.64</v>
      </c>
      <c r="AN3207">
        <v>1.54</v>
      </c>
      <c r="AO3207" t="s">
        <v>10359</v>
      </c>
      <c r="AP3207" t="s">
        <v>2723</v>
      </c>
      <c r="AQ3207" t="s">
        <v>900</v>
      </c>
      <c r="AR3207" t="s">
        <v>5692</v>
      </c>
      <c r="AS3207" t="s">
        <v>2145</v>
      </c>
      <c r="AT3207" t="s">
        <v>6162</v>
      </c>
      <c r="AU3207" t="s">
        <v>4705</v>
      </c>
      <c r="AV3207" t="s">
        <v>1364</v>
      </c>
      <c r="AW3207" t="s">
        <v>20527</v>
      </c>
      <c r="AX3207" t="s">
        <v>3112</v>
      </c>
      <c r="AY3207" t="s">
        <v>12843</v>
      </c>
      <c r="AZ3207" t="s">
        <v>12222</v>
      </c>
      <c r="BA3207">
        <v>1</v>
      </c>
      <c r="BB3207">
        <v>292.67</v>
      </c>
      <c r="BC3207">
        <v>0.45</v>
      </c>
      <c r="BD3207">
        <v>41.06</v>
      </c>
      <c r="BE3207">
        <v>40.99</v>
      </c>
      <c r="BF3207">
        <v>40.85</v>
      </c>
      <c r="BG3207" t="s">
        <v>27945</v>
      </c>
      <c r="BH3207" t="s">
        <v>9068</v>
      </c>
      <c r="BI3207" t="s">
        <v>27946</v>
      </c>
      <c r="BJ3207" t="s">
        <v>101</v>
      </c>
      <c r="BK3207" t="s">
        <v>15141</v>
      </c>
      <c r="BL3207" t="s">
        <v>7124</v>
      </c>
      <c r="BM3207" t="s">
        <v>6990</v>
      </c>
      <c r="BN3207" t="s">
        <v>27621</v>
      </c>
    </row>
    <row r="3208" spans="1:66" x14ac:dyDescent="0.25">
      <c r="A3208" t="str">
        <f>HYPERLINK("https://elite.finviz.com/quote.ashx?t=TITN&amp;ty=c&amp;p=d&amp;b=1", "TITN")</f>
        <v>TITN</v>
      </c>
      <c r="B3208">
        <v>4</v>
      </c>
      <c r="C3208">
        <v>105.92</v>
      </c>
      <c r="D3208">
        <v>30.3</v>
      </c>
      <c r="E3208" t="s">
        <v>27947</v>
      </c>
      <c r="F3208" t="s">
        <v>67</v>
      </c>
      <c r="G3208" t="s">
        <v>260</v>
      </c>
      <c r="H3208" t="s">
        <v>8107</v>
      </c>
      <c r="I3208" t="s">
        <v>70</v>
      </c>
      <c r="J3208" t="s">
        <v>321</v>
      </c>
      <c r="K3208">
        <v>401.66</v>
      </c>
      <c r="L3208">
        <v>17.18</v>
      </c>
      <c r="M3208" t="s">
        <v>306</v>
      </c>
      <c r="N3208">
        <v>47668</v>
      </c>
      <c r="R3208">
        <v>0.16</v>
      </c>
      <c r="S3208">
        <v>0.66</v>
      </c>
      <c r="AA3208">
        <v>-2.7</v>
      </c>
      <c r="AD3208" t="s">
        <v>17921</v>
      </c>
      <c r="AE3208" t="s">
        <v>7954</v>
      </c>
      <c r="AF3208" t="s">
        <v>5119</v>
      </c>
      <c r="AG3208" t="s">
        <v>15391</v>
      </c>
      <c r="AH3208" t="s">
        <v>6991</v>
      </c>
      <c r="AI3208" t="s">
        <v>21696</v>
      </c>
      <c r="AJ3208" t="s">
        <v>5549</v>
      </c>
      <c r="AK3208" t="s">
        <v>8056</v>
      </c>
      <c r="AL3208">
        <v>1.31</v>
      </c>
      <c r="AM3208">
        <v>0.18</v>
      </c>
      <c r="AN3208">
        <v>1.82</v>
      </c>
      <c r="AO3208" t="s">
        <v>6530</v>
      </c>
      <c r="AP3208" t="s">
        <v>2856</v>
      </c>
      <c r="AQ3208" t="s">
        <v>8937</v>
      </c>
      <c r="AR3208" t="s">
        <v>4824</v>
      </c>
      <c r="AS3208" t="s">
        <v>1981</v>
      </c>
      <c r="AT3208" t="s">
        <v>8292</v>
      </c>
      <c r="AU3208" t="s">
        <v>12912</v>
      </c>
      <c r="AV3208" t="s">
        <v>1149</v>
      </c>
      <c r="AW3208" t="s">
        <v>16260</v>
      </c>
      <c r="AX3208" t="s">
        <v>5780</v>
      </c>
      <c r="AY3208" t="s">
        <v>9833</v>
      </c>
      <c r="AZ3208" t="s">
        <v>26794</v>
      </c>
      <c r="BA3208">
        <v>2</v>
      </c>
      <c r="BB3208">
        <v>171.71</v>
      </c>
      <c r="BC3208">
        <v>0.98</v>
      </c>
      <c r="BD3208">
        <v>17.079999999999998</v>
      </c>
      <c r="BE3208">
        <v>17.260000000000002</v>
      </c>
      <c r="BF3208">
        <v>16.89</v>
      </c>
      <c r="BG3208" t="s">
        <v>27948</v>
      </c>
      <c r="BH3208" t="s">
        <v>23785</v>
      </c>
      <c r="BI3208" t="s">
        <v>27949</v>
      </c>
      <c r="BJ3208" t="s">
        <v>101</v>
      </c>
      <c r="BK3208" t="s">
        <v>9260</v>
      </c>
      <c r="BL3208" t="s">
        <v>309</v>
      </c>
      <c r="BM3208" t="s">
        <v>279</v>
      </c>
      <c r="BN3208" t="s">
        <v>27621</v>
      </c>
    </row>
    <row r="3209" spans="1:66" x14ac:dyDescent="0.25">
      <c r="A3209" t="str">
        <f>HYPERLINK("https://elite.finviz.com/quote.ashx?t=LGIH&amp;ty=c&amp;p=d&amp;b=1", "LGIH")</f>
        <v>LGIH</v>
      </c>
      <c r="B3209">
        <v>4</v>
      </c>
      <c r="C3209">
        <v>105.92</v>
      </c>
      <c r="D3209">
        <v>30.37</v>
      </c>
      <c r="E3209" t="s">
        <v>27950</v>
      </c>
      <c r="F3209" t="s">
        <v>67</v>
      </c>
      <c r="G3209" t="s">
        <v>813</v>
      </c>
      <c r="H3209" t="s">
        <v>5054</v>
      </c>
      <c r="I3209" t="s">
        <v>70</v>
      </c>
      <c r="J3209" t="s">
        <v>321</v>
      </c>
      <c r="K3209">
        <v>1181.0999999999999</v>
      </c>
      <c r="L3209">
        <v>51.23</v>
      </c>
      <c r="M3209" t="s">
        <v>4699</v>
      </c>
      <c r="N3209">
        <v>59084</v>
      </c>
      <c r="O3209">
        <v>7.73</v>
      </c>
      <c r="P3209">
        <v>9.67</v>
      </c>
      <c r="Q3209">
        <v>4.63</v>
      </c>
      <c r="R3209">
        <v>0.57999999999999996</v>
      </c>
      <c r="S3209">
        <v>0.56999999999999995</v>
      </c>
      <c r="Z3209" t="s">
        <v>164</v>
      </c>
      <c r="AA3209">
        <v>6.63</v>
      </c>
      <c r="AB3209" t="s">
        <v>25159</v>
      </c>
      <c r="AC3209" t="s">
        <v>4495</v>
      </c>
      <c r="AD3209" t="s">
        <v>2082</v>
      </c>
      <c r="AE3209" t="s">
        <v>14874</v>
      </c>
      <c r="AF3209" t="s">
        <v>9330</v>
      </c>
      <c r="AG3209" t="s">
        <v>2764</v>
      </c>
      <c r="AH3209" t="s">
        <v>7009</v>
      </c>
      <c r="AI3209" t="s">
        <v>463</v>
      </c>
      <c r="AJ3209" t="s">
        <v>164</v>
      </c>
      <c r="AK3209" t="s">
        <v>27951</v>
      </c>
      <c r="AL3209">
        <v>18.41</v>
      </c>
      <c r="AM3209">
        <v>0.46</v>
      </c>
      <c r="AN3209">
        <v>0.85</v>
      </c>
      <c r="AO3209" t="s">
        <v>865</v>
      </c>
      <c r="AP3209" t="s">
        <v>2655</v>
      </c>
      <c r="AQ3209" t="s">
        <v>267</v>
      </c>
      <c r="AR3209" t="s">
        <v>5045</v>
      </c>
      <c r="AS3209" t="s">
        <v>6936</v>
      </c>
      <c r="AT3209" t="s">
        <v>19383</v>
      </c>
      <c r="AU3209" t="s">
        <v>14901</v>
      </c>
      <c r="AV3209" t="s">
        <v>18243</v>
      </c>
      <c r="AW3209" t="s">
        <v>23574</v>
      </c>
      <c r="AX3209" t="s">
        <v>6336</v>
      </c>
      <c r="AY3209" t="s">
        <v>14525</v>
      </c>
      <c r="AZ3209" t="s">
        <v>7436</v>
      </c>
      <c r="BA3209">
        <v>2.71</v>
      </c>
      <c r="BB3209">
        <v>413.61</v>
      </c>
      <c r="BC3209">
        <v>0.5</v>
      </c>
      <c r="BD3209">
        <v>51.28</v>
      </c>
      <c r="BE3209">
        <v>51.9</v>
      </c>
      <c r="BF3209">
        <v>51.11</v>
      </c>
      <c r="BG3209" t="s">
        <v>27952</v>
      </c>
      <c r="BH3209" t="s">
        <v>27953</v>
      </c>
      <c r="BI3209" t="s">
        <v>27954</v>
      </c>
      <c r="BJ3209" t="s">
        <v>101</v>
      </c>
      <c r="BK3209" t="s">
        <v>2059</v>
      </c>
      <c r="BL3209" t="s">
        <v>5284</v>
      </c>
      <c r="BM3209" t="s">
        <v>27955</v>
      </c>
      <c r="BN3209" t="s">
        <v>27621</v>
      </c>
    </row>
    <row r="3210" spans="1:66" x14ac:dyDescent="0.25">
      <c r="A3210" t="str">
        <f>HYPERLINK("https://elite.finviz.com/quote.ashx?t=GTBP&amp;ty=c&amp;p=d&amp;b=1", "GTBP")</f>
        <v>GTBP</v>
      </c>
      <c r="B3210">
        <v>4</v>
      </c>
      <c r="C3210">
        <v>105.92</v>
      </c>
      <c r="D3210">
        <v>30.42</v>
      </c>
      <c r="E3210" t="s">
        <v>27956</v>
      </c>
      <c r="F3210" t="s">
        <v>107</v>
      </c>
      <c r="G3210" t="s">
        <v>428</v>
      </c>
      <c r="H3210" t="s">
        <v>429</v>
      </c>
      <c r="I3210" t="s">
        <v>70</v>
      </c>
      <c r="J3210" t="s">
        <v>321</v>
      </c>
      <c r="K3210">
        <v>2.64</v>
      </c>
      <c r="L3210">
        <v>0.74</v>
      </c>
      <c r="M3210" t="s">
        <v>2617</v>
      </c>
      <c r="N3210">
        <v>64970</v>
      </c>
      <c r="S3210">
        <v>0.85</v>
      </c>
      <c r="AA3210">
        <v>-4.09</v>
      </c>
      <c r="AB3210" t="s">
        <v>7360</v>
      </c>
      <c r="AC3210" t="s">
        <v>19429</v>
      </c>
      <c r="AD3210" t="s">
        <v>4192</v>
      </c>
      <c r="AI3210" t="s">
        <v>9557</v>
      </c>
      <c r="AJ3210" t="s">
        <v>164</v>
      </c>
      <c r="AK3210" t="s">
        <v>7407</v>
      </c>
      <c r="AL3210">
        <v>2.76</v>
      </c>
      <c r="AM3210">
        <v>2.76</v>
      </c>
      <c r="AN3210">
        <v>0</v>
      </c>
      <c r="AR3210" t="s">
        <v>2945</v>
      </c>
      <c r="AS3210" t="s">
        <v>2517</v>
      </c>
      <c r="AT3210" t="s">
        <v>15553</v>
      </c>
      <c r="AU3210" t="s">
        <v>5883</v>
      </c>
      <c r="AV3210" t="s">
        <v>27957</v>
      </c>
      <c r="AW3210" t="s">
        <v>27958</v>
      </c>
      <c r="AX3210" t="s">
        <v>7379</v>
      </c>
      <c r="AY3210" t="s">
        <v>25475</v>
      </c>
      <c r="AZ3210" t="s">
        <v>7379</v>
      </c>
      <c r="BA3210">
        <v>1</v>
      </c>
      <c r="BB3210">
        <v>214.5</v>
      </c>
      <c r="BC3210">
        <v>1.08</v>
      </c>
      <c r="BD3210">
        <v>0.76</v>
      </c>
      <c r="BE3210">
        <v>0.79</v>
      </c>
      <c r="BF3210">
        <v>0.74</v>
      </c>
      <c r="BG3210" t="s">
        <v>27959</v>
      </c>
      <c r="BH3210" t="s">
        <v>579</v>
      </c>
      <c r="BI3210" t="s">
        <v>7379</v>
      </c>
      <c r="BJ3210" t="s">
        <v>101</v>
      </c>
      <c r="BK3210" t="s">
        <v>27960</v>
      </c>
      <c r="BL3210" t="s">
        <v>27961</v>
      </c>
      <c r="BM3210" t="s">
        <v>27962</v>
      </c>
      <c r="BN3210" t="s">
        <v>27621</v>
      </c>
    </row>
    <row r="3211" spans="1:66" x14ac:dyDescent="0.25">
      <c r="A3211" t="str">
        <f>HYPERLINK("https://elite.finviz.com/quote.ashx?t=IOSP&amp;ty=c&amp;p=d&amp;b=1", "IOSP")</f>
        <v>IOSP</v>
      </c>
      <c r="B3211">
        <v>4</v>
      </c>
      <c r="C3211">
        <v>105.92</v>
      </c>
      <c r="D3211">
        <v>30.43</v>
      </c>
      <c r="E3211" t="s">
        <v>27963</v>
      </c>
      <c r="F3211" t="s">
        <v>67</v>
      </c>
      <c r="G3211" t="s">
        <v>355</v>
      </c>
      <c r="H3211" t="s">
        <v>1147</v>
      </c>
      <c r="I3211" t="s">
        <v>70</v>
      </c>
      <c r="J3211" t="s">
        <v>321</v>
      </c>
      <c r="K3211">
        <v>1920.58</v>
      </c>
      <c r="L3211">
        <v>77.34</v>
      </c>
      <c r="M3211" t="s">
        <v>386</v>
      </c>
      <c r="N3211">
        <v>24498</v>
      </c>
      <c r="O3211">
        <v>102.57</v>
      </c>
      <c r="P3211">
        <v>12.72</v>
      </c>
      <c r="R3211">
        <v>1.07</v>
      </c>
      <c r="S3211">
        <v>1.49</v>
      </c>
      <c r="T3211" t="s">
        <v>206</v>
      </c>
      <c r="U3211">
        <v>1.63</v>
      </c>
      <c r="V3211" t="s">
        <v>27964</v>
      </c>
      <c r="W3211" t="s">
        <v>1491</v>
      </c>
      <c r="X3211" t="s">
        <v>4852</v>
      </c>
      <c r="Y3211" t="s">
        <v>7858</v>
      </c>
      <c r="Z3211" t="s">
        <v>27965</v>
      </c>
      <c r="AA3211">
        <v>0.75</v>
      </c>
      <c r="AB3211" t="s">
        <v>14318</v>
      </c>
      <c r="AC3211" t="s">
        <v>3813</v>
      </c>
      <c r="AE3211" t="s">
        <v>9738</v>
      </c>
      <c r="AF3211" t="s">
        <v>2922</v>
      </c>
      <c r="AG3211" t="s">
        <v>3469</v>
      </c>
      <c r="AH3211" t="s">
        <v>344</v>
      </c>
      <c r="AI3211" t="s">
        <v>6475</v>
      </c>
      <c r="AJ3211" t="s">
        <v>1842</v>
      </c>
      <c r="AK3211" t="s">
        <v>27966</v>
      </c>
      <c r="AL3211">
        <v>2.87</v>
      </c>
      <c r="AM3211">
        <v>1.88</v>
      </c>
      <c r="AN3211">
        <v>0.04</v>
      </c>
      <c r="AO3211" t="s">
        <v>1670</v>
      </c>
      <c r="AP3211" t="s">
        <v>11505</v>
      </c>
      <c r="AQ3211" t="s">
        <v>344</v>
      </c>
      <c r="AR3211" t="s">
        <v>633</v>
      </c>
      <c r="AS3211" t="s">
        <v>4710</v>
      </c>
      <c r="AT3211" t="s">
        <v>746</v>
      </c>
      <c r="AU3211" t="s">
        <v>7219</v>
      </c>
      <c r="AV3211" t="s">
        <v>27967</v>
      </c>
      <c r="AW3211" t="s">
        <v>3977</v>
      </c>
      <c r="AX3211" t="s">
        <v>3020</v>
      </c>
      <c r="AY3211" t="s">
        <v>4070</v>
      </c>
      <c r="AZ3211" t="s">
        <v>3020</v>
      </c>
      <c r="BA3211">
        <v>1</v>
      </c>
      <c r="BB3211">
        <v>208.08</v>
      </c>
      <c r="BC3211">
        <v>0.41</v>
      </c>
      <c r="BD3211">
        <v>77.59</v>
      </c>
      <c r="BE3211">
        <v>78.09</v>
      </c>
      <c r="BF3211">
        <v>77.319999999999993</v>
      </c>
      <c r="BG3211" t="s">
        <v>27968</v>
      </c>
      <c r="BH3211" t="s">
        <v>17438</v>
      </c>
      <c r="BI3211" t="s">
        <v>27969</v>
      </c>
      <c r="BJ3211" t="s">
        <v>101</v>
      </c>
      <c r="BK3211" t="s">
        <v>5480</v>
      </c>
      <c r="BL3211" t="s">
        <v>13007</v>
      </c>
      <c r="BM3211" t="s">
        <v>27970</v>
      </c>
      <c r="BN3211" t="s">
        <v>27621</v>
      </c>
    </row>
    <row r="3212" spans="1:66" x14ac:dyDescent="0.25">
      <c r="A3212" t="str">
        <f>HYPERLINK("https://elite.finviz.com/quote.ashx?t=MMSI&amp;ty=c&amp;p=d&amp;b=1", "MMSI")</f>
        <v>MMSI</v>
      </c>
      <c r="B3212">
        <v>4</v>
      </c>
      <c r="C3212">
        <v>105.92</v>
      </c>
      <c r="D3212">
        <v>30.47</v>
      </c>
      <c r="E3212" t="s">
        <v>27971</v>
      </c>
      <c r="F3212" t="s">
        <v>67</v>
      </c>
      <c r="G3212" t="s">
        <v>428</v>
      </c>
      <c r="H3212" t="s">
        <v>2161</v>
      </c>
      <c r="I3212" t="s">
        <v>70</v>
      </c>
      <c r="J3212" t="s">
        <v>321</v>
      </c>
      <c r="K3212">
        <v>4731.6099999999997</v>
      </c>
      <c r="L3212">
        <v>79.900000000000006</v>
      </c>
      <c r="M3212" t="s">
        <v>2213</v>
      </c>
      <c r="N3212">
        <v>116438</v>
      </c>
      <c r="O3212">
        <v>40.590000000000003</v>
      </c>
      <c r="P3212">
        <v>20.170000000000002</v>
      </c>
      <c r="Q3212">
        <v>5.59</v>
      </c>
      <c r="R3212">
        <v>3.31</v>
      </c>
      <c r="S3212">
        <v>3.18</v>
      </c>
      <c r="Z3212" t="s">
        <v>164</v>
      </c>
      <c r="AA3212">
        <v>1.97</v>
      </c>
      <c r="AB3212" t="s">
        <v>17830</v>
      </c>
      <c r="AC3212" t="s">
        <v>27972</v>
      </c>
      <c r="AD3212" t="s">
        <v>4819</v>
      </c>
      <c r="AE3212" t="s">
        <v>4852</v>
      </c>
      <c r="AF3212" t="s">
        <v>7566</v>
      </c>
      <c r="AG3212" t="s">
        <v>4476</v>
      </c>
      <c r="AH3212" t="s">
        <v>6723</v>
      </c>
      <c r="AI3212" t="s">
        <v>347</v>
      </c>
      <c r="AJ3212" t="s">
        <v>10449</v>
      </c>
      <c r="AK3212" t="s">
        <v>22609</v>
      </c>
      <c r="AL3212">
        <v>4.09</v>
      </c>
      <c r="AM3212">
        <v>2.66</v>
      </c>
      <c r="AN3212">
        <v>0.55000000000000004</v>
      </c>
      <c r="AO3212" t="s">
        <v>10267</v>
      </c>
      <c r="AP3212" t="s">
        <v>6068</v>
      </c>
      <c r="AQ3212" t="s">
        <v>5658</v>
      </c>
      <c r="AR3212" t="s">
        <v>4276</v>
      </c>
      <c r="AS3212" t="s">
        <v>180</v>
      </c>
      <c r="AT3212" t="s">
        <v>11348</v>
      </c>
      <c r="AU3212" t="s">
        <v>1153</v>
      </c>
      <c r="AV3212" t="s">
        <v>4227</v>
      </c>
      <c r="AW3212" t="s">
        <v>26136</v>
      </c>
      <c r="AX3212" t="s">
        <v>4689</v>
      </c>
      <c r="AY3212" t="s">
        <v>22223</v>
      </c>
      <c r="AZ3212" t="s">
        <v>4689</v>
      </c>
      <c r="BA3212">
        <v>1.36</v>
      </c>
      <c r="BB3212">
        <v>680.34</v>
      </c>
      <c r="BC3212">
        <v>0.6</v>
      </c>
      <c r="BD3212">
        <v>80.06</v>
      </c>
      <c r="BE3212">
        <v>80.62</v>
      </c>
      <c r="BF3212">
        <v>79.489999999999995</v>
      </c>
      <c r="BG3212" t="s">
        <v>27973</v>
      </c>
      <c r="BH3212" t="s">
        <v>22223</v>
      </c>
      <c r="BI3212" t="s">
        <v>27974</v>
      </c>
      <c r="BJ3212" t="s">
        <v>101</v>
      </c>
      <c r="BK3212" t="s">
        <v>2452</v>
      </c>
      <c r="BL3212" t="s">
        <v>9576</v>
      </c>
      <c r="BM3212" t="s">
        <v>4389</v>
      </c>
      <c r="BN3212" t="s">
        <v>27621</v>
      </c>
    </row>
    <row r="3213" spans="1:66" x14ac:dyDescent="0.25">
      <c r="A3213" t="str">
        <f>HYPERLINK("https://elite.finviz.com/quote.ashx?t=WDFC&amp;ty=c&amp;p=d&amp;b=1", "WDFC")</f>
        <v>WDFC</v>
      </c>
      <c r="B3213">
        <v>4</v>
      </c>
      <c r="C3213">
        <v>105.92</v>
      </c>
      <c r="D3213">
        <v>30.56</v>
      </c>
      <c r="E3213" t="s">
        <v>27975</v>
      </c>
      <c r="F3213" t="s">
        <v>67</v>
      </c>
      <c r="G3213" t="s">
        <v>355</v>
      </c>
      <c r="H3213" t="s">
        <v>1147</v>
      </c>
      <c r="I3213" t="s">
        <v>70</v>
      </c>
      <c r="J3213" t="s">
        <v>321</v>
      </c>
      <c r="K3213">
        <v>2698.88</v>
      </c>
      <c r="L3213">
        <v>199.42</v>
      </c>
      <c r="M3213" t="s">
        <v>406</v>
      </c>
      <c r="N3213">
        <v>12023</v>
      </c>
      <c r="O3213">
        <v>31.37</v>
      </c>
      <c r="P3213">
        <v>33.380000000000003</v>
      </c>
      <c r="Q3213">
        <v>4.5199999999999996</v>
      </c>
      <c r="R3213">
        <v>4.41</v>
      </c>
      <c r="S3213">
        <v>10.5</v>
      </c>
      <c r="T3213" t="s">
        <v>2219</v>
      </c>
      <c r="U3213">
        <v>3.7</v>
      </c>
      <c r="V3213" t="s">
        <v>14858</v>
      </c>
      <c r="W3213" t="s">
        <v>2174</v>
      </c>
      <c r="X3213" t="s">
        <v>327</v>
      </c>
      <c r="Y3213" t="s">
        <v>635</v>
      </c>
      <c r="Z3213" t="s">
        <v>21413</v>
      </c>
      <c r="AA3213">
        <v>6.36</v>
      </c>
      <c r="AB3213" t="s">
        <v>211</v>
      </c>
      <c r="AC3213" t="s">
        <v>5102</v>
      </c>
      <c r="AD3213" t="s">
        <v>1955</v>
      </c>
      <c r="AE3213" t="s">
        <v>8125</v>
      </c>
      <c r="AF3213" t="s">
        <v>2124</v>
      </c>
      <c r="AG3213" t="s">
        <v>2150</v>
      </c>
      <c r="AH3213" t="s">
        <v>6155</v>
      </c>
      <c r="AI3213" t="s">
        <v>2275</v>
      </c>
      <c r="AJ3213" t="s">
        <v>5036</v>
      </c>
      <c r="AK3213" t="s">
        <v>22974</v>
      </c>
      <c r="AL3213">
        <v>2.84</v>
      </c>
      <c r="AM3213">
        <v>2.02</v>
      </c>
      <c r="AN3213">
        <v>0.41</v>
      </c>
      <c r="AO3213" t="s">
        <v>27976</v>
      </c>
      <c r="AP3213" t="s">
        <v>5060</v>
      </c>
      <c r="AQ3213" t="s">
        <v>7688</v>
      </c>
      <c r="AR3213" t="s">
        <v>179</v>
      </c>
      <c r="AS3213" t="s">
        <v>1761</v>
      </c>
      <c r="AT3213" t="s">
        <v>11445</v>
      </c>
      <c r="AU3213" t="s">
        <v>14653</v>
      </c>
      <c r="AV3213" t="s">
        <v>23349</v>
      </c>
      <c r="AW3213" t="s">
        <v>11846</v>
      </c>
      <c r="AX3213" t="s">
        <v>2423</v>
      </c>
      <c r="AY3213" t="s">
        <v>8074</v>
      </c>
      <c r="AZ3213" t="s">
        <v>2423</v>
      </c>
      <c r="BA3213">
        <v>1.5</v>
      </c>
      <c r="BB3213">
        <v>148.99</v>
      </c>
      <c r="BC3213">
        <v>0.28000000000000003</v>
      </c>
      <c r="BD3213">
        <v>199.39</v>
      </c>
      <c r="BE3213">
        <v>200.59</v>
      </c>
      <c r="BF3213">
        <v>198.23</v>
      </c>
      <c r="BG3213" t="s">
        <v>27977</v>
      </c>
      <c r="BH3213" t="s">
        <v>4097</v>
      </c>
      <c r="BI3213" t="s">
        <v>27978</v>
      </c>
      <c r="BJ3213" t="s">
        <v>101</v>
      </c>
      <c r="BK3213" t="s">
        <v>8021</v>
      </c>
      <c r="BL3213" t="s">
        <v>20060</v>
      </c>
      <c r="BM3213" t="s">
        <v>3565</v>
      </c>
      <c r="BN3213" t="s">
        <v>27621</v>
      </c>
    </row>
    <row r="3214" spans="1:66" x14ac:dyDescent="0.25">
      <c r="A3214" t="str">
        <f>HYPERLINK("https://elite.finviz.com/quote.ashx?t=CRT&amp;ty=c&amp;p=d&amp;b=1", "CRT")</f>
        <v>CRT</v>
      </c>
      <c r="B3214">
        <v>4</v>
      </c>
      <c r="C3214">
        <v>105.92</v>
      </c>
      <c r="D3214">
        <v>30.6</v>
      </c>
      <c r="E3214" t="s">
        <v>27979</v>
      </c>
      <c r="F3214" t="s">
        <v>107</v>
      </c>
      <c r="G3214" t="s">
        <v>1048</v>
      </c>
      <c r="H3214" t="s">
        <v>1049</v>
      </c>
      <c r="I3214" t="s">
        <v>70</v>
      </c>
      <c r="J3214" t="s">
        <v>71</v>
      </c>
      <c r="K3214">
        <v>45</v>
      </c>
      <c r="L3214">
        <v>7.5</v>
      </c>
      <c r="M3214" t="s">
        <v>4493</v>
      </c>
      <c r="N3214">
        <v>5657</v>
      </c>
      <c r="O3214">
        <v>8.16</v>
      </c>
      <c r="R3214">
        <v>6.86</v>
      </c>
      <c r="S3214">
        <v>19.649999999999999</v>
      </c>
      <c r="T3214" t="s">
        <v>5877</v>
      </c>
      <c r="U3214">
        <v>0.81</v>
      </c>
      <c r="V3214" t="s">
        <v>198</v>
      </c>
      <c r="W3214" t="s">
        <v>24710</v>
      </c>
      <c r="X3214" t="s">
        <v>8830</v>
      </c>
      <c r="Y3214" t="s">
        <v>2572</v>
      </c>
      <c r="Z3214" t="s">
        <v>1647</v>
      </c>
      <c r="AA3214">
        <v>0.92</v>
      </c>
      <c r="AB3214" t="s">
        <v>10228</v>
      </c>
      <c r="AC3214" t="s">
        <v>9136</v>
      </c>
      <c r="AE3214" t="s">
        <v>20709</v>
      </c>
      <c r="AF3214" t="s">
        <v>3005</v>
      </c>
      <c r="AG3214" t="s">
        <v>212</v>
      </c>
      <c r="AH3214" t="s">
        <v>15468</v>
      </c>
      <c r="AJ3214" t="s">
        <v>164</v>
      </c>
      <c r="AK3214" t="s">
        <v>4795</v>
      </c>
      <c r="AL3214">
        <v>6.35</v>
      </c>
      <c r="AM3214">
        <v>6.35</v>
      </c>
      <c r="AN3214">
        <v>0</v>
      </c>
      <c r="AP3214" t="s">
        <v>15467</v>
      </c>
      <c r="AQ3214" t="s">
        <v>15467</v>
      </c>
      <c r="AR3214" t="s">
        <v>4765</v>
      </c>
      <c r="AS3214" t="s">
        <v>4800</v>
      </c>
      <c r="AT3214" t="s">
        <v>5359</v>
      </c>
      <c r="AU3214" t="s">
        <v>20037</v>
      </c>
      <c r="AV3214" t="s">
        <v>1301</v>
      </c>
      <c r="AW3214" t="s">
        <v>27618</v>
      </c>
      <c r="AX3214" t="s">
        <v>754</v>
      </c>
      <c r="AY3214" t="s">
        <v>17965</v>
      </c>
      <c r="AZ3214" t="s">
        <v>754</v>
      </c>
      <c r="BB3214">
        <v>23.68</v>
      </c>
      <c r="BC3214">
        <v>0.85</v>
      </c>
      <c r="BD3214">
        <v>7.36</v>
      </c>
      <c r="BE3214">
        <v>7.53</v>
      </c>
      <c r="BF3214">
        <v>7.36</v>
      </c>
      <c r="BG3214" t="s">
        <v>27980</v>
      </c>
      <c r="BH3214" t="s">
        <v>22534</v>
      </c>
      <c r="BI3214" t="s">
        <v>14793</v>
      </c>
      <c r="BJ3214" t="s">
        <v>101</v>
      </c>
      <c r="BK3214" t="s">
        <v>21336</v>
      </c>
      <c r="BL3214" t="s">
        <v>7333</v>
      </c>
      <c r="BM3214" t="s">
        <v>19545</v>
      </c>
      <c r="BN3214" t="s">
        <v>27621</v>
      </c>
    </row>
    <row r="3215" spans="1:66" x14ac:dyDescent="0.25">
      <c r="A3215" t="str">
        <f>HYPERLINK("https://elite.finviz.com/quote.ashx?t=NOVT&amp;ty=c&amp;p=d&amp;b=1", "NOVT")</f>
        <v>NOVT</v>
      </c>
      <c r="B3215">
        <v>4</v>
      </c>
      <c r="C3215">
        <v>105.92</v>
      </c>
      <c r="D3215">
        <v>30.6</v>
      </c>
      <c r="E3215" t="s">
        <v>27981</v>
      </c>
      <c r="F3215" t="s">
        <v>67</v>
      </c>
      <c r="G3215" t="s">
        <v>108</v>
      </c>
      <c r="H3215" t="s">
        <v>9222</v>
      </c>
      <c r="I3215" t="s">
        <v>70</v>
      </c>
      <c r="J3215" t="s">
        <v>321</v>
      </c>
      <c r="K3215">
        <v>3670.42</v>
      </c>
      <c r="L3215">
        <v>102.03</v>
      </c>
      <c r="M3215" t="s">
        <v>4086</v>
      </c>
      <c r="N3215">
        <v>36446</v>
      </c>
      <c r="O3215">
        <v>60.08</v>
      </c>
      <c r="P3215">
        <v>27.02</v>
      </c>
      <c r="R3215">
        <v>3.84</v>
      </c>
      <c r="S3215">
        <v>4.58</v>
      </c>
      <c r="Z3215" t="s">
        <v>164</v>
      </c>
      <c r="AA3215">
        <v>1.7</v>
      </c>
      <c r="AB3215" t="s">
        <v>1207</v>
      </c>
      <c r="AC3215" t="s">
        <v>1370</v>
      </c>
      <c r="AE3215" t="s">
        <v>2065</v>
      </c>
      <c r="AF3215" t="s">
        <v>1396</v>
      </c>
      <c r="AG3215" t="s">
        <v>1388</v>
      </c>
      <c r="AH3215" t="s">
        <v>2876</v>
      </c>
      <c r="AI3215" t="s">
        <v>4765</v>
      </c>
      <c r="AJ3215" t="s">
        <v>164</v>
      </c>
      <c r="AK3215" t="s">
        <v>27982</v>
      </c>
      <c r="AL3215">
        <v>2.54</v>
      </c>
      <c r="AM3215">
        <v>1.62</v>
      </c>
      <c r="AN3215">
        <v>0.64</v>
      </c>
      <c r="AO3215" t="s">
        <v>3287</v>
      </c>
      <c r="AP3215" t="s">
        <v>6598</v>
      </c>
      <c r="AQ3215" t="s">
        <v>3115</v>
      </c>
      <c r="AR3215" t="s">
        <v>4394</v>
      </c>
      <c r="AS3215" t="s">
        <v>7154</v>
      </c>
      <c r="AT3215" t="s">
        <v>17437</v>
      </c>
      <c r="AU3215" t="s">
        <v>303</v>
      </c>
      <c r="AV3215" t="s">
        <v>15598</v>
      </c>
      <c r="AW3215" t="s">
        <v>14370</v>
      </c>
      <c r="AX3215" t="s">
        <v>3598</v>
      </c>
      <c r="AY3215" t="s">
        <v>27983</v>
      </c>
      <c r="AZ3215" t="s">
        <v>6770</v>
      </c>
      <c r="BA3215">
        <v>2</v>
      </c>
      <c r="BB3215">
        <v>351.49</v>
      </c>
      <c r="BC3215">
        <v>0.37</v>
      </c>
      <c r="BD3215">
        <v>102.77</v>
      </c>
      <c r="BE3215">
        <v>102.72</v>
      </c>
      <c r="BF3215">
        <v>102.24</v>
      </c>
      <c r="BG3215" t="s">
        <v>27984</v>
      </c>
      <c r="BH3215" t="s">
        <v>20872</v>
      </c>
      <c r="BI3215" t="s">
        <v>27985</v>
      </c>
      <c r="BJ3215" t="s">
        <v>101</v>
      </c>
      <c r="BK3215" t="s">
        <v>23363</v>
      </c>
      <c r="BL3215" t="s">
        <v>15096</v>
      </c>
      <c r="BM3215" t="s">
        <v>21399</v>
      </c>
      <c r="BN3215" t="s">
        <v>27621</v>
      </c>
    </row>
    <row r="3216" spans="1:66" x14ac:dyDescent="0.25">
      <c r="A3216" t="str">
        <f>HYPERLINK("https://elite.finviz.com/quote.ashx?t=LMAT&amp;ty=c&amp;p=d&amp;b=1", "LMAT")</f>
        <v>LMAT</v>
      </c>
      <c r="B3216">
        <v>4</v>
      </c>
      <c r="C3216">
        <v>105.92</v>
      </c>
      <c r="D3216">
        <v>30.62</v>
      </c>
      <c r="E3216" t="s">
        <v>27986</v>
      </c>
      <c r="F3216" t="s">
        <v>67</v>
      </c>
      <c r="G3216" t="s">
        <v>428</v>
      </c>
      <c r="H3216" t="s">
        <v>2161</v>
      </c>
      <c r="I3216" t="s">
        <v>70</v>
      </c>
      <c r="J3216" t="s">
        <v>321</v>
      </c>
      <c r="K3216">
        <v>1925.32</v>
      </c>
      <c r="L3216">
        <v>85.05</v>
      </c>
      <c r="M3216" t="s">
        <v>8228</v>
      </c>
      <c r="N3216">
        <v>45526</v>
      </c>
      <c r="O3216">
        <v>41.31</v>
      </c>
      <c r="P3216">
        <v>34.229999999999997</v>
      </c>
      <c r="Q3216">
        <v>3.15</v>
      </c>
      <c r="R3216">
        <v>8.2100000000000009</v>
      </c>
      <c r="S3216">
        <v>5.31</v>
      </c>
      <c r="T3216" t="s">
        <v>2759</v>
      </c>
      <c r="U3216">
        <v>0.76</v>
      </c>
      <c r="V3216" t="s">
        <v>5037</v>
      </c>
      <c r="W3216" t="s">
        <v>2169</v>
      </c>
      <c r="X3216" t="s">
        <v>5680</v>
      </c>
      <c r="Y3216" t="s">
        <v>4620</v>
      </c>
      <c r="Z3216" t="s">
        <v>19106</v>
      </c>
      <c r="AA3216">
        <v>2.06</v>
      </c>
      <c r="AB3216" t="s">
        <v>1847</v>
      </c>
      <c r="AC3216" t="s">
        <v>13470</v>
      </c>
      <c r="AD3216" t="s">
        <v>6202</v>
      </c>
      <c r="AE3216" t="s">
        <v>5757</v>
      </c>
      <c r="AF3216" t="s">
        <v>6206</v>
      </c>
      <c r="AG3216" t="s">
        <v>7298</v>
      </c>
      <c r="AH3216" t="s">
        <v>2058</v>
      </c>
      <c r="AI3216" t="s">
        <v>4907</v>
      </c>
      <c r="AJ3216" t="s">
        <v>15281</v>
      </c>
      <c r="AK3216" t="s">
        <v>14801</v>
      </c>
      <c r="AL3216">
        <v>13.6</v>
      </c>
      <c r="AM3216">
        <v>11.74</v>
      </c>
      <c r="AN3216">
        <v>0.51</v>
      </c>
      <c r="AO3216" t="s">
        <v>27987</v>
      </c>
      <c r="AP3216" t="s">
        <v>16722</v>
      </c>
      <c r="AQ3216" t="s">
        <v>11778</v>
      </c>
      <c r="AR3216" t="s">
        <v>3500</v>
      </c>
      <c r="AS3216" t="s">
        <v>862</v>
      </c>
      <c r="AT3216" t="s">
        <v>5480</v>
      </c>
      <c r="AU3216" t="s">
        <v>7300</v>
      </c>
      <c r="AV3216" t="s">
        <v>5189</v>
      </c>
      <c r="AW3216" t="s">
        <v>6591</v>
      </c>
      <c r="AX3216" t="s">
        <v>1771</v>
      </c>
      <c r="AY3216" t="s">
        <v>19838</v>
      </c>
      <c r="AZ3216" t="s">
        <v>8558</v>
      </c>
      <c r="BA3216">
        <v>2</v>
      </c>
      <c r="BB3216">
        <v>167.74</v>
      </c>
      <c r="BC3216">
        <v>0.96</v>
      </c>
      <c r="BD3216">
        <v>84.66</v>
      </c>
      <c r="BE3216">
        <v>85.91</v>
      </c>
      <c r="BF3216">
        <v>84.28</v>
      </c>
      <c r="BG3216" t="s">
        <v>27988</v>
      </c>
      <c r="BH3216" t="s">
        <v>19838</v>
      </c>
      <c r="BI3216" t="s">
        <v>27989</v>
      </c>
      <c r="BJ3216" t="s">
        <v>101</v>
      </c>
      <c r="BK3216" t="s">
        <v>305</v>
      </c>
      <c r="BL3216" t="s">
        <v>3976</v>
      </c>
      <c r="BM3216" t="s">
        <v>6253</v>
      </c>
      <c r="BN3216" t="s">
        <v>27621</v>
      </c>
    </row>
    <row r="3217" spans="1:66" x14ac:dyDescent="0.25">
      <c r="A3217" t="str">
        <f>HYPERLINK("https://elite.finviz.com/quote.ashx?t=HYFM&amp;ty=c&amp;p=d&amp;b=1", "HYFM")</f>
        <v>HYFM</v>
      </c>
      <c r="B3217">
        <v>4</v>
      </c>
      <c r="C3217">
        <v>105.92</v>
      </c>
      <c r="D3217">
        <v>30.63</v>
      </c>
      <c r="E3217" t="s">
        <v>27990</v>
      </c>
      <c r="F3217" t="s">
        <v>107</v>
      </c>
      <c r="G3217" t="s">
        <v>260</v>
      </c>
      <c r="H3217" t="s">
        <v>320</v>
      </c>
      <c r="I3217" t="s">
        <v>70</v>
      </c>
      <c r="J3217" t="s">
        <v>321</v>
      </c>
      <c r="K3217">
        <v>13.75</v>
      </c>
      <c r="L3217">
        <v>2.95</v>
      </c>
      <c r="M3217" t="s">
        <v>5000</v>
      </c>
      <c r="N3217">
        <v>2679</v>
      </c>
      <c r="R3217">
        <v>0.09</v>
      </c>
      <c r="AA3217">
        <v>-13.4</v>
      </c>
      <c r="AC3217" t="s">
        <v>3114</v>
      </c>
      <c r="AE3217" t="s">
        <v>26039</v>
      </c>
      <c r="AF3217" t="s">
        <v>15127</v>
      </c>
      <c r="AG3217" t="s">
        <v>6074</v>
      </c>
      <c r="AH3217" t="s">
        <v>8011</v>
      </c>
      <c r="AJ3217" t="s">
        <v>164</v>
      </c>
      <c r="AK3217" t="s">
        <v>5933</v>
      </c>
      <c r="AL3217">
        <v>2.3199999999999998</v>
      </c>
      <c r="AM3217">
        <v>0.92</v>
      </c>
      <c r="AN3217">
        <v>0.84</v>
      </c>
      <c r="AO3217" t="s">
        <v>4865</v>
      </c>
      <c r="AP3217" t="s">
        <v>12884</v>
      </c>
      <c r="AQ3217" t="s">
        <v>16811</v>
      </c>
      <c r="AR3217" t="s">
        <v>484</v>
      </c>
      <c r="AS3217" t="s">
        <v>7567</v>
      </c>
      <c r="AT3217" t="s">
        <v>2813</v>
      </c>
      <c r="AU3217" t="s">
        <v>15828</v>
      </c>
      <c r="AV3217" t="s">
        <v>24157</v>
      </c>
      <c r="AW3217" t="s">
        <v>19538</v>
      </c>
      <c r="AX3217" t="s">
        <v>4565</v>
      </c>
      <c r="AY3217" t="s">
        <v>17579</v>
      </c>
      <c r="AZ3217" t="s">
        <v>2658</v>
      </c>
      <c r="BA3217">
        <v>3</v>
      </c>
      <c r="BB3217">
        <v>14.87</v>
      </c>
      <c r="BC3217">
        <v>0.64</v>
      </c>
      <c r="BD3217">
        <v>3</v>
      </c>
      <c r="BE3217">
        <v>3.06</v>
      </c>
      <c r="BF3217">
        <v>2.9</v>
      </c>
      <c r="BG3217" t="s">
        <v>27991</v>
      </c>
      <c r="BH3217" t="s">
        <v>13975</v>
      </c>
      <c r="BI3217" t="s">
        <v>2658</v>
      </c>
      <c r="BJ3217" t="s">
        <v>101</v>
      </c>
      <c r="BK3217" t="s">
        <v>17611</v>
      </c>
      <c r="BL3217" t="s">
        <v>8540</v>
      </c>
      <c r="BM3217" t="s">
        <v>27680</v>
      </c>
      <c r="BN3217" t="s">
        <v>27621</v>
      </c>
    </row>
    <row r="3218" spans="1:66" x14ac:dyDescent="0.25">
      <c r="A3218" t="str">
        <f>HYPERLINK("https://elite.finviz.com/quote.ashx?t=CAI&amp;ty=c&amp;p=d&amp;b=1", "CAI")</f>
        <v>CAI</v>
      </c>
      <c r="B3218">
        <v>4</v>
      </c>
      <c r="C3218">
        <v>105.92</v>
      </c>
      <c r="D3218">
        <v>30.82</v>
      </c>
      <c r="E3218" t="s">
        <v>27992</v>
      </c>
      <c r="F3218" t="s">
        <v>107</v>
      </c>
      <c r="G3218" t="s">
        <v>428</v>
      </c>
      <c r="H3218" t="s">
        <v>429</v>
      </c>
      <c r="I3218" t="s">
        <v>70</v>
      </c>
      <c r="J3218" t="s">
        <v>321</v>
      </c>
      <c r="K3218">
        <v>8294.7000000000007</v>
      </c>
      <c r="L3218">
        <v>29.5</v>
      </c>
      <c r="M3218" t="s">
        <v>1067</v>
      </c>
      <c r="N3218">
        <v>118518</v>
      </c>
      <c r="S3218">
        <v>18.309999999999999</v>
      </c>
      <c r="AI3218" t="s">
        <v>27993</v>
      </c>
      <c r="AJ3218" t="s">
        <v>2215</v>
      </c>
      <c r="AK3218" t="s">
        <v>950</v>
      </c>
      <c r="AL3218">
        <v>9.24</v>
      </c>
      <c r="AM3218">
        <v>8.7899999999999991</v>
      </c>
      <c r="AN3218">
        <v>0.93</v>
      </c>
      <c r="AR3218" t="s">
        <v>3733</v>
      </c>
      <c r="AS3218" t="s">
        <v>197</v>
      </c>
      <c r="AT3218" t="s">
        <v>2545</v>
      </c>
      <c r="AU3218" t="s">
        <v>7543</v>
      </c>
      <c r="AV3218" t="s">
        <v>8156</v>
      </c>
      <c r="AW3218" t="s">
        <v>8316</v>
      </c>
      <c r="AX3218" t="s">
        <v>827</v>
      </c>
      <c r="AY3218" t="s">
        <v>8316</v>
      </c>
      <c r="AZ3218" t="s">
        <v>8579</v>
      </c>
      <c r="BA3218">
        <v>1</v>
      </c>
      <c r="BB3218">
        <v>649.32000000000005</v>
      </c>
      <c r="BC3218">
        <v>0.64</v>
      </c>
      <c r="BD3218">
        <v>29.73</v>
      </c>
      <c r="BE3218">
        <v>30.37</v>
      </c>
      <c r="BF3218">
        <v>29.37</v>
      </c>
      <c r="BG3218" t="s">
        <v>27994</v>
      </c>
      <c r="BH3218" t="s">
        <v>8316</v>
      </c>
      <c r="BI3218" t="s">
        <v>8579</v>
      </c>
      <c r="BJ3218" t="s">
        <v>101</v>
      </c>
      <c r="BK3218" t="s">
        <v>4783</v>
      </c>
      <c r="BN3218" t="s">
        <v>27621</v>
      </c>
    </row>
    <row r="3219" spans="1:66" x14ac:dyDescent="0.25">
      <c r="A3219" t="str">
        <f>HYPERLINK("https://elite.finviz.com/quote.ashx?t=DTST&amp;ty=c&amp;p=d&amp;b=1", "DTST")</f>
        <v>DTST</v>
      </c>
      <c r="B3219">
        <v>4</v>
      </c>
      <c r="C3219">
        <v>105.92</v>
      </c>
      <c r="D3219">
        <v>30.91</v>
      </c>
      <c r="E3219" t="s">
        <v>27995</v>
      </c>
      <c r="F3219" t="s">
        <v>107</v>
      </c>
      <c r="G3219" t="s">
        <v>108</v>
      </c>
      <c r="H3219" t="s">
        <v>1322</v>
      </c>
      <c r="I3219" t="s">
        <v>70</v>
      </c>
      <c r="J3219" t="s">
        <v>321</v>
      </c>
      <c r="K3219">
        <v>29.92</v>
      </c>
      <c r="L3219">
        <v>4.12</v>
      </c>
      <c r="M3219" t="s">
        <v>4879</v>
      </c>
      <c r="N3219">
        <v>20246</v>
      </c>
      <c r="R3219">
        <v>1.18</v>
      </c>
      <c r="S3219">
        <v>1.39</v>
      </c>
      <c r="Z3219" t="s">
        <v>164</v>
      </c>
      <c r="AA3219">
        <v>-0.04</v>
      </c>
      <c r="AB3219" t="s">
        <v>2242</v>
      </c>
      <c r="AE3219" t="s">
        <v>2362</v>
      </c>
      <c r="AF3219" t="s">
        <v>7225</v>
      </c>
      <c r="AG3219" t="s">
        <v>4467</v>
      </c>
      <c r="AH3219" t="s">
        <v>121</v>
      </c>
      <c r="AI3219" t="s">
        <v>27996</v>
      </c>
      <c r="AJ3219" t="s">
        <v>3890</v>
      </c>
      <c r="AK3219" t="s">
        <v>14148</v>
      </c>
      <c r="AL3219">
        <v>5.19</v>
      </c>
      <c r="AM3219">
        <v>5.19</v>
      </c>
      <c r="AN3219">
        <v>0.03</v>
      </c>
      <c r="AO3219" t="s">
        <v>24509</v>
      </c>
      <c r="AP3219" t="s">
        <v>2978</v>
      </c>
      <c r="AQ3219" t="s">
        <v>655</v>
      </c>
      <c r="AR3219" t="s">
        <v>4299</v>
      </c>
      <c r="AS3219" t="s">
        <v>2356</v>
      </c>
      <c r="AT3219" t="s">
        <v>1219</v>
      </c>
      <c r="AU3219" t="s">
        <v>7746</v>
      </c>
      <c r="AV3219" t="s">
        <v>1279</v>
      </c>
      <c r="AW3219" t="s">
        <v>10414</v>
      </c>
      <c r="AX3219" t="s">
        <v>3336</v>
      </c>
      <c r="AY3219" t="s">
        <v>10181</v>
      </c>
      <c r="AZ3219" t="s">
        <v>6079</v>
      </c>
      <c r="BA3219">
        <v>1</v>
      </c>
      <c r="BB3219">
        <v>356.47</v>
      </c>
      <c r="BC3219">
        <v>0.2</v>
      </c>
      <c r="BD3219">
        <v>4.17</v>
      </c>
      <c r="BE3219">
        <v>4.1900000000000004</v>
      </c>
      <c r="BF3219">
        <v>4.0999999999999996</v>
      </c>
      <c r="BG3219" t="s">
        <v>27997</v>
      </c>
      <c r="BH3219" t="s">
        <v>27998</v>
      </c>
      <c r="BI3219" t="s">
        <v>27999</v>
      </c>
      <c r="BJ3219" t="s">
        <v>101</v>
      </c>
      <c r="BK3219" t="s">
        <v>10580</v>
      </c>
      <c r="BL3219" t="s">
        <v>464</v>
      </c>
      <c r="BM3219" t="s">
        <v>11608</v>
      </c>
      <c r="BN3219" t="s">
        <v>27621</v>
      </c>
    </row>
    <row r="3220" spans="1:66" x14ac:dyDescent="0.25">
      <c r="A3220" t="str">
        <f>HYPERLINK("https://elite.finviz.com/quote.ashx?t=JKHY&amp;ty=c&amp;p=d&amp;b=1", "JKHY")</f>
        <v>JKHY</v>
      </c>
      <c r="B3220">
        <v>4</v>
      </c>
      <c r="C3220">
        <v>105.92</v>
      </c>
      <c r="D3220">
        <v>30.94</v>
      </c>
      <c r="E3220" t="s">
        <v>28000</v>
      </c>
      <c r="F3220" t="s">
        <v>195</v>
      </c>
      <c r="G3220" t="s">
        <v>108</v>
      </c>
      <c r="H3220" t="s">
        <v>1322</v>
      </c>
      <c r="I3220" t="s">
        <v>70</v>
      </c>
      <c r="J3220" t="s">
        <v>321</v>
      </c>
      <c r="K3220">
        <v>10898.64</v>
      </c>
      <c r="L3220">
        <v>149.56</v>
      </c>
      <c r="M3220" t="s">
        <v>6572</v>
      </c>
      <c r="N3220">
        <v>220622</v>
      </c>
      <c r="O3220">
        <v>23.97</v>
      </c>
      <c r="P3220">
        <v>21.63</v>
      </c>
      <c r="Q3220">
        <v>3.52</v>
      </c>
      <c r="R3220">
        <v>4.59</v>
      </c>
      <c r="S3220">
        <v>5.1100000000000003</v>
      </c>
      <c r="T3220" t="s">
        <v>6056</v>
      </c>
      <c r="U3220">
        <v>2.29</v>
      </c>
      <c r="V3220" t="s">
        <v>4548</v>
      </c>
      <c r="W3220" t="s">
        <v>7971</v>
      </c>
      <c r="X3220" t="s">
        <v>2231</v>
      </c>
      <c r="Y3220" t="s">
        <v>463</v>
      </c>
      <c r="Z3220" t="s">
        <v>15735</v>
      </c>
      <c r="AA3220">
        <v>6.24</v>
      </c>
      <c r="AB3220" t="s">
        <v>2655</v>
      </c>
      <c r="AC3220" t="s">
        <v>9123</v>
      </c>
      <c r="AD3220" t="s">
        <v>9703</v>
      </c>
      <c r="AE3220" t="s">
        <v>1159</v>
      </c>
      <c r="AF3220" t="s">
        <v>1215</v>
      </c>
      <c r="AG3220" t="s">
        <v>9936</v>
      </c>
      <c r="AH3220" t="s">
        <v>4089</v>
      </c>
      <c r="AI3220" t="s">
        <v>9108</v>
      </c>
      <c r="AJ3220" t="s">
        <v>2593</v>
      </c>
      <c r="AK3220" t="s">
        <v>16727</v>
      </c>
      <c r="AL3220">
        <v>1.1299999999999999</v>
      </c>
      <c r="AM3220">
        <v>1.1299999999999999</v>
      </c>
      <c r="AN3220">
        <v>0.02</v>
      </c>
      <c r="AO3220" t="s">
        <v>26000</v>
      </c>
      <c r="AP3220" t="s">
        <v>14038</v>
      </c>
      <c r="AQ3220" t="s">
        <v>9137</v>
      </c>
      <c r="AR3220" t="s">
        <v>2339</v>
      </c>
      <c r="AS3220" t="s">
        <v>2175</v>
      </c>
      <c r="AT3220" t="s">
        <v>3577</v>
      </c>
      <c r="AU3220" t="s">
        <v>15469</v>
      </c>
      <c r="AV3220" t="s">
        <v>4863</v>
      </c>
      <c r="AW3220" t="s">
        <v>10770</v>
      </c>
      <c r="AX3220" t="s">
        <v>3013</v>
      </c>
      <c r="AY3220" t="s">
        <v>23541</v>
      </c>
      <c r="AZ3220" t="s">
        <v>3013</v>
      </c>
      <c r="BA3220">
        <v>2.67</v>
      </c>
      <c r="BB3220">
        <v>722.34</v>
      </c>
      <c r="BC3220">
        <v>1.08</v>
      </c>
      <c r="BD3220">
        <v>148.44999999999999</v>
      </c>
      <c r="BE3220">
        <v>149.79</v>
      </c>
      <c r="BF3220">
        <v>148.33000000000001</v>
      </c>
      <c r="BG3220" t="s">
        <v>28001</v>
      </c>
      <c r="BH3220" t="s">
        <v>21201</v>
      </c>
      <c r="BI3220" t="s">
        <v>28002</v>
      </c>
      <c r="BJ3220" t="s">
        <v>101</v>
      </c>
      <c r="BK3220" t="s">
        <v>4894</v>
      </c>
      <c r="BL3220" t="s">
        <v>2118</v>
      </c>
      <c r="BM3220" t="s">
        <v>8621</v>
      </c>
      <c r="BN3220" t="s">
        <v>27621</v>
      </c>
    </row>
    <row r="3221" spans="1:66" x14ac:dyDescent="0.25">
      <c r="A3221" t="str">
        <f>HYPERLINK("https://elite.finviz.com/quote.ashx?t=SCNX&amp;ty=c&amp;p=d&amp;b=1", "SCNX")</f>
        <v>SCNX</v>
      </c>
      <c r="B3221">
        <v>4</v>
      </c>
      <c r="C3221">
        <v>105.92</v>
      </c>
      <c r="D3221">
        <v>30.95</v>
      </c>
      <c r="E3221" t="s">
        <v>28003</v>
      </c>
      <c r="F3221" t="s">
        <v>107</v>
      </c>
      <c r="G3221" t="s">
        <v>428</v>
      </c>
      <c r="H3221" t="s">
        <v>12332</v>
      </c>
      <c r="I3221" t="s">
        <v>70</v>
      </c>
      <c r="J3221" t="s">
        <v>321</v>
      </c>
      <c r="K3221">
        <v>17.260000000000002</v>
      </c>
      <c r="L3221">
        <v>0.83</v>
      </c>
      <c r="M3221" t="s">
        <v>3752</v>
      </c>
      <c r="N3221">
        <v>35175</v>
      </c>
      <c r="R3221">
        <v>132.78</v>
      </c>
      <c r="S3221">
        <v>0.17</v>
      </c>
      <c r="AA3221">
        <v>-2.96</v>
      </c>
      <c r="AB3221" t="s">
        <v>7379</v>
      </c>
      <c r="AC3221" t="s">
        <v>28004</v>
      </c>
      <c r="AE3221" t="s">
        <v>28005</v>
      </c>
      <c r="AF3221" t="s">
        <v>28006</v>
      </c>
      <c r="AG3221" t="s">
        <v>28007</v>
      </c>
      <c r="AH3221" t="s">
        <v>579</v>
      </c>
      <c r="AI3221" t="s">
        <v>28008</v>
      </c>
      <c r="AJ3221" t="s">
        <v>164</v>
      </c>
      <c r="AK3221" t="s">
        <v>4742</v>
      </c>
      <c r="AL3221">
        <v>0.04</v>
      </c>
      <c r="AM3221">
        <v>0.04</v>
      </c>
      <c r="AN3221">
        <v>0.05</v>
      </c>
      <c r="AO3221" t="s">
        <v>28009</v>
      </c>
      <c r="AP3221" t="s">
        <v>28010</v>
      </c>
      <c r="AQ3221" t="s">
        <v>28011</v>
      </c>
      <c r="AR3221" t="s">
        <v>283</v>
      </c>
      <c r="AS3221" t="s">
        <v>4518</v>
      </c>
      <c r="AT3221" t="s">
        <v>2023</v>
      </c>
      <c r="AU3221" t="s">
        <v>4097</v>
      </c>
      <c r="AV3221" t="s">
        <v>13345</v>
      </c>
      <c r="AW3221" t="s">
        <v>28012</v>
      </c>
      <c r="AX3221" t="s">
        <v>1933</v>
      </c>
      <c r="AY3221" t="s">
        <v>8172</v>
      </c>
      <c r="AZ3221" t="s">
        <v>6406</v>
      </c>
      <c r="BA3221">
        <v>1</v>
      </c>
      <c r="BB3221">
        <v>358.31</v>
      </c>
      <c r="BC3221">
        <v>0.35</v>
      </c>
      <c r="BD3221">
        <v>0.83</v>
      </c>
      <c r="BE3221">
        <v>0.86</v>
      </c>
      <c r="BF3221">
        <v>0.83</v>
      </c>
      <c r="BG3221" t="s">
        <v>28013</v>
      </c>
      <c r="BH3221" t="s">
        <v>579</v>
      </c>
      <c r="BI3221" t="s">
        <v>6406</v>
      </c>
      <c r="BJ3221" t="s">
        <v>101</v>
      </c>
      <c r="BK3221" t="s">
        <v>10906</v>
      </c>
      <c r="BL3221" t="s">
        <v>25336</v>
      </c>
      <c r="BM3221" t="s">
        <v>23003</v>
      </c>
      <c r="BN3221" t="s">
        <v>27621</v>
      </c>
    </row>
    <row r="3222" spans="1:66" x14ac:dyDescent="0.25">
      <c r="A3222" t="str">
        <f>HYPERLINK("https://elite.finviz.com/quote.ashx?t=SYBT&amp;ty=c&amp;p=d&amp;b=1", "SYBT")</f>
        <v>SYBT</v>
      </c>
      <c r="B3222">
        <v>4</v>
      </c>
      <c r="C3222">
        <v>105.92</v>
      </c>
      <c r="D3222">
        <v>31.02</v>
      </c>
      <c r="E3222" t="s">
        <v>28014</v>
      </c>
      <c r="F3222" t="s">
        <v>67</v>
      </c>
      <c r="G3222" t="s">
        <v>550</v>
      </c>
      <c r="H3222" t="s">
        <v>697</v>
      </c>
      <c r="I3222" t="s">
        <v>70</v>
      </c>
      <c r="J3222" t="s">
        <v>321</v>
      </c>
      <c r="K3222">
        <v>2085.9699999999998</v>
      </c>
      <c r="L3222">
        <v>70.78</v>
      </c>
      <c r="M3222" t="s">
        <v>4538</v>
      </c>
      <c r="N3222">
        <v>18943</v>
      </c>
      <c r="O3222">
        <v>16.260000000000002</v>
      </c>
      <c r="P3222">
        <v>15.17</v>
      </c>
      <c r="R3222">
        <v>3.88</v>
      </c>
      <c r="S3222">
        <v>2.0699999999999998</v>
      </c>
      <c r="T3222" t="s">
        <v>3757</v>
      </c>
      <c r="U3222">
        <v>1.25</v>
      </c>
      <c r="V3222" t="s">
        <v>3833</v>
      </c>
      <c r="W3222" t="s">
        <v>4569</v>
      </c>
      <c r="X3222" t="s">
        <v>1926</v>
      </c>
      <c r="Y3222" t="s">
        <v>203</v>
      </c>
      <c r="Z3222" t="s">
        <v>7105</v>
      </c>
      <c r="AA3222">
        <v>4.3499999999999996</v>
      </c>
      <c r="AB3222" t="s">
        <v>369</v>
      </c>
      <c r="AC3222" t="s">
        <v>2985</v>
      </c>
      <c r="AE3222" t="s">
        <v>3955</v>
      </c>
      <c r="AF3222" t="s">
        <v>12978</v>
      </c>
      <c r="AG3222" t="s">
        <v>3073</v>
      </c>
      <c r="AH3222" t="s">
        <v>4906</v>
      </c>
      <c r="AI3222" t="s">
        <v>12383</v>
      </c>
      <c r="AJ3222" t="s">
        <v>10808</v>
      </c>
      <c r="AK3222" t="s">
        <v>28015</v>
      </c>
      <c r="AL3222">
        <v>0.12</v>
      </c>
      <c r="AN3222">
        <v>0.49</v>
      </c>
      <c r="AP3222" t="s">
        <v>10294</v>
      </c>
      <c r="AQ3222" t="s">
        <v>2567</v>
      </c>
      <c r="AR3222" t="s">
        <v>3638</v>
      </c>
      <c r="AS3222" t="s">
        <v>1560</v>
      </c>
      <c r="AT3222" t="s">
        <v>3266</v>
      </c>
      <c r="AU3222" t="s">
        <v>12610</v>
      </c>
      <c r="AV3222" t="s">
        <v>706</v>
      </c>
      <c r="AW3222" t="s">
        <v>6734</v>
      </c>
      <c r="AX3222" t="s">
        <v>227</v>
      </c>
      <c r="AY3222" t="s">
        <v>6734</v>
      </c>
      <c r="AZ3222" t="s">
        <v>8943</v>
      </c>
      <c r="BA3222">
        <v>3</v>
      </c>
      <c r="BB3222">
        <v>124.09</v>
      </c>
      <c r="BC3222">
        <v>0.54</v>
      </c>
      <c r="BD3222">
        <v>70.95</v>
      </c>
      <c r="BE3222">
        <v>71.62</v>
      </c>
      <c r="BF3222">
        <v>70.459999999999994</v>
      </c>
      <c r="BG3222" t="s">
        <v>28016</v>
      </c>
      <c r="BH3222" t="s">
        <v>6734</v>
      </c>
      <c r="BI3222" t="s">
        <v>28017</v>
      </c>
      <c r="BJ3222" t="s">
        <v>101</v>
      </c>
      <c r="BK3222" t="s">
        <v>10461</v>
      </c>
      <c r="BL3222" t="s">
        <v>2185</v>
      </c>
      <c r="BM3222" t="s">
        <v>1549</v>
      </c>
      <c r="BN3222" t="s">
        <v>27621</v>
      </c>
    </row>
    <row r="3223" spans="1:66" x14ac:dyDescent="0.25">
      <c r="A3223" t="str">
        <f>HYPERLINK("https://elite.finviz.com/quote.ashx?t=LMB&amp;ty=c&amp;p=d&amp;b=1", "LMB")</f>
        <v>LMB</v>
      </c>
      <c r="B3223">
        <v>4</v>
      </c>
      <c r="C3223">
        <v>105.92</v>
      </c>
      <c r="D3223">
        <v>31.04</v>
      </c>
      <c r="E3223" t="s">
        <v>28018</v>
      </c>
      <c r="F3223" t="s">
        <v>67</v>
      </c>
      <c r="G3223" t="s">
        <v>260</v>
      </c>
      <c r="H3223" t="s">
        <v>3225</v>
      </c>
      <c r="I3223" t="s">
        <v>70</v>
      </c>
      <c r="J3223" t="s">
        <v>321</v>
      </c>
      <c r="K3223">
        <v>1084.2</v>
      </c>
      <c r="L3223">
        <v>93.25</v>
      </c>
      <c r="M3223" t="s">
        <v>770</v>
      </c>
      <c r="N3223">
        <v>25247</v>
      </c>
      <c r="O3223">
        <v>31.87</v>
      </c>
      <c r="P3223">
        <v>19.63</v>
      </c>
      <c r="Q3223">
        <v>2.2200000000000002</v>
      </c>
      <c r="R3223">
        <v>1.96</v>
      </c>
      <c r="S3223">
        <v>6.36</v>
      </c>
      <c r="Z3223" t="s">
        <v>164</v>
      </c>
      <c r="AA3223">
        <v>2.93</v>
      </c>
      <c r="AB3223" t="s">
        <v>10515</v>
      </c>
      <c r="AD3223" t="s">
        <v>2660</v>
      </c>
      <c r="AE3223" t="s">
        <v>9478</v>
      </c>
      <c r="AF3223" t="s">
        <v>4493</v>
      </c>
      <c r="AG3223" t="s">
        <v>6449</v>
      </c>
      <c r="AH3223" t="s">
        <v>8781</v>
      </c>
      <c r="AI3223" t="s">
        <v>15011</v>
      </c>
      <c r="AJ3223" t="s">
        <v>2468</v>
      </c>
      <c r="AK3223" t="s">
        <v>17319</v>
      </c>
      <c r="AL3223">
        <v>1.69</v>
      </c>
      <c r="AM3223">
        <v>1.69</v>
      </c>
      <c r="AN3223">
        <v>0.32</v>
      </c>
      <c r="AO3223" t="s">
        <v>9381</v>
      </c>
      <c r="AP3223" t="s">
        <v>2655</v>
      </c>
      <c r="AQ3223" t="s">
        <v>4476</v>
      </c>
      <c r="AR3223" t="s">
        <v>5336</v>
      </c>
      <c r="AS3223" t="s">
        <v>4173</v>
      </c>
      <c r="AT3223" t="s">
        <v>11990</v>
      </c>
      <c r="AU3223" t="s">
        <v>14406</v>
      </c>
      <c r="AV3223" t="s">
        <v>8792</v>
      </c>
      <c r="AW3223" t="s">
        <v>17210</v>
      </c>
      <c r="AX3223" t="s">
        <v>4856</v>
      </c>
      <c r="AY3223" t="s">
        <v>19444</v>
      </c>
      <c r="AZ3223" t="s">
        <v>6311</v>
      </c>
      <c r="BA3223">
        <v>1</v>
      </c>
      <c r="BB3223">
        <v>232.5</v>
      </c>
      <c r="BC3223">
        <v>0.38</v>
      </c>
      <c r="BD3223">
        <v>93.38</v>
      </c>
      <c r="BE3223">
        <v>94.22</v>
      </c>
      <c r="BF3223">
        <v>92.89</v>
      </c>
      <c r="BG3223" t="s">
        <v>28019</v>
      </c>
      <c r="BH3223" t="s">
        <v>19444</v>
      </c>
      <c r="BI3223" t="s">
        <v>28020</v>
      </c>
      <c r="BJ3223" t="s">
        <v>101</v>
      </c>
      <c r="BK3223" t="s">
        <v>22750</v>
      </c>
      <c r="BL3223" t="s">
        <v>264</v>
      </c>
      <c r="BM3223" t="s">
        <v>3961</v>
      </c>
      <c r="BN3223" t="s">
        <v>27621</v>
      </c>
    </row>
    <row r="3224" spans="1:66" x14ac:dyDescent="0.25">
      <c r="A3224" t="str">
        <f>HYPERLINK("https://elite.finviz.com/quote.ashx?t=CSL&amp;ty=c&amp;p=d&amp;b=1", "CSL")</f>
        <v>CSL</v>
      </c>
      <c r="B3224">
        <v>4</v>
      </c>
      <c r="C3224">
        <v>105.92</v>
      </c>
      <c r="D3224">
        <v>31.07</v>
      </c>
      <c r="E3224" t="s">
        <v>28021</v>
      </c>
      <c r="F3224" t="s">
        <v>107</v>
      </c>
      <c r="G3224" t="s">
        <v>260</v>
      </c>
      <c r="H3224" t="s">
        <v>3225</v>
      </c>
      <c r="I3224" t="s">
        <v>70</v>
      </c>
      <c r="J3224" t="s">
        <v>71</v>
      </c>
      <c r="K3224">
        <v>13948.29</v>
      </c>
      <c r="L3224">
        <v>326.27</v>
      </c>
      <c r="M3224" t="s">
        <v>2203</v>
      </c>
      <c r="N3224">
        <v>103366</v>
      </c>
      <c r="O3224">
        <v>18.13</v>
      </c>
      <c r="P3224">
        <v>14.46</v>
      </c>
      <c r="Q3224">
        <v>2.65</v>
      </c>
      <c r="R3224">
        <v>2.79</v>
      </c>
      <c r="S3224">
        <v>6.55</v>
      </c>
      <c r="T3224" t="s">
        <v>80</v>
      </c>
      <c r="U3224">
        <v>4.0999999999999996</v>
      </c>
      <c r="V3224" t="s">
        <v>10236</v>
      </c>
      <c r="W3224" t="s">
        <v>6343</v>
      </c>
      <c r="X3224" t="s">
        <v>12922</v>
      </c>
      <c r="Y3224" t="s">
        <v>644</v>
      </c>
      <c r="Z3224" t="s">
        <v>5118</v>
      </c>
      <c r="AA3224">
        <v>18</v>
      </c>
      <c r="AB3224" t="s">
        <v>11835</v>
      </c>
      <c r="AC3224" t="s">
        <v>12220</v>
      </c>
      <c r="AD3224" t="s">
        <v>7150</v>
      </c>
      <c r="AE3224" t="s">
        <v>4856</v>
      </c>
      <c r="AF3224" t="s">
        <v>2509</v>
      </c>
      <c r="AG3224" t="s">
        <v>6463</v>
      </c>
      <c r="AH3224" t="s">
        <v>1547</v>
      </c>
      <c r="AI3224" t="s">
        <v>14635</v>
      </c>
      <c r="AJ3224" t="s">
        <v>164</v>
      </c>
      <c r="AK3224" t="s">
        <v>4009</v>
      </c>
      <c r="AL3224">
        <v>2.19</v>
      </c>
      <c r="AM3224">
        <v>1.47</v>
      </c>
      <c r="AN3224">
        <v>0.89</v>
      </c>
      <c r="AO3224" t="s">
        <v>13473</v>
      </c>
      <c r="AP3224" t="s">
        <v>7601</v>
      </c>
      <c r="AQ3224" t="s">
        <v>3059</v>
      </c>
      <c r="AR3224" t="s">
        <v>2361</v>
      </c>
      <c r="AS3224" t="s">
        <v>4569</v>
      </c>
      <c r="AT3224" t="s">
        <v>19376</v>
      </c>
      <c r="AU3224" t="s">
        <v>9332</v>
      </c>
      <c r="AV3224" t="s">
        <v>27410</v>
      </c>
      <c r="AW3224" t="s">
        <v>26006</v>
      </c>
      <c r="AX3224" t="s">
        <v>4699</v>
      </c>
      <c r="AY3224" t="s">
        <v>11196</v>
      </c>
      <c r="AZ3224" t="s">
        <v>161</v>
      </c>
      <c r="BA3224">
        <v>2.1</v>
      </c>
      <c r="BB3224">
        <v>517.83000000000004</v>
      </c>
      <c r="BC3224">
        <v>0.7</v>
      </c>
      <c r="BD3224">
        <v>327.74</v>
      </c>
      <c r="BE3224">
        <v>330.02</v>
      </c>
      <c r="BF3224">
        <v>325.19</v>
      </c>
      <c r="BG3224" t="s">
        <v>28022</v>
      </c>
      <c r="BH3224" t="s">
        <v>11196</v>
      </c>
      <c r="BI3224" t="s">
        <v>28023</v>
      </c>
      <c r="BJ3224" t="s">
        <v>101</v>
      </c>
      <c r="BK3224" t="s">
        <v>1024</v>
      </c>
      <c r="BL3224" t="s">
        <v>4122</v>
      </c>
      <c r="BM3224" t="s">
        <v>20050</v>
      </c>
      <c r="BN3224" t="s">
        <v>27621</v>
      </c>
    </row>
    <row r="3225" spans="1:66" x14ac:dyDescent="0.25">
      <c r="A3225" t="str">
        <f>HYPERLINK("https://elite.finviz.com/quote.ashx?t=SKYW&amp;ty=c&amp;p=d&amp;b=1", "SKYW")</f>
        <v>SKYW</v>
      </c>
      <c r="B3225">
        <v>4</v>
      </c>
      <c r="C3225">
        <v>105.92</v>
      </c>
      <c r="D3225">
        <v>31.16</v>
      </c>
      <c r="E3225" t="s">
        <v>28024</v>
      </c>
      <c r="F3225" t="s">
        <v>67</v>
      </c>
      <c r="G3225" t="s">
        <v>260</v>
      </c>
      <c r="H3225" t="s">
        <v>5362</v>
      </c>
      <c r="I3225" t="s">
        <v>70</v>
      </c>
      <c r="J3225" t="s">
        <v>321</v>
      </c>
      <c r="K3225">
        <v>4116.09</v>
      </c>
      <c r="L3225">
        <v>101.94</v>
      </c>
      <c r="M3225" t="s">
        <v>698</v>
      </c>
      <c r="N3225">
        <v>35848</v>
      </c>
      <c r="O3225">
        <v>10.38</v>
      </c>
      <c r="P3225">
        <v>9.27</v>
      </c>
      <c r="Q3225">
        <v>0.67</v>
      </c>
      <c r="R3225">
        <v>1.07</v>
      </c>
      <c r="S3225">
        <v>1.59</v>
      </c>
      <c r="V3225" t="s">
        <v>20376</v>
      </c>
      <c r="Z3225" t="s">
        <v>164</v>
      </c>
      <c r="AA3225">
        <v>9.82</v>
      </c>
      <c r="AB3225" t="s">
        <v>12448</v>
      </c>
      <c r="AC3225" t="s">
        <v>4499</v>
      </c>
      <c r="AD3225" t="s">
        <v>310</v>
      </c>
      <c r="AE3225" t="s">
        <v>25988</v>
      </c>
      <c r="AF3225" t="s">
        <v>1078</v>
      </c>
      <c r="AG3225" t="s">
        <v>4093</v>
      </c>
      <c r="AH3225" t="s">
        <v>4331</v>
      </c>
      <c r="AI3225" t="s">
        <v>13642</v>
      </c>
      <c r="AJ3225" t="s">
        <v>18365</v>
      </c>
      <c r="AK3225" t="s">
        <v>28025</v>
      </c>
      <c r="AL3225">
        <v>0.73</v>
      </c>
      <c r="AM3225">
        <v>0.63</v>
      </c>
      <c r="AN3225">
        <v>1</v>
      </c>
      <c r="AO3225" t="s">
        <v>10268</v>
      </c>
      <c r="AP3225" t="s">
        <v>13015</v>
      </c>
      <c r="AQ3225" t="s">
        <v>4857</v>
      </c>
      <c r="AR3225" t="s">
        <v>5420</v>
      </c>
      <c r="AS3225" t="s">
        <v>205</v>
      </c>
      <c r="AT3225" t="s">
        <v>4947</v>
      </c>
      <c r="AU3225" t="s">
        <v>19464</v>
      </c>
      <c r="AV3225" t="s">
        <v>2518</v>
      </c>
      <c r="AW3225" t="s">
        <v>23764</v>
      </c>
      <c r="AX3225" t="s">
        <v>4856</v>
      </c>
      <c r="AY3225" t="s">
        <v>5720</v>
      </c>
      <c r="AZ3225" t="s">
        <v>18363</v>
      </c>
      <c r="BA3225">
        <v>1.2</v>
      </c>
      <c r="BB3225">
        <v>377.57</v>
      </c>
      <c r="BC3225">
        <v>0.33</v>
      </c>
      <c r="BD3225">
        <v>101.62</v>
      </c>
      <c r="BE3225">
        <v>103.18</v>
      </c>
      <c r="BF3225">
        <v>101.57</v>
      </c>
      <c r="BG3225" t="s">
        <v>28026</v>
      </c>
      <c r="BH3225" t="s">
        <v>5720</v>
      </c>
      <c r="BI3225" t="s">
        <v>28027</v>
      </c>
      <c r="BJ3225" t="s">
        <v>101</v>
      </c>
      <c r="BK3225" t="s">
        <v>13117</v>
      </c>
      <c r="BL3225" t="s">
        <v>5405</v>
      </c>
      <c r="BM3225" t="s">
        <v>480</v>
      </c>
      <c r="BN3225" t="s">
        <v>27621</v>
      </c>
    </row>
    <row r="3226" spans="1:66" x14ac:dyDescent="0.25">
      <c r="A3226" t="str">
        <f>HYPERLINK("https://elite.finviz.com/quote.ashx?t=DSP&amp;ty=c&amp;p=d&amp;b=1", "DSP")</f>
        <v>DSP</v>
      </c>
      <c r="B3226">
        <v>4</v>
      </c>
      <c r="C3226">
        <v>105.92</v>
      </c>
      <c r="D3226">
        <v>31.2</v>
      </c>
      <c r="E3226" t="s">
        <v>28028</v>
      </c>
      <c r="F3226" t="s">
        <v>67</v>
      </c>
      <c r="G3226" t="s">
        <v>108</v>
      </c>
      <c r="H3226" t="s">
        <v>136</v>
      </c>
      <c r="I3226" t="s">
        <v>70</v>
      </c>
      <c r="J3226" t="s">
        <v>321</v>
      </c>
      <c r="K3226">
        <v>540.12</v>
      </c>
      <c r="L3226">
        <v>8.58</v>
      </c>
      <c r="M3226" t="s">
        <v>1086</v>
      </c>
      <c r="N3226">
        <v>39868</v>
      </c>
      <c r="O3226">
        <v>255.36</v>
      </c>
      <c r="P3226">
        <v>25.37</v>
      </c>
      <c r="Q3226">
        <v>3.47</v>
      </c>
      <c r="R3226">
        <v>1.7</v>
      </c>
      <c r="S3226">
        <v>19.66</v>
      </c>
      <c r="Z3226" t="s">
        <v>164</v>
      </c>
      <c r="AA3226">
        <v>0.03</v>
      </c>
      <c r="AC3226" t="s">
        <v>15906</v>
      </c>
      <c r="AD3226" t="s">
        <v>15431</v>
      </c>
      <c r="AE3226" t="s">
        <v>13761</v>
      </c>
      <c r="AF3226" t="s">
        <v>10542</v>
      </c>
      <c r="AG3226" t="s">
        <v>2377</v>
      </c>
      <c r="AH3226" t="s">
        <v>9344</v>
      </c>
      <c r="AI3226" t="s">
        <v>28029</v>
      </c>
      <c r="AJ3226" t="s">
        <v>1998</v>
      </c>
      <c r="AK3226" t="s">
        <v>9149</v>
      </c>
      <c r="AL3226">
        <v>2.56</v>
      </c>
      <c r="AM3226">
        <v>2.56</v>
      </c>
      <c r="AN3226">
        <v>0.86</v>
      </c>
      <c r="AO3226" t="s">
        <v>15317</v>
      </c>
      <c r="AP3226" t="s">
        <v>3842</v>
      </c>
      <c r="AQ3226" t="s">
        <v>1764</v>
      </c>
      <c r="AR3226" t="s">
        <v>4428</v>
      </c>
      <c r="AS3226" t="s">
        <v>2170</v>
      </c>
      <c r="AT3226" t="s">
        <v>10199</v>
      </c>
      <c r="AU3226" t="s">
        <v>8260</v>
      </c>
      <c r="AV3226" t="s">
        <v>21518</v>
      </c>
      <c r="AW3226" t="s">
        <v>28030</v>
      </c>
      <c r="AX3226" t="s">
        <v>2275</v>
      </c>
      <c r="AY3226" t="s">
        <v>5906</v>
      </c>
      <c r="AZ3226" t="s">
        <v>2275</v>
      </c>
      <c r="BA3226">
        <v>1</v>
      </c>
      <c r="BB3226">
        <v>256.77999999999997</v>
      </c>
      <c r="BC3226">
        <v>0.55000000000000004</v>
      </c>
      <c r="BD3226">
        <v>8.6300000000000008</v>
      </c>
      <c r="BE3226">
        <v>8.76</v>
      </c>
      <c r="BF3226">
        <v>8.56</v>
      </c>
      <c r="BG3226" t="s">
        <v>28031</v>
      </c>
      <c r="BH3226" t="s">
        <v>28032</v>
      </c>
      <c r="BI3226" t="s">
        <v>28033</v>
      </c>
      <c r="BJ3226" t="s">
        <v>101</v>
      </c>
      <c r="BK3226" t="s">
        <v>23998</v>
      </c>
      <c r="BL3226" t="s">
        <v>21982</v>
      </c>
      <c r="BM3226" t="s">
        <v>23204</v>
      </c>
      <c r="BN3226" t="s">
        <v>27621</v>
      </c>
    </row>
    <row r="3227" spans="1:66" x14ac:dyDescent="0.25">
      <c r="A3227" t="str">
        <f>HYPERLINK("https://elite.finviz.com/quote.ashx?t=VRCA&amp;ty=c&amp;p=d&amp;b=1", "VRCA")</f>
        <v>VRCA</v>
      </c>
      <c r="B3227">
        <v>4</v>
      </c>
      <c r="C3227">
        <v>105.92</v>
      </c>
      <c r="D3227">
        <v>31.39</v>
      </c>
      <c r="E3227" t="s">
        <v>28034</v>
      </c>
      <c r="F3227" t="s">
        <v>107</v>
      </c>
      <c r="G3227" t="s">
        <v>428</v>
      </c>
      <c r="H3227" t="s">
        <v>429</v>
      </c>
      <c r="I3227" t="s">
        <v>70</v>
      </c>
      <c r="J3227" t="s">
        <v>321</v>
      </c>
      <c r="K3227">
        <v>38.49</v>
      </c>
      <c r="L3227">
        <v>4.08</v>
      </c>
      <c r="M3227" t="s">
        <v>1445</v>
      </c>
      <c r="N3227">
        <v>12144</v>
      </c>
      <c r="R3227">
        <v>2.62</v>
      </c>
      <c r="AA3227">
        <v>-8.3000000000000007</v>
      </c>
      <c r="AB3227" t="s">
        <v>8607</v>
      </c>
      <c r="AC3227" t="s">
        <v>8470</v>
      </c>
      <c r="AD3227" t="s">
        <v>28035</v>
      </c>
      <c r="AE3227" t="s">
        <v>7685</v>
      </c>
      <c r="AF3227" t="s">
        <v>8252</v>
      </c>
      <c r="AH3227" t="s">
        <v>28036</v>
      </c>
      <c r="AI3227" t="s">
        <v>28037</v>
      </c>
      <c r="AJ3227" t="s">
        <v>164</v>
      </c>
      <c r="AK3227" t="s">
        <v>6623</v>
      </c>
      <c r="AL3227">
        <v>1.26</v>
      </c>
      <c r="AM3227">
        <v>1.17</v>
      </c>
      <c r="AO3227" t="s">
        <v>28038</v>
      </c>
      <c r="AP3227" t="s">
        <v>28039</v>
      </c>
      <c r="AQ3227" t="s">
        <v>28040</v>
      </c>
      <c r="AR3227" t="s">
        <v>3368</v>
      </c>
      <c r="AS3227" t="s">
        <v>637</v>
      </c>
      <c r="AT3227" t="s">
        <v>13455</v>
      </c>
      <c r="AU3227" t="s">
        <v>8300</v>
      </c>
      <c r="AV3227" t="s">
        <v>21086</v>
      </c>
      <c r="AW3227" t="s">
        <v>18346</v>
      </c>
      <c r="AX3227" t="s">
        <v>4892</v>
      </c>
      <c r="AY3227" t="s">
        <v>28041</v>
      </c>
      <c r="AZ3227" t="s">
        <v>9703</v>
      </c>
      <c r="BA3227">
        <v>2</v>
      </c>
      <c r="BB3227">
        <v>192.76</v>
      </c>
      <c r="BC3227">
        <v>0.22</v>
      </c>
      <c r="BD3227">
        <v>4.09</v>
      </c>
      <c r="BE3227">
        <v>4.12</v>
      </c>
      <c r="BF3227">
        <v>4</v>
      </c>
      <c r="BG3227" t="s">
        <v>28042</v>
      </c>
      <c r="BH3227" t="s">
        <v>12443</v>
      </c>
      <c r="BI3227" t="s">
        <v>9703</v>
      </c>
      <c r="BJ3227" t="s">
        <v>101</v>
      </c>
      <c r="BK3227" t="s">
        <v>13815</v>
      </c>
      <c r="BL3227" t="s">
        <v>10431</v>
      </c>
      <c r="BM3227" t="s">
        <v>28043</v>
      </c>
      <c r="BN3227" t="s">
        <v>27621</v>
      </c>
    </row>
    <row r="3228" spans="1:66" x14ac:dyDescent="0.25">
      <c r="A3228" t="str">
        <f>HYPERLINK("https://elite.finviz.com/quote.ashx?t=SSD&amp;ty=c&amp;p=d&amp;b=1", "SSD")</f>
        <v>SSD</v>
      </c>
      <c r="B3228">
        <v>4</v>
      </c>
      <c r="C3228">
        <v>105.92</v>
      </c>
      <c r="D3228">
        <v>31.45</v>
      </c>
      <c r="E3228" t="s">
        <v>28044</v>
      </c>
      <c r="F3228" t="s">
        <v>107</v>
      </c>
      <c r="G3228" t="s">
        <v>355</v>
      </c>
      <c r="H3228" t="s">
        <v>23334</v>
      </c>
      <c r="I3228" t="s">
        <v>70</v>
      </c>
      <c r="J3228" t="s">
        <v>71</v>
      </c>
      <c r="K3228">
        <v>7169</v>
      </c>
      <c r="L3228">
        <v>172.26</v>
      </c>
      <c r="M3228" t="s">
        <v>2263</v>
      </c>
      <c r="N3228">
        <v>38929</v>
      </c>
      <c r="O3228">
        <v>21.94</v>
      </c>
      <c r="P3228">
        <v>19.52</v>
      </c>
      <c r="R3228">
        <v>3.15</v>
      </c>
      <c r="S3228">
        <v>3.71</v>
      </c>
      <c r="T3228" t="s">
        <v>1022</v>
      </c>
      <c r="U3228">
        <v>1.1299999999999999</v>
      </c>
      <c r="V3228" t="s">
        <v>5149</v>
      </c>
      <c r="W3228" t="s">
        <v>5592</v>
      </c>
      <c r="X3228" t="s">
        <v>3519</v>
      </c>
      <c r="Y3228" t="s">
        <v>3469</v>
      </c>
      <c r="Z3228" t="s">
        <v>5775</v>
      </c>
      <c r="AA3228">
        <v>7.85</v>
      </c>
      <c r="AB3228" t="s">
        <v>2967</v>
      </c>
      <c r="AC3228" t="s">
        <v>6406</v>
      </c>
      <c r="AE3228" t="s">
        <v>5132</v>
      </c>
      <c r="AF3228" t="s">
        <v>3857</v>
      </c>
      <c r="AG3228" t="s">
        <v>11732</v>
      </c>
      <c r="AH3228" t="s">
        <v>2064</v>
      </c>
      <c r="AI3228" t="s">
        <v>3076</v>
      </c>
      <c r="AJ3228" t="s">
        <v>6464</v>
      </c>
      <c r="AK3228" t="s">
        <v>28045</v>
      </c>
      <c r="AL3228">
        <v>3.37</v>
      </c>
      <c r="AM3228">
        <v>1.8</v>
      </c>
      <c r="AN3228">
        <v>0.25</v>
      </c>
      <c r="AO3228" t="s">
        <v>20476</v>
      </c>
      <c r="AP3228" t="s">
        <v>14442</v>
      </c>
      <c r="AQ3228" t="s">
        <v>3815</v>
      </c>
      <c r="AR3228" t="s">
        <v>2421</v>
      </c>
      <c r="AS3228" t="s">
        <v>2421</v>
      </c>
      <c r="AT3228" t="s">
        <v>7347</v>
      </c>
      <c r="AU3228" t="s">
        <v>2951</v>
      </c>
      <c r="AV3228" t="s">
        <v>8013</v>
      </c>
      <c r="AW3228" t="s">
        <v>1208</v>
      </c>
      <c r="AX3228" t="s">
        <v>5308</v>
      </c>
      <c r="AY3228" t="s">
        <v>1208</v>
      </c>
      <c r="AZ3228" t="s">
        <v>3969</v>
      </c>
      <c r="BA3228">
        <v>2.25</v>
      </c>
      <c r="BB3228">
        <v>295.43</v>
      </c>
      <c r="BC3228">
        <v>0.46</v>
      </c>
      <c r="BD3228">
        <v>172.86</v>
      </c>
      <c r="BE3228">
        <v>174.19</v>
      </c>
      <c r="BF3228">
        <v>172.07</v>
      </c>
      <c r="BG3228" t="s">
        <v>28046</v>
      </c>
      <c r="BH3228" t="s">
        <v>28047</v>
      </c>
      <c r="BI3228" t="s">
        <v>28048</v>
      </c>
      <c r="BJ3228" t="s">
        <v>101</v>
      </c>
      <c r="BK3228" t="s">
        <v>127</v>
      </c>
      <c r="BL3228" t="s">
        <v>6456</v>
      </c>
      <c r="BM3228" t="s">
        <v>2888</v>
      </c>
      <c r="BN3228" t="s">
        <v>27621</v>
      </c>
    </row>
    <row r="3229" spans="1:66" x14ac:dyDescent="0.25">
      <c r="A3229" t="str">
        <f>HYPERLINK("https://elite.finviz.com/quote.ashx?t=GTY&amp;ty=c&amp;p=d&amp;b=1", "GTY")</f>
        <v>GTY</v>
      </c>
      <c r="B3229">
        <v>4</v>
      </c>
      <c r="C3229">
        <v>105.92</v>
      </c>
      <c r="D3229">
        <v>31.46</v>
      </c>
      <c r="E3229" t="s">
        <v>28049</v>
      </c>
      <c r="F3229" t="s">
        <v>67</v>
      </c>
      <c r="G3229" t="s">
        <v>68</v>
      </c>
      <c r="H3229" t="s">
        <v>160</v>
      </c>
      <c r="I3229" t="s">
        <v>70</v>
      </c>
      <c r="J3229" t="s">
        <v>71</v>
      </c>
      <c r="K3229">
        <v>1509.33</v>
      </c>
      <c r="L3229">
        <v>26.67</v>
      </c>
      <c r="M3229" t="s">
        <v>5253</v>
      </c>
      <c r="N3229">
        <v>37911</v>
      </c>
      <c r="O3229">
        <v>23.21</v>
      </c>
      <c r="P3229">
        <v>20.420000000000002</v>
      </c>
      <c r="Q3229">
        <v>8.14</v>
      </c>
      <c r="R3229">
        <v>7.18</v>
      </c>
      <c r="S3229">
        <v>1.54</v>
      </c>
      <c r="T3229" t="s">
        <v>906</v>
      </c>
      <c r="U3229">
        <v>1.88</v>
      </c>
      <c r="V3229" t="s">
        <v>2651</v>
      </c>
      <c r="W3229" t="s">
        <v>4269</v>
      </c>
      <c r="X3229" t="s">
        <v>3545</v>
      </c>
      <c r="Y3229" t="s">
        <v>6419</v>
      </c>
      <c r="Z3229" t="s">
        <v>28050</v>
      </c>
      <c r="AA3229">
        <v>1.1499999999999999</v>
      </c>
      <c r="AB3229" t="s">
        <v>7865</v>
      </c>
      <c r="AC3229" t="s">
        <v>1279</v>
      </c>
      <c r="AD3229" t="s">
        <v>205</v>
      </c>
      <c r="AE3229" t="s">
        <v>6106</v>
      </c>
      <c r="AF3229" t="s">
        <v>3983</v>
      </c>
      <c r="AG3229" t="s">
        <v>1207</v>
      </c>
      <c r="AH3229" t="s">
        <v>6330</v>
      </c>
      <c r="AI3229" t="s">
        <v>9283</v>
      </c>
      <c r="AJ3229" t="s">
        <v>164</v>
      </c>
      <c r="AK3229" t="s">
        <v>28051</v>
      </c>
      <c r="AL3229">
        <v>1.32</v>
      </c>
      <c r="AM3229">
        <v>1.32</v>
      </c>
      <c r="AN3229">
        <v>0.95</v>
      </c>
      <c r="AO3229" t="s">
        <v>24151</v>
      </c>
      <c r="AP3229" t="s">
        <v>13607</v>
      </c>
      <c r="AQ3229" t="s">
        <v>3618</v>
      </c>
      <c r="AR3229" t="s">
        <v>3551</v>
      </c>
      <c r="AS3229" t="s">
        <v>5692</v>
      </c>
      <c r="AT3229" t="s">
        <v>8534</v>
      </c>
      <c r="AU3229" t="s">
        <v>5246</v>
      </c>
      <c r="AV3229" t="s">
        <v>7972</v>
      </c>
      <c r="AW3229" t="s">
        <v>8659</v>
      </c>
      <c r="AX3229" t="s">
        <v>4552</v>
      </c>
      <c r="AY3229" t="s">
        <v>24730</v>
      </c>
      <c r="AZ3229" t="s">
        <v>4552</v>
      </c>
      <c r="BA3229">
        <v>2.25</v>
      </c>
      <c r="BB3229">
        <v>366.12</v>
      </c>
      <c r="BC3229">
        <v>0.36</v>
      </c>
      <c r="BD3229">
        <v>26.49</v>
      </c>
      <c r="BE3229">
        <v>26.74</v>
      </c>
      <c r="BF3229">
        <v>26.52</v>
      </c>
      <c r="BG3229" t="s">
        <v>28052</v>
      </c>
      <c r="BH3229" t="s">
        <v>26607</v>
      </c>
      <c r="BI3229" t="s">
        <v>28053</v>
      </c>
      <c r="BJ3229" t="s">
        <v>101</v>
      </c>
      <c r="BK3229" t="s">
        <v>2204</v>
      </c>
      <c r="BL3229" t="s">
        <v>14968</v>
      </c>
      <c r="BM3229" t="s">
        <v>20311</v>
      </c>
      <c r="BN3229" t="s">
        <v>27621</v>
      </c>
    </row>
    <row r="3230" spans="1:66" x14ac:dyDescent="0.25">
      <c r="A3230" t="str">
        <f>HYPERLINK("https://elite.finviz.com/quote.ashx?t=AVNT&amp;ty=c&amp;p=d&amp;b=1", "AVNT")</f>
        <v>AVNT</v>
      </c>
      <c r="B3230">
        <v>4</v>
      </c>
      <c r="C3230">
        <v>105.92</v>
      </c>
      <c r="D3230">
        <v>31.53</v>
      </c>
      <c r="E3230" t="s">
        <v>28054</v>
      </c>
      <c r="F3230" t="s">
        <v>67</v>
      </c>
      <c r="G3230" t="s">
        <v>355</v>
      </c>
      <c r="H3230" t="s">
        <v>1147</v>
      </c>
      <c r="I3230" t="s">
        <v>70</v>
      </c>
      <c r="J3230" t="s">
        <v>71</v>
      </c>
      <c r="K3230">
        <v>2982.39</v>
      </c>
      <c r="L3230">
        <v>32.58</v>
      </c>
      <c r="M3230" t="s">
        <v>4507</v>
      </c>
      <c r="N3230">
        <v>75327</v>
      </c>
      <c r="O3230">
        <v>25.22</v>
      </c>
      <c r="P3230">
        <v>10.41</v>
      </c>
      <c r="Q3230">
        <v>2.64</v>
      </c>
      <c r="R3230">
        <v>0.92</v>
      </c>
      <c r="S3230">
        <v>1.26</v>
      </c>
      <c r="T3230" t="s">
        <v>1776</v>
      </c>
      <c r="U3230">
        <v>1.08</v>
      </c>
      <c r="V3230" t="s">
        <v>2620</v>
      </c>
      <c r="W3230" t="s">
        <v>3433</v>
      </c>
      <c r="X3230" t="s">
        <v>4641</v>
      </c>
      <c r="Y3230" t="s">
        <v>204</v>
      </c>
      <c r="Z3230" t="s">
        <v>2141</v>
      </c>
      <c r="AA3230">
        <v>1.29</v>
      </c>
      <c r="AB3230" t="s">
        <v>501</v>
      </c>
      <c r="AC3230" t="s">
        <v>3925</v>
      </c>
      <c r="AD3230" t="s">
        <v>4248</v>
      </c>
      <c r="AE3230" t="s">
        <v>7284</v>
      </c>
      <c r="AF3230" t="s">
        <v>10808</v>
      </c>
      <c r="AG3230" t="s">
        <v>179</v>
      </c>
      <c r="AH3230" t="s">
        <v>5258</v>
      </c>
      <c r="AI3230" t="s">
        <v>2619</v>
      </c>
      <c r="AJ3230" t="s">
        <v>164</v>
      </c>
      <c r="AK3230" t="s">
        <v>28055</v>
      </c>
      <c r="AL3230">
        <v>2.0299999999999998</v>
      </c>
      <c r="AM3230">
        <v>1.5</v>
      </c>
      <c r="AN3230">
        <v>0.86</v>
      </c>
      <c r="AO3230" t="s">
        <v>9305</v>
      </c>
      <c r="AP3230" t="s">
        <v>296</v>
      </c>
      <c r="AQ3230" t="s">
        <v>891</v>
      </c>
      <c r="AR3230" t="s">
        <v>170</v>
      </c>
      <c r="AS3230" t="s">
        <v>248</v>
      </c>
      <c r="AT3230" t="s">
        <v>4478</v>
      </c>
      <c r="AU3230" t="s">
        <v>1153</v>
      </c>
      <c r="AV3230" t="s">
        <v>779</v>
      </c>
      <c r="AW3230" t="s">
        <v>10404</v>
      </c>
      <c r="AX3230" t="s">
        <v>995</v>
      </c>
      <c r="AY3230" t="s">
        <v>28056</v>
      </c>
      <c r="AZ3230" t="s">
        <v>12437</v>
      </c>
      <c r="BA3230">
        <v>1.44</v>
      </c>
      <c r="BB3230">
        <v>705.14</v>
      </c>
      <c r="BC3230">
        <v>0.38</v>
      </c>
      <c r="BD3230">
        <v>32.56</v>
      </c>
      <c r="BE3230">
        <v>32.85</v>
      </c>
      <c r="BF3230">
        <v>32.49</v>
      </c>
      <c r="BG3230" t="s">
        <v>28057</v>
      </c>
      <c r="BH3230" t="s">
        <v>9812</v>
      </c>
      <c r="BI3230" t="s">
        <v>28058</v>
      </c>
      <c r="BJ3230" t="s">
        <v>101</v>
      </c>
      <c r="BK3230" t="s">
        <v>1067</v>
      </c>
      <c r="BL3230" t="s">
        <v>360</v>
      </c>
      <c r="BM3230" t="s">
        <v>28059</v>
      </c>
      <c r="BN3230" t="s">
        <v>27621</v>
      </c>
    </row>
    <row r="3231" spans="1:66" x14ac:dyDescent="0.25">
      <c r="A3231" t="str">
        <f>HYPERLINK("https://elite.finviz.com/quote.ashx?t=HIND&amp;ty=c&amp;p=d&amp;b=1", "HIND")</f>
        <v>HIND</v>
      </c>
      <c r="B3231">
        <v>4</v>
      </c>
      <c r="C3231">
        <v>105.92</v>
      </c>
      <c r="D3231">
        <v>31.59</v>
      </c>
      <c r="E3231" t="s">
        <v>28060</v>
      </c>
      <c r="F3231" t="s">
        <v>107</v>
      </c>
      <c r="G3231" t="s">
        <v>428</v>
      </c>
      <c r="H3231" t="s">
        <v>429</v>
      </c>
      <c r="I3231" t="s">
        <v>70</v>
      </c>
      <c r="J3231" t="s">
        <v>321</v>
      </c>
      <c r="K3231">
        <v>3.49</v>
      </c>
      <c r="L3231">
        <v>5.19</v>
      </c>
      <c r="M3231" t="s">
        <v>5621</v>
      </c>
      <c r="N3231">
        <v>24457</v>
      </c>
      <c r="R3231">
        <v>0.54</v>
      </c>
      <c r="S3231">
        <v>0.57999999999999996</v>
      </c>
      <c r="AA3231">
        <v>-485.03</v>
      </c>
      <c r="AB3231" t="s">
        <v>28061</v>
      </c>
      <c r="AC3231" t="s">
        <v>28062</v>
      </c>
      <c r="AE3231" t="s">
        <v>157</v>
      </c>
      <c r="AF3231" t="s">
        <v>18055</v>
      </c>
      <c r="AG3231" t="s">
        <v>5761</v>
      </c>
      <c r="AH3231" t="s">
        <v>27355</v>
      </c>
      <c r="AJ3231" t="s">
        <v>164</v>
      </c>
      <c r="AK3231" t="s">
        <v>2424</v>
      </c>
      <c r="AL3231">
        <v>2.77</v>
      </c>
      <c r="AM3231">
        <v>1.97</v>
      </c>
      <c r="AN3231">
        <v>0.02</v>
      </c>
      <c r="AO3231" t="s">
        <v>19306</v>
      </c>
      <c r="AP3231" t="s">
        <v>27891</v>
      </c>
      <c r="AQ3231" t="s">
        <v>28063</v>
      </c>
      <c r="AR3231" t="s">
        <v>4193</v>
      </c>
      <c r="AS3231" t="s">
        <v>11924</v>
      </c>
      <c r="AT3231" t="s">
        <v>10593</v>
      </c>
      <c r="AU3231" t="s">
        <v>24751</v>
      </c>
      <c r="AV3231" t="s">
        <v>28064</v>
      </c>
      <c r="AW3231" t="s">
        <v>26266</v>
      </c>
      <c r="AX3231" t="s">
        <v>248</v>
      </c>
      <c r="AY3231" t="s">
        <v>5920</v>
      </c>
      <c r="AZ3231" t="s">
        <v>248</v>
      </c>
      <c r="BA3231">
        <v>1</v>
      </c>
      <c r="BB3231">
        <v>549.26</v>
      </c>
      <c r="BC3231">
        <v>0.16</v>
      </c>
      <c r="BD3231">
        <v>5.41</v>
      </c>
      <c r="BE3231">
        <v>5.5</v>
      </c>
      <c r="BF3231">
        <v>5.04</v>
      </c>
      <c r="BG3231" t="s">
        <v>28065</v>
      </c>
      <c r="BH3231" t="s">
        <v>579</v>
      </c>
      <c r="BI3231" t="s">
        <v>248</v>
      </c>
      <c r="BJ3231" t="s">
        <v>101</v>
      </c>
      <c r="BK3231" t="s">
        <v>10023</v>
      </c>
      <c r="BL3231" t="s">
        <v>28066</v>
      </c>
      <c r="BM3231" t="s">
        <v>28067</v>
      </c>
      <c r="BN3231" t="s">
        <v>27621</v>
      </c>
    </row>
    <row r="3232" spans="1:66" x14ac:dyDescent="0.25">
      <c r="A3232" t="str">
        <f>HYPERLINK("https://elite.finviz.com/quote.ashx?t=MRTN&amp;ty=c&amp;p=d&amp;b=1", "MRTN")</f>
        <v>MRTN</v>
      </c>
      <c r="B3232">
        <v>4</v>
      </c>
      <c r="C3232">
        <v>105.92</v>
      </c>
      <c r="D3232">
        <v>31.65</v>
      </c>
      <c r="E3232" t="s">
        <v>28068</v>
      </c>
      <c r="F3232" t="s">
        <v>67</v>
      </c>
      <c r="G3232" t="s">
        <v>260</v>
      </c>
      <c r="H3232" t="s">
        <v>6190</v>
      </c>
      <c r="I3232" t="s">
        <v>70</v>
      </c>
      <c r="J3232" t="s">
        <v>321</v>
      </c>
      <c r="K3232">
        <v>877.57</v>
      </c>
      <c r="L3232">
        <v>10.77</v>
      </c>
      <c r="M3232" t="s">
        <v>4237</v>
      </c>
      <c r="N3232">
        <v>46725</v>
      </c>
      <c r="O3232">
        <v>41.95</v>
      </c>
      <c r="P3232">
        <v>25.33</v>
      </c>
      <c r="R3232">
        <v>0.95</v>
      </c>
      <c r="S3232">
        <v>1.1399999999999999</v>
      </c>
      <c r="T3232" t="s">
        <v>2868</v>
      </c>
      <c r="U3232">
        <v>0.24</v>
      </c>
      <c r="V3232" t="s">
        <v>5925</v>
      </c>
      <c r="W3232" t="s">
        <v>164</v>
      </c>
      <c r="X3232" t="s">
        <v>5699</v>
      </c>
      <c r="Y3232" t="s">
        <v>1628</v>
      </c>
      <c r="Z3232" t="s">
        <v>17427</v>
      </c>
      <c r="AA3232">
        <v>0.26</v>
      </c>
      <c r="AB3232" t="s">
        <v>25876</v>
      </c>
      <c r="AC3232" t="s">
        <v>14689</v>
      </c>
      <c r="AE3232" t="s">
        <v>10195</v>
      </c>
      <c r="AF3232" t="s">
        <v>9925</v>
      </c>
      <c r="AG3232" t="s">
        <v>2496</v>
      </c>
      <c r="AH3232" t="s">
        <v>7219</v>
      </c>
      <c r="AI3232" t="s">
        <v>6928</v>
      </c>
      <c r="AJ3232" t="s">
        <v>4539</v>
      </c>
      <c r="AK3232" t="s">
        <v>28069</v>
      </c>
      <c r="AL3232">
        <v>1.34</v>
      </c>
      <c r="AM3232">
        <v>1.34</v>
      </c>
      <c r="AN3232">
        <v>0</v>
      </c>
      <c r="AO3232" t="s">
        <v>336</v>
      </c>
      <c r="AP3232" t="s">
        <v>2307</v>
      </c>
      <c r="AQ3232" t="s">
        <v>6003</v>
      </c>
      <c r="AR3232" t="s">
        <v>911</v>
      </c>
      <c r="AS3232" t="s">
        <v>387</v>
      </c>
      <c r="AT3232" t="s">
        <v>4021</v>
      </c>
      <c r="AU3232" t="s">
        <v>15437</v>
      </c>
      <c r="AV3232" t="s">
        <v>9171</v>
      </c>
      <c r="AW3232" t="s">
        <v>18613</v>
      </c>
      <c r="AX3232" t="s">
        <v>3024</v>
      </c>
      <c r="AY3232" t="s">
        <v>6018</v>
      </c>
      <c r="AZ3232" t="s">
        <v>3024</v>
      </c>
      <c r="BA3232">
        <v>3</v>
      </c>
      <c r="BB3232">
        <v>632.80999999999995</v>
      </c>
      <c r="BC3232">
        <v>0.26</v>
      </c>
      <c r="BD3232">
        <v>10.76</v>
      </c>
      <c r="BE3232">
        <v>10.83</v>
      </c>
      <c r="BF3232">
        <v>10.71</v>
      </c>
      <c r="BG3232" t="s">
        <v>28070</v>
      </c>
      <c r="BH3232" t="s">
        <v>28071</v>
      </c>
      <c r="BI3232" t="s">
        <v>28072</v>
      </c>
      <c r="BJ3232" t="s">
        <v>101</v>
      </c>
      <c r="BK3232" t="s">
        <v>19748</v>
      </c>
      <c r="BL3232" t="s">
        <v>16057</v>
      </c>
      <c r="BM3232" t="s">
        <v>6248</v>
      </c>
      <c r="BN3232" t="s">
        <v>27621</v>
      </c>
    </row>
    <row r="3233" spans="1:66" x14ac:dyDescent="0.25">
      <c r="A3233" t="str">
        <f>HYPERLINK("https://elite.finviz.com/quote.ashx?t=WVVI&amp;ty=c&amp;p=d&amp;b=1", "WVVI")</f>
        <v>WVVI</v>
      </c>
      <c r="B3233">
        <v>4</v>
      </c>
      <c r="C3233">
        <v>105.92</v>
      </c>
      <c r="D3233">
        <v>31.88</v>
      </c>
      <c r="E3233" t="s">
        <v>28073</v>
      </c>
      <c r="F3233" t="s">
        <v>107</v>
      </c>
      <c r="G3233" t="s">
        <v>2244</v>
      </c>
      <c r="H3233" t="s">
        <v>2245</v>
      </c>
      <c r="I3233" t="s">
        <v>70</v>
      </c>
      <c r="J3233" t="s">
        <v>321</v>
      </c>
      <c r="K3233">
        <v>17.14</v>
      </c>
      <c r="L3233">
        <v>3.45</v>
      </c>
      <c r="M3233" t="s">
        <v>8789</v>
      </c>
      <c r="N3233">
        <v>1098</v>
      </c>
      <c r="R3233">
        <v>0.45</v>
      </c>
      <c r="S3233">
        <v>0.71</v>
      </c>
      <c r="AA3233">
        <v>-0.54</v>
      </c>
      <c r="AE3233" t="s">
        <v>1080</v>
      </c>
      <c r="AF3233" t="s">
        <v>1021</v>
      </c>
      <c r="AG3233" t="s">
        <v>1064</v>
      </c>
      <c r="AH3233" t="s">
        <v>3831</v>
      </c>
      <c r="AJ3233" t="s">
        <v>3226</v>
      </c>
      <c r="AK3233" t="s">
        <v>73</v>
      </c>
      <c r="AL3233">
        <v>4.07</v>
      </c>
      <c r="AM3233">
        <v>0.37</v>
      </c>
      <c r="AN3233">
        <v>0.43</v>
      </c>
      <c r="AO3233" t="s">
        <v>25624</v>
      </c>
      <c r="AP3233" t="s">
        <v>7464</v>
      </c>
      <c r="AQ3233" t="s">
        <v>5612</v>
      </c>
      <c r="AR3233" t="s">
        <v>10407</v>
      </c>
      <c r="AS3233" t="s">
        <v>1507</v>
      </c>
      <c r="AT3233" t="s">
        <v>14231</v>
      </c>
      <c r="AU3233" t="s">
        <v>23659</v>
      </c>
      <c r="AV3233" t="s">
        <v>15223</v>
      </c>
      <c r="AW3233" t="s">
        <v>5141</v>
      </c>
      <c r="AX3233" t="s">
        <v>1872</v>
      </c>
      <c r="AY3233" t="s">
        <v>23539</v>
      </c>
      <c r="AZ3233" t="s">
        <v>4718</v>
      </c>
      <c r="BB3233">
        <v>7.16</v>
      </c>
      <c r="BC3233">
        <v>0.55000000000000004</v>
      </c>
      <c r="BD3233">
        <v>3.5</v>
      </c>
      <c r="BE3233">
        <v>3.45</v>
      </c>
      <c r="BF3233">
        <v>3.45</v>
      </c>
      <c r="BG3233" t="s">
        <v>28074</v>
      </c>
      <c r="BH3233" t="s">
        <v>23913</v>
      </c>
      <c r="BI3233" t="s">
        <v>28075</v>
      </c>
      <c r="BJ3233" t="s">
        <v>101</v>
      </c>
      <c r="BK3233" t="s">
        <v>23170</v>
      </c>
      <c r="BL3233" t="s">
        <v>28076</v>
      </c>
      <c r="BM3233" t="s">
        <v>8789</v>
      </c>
      <c r="BN3233" t="s">
        <v>27621</v>
      </c>
    </row>
    <row r="3234" spans="1:66" x14ac:dyDescent="0.25">
      <c r="A3234" t="str">
        <f>HYPERLINK("https://elite.finviz.com/quote.ashx?t=INGR&amp;ty=c&amp;p=d&amp;b=1", "INGR")</f>
        <v>INGR</v>
      </c>
      <c r="B3234">
        <v>4</v>
      </c>
      <c r="C3234">
        <v>105.92</v>
      </c>
      <c r="D3234">
        <v>31.88</v>
      </c>
      <c r="E3234" t="s">
        <v>28077</v>
      </c>
      <c r="F3234" t="s">
        <v>107</v>
      </c>
      <c r="G3234" t="s">
        <v>2244</v>
      </c>
      <c r="H3234" t="s">
        <v>3269</v>
      </c>
      <c r="I3234" t="s">
        <v>70</v>
      </c>
      <c r="J3234" t="s">
        <v>71</v>
      </c>
      <c r="K3234">
        <v>7789.58</v>
      </c>
      <c r="L3234">
        <v>121.37</v>
      </c>
      <c r="M3234" t="s">
        <v>2641</v>
      </c>
      <c r="N3234">
        <v>59912</v>
      </c>
      <c r="O3234">
        <v>11.84</v>
      </c>
      <c r="P3234">
        <v>10.28</v>
      </c>
      <c r="Q3234">
        <v>2.44</v>
      </c>
      <c r="R3234">
        <v>1.06</v>
      </c>
      <c r="S3234">
        <v>1.86</v>
      </c>
      <c r="T3234" t="s">
        <v>2743</v>
      </c>
      <c r="U3234">
        <v>3.2</v>
      </c>
      <c r="V3234" t="s">
        <v>700</v>
      </c>
      <c r="W3234" t="s">
        <v>4077</v>
      </c>
      <c r="X3234" t="s">
        <v>1310</v>
      </c>
      <c r="Y3234" t="s">
        <v>3343</v>
      </c>
      <c r="Z3234" t="s">
        <v>15115</v>
      </c>
      <c r="AA3234">
        <v>10.25</v>
      </c>
      <c r="AB3234" t="s">
        <v>28078</v>
      </c>
      <c r="AC3234" t="s">
        <v>3305</v>
      </c>
      <c r="AD3234" t="s">
        <v>4872</v>
      </c>
      <c r="AE3234" t="s">
        <v>6494</v>
      </c>
      <c r="AF3234" t="s">
        <v>1776</v>
      </c>
      <c r="AG3234" t="s">
        <v>2494</v>
      </c>
      <c r="AH3234" t="s">
        <v>12781</v>
      </c>
      <c r="AI3234" t="s">
        <v>2640</v>
      </c>
      <c r="AJ3234" t="s">
        <v>6246</v>
      </c>
      <c r="AK3234" t="s">
        <v>17631</v>
      </c>
      <c r="AL3234">
        <v>2.78</v>
      </c>
      <c r="AM3234">
        <v>1.81</v>
      </c>
      <c r="AN3234">
        <v>0.43</v>
      </c>
      <c r="AO3234" t="s">
        <v>5690</v>
      </c>
      <c r="AP3234" t="s">
        <v>6690</v>
      </c>
      <c r="AQ3234" t="s">
        <v>268</v>
      </c>
      <c r="AR3234" t="s">
        <v>9136</v>
      </c>
      <c r="AS3234" t="s">
        <v>9136</v>
      </c>
      <c r="AT3234" t="s">
        <v>7884</v>
      </c>
      <c r="AU3234" t="s">
        <v>5294</v>
      </c>
      <c r="AV3234" t="s">
        <v>5205</v>
      </c>
      <c r="AW3234" t="s">
        <v>3995</v>
      </c>
      <c r="AX3234" t="s">
        <v>1764</v>
      </c>
      <c r="AY3234" t="s">
        <v>28079</v>
      </c>
      <c r="AZ3234" t="s">
        <v>1764</v>
      </c>
      <c r="BA3234">
        <v>2.5</v>
      </c>
      <c r="BB3234">
        <v>494.34</v>
      </c>
      <c r="BC3234">
        <v>0.43</v>
      </c>
      <c r="BD3234">
        <v>121.01</v>
      </c>
      <c r="BE3234">
        <v>121.93</v>
      </c>
      <c r="BF3234">
        <v>121</v>
      </c>
      <c r="BG3234" t="s">
        <v>28080</v>
      </c>
      <c r="BH3234" t="s">
        <v>28079</v>
      </c>
      <c r="BI3234" t="s">
        <v>28081</v>
      </c>
      <c r="BJ3234" t="s">
        <v>101</v>
      </c>
      <c r="BK3234" t="s">
        <v>4438</v>
      </c>
      <c r="BL3234" t="s">
        <v>7798</v>
      </c>
      <c r="BM3234" t="s">
        <v>16226</v>
      </c>
      <c r="BN3234" t="s">
        <v>27621</v>
      </c>
    </row>
    <row r="3235" spans="1:66" x14ac:dyDescent="0.25">
      <c r="A3235" t="str">
        <f>HYPERLINK("https://elite.finviz.com/quote.ashx?t=BBDC&amp;ty=c&amp;p=d&amp;b=1", "BBDC")</f>
        <v>BBDC</v>
      </c>
      <c r="B3235">
        <v>4</v>
      </c>
      <c r="C3235">
        <v>105.92</v>
      </c>
      <c r="D3235">
        <v>32.200000000000003</v>
      </c>
      <c r="E3235" t="s">
        <v>28082</v>
      </c>
      <c r="F3235" t="s">
        <v>107</v>
      </c>
      <c r="G3235" t="s">
        <v>550</v>
      </c>
      <c r="H3235" t="s">
        <v>2597</v>
      </c>
      <c r="I3235" t="s">
        <v>70</v>
      </c>
      <c r="J3235" t="s">
        <v>71</v>
      </c>
      <c r="K3235">
        <v>942.75</v>
      </c>
      <c r="L3235">
        <v>8.9700000000000006</v>
      </c>
      <c r="M3235" t="s">
        <v>5777</v>
      </c>
      <c r="N3235">
        <v>71080</v>
      </c>
      <c r="O3235">
        <v>9.44</v>
      </c>
      <c r="P3235">
        <v>9.0399999999999991</v>
      </c>
      <c r="R3235">
        <v>3.36</v>
      </c>
      <c r="S3235">
        <v>0.8</v>
      </c>
      <c r="T3235" t="s">
        <v>8051</v>
      </c>
      <c r="U3235">
        <v>1.03</v>
      </c>
      <c r="V3235" t="s">
        <v>7315</v>
      </c>
      <c r="W3235" t="s">
        <v>3856</v>
      </c>
      <c r="X3235" t="s">
        <v>2848</v>
      </c>
      <c r="Y3235" t="s">
        <v>6748</v>
      </c>
      <c r="Z3235" t="s">
        <v>18858</v>
      </c>
      <c r="AA3235">
        <v>0.95</v>
      </c>
      <c r="AH3235" t="s">
        <v>2197</v>
      </c>
      <c r="AI3235" t="s">
        <v>9204</v>
      </c>
      <c r="AJ3235" t="s">
        <v>416</v>
      </c>
      <c r="AK3235" t="s">
        <v>10700</v>
      </c>
      <c r="AR3235" t="s">
        <v>3487</v>
      </c>
      <c r="AS3235" t="s">
        <v>3024</v>
      </c>
      <c r="AT3235" t="s">
        <v>9254</v>
      </c>
      <c r="AU3235" t="s">
        <v>5264</v>
      </c>
      <c r="AV3235" t="s">
        <v>2109</v>
      </c>
      <c r="AW3235" t="s">
        <v>843</v>
      </c>
      <c r="AX3235" t="s">
        <v>6463</v>
      </c>
      <c r="AY3235" t="s">
        <v>14560</v>
      </c>
      <c r="AZ3235" t="s">
        <v>15197</v>
      </c>
      <c r="BB3235">
        <v>423.69</v>
      </c>
      <c r="BC3235">
        <v>0.59</v>
      </c>
      <c r="BD3235">
        <v>9.01</v>
      </c>
      <c r="BE3235">
        <v>9.0500000000000007</v>
      </c>
      <c r="BF3235">
        <v>8.9700000000000006</v>
      </c>
      <c r="BG3235" t="s">
        <v>28083</v>
      </c>
      <c r="BH3235" t="s">
        <v>28084</v>
      </c>
      <c r="BI3235" t="s">
        <v>28085</v>
      </c>
      <c r="BJ3235" t="s">
        <v>101</v>
      </c>
      <c r="BK3235" t="s">
        <v>1722</v>
      </c>
      <c r="BL3235" t="s">
        <v>4101</v>
      </c>
      <c r="BM3235" t="s">
        <v>2101</v>
      </c>
      <c r="BN3235" t="s">
        <v>27621</v>
      </c>
    </row>
    <row r="3236" spans="1:66" x14ac:dyDescent="0.25">
      <c r="A3236" t="str">
        <f>HYPERLINK("https://elite.finviz.com/quote.ashx?t=WEST&amp;ty=c&amp;p=d&amp;b=1", "WEST")</f>
        <v>WEST</v>
      </c>
      <c r="B3236">
        <v>4</v>
      </c>
      <c r="C3236">
        <v>105.92</v>
      </c>
      <c r="D3236">
        <v>32.25</v>
      </c>
      <c r="E3236" t="s">
        <v>28086</v>
      </c>
      <c r="F3236" t="s">
        <v>67</v>
      </c>
      <c r="G3236" t="s">
        <v>2244</v>
      </c>
      <c r="H3236" t="s">
        <v>3269</v>
      </c>
      <c r="I3236" t="s">
        <v>70</v>
      </c>
      <c r="J3236" t="s">
        <v>321</v>
      </c>
      <c r="K3236">
        <v>452.7</v>
      </c>
      <c r="L3236">
        <v>4.78</v>
      </c>
      <c r="M3236" t="s">
        <v>4840</v>
      </c>
      <c r="N3236">
        <v>84908</v>
      </c>
      <c r="P3236">
        <v>41.57</v>
      </c>
      <c r="R3236">
        <v>0.48</v>
      </c>
      <c r="S3236">
        <v>24.81</v>
      </c>
      <c r="AA3236">
        <v>-0.94</v>
      </c>
      <c r="AB3236" t="s">
        <v>5837</v>
      </c>
      <c r="AE3236" t="s">
        <v>7883</v>
      </c>
      <c r="AF3236" t="s">
        <v>5642</v>
      </c>
      <c r="AH3236" t="s">
        <v>9534</v>
      </c>
      <c r="AI3236" t="s">
        <v>27012</v>
      </c>
      <c r="AJ3236" t="s">
        <v>430</v>
      </c>
      <c r="AK3236" t="s">
        <v>11064</v>
      </c>
      <c r="AL3236">
        <v>1.04</v>
      </c>
      <c r="AM3236">
        <v>0.5</v>
      </c>
      <c r="AN3236">
        <v>2</v>
      </c>
      <c r="AO3236" t="s">
        <v>6348</v>
      </c>
      <c r="AP3236" t="s">
        <v>4218</v>
      </c>
      <c r="AQ3236" t="s">
        <v>4229</v>
      </c>
      <c r="AR3236" t="s">
        <v>5527</v>
      </c>
      <c r="AS3236" t="s">
        <v>4551</v>
      </c>
      <c r="AT3236" t="s">
        <v>7449</v>
      </c>
      <c r="AU3236" t="s">
        <v>13007</v>
      </c>
      <c r="AV3236" t="s">
        <v>26495</v>
      </c>
      <c r="AW3236" t="s">
        <v>20255</v>
      </c>
      <c r="AX3236" t="s">
        <v>2662</v>
      </c>
      <c r="AY3236" t="s">
        <v>20143</v>
      </c>
      <c r="AZ3236" t="s">
        <v>2662</v>
      </c>
      <c r="BA3236">
        <v>1</v>
      </c>
      <c r="BB3236">
        <v>493.73</v>
      </c>
      <c r="BC3236">
        <v>0.61</v>
      </c>
      <c r="BD3236">
        <v>4.75</v>
      </c>
      <c r="BE3236">
        <v>4.82</v>
      </c>
      <c r="BF3236">
        <v>4.74</v>
      </c>
      <c r="BG3236" t="s">
        <v>28087</v>
      </c>
      <c r="BH3236" t="s">
        <v>18826</v>
      </c>
      <c r="BI3236" t="s">
        <v>2662</v>
      </c>
      <c r="BJ3236" t="s">
        <v>101</v>
      </c>
      <c r="BK3236" t="s">
        <v>24507</v>
      </c>
      <c r="BL3236" t="s">
        <v>4630</v>
      </c>
      <c r="BM3236" t="s">
        <v>28088</v>
      </c>
      <c r="BN3236" t="s">
        <v>27621</v>
      </c>
    </row>
    <row r="3237" spans="1:66" x14ac:dyDescent="0.25">
      <c r="A3237" t="str">
        <f>HYPERLINK("https://elite.finviz.com/quote.ashx?t=LPX&amp;ty=c&amp;p=d&amp;b=1", "LPX")</f>
        <v>LPX</v>
      </c>
      <c r="B3237">
        <v>4</v>
      </c>
      <c r="C3237">
        <v>105.92</v>
      </c>
      <c r="D3237">
        <v>32.28</v>
      </c>
      <c r="E3237" t="s">
        <v>28089</v>
      </c>
      <c r="F3237" t="s">
        <v>107</v>
      </c>
      <c r="G3237" t="s">
        <v>260</v>
      </c>
      <c r="H3237" t="s">
        <v>3225</v>
      </c>
      <c r="I3237" t="s">
        <v>70</v>
      </c>
      <c r="J3237" t="s">
        <v>71</v>
      </c>
      <c r="K3237">
        <v>5840.11</v>
      </c>
      <c r="L3237">
        <v>83.86</v>
      </c>
      <c r="M3237" t="s">
        <v>6842</v>
      </c>
      <c r="N3237">
        <v>80511</v>
      </c>
      <c r="O3237">
        <v>19.78</v>
      </c>
      <c r="P3237">
        <v>17.989999999999998</v>
      </c>
      <c r="R3237">
        <v>2.0299999999999998</v>
      </c>
      <c r="S3237">
        <v>3.37</v>
      </c>
      <c r="T3237" t="s">
        <v>4881</v>
      </c>
      <c r="U3237">
        <v>1.1000000000000001</v>
      </c>
      <c r="V3237" t="s">
        <v>3046</v>
      </c>
      <c r="W3237" t="s">
        <v>5658</v>
      </c>
      <c r="X3237" t="s">
        <v>11141</v>
      </c>
      <c r="Y3237" t="s">
        <v>3531</v>
      </c>
      <c r="Z3237" t="s">
        <v>6249</v>
      </c>
      <c r="AA3237">
        <v>4.24</v>
      </c>
      <c r="AB3237" t="s">
        <v>24539</v>
      </c>
      <c r="AD3237" t="s">
        <v>4431</v>
      </c>
      <c r="AE3237" t="s">
        <v>9075</v>
      </c>
      <c r="AF3237" t="s">
        <v>9889</v>
      </c>
      <c r="AG3237" t="s">
        <v>7978</v>
      </c>
      <c r="AH3237" t="s">
        <v>2616</v>
      </c>
      <c r="AI3237" t="s">
        <v>8225</v>
      </c>
      <c r="AJ3237" t="s">
        <v>770</v>
      </c>
      <c r="AK3237" t="s">
        <v>5080</v>
      </c>
      <c r="AL3237">
        <v>2.84</v>
      </c>
      <c r="AM3237">
        <v>1.67</v>
      </c>
      <c r="AN3237">
        <v>0.22</v>
      </c>
      <c r="AO3237" t="s">
        <v>7390</v>
      </c>
      <c r="AP3237" t="s">
        <v>5706</v>
      </c>
      <c r="AQ3237" t="s">
        <v>4288</v>
      </c>
      <c r="AR3237" t="s">
        <v>2361</v>
      </c>
      <c r="AS3237" t="s">
        <v>4976</v>
      </c>
      <c r="AT3237" t="s">
        <v>2746</v>
      </c>
      <c r="AU3237" t="s">
        <v>19666</v>
      </c>
      <c r="AV3237" t="s">
        <v>526</v>
      </c>
      <c r="AW3237" t="s">
        <v>11322</v>
      </c>
      <c r="AX3237" t="s">
        <v>4493</v>
      </c>
      <c r="AY3237" t="s">
        <v>28090</v>
      </c>
      <c r="AZ3237" t="s">
        <v>3053</v>
      </c>
      <c r="BA3237">
        <v>2.75</v>
      </c>
      <c r="BB3237">
        <v>810.56</v>
      </c>
      <c r="BC3237">
        <v>0.35</v>
      </c>
      <c r="BD3237">
        <v>83.39</v>
      </c>
      <c r="BE3237">
        <v>84.24</v>
      </c>
      <c r="BF3237">
        <v>83.19</v>
      </c>
      <c r="BG3237" t="s">
        <v>28091</v>
      </c>
      <c r="BH3237" t="s">
        <v>28090</v>
      </c>
      <c r="BI3237" t="s">
        <v>28092</v>
      </c>
      <c r="BJ3237" t="s">
        <v>101</v>
      </c>
      <c r="BK3237" t="s">
        <v>8520</v>
      </c>
      <c r="BL3237" t="s">
        <v>14813</v>
      </c>
      <c r="BM3237" t="s">
        <v>8220</v>
      </c>
      <c r="BN3237" t="s">
        <v>27621</v>
      </c>
    </row>
    <row r="3238" spans="1:66" x14ac:dyDescent="0.25">
      <c r="A3238" t="str">
        <f>HYPERLINK("https://elite.finviz.com/quote.ashx?t=SNBR&amp;ty=c&amp;p=d&amp;b=1", "SNBR")</f>
        <v>SNBR</v>
      </c>
      <c r="B3238">
        <v>4</v>
      </c>
      <c r="C3238">
        <v>105.92</v>
      </c>
      <c r="D3238">
        <v>32.43</v>
      </c>
      <c r="E3238" t="s">
        <v>28093</v>
      </c>
      <c r="F3238" t="s">
        <v>67</v>
      </c>
      <c r="G3238" t="s">
        <v>813</v>
      </c>
      <c r="H3238" t="s">
        <v>3866</v>
      </c>
      <c r="I3238" t="s">
        <v>70</v>
      </c>
      <c r="J3238" t="s">
        <v>321</v>
      </c>
      <c r="K3238">
        <v>167.02</v>
      </c>
      <c r="L3238">
        <v>7.34</v>
      </c>
      <c r="M3238" t="s">
        <v>6245</v>
      </c>
      <c r="N3238">
        <v>52607</v>
      </c>
      <c r="P3238">
        <v>15.92</v>
      </c>
      <c r="R3238">
        <v>0.11</v>
      </c>
      <c r="AA3238">
        <v>-1.82</v>
      </c>
      <c r="AE3238" t="s">
        <v>1339</v>
      </c>
      <c r="AF3238" t="s">
        <v>14481</v>
      </c>
      <c r="AG3238" t="s">
        <v>1648</v>
      </c>
      <c r="AH3238" t="s">
        <v>9565</v>
      </c>
      <c r="AI3238" t="s">
        <v>28094</v>
      </c>
      <c r="AJ3238" t="s">
        <v>2808</v>
      </c>
      <c r="AK3238" t="s">
        <v>21781</v>
      </c>
      <c r="AL3238">
        <v>0.19</v>
      </c>
      <c r="AM3238">
        <v>0.08</v>
      </c>
      <c r="AO3238" t="s">
        <v>15524</v>
      </c>
      <c r="AP3238" t="s">
        <v>3757</v>
      </c>
      <c r="AQ3238" t="s">
        <v>2968</v>
      </c>
      <c r="AR3238" t="s">
        <v>437</v>
      </c>
      <c r="AS3238" t="s">
        <v>3432</v>
      </c>
      <c r="AT3238" t="s">
        <v>23650</v>
      </c>
      <c r="AU3238" t="s">
        <v>26025</v>
      </c>
      <c r="AV3238" t="s">
        <v>21652</v>
      </c>
      <c r="AW3238" t="s">
        <v>23279</v>
      </c>
      <c r="AX3238" t="s">
        <v>15187</v>
      </c>
      <c r="AY3238" t="s">
        <v>28095</v>
      </c>
      <c r="AZ3238" t="s">
        <v>9380</v>
      </c>
      <c r="BA3238">
        <v>3</v>
      </c>
      <c r="BB3238">
        <v>655.12</v>
      </c>
      <c r="BC3238">
        <v>0.28000000000000003</v>
      </c>
      <c r="BD3238">
        <v>7.28</v>
      </c>
      <c r="BE3238">
        <v>7.41</v>
      </c>
      <c r="BF3238">
        <v>7.14</v>
      </c>
      <c r="BG3238" t="s">
        <v>28096</v>
      </c>
      <c r="BH3238" t="s">
        <v>26944</v>
      </c>
      <c r="BI3238" t="s">
        <v>28097</v>
      </c>
      <c r="BJ3238" t="s">
        <v>101</v>
      </c>
      <c r="BK3238" t="s">
        <v>5557</v>
      </c>
      <c r="BL3238" t="s">
        <v>1133</v>
      </c>
      <c r="BM3238" t="s">
        <v>28098</v>
      </c>
      <c r="BN3238" t="s">
        <v>27621</v>
      </c>
    </row>
    <row r="3239" spans="1:66" x14ac:dyDescent="0.25">
      <c r="A3239" t="str">
        <f>HYPERLINK("https://elite.finviz.com/quote.ashx?t=BCSF&amp;ty=c&amp;p=d&amp;b=1", "BCSF")</f>
        <v>BCSF</v>
      </c>
      <c r="B3239">
        <v>4</v>
      </c>
      <c r="C3239">
        <v>105.92</v>
      </c>
      <c r="D3239">
        <v>32.479999999999997</v>
      </c>
      <c r="E3239" t="s">
        <v>28099</v>
      </c>
      <c r="F3239" t="s">
        <v>107</v>
      </c>
      <c r="G3239" t="s">
        <v>550</v>
      </c>
      <c r="H3239" t="s">
        <v>2597</v>
      </c>
      <c r="I3239" t="s">
        <v>70</v>
      </c>
      <c r="J3239" t="s">
        <v>71</v>
      </c>
      <c r="K3239">
        <v>935.4</v>
      </c>
      <c r="L3239">
        <v>14.42</v>
      </c>
      <c r="M3239" t="s">
        <v>770</v>
      </c>
      <c r="N3239">
        <v>86600</v>
      </c>
      <c r="O3239">
        <v>8.67</v>
      </c>
      <c r="P3239">
        <v>8.83</v>
      </c>
      <c r="R3239">
        <v>3.69</v>
      </c>
      <c r="S3239">
        <v>0.82</v>
      </c>
      <c r="T3239" t="s">
        <v>3406</v>
      </c>
      <c r="U3239">
        <v>1.67</v>
      </c>
      <c r="V3239" t="s">
        <v>24131</v>
      </c>
      <c r="W3239" t="s">
        <v>3450</v>
      </c>
      <c r="X3239" t="s">
        <v>3181</v>
      </c>
      <c r="Y3239" t="s">
        <v>5036</v>
      </c>
      <c r="Z3239" t="s">
        <v>19853</v>
      </c>
      <c r="AA3239">
        <v>1.66</v>
      </c>
      <c r="AB3239" t="s">
        <v>4699</v>
      </c>
      <c r="AC3239" t="s">
        <v>2402</v>
      </c>
      <c r="AD3239" t="s">
        <v>16801</v>
      </c>
      <c r="AE3239" t="s">
        <v>5928</v>
      </c>
      <c r="AF3239" t="s">
        <v>4648</v>
      </c>
      <c r="AG3239" t="s">
        <v>616</v>
      </c>
      <c r="AH3239" t="s">
        <v>2877</v>
      </c>
      <c r="AI3239" t="s">
        <v>234</v>
      </c>
      <c r="AJ3239" t="s">
        <v>164</v>
      </c>
      <c r="AK3239" t="s">
        <v>28100</v>
      </c>
      <c r="AL3239">
        <v>6.7</v>
      </c>
      <c r="AM3239">
        <v>6.7</v>
      </c>
      <c r="AN3239">
        <v>1.37</v>
      </c>
      <c r="AO3239" t="s">
        <v>25974</v>
      </c>
      <c r="AP3239" t="s">
        <v>13803</v>
      </c>
      <c r="AQ3239" t="s">
        <v>16592</v>
      </c>
      <c r="AR3239" t="s">
        <v>3925</v>
      </c>
      <c r="AS3239" t="s">
        <v>4275</v>
      </c>
      <c r="AT3239" t="s">
        <v>5189</v>
      </c>
      <c r="AU3239" t="s">
        <v>5246</v>
      </c>
      <c r="AV3239" t="s">
        <v>14960</v>
      </c>
      <c r="AW3239" t="s">
        <v>3502</v>
      </c>
      <c r="AX3239" t="s">
        <v>5380</v>
      </c>
      <c r="AY3239" t="s">
        <v>16874</v>
      </c>
      <c r="AZ3239" t="s">
        <v>236</v>
      </c>
      <c r="BA3239">
        <v>2.33</v>
      </c>
      <c r="BB3239">
        <v>295.5</v>
      </c>
      <c r="BC3239">
        <v>1.04</v>
      </c>
      <c r="BD3239">
        <v>14.44</v>
      </c>
      <c r="BE3239">
        <v>14.55</v>
      </c>
      <c r="BF3239">
        <v>14.38</v>
      </c>
      <c r="BG3239" t="s">
        <v>28101</v>
      </c>
      <c r="BH3239" t="s">
        <v>20571</v>
      </c>
      <c r="BI3239" t="s">
        <v>28102</v>
      </c>
      <c r="BJ3239" t="s">
        <v>101</v>
      </c>
      <c r="BK3239" t="s">
        <v>5928</v>
      </c>
      <c r="BL3239" t="s">
        <v>13455</v>
      </c>
      <c r="BM3239" t="s">
        <v>15204</v>
      </c>
      <c r="BN3239" t="s">
        <v>27621</v>
      </c>
    </row>
    <row r="3240" spans="1:66" x14ac:dyDescent="0.25">
      <c r="A3240" t="str">
        <f>HYPERLINK("https://elite.finviz.com/quote.ashx?t=HCKT&amp;ty=c&amp;p=d&amp;b=1", "HCKT")</f>
        <v>HCKT</v>
      </c>
      <c r="B3240">
        <v>4</v>
      </c>
      <c r="C3240">
        <v>105.92</v>
      </c>
      <c r="D3240">
        <v>32.51</v>
      </c>
      <c r="E3240" t="s">
        <v>28103</v>
      </c>
      <c r="F3240" t="s">
        <v>67</v>
      </c>
      <c r="G3240" t="s">
        <v>108</v>
      </c>
      <c r="H3240" t="s">
        <v>1322</v>
      </c>
      <c r="I3240" t="s">
        <v>70</v>
      </c>
      <c r="J3240" t="s">
        <v>321</v>
      </c>
      <c r="K3240">
        <v>528.20000000000005</v>
      </c>
      <c r="L3240">
        <v>19.2</v>
      </c>
      <c r="M3240" t="s">
        <v>1445</v>
      </c>
      <c r="N3240">
        <v>30159</v>
      </c>
      <c r="O3240">
        <v>32.06</v>
      </c>
      <c r="P3240">
        <v>11.32</v>
      </c>
      <c r="R3240">
        <v>1.67</v>
      </c>
      <c r="S3240">
        <v>4.41</v>
      </c>
      <c r="T3240" t="s">
        <v>5121</v>
      </c>
      <c r="U3240">
        <v>0.47</v>
      </c>
      <c r="V3240" t="s">
        <v>7552</v>
      </c>
      <c r="W3240" t="s">
        <v>164</v>
      </c>
      <c r="X3240" t="s">
        <v>5187</v>
      </c>
      <c r="Y3240" t="s">
        <v>2647</v>
      </c>
      <c r="Z3240" t="s">
        <v>11233</v>
      </c>
      <c r="AA3240">
        <v>0.6</v>
      </c>
      <c r="AB3240" t="s">
        <v>2220</v>
      </c>
      <c r="AC3240" t="s">
        <v>7938</v>
      </c>
      <c r="AE3240" t="s">
        <v>5467</v>
      </c>
      <c r="AF3240" t="s">
        <v>926</v>
      </c>
      <c r="AG3240" t="s">
        <v>212</v>
      </c>
      <c r="AH3240" t="s">
        <v>1760</v>
      </c>
      <c r="AI3240" t="s">
        <v>458</v>
      </c>
      <c r="AJ3240" t="s">
        <v>164</v>
      </c>
      <c r="AK3240" t="s">
        <v>17562</v>
      </c>
      <c r="AL3240">
        <v>1.71</v>
      </c>
      <c r="AM3240">
        <v>1.71</v>
      </c>
      <c r="AN3240">
        <v>0.21</v>
      </c>
      <c r="AO3240" t="s">
        <v>2551</v>
      </c>
      <c r="AP3240" t="s">
        <v>827</v>
      </c>
      <c r="AQ3240" t="s">
        <v>10926</v>
      </c>
      <c r="AR3240" t="s">
        <v>352</v>
      </c>
      <c r="AS3240" t="s">
        <v>6430</v>
      </c>
      <c r="AT3240" t="s">
        <v>2220</v>
      </c>
      <c r="AU3240" t="s">
        <v>1766</v>
      </c>
      <c r="AV3240" t="s">
        <v>17295</v>
      </c>
      <c r="AW3240" t="s">
        <v>14347</v>
      </c>
      <c r="AX3240" t="s">
        <v>182</v>
      </c>
      <c r="AY3240" t="s">
        <v>22529</v>
      </c>
      <c r="AZ3240" t="s">
        <v>182</v>
      </c>
      <c r="BA3240">
        <v>1</v>
      </c>
      <c r="BB3240">
        <v>266.94</v>
      </c>
      <c r="BC3240">
        <v>0.4</v>
      </c>
      <c r="BD3240">
        <v>19.27</v>
      </c>
      <c r="BE3240">
        <v>19.489999999999998</v>
      </c>
      <c r="BF3240">
        <v>19.2</v>
      </c>
      <c r="BG3240" t="s">
        <v>28104</v>
      </c>
      <c r="BH3240" t="s">
        <v>22035</v>
      </c>
      <c r="BI3240" t="s">
        <v>28105</v>
      </c>
      <c r="BJ3240" t="s">
        <v>101</v>
      </c>
      <c r="BK3240" t="s">
        <v>23541</v>
      </c>
      <c r="BL3240" t="s">
        <v>11461</v>
      </c>
      <c r="BM3240" t="s">
        <v>23234</v>
      </c>
      <c r="BN3240" t="s">
        <v>27621</v>
      </c>
    </row>
    <row r="3241" spans="1:66" x14ac:dyDescent="0.25">
      <c r="A3241" t="str">
        <f>HYPERLINK("https://elite.finviz.com/quote.ashx?t=LCII&amp;ty=c&amp;p=d&amp;b=1", "LCII")</f>
        <v>LCII</v>
      </c>
      <c r="B3241">
        <v>4</v>
      </c>
      <c r="C3241">
        <v>105.92</v>
      </c>
      <c r="D3241">
        <v>32.520000000000003</v>
      </c>
      <c r="E3241" t="s">
        <v>28106</v>
      </c>
      <c r="F3241" t="s">
        <v>67</v>
      </c>
      <c r="G3241" t="s">
        <v>813</v>
      </c>
      <c r="H3241" t="s">
        <v>5716</v>
      </c>
      <c r="I3241" t="s">
        <v>70</v>
      </c>
      <c r="J3241" t="s">
        <v>71</v>
      </c>
      <c r="K3241">
        <v>2288.1799999999998</v>
      </c>
      <c r="L3241">
        <v>94.38</v>
      </c>
      <c r="M3241" t="s">
        <v>2294</v>
      </c>
      <c r="N3241">
        <v>20693</v>
      </c>
      <c r="O3241">
        <v>15.73</v>
      </c>
      <c r="P3241">
        <v>13.25</v>
      </c>
      <c r="R3241">
        <v>0.59</v>
      </c>
      <c r="S3241">
        <v>1.69</v>
      </c>
      <c r="T3241" t="s">
        <v>4678</v>
      </c>
      <c r="U3241">
        <v>4.5999999999999996</v>
      </c>
      <c r="V3241" t="s">
        <v>4882</v>
      </c>
      <c r="W3241" t="s">
        <v>4839</v>
      </c>
      <c r="X3241" t="s">
        <v>417</v>
      </c>
      <c r="Y3241" t="s">
        <v>847</v>
      </c>
      <c r="Z3241" t="s">
        <v>28107</v>
      </c>
      <c r="AA3241">
        <v>6</v>
      </c>
      <c r="AB3241" t="s">
        <v>23783</v>
      </c>
      <c r="AC3241" t="s">
        <v>8357</v>
      </c>
      <c r="AE3241" t="s">
        <v>4280</v>
      </c>
      <c r="AF3241" t="s">
        <v>1258</v>
      </c>
      <c r="AG3241" t="s">
        <v>4248</v>
      </c>
      <c r="AH3241" t="s">
        <v>3450</v>
      </c>
      <c r="AI3241" t="s">
        <v>3020</v>
      </c>
      <c r="AJ3241" t="s">
        <v>164</v>
      </c>
      <c r="AK3241" t="s">
        <v>28108</v>
      </c>
      <c r="AL3241">
        <v>2.8</v>
      </c>
      <c r="AM3241">
        <v>1.34</v>
      </c>
      <c r="AN3241">
        <v>0.87</v>
      </c>
      <c r="AO3241" t="s">
        <v>12726</v>
      </c>
      <c r="AP3241" t="s">
        <v>2839</v>
      </c>
      <c r="AQ3241" t="s">
        <v>3334</v>
      </c>
      <c r="AR3241" t="s">
        <v>2808</v>
      </c>
      <c r="AS3241" t="s">
        <v>352</v>
      </c>
      <c r="AT3241" t="s">
        <v>4101</v>
      </c>
      <c r="AU3241" t="s">
        <v>1892</v>
      </c>
      <c r="AV3241" t="s">
        <v>3559</v>
      </c>
      <c r="AW3241" t="s">
        <v>9414</v>
      </c>
      <c r="AX3241" t="s">
        <v>206</v>
      </c>
      <c r="AY3241" t="s">
        <v>28109</v>
      </c>
      <c r="AZ3241" t="s">
        <v>11877</v>
      </c>
      <c r="BA3241">
        <v>2.6</v>
      </c>
      <c r="BB3241">
        <v>313.75</v>
      </c>
      <c r="BC3241">
        <v>0.23</v>
      </c>
      <c r="BD3241">
        <v>94.6</v>
      </c>
      <c r="BE3241">
        <v>95.06</v>
      </c>
      <c r="BF3241">
        <v>94.24</v>
      </c>
      <c r="BG3241" t="s">
        <v>28110</v>
      </c>
      <c r="BH3241" t="s">
        <v>6018</v>
      </c>
      <c r="BI3241" t="s">
        <v>28111</v>
      </c>
      <c r="BJ3241" t="s">
        <v>101</v>
      </c>
      <c r="BK3241" t="s">
        <v>4154</v>
      </c>
      <c r="BL3241" t="s">
        <v>6770</v>
      </c>
      <c r="BM3241" t="s">
        <v>1032</v>
      </c>
      <c r="BN3241" t="s">
        <v>27621</v>
      </c>
    </row>
    <row r="3242" spans="1:66" x14ac:dyDescent="0.25">
      <c r="A3242" t="str">
        <f>HYPERLINK("https://elite.finviz.com/quote.ashx?t=RDZN&amp;ty=c&amp;p=d&amp;b=1", "RDZN")</f>
        <v>RDZN</v>
      </c>
      <c r="B3242">
        <v>4</v>
      </c>
      <c r="C3242">
        <v>105.92</v>
      </c>
      <c r="D3242">
        <v>32.54</v>
      </c>
      <c r="E3242" t="s">
        <v>28112</v>
      </c>
      <c r="F3242" t="s">
        <v>107</v>
      </c>
      <c r="G3242" t="s">
        <v>108</v>
      </c>
      <c r="H3242" t="s">
        <v>136</v>
      </c>
      <c r="I3242" t="s">
        <v>70</v>
      </c>
      <c r="J3242" t="s">
        <v>321</v>
      </c>
      <c r="K3242">
        <v>64.08</v>
      </c>
      <c r="L3242">
        <v>0.84</v>
      </c>
      <c r="M3242" t="s">
        <v>4595</v>
      </c>
      <c r="N3242">
        <v>63674</v>
      </c>
      <c r="P3242">
        <v>8.43</v>
      </c>
      <c r="R3242">
        <v>1.39</v>
      </c>
      <c r="AA3242">
        <v>-0.41</v>
      </c>
      <c r="AB3242" t="s">
        <v>28113</v>
      </c>
      <c r="AE3242" t="s">
        <v>7164</v>
      </c>
      <c r="AH3242" t="s">
        <v>3291</v>
      </c>
      <c r="AI3242" t="s">
        <v>1427</v>
      </c>
      <c r="AJ3242" t="s">
        <v>164</v>
      </c>
      <c r="AK3242" t="s">
        <v>4172</v>
      </c>
      <c r="AL3242">
        <v>0.45</v>
      </c>
      <c r="AM3242">
        <v>0.42</v>
      </c>
      <c r="AO3242" t="s">
        <v>14145</v>
      </c>
      <c r="AP3242" t="s">
        <v>28114</v>
      </c>
      <c r="AQ3242" t="s">
        <v>19350</v>
      </c>
      <c r="AR3242" t="s">
        <v>1889</v>
      </c>
      <c r="AS3242" t="s">
        <v>6008</v>
      </c>
      <c r="AT3242" t="s">
        <v>6107</v>
      </c>
      <c r="AU3242" t="s">
        <v>10719</v>
      </c>
      <c r="AV3242" t="s">
        <v>12972</v>
      </c>
      <c r="AW3242" t="s">
        <v>28115</v>
      </c>
      <c r="AX3242" t="s">
        <v>2572</v>
      </c>
      <c r="AY3242" t="s">
        <v>14266</v>
      </c>
      <c r="AZ3242" t="s">
        <v>14038</v>
      </c>
      <c r="BA3242">
        <v>1</v>
      </c>
      <c r="BB3242">
        <v>449.94</v>
      </c>
      <c r="BC3242">
        <v>0.5</v>
      </c>
      <c r="BD3242">
        <v>0.86</v>
      </c>
      <c r="BE3242">
        <v>0.87</v>
      </c>
      <c r="BF3242">
        <v>0.84</v>
      </c>
      <c r="BG3242" t="s">
        <v>28116</v>
      </c>
      <c r="BH3242" t="s">
        <v>4342</v>
      </c>
      <c r="BI3242" t="s">
        <v>14038</v>
      </c>
      <c r="BJ3242" t="s">
        <v>101</v>
      </c>
      <c r="BK3242" t="s">
        <v>14609</v>
      </c>
      <c r="BL3242" t="s">
        <v>5828</v>
      </c>
      <c r="BM3242" t="s">
        <v>1023</v>
      </c>
      <c r="BN3242" t="s">
        <v>27621</v>
      </c>
    </row>
    <row r="3243" spans="1:66" x14ac:dyDescent="0.25">
      <c r="A3243" t="str">
        <f>HYPERLINK("https://elite.finviz.com/quote.ashx?t=GSHD&amp;ty=c&amp;p=d&amp;b=1", "GSHD")</f>
        <v>GSHD</v>
      </c>
      <c r="B3243">
        <v>4</v>
      </c>
      <c r="C3243">
        <v>105.92</v>
      </c>
      <c r="D3243">
        <v>32.6</v>
      </c>
      <c r="E3243" t="s">
        <v>28117</v>
      </c>
      <c r="F3243" t="s">
        <v>67</v>
      </c>
      <c r="G3243" t="s">
        <v>550</v>
      </c>
      <c r="H3243" t="s">
        <v>10916</v>
      </c>
      <c r="I3243" t="s">
        <v>70</v>
      </c>
      <c r="J3243" t="s">
        <v>321</v>
      </c>
      <c r="K3243">
        <v>2831.5</v>
      </c>
      <c r="L3243">
        <v>75.39</v>
      </c>
      <c r="M3243" t="s">
        <v>2734</v>
      </c>
      <c r="N3243">
        <v>76056</v>
      </c>
      <c r="O3243">
        <v>65.94</v>
      </c>
      <c r="P3243">
        <v>31.2</v>
      </c>
      <c r="Q3243">
        <v>3.74</v>
      </c>
      <c r="R3243">
        <v>8.2899999999999991</v>
      </c>
      <c r="T3243" t="s">
        <v>3758</v>
      </c>
      <c r="V3243" t="s">
        <v>28118</v>
      </c>
      <c r="Z3243" t="s">
        <v>164</v>
      </c>
      <c r="AA3243">
        <v>1.1399999999999999</v>
      </c>
      <c r="AB3243" t="s">
        <v>28119</v>
      </c>
      <c r="AC3243" t="s">
        <v>15866</v>
      </c>
      <c r="AD3243" t="s">
        <v>3888</v>
      </c>
      <c r="AE3243" t="s">
        <v>3844</v>
      </c>
      <c r="AF3243" t="s">
        <v>14730</v>
      </c>
      <c r="AG3243" t="s">
        <v>12257</v>
      </c>
      <c r="AH3243" t="s">
        <v>20980</v>
      </c>
      <c r="AI3243" t="s">
        <v>525</v>
      </c>
      <c r="AJ3243" t="s">
        <v>16945</v>
      </c>
      <c r="AK3243" t="s">
        <v>28120</v>
      </c>
      <c r="AL3243">
        <v>2.92</v>
      </c>
      <c r="AM3243">
        <v>2.92</v>
      </c>
      <c r="AP3243" t="s">
        <v>3373</v>
      </c>
      <c r="AQ3243" t="s">
        <v>2192</v>
      </c>
      <c r="AR3243" t="s">
        <v>8013</v>
      </c>
      <c r="AS3243" t="s">
        <v>5188</v>
      </c>
      <c r="AT3243" t="s">
        <v>120</v>
      </c>
      <c r="AU3243" t="s">
        <v>384</v>
      </c>
      <c r="AV3243" t="s">
        <v>12545</v>
      </c>
      <c r="AW3243" t="s">
        <v>2574</v>
      </c>
      <c r="AX3243" t="s">
        <v>4946</v>
      </c>
      <c r="AY3243" t="s">
        <v>27578</v>
      </c>
      <c r="AZ3243" t="s">
        <v>4946</v>
      </c>
      <c r="BA3243">
        <v>2.25</v>
      </c>
      <c r="BB3243">
        <v>345.41</v>
      </c>
      <c r="BC3243">
        <v>0.78</v>
      </c>
      <c r="BD3243">
        <v>74.77</v>
      </c>
      <c r="BE3243">
        <v>75.42</v>
      </c>
      <c r="BF3243">
        <v>74.53</v>
      </c>
      <c r="BG3243" t="s">
        <v>28121</v>
      </c>
      <c r="BH3243" t="s">
        <v>20240</v>
      </c>
      <c r="BI3243" t="s">
        <v>28122</v>
      </c>
      <c r="BJ3243" t="s">
        <v>101</v>
      </c>
      <c r="BK3243" t="s">
        <v>1400</v>
      </c>
      <c r="BL3243" t="s">
        <v>25351</v>
      </c>
      <c r="BM3243" t="s">
        <v>18824</v>
      </c>
      <c r="BN3243" t="s">
        <v>27621</v>
      </c>
    </row>
    <row r="3244" spans="1:66" x14ac:dyDescent="0.25">
      <c r="A3244" t="str">
        <f>HYPERLINK("https://elite.finviz.com/quote.ashx?t=DAIC&amp;ty=c&amp;p=d&amp;b=1", "DAIC")</f>
        <v>DAIC</v>
      </c>
      <c r="B3244">
        <v>4</v>
      </c>
      <c r="C3244">
        <v>105.92</v>
      </c>
      <c r="D3244">
        <v>32.61</v>
      </c>
      <c r="E3244" t="s">
        <v>28123</v>
      </c>
      <c r="F3244" t="s">
        <v>107</v>
      </c>
      <c r="G3244" t="s">
        <v>108</v>
      </c>
      <c r="H3244" t="s">
        <v>1322</v>
      </c>
      <c r="I3244" t="s">
        <v>70</v>
      </c>
      <c r="J3244" t="s">
        <v>321</v>
      </c>
      <c r="K3244">
        <v>85.54</v>
      </c>
      <c r="L3244">
        <v>3.1</v>
      </c>
      <c r="M3244" t="s">
        <v>4328</v>
      </c>
      <c r="N3244">
        <v>20274</v>
      </c>
      <c r="R3244">
        <v>657.97</v>
      </c>
      <c r="S3244">
        <v>49.18</v>
      </c>
      <c r="AA3244">
        <v>-2.48</v>
      </c>
      <c r="AB3244" t="s">
        <v>28124</v>
      </c>
      <c r="AJ3244" t="s">
        <v>164</v>
      </c>
      <c r="AK3244" t="s">
        <v>5528</v>
      </c>
      <c r="AL3244">
        <v>1.06</v>
      </c>
      <c r="AM3244">
        <v>1.01</v>
      </c>
      <c r="AN3244">
        <v>0.45</v>
      </c>
      <c r="AO3244" t="s">
        <v>6631</v>
      </c>
      <c r="AP3244" t="s">
        <v>28125</v>
      </c>
      <c r="AQ3244" t="s">
        <v>28126</v>
      </c>
      <c r="AR3244" t="s">
        <v>341</v>
      </c>
      <c r="AS3244" t="s">
        <v>10714</v>
      </c>
      <c r="AT3244" t="s">
        <v>16894</v>
      </c>
      <c r="AU3244" t="s">
        <v>25144</v>
      </c>
      <c r="AV3244" t="s">
        <v>28127</v>
      </c>
      <c r="AW3244" t="s">
        <v>21648</v>
      </c>
      <c r="AX3244" t="s">
        <v>7437</v>
      </c>
      <c r="AY3244" t="s">
        <v>16405</v>
      </c>
      <c r="AZ3244" t="s">
        <v>7437</v>
      </c>
      <c r="BB3244">
        <v>915.8</v>
      </c>
      <c r="BC3244">
        <v>0.08</v>
      </c>
      <c r="BD3244">
        <v>3.13</v>
      </c>
      <c r="BE3244">
        <v>3.11</v>
      </c>
      <c r="BF3244">
        <v>3.08</v>
      </c>
      <c r="BG3244" t="s">
        <v>28128</v>
      </c>
      <c r="BH3244" t="s">
        <v>16405</v>
      </c>
      <c r="BI3244" t="s">
        <v>4392</v>
      </c>
      <c r="BJ3244" t="s">
        <v>101</v>
      </c>
      <c r="BK3244" t="s">
        <v>18135</v>
      </c>
      <c r="BL3244" t="s">
        <v>28129</v>
      </c>
      <c r="BM3244" t="s">
        <v>28130</v>
      </c>
      <c r="BN3244" t="s">
        <v>27621</v>
      </c>
    </row>
    <row r="3245" spans="1:66" x14ac:dyDescent="0.25">
      <c r="A3245" t="str">
        <f>HYPERLINK("https://elite.finviz.com/quote.ashx?t=TSLX&amp;ty=c&amp;p=d&amp;b=1", "TSLX")</f>
        <v>TSLX</v>
      </c>
      <c r="B3245">
        <v>4</v>
      </c>
      <c r="C3245">
        <v>105.92</v>
      </c>
      <c r="D3245">
        <v>32.61</v>
      </c>
      <c r="E3245" t="s">
        <v>28131</v>
      </c>
      <c r="F3245" t="s">
        <v>107</v>
      </c>
      <c r="G3245" t="s">
        <v>550</v>
      </c>
      <c r="H3245" t="s">
        <v>2597</v>
      </c>
      <c r="I3245" t="s">
        <v>70</v>
      </c>
      <c r="J3245" t="s">
        <v>71</v>
      </c>
      <c r="K3245">
        <v>2132.66</v>
      </c>
      <c r="L3245">
        <v>22.63</v>
      </c>
      <c r="M3245" t="s">
        <v>4436</v>
      </c>
      <c r="N3245">
        <v>112042</v>
      </c>
      <c r="O3245">
        <v>11.26</v>
      </c>
      <c r="P3245">
        <v>11</v>
      </c>
      <c r="R3245">
        <v>4.5</v>
      </c>
      <c r="S3245">
        <v>1.32</v>
      </c>
      <c r="T3245" t="s">
        <v>8050</v>
      </c>
      <c r="U3245">
        <v>1.9</v>
      </c>
      <c r="V3245" t="s">
        <v>3833</v>
      </c>
      <c r="W3245" t="s">
        <v>4552</v>
      </c>
      <c r="X3245" t="s">
        <v>8843</v>
      </c>
      <c r="Y3245" t="s">
        <v>2150</v>
      </c>
      <c r="Z3245" t="s">
        <v>28132</v>
      </c>
      <c r="AA3245">
        <v>2.0099999999999998</v>
      </c>
      <c r="AH3245" t="s">
        <v>7289</v>
      </c>
      <c r="AI3245" t="s">
        <v>2777</v>
      </c>
      <c r="AJ3245" t="s">
        <v>164</v>
      </c>
      <c r="AK3245" t="s">
        <v>28133</v>
      </c>
      <c r="AR3245" t="s">
        <v>3832</v>
      </c>
      <c r="AS3245" t="s">
        <v>5610</v>
      </c>
      <c r="AT3245" t="s">
        <v>4776</v>
      </c>
      <c r="AU3245" t="s">
        <v>3140</v>
      </c>
      <c r="AV3245" t="s">
        <v>4266</v>
      </c>
      <c r="AW3245" t="s">
        <v>503</v>
      </c>
      <c r="AX3245" t="s">
        <v>4494</v>
      </c>
      <c r="AY3245" t="s">
        <v>503</v>
      </c>
      <c r="AZ3245" t="s">
        <v>5050</v>
      </c>
      <c r="BB3245">
        <v>471.58</v>
      </c>
      <c r="BC3245">
        <v>0.84</v>
      </c>
      <c r="BD3245">
        <v>22.88</v>
      </c>
      <c r="BE3245">
        <v>23.1</v>
      </c>
      <c r="BF3245">
        <v>22.63</v>
      </c>
      <c r="BG3245" t="s">
        <v>28134</v>
      </c>
      <c r="BH3245" t="s">
        <v>503</v>
      </c>
      <c r="BI3245" t="s">
        <v>14987</v>
      </c>
      <c r="BJ3245" t="s">
        <v>101</v>
      </c>
      <c r="BK3245" t="s">
        <v>13734</v>
      </c>
      <c r="BL3245" t="s">
        <v>6842</v>
      </c>
      <c r="BM3245" t="s">
        <v>2740</v>
      </c>
      <c r="BN3245" t="s">
        <v>27621</v>
      </c>
    </row>
    <row r="3246" spans="1:66" x14ac:dyDescent="0.25">
      <c r="A3246" t="str">
        <f>HYPERLINK("https://elite.finviz.com/quote.ashx?t=TWI&amp;ty=c&amp;p=d&amp;b=1", "TWI")</f>
        <v>TWI</v>
      </c>
      <c r="B3246">
        <v>4</v>
      </c>
      <c r="C3246">
        <v>105.92</v>
      </c>
      <c r="D3246">
        <v>32.61</v>
      </c>
      <c r="E3246" t="s">
        <v>28135</v>
      </c>
      <c r="F3246" t="s">
        <v>67</v>
      </c>
      <c r="G3246" t="s">
        <v>260</v>
      </c>
      <c r="H3246" t="s">
        <v>320</v>
      </c>
      <c r="I3246" t="s">
        <v>70</v>
      </c>
      <c r="J3246" t="s">
        <v>71</v>
      </c>
      <c r="K3246">
        <v>487.42</v>
      </c>
      <c r="L3246">
        <v>7.63</v>
      </c>
      <c r="M3246" t="s">
        <v>84</v>
      </c>
      <c r="N3246">
        <v>82944</v>
      </c>
      <c r="P3246">
        <v>16.670000000000002</v>
      </c>
      <c r="R3246">
        <v>0.27</v>
      </c>
      <c r="S3246">
        <v>0.85</v>
      </c>
      <c r="V3246" t="s">
        <v>20376</v>
      </c>
      <c r="AA3246">
        <v>-0.31</v>
      </c>
      <c r="AC3246" t="s">
        <v>13757</v>
      </c>
      <c r="AE3246" t="s">
        <v>1783</v>
      </c>
      <c r="AF3246" t="s">
        <v>4552</v>
      </c>
      <c r="AG3246" t="s">
        <v>197</v>
      </c>
      <c r="AH3246" t="s">
        <v>1951</v>
      </c>
      <c r="AI3246" t="s">
        <v>28136</v>
      </c>
      <c r="AJ3246" t="s">
        <v>8053</v>
      </c>
      <c r="AK3246" t="s">
        <v>24901</v>
      </c>
      <c r="AL3246">
        <v>2.35</v>
      </c>
      <c r="AM3246">
        <v>1.27</v>
      </c>
      <c r="AN3246">
        <v>1.26</v>
      </c>
      <c r="AO3246" t="s">
        <v>3924</v>
      </c>
      <c r="AP3246" t="s">
        <v>7464</v>
      </c>
      <c r="AQ3246" t="s">
        <v>11260</v>
      </c>
      <c r="AR3246" t="s">
        <v>5969</v>
      </c>
      <c r="AS3246" t="s">
        <v>3170</v>
      </c>
      <c r="AT3246" t="s">
        <v>9666</v>
      </c>
      <c r="AU3246" t="s">
        <v>21737</v>
      </c>
      <c r="AV3246" t="s">
        <v>10518</v>
      </c>
      <c r="AW3246" t="s">
        <v>14823</v>
      </c>
      <c r="AX3246" t="s">
        <v>3542</v>
      </c>
      <c r="AY3246" t="s">
        <v>24112</v>
      </c>
      <c r="AZ3246" t="s">
        <v>8003</v>
      </c>
      <c r="BA3246">
        <v>1</v>
      </c>
      <c r="BB3246">
        <v>543.07000000000005</v>
      </c>
      <c r="BC3246">
        <v>0.54</v>
      </c>
      <c r="BD3246">
        <v>7.57</v>
      </c>
      <c r="BE3246">
        <v>7.74</v>
      </c>
      <c r="BF3246">
        <v>7.6</v>
      </c>
      <c r="BG3246" t="s">
        <v>28137</v>
      </c>
      <c r="BH3246" t="s">
        <v>23216</v>
      </c>
      <c r="BI3246" t="s">
        <v>28138</v>
      </c>
      <c r="BJ3246" t="s">
        <v>101</v>
      </c>
      <c r="BK3246" t="s">
        <v>15122</v>
      </c>
      <c r="BL3246" t="s">
        <v>14689</v>
      </c>
      <c r="BM3246" t="s">
        <v>2893</v>
      </c>
      <c r="BN3246" t="s">
        <v>27621</v>
      </c>
    </row>
    <row r="3247" spans="1:66" x14ac:dyDescent="0.25">
      <c r="A3247" t="str">
        <f>HYPERLINK("https://elite.finviz.com/quote.ashx?t=ALG&amp;ty=c&amp;p=d&amp;b=1", "ALG")</f>
        <v>ALG</v>
      </c>
      <c r="B3247">
        <v>4</v>
      </c>
      <c r="C3247">
        <v>105.92</v>
      </c>
      <c r="D3247">
        <v>32.69</v>
      </c>
      <c r="E3247" t="s">
        <v>28139</v>
      </c>
      <c r="F3247" t="s">
        <v>67</v>
      </c>
      <c r="G3247" t="s">
        <v>260</v>
      </c>
      <c r="H3247" t="s">
        <v>320</v>
      </c>
      <c r="I3247" t="s">
        <v>70</v>
      </c>
      <c r="J3247" t="s">
        <v>71</v>
      </c>
      <c r="K3247">
        <v>2347.52</v>
      </c>
      <c r="L3247">
        <v>193.84</v>
      </c>
      <c r="M3247" t="s">
        <v>2785</v>
      </c>
      <c r="N3247">
        <v>16818</v>
      </c>
      <c r="O3247">
        <v>19.739999999999998</v>
      </c>
      <c r="P3247">
        <v>15.5</v>
      </c>
      <c r="R3247">
        <v>1.47</v>
      </c>
      <c r="S3247">
        <v>2.1</v>
      </c>
      <c r="T3247" t="s">
        <v>4308</v>
      </c>
      <c r="U3247">
        <v>1.1599999999999999</v>
      </c>
      <c r="V3247" t="s">
        <v>18335</v>
      </c>
      <c r="W3247" t="s">
        <v>4084</v>
      </c>
      <c r="X3247" t="s">
        <v>5382</v>
      </c>
      <c r="Y3247" t="s">
        <v>1562</v>
      </c>
      <c r="Z3247" t="s">
        <v>8319</v>
      </c>
      <c r="AA3247">
        <v>9.82</v>
      </c>
      <c r="AB3247" t="s">
        <v>14731</v>
      </c>
      <c r="AC3247" t="s">
        <v>794</v>
      </c>
      <c r="AE3247" t="s">
        <v>8139</v>
      </c>
      <c r="AF3247" t="s">
        <v>3566</v>
      </c>
      <c r="AG3247" t="s">
        <v>6225</v>
      </c>
      <c r="AH3247" t="s">
        <v>4782</v>
      </c>
      <c r="AI3247" t="s">
        <v>4500</v>
      </c>
      <c r="AJ3247" t="s">
        <v>14331</v>
      </c>
      <c r="AK3247" t="s">
        <v>28140</v>
      </c>
      <c r="AL3247">
        <v>4.5599999999999996</v>
      </c>
      <c r="AM3247">
        <v>2.76</v>
      </c>
      <c r="AN3247">
        <v>0.21</v>
      </c>
      <c r="AO3247" t="s">
        <v>5011</v>
      </c>
      <c r="AP3247" t="s">
        <v>702</v>
      </c>
      <c r="AQ3247" t="s">
        <v>699</v>
      </c>
      <c r="AR3247" t="s">
        <v>1933</v>
      </c>
      <c r="AS3247" t="s">
        <v>7322</v>
      </c>
      <c r="AT3247" t="s">
        <v>4553</v>
      </c>
      <c r="AU3247" t="s">
        <v>11663</v>
      </c>
      <c r="AV3247" t="s">
        <v>3831</v>
      </c>
      <c r="AW3247" t="s">
        <v>576</v>
      </c>
      <c r="AX3247" t="s">
        <v>3257</v>
      </c>
      <c r="AY3247" t="s">
        <v>576</v>
      </c>
      <c r="AZ3247" t="s">
        <v>4930</v>
      </c>
      <c r="BA3247">
        <v>2</v>
      </c>
      <c r="BB3247">
        <v>93.32</v>
      </c>
      <c r="BC3247">
        <v>0.63</v>
      </c>
      <c r="BD3247">
        <v>192.3</v>
      </c>
      <c r="BE3247">
        <v>194.4</v>
      </c>
      <c r="BF3247">
        <v>192.3</v>
      </c>
      <c r="BG3247" t="s">
        <v>28141</v>
      </c>
      <c r="BH3247" t="s">
        <v>576</v>
      </c>
      <c r="BI3247" t="s">
        <v>28142</v>
      </c>
      <c r="BJ3247" t="s">
        <v>101</v>
      </c>
      <c r="BK3247" t="s">
        <v>8722</v>
      </c>
      <c r="BL3247" t="s">
        <v>4526</v>
      </c>
      <c r="BM3247" t="s">
        <v>1204</v>
      </c>
      <c r="BN3247" t="s">
        <v>27621</v>
      </c>
    </row>
    <row r="3248" spans="1:66" x14ac:dyDescent="0.25">
      <c r="A3248" t="str">
        <f>HYPERLINK("https://elite.finviz.com/quote.ashx?t=FOXF&amp;ty=c&amp;p=d&amp;b=1", "FOXF")</f>
        <v>FOXF</v>
      </c>
      <c r="B3248">
        <v>4</v>
      </c>
      <c r="C3248">
        <v>105.92</v>
      </c>
      <c r="D3248">
        <v>32.700000000000003</v>
      </c>
      <c r="E3248" t="s">
        <v>28143</v>
      </c>
      <c r="F3248" t="s">
        <v>67</v>
      </c>
      <c r="G3248" t="s">
        <v>813</v>
      </c>
      <c r="H3248" t="s">
        <v>814</v>
      </c>
      <c r="I3248" t="s">
        <v>70</v>
      </c>
      <c r="J3248" t="s">
        <v>321</v>
      </c>
      <c r="K3248">
        <v>1047.31</v>
      </c>
      <c r="L3248">
        <v>25.06</v>
      </c>
      <c r="M3248" t="s">
        <v>4191</v>
      </c>
      <c r="N3248">
        <v>34880</v>
      </c>
      <c r="P3248">
        <v>10.29</v>
      </c>
      <c r="R3248">
        <v>0.73</v>
      </c>
      <c r="S3248">
        <v>1.0900000000000001</v>
      </c>
      <c r="Z3248" t="s">
        <v>164</v>
      </c>
      <c r="AA3248">
        <v>-6.05</v>
      </c>
      <c r="AB3248" t="s">
        <v>28144</v>
      </c>
      <c r="AC3248" t="s">
        <v>28145</v>
      </c>
      <c r="AE3248" t="s">
        <v>6420</v>
      </c>
      <c r="AF3248" t="s">
        <v>4839</v>
      </c>
      <c r="AG3248" t="s">
        <v>15351</v>
      </c>
      <c r="AH3248" t="s">
        <v>2521</v>
      </c>
      <c r="AI3248" t="s">
        <v>8562</v>
      </c>
      <c r="AJ3248" t="s">
        <v>164</v>
      </c>
      <c r="AK3248" t="s">
        <v>20766</v>
      </c>
      <c r="AL3248">
        <v>3.03</v>
      </c>
      <c r="AM3248">
        <v>1.36</v>
      </c>
      <c r="AN3248">
        <v>0.75</v>
      </c>
      <c r="AO3248" t="s">
        <v>14588</v>
      </c>
      <c r="AP3248" t="s">
        <v>322</v>
      </c>
      <c r="AQ3248" t="s">
        <v>9443</v>
      </c>
      <c r="AR3248" t="s">
        <v>7437</v>
      </c>
      <c r="AS3248" t="s">
        <v>2522</v>
      </c>
      <c r="AT3248" t="s">
        <v>3102</v>
      </c>
      <c r="AU3248" t="s">
        <v>2266</v>
      </c>
      <c r="AV3248" t="s">
        <v>8004</v>
      </c>
      <c r="AW3248" t="s">
        <v>26025</v>
      </c>
      <c r="AX3248" t="s">
        <v>5263</v>
      </c>
      <c r="AY3248" t="s">
        <v>23271</v>
      </c>
      <c r="AZ3248" t="s">
        <v>8912</v>
      </c>
      <c r="BA3248">
        <v>2</v>
      </c>
      <c r="BB3248">
        <v>594.08000000000004</v>
      </c>
      <c r="BC3248">
        <v>0.21</v>
      </c>
      <c r="BD3248">
        <v>25.11</v>
      </c>
      <c r="BE3248">
        <v>25.19</v>
      </c>
      <c r="BF3248">
        <v>24.96</v>
      </c>
      <c r="BG3248" t="s">
        <v>28146</v>
      </c>
      <c r="BH3248" t="s">
        <v>27288</v>
      </c>
      <c r="BI3248" t="s">
        <v>27034</v>
      </c>
      <c r="BJ3248" t="s">
        <v>101</v>
      </c>
      <c r="BK3248" t="s">
        <v>6130</v>
      </c>
      <c r="BL3248" t="s">
        <v>4516</v>
      </c>
      <c r="BM3248" t="s">
        <v>28147</v>
      </c>
      <c r="BN3248" t="s">
        <v>27621</v>
      </c>
    </row>
    <row r="3249" spans="1:66" x14ac:dyDescent="0.25">
      <c r="A3249" t="str">
        <f>HYPERLINK("https://elite.finviz.com/quote.ashx?t=VELO&amp;ty=c&amp;p=d&amp;b=1", "VELO")</f>
        <v>VELO</v>
      </c>
      <c r="B3249">
        <v>4</v>
      </c>
      <c r="C3249">
        <v>105.92</v>
      </c>
      <c r="D3249">
        <v>32.9</v>
      </c>
      <c r="E3249" t="s">
        <v>28148</v>
      </c>
      <c r="F3249" t="s">
        <v>107</v>
      </c>
      <c r="G3249" t="s">
        <v>108</v>
      </c>
      <c r="H3249" t="s">
        <v>496</v>
      </c>
      <c r="I3249" t="s">
        <v>70</v>
      </c>
      <c r="J3249" t="s">
        <v>321</v>
      </c>
      <c r="K3249">
        <v>59.71</v>
      </c>
      <c r="L3249">
        <v>3</v>
      </c>
      <c r="M3249" t="s">
        <v>4689</v>
      </c>
      <c r="N3249">
        <v>48901</v>
      </c>
      <c r="R3249">
        <v>1.36</v>
      </c>
      <c r="S3249">
        <v>1.96</v>
      </c>
      <c r="AA3249">
        <v>-52.74</v>
      </c>
      <c r="AB3249" t="s">
        <v>11919</v>
      </c>
      <c r="AC3249" t="s">
        <v>6419</v>
      </c>
      <c r="AE3249" t="s">
        <v>8889</v>
      </c>
      <c r="AF3249" t="s">
        <v>2660</v>
      </c>
      <c r="AG3249" t="s">
        <v>10135</v>
      </c>
      <c r="AH3249" t="s">
        <v>19868</v>
      </c>
      <c r="AJ3249" t="s">
        <v>164</v>
      </c>
      <c r="AK3249" t="s">
        <v>164</v>
      </c>
      <c r="AL3249">
        <v>1.1399999999999999</v>
      </c>
      <c r="AM3249">
        <v>0.25</v>
      </c>
      <c r="AN3249">
        <v>1.48</v>
      </c>
      <c r="AO3249" t="s">
        <v>229</v>
      </c>
      <c r="AP3249" t="s">
        <v>28149</v>
      </c>
      <c r="AQ3249" t="s">
        <v>28150</v>
      </c>
      <c r="AR3249" t="s">
        <v>3818</v>
      </c>
      <c r="AS3249" t="s">
        <v>5128</v>
      </c>
      <c r="AT3249" t="s">
        <v>4802</v>
      </c>
      <c r="AU3249" t="s">
        <v>28151</v>
      </c>
      <c r="AV3249" t="s">
        <v>28152</v>
      </c>
      <c r="AW3249" t="s">
        <v>28153</v>
      </c>
      <c r="AX3249" t="s">
        <v>4966</v>
      </c>
      <c r="AY3249" t="s">
        <v>28154</v>
      </c>
      <c r="AZ3249" t="s">
        <v>28155</v>
      </c>
      <c r="BA3249">
        <v>1</v>
      </c>
      <c r="BB3249">
        <v>486.29</v>
      </c>
      <c r="BC3249">
        <v>0.36</v>
      </c>
      <c r="BD3249">
        <v>2.97</v>
      </c>
      <c r="BE3249">
        <v>3.07</v>
      </c>
      <c r="BF3249">
        <v>2.96</v>
      </c>
      <c r="BG3249" t="s">
        <v>28156</v>
      </c>
      <c r="BH3249" t="s">
        <v>1194</v>
      </c>
      <c r="BI3249" t="s">
        <v>28155</v>
      </c>
      <c r="BJ3249" t="s">
        <v>101</v>
      </c>
      <c r="BK3249" t="s">
        <v>28157</v>
      </c>
      <c r="BL3249" t="s">
        <v>13119</v>
      </c>
      <c r="BM3249" t="s">
        <v>28158</v>
      </c>
      <c r="BN3249" t="s">
        <v>27621</v>
      </c>
    </row>
    <row r="3250" spans="1:66" x14ac:dyDescent="0.25">
      <c r="A3250" t="str">
        <f>HYPERLINK("https://elite.finviz.com/quote.ashx?t=SRDX&amp;ty=c&amp;p=d&amp;b=1", "SRDX")</f>
        <v>SRDX</v>
      </c>
      <c r="B3250">
        <v>4</v>
      </c>
      <c r="C3250">
        <v>105.92</v>
      </c>
      <c r="D3250">
        <v>32.92</v>
      </c>
      <c r="E3250" t="s">
        <v>28159</v>
      </c>
      <c r="F3250" t="s">
        <v>67</v>
      </c>
      <c r="G3250" t="s">
        <v>428</v>
      </c>
      <c r="H3250" t="s">
        <v>2051</v>
      </c>
      <c r="I3250" t="s">
        <v>70</v>
      </c>
      <c r="J3250" t="s">
        <v>321</v>
      </c>
      <c r="K3250">
        <v>438.22</v>
      </c>
      <c r="L3250">
        <v>30.65</v>
      </c>
      <c r="M3250" t="s">
        <v>1714</v>
      </c>
      <c r="N3250">
        <v>90405</v>
      </c>
      <c r="R3250">
        <v>3.63</v>
      </c>
      <c r="S3250">
        <v>3.94</v>
      </c>
      <c r="AA3250">
        <v>-1.24</v>
      </c>
      <c r="AE3250" t="s">
        <v>7709</v>
      </c>
      <c r="AF3250" t="s">
        <v>5944</v>
      </c>
      <c r="AG3250" t="s">
        <v>3524</v>
      </c>
      <c r="AH3250" t="s">
        <v>132</v>
      </c>
      <c r="AI3250" t="s">
        <v>28160</v>
      </c>
      <c r="AJ3250" t="s">
        <v>164</v>
      </c>
      <c r="AK3250" t="s">
        <v>9432</v>
      </c>
      <c r="AL3250">
        <v>3.91</v>
      </c>
      <c r="AM3250">
        <v>3.1</v>
      </c>
      <c r="AN3250">
        <v>0.28999999999999998</v>
      </c>
      <c r="AO3250" t="s">
        <v>18343</v>
      </c>
      <c r="AP3250" t="s">
        <v>1409</v>
      </c>
      <c r="AQ3250" t="s">
        <v>18389</v>
      </c>
      <c r="AR3250" t="s">
        <v>2496</v>
      </c>
      <c r="AS3250" t="s">
        <v>4658</v>
      </c>
      <c r="AT3250" t="s">
        <v>5040</v>
      </c>
      <c r="AU3250" t="s">
        <v>10199</v>
      </c>
      <c r="AV3250" t="s">
        <v>2206</v>
      </c>
      <c r="AW3250" t="s">
        <v>27018</v>
      </c>
      <c r="AX3250" t="s">
        <v>3916</v>
      </c>
      <c r="AY3250" t="s">
        <v>999</v>
      </c>
      <c r="AZ3250" t="s">
        <v>6722</v>
      </c>
      <c r="BA3250">
        <v>2.33</v>
      </c>
      <c r="BB3250">
        <v>214.25</v>
      </c>
      <c r="BC3250">
        <v>1.49</v>
      </c>
      <c r="BD3250">
        <v>30.82</v>
      </c>
      <c r="BE3250">
        <v>30.91</v>
      </c>
      <c r="BF3250">
        <v>30.47</v>
      </c>
      <c r="BG3250" t="s">
        <v>28161</v>
      </c>
      <c r="BH3250" t="s">
        <v>22902</v>
      </c>
      <c r="BI3250" t="s">
        <v>28162</v>
      </c>
      <c r="BJ3250" t="s">
        <v>101</v>
      </c>
      <c r="BK3250" t="s">
        <v>3053</v>
      </c>
      <c r="BL3250" t="s">
        <v>4494</v>
      </c>
      <c r="BM3250" t="s">
        <v>3836</v>
      </c>
      <c r="BN3250" t="s">
        <v>27621</v>
      </c>
    </row>
    <row r="3251" spans="1:66" x14ac:dyDescent="0.25">
      <c r="A3251" t="str">
        <f>HYPERLINK("https://elite.finviz.com/quote.ashx?t=TFIN&amp;ty=c&amp;p=d&amp;b=1", "TFIN")</f>
        <v>TFIN</v>
      </c>
      <c r="B3251">
        <v>4</v>
      </c>
      <c r="C3251">
        <v>105.92</v>
      </c>
      <c r="D3251">
        <v>32.97</v>
      </c>
      <c r="E3251" t="s">
        <v>28163</v>
      </c>
      <c r="F3251" t="s">
        <v>67</v>
      </c>
      <c r="G3251" t="s">
        <v>550</v>
      </c>
      <c r="H3251" t="s">
        <v>697</v>
      </c>
      <c r="I3251" t="s">
        <v>70</v>
      </c>
      <c r="J3251" t="s">
        <v>71</v>
      </c>
      <c r="K3251">
        <v>1225.8800000000001</v>
      </c>
      <c r="L3251">
        <v>51.65</v>
      </c>
      <c r="M3251" t="s">
        <v>124</v>
      </c>
      <c r="N3251">
        <v>31595</v>
      </c>
      <c r="O3251">
        <v>118.09</v>
      </c>
      <c r="P3251">
        <v>26.85</v>
      </c>
      <c r="R3251">
        <v>2.48</v>
      </c>
      <c r="S3251">
        <v>1.41</v>
      </c>
      <c r="Z3251" t="s">
        <v>164</v>
      </c>
      <c r="AA3251">
        <v>0.44</v>
      </c>
      <c r="AB3251" t="s">
        <v>28164</v>
      </c>
      <c r="AC3251" t="s">
        <v>15906</v>
      </c>
      <c r="AE3251" t="s">
        <v>6692</v>
      </c>
      <c r="AF3251" t="s">
        <v>2522</v>
      </c>
      <c r="AG3251" t="s">
        <v>5150</v>
      </c>
      <c r="AH3251" t="s">
        <v>2234</v>
      </c>
      <c r="AI3251" t="s">
        <v>17761</v>
      </c>
      <c r="AJ3251" t="s">
        <v>575</v>
      </c>
      <c r="AK3251" t="s">
        <v>25852</v>
      </c>
      <c r="AL3251">
        <v>7.0000000000000007E-2</v>
      </c>
      <c r="AN3251">
        <v>0.32</v>
      </c>
      <c r="AP3251" t="s">
        <v>2419</v>
      </c>
      <c r="AQ3251" t="s">
        <v>6975</v>
      </c>
      <c r="AR3251" t="s">
        <v>2493</v>
      </c>
      <c r="AS3251" t="s">
        <v>926</v>
      </c>
      <c r="AT3251" t="s">
        <v>25135</v>
      </c>
      <c r="AU3251" t="s">
        <v>15281</v>
      </c>
      <c r="AV3251" t="s">
        <v>15968</v>
      </c>
      <c r="AW3251" t="s">
        <v>4470</v>
      </c>
      <c r="AX3251" t="s">
        <v>2125</v>
      </c>
      <c r="AY3251" t="s">
        <v>19406</v>
      </c>
      <c r="AZ3251" t="s">
        <v>8466</v>
      </c>
      <c r="BA3251">
        <v>3</v>
      </c>
      <c r="BB3251">
        <v>246.11</v>
      </c>
      <c r="BC3251">
        <v>0.45</v>
      </c>
      <c r="BD3251">
        <v>51.82</v>
      </c>
      <c r="BE3251">
        <v>51.87</v>
      </c>
      <c r="BF3251">
        <v>51.21</v>
      </c>
      <c r="BG3251" t="s">
        <v>28165</v>
      </c>
      <c r="BH3251" t="s">
        <v>28166</v>
      </c>
      <c r="BI3251" t="s">
        <v>28167</v>
      </c>
      <c r="BJ3251" t="s">
        <v>101</v>
      </c>
      <c r="BK3251" t="s">
        <v>23748</v>
      </c>
      <c r="BL3251" t="s">
        <v>17335</v>
      </c>
      <c r="BM3251" t="s">
        <v>23823</v>
      </c>
      <c r="BN3251" t="s">
        <v>27621</v>
      </c>
    </row>
    <row r="3252" spans="1:66" x14ac:dyDescent="0.25">
      <c r="A3252" t="str">
        <f>HYPERLINK("https://elite.finviz.com/quote.ashx?t=KOSS&amp;ty=c&amp;p=d&amp;b=1", "KOSS")</f>
        <v>KOSS</v>
      </c>
      <c r="B3252">
        <v>4</v>
      </c>
      <c r="C3252">
        <v>105.92</v>
      </c>
      <c r="D3252">
        <v>32.99</v>
      </c>
      <c r="E3252" t="s">
        <v>28168</v>
      </c>
      <c r="F3252" t="s">
        <v>107</v>
      </c>
      <c r="G3252" t="s">
        <v>108</v>
      </c>
      <c r="H3252" t="s">
        <v>994</v>
      </c>
      <c r="I3252" t="s">
        <v>70</v>
      </c>
      <c r="J3252" t="s">
        <v>321</v>
      </c>
      <c r="K3252">
        <v>49.83</v>
      </c>
      <c r="L3252">
        <v>5.27</v>
      </c>
      <c r="M3252" t="s">
        <v>2880</v>
      </c>
      <c r="N3252">
        <v>13221</v>
      </c>
      <c r="R3252">
        <v>3.95</v>
      </c>
      <c r="S3252">
        <v>1.63</v>
      </c>
      <c r="V3252" t="s">
        <v>28169</v>
      </c>
      <c r="AA3252">
        <v>-0.09</v>
      </c>
      <c r="AC3252" t="s">
        <v>5480</v>
      </c>
      <c r="AE3252" t="s">
        <v>307</v>
      </c>
      <c r="AF3252" t="s">
        <v>5846</v>
      </c>
      <c r="AG3252" t="s">
        <v>4317</v>
      </c>
      <c r="AH3252" t="s">
        <v>6075</v>
      </c>
      <c r="AJ3252" t="s">
        <v>1866</v>
      </c>
      <c r="AK3252" t="s">
        <v>17134</v>
      </c>
      <c r="AL3252">
        <v>11.65</v>
      </c>
      <c r="AM3252">
        <v>9.14</v>
      </c>
      <c r="AN3252">
        <v>0.08</v>
      </c>
      <c r="AO3252" t="s">
        <v>6762</v>
      </c>
      <c r="AP3252" t="s">
        <v>11746</v>
      </c>
      <c r="AQ3252" t="s">
        <v>6231</v>
      </c>
      <c r="AR3252" t="s">
        <v>3469</v>
      </c>
      <c r="AS3252" t="s">
        <v>3433</v>
      </c>
      <c r="AT3252" t="s">
        <v>5559</v>
      </c>
      <c r="AU3252" t="s">
        <v>11385</v>
      </c>
      <c r="AV3252" t="s">
        <v>3869</v>
      </c>
      <c r="AW3252" t="s">
        <v>28170</v>
      </c>
      <c r="AX3252" t="s">
        <v>7088</v>
      </c>
      <c r="AY3252" t="s">
        <v>28170</v>
      </c>
      <c r="AZ3252" t="s">
        <v>8455</v>
      </c>
      <c r="BB3252">
        <v>159.63999999999999</v>
      </c>
      <c r="BC3252">
        <v>0.28999999999999998</v>
      </c>
      <c r="BD3252">
        <v>5.26</v>
      </c>
      <c r="BE3252">
        <v>5.31</v>
      </c>
      <c r="BF3252">
        <v>5.3</v>
      </c>
      <c r="BG3252" t="s">
        <v>28171</v>
      </c>
      <c r="BH3252" t="s">
        <v>16405</v>
      </c>
      <c r="BI3252" t="s">
        <v>28172</v>
      </c>
      <c r="BJ3252" t="s">
        <v>101</v>
      </c>
      <c r="BK3252" t="s">
        <v>4077</v>
      </c>
      <c r="BL3252" t="s">
        <v>6348</v>
      </c>
      <c r="BM3252" t="s">
        <v>7997</v>
      </c>
      <c r="BN3252" t="s">
        <v>27621</v>
      </c>
    </row>
    <row r="3253" spans="1:66" x14ac:dyDescent="0.25">
      <c r="A3253" t="str">
        <f>HYPERLINK("https://elite.finviz.com/quote.ashx?t=VSEE&amp;ty=c&amp;p=d&amp;b=1", "VSEE")</f>
        <v>VSEE</v>
      </c>
      <c r="B3253">
        <v>4</v>
      </c>
      <c r="C3253">
        <v>105.92</v>
      </c>
      <c r="D3253">
        <v>33</v>
      </c>
      <c r="E3253" t="s">
        <v>28173</v>
      </c>
      <c r="F3253" t="s">
        <v>107</v>
      </c>
      <c r="G3253" t="s">
        <v>428</v>
      </c>
      <c r="H3253" t="s">
        <v>2075</v>
      </c>
      <c r="I3253" t="s">
        <v>70</v>
      </c>
      <c r="J3253" t="s">
        <v>321</v>
      </c>
      <c r="K3253">
        <v>9.94</v>
      </c>
      <c r="L3253">
        <v>0.61</v>
      </c>
      <c r="M3253" t="s">
        <v>6693</v>
      </c>
      <c r="N3253">
        <v>28972</v>
      </c>
      <c r="R3253">
        <v>1.1100000000000001</v>
      </c>
      <c r="AA3253">
        <v>-4.1100000000000003</v>
      </c>
      <c r="AB3253" t="s">
        <v>28174</v>
      </c>
      <c r="AJ3253" t="s">
        <v>164</v>
      </c>
      <c r="AK3253" t="s">
        <v>2205</v>
      </c>
      <c r="AL3253">
        <v>0.16</v>
      </c>
      <c r="AM3253">
        <v>0.16</v>
      </c>
      <c r="AO3253" t="s">
        <v>2043</v>
      </c>
      <c r="AP3253" t="s">
        <v>28175</v>
      </c>
      <c r="AQ3253" t="s">
        <v>28176</v>
      </c>
      <c r="AR3253" t="s">
        <v>7935</v>
      </c>
      <c r="AS3253" t="s">
        <v>3818</v>
      </c>
      <c r="AT3253" t="s">
        <v>21015</v>
      </c>
      <c r="AU3253" t="s">
        <v>9277</v>
      </c>
      <c r="AV3253" t="s">
        <v>8758</v>
      </c>
      <c r="AW3253" t="s">
        <v>9658</v>
      </c>
      <c r="AX3253" t="s">
        <v>8625</v>
      </c>
      <c r="AY3253" t="s">
        <v>10681</v>
      </c>
      <c r="AZ3253" t="s">
        <v>8625</v>
      </c>
      <c r="BA3253">
        <v>1</v>
      </c>
      <c r="BB3253">
        <v>478.89</v>
      </c>
      <c r="BC3253">
        <v>0.21</v>
      </c>
      <c r="BD3253">
        <v>0.64</v>
      </c>
      <c r="BE3253">
        <v>0.63</v>
      </c>
      <c r="BF3253">
        <v>0.61</v>
      </c>
      <c r="BG3253" t="s">
        <v>28177</v>
      </c>
      <c r="BH3253" t="s">
        <v>28178</v>
      </c>
      <c r="BI3253" t="s">
        <v>8625</v>
      </c>
      <c r="BJ3253" t="s">
        <v>101</v>
      </c>
      <c r="BK3253" t="s">
        <v>28179</v>
      </c>
      <c r="BL3253" t="s">
        <v>28180</v>
      </c>
      <c r="BM3253" t="s">
        <v>28181</v>
      </c>
      <c r="BN3253" t="s">
        <v>27621</v>
      </c>
    </row>
    <row r="3254" spans="1:66" x14ac:dyDescent="0.25">
      <c r="A3254" t="str">
        <f>HYPERLINK("https://elite.finviz.com/quote.ashx?t=BBT&amp;ty=c&amp;p=d&amp;b=1", "BBT")</f>
        <v>BBT</v>
      </c>
      <c r="B3254">
        <v>4</v>
      </c>
      <c r="C3254">
        <v>105.92</v>
      </c>
      <c r="D3254">
        <v>33.07</v>
      </c>
      <c r="E3254" t="s">
        <v>28182</v>
      </c>
      <c r="F3254" t="s">
        <v>67</v>
      </c>
      <c r="G3254" t="s">
        <v>550</v>
      </c>
      <c r="H3254" t="s">
        <v>697</v>
      </c>
      <c r="I3254" t="s">
        <v>70</v>
      </c>
      <c r="J3254" t="s">
        <v>71</v>
      </c>
      <c r="K3254">
        <v>2030.54</v>
      </c>
      <c r="L3254">
        <v>24.09</v>
      </c>
      <c r="M3254" t="s">
        <v>7346</v>
      </c>
      <c r="N3254">
        <v>68395</v>
      </c>
      <c r="O3254">
        <v>9.42</v>
      </c>
      <c r="P3254">
        <v>6.79</v>
      </c>
      <c r="R3254">
        <v>2.92</v>
      </c>
      <c r="S3254">
        <v>0.91</v>
      </c>
      <c r="T3254" t="s">
        <v>2356</v>
      </c>
      <c r="U3254">
        <v>0.9</v>
      </c>
      <c r="V3254" t="s">
        <v>28183</v>
      </c>
      <c r="W3254" t="s">
        <v>164</v>
      </c>
      <c r="X3254" t="s">
        <v>5699</v>
      </c>
      <c r="Y3254" t="s">
        <v>11628</v>
      </c>
      <c r="Z3254" t="s">
        <v>4060</v>
      </c>
      <c r="AA3254">
        <v>2.56</v>
      </c>
      <c r="AB3254" t="s">
        <v>19245</v>
      </c>
      <c r="AC3254" t="s">
        <v>9412</v>
      </c>
      <c r="AE3254" t="s">
        <v>1847</v>
      </c>
      <c r="AF3254" t="s">
        <v>583</v>
      </c>
      <c r="AG3254" t="s">
        <v>6493</v>
      </c>
      <c r="AH3254" t="s">
        <v>8932</v>
      </c>
      <c r="AI3254" t="s">
        <v>5893</v>
      </c>
      <c r="AJ3254" t="s">
        <v>3227</v>
      </c>
      <c r="AK3254" t="s">
        <v>20344</v>
      </c>
      <c r="AL3254">
        <v>0.12</v>
      </c>
      <c r="AN3254">
        <v>0.52</v>
      </c>
      <c r="AP3254" t="s">
        <v>3373</v>
      </c>
      <c r="AQ3254" t="s">
        <v>2737</v>
      </c>
      <c r="AR3254" t="s">
        <v>7322</v>
      </c>
      <c r="AS3254" t="s">
        <v>2743</v>
      </c>
      <c r="AT3254" t="s">
        <v>8506</v>
      </c>
      <c r="AU3254" t="s">
        <v>2586</v>
      </c>
      <c r="AV3254" t="s">
        <v>15541</v>
      </c>
      <c r="AW3254" t="s">
        <v>13806</v>
      </c>
      <c r="AX3254" t="s">
        <v>3493</v>
      </c>
      <c r="AY3254" t="s">
        <v>5978</v>
      </c>
      <c r="AZ3254" t="s">
        <v>3672</v>
      </c>
      <c r="BA3254">
        <v>1.86</v>
      </c>
      <c r="BB3254">
        <v>657.46</v>
      </c>
      <c r="BC3254">
        <v>0.37</v>
      </c>
      <c r="BD3254">
        <v>24.2</v>
      </c>
      <c r="BE3254">
        <v>24.46</v>
      </c>
      <c r="BF3254">
        <v>24.09</v>
      </c>
      <c r="BG3254" t="s">
        <v>28184</v>
      </c>
      <c r="BH3254" t="s">
        <v>11618</v>
      </c>
      <c r="BI3254" t="s">
        <v>28185</v>
      </c>
      <c r="BJ3254" t="s">
        <v>101</v>
      </c>
      <c r="BK3254" t="s">
        <v>2162</v>
      </c>
      <c r="BL3254" t="s">
        <v>7190</v>
      </c>
      <c r="BM3254" t="s">
        <v>7811</v>
      </c>
      <c r="BN3254" t="s">
        <v>27621</v>
      </c>
    </row>
    <row r="3255" spans="1:66" x14ac:dyDescent="0.25">
      <c r="A3255" t="str">
        <f>HYPERLINK("https://elite.finviz.com/quote.ashx?t=GOOD&amp;ty=c&amp;p=d&amp;b=1", "GOOD")</f>
        <v>GOOD</v>
      </c>
      <c r="B3255">
        <v>4</v>
      </c>
      <c r="C3255">
        <v>105.92</v>
      </c>
      <c r="D3255">
        <v>33.1</v>
      </c>
      <c r="E3255" t="s">
        <v>28186</v>
      </c>
      <c r="F3255" t="s">
        <v>67</v>
      </c>
      <c r="G3255" t="s">
        <v>68</v>
      </c>
      <c r="H3255" t="s">
        <v>4656</v>
      </c>
      <c r="I3255" t="s">
        <v>70</v>
      </c>
      <c r="J3255" t="s">
        <v>321</v>
      </c>
      <c r="K3255">
        <v>663.24</v>
      </c>
      <c r="L3255">
        <v>12.48</v>
      </c>
      <c r="M3255" t="s">
        <v>1765</v>
      </c>
      <c r="N3255">
        <v>50216</v>
      </c>
      <c r="O3255">
        <v>34.65</v>
      </c>
      <c r="P3255">
        <v>46.23</v>
      </c>
      <c r="Q3255">
        <v>5.94</v>
      </c>
      <c r="R3255">
        <v>4.32</v>
      </c>
      <c r="S3255">
        <v>3.3</v>
      </c>
      <c r="T3255" t="s">
        <v>9830</v>
      </c>
      <c r="U3255">
        <v>1.2</v>
      </c>
      <c r="V3255" t="s">
        <v>4676</v>
      </c>
      <c r="W3255" t="s">
        <v>164</v>
      </c>
      <c r="X3255" t="s">
        <v>4317</v>
      </c>
      <c r="Y3255" t="s">
        <v>6976</v>
      </c>
      <c r="Z3255" t="s">
        <v>28187</v>
      </c>
      <c r="AA3255">
        <v>0.36</v>
      </c>
      <c r="AD3255" t="s">
        <v>2581</v>
      </c>
      <c r="AE3255" t="s">
        <v>4133</v>
      </c>
      <c r="AF3255" t="s">
        <v>4945</v>
      </c>
      <c r="AG3255" t="s">
        <v>7682</v>
      </c>
      <c r="AH3255" t="s">
        <v>1160</v>
      </c>
      <c r="AI3255" t="s">
        <v>453</v>
      </c>
      <c r="AJ3255" t="s">
        <v>2215</v>
      </c>
      <c r="AK3255" t="s">
        <v>18785</v>
      </c>
      <c r="AL3255">
        <v>0.86</v>
      </c>
      <c r="AM3255">
        <v>0.86</v>
      </c>
      <c r="AN3255">
        <v>2.31</v>
      </c>
      <c r="AO3255" t="s">
        <v>28188</v>
      </c>
      <c r="AP3255" t="s">
        <v>18415</v>
      </c>
      <c r="AQ3255" t="s">
        <v>2579</v>
      </c>
      <c r="AR3255" t="s">
        <v>3551</v>
      </c>
      <c r="AS3255" t="s">
        <v>4275</v>
      </c>
      <c r="AT3255" t="s">
        <v>1269</v>
      </c>
      <c r="AU3255" t="s">
        <v>15164</v>
      </c>
      <c r="AV3255" t="s">
        <v>4356</v>
      </c>
      <c r="AW3255" t="s">
        <v>10461</v>
      </c>
      <c r="AX3255" t="s">
        <v>3493</v>
      </c>
      <c r="AY3255" t="s">
        <v>15357</v>
      </c>
      <c r="AZ3255" t="s">
        <v>3493</v>
      </c>
      <c r="BA3255">
        <v>2</v>
      </c>
      <c r="BB3255">
        <v>402.86</v>
      </c>
      <c r="BC3255">
        <v>0.44</v>
      </c>
      <c r="BD3255">
        <v>12.43</v>
      </c>
      <c r="BE3255">
        <v>12.53</v>
      </c>
      <c r="BF3255">
        <v>12.43</v>
      </c>
      <c r="BG3255" t="s">
        <v>28189</v>
      </c>
      <c r="BH3255" t="s">
        <v>6772</v>
      </c>
      <c r="BI3255" t="s">
        <v>28190</v>
      </c>
      <c r="BJ3255" t="s">
        <v>101</v>
      </c>
      <c r="BK3255" t="s">
        <v>14348</v>
      </c>
      <c r="BL3255" t="s">
        <v>23335</v>
      </c>
      <c r="BM3255" t="s">
        <v>20282</v>
      </c>
      <c r="BN3255" t="s">
        <v>27621</v>
      </c>
    </row>
    <row r="3256" spans="1:66" x14ac:dyDescent="0.25">
      <c r="A3256" t="str">
        <f>HYPERLINK("https://elite.finviz.com/quote.ashx?t=SEGG&amp;ty=c&amp;p=d&amp;b=1", "SEGG")</f>
        <v>SEGG</v>
      </c>
      <c r="B3256">
        <v>4</v>
      </c>
      <c r="C3256">
        <v>105.92</v>
      </c>
      <c r="D3256">
        <v>33.14</v>
      </c>
      <c r="E3256" t="s">
        <v>28191</v>
      </c>
      <c r="F3256" t="s">
        <v>107</v>
      </c>
      <c r="G3256" t="s">
        <v>813</v>
      </c>
      <c r="H3256" t="s">
        <v>10266</v>
      </c>
      <c r="I3256" t="s">
        <v>70</v>
      </c>
      <c r="J3256" t="s">
        <v>321</v>
      </c>
      <c r="K3256">
        <v>19.34</v>
      </c>
      <c r="L3256">
        <v>4.91</v>
      </c>
      <c r="M3256" t="s">
        <v>6597</v>
      </c>
      <c r="N3256">
        <v>9561</v>
      </c>
      <c r="R3256">
        <v>19.940000000000001</v>
      </c>
      <c r="S3256">
        <v>0.8</v>
      </c>
      <c r="AA3256">
        <v>-21.94</v>
      </c>
      <c r="AB3256" t="s">
        <v>28192</v>
      </c>
      <c r="AE3256" t="s">
        <v>28193</v>
      </c>
      <c r="AF3256" t="s">
        <v>6845</v>
      </c>
      <c r="AH3256" t="s">
        <v>23611</v>
      </c>
      <c r="AJ3256" t="s">
        <v>25804</v>
      </c>
      <c r="AK3256" t="s">
        <v>2145</v>
      </c>
      <c r="AL3256">
        <v>0.53</v>
      </c>
      <c r="AM3256">
        <v>0.53</v>
      </c>
      <c r="AN3256">
        <v>0.27</v>
      </c>
      <c r="AO3256" t="s">
        <v>28194</v>
      </c>
      <c r="AP3256" t="s">
        <v>28195</v>
      </c>
      <c r="AQ3256" t="s">
        <v>28196</v>
      </c>
      <c r="AR3256" t="s">
        <v>6348</v>
      </c>
      <c r="AS3256" t="s">
        <v>945</v>
      </c>
      <c r="AT3256" t="s">
        <v>17460</v>
      </c>
      <c r="AU3256" t="s">
        <v>18240</v>
      </c>
      <c r="AV3256" t="s">
        <v>8317</v>
      </c>
      <c r="AW3256" t="s">
        <v>28197</v>
      </c>
      <c r="AX3256" t="s">
        <v>13611</v>
      </c>
      <c r="AY3256" t="s">
        <v>28198</v>
      </c>
      <c r="AZ3256" t="s">
        <v>28199</v>
      </c>
      <c r="BA3256">
        <v>1</v>
      </c>
      <c r="BB3256">
        <v>94.17</v>
      </c>
      <c r="BC3256">
        <v>0.36</v>
      </c>
      <c r="BD3256">
        <v>5</v>
      </c>
      <c r="BE3256">
        <v>5</v>
      </c>
      <c r="BF3256">
        <v>4.9000000000000004</v>
      </c>
      <c r="BG3256" t="s">
        <v>28200</v>
      </c>
      <c r="BH3256" t="s">
        <v>3590</v>
      </c>
      <c r="BI3256" t="s">
        <v>28199</v>
      </c>
      <c r="BJ3256" t="s">
        <v>101</v>
      </c>
      <c r="BK3256" t="s">
        <v>28201</v>
      </c>
      <c r="BL3256" t="s">
        <v>28202</v>
      </c>
      <c r="BM3256" t="s">
        <v>24076</v>
      </c>
      <c r="BN3256" t="s">
        <v>27621</v>
      </c>
    </row>
    <row r="3257" spans="1:66" x14ac:dyDescent="0.25">
      <c r="A3257" t="str">
        <f>HYPERLINK("https://elite.finviz.com/quote.ashx?t=PAY&amp;ty=c&amp;p=d&amp;b=1", "PAY")</f>
        <v>PAY</v>
      </c>
      <c r="B3257">
        <v>4</v>
      </c>
      <c r="C3257">
        <v>105.92</v>
      </c>
      <c r="D3257">
        <v>33.159999999999997</v>
      </c>
      <c r="E3257" t="s">
        <v>28203</v>
      </c>
      <c r="F3257" t="s">
        <v>107</v>
      </c>
      <c r="G3257" t="s">
        <v>108</v>
      </c>
      <c r="H3257" t="s">
        <v>109</v>
      </c>
      <c r="I3257" t="s">
        <v>70</v>
      </c>
      <c r="J3257" t="s">
        <v>71</v>
      </c>
      <c r="K3257">
        <v>3879.25</v>
      </c>
      <c r="L3257">
        <v>30.97</v>
      </c>
      <c r="M3257" t="s">
        <v>1842</v>
      </c>
      <c r="N3257">
        <v>93006</v>
      </c>
      <c r="O3257">
        <v>70.95</v>
      </c>
      <c r="P3257">
        <v>39.869999999999997</v>
      </c>
      <c r="Q3257">
        <v>2.69</v>
      </c>
      <c r="R3257">
        <v>3.71</v>
      </c>
      <c r="S3257">
        <v>7.51</v>
      </c>
      <c r="Z3257" t="s">
        <v>164</v>
      </c>
      <c r="AA3257">
        <v>0.44</v>
      </c>
      <c r="AB3257" t="s">
        <v>28204</v>
      </c>
      <c r="AC3257" t="s">
        <v>13067</v>
      </c>
      <c r="AD3257" t="s">
        <v>7897</v>
      </c>
      <c r="AE3257" t="s">
        <v>10749</v>
      </c>
      <c r="AF3257" t="s">
        <v>1135</v>
      </c>
      <c r="AG3257" t="s">
        <v>5538</v>
      </c>
      <c r="AH3257" t="s">
        <v>1726</v>
      </c>
      <c r="AI3257" t="s">
        <v>2400</v>
      </c>
      <c r="AJ3257" t="s">
        <v>3752</v>
      </c>
      <c r="AK3257" t="s">
        <v>5931</v>
      </c>
      <c r="AL3257">
        <v>4.5599999999999996</v>
      </c>
      <c r="AM3257">
        <v>4.5599999999999996</v>
      </c>
      <c r="AN3257">
        <v>0.02</v>
      </c>
      <c r="AO3257" t="s">
        <v>5039</v>
      </c>
      <c r="AP3257" t="s">
        <v>1871</v>
      </c>
      <c r="AQ3257" t="s">
        <v>10926</v>
      </c>
      <c r="AR3257" t="s">
        <v>1926</v>
      </c>
      <c r="AS3257" t="s">
        <v>1050</v>
      </c>
      <c r="AT3257" t="s">
        <v>9757</v>
      </c>
      <c r="AU3257" t="s">
        <v>6303</v>
      </c>
      <c r="AV3257" t="s">
        <v>1149</v>
      </c>
      <c r="AW3257" t="s">
        <v>11339</v>
      </c>
      <c r="AX3257" t="s">
        <v>1777</v>
      </c>
      <c r="AY3257" t="s">
        <v>10986</v>
      </c>
      <c r="AZ3257" t="s">
        <v>14532</v>
      </c>
      <c r="BA3257">
        <v>1.86</v>
      </c>
      <c r="BB3257">
        <v>786.91</v>
      </c>
      <c r="BC3257">
        <v>0.42</v>
      </c>
      <c r="BD3257">
        <v>31.01</v>
      </c>
      <c r="BE3257">
        <v>31.46</v>
      </c>
      <c r="BF3257">
        <v>30.64</v>
      </c>
      <c r="BG3257" t="s">
        <v>28205</v>
      </c>
      <c r="BH3257" t="s">
        <v>10986</v>
      </c>
      <c r="BI3257" t="s">
        <v>28206</v>
      </c>
      <c r="BJ3257" t="s">
        <v>101</v>
      </c>
      <c r="BK3257" t="s">
        <v>3665</v>
      </c>
      <c r="BL3257" t="s">
        <v>5897</v>
      </c>
      <c r="BM3257" t="s">
        <v>3726</v>
      </c>
      <c r="BN3257" t="s">
        <v>27621</v>
      </c>
    </row>
    <row r="3258" spans="1:66" x14ac:dyDescent="0.25">
      <c r="A3258" t="str">
        <f>HYPERLINK("https://elite.finviz.com/quote.ashx?t=NX&amp;ty=c&amp;p=d&amp;b=1", "NX")</f>
        <v>NX</v>
      </c>
      <c r="B3258">
        <v>4</v>
      </c>
      <c r="C3258">
        <v>105.92</v>
      </c>
      <c r="D3258">
        <v>33.18</v>
      </c>
      <c r="E3258" t="s">
        <v>28207</v>
      </c>
      <c r="F3258" t="s">
        <v>67</v>
      </c>
      <c r="G3258" t="s">
        <v>260</v>
      </c>
      <c r="H3258" t="s">
        <v>3225</v>
      </c>
      <c r="I3258" t="s">
        <v>70</v>
      </c>
      <c r="J3258" t="s">
        <v>71</v>
      </c>
      <c r="K3258">
        <v>648.24</v>
      </c>
      <c r="L3258">
        <v>14.13</v>
      </c>
      <c r="M3258" t="s">
        <v>215</v>
      </c>
      <c r="N3258">
        <v>133295</v>
      </c>
      <c r="P3258">
        <v>6.41</v>
      </c>
      <c r="R3258">
        <v>0.35</v>
      </c>
      <c r="S3258">
        <v>0.9</v>
      </c>
      <c r="T3258" t="s">
        <v>1599</v>
      </c>
      <c r="U3258">
        <v>0.32</v>
      </c>
      <c r="V3258" t="s">
        <v>5925</v>
      </c>
      <c r="W3258" t="s">
        <v>164</v>
      </c>
      <c r="X3258" t="s">
        <v>164</v>
      </c>
      <c r="Y3258" t="s">
        <v>164</v>
      </c>
      <c r="Z3258" t="s">
        <v>27553</v>
      </c>
      <c r="AA3258">
        <v>-6.21</v>
      </c>
      <c r="AB3258" t="s">
        <v>17301</v>
      </c>
      <c r="AD3258" t="s">
        <v>6674</v>
      </c>
      <c r="AE3258" t="s">
        <v>14709</v>
      </c>
      <c r="AF3258" t="s">
        <v>1886</v>
      </c>
      <c r="AG3258" t="s">
        <v>2816</v>
      </c>
      <c r="AH3258" t="s">
        <v>28208</v>
      </c>
      <c r="AI3258" t="s">
        <v>17798</v>
      </c>
      <c r="AJ3258" t="s">
        <v>2554</v>
      </c>
      <c r="AK3258" t="s">
        <v>28209</v>
      </c>
      <c r="AL3258">
        <v>2.2000000000000002</v>
      </c>
      <c r="AM3258">
        <v>1.18</v>
      </c>
      <c r="AN3258">
        <v>1.22</v>
      </c>
      <c r="AO3258" t="s">
        <v>17310</v>
      </c>
      <c r="AP3258" t="s">
        <v>165</v>
      </c>
      <c r="AQ3258" t="s">
        <v>11612</v>
      </c>
      <c r="AR3258" t="s">
        <v>162</v>
      </c>
      <c r="AS3258" t="s">
        <v>4678</v>
      </c>
      <c r="AT3258" t="s">
        <v>2248</v>
      </c>
      <c r="AU3258" t="s">
        <v>22938</v>
      </c>
      <c r="AV3258" t="s">
        <v>28210</v>
      </c>
      <c r="AW3258" t="s">
        <v>23922</v>
      </c>
      <c r="AX3258" t="s">
        <v>2150</v>
      </c>
      <c r="AY3258" t="s">
        <v>28201</v>
      </c>
      <c r="AZ3258" t="s">
        <v>2150</v>
      </c>
      <c r="BA3258">
        <v>1</v>
      </c>
      <c r="BB3258">
        <v>530.14</v>
      </c>
      <c r="BC3258">
        <v>0.89</v>
      </c>
      <c r="BD3258">
        <v>13.49</v>
      </c>
      <c r="BE3258">
        <v>14.13</v>
      </c>
      <c r="BF3258">
        <v>13.47</v>
      </c>
      <c r="BG3258" t="s">
        <v>28211</v>
      </c>
      <c r="BH3258" t="s">
        <v>27225</v>
      </c>
      <c r="BI3258" t="s">
        <v>28212</v>
      </c>
      <c r="BJ3258" t="s">
        <v>101</v>
      </c>
      <c r="BK3258" t="s">
        <v>27448</v>
      </c>
      <c r="BL3258" t="s">
        <v>8011</v>
      </c>
      <c r="BM3258" t="s">
        <v>15788</v>
      </c>
      <c r="BN3258" t="s">
        <v>27621</v>
      </c>
    </row>
    <row r="3259" spans="1:66" x14ac:dyDescent="0.25">
      <c r="A3259" t="str">
        <f>HYPERLINK("https://elite.finviz.com/quote.ashx?t=GOCO&amp;ty=c&amp;p=d&amp;b=1", "GOCO")</f>
        <v>GOCO</v>
      </c>
      <c r="B3259">
        <v>4</v>
      </c>
      <c r="C3259">
        <v>105.92</v>
      </c>
      <c r="D3259">
        <v>33.28</v>
      </c>
      <c r="E3259" t="s">
        <v>28213</v>
      </c>
      <c r="F3259" t="s">
        <v>67</v>
      </c>
      <c r="G3259" t="s">
        <v>550</v>
      </c>
      <c r="H3259" t="s">
        <v>10916</v>
      </c>
      <c r="I3259" t="s">
        <v>70</v>
      </c>
      <c r="J3259" t="s">
        <v>321</v>
      </c>
      <c r="K3259">
        <v>70.92</v>
      </c>
      <c r="L3259">
        <v>4.4400000000000004</v>
      </c>
      <c r="M3259" t="s">
        <v>5745</v>
      </c>
      <c r="N3259">
        <v>10145</v>
      </c>
      <c r="R3259">
        <v>0.09</v>
      </c>
      <c r="S3259">
        <v>0.26</v>
      </c>
      <c r="AA3259">
        <v>-3.65</v>
      </c>
      <c r="AB3259" t="s">
        <v>7267</v>
      </c>
      <c r="AC3259" t="s">
        <v>9333</v>
      </c>
      <c r="AE3259" t="s">
        <v>15372</v>
      </c>
      <c r="AF3259" t="s">
        <v>20059</v>
      </c>
      <c r="AG3259" t="s">
        <v>7511</v>
      </c>
      <c r="AH3259" t="s">
        <v>18085</v>
      </c>
      <c r="AI3259" t="s">
        <v>28214</v>
      </c>
      <c r="AJ3259" t="s">
        <v>164</v>
      </c>
      <c r="AK3259" t="s">
        <v>17021</v>
      </c>
      <c r="AL3259">
        <v>1.56</v>
      </c>
      <c r="AM3259">
        <v>1.56</v>
      </c>
      <c r="AN3259">
        <v>3.39</v>
      </c>
      <c r="AO3259" t="s">
        <v>5441</v>
      </c>
      <c r="AP3259" t="s">
        <v>4955</v>
      </c>
      <c r="AQ3259" t="s">
        <v>9600</v>
      </c>
      <c r="AR3259" t="s">
        <v>4678</v>
      </c>
      <c r="AS3259" t="s">
        <v>2035</v>
      </c>
      <c r="AT3259" t="s">
        <v>972</v>
      </c>
      <c r="AU3259" t="s">
        <v>18780</v>
      </c>
      <c r="AV3259" t="s">
        <v>20430</v>
      </c>
      <c r="AW3259" t="s">
        <v>3333</v>
      </c>
      <c r="AX3259" t="s">
        <v>5745</v>
      </c>
      <c r="AY3259" t="s">
        <v>19358</v>
      </c>
      <c r="AZ3259" t="s">
        <v>5745</v>
      </c>
      <c r="BA3259">
        <v>1.4</v>
      </c>
      <c r="BB3259">
        <v>46.95</v>
      </c>
      <c r="BC3259">
        <v>0.77</v>
      </c>
      <c r="BD3259">
        <v>4.38</v>
      </c>
      <c r="BE3259">
        <v>4.55</v>
      </c>
      <c r="BF3259">
        <v>4.37</v>
      </c>
      <c r="BG3259" t="s">
        <v>28215</v>
      </c>
      <c r="BH3259" t="s">
        <v>8552</v>
      </c>
      <c r="BI3259" t="s">
        <v>5745</v>
      </c>
      <c r="BJ3259" t="s">
        <v>101</v>
      </c>
      <c r="BK3259" t="s">
        <v>14628</v>
      </c>
      <c r="BL3259" t="s">
        <v>680</v>
      </c>
      <c r="BM3259" t="s">
        <v>15219</v>
      </c>
      <c r="BN3259" t="s">
        <v>27621</v>
      </c>
    </row>
    <row r="3260" spans="1:66" x14ac:dyDescent="0.25">
      <c r="A3260" t="str">
        <f>HYPERLINK("https://elite.finviz.com/quote.ashx?t=LII&amp;ty=c&amp;p=d&amp;b=1", "LII")</f>
        <v>LII</v>
      </c>
      <c r="B3260">
        <v>4</v>
      </c>
      <c r="C3260">
        <v>105.92</v>
      </c>
      <c r="D3260">
        <v>33.299999999999997</v>
      </c>
      <c r="E3260" t="s">
        <v>28216</v>
      </c>
      <c r="F3260" t="s">
        <v>195</v>
      </c>
      <c r="G3260" t="s">
        <v>260</v>
      </c>
      <c r="H3260" t="s">
        <v>3225</v>
      </c>
      <c r="I3260" t="s">
        <v>70</v>
      </c>
      <c r="J3260" t="s">
        <v>71</v>
      </c>
      <c r="K3260">
        <v>18237.79</v>
      </c>
      <c r="L3260">
        <v>519.24</v>
      </c>
      <c r="M3260" t="s">
        <v>4623</v>
      </c>
      <c r="N3260">
        <v>24344</v>
      </c>
      <c r="O3260">
        <v>22.2</v>
      </c>
      <c r="P3260">
        <v>19.96</v>
      </c>
      <c r="Q3260">
        <v>2.75</v>
      </c>
      <c r="R3260">
        <v>3.37</v>
      </c>
      <c r="S3260">
        <v>20.260000000000002</v>
      </c>
      <c r="T3260" t="s">
        <v>3761</v>
      </c>
      <c r="U3260">
        <v>4.75</v>
      </c>
      <c r="V3260" t="s">
        <v>198</v>
      </c>
      <c r="W3260" t="s">
        <v>4530</v>
      </c>
      <c r="X3260" t="s">
        <v>11728</v>
      </c>
      <c r="Y3260" t="s">
        <v>2653</v>
      </c>
      <c r="Z3260" t="s">
        <v>5792</v>
      </c>
      <c r="AA3260">
        <v>23.39</v>
      </c>
      <c r="AB3260" t="s">
        <v>7726</v>
      </c>
      <c r="AC3260" t="s">
        <v>639</v>
      </c>
      <c r="AD3260" t="s">
        <v>2407</v>
      </c>
      <c r="AE3260" t="s">
        <v>635</v>
      </c>
      <c r="AF3260" t="s">
        <v>224</v>
      </c>
      <c r="AG3260" t="s">
        <v>7942</v>
      </c>
      <c r="AH3260" t="s">
        <v>2736</v>
      </c>
      <c r="AI3260" t="s">
        <v>73</v>
      </c>
      <c r="AJ3260" t="s">
        <v>4328</v>
      </c>
      <c r="AK3260" t="s">
        <v>28217</v>
      </c>
      <c r="AL3260">
        <v>1.41</v>
      </c>
      <c r="AM3260">
        <v>0.71</v>
      </c>
      <c r="AN3260">
        <v>1.72</v>
      </c>
      <c r="AO3260" t="s">
        <v>8208</v>
      </c>
      <c r="AP3260" t="s">
        <v>18550</v>
      </c>
      <c r="AQ3260" t="s">
        <v>4455</v>
      </c>
      <c r="AR3260" t="s">
        <v>2307</v>
      </c>
      <c r="AS3260" t="s">
        <v>2643</v>
      </c>
      <c r="AT3260" t="s">
        <v>11567</v>
      </c>
      <c r="AU3260" t="s">
        <v>618</v>
      </c>
      <c r="AV3260" t="s">
        <v>4722</v>
      </c>
      <c r="AW3260" t="s">
        <v>8663</v>
      </c>
      <c r="AX3260" t="s">
        <v>3757</v>
      </c>
      <c r="AY3260" t="s">
        <v>8663</v>
      </c>
      <c r="AZ3260" t="s">
        <v>323</v>
      </c>
      <c r="BA3260">
        <v>3</v>
      </c>
      <c r="BB3260">
        <v>380.38</v>
      </c>
      <c r="BC3260">
        <v>0.23</v>
      </c>
      <c r="BD3260">
        <v>516.17999999999995</v>
      </c>
      <c r="BE3260">
        <v>521.97</v>
      </c>
      <c r="BF3260">
        <v>518.01</v>
      </c>
      <c r="BG3260" t="s">
        <v>28218</v>
      </c>
      <c r="BH3260" t="s">
        <v>8663</v>
      </c>
      <c r="BI3260" t="s">
        <v>28219</v>
      </c>
      <c r="BJ3260" t="s">
        <v>101</v>
      </c>
      <c r="BK3260" t="s">
        <v>5674</v>
      </c>
      <c r="BL3260" t="s">
        <v>5445</v>
      </c>
      <c r="BM3260" t="s">
        <v>4364</v>
      </c>
      <c r="BN3260" t="s">
        <v>27621</v>
      </c>
    </row>
    <row r="3261" spans="1:66" x14ac:dyDescent="0.25">
      <c r="A3261" t="str">
        <f>HYPERLINK("https://elite.finviz.com/quote.ashx?t=GEF&amp;ty=c&amp;p=d&amp;b=1", "GEF")</f>
        <v>GEF</v>
      </c>
      <c r="B3261">
        <v>4</v>
      </c>
      <c r="C3261">
        <v>105.92</v>
      </c>
      <c r="D3261">
        <v>33.31</v>
      </c>
      <c r="E3261" t="s">
        <v>28220</v>
      </c>
      <c r="F3261" t="s">
        <v>67</v>
      </c>
      <c r="G3261" t="s">
        <v>813</v>
      </c>
      <c r="H3261" t="s">
        <v>7355</v>
      </c>
      <c r="I3261" t="s">
        <v>70</v>
      </c>
      <c r="J3261" t="s">
        <v>71</v>
      </c>
      <c r="K3261">
        <v>2855.66</v>
      </c>
      <c r="L3261">
        <v>59.17</v>
      </c>
      <c r="M3261" t="s">
        <v>4849</v>
      </c>
      <c r="N3261">
        <v>16033</v>
      </c>
      <c r="O3261">
        <v>21.73</v>
      </c>
      <c r="R3261">
        <v>0.55000000000000004</v>
      </c>
      <c r="S3261">
        <v>1.57</v>
      </c>
      <c r="T3261" t="s">
        <v>2764</v>
      </c>
      <c r="U3261">
        <v>2.1800000000000002</v>
      </c>
      <c r="V3261" t="s">
        <v>5925</v>
      </c>
      <c r="W3261" t="s">
        <v>6475</v>
      </c>
      <c r="X3261" t="s">
        <v>7118</v>
      </c>
      <c r="Y3261" t="s">
        <v>2233</v>
      </c>
      <c r="Z3261" t="s">
        <v>6252</v>
      </c>
      <c r="AA3261">
        <v>2.72</v>
      </c>
      <c r="AB3261" t="s">
        <v>8292</v>
      </c>
      <c r="AC3261" t="s">
        <v>4728</v>
      </c>
      <c r="AE3261" t="s">
        <v>132</v>
      </c>
      <c r="AF3261" t="s">
        <v>2059</v>
      </c>
      <c r="AG3261" t="s">
        <v>4394</v>
      </c>
      <c r="AH3261" t="s">
        <v>19271</v>
      </c>
      <c r="AI3261" t="s">
        <v>8507</v>
      </c>
      <c r="AJ3261" t="s">
        <v>1445</v>
      </c>
      <c r="AK3261" t="s">
        <v>20028</v>
      </c>
      <c r="AL3261">
        <v>1.41</v>
      </c>
      <c r="AM3261">
        <v>1.18</v>
      </c>
      <c r="AN3261">
        <v>1.34</v>
      </c>
      <c r="AO3261" t="s">
        <v>5492</v>
      </c>
      <c r="AP3261" t="s">
        <v>147</v>
      </c>
      <c r="AQ3261" t="s">
        <v>1769</v>
      </c>
      <c r="AR3261" t="s">
        <v>3024</v>
      </c>
      <c r="AS3261" t="s">
        <v>1438</v>
      </c>
      <c r="AT3261" t="s">
        <v>3328</v>
      </c>
      <c r="AU3261" t="s">
        <v>5781</v>
      </c>
      <c r="AV3261" t="s">
        <v>9500</v>
      </c>
      <c r="AW3261" t="s">
        <v>24341</v>
      </c>
      <c r="AX3261" t="s">
        <v>1837</v>
      </c>
      <c r="AY3261" t="s">
        <v>6197</v>
      </c>
      <c r="AZ3261" t="s">
        <v>18114</v>
      </c>
      <c r="BA3261">
        <v>2.33</v>
      </c>
      <c r="BB3261">
        <v>223.25</v>
      </c>
      <c r="BC3261">
        <v>0.25</v>
      </c>
      <c r="BD3261">
        <v>58.87</v>
      </c>
      <c r="BE3261">
        <v>59.51</v>
      </c>
      <c r="BF3261">
        <v>58.99</v>
      </c>
      <c r="BG3261" t="s">
        <v>28221</v>
      </c>
      <c r="BH3261" t="s">
        <v>24695</v>
      </c>
      <c r="BI3261" t="s">
        <v>28222</v>
      </c>
      <c r="BJ3261" t="s">
        <v>101</v>
      </c>
      <c r="BK3261" t="s">
        <v>9271</v>
      </c>
      <c r="BL3261" t="s">
        <v>5659</v>
      </c>
      <c r="BM3261" t="s">
        <v>5040</v>
      </c>
      <c r="BN3261" t="s">
        <v>27621</v>
      </c>
    </row>
    <row r="3262" spans="1:66" x14ac:dyDescent="0.25">
      <c r="A3262" t="str">
        <f>HYPERLINK("https://elite.finviz.com/quote.ashx?t=KEQU&amp;ty=c&amp;p=d&amp;b=1", "KEQU")</f>
        <v>KEQU</v>
      </c>
      <c r="B3262">
        <v>4</v>
      </c>
      <c r="C3262">
        <v>105.92</v>
      </c>
      <c r="D3262">
        <v>33.35</v>
      </c>
      <c r="E3262" t="s">
        <v>28223</v>
      </c>
      <c r="F3262" t="s">
        <v>107</v>
      </c>
      <c r="G3262" t="s">
        <v>813</v>
      </c>
      <c r="H3262" t="s">
        <v>3866</v>
      </c>
      <c r="I3262" t="s">
        <v>70</v>
      </c>
      <c r="J3262" t="s">
        <v>321</v>
      </c>
      <c r="K3262">
        <v>125.26</v>
      </c>
      <c r="L3262">
        <v>43.71</v>
      </c>
      <c r="M3262" t="s">
        <v>2362</v>
      </c>
      <c r="N3262">
        <v>136</v>
      </c>
      <c r="O3262">
        <v>10.57</v>
      </c>
      <c r="R3262">
        <v>0.48</v>
      </c>
      <c r="S3262">
        <v>1.87</v>
      </c>
      <c r="V3262" t="s">
        <v>28224</v>
      </c>
      <c r="Z3262" t="s">
        <v>164</v>
      </c>
      <c r="AA3262">
        <v>4.13</v>
      </c>
      <c r="AE3262" t="s">
        <v>6839</v>
      </c>
      <c r="AF3262" t="s">
        <v>6206</v>
      </c>
      <c r="AG3262" t="s">
        <v>4835</v>
      </c>
      <c r="AH3262" t="s">
        <v>19606</v>
      </c>
      <c r="AJ3262" t="s">
        <v>6659</v>
      </c>
      <c r="AK3262" t="s">
        <v>5689</v>
      </c>
      <c r="AL3262">
        <v>2.3199999999999998</v>
      </c>
      <c r="AM3262">
        <v>1.63</v>
      </c>
      <c r="AN3262">
        <v>1.1299999999999999</v>
      </c>
      <c r="AO3262" t="s">
        <v>1209</v>
      </c>
      <c r="AP3262" t="s">
        <v>929</v>
      </c>
      <c r="AQ3262" t="s">
        <v>2235</v>
      </c>
      <c r="AR3262" t="s">
        <v>5256</v>
      </c>
      <c r="AS3262" t="s">
        <v>3521</v>
      </c>
      <c r="AT3262" t="s">
        <v>19666</v>
      </c>
      <c r="AU3262" t="s">
        <v>22916</v>
      </c>
      <c r="AV3262" t="s">
        <v>7861</v>
      </c>
      <c r="AW3262" t="s">
        <v>6548</v>
      </c>
      <c r="AX3262" t="s">
        <v>3433</v>
      </c>
      <c r="AY3262" t="s">
        <v>10777</v>
      </c>
      <c r="AZ3262" t="s">
        <v>19184</v>
      </c>
      <c r="BA3262">
        <v>1</v>
      </c>
      <c r="BB3262">
        <v>14.21</v>
      </c>
      <c r="BC3262">
        <v>0.03</v>
      </c>
      <c r="BD3262">
        <v>43.48</v>
      </c>
      <c r="BE3262">
        <v>43.86</v>
      </c>
      <c r="BF3262">
        <v>43.86</v>
      </c>
      <c r="BG3262" t="s">
        <v>28225</v>
      </c>
      <c r="BH3262" t="s">
        <v>10777</v>
      </c>
      <c r="BI3262" t="s">
        <v>28226</v>
      </c>
      <c r="BJ3262" t="s">
        <v>101</v>
      </c>
      <c r="BK3262" t="s">
        <v>10286</v>
      </c>
      <c r="BL3262" t="s">
        <v>205</v>
      </c>
      <c r="BM3262" t="s">
        <v>5845</v>
      </c>
      <c r="BN3262" t="s">
        <v>27621</v>
      </c>
    </row>
    <row r="3263" spans="1:66" x14ac:dyDescent="0.25">
      <c r="A3263" t="str">
        <f>HYPERLINK("https://elite.finviz.com/quote.ashx?t=CHMI&amp;ty=c&amp;p=d&amp;b=1", "CHMI")</f>
        <v>CHMI</v>
      </c>
      <c r="B3263">
        <v>4</v>
      </c>
      <c r="C3263">
        <v>105.92</v>
      </c>
      <c r="D3263">
        <v>33.35</v>
      </c>
      <c r="E3263" t="s">
        <v>28227</v>
      </c>
      <c r="F3263" t="s">
        <v>107</v>
      </c>
      <c r="G3263" t="s">
        <v>68</v>
      </c>
      <c r="H3263" t="s">
        <v>5566</v>
      </c>
      <c r="I3263" t="s">
        <v>70</v>
      </c>
      <c r="J3263" t="s">
        <v>71</v>
      </c>
      <c r="K3263">
        <v>91.55</v>
      </c>
      <c r="L3263">
        <v>2.54</v>
      </c>
      <c r="M3263" t="s">
        <v>2307</v>
      </c>
      <c r="N3263">
        <v>55927</v>
      </c>
      <c r="P3263">
        <v>3.99</v>
      </c>
      <c r="R3263">
        <v>0.77</v>
      </c>
      <c r="S3263">
        <v>0.74</v>
      </c>
      <c r="T3263" t="s">
        <v>5938</v>
      </c>
      <c r="U3263">
        <v>0.52</v>
      </c>
      <c r="V3263" t="s">
        <v>198</v>
      </c>
      <c r="W3263" t="s">
        <v>8084</v>
      </c>
      <c r="X3263" t="s">
        <v>3770</v>
      </c>
      <c r="Y3263" t="s">
        <v>19432</v>
      </c>
      <c r="Z3263" t="s">
        <v>28228</v>
      </c>
      <c r="AA3263">
        <v>-0.52</v>
      </c>
      <c r="AB3263" t="s">
        <v>15495</v>
      </c>
      <c r="AE3263" t="s">
        <v>133</v>
      </c>
      <c r="AF3263" t="s">
        <v>18126</v>
      </c>
      <c r="AG3263" t="s">
        <v>6002</v>
      </c>
      <c r="AH3263" t="s">
        <v>3406</v>
      </c>
      <c r="AI3263" t="s">
        <v>13837</v>
      </c>
      <c r="AJ3263" t="s">
        <v>164</v>
      </c>
      <c r="AK3263" t="s">
        <v>5458</v>
      </c>
      <c r="AL3263">
        <v>0.08</v>
      </c>
      <c r="AM3263">
        <v>0.08</v>
      </c>
      <c r="AN3263">
        <v>5.37</v>
      </c>
      <c r="AO3263" t="s">
        <v>21487</v>
      </c>
      <c r="AP3263" t="s">
        <v>13183</v>
      </c>
      <c r="AQ3263" t="s">
        <v>18777</v>
      </c>
      <c r="AR3263" t="s">
        <v>5256</v>
      </c>
      <c r="AS3263" t="s">
        <v>648</v>
      </c>
      <c r="AT3263" t="s">
        <v>6730</v>
      </c>
      <c r="AU3263" t="s">
        <v>9417</v>
      </c>
      <c r="AV3263" t="s">
        <v>7531</v>
      </c>
      <c r="AW3263" t="s">
        <v>11238</v>
      </c>
      <c r="AX3263" t="s">
        <v>4394</v>
      </c>
      <c r="AY3263" t="s">
        <v>21244</v>
      </c>
      <c r="AZ3263" t="s">
        <v>637</v>
      </c>
      <c r="BA3263">
        <v>1</v>
      </c>
      <c r="BB3263">
        <v>294.70999999999998</v>
      </c>
      <c r="BC3263">
        <v>0.67</v>
      </c>
      <c r="BD3263">
        <v>2.4900000000000002</v>
      </c>
      <c r="BE3263">
        <v>2.54</v>
      </c>
      <c r="BF3263">
        <v>2.5</v>
      </c>
      <c r="BG3263" t="s">
        <v>28229</v>
      </c>
      <c r="BH3263" t="s">
        <v>22932</v>
      </c>
      <c r="BI3263" t="s">
        <v>637</v>
      </c>
      <c r="BJ3263" t="s">
        <v>101</v>
      </c>
      <c r="BK3263" t="s">
        <v>14485</v>
      </c>
      <c r="BL3263" t="s">
        <v>17896</v>
      </c>
      <c r="BM3263" t="s">
        <v>6277</v>
      </c>
      <c r="BN3263" t="s">
        <v>27621</v>
      </c>
    </row>
    <row r="3264" spans="1:66" x14ac:dyDescent="0.25">
      <c r="A3264" t="str">
        <f>HYPERLINK("https://elite.finviz.com/quote.ashx?t=MZTI&amp;ty=c&amp;p=d&amp;b=1", "MZTI")</f>
        <v>MZTI</v>
      </c>
      <c r="B3264">
        <v>4</v>
      </c>
      <c r="C3264">
        <v>105.92</v>
      </c>
      <c r="D3264">
        <v>33.369999999999997</v>
      </c>
      <c r="E3264" t="s">
        <v>28230</v>
      </c>
      <c r="F3264" t="s">
        <v>67</v>
      </c>
      <c r="G3264" t="s">
        <v>2244</v>
      </c>
      <c r="H3264" t="s">
        <v>3269</v>
      </c>
      <c r="I3264" t="s">
        <v>70</v>
      </c>
      <c r="J3264" t="s">
        <v>321</v>
      </c>
      <c r="K3264">
        <v>4738.88</v>
      </c>
      <c r="L3264">
        <v>172.11</v>
      </c>
      <c r="M3264" t="s">
        <v>1547</v>
      </c>
      <c r="N3264">
        <v>18816</v>
      </c>
      <c r="O3264">
        <v>28.35</v>
      </c>
      <c r="P3264">
        <v>23.33</v>
      </c>
      <c r="Q3264">
        <v>6.77</v>
      </c>
      <c r="R3264">
        <v>2.48</v>
      </c>
      <c r="S3264">
        <v>4.75</v>
      </c>
      <c r="T3264" t="s">
        <v>7322</v>
      </c>
      <c r="U3264">
        <v>3.8</v>
      </c>
      <c r="V3264" t="s">
        <v>9611</v>
      </c>
      <c r="W3264" t="s">
        <v>3983</v>
      </c>
      <c r="X3264" t="s">
        <v>5152</v>
      </c>
      <c r="Y3264" t="s">
        <v>7542</v>
      </c>
      <c r="Z3264" t="s">
        <v>11310</v>
      </c>
      <c r="AA3264">
        <v>6.07</v>
      </c>
      <c r="AB3264" t="s">
        <v>1054</v>
      </c>
      <c r="AC3264" t="s">
        <v>1751</v>
      </c>
      <c r="AD3264" t="s">
        <v>2721</v>
      </c>
      <c r="AE3264" t="s">
        <v>1439</v>
      </c>
      <c r="AF3264" t="s">
        <v>5885</v>
      </c>
      <c r="AG3264" t="s">
        <v>5847</v>
      </c>
      <c r="AH3264" t="s">
        <v>275</v>
      </c>
      <c r="AI3264" t="s">
        <v>3226</v>
      </c>
      <c r="AJ3264" t="s">
        <v>164</v>
      </c>
      <c r="AK3264" t="s">
        <v>10856</v>
      </c>
      <c r="AL3264">
        <v>2.38</v>
      </c>
      <c r="AM3264">
        <v>1.47</v>
      </c>
      <c r="AN3264">
        <v>0.06</v>
      </c>
      <c r="AO3264" t="s">
        <v>13432</v>
      </c>
      <c r="AP3264" t="s">
        <v>3188</v>
      </c>
      <c r="AQ3264" t="s">
        <v>776</v>
      </c>
      <c r="AR3264" t="s">
        <v>2219</v>
      </c>
      <c r="AS3264" t="s">
        <v>5084</v>
      </c>
      <c r="AT3264" t="s">
        <v>2827</v>
      </c>
      <c r="AU3264" t="s">
        <v>9070</v>
      </c>
      <c r="AV3264" t="s">
        <v>2149</v>
      </c>
      <c r="AW3264" t="s">
        <v>13982</v>
      </c>
      <c r="AX3264" t="s">
        <v>3358</v>
      </c>
      <c r="AY3264" t="s">
        <v>4336</v>
      </c>
      <c r="AZ3264" t="s">
        <v>8240</v>
      </c>
      <c r="BA3264">
        <v>2.33</v>
      </c>
      <c r="BB3264">
        <v>139.74</v>
      </c>
      <c r="BC3264">
        <v>0.47</v>
      </c>
      <c r="BD3264">
        <v>172.24</v>
      </c>
      <c r="BE3264">
        <v>174.79</v>
      </c>
      <c r="BF3264">
        <v>172.69</v>
      </c>
      <c r="BG3264" t="s">
        <v>28231</v>
      </c>
      <c r="BH3264" t="s">
        <v>15822</v>
      </c>
      <c r="BI3264" t="s">
        <v>28232</v>
      </c>
      <c r="BJ3264" t="s">
        <v>101</v>
      </c>
      <c r="BK3264" t="s">
        <v>4794</v>
      </c>
      <c r="BL3264" t="s">
        <v>7332</v>
      </c>
      <c r="BM3264" t="s">
        <v>11661</v>
      </c>
      <c r="BN3264" t="s">
        <v>27621</v>
      </c>
    </row>
    <row r="3265" spans="1:66" x14ac:dyDescent="0.25">
      <c r="A3265" t="str">
        <f>HYPERLINK("https://elite.finviz.com/quote.ashx?t=CERO&amp;ty=c&amp;p=d&amp;b=1", "CERO")</f>
        <v>CERO</v>
      </c>
      <c r="B3265">
        <v>4</v>
      </c>
      <c r="C3265">
        <v>105.92</v>
      </c>
      <c r="D3265">
        <v>33.42</v>
      </c>
      <c r="E3265" t="s">
        <v>28233</v>
      </c>
      <c r="F3265" t="s">
        <v>107</v>
      </c>
      <c r="G3265" t="s">
        <v>428</v>
      </c>
      <c r="H3265" t="s">
        <v>429</v>
      </c>
      <c r="I3265" t="s">
        <v>70</v>
      </c>
      <c r="J3265" t="s">
        <v>321</v>
      </c>
      <c r="K3265">
        <v>6.4</v>
      </c>
      <c r="L3265">
        <v>5.31</v>
      </c>
      <c r="M3265" t="s">
        <v>1787</v>
      </c>
      <c r="N3265">
        <v>11798</v>
      </c>
      <c r="AA3265">
        <v>-258.19</v>
      </c>
      <c r="AB3265" t="s">
        <v>28234</v>
      </c>
      <c r="AD3265" t="s">
        <v>20941</v>
      </c>
      <c r="AI3265" t="s">
        <v>28235</v>
      </c>
      <c r="AJ3265" t="s">
        <v>164</v>
      </c>
      <c r="AK3265" t="s">
        <v>1085</v>
      </c>
      <c r="AL3265">
        <v>0.56000000000000005</v>
      </c>
      <c r="AM3265">
        <v>0.56000000000000005</v>
      </c>
      <c r="AR3265" t="s">
        <v>2419</v>
      </c>
      <c r="AS3265" t="s">
        <v>1282</v>
      </c>
      <c r="AT3265" t="s">
        <v>3892</v>
      </c>
      <c r="AU3265" t="s">
        <v>28236</v>
      </c>
      <c r="AV3265" t="s">
        <v>11485</v>
      </c>
      <c r="AW3265" t="s">
        <v>4590</v>
      </c>
      <c r="AX3265" t="s">
        <v>5553</v>
      </c>
      <c r="AY3265" t="s">
        <v>11018</v>
      </c>
      <c r="AZ3265" t="s">
        <v>5553</v>
      </c>
      <c r="BA3265">
        <v>1</v>
      </c>
      <c r="BB3265">
        <v>152.25</v>
      </c>
      <c r="BC3265">
        <v>0.27</v>
      </c>
      <c r="BD3265">
        <v>5.38</v>
      </c>
      <c r="BE3265">
        <v>5.4</v>
      </c>
      <c r="BF3265">
        <v>5.32</v>
      </c>
      <c r="BG3265" t="s">
        <v>28237</v>
      </c>
      <c r="BH3265" t="s">
        <v>3265</v>
      </c>
      <c r="BI3265" t="s">
        <v>5553</v>
      </c>
      <c r="BJ3265" t="s">
        <v>101</v>
      </c>
      <c r="BK3265" t="s">
        <v>28238</v>
      </c>
      <c r="BL3265" t="s">
        <v>28239</v>
      </c>
      <c r="BM3265" t="s">
        <v>2847</v>
      </c>
      <c r="BN3265" t="s">
        <v>27621</v>
      </c>
    </row>
    <row r="3266" spans="1:66" x14ac:dyDescent="0.25">
      <c r="A3266" t="str">
        <f>HYPERLINK("https://elite.finviz.com/quote.ashx?t=CRVL&amp;ty=c&amp;p=d&amp;b=1", "CRVL")</f>
        <v>CRVL</v>
      </c>
      <c r="B3266">
        <v>4</v>
      </c>
      <c r="C3266">
        <v>105.92</v>
      </c>
      <c r="D3266">
        <v>33.44</v>
      </c>
      <c r="E3266" t="s">
        <v>28240</v>
      </c>
      <c r="F3266" t="s">
        <v>67</v>
      </c>
      <c r="G3266" t="s">
        <v>550</v>
      </c>
      <c r="H3266" t="s">
        <v>10916</v>
      </c>
      <c r="I3266" t="s">
        <v>70</v>
      </c>
      <c r="J3266" t="s">
        <v>321</v>
      </c>
      <c r="K3266">
        <v>4034.71</v>
      </c>
      <c r="L3266">
        <v>78.63</v>
      </c>
      <c r="M3266" t="s">
        <v>193</v>
      </c>
      <c r="N3266">
        <v>25368</v>
      </c>
      <c r="O3266">
        <v>40.54</v>
      </c>
      <c r="R3266">
        <v>4.3899999999999997</v>
      </c>
      <c r="S3266">
        <v>11.78</v>
      </c>
      <c r="Z3266" t="s">
        <v>164</v>
      </c>
      <c r="AA3266">
        <v>1.94</v>
      </c>
      <c r="AB3266" t="s">
        <v>7847</v>
      </c>
      <c r="AC3266" t="s">
        <v>3374</v>
      </c>
      <c r="AE3266" t="s">
        <v>3122</v>
      </c>
      <c r="AF3266" t="s">
        <v>10407</v>
      </c>
      <c r="AG3266" t="s">
        <v>863</v>
      </c>
      <c r="AH3266" t="s">
        <v>5248</v>
      </c>
      <c r="AJ3266" t="s">
        <v>8357</v>
      </c>
      <c r="AK3266" t="s">
        <v>28241</v>
      </c>
      <c r="AL3266">
        <v>1.79</v>
      </c>
      <c r="AM3266">
        <v>1.79</v>
      </c>
      <c r="AN3266">
        <v>0.08</v>
      </c>
      <c r="AO3266" t="s">
        <v>10384</v>
      </c>
      <c r="AP3266" t="s">
        <v>1436</v>
      </c>
      <c r="AQ3266" t="s">
        <v>8188</v>
      </c>
      <c r="AR3266" t="s">
        <v>5132</v>
      </c>
      <c r="AS3266" t="s">
        <v>1932</v>
      </c>
      <c r="AT3266" t="s">
        <v>2665</v>
      </c>
      <c r="AU3266" t="s">
        <v>2850</v>
      </c>
      <c r="AV3266" t="s">
        <v>28242</v>
      </c>
      <c r="AW3266" t="s">
        <v>7992</v>
      </c>
      <c r="AX3266" t="s">
        <v>3350</v>
      </c>
      <c r="AY3266" t="s">
        <v>26595</v>
      </c>
      <c r="AZ3266" t="s">
        <v>3350</v>
      </c>
      <c r="BB3266">
        <v>182.26</v>
      </c>
      <c r="BC3266">
        <v>0.49</v>
      </c>
      <c r="BD3266">
        <v>78.41</v>
      </c>
      <c r="BE3266">
        <v>79.39</v>
      </c>
      <c r="BF3266">
        <v>78.09</v>
      </c>
      <c r="BG3266" t="s">
        <v>28243</v>
      </c>
      <c r="BH3266" t="s">
        <v>26595</v>
      </c>
      <c r="BI3266" t="s">
        <v>28244</v>
      </c>
      <c r="BJ3266" t="s">
        <v>101</v>
      </c>
      <c r="BK3266" t="s">
        <v>24577</v>
      </c>
      <c r="BL3266" t="s">
        <v>28245</v>
      </c>
      <c r="BM3266" t="s">
        <v>15828</v>
      </c>
      <c r="BN3266" t="s">
        <v>27621</v>
      </c>
    </row>
    <row r="3267" spans="1:66" x14ac:dyDescent="0.25">
      <c r="A3267" t="str">
        <f>HYPERLINK("https://elite.finviz.com/quote.ashx?t=MORN&amp;ty=c&amp;p=d&amp;b=1", "MORN")</f>
        <v>MORN</v>
      </c>
      <c r="B3267">
        <v>4</v>
      </c>
      <c r="C3267">
        <v>105.92</v>
      </c>
      <c r="D3267">
        <v>33.450000000000003</v>
      </c>
      <c r="E3267" t="s">
        <v>28246</v>
      </c>
      <c r="F3267" t="s">
        <v>107</v>
      </c>
      <c r="G3267" t="s">
        <v>550</v>
      </c>
      <c r="H3267" t="s">
        <v>16129</v>
      </c>
      <c r="I3267" t="s">
        <v>70</v>
      </c>
      <c r="J3267" t="s">
        <v>321</v>
      </c>
      <c r="K3267">
        <v>9913.4599999999991</v>
      </c>
      <c r="L3267">
        <v>235.04</v>
      </c>
      <c r="M3267" t="s">
        <v>6829</v>
      </c>
      <c r="N3267">
        <v>41244</v>
      </c>
      <c r="O3267">
        <v>25.01</v>
      </c>
      <c r="P3267">
        <v>21.9</v>
      </c>
      <c r="Q3267">
        <v>1.42</v>
      </c>
      <c r="R3267">
        <v>4.22</v>
      </c>
      <c r="S3267">
        <v>6.14</v>
      </c>
      <c r="T3267" t="s">
        <v>3169</v>
      </c>
      <c r="U3267">
        <v>1.77</v>
      </c>
      <c r="V3267" t="s">
        <v>4105</v>
      </c>
      <c r="W3267" t="s">
        <v>5557</v>
      </c>
      <c r="X3267" t="s">
        <v>4867</v>
      </c>
      <c r="Y3267" t="s">
        <v>223</v>
      </c>
      <c r="Z3267" t="s">
        <v>5540</v>
      </c>
      <c r="AA3267">
        <v>9.4</v>
      </c>
      <c r="AB3267" t="s">
        <v>8539</v>
      </c>
      <c r="AC3267" t="s">
        <v>10797</v>
      </c>
      <c r="AD3267" t="s">
        <v>3117</v>
      </c>
      <c r="AE3267" t="s">
        <v>9204</v>
      </c>
      <c r="AF3267" t="s">
        <v>14933</v>
      </c>
      <c r="AG3267" t="s">
        <v>14993</v>
      </c>
      <c r="AH3267" t="s">
        <v>7210</v>
      </c>
      <c r="AI3267" t="s">
        <v>3212</v>
      </c>
      <c r="AJ3267" t="s">
        <v>4312</v>
      </c>
      <c r="AK3267" t="s">
        <v>7466</v>
      </c>
      <c r="AL3267">
        <v>1.0900000000000001</v>
      </c>
      <c r="AM3267">
        <v>1.0900000000000001</v>
      </c>
      <c r="AN3267">
        <v>0.64</v>
      </c>
      <c r="AO3267" t="s">
        <v>7042</v>
      </c>
      <c r="AP3267" t="s">
        <v>11608</v>
      </c>
      <c r="AQ3267" t="s">
        <v>7486</v>
      </c>
      <c r="AR3267" t="s">
        <v>617</v>
      </c>
      <c r="AS3267" t="s">
        <v>180</v>
      </c>
      <c r="AT3267" t="s">
        <v>16056</v>
      </c>
      <c r="AU3267" t="s">
        <v>9710</v>
      </c>
      <c r="AV3267" t="s">
        <v>7155</v>
      </c>
      <c r="AW3267" t="s">
        <v>9565</v>
      </c>
      <c r="AX3267" t="s">
        <v>2430</v>
      </c>
      <c r="AY3267" t="s">
        <v>23538</v>
      </c>
      <c r="AZ3267" t="s">
        <v>2430</v>
      </c>
      <c r="BA3267">
        <v>1.67</v>
      </c>
      <c r="BB3267">
        <v>382.97</v>
      </c>
      <c r="BC3267">
        <v>0.38</v>
      </c>
      <c r="BD3267">
        <v>231.72</v>
      </c>
      <c r="BE3267">
        <v>235</v>
      </c>
      <c r="BF3267">
        <v>231.61</v>
      </c>
      <c r="BG3267" t="s">
        <v>28247</v>
      </c>
      <c r="BH3267" t="s">
        <v>23538</v>
      </c>
      <c r="BI3267" t="s">
        <v>28248</v>
      </c>
      <c r="BJ3267" t="s">
        <v>101</v>
      </c>
      <c r="BK3267" t="s">
        <v>17246</v>
      </c>
      <c r="BL3267" t="s">
        <v>28249</v>
      </c>
      <c r="BM3267" t="s">
        <v>5186</v>
      </c>
      <c r="BN3267" t="s">
        <v>27621</v>
      </c>
    </row>
    <row r="3268" spans="1:66" x14ac:dyDescent="0.25">
      <c r="A3268" t="str">
        <f>HYPERLINK("https://elite.finviz.com/quote.ashx?t=FG&amp;ty=c&amp;p=d&amp;b=1", "FG")</f>
        <v>FG</v>
      </c>
      <c r="B3268">
        <v>4</v>
      </c>
      <c r="C3268">
        <v>105.92</v>
      </c>
      <c r="D3268">
        <v>33.450000000000003</v>
      </c>
      <c r="E3268" t="s">
        <v>28250</v>
      </c>
      <c r="F3268" t="s">
        <v>67</v>
      </c>
      <c r="G3268" t="s">
        <v>550</v>
      </c>
      <c r="H3268" t="s">
        <v>5652</v>
      </c>
      <c r="I3268" t="s">
        <v>70</v>
      </c>
      <c r="J3268" t="s">
        <v>71</v>
      </c>
      <c r="K3268">
        <v>4295.3</v>
      </c>
      <c r="L3268">
        <v>31.9</v>
      </c>
      <c r="M3268" t="s">
        <v>5036</v>
      </c>
      <c r="N3268">
        <v>13174</v>
      </c>
      <c r="O3268">
        <v>13.03</v>
      </c>
      <c r="P3268">
        <v>5.6</v>
      </c>
      <c r="Q3268">
        <v>0.87</v>
      </c>
      <c r="R3268">
        <v>0.81</v>
      </c>
      <c r="S3268">
        <v>0.97</v>
      </c>
      <c r="T3268" t="s">
        <v>4945</v>
      </c>
      <c r="U3268">
        <v>0.88</v>
      </c>
      <c r="V3268" t="s">
        <v>5925</v>
      </c>
      <c r="W3268" t="s">
        <v>11791</v>
      </c>
      <c r="Z3268" t="s">
        <v>3834</v>
      </c>
      <c r="AA3268">
        <v>2.4500000000000002</v>
      </c>
      <c r="AB3268" t="s">
        <v>20993</v>
      </c>
      <c r="AD3268" t="s">
        <v>1723</v>
      </c>
      <c r="AE3268" t="s">
        <v>1952</v>
      </c>
      <c r="AF3268" t="s">
        <v>10403</v>
      </c>
      <c r="AH3268" t="s">
        <v>8400</v>
      </c>
      <c r="AI3268" t="s">
        <v>9747</v>
      </c>
      <c r="AJ3268" t="s">
        <v>28251</v>
      </c>
      <c r="AK3268" t="s">
        <v>14158</v>
      </c>
      <c r="AL3268">
        <v>0.08</v>
      </c>
      <c r="AN3268">
        <v>0.51</v>
      </c>
      <c r="AP3268" t="s">
        <v>11151</v>
      </c>
      <c r="AQ3268" t="s">
        <v>3951</v>
      </c>
      <c r="AR3268" t="s">
        <v>3208</v>
      </c>
      <c r="AS3268" t="s">
        <v>3916</v>
      </c>
      <c r="AT3268" t="s">
        <v>7402</v>
      </c>
      <c r="AU3268" t="s">
        <v>4404</v>
      </c>
      <c r="AV3268" t="s">
        <v>20527</v>
      </c>
      <c r="AW3268" t="s">
        <v>12528</v>
      </c>
      <c r="AX3268" t="s">
        <v>2385</v>
      </c>
      <c r="AY3268" t="s">
        <v>28252</v>
      </c>
      <c r="AZ3268" t="s">
        <v>2386</v>
      </c>
      <c r="BA3268">
        <v>3</v>
      </c>
      <c r="BB3268">
        <v>180.04</v>
      </c>
      <c r="BC3268">
        <v>0.26</v>
      </c>
      <c r="BD3268">
        <v>31.67</v>
      </c>
      <c r="BE3268">
        <v>32.14</v>
      </c>
      <c r="BF3268">
        <v>31.81</v>
      </c>
      <c r="BG3268" t="s">
        <v>28253</v>
      </c>
      <c r="BH3268" t="s">
        <v>28252</v>
      </c>
      <c r="BI3268" t="s">
        <v>28254</v>
      </c>
      <c r="BJ3268" t="s">
        <v>101</v>
      </c>
      <c r="BK3268" t="s">
        <v>240</v>
      </c>
      <c r="BL3268" t="s">
        <v>3070</v>
      </c>
      <c r="BM3268" t="s">
        <v>12394</v>
      </c>
      <c r="BN3268" t="s">
        <v>27621</v>
      </c>
    </row>
    <row r="3269" spans="1:66" x14ac:dyDescent="0.25">
      <c r="A3269" t="str">
        <f>HYPERLINK("https://elite.finviz.com/quote.ashx?t=GSBD&amp;ty=c&amp;p=d&amp;b=1", "GSBD")</f>
        <v>GSBD</v>
      </c>
      <c r="B3269">
        <v>4</v>
      </c>
      <c r="C3269">
        <v>105.92</v>
      </c>
      <c r="D3269">
        <v>33.46</v>
      </c>
      <c r="E3269" t="s">
        <v>28255</v>
      </c>
      <c r="F3269" t="s">
        <v>107</v>
      </c>
      <c r="G3269" t="s">
        <v>550</v>
      </c>
      <c r="H3269" t="s">
        <v>2597</v>
      </c>
      <c r="I3269" t="s">
        <v>70</v>
      </c>
      <c r="J3269" t="s">
        <v>71</v>
      </c>
      <c r="K3269">
        <v>1244.4000000000001</v>
      </c>
      <c r="L3269">
        <v>10.9</v>
      </c>
      <c r="M3269" t="s">
        <v>3752</v>
      </c>
      <c r="N3269">
        <v>181965</v>
      </c>
      <c r="O3269">
        <v>8.7200000000000006</v>
      </c>
      <c r="P3269">
        <v>8.26</v>
      </c>
      <c r="R3269">
        <v>3.09</v>
      </c>
      <c r="S3269">
        <v>0.84</v>
      </c>
      <c r="T3269" t="s">
        <v>7033</v>
      </c>
      <c r="U3269">
        <v>1.5</v>
      </c>
      <c r="V3269" t="s">
        <v>198</v>
      </c>
      <c r="W3269" t="s">
        <v>164</v>
      </c>
      <c r="X3269" t="s">
        <v>4507</v>
      </c>
      <c r="Y3269" t="s">
        <v>4794</v>
      </c>
      <c r="Z3269" t="s">
        <v>28256</v>
      </c>
      <c r="AA3269">
        <v>1.25</v>
      </c>
      <c r="AE3269" t="s">
        <v>1176</v>
      </c>
      <c r="AH3269" t="s">
        <v>4227</v>
      </c>
      <c r="AI3269" t="s">
        <v>4920</v>
      </c>
      <c r="AJ3269" t="s">
        <v>10806</v>
      </c>
      <c r="AK3269" t="s">
        <v>469</v>
      </c>
      <c r="AR3269" t="s">
        <v>2572</v>
      </c>
      <c r="AS3269" t="s">
        <v>2185</v>
      </c>
      <c r="AT3269" t="s">
        <v>9022</v>
      </c>
      <c r="AU3269" t="s">
        <v>9600</v>
      </c>
      <c r="AV3269" t="s">
        <v>6822</v>
      </c>
      <c r="AW3269" t="s">
        <v>9889</v>
      </c>
      <c r="AX3269" t="s">
        <v>193</v>
      </c>
      <c r="AY3269" t="s">
        <v>22937</v>
      </c>
      <c r="AZ3269" t="s">
        <v>2866</v>
      </c>
      <c r="BB3269">
        <v>666.31</v>
      </c>
      <c r="BC3269">
        <v>0.96</v>
      </c>
      <c r="BD3269">
        <v>10.91</v>
      </c>
      <c r="BE3269">
        <v>11.07</v>
      </c>
      <c r="BF3269">
        <v>10.9</v>
      </c>
      <c r="BG3269" t="s">
        <v>28257</v>
      </c>
      <c r="BH3269" t="s">
        <v>25665</v>
      </c>
      <c r="BI3269" t="s">
        <v>4055</v>
      </c>
      <c r="BJ3269" t="s">
        <v>101</v>
      </c>
      <c r="BK3269" t="s">
        <v>922</v>
      </c>
      <c r="BL3269" t="s">
        <v>10559</v>
      </c>
      <c r="BM3269" t="s">
        <v>15857</v>
      </c>
      <c r="BN3269" t="s">
        <v>27621</v>
      </c>
    </row>
    <row r="3270" spans="1:66" x14ac:dyDescent="0.25">
      <c r="A3270" t="str">
        <f>HYPERLINK("https://elite.finviz.com/quote.ashx?t=TELA&amp;ty=c&amp;p=d&amp;b=1", "TELA")</f>
        <v>TELA</v>
      </c>
      <c r="B3270">
        <v>4</v>
      </c>
      <c r="C3270">
        <v>105.92</v>
      </c>
      <c r="D3270">
        <v>33.549999999999997</v>
      </c>
      <c r="E3270" t="s">
        <v>28258</v>
      </c>
      <c r="F3270" t="s">
        <v>107</v>
      </c>
      <c r="G3270" t="s">
        <v>428</v>
      </c>
      <c r="H3270" t="s">
        <v>2051</v>
      </c>
      <c r="I3270" t="s">
        <v>70</v>
      </c>
      <c r="J3270" t="s">
        <v>321</v>
      </c>
      <c r="K3270">
        <v>55.61</v>
      </c>
      <c r="L3270">
        <v>1.4</v>
      </c>
      <c r="M3270" t="s">
        <v>6494</v>
      </c>
      <c r="N3270">
        <v>19341</v>
      </c>
      <c r="R3270">
        <v>0.74</v>
      </c>
      <c r="S3270">
        <v>6.05</v>
      </c>
      <c r="AA3270">
        <v>-1.1200000000000001</v>
      </c>
      <c r="AB3270" t="s">
        <v>13459</v>
      </c>
      <c r="AC3270" t="s">
        <v>1116</v>
      </c>
      <c r="AD3270" t="s">
        <v>28259</v>
      </c>
      <c r="AE3270" t="s">
        <v>7192</v>
      </c>
      <c r="AF3270" t="s">
        <v>28260</v>
      </c>
      <c r="AG3270" t="s">
        <v>13386</v>
      </c>
      <c r="AH3270" t="s">
        <v>8720</v>
      </c>
      <c r="AI3270" t="s">
        <v>1427</v>
      </c>
      <c r="AJ3270" t="s">
        <v>164</v>
      </c>
      <c r="AK3270" t="s">
        <v>28261</v>
      </c>
      <c r="AL3270">
        <v>3.19</v>
      </c>
      <c r="AM3270">
        <v>2.59</v>
      </c>
      <c r="AN3270">
        <v>4.5599999999999996</v>
      </c>
      <c r="AO3270" t="s">
        <v>5921</v>
      </c>
      <c r="AP3270" t="s">
        <v>12153</v>
      </c>
      <c r="AQ3270" t="s">
        <v>28262</v>
      </c>
      <c r="AR3270" t="s">
        <v>1495</v>
      </c>
      <c r="AS3270" t="s">
        <v>11639</v>
      </c>
      <c r="AT3270" t="s">
        <v>2248</v>
      </c>
      <c r="AU3270" t="s">
        <v>1817</v>
      </c>
      <c r="AV3270" t="s">
        <v>14196</v>
      </c>
      <c r="AW3270" t="s">
        <v>28234</v>
      </c>
      <c r="AX3270" t="s">
        <v>182</v>
      </c>
      <c r="AY3270" t="s">
        <v>28263</v>
      </c>
      <c r="AZ3270" t="s">
        <v>12125</v>
      </c>
      <c r="BA3270">
        <v>1.4</v>
      </c>
      <c r="BB3270">
        <v>83.43</v>
      </c>
      <c r="BC3270">
        <v>0.82</v>
      </c>
      <c r="BD3270">
        <v>1.48</v>
      </c>
      <c r="BE3270">
        <v>1.48</v>
      </c>
      <c r="BF3270">
        <v>1.4</v>
      </c>
      <c r="BG3270" t="s">
        <v>28264</v>
      </c>
      <c r="BH3270" t="s">
        <v>2063</v>
      </c>
      <c r="BI3270" t="s">
        <v>12125</v>
      </c>
      <c r="BJ3270" t="s">
        <v>101</v>
      </c>
      <c r="BK3270" t="s">
        <v>20571</v>
      </c>
      <c r="BL3270" t="s">
        <v>4547</v>
      </c>
      <c r="BM3270" t="s">
        <v>28265</v>
      </c>
      <c r="BN3270" t="s">
        <v>27621</v>
      </c>
    </row>
    <row r="3271" spans="1:66" x14ac:dyDescent="0.25">
      <c r="A3271" t="str">
        <f>HYPERLINK("https://elite.finviz.com/quote.ashx?t=ORGO&amp;ty=c&amp;p=d&amp;b=1", "ORGO")</f>
        <v>ORGO</v>
      </c>
      <c r="B3271">
        <v>4</v>
      </c>
      <c r="C3271">
        <v>105.92</v>
      </c>
      <c r="D3271">
        <v>33.64</v>
      </c>
      <c r="E3271" t="s">
        <v>28266</v>
      </c>
      <c r="F3271" t="s">
        <v>67</v>
      </c>
      <c r="G3271" t="s">
        <v>428</v>
      </c>
      <c r="H3271" t="s">
        <v>1296</v>
      </c>
      <c r="I3271" t="s">
        <v>70</v>
      </c>
      <c r="J3271" t="s">
        <v>321</v>
      </c>
      <c r="K3271">
        <v>504.74</v>
      </c>
      <c r="L3271">
        <v>3.98</v>
      </c>
      <c r="M3271" t="s">
        <v>20126</v>
      </c>
      <c r="N3271">
        <v>231847</v>
      </c>
      <c r="P3271">
        <v>11.61</v>
      </c>
      <c r="R3271">
        <v>1.18</v>
      </c>
      <c r="S3271">
        <v>2.16</v>
      </c>
      <c r="Z3271" t="s">
        <v>164</v>
      </c>
      <c r="AA3271">
        <v>-0.12</v>
      </c>
      <c r="AB3271" t="s">
        <v>24469</v>
      </c>
      <c r="AE3271" t="s">
        <v>6123</v>
      </c>
      <c r="AF3271" t="s">
        <v>2610</v>
      </c>
      <c r="AG3271" t="s">
        <v>3449</v>
      </c>
      <c r="AH3271" t="s">
        <v>7461</v>
      </c>
      <c r="AI3271" t="s">
        <v>25102</v>
      </c>
      <c r="AJ3271" t="s">
        <v>3000</v>
      </c>
      <c r="AK3271" t="s">
        <v>16003</v>
      </c>
      <c r="AL3271">
        <v>3.95</v>
      </c>
      <c r="AM3271">
        <v>3.45</v>
      </c>
      <c r="AN3271">
        <v>0.11</v>
      </c>
      <c r="AO3271" t="s">
        <v>5530</v>
      </c>
      <c r="AP3271" t="s">
        <v>5928</v>
      </c>
      <c r="AQ3271" t="s">
        <v>11896</v>
      </c>
      <c r="AR3271" t="s">
        <v>169</v>
      </c>
      <c r="AS3271" t="s">
        <v>5026</v>
      </c>
      <c r="AT3271" t="s">
        <v>12430</v>
      </c>
      <c r="AU3271" t="s">
        <v>28267</v>
      </c>
      <c r="AV3271" t="s">
        <v>7332</v>
      </c>
      <c r="AW3271" t="s">
        <v>10986</v>
      </c>
      <c r="AX3271" t="s">
        <v>2656</v>
      </c>
      <c r="AY3271" t="s">
        <v>4179</v>
      </c>
      <c r="AZ3271" t="s">
        <v>20806</v>
      </c>
      <c r="BA3271">
        <v>1</v>
      </c>
      <c r="BB3271">
        <v>841.05</v>
      </c>
      <c r="BC3271">
        <v>0.97</v>
      </c>
      <c r="BD3271">
        <v>4.68</v>
      </c>
      <c r="BE3271">
        <v>4.68</v>
      </c>
      <c r="BF3271">
        <v>3.97</v>
      </c>
      <c r="BG3271" t="s">
        <v>28268</v>
      </c>
      <c r="BH3271" t="s">
        <v>6038</v>
      </c>
      <c r="BI3271" t="s">
        <v>28269</v>
      </c>
      <c r="BJ3271" t="s">
        <v>101</v>
      </c>
      <c r="BK3271" t="s">
        <v>6456</v>
      </c>
      <c r="BL3271" t="s">
        <v>9038</v>
      </c>
      <c r="BM3271" t="s">
        <v>12197</v>
      </c>
      <c r="BN3271" t="s">
        <v>27621</v>
      </c>
    </row>
    <row r="3272" spans="1:66" x14ac:dyDescent="0.25">
      <c r="A3272" t="str">
        <f>HYPERLINK("https://elite.finviz.com/quote.ashx?t=GWAV&amp;ty=c&amp;p=d&amp;b=1", "GWAV")</f>
        <v>GWAV</v>
      </c>
      <c r="B3272">
        <v>4</v>
      </c>
      <c r="C3272">
        <v>105.92</v>
      </c>
      <c r="D3272">
        <v>33.64</v>
      </c>
      <c r="E3272" t="s">
        <v>28270</v>
      </c>
      <c r="F3272" t="s">
        <v>107</v>
      </c>
      <c r="G3272" t="s">
        <v>260</v>
      </c>
      <c r="H3272" t="s">
        <v>1573</v>
      </c>
      <c r="I3272" t="s">
        <v>70</v>
      </c>
      <c r="J3272" t="s">
        <v>321</v>
      </c>
      <c r="K3272">
        <v>3.9</v>
      </c>
      <c r="L3272">
        <v>6.84</v>
      </c>
      <c r="M3272" t="s">
        <v>2643</v>
      </c>
      <c r="N3272">
        <v>13651</v>
      </c>
      <c r="R3272">
        <v>0.12</v>
      </c>
      <c r="S3272">
        <v>0.04</v>
      </c>
      <c r="AA3272">
        <v>-27502.720000000001</v>
      </c>
      <c r="AC3272" t="s">
        <v>28271</v>
      </c>
      <c r="AF3272" t="s">
        <v>7771</v>
      </c>
      <c r="AG3272" t="s">
        <v>28272</v>
      </c>
      <c r="AH3272" t="s">
        <v>6253</v>
      </c>
      <c r="AI3272" t="s">
        <v>164</v>
      </c>
      <c r="AJ3272" t="s">
        <v>164</v>
      </c>
      <c r="AK3272" t="s">
        <v>744</v>
      </c>
      <c r="AL3272">
        <v>0.36</v>
      </c>
      <c r="AM3272">
        <v>0.23</v>
      </c>
      <c r="AN3272">
        <v>0.43</v>
      </c>
      <c r="AO3272" t="s">
        <v>87</v>
      </c>
      <c r="AP3272" t="s">
        <v>25655</v>
      </c>
      <c r="AQ3272" t="s">
        <v>28273</v>
      </c>
      <c r="AR3272" t="s">
        <v>371</v>
      </c>
      <c r="AS3272" t="s">
        <v>1736</v>
      </c>
      <c r="AT3272" t="s">
        <v>633</v>
      </c>
      <c r="AU3272" t="s">
        <v>14486</v>
      </c>
      <c r="AV3272" t="s">
        <v>14276</v>
      </c>
      <c r="AW3272" t="s">
        <v>28274</v>
      </c>
      <c r="AX3272" t="s">
        <v>5390</v>
      </c>
      <c r="AY3272" t="s">
        <v>9680</v>
      </c>
      <c r="AZ3272" t="s">
        <v>5390</v>
      </c>
      <c r="BA3272">
        <v>1</v>
      </c>
      <c r="BB3272">
        <v>41.84</v>
      </c>
      <c r="BC3272">
        <v>1.1599999999999999</v>
      </c>
      <c r="BD3272">
        <v>6.66</v>
      </c>
      <c r="BE3272">
        <v>6.99</v>
      </c>
      <c r="BF3272">
        <v>6.53</v>
      </c>
      <c r="BG3272" t="s">
        <v>28275</v>
      </c>
      <c r="BH3272" t="s">
        <v>579</v>
      </c>
      <c r="BI3272" t="s">
        <v>5390</v>
      </c>
      <c r="BJ3272" t="s">
        <v>101</v>
      </c>
      <c r="BK3272" t="s">
        <v>3909</v>
      </c>
      <c r="BL3272" t="s">
        <v>28276</v>
      </c>
      <c r="BM3272" t="s">
        <v>28277</v>
      </c>
      <c r="BN3272" t="s">
        <v>27621</v>
      </c>
    </row>
    <row r="3273" spans="1:66" x14ac:dyDescent="0.25">
      <c r="A3273" t="str">
        <f>HYPERLINK("https://elite.finviz.com/quote.ashx?t=SIBN&amp;ty=c&amp;p=d&amp;b=1", "SIBN")</f>
        <v>SIBN</v>
      </c>
      <c r="B3273">
        <v>4</v>
      </c>
      <c r="C3273">
        <v>105.92</v>
      </c>
      <c r="D3273">
        <v>33.64</v>
      </c>
      <c r="E3273" t="s">
        <v>28278</v>
      </c>
      <c r="F3273" t="s">
        <v>67</v>
      </c>
      <c r="G3273" t="s">
        <v>428</v>
      </c>
      <c r="H3273" t="s">
        <v>2051</v>
      </c>
      <c r="I3273" t="s">
        <v>70</v>
      </c>
      <c r="J3273" t="s">
        <v>321</v>
      </c>
      <c r="K3273">
        <v>609.79</v>
      </c>
      <c r="L3273">
        <v>14.14</v>
      </c>
      <c r="M3273" t="s">
        <v>3227</v>
      </c>
      <c r="N3273">
        <v>69795</v>
      </c>
      <c r="R3273">
        <v>3.29</v>
      </c>
      <c r="S3273">
        <v>3.57</v>
      </c>
      <c r="AA3273">
        <v>-0.56000000000000005</v>
      </c>
      <c r="AB3273" t="s">
        <v>4285</v>
      </c>
      <c r="AC3273" t="s">
        <v>5096</v>
      </c>
      <c r="AD3273" t="s">
        <v>19737</v>
      </c>
      <c r="AE3273" t="s">
        <v>6154</v>
      </c>
      <c r="AF3273" t="s">
        <v>3308</v>
      </c>
      <c r="AG3273" t="s">
        <v>6001</v>
      </c>
      <c r="AH3273" t="s">
        <v>2956</v>
      </c>
      <c r="AI3273" t="s">
        <v>5938</v>
      </c>
      <c r="AJ3273" t="s">
        <v>608</v>
      </c>
      <c r="AK3273" t="s">
        <v>21223</v>
      </c>
      <c r="AL3273">
        <v>8.3800000000000008</v>
      </c>
      <c r="AM3273">
        <v>7</v>
      </c>
      <c r="AN3273">
        <v>0.22</v>
      </c>
      <c r="AO3273" t="s">
        <v>12549</v>
      </c>
      <c r="AP3273" t="s">
        <v>8096</v>
      </c>
      <c r="AQ3273" t="s">
        <v>8021</v>
      </c>
      <c r="AR3273" t="s">
        <v>5672</v>
      </c>
      <c r="AS3273" t="s">
        <v>3613</v>
      </c>
      <c r="AT3273" t="s">
        <v>9537</v>
      </c>
      <c r="AU3273" t="s">
        <v>23568</v>
      </c>
      <c r="AV3273" t="s">
        <v>11949</v>
      </c>
      <c r="AW3273" t="s">
        <v>28279</v>
      </c>
      <c r="AX3273" t="s">
        <v>744</v>
      </c>
      <c r="AY3273" t="s">
        <v>12463</v>
      </c>
      <c r="AZ3273" t="s">
        <v>7902</v>
      </c>
      <c r="BA3273">
        <v>1</v>
      </c>
      <c r="BB3273">
        <v>411.76</v>
      </c>
      <c r="BC3273">
        <v>0.6</v>
      </c>
      <c r="BD3273">
        <v>14.14</v>
      </c>
      <c r="BE3273">
        <v>14.13</v>
      </c>
      <c r="BF3273">
        <v>14.13</v>
      </c>
      <c r="BG3273" t="s">
        <v>28280</v>
      </c>
      <c r="BH3273" t="s">
        <v>14398</v>
      </c>
      <c r="BI3273" t="s">
        <v>21136</v>
      </c>
      <c r="BJ3273" t="s">
        <v>101</v>
      </c>
      <c r="BK3273" t="s">
        <v>13597</v>
      </c>
      <c r="BL3273" t="s">
        <v>2610</v>
      </c>
      <c r="BM3273" t="s">
        <v>4150</v>
      </c>
      <c r="BN3273" t="s">
        <v>27621</v>
      </c>
    </row>
    <row r="3274" spans="1:66" x14ac:dyDescent="0.25">
      <c r="A3274" t="str">
        <f>HYPERLINK("https://elite.finviz.com/quote.ashx?t=GCMG&amp;ty=c&amp;p=d&amp;b=1", "GCMG")</f>
        <v>GCMG</v>
      </c>
      <c r="B3274">
        <v>4</v>
      </c>
      <c r="C3274">
        <v>105.92</v>
      </c>
      <c r="D3274">
        <v>33.65</v>
      </c>
      <c r="E3274" t="s">
        <v>28281</v>
      </c>
      <c r="F3274" t="s">
        <v>67</v>
      </c>
      <c r="G3274" t="s">
        <v>550</v>
      </c>
      <c r="H3274" t="s">
        <v>2597</v>
      </c>
      <c r="I3274" t="s">
        <v>70</v>
      </c>
      <c r="J3274" t="s">
        <v>321</v>
      </c>
      <c r="K3274">
        <v>2387.59</v>
      </c>
      <c r="L3274">
        <v>12.25</v>
      </c>
      <c r="M3274" t="s">
        <v>4328</v>
      </c>
      <c r="N3274">
        <v>81464</v>
      </c>
      <c r="O3274">
        <v>86.64</v>
      </c>
      <c r="P3274">
        <v>13.89</v>
      </c>
      <c r="Q3274">
        <v>8.82</v>
      </c>
      <c r="R3274">
        <v>4.55</v>
      </c>
      <c r="T3274" t="s">
        <v>3433</v>
      </c>
      <c r="U3274">
        <v>0.44</v>
      </c>
      <c r="V3274" t="s">
        <v>2187</v>
      </c>
      <c r="W3274" t="s">
        <v>164</v>
      </c>
      <c r="X3274" t="s">
        <v>1115</v>
      </c>
      <c r="Z3274" t="s">
        <v>28282</v>
      </c>
      <c r="AA3274">
        <v>0.14000000000000001</v>
      </c>
      <c r="AB3274" t="s">
        <v>6863</v>
      </c>
      <c r="AD3274" t="s">
        <v>801</v>
      </c>
      <c r="AE3274" t="s">
        <v>10541</v>
      </c>
      <c r="AF3274" t="s">
        <v>5444</v>
      </c>
      <c r="AG3274" t="s">
        <v>7117</v>
      </c>
      <c r="AH3274" t="s">
        <v>2473</v>
      </c>
      <c r="AI3274" t="s">
        <v>6475</v>
      </c>
      <c r="AJ3274" t="s">
        <v>3890</v>
      </c>
      <c r="AK3274" t="s">
        <v>28283</v>
      </c>
      <c r="AL3274">
        <v>1.57</v>
      </c>
      <c r="AM3274">
        <v>1.57</v>
      </c>
      <c r="AP3274" t="s">
        <v>4272</v>
      </c>
      <c r="AQ3274" t="s">
        <v>8966</v>
      </c>
      <c r="AR3274" t="s">
        <v>714</v>
      </c>
      <c r="AS3274" t="s">
        <v>2201</v>
      </c>
      <c r="AT3274" t="s">
        <v>5368</v>
      </c>
      <c r="AU3274" t="s">
        <v>7193</v>
      </c>
      <c r="AV3274" t="s">
        <v>5928</v>
      </c>
      <c r="AW3274" t="s">
        <v>14840</v>
      </c>
      <c r="AX3274" t="s">
        <v>5152</v>
      </c>
      <c r="AY3274" t="s">
        <v>20179</v>
      </c>
      <c r="AZ3274" t="s">
        <v>10812</v>
      </c>
      <c r="BA3274">
        <v>1.8</v>
      </c>
      <c r="BB3274">
        <v>569.38</v>
      </c>
      <c r="BC3274">
        <v>0.5</v>
      </c>
      <c r="BD3274">
        <v>12.39</v>
      </c>
      <c r="BE3274">
        <v>12.49</v>
      </c>
      <c r="BF3274">
        <v>12.25</v>
      </c>
      <c r="BG3274" t="s">
        <v>28284</v>
      </c>
      <c r="BH3274" t="s">
        <v>21420</v>
      </c>
      <c r="BI3274" t="s">
        <v>12186</v>
      </c>
      <c r="BJ3274" t="s">
        <v>101</v>
      </c>
      <c r="BK3274" t="s">
        <v>8808</v>
      </c>
      <c r="BL3274" t="s">
        <v>11385</v>
      </c>
      <c r="BM3274" t="s">
        <v>713</v>
      </c>
      <c r="BN3274" t="s">
        <v>27621</v>
      </c>
    </row>
    <row r="3275" spans="1:66" x14ac:dyDescent="0.25">
      <c r="A3275" t="str">
        <f>HYPERLINK("https://elite.finviz.com/quote.ashx?t=BCPC&amp;ty=c&amp;p=d&amp;b=1", "BCPC")</f>
        <v>BCPC</v>
      </c>
      <c r="B3275">
        <v>4</v>
      </c>
      <c r="C3275">
        <v>105.92</v>
      </c>
      <c r="D3275">
        <v>33.68</v>
      </c>
      <c r="E3275" t="s">
        <v>28285</v>
      </c>
      <c r="F3275" t="s">
        <v>67</v>
      </c>
      <c r="G3275" t="s">
        <v>355</v>
      </c>
      <c r="H3275" t="s">
        <v>1147</v>
      </c>
      <c r="I3275" t="s">
        <v>70</v>
      </c>
      <c r="J3275" t="s">
        <v>321</v>
      </c>
      <c r="K3275">
        <v>4857.1899999999996</v>
      </c>
      <c r="L3275">
        <v>149.66</v>
      </c>
      <c r="M3275" t="s">
        <v>3890</v>
      </c>
      <c r="N3275">
        <v>18257</v>
      </c>
      <c r="O3275">
        <v>34.29</v>
      </c>
      <c r="P3275">
        <v>28.69</v>
      </c>
      <c r="R3275">
        <v>4.93</v>
      </c>
      <c r="S3275">
        <v>3.83</v>
      </c>
      <c r="T3275" t="s">
        <v>2571</v>
      </c>
      <c r="U3275">
        <v>0.87</v>
      </c>
      <c r="V3275" t="s">
        <v>28286</v>
      </c>
      <c r="W3275" t="s">
        <v>9300</v>
      </c>
      <c r="X3275" t="s">
        <v>2824</v>
      </c>
      <c r="Y3275" t="s">
        <v>6928</v>
      </c>
      <c r="Z3275" t="s">
        <v>10270</v>
      </c>
      <c r="AA3275">
        <v>4.3600000000000003</v>
      </c>
      <c r="AB3275" t="s">
        <v>5404</v>
      </c>
      <c r="AC3275" t="s">
        <v>341</v>
      </c>
      <c r="AE3275" t="s">
        <v>3088</v>
      </c>
      <c r="AF3275" t="s">
        <v>1204</v>
      </c>
      <c r="AG3275" t="s">
        <v>2492</v>
      </c>
      <c r="AH3275" t="s">
        <v>1078</v>
      </c>
      <c r="AI3275" t="s">
        <v>5554</v>
      </c>
      <c r="AJ3275" t="s">
        <v>164</v>
      </c>
      <c r="AK3275" t="s">
        <v>24497</v>
      </c>
      <c r="AL3275">
        <v>2.64</v>
      </c>
      <c r="AM3275">
        <v>1.57</v>
      </c>
      <c r="AN3275">
        <v>0.16</v>
      </c>
      <c r="AO3275" t="s">
        <v>10386</v>
      </c>
      <c r="AP3275" t="s">
        <v>10499</v>
      </c>
      <c r="AQ3275" t="s">
        <v>3756</v>
      </c>
      <c r="AR3275" t="s">
        <v>4256</v>
      </c>
      <c r="AS3275" t="s">
        <v>3832</v>
      </c>
      <c r="AT3275" t="s">
        <v>8058</v>
      </c>
      <c r="AU3275" t="s">
        <v>3625</v>
      </c>
      <c r="AV3275" t="s">
        <v>7164</v>
      </c>
      <c r="AW3275" t="s">
        <v>225</v>
      </c>
      <c r="AX3275" t="s">
        <v>5660</v>
      </c>
      <c r="AY3275" t="s">
        <v>6676</v>
      </c>
      <c r="AZ3275" t="s">
        <v>901</v>
      </c>
      <c r="BA3275">
        <v>1</v>
      </c>
      <c r="BB3275">
        <v>169.83</v>
      </c>
      <c r="BC3275">
        <v>0.38</v>
      </c>
      <c r="BD3275">
        <v>150.11000000000001</v>
      </c>
      <c r="BE3275">
        <v>150.91</v>
      </c>
      <c r="BF3275">
        <v>149.41999999999999</v>
      </c>
      <c r="BG3275" t="s">
        <v>28287</v>
      </c>
      <c r="BH3275" t="s">
        <v>19432</v>
      </c>
      <c r="BI3275" t="s">
        <v>28288</v>
      </c>
      <c r="BJ3275" t="s">
        <v>101</v>
      </c>
      <c r="BK3275" t="s">
        <v>6354</v>
      </c>
      <c r="BL3275" t="s">
        <v>2396</v>
      </c>
      <c r="BM3275" t="s">
        <v>18222</v>
      </c>
      <c r="BN3275" t="s">
        <v>27621</v>
      </c>
    </row>
    <row r="3276" spans="1:66" x14ac:dyDescent="0.25">
      <c r="A3276" t="str">
        <f>HYPERLINK("https://elite.finviz.com/quote.ashx?t=ALRM&amp;ty=c&amp;p=d&amp;b=1", "ALRM")</f>
        <v>ALRM</v>
      </c>
      <c r="B3276">
        <v>4</v>
      </c>
      <c r="C3276">
        <v>105.92</v>
      </c>
      <c r="D3276">
        <v>33.72</v>
      </c>
      <c r="E3276" t="s">
        <v>28289</v>
      </c>
      <c r="F3276" t="s">
        <v>67</v>
      </c>
      <c r="G3276" t="s">
        <v>108</v>
      </c>
      <c r="H3276" t="s">
        <v>136</v>
      </c>
      <c r="I3276" t="s">
        <v>70</v>
      </c>
      <c r="J3276" t="s">
        <v>321</v>
      </c>
      <c r="K3276">
        <v>2594.81</v>
      </c>
      <c r="L3276">
        <v>51.99</v>
      </c>
      <c r="M3276" t="s">
        <v>4856</v>
      </c>
      <c r="N3276">
        <v>59635</v>
      </c>
      <c r="O3276">
        <v>21.88</v>
      </c>
      <c r="P3276">
        <v>20.61</v>
      </c>
      <c r="Q3276">
        <v>3.1</v>
      </c>
      <c r="R3276">
        <v>2.66</v>
      </c>
      <c r="S3276">
        <v>3.25</v>
      </c>
      <c r="Z3276" t="s">
        <v>164</v>
      </c>
      <c r="AA3276">
        <v>2.38</v>
      </c>
      <c r="AB3276" t="s">
        <v>7912</v>
      </c>
      <c r="AC3276" t="s">
        <v>6860</v>
      </c>
      <c r="AD3276" t="s">
        <v>2448</v>
      </c>
      <c r="AE3276" t="s">
        <v>2515</v>
      </c>
      <c r="AF3276" t="s">
        <v>1090</v>
      </c>
      <c r="AG3276" t="s">
        <v>1777</v>
      </c>
      <c r="AH3276" t="s">
        <v>147</v>
      </c>
      <c r="AI3276" t="s">
        <v>339</v>
      </c>
      <c r="AJ3276" t="s">
        <v>4938</v>
      </c>
      <c r="AK3276" t="s">
        <v>5504</v>
      </c>
      <c r="AL3276">
        <v>1.95</v>
      </c>
      <c r="AM3276">
        <v>1.82</v>
      </c>
      <c r="AN3276">
        <v>1.33</v>
      </c>
      <c r="AO3276" t="s">
        <v>15003</v>
      </c>
      <c r="AP3276" t="s">
        <v>2337</v>
      </c>
      <c r="AQ3276" t="s">
        <v>6946</v>
      </c>
      <c r="AR3276" t="s">
        <v>862</v>
      </c>
      <c r="AS3276" t="s">
        <v>5660</v>
      </c>
      <c r="AT3276" t="s">
        <v>5857</v>
      </c>
      <c r="AU3276" t="s">
        <v>16199</v>
      </c>
      <c r="AV3276" t="s">
        <v>2396</v>
      </c>
      <c r="AW3276" t="s">
        <v>11824</v>
      </c>
      <c r="AX3276" t="s">
        <v>2307</v>
      </c>
      <c r="AY3276" t="s">
        <v>11405</v>
      </c>
      <c r="AZ3276" t="s">
        <v>2515</v>
      </c>
      <c r="BA3276">
        <v>2.25</v>
      </c>
      <c r="BB3276">
        <v>363.93</v>
      </c>
      <c r="BC3276">
        <v>0.57999999999999996</v>
      </c>
      <c r="BD3276">
        <v>51.29</v>
      </c>
      <c r="BE3276">
        <v>52</v>
      </c>
      <c r="BF3276">
        <v>51.29</v>
      </c>
      <c r="BG3276" t="s">
        <v>28290</v>
      </c>
      <c r="BH3276" t="s">
        <v>19807</v>
      </c>
      <c r="BI3276" t="s">
        <v>28291</v>
      </c>
      <c r="BJ3276" t="s">
        <v>101</v>
      </c>
      <c r="BK3276" t="s">
        <v>14985</v>
      </c>
      <c r="BL3276" t="s">
        <v>19666</v>
      </c>
      <c r="BM3276" t="s">
        <v>7074</v>
      </c>
      <c r="BN3276" t="s">
        <v>27621</v>
      </c>
    </row>
    <row r="3277" spans="1:66" x14ac:dyDescent="0.25">
      <c r="A3277" t="str">
        <f>HYPERLINK("https://elite.finviz.com/quote.ashx?t=TOPP&amp;ty=c&amp;p=d&amp;b=1", "TOPP")</f>
        <v>TOPP</v>
      </c>
      <c r="B3277">
        <v>4</v>
      </c>
      <c r="C3277">
        <v>105.92</v>
      </c>
      <c r="D3277">
        <v>33.76</v>
      </c>
      <c r="E3277" t="s">
        <v>28292</v>
      </c>
      <c r="F3277" t="s">
        <v>107</v>
      </c>
      <c r="G3277" t="s">
        <v>260</v>
      </c>
      <c r="H3277" t="s">
        <v>6190</v>
      </c>
      <c r="I3277" t="s">
        <v>70</v>
      </c>
      <c r="J3277" t="s">
        <v>383</v>
      </c>
      <c r="K3277">
        <v>26.08</v>
      </c>
      <c r="L3277">
        <v>1.49</v>
      </c>
      <c r="M3277" t="s">
        <v>3495</v>
      </c>
      <c r="N3277">
        <v>2516</v>
      </c>
      <c r="R3277">
        <v>1.69</v>
      </c>
      <c r="S3277">
        <v>2.74</v>
      </c>
      <c r="AA3277">
        <v>-0.12</v>
      </c>
      <c r="AB3277" t="s">
        <v>28293</v>
      </c>
      <c r="AF3277" t="s">
        <v>20326</v>
      </c>
      <c r="AH3277" t="s">
        <v>28294</v>
      </c>
      <c r="AJ3277" t="s">
        <v>164</v>
      </c>
      <c r="AK3277" t="s">
        <v>2275</v>
      </c>
      <c r="AL3277">
        <v>1.6</v>
      </c>
      <c r="AM3277">
        <v>1.6</v>
      </c>
      <c r="AN3277">
        <v>0.22</v>
      </c>
      <c r="AO3277" t="s">
        <v>2724</v>
      </c>
      <c r="AP3277" t="s">
        <v>104</v>
      </c>
      <c r="AQ3277" t="s">
        <v>22034</v>
      </c>
      <c r="AR3277" t="s">
        <v>5911</v>
      </c>
      <c r="AS3277" t="s">
        <v>15409</v>
      </c>
      <c r="AT3277" t="s">
        <v>11182</v>
      </c>
      <c r="AU3277" t="s">
        <v>28295</v>
      </c>
      <c r="AV3277" t="s">
        <v>9068</v>
      </c>
      <c r="AW3277" t="s">
        <v>24483</v>
      </c>
      <c r="AX3277" t="s">
        <v>164</v>
      </c>
      <c r="AY3277" t="s">
        <v>15051</v>
      </c>
      <c r="AZ3277" t="s">
        <v>838</v>
      </c>
      <c r="BB3277">
        <v>93.87</v>
      </c>
      <c r="BC3277">
        <v>0.1</v>
      </c>
      <c r="BD3277">
        <v>1.5</v>
      </c>
      <c r="BE3277">
        <v>1.53</v>
      </c>
      <c r="BF3277">
        <v>1.51</v>
      </c>
      <c r="BG3277" t="s">
        <v>28296</v>
      </c>
      <c r="BH3277" t="s">
        <v>15051</v>
      </c>
      <c r="BI3277" t="s">
        <v>838</v>
      </c>
      <c r="BJ3277" t="s">
        <v>101</v>
      </c>
      <c r="BK3277" t="s">
        <v>5964</v>
      </c>
      <c r="BL3277" t="s">
        <v>4068</v>
      </c>
      <c r="BN3277" t="s">
        <v>27621</v>
      </c>
    </row>
    <row r="3278" spans="1:66" x14ac:dyDescent="0.25">
      <c r="A3278" t="str">
        <f>HYPERLINK("https://elite.finviz.com/quote.ashx?t=AVY&amp;ty=c&amp;p=d&amp;b=1", "AVY")</f>
        <v>AVY</v>
      </c>
      <c r="B3278">
        <v>4</v>
      </c>
      <c r="C3278">
        <v>105.92</v>
      </c>
      <c r="D3278">
        <v>33.78</v>
      </c>
      <c r="E3278" t="s">
        <v>28297</v>
      </c>
      <c r="F3278" t="s">
        <v>195</v>
      </c>
      <c r="G3278" t="s">
        <v>813</v>
      </c>
      <c r="H3278" t="s">
        <v>7355</v>
      </c>
      <c r="I3278" t="s">
        <v>70</v>
      </c>
      <c r="J3278" t="s">
        <v>71</v>
      </c>
      <c r="K3278">
        <v>12487.19</v>
      </c>
      <c r="L3278">
        <v>160.13</v>
      </c>
      <c r="M3278" t="s">
        <v>2125</v>
      </c>
      <c r="N3278">
        <v>51076</v>
      </c>
      <c r="O3278">
        <v>17.95</v>
      </c>
      <c r="P3278">
        <v>15.16</v>
      </c>
      <c r="Q3278">
        <v>2.33</v>
      </c>
      <c r="R3278">
        <v>1.43</v>
      </c>
      <c r="S3278">
        <v>5.68</v>
      </c>
      <c r="T3278" t="s">
        <v>6003</v>
      </c>
      <c r="U3278">
        <v>3.64</v>
      </c>
      <c r="V3278" t="s">
        <v>7315</v>
      </c>
      <c r="W3278" t="s">
        <v>6028</v>
      </c>
      <c r="X3278" t="s">
        <v>2625</v>
      </c>
      <c r="Y3278" t="s">
        <v>11728</v>
      </c>
      <c r="Z3278" t="s">
        <v>16432</v>
      </c>
      <c r="AA3278">
        <v>8.92</v>
      </c>
      <c r="AB3278" t="s">
        <v>1364</v>
      </c>
      <c r="AC3278" t="s">
        <v>12631</v>
      </c>
      <c r="AD3278" t="s">
        <v>2698</v>
      </c>
      <c r="AE3278" t="s">
        <v>3494</v>
      </c>
      <c r="AF3278" t="s">
        <v>4280</v>
      </c>
      <c r="AG3278" t="s">
        <v>6936</v>
      </c>
      <c r="AH3278" t="s">
        <v>2331</v>
      </c>
      <c r="AI3278" t="s">
        <v>2644</v>
      </c>
      <c r="AJ3278" t="s">
        <v>164</v>
      </c>
      <c r="AK3278" t="s">
        <v>28298</v>
      </c>
      <c r="AL3278">
        <v>1.04</v>
      </c>
      <c r="AM3278">
        <v>0.7</v>
      </c>
      <c r="AN3278">
        <v>1.61</v>
      </c>
      <c r="AO3278" t="s">
        <v>8003</v>
      </c>
      <c r="AP3278" t="s">
        <v>13765</v>
      </c>
      <c r="AQ3278" t="s">
        <v>15964</v>
      </c>
      <c r="AR3278" t="s">
        <v>2186</v>
      </c>
      <c r="AS3278" t="s">
        <v>908</v>
      </c>
      <c r="AT3278" t="s">
        <v>4222</v>
      </c>
      <c r="AU3278" t="s">
        <v>5748</v>
      </c>
      <c r="AV3278" t="s">
        <v>2752</v>
      </c>
      <c r="AW3278" t="s">
        <v>25533</v>
      </c>
      <c r="AX3278" t="s">
        <v>5577</v>
      </c>
      <c r="AY3278" t="s">
        <v>22003</v>
      </c>
      <c r="AZ3278" t="s">
        <v>3856</v>
      </c>
      <c r="BA3278">
        <v>2.33</v>
      </c>
      <c r="BB3278">
        <v>661.22</v>
      </c>
      <c r="BC3278">
        <v>0.27</v>
      </c>
      <c r="BD3278">
        <v>158.71</v>
      </c>
      <c r="BE3278">
        <v>160.41999999999999</v>
      </c>
      <c r="BF3278">
        <v>159.46</v>
      </c>
      <c r="BG3278" t="s">
        <v>28299</v>
      </c>
      <c r="BH3278" t="s">
        <v>21982</v>
      </c>
      <c r="BI3278" t="s">
        <v>28300</v>
      </c>
      <c r="BJ3278" t="s">
        <v>101</v>
      </c>
      <c r="BK3278" t="s">
        <v>9271</v>
      </c>
      <c r="BL3278" t="s">
        <v>7886</v>
      </c>
      <c r="BM3278" t="s">
        <v>17250</v>
      </c>
      <c r="BN3278" t="s">
        <v>27621</v>
      </c>
    </row>
    <row r="3279" spans="1:66" x14ac:dyDescent="0.25">
      <c r="A3279" t="str">
        <f>HYPERLINK("https://elite.finviz.com/quote.ashx?t=PAG&amp;ty=c&amp;p=d&amp;b=1", "PAG")</f>
        <v>PAG</v>
      </c>
      <c r="B3279">
        <v>4</v>
      </c>
      <c r="C3279">
        <v>105.92</v>
      </c>
      <c r="D3279">
        <v>33.799999999999997</v>
      </c>
      <c r="E3279" t="s">
        <v>28301</v>
      </c>
      <c r="F3279" t="s">
        <v>107</v>
      </c>
      <c r="G3279" t="s">
        <v>813</v>
      </c>
      <c r="H3279" t="s">
        <v>5888</v>
      </c>
      <c r="I3279" t="s">
        <v>70</v>
      </c>
      <c r="J3279" t="s">
        <v>71</v>
      </c>
      <c r="K3279">
        <v>11330.57</v>
      </c>
      <c r="L3279">
        <v>171.56</v>
      </c>
      <c r="M3279" t="s">
        <v>1409</v>
      </c>
      <c r="N3279">
        <v>15731</v>
      </c>
      <c r="O3279">
        <v>11.95</v>
      </c>
      <c r="P3279">
        <v>12.04</v>
      </c>
      <c r="Q3279">
        <v>2.52</v>
      </c>
      <c r="R3279">
        <v>0.37</v>
      </c>
      <c r="S3279">
        <v>2.02</v>
      </c>
      <c r="T3279" t="s">
        <v>3024</v>
      </c>
      <c r="U3279">
        <v>4.99</v>
      </c>
      <c r="V3279" t="s">
        <v>3046</v>
      </c>
      <c r="W3279" t="s">
        <v>3539</v>
      </c>
      <c r="X3279" t="s">
        <v>18809</v>
      </c>
      <c r="Y3279" t="s">
        <v>9039</v>
      </c>
      <c r="Z3279" t="s">
        <v>210</v>
      </c>
      <c r="AA3279">
        <v>14.36</v>
      </c>
      <c r="AB3279" t="s">
        <v>4516</v>
      </c>
      <c r="AC3279" t="s">
        <v>11565</v>
      </c>
      <c r="AD3279" t="s">
        <v>215</v>
      </c>
      <c r="AE3279" t="s">
        <v>744</v>
      </c>
      <c r="AF3279" t="s">
        <v>1826</v>
      </c>
      <c r="AG3279" t="s">
        <v>7971</v>
      </c>
      <c r="AH3279" t="s">
        <v>2203</v>
      </c>
      <c r="AI3279" t="s">
        <v>2932</v>
      </c>
      <c r="AJ3279" t="s">
        <v>2402</v>
      </c>
      <c r="AK3279" t="s">
        <v>2001</v>
      </c>
      <c r="AL3279">
        <v>0.9</v>
      </c>
      <c r="AM3279">
        <v>0.21</v>
      </c>
      <c r="AN3279">
        <v>1.52</v>
      </c>
      <c r="AO3279" t="s">
        <v>325</v>
      </c>
      <c r="AP3279" t="s">
        <v>4765</v>
      </c>
      <c r="AQ3279" t="s">
        <v>7088</v>
      </c>
      <c r="AR3279" t="s">
        <v>4255</v>
      </c>
      <c r="AS3279" t="s">
        <v>2087</v>
      </c>
      <c r="AT3279" t="s">
        <v>4404</v>
      </c>
      <c r="AU3279" t="s">
        <v>4636</v>
      </c>
      <c r="AV3279" t="s">
        <v>4394</v>
      </c>
      <c r="AW3279" t="s">
        <v>11013</v>
      </c>
      <c r="AX3279" t="s">
        <v>1063</v>
      </c>
      <c r="AY3279" t="s">
        <v>11013</v>
      </c>
      <c r="AZ3279" t="s">
        <v>9144</v>
      </c>
      <c r="BA3279">
        <v>2.4500000000000002</v>
      </c>
      <c r="BB3279">
        <v>224.74</v>
      </c>
      <c r="BC3279">
        <v>0.25</v>
      </c>
      <c r="BD3279">
        <v>170.85</v>
      </c>
      <c r="BE3279">
        <v>172.31</v>
      </c>
      <c r="BF3279">
        <v>171.25</v>
      </c>
      <c r="BG3279" t="s">
        <v>28302</v>
      </c>
      <c r="BH3279" t="s">
        <v>11013</v>
      </c>
      <c r="BI3279" t="s">
        <v>28303</v>
      </c>
      <c r="BJ3279" t="s">
        <v>101</v>
      </c>
      <c r="BK3279" t="s">
        <v>7568</v>
      </c>
      <c r="BL3279" t="s">
        <v>7625</v>
      </c>
      <c r="BM3279" t="s">
        <v>8593</v>
      </c>
      <c r="BN3279" t="s">
        <v>27621</v>
      </c>
    </row>
    <row r="3280" spans="1:66" x14ac:dyDescent="0.25">
      <c r="A3280" t="str">
        <f>HYPERLINK("https://elite.finviz.com/quote.ashx?t=CTEV&amp;ty=c&amp;p=d&amp;b=1", "CTEV")</f>
        <v>CTEV</v>
      </c>
      <c r="B3280">
        <v>4</v>
      </c>
      <c r="C3280">
        <v>105.92</v>
      </c>
      <c r="D3280">
        <v>33.950000000000003</v>
      </c>
      <c r="E3280" t="s">
        <v>28304</v>
      </c>
      <c r="F3280" t="s">
        <v>67</v>
      </c>
      <c r="G3280" t="s">
        <v>428</v>
      </c>
      <c r="H3280" t="s">
        <v>2075</v>
      </c>
      <c r="I3280" t="s">
        <v>70</v>
      </c>
      <c r="J3280" t="s">
        <v>71</v>
      </c>
      <c r="K3280">
        <v>837.99</v>
      </c>
      <c r="L3280">
        <v>50.87</v>
      </c>
      <c r="M3280" t="s">
        <v>5968</v>
      </c>
      <c r="N3280">
        <v>27422</v>
      </c>
      <c r="R3280">
        <v>0.9</v>
      </c>
      <c r="AA3280">
        <v>-40.96</v>
      </c>
      <c r="AD3280" t="s">
        <v>19727</v>
      </c>
      <c r="AE3280" t="s">
        <v>10581</v>
      </c>
      <c r="AF3280" t="s">
        <v>10546</v>
      </c>
      <c r="AG3280" t="s">
        <v>4436</v>
      </c>
      <c r="AH3280" t="s">
        <v>2941</v>
      </c>
      <c r="AI3280" t="s">
        <v>28305</v>
      </c>
      <c r="AJ3280" t="s">
        <v>3463</v>
      </c>
      <c r="AK3280" t="s">
        <v>6631</v>
      </c>
      <c r="AL3280">
        <v>0.98</v>
      </c>
      <c r="AM3280">
        <v>0.98</v>
      </c>
      <c r="AO3280" t="s">
        <v>18942</v>
      </c>
      <c r="AP3280" t="s">
        <v>1955</v>
      </c>
      <c r="AQ3280" t="s">
        <v>22993</v>
      </c>
      <c r="AR3280" t="s">
        <v>5025</v>
      </c>
      <c r="AS3280" t="s">
        <v>2205</v>
      </c>
      <c r="AT3280" t="s">
        <v>20311</v>
      </c>
      <c r="AU3280" t="s">
        <v>4784</v>
      </c>
      <c r="AV3280" t="s">
        <v>28306</v>
      </c>
      <c r="AW3280" t="s">
        <v>27970</v>
      </c>
      <c r="AX3280" t="s">
        <v>3616</v>
      </c>
      <c r="AY3280" t="s">
        <v>27970</v>
      </c>
      <c r="AZ3280" t="s">
        <v>28307</v>
      </c>
      <c r="BA3280">
        <v>1.67</v>
      </c>
      <c r="BB3280">
        <v>138.53</v>
      </c>
      <c r="BC3280">
        <v>0.7</v>
      </c>
      <c r="BD3280">
        <v>49.85</v>
      </c>
      <c r="BE3280">
        <v>51.37</v>
      </c>
      <c r="BF3280">
        <v>49.96</v>
      </c>
      <c r="BG3280" t="s">
        <v>28308</v>
      </c>
      <c r="BH3280" t="s">
        <v>5288</v>
      </c>
      <c r="BI3280" t="s">
        <v>28307</v>
      </c>
      <c r="BJ3280" t="s">
        <v>101</v>
      </c>
      <c r="BK3280" t="s">
        <v>1562</v>
      </c>
      <c r="BL3280" t="s">
        <v>28309</v>
      </c>
      <c r="BM3280" t="s">
        <v>28310</v>
      </c>
      <c r="BN3280" t="s">
        <v>27621</v>
      </c>
    </row>
    <row r="3281" spans="1:66" x14ac:dyDescent="0.25">
      <c r="A3281" t="str">
        <f>HYPERLINK("https://elite.finviz.com/quote.ashx?t=BVS&amp;ty=c&amp;p=d&amp;b=1", "BVS")</f>
        <v>BVS</v>
      </c>
      <c r="B3281">
        <v>4</v>
      </c>
      <c r="C3281">
        <v>105.92</v>
      </c>
      <c r="D3281">
        <v>33.979999999999997</v>
      </c>
      <c r="E3281" t="s">
        <v>28311</v>
      </c>
      <c r="F3281" t="s">
        <v>67</v>
      </c>
      <c r="G3281" t="s">
        <v>428</v>
      </c>
      <c r="H3281" t="s">
        <v>2051</v>
      </c>
      <c r="I3281" t="s">
        <v>70</v>
      </c>
      <c r="J3281" t="s">
        <v>321</v>
      </c>
      <c r="K3281">
        <v>518.30999999999995</v>
      </c>
      <c r="L3281">
        <v>6.27</v>
      </c>
      <c r="M3281" t="s">
        <v>3266</v>
      </c>
      <c r="N3281">
        <v>159356</v>
      </c>
      <c r="P3281">
        <v>8.33</v>
      </c>
      <c r="R3281">
        <v>0.92</v>
      </c>
      <c r="S3281">
        <v>2.6</v>
      </c>
      <c r="AA3281">
        <v>-0.01</v>
      </c>
      <c r="AC3281" t="s">
        <v>28312</v>
      </c>
      <c r="AD3281" t="s">
        <v>1472</v>
      </c>
      <c r="AE3281" t="s">
        <v>3855</v>
      </c>
      <c r="AF3281" t="s">
        <v>6344</v>
      </c>
      <c r="AG3281" t="s">
        <v>5265</v>
      </c>
      <c r="AH3281" t="s">
        <v>1690</v>
      </c>
      <c r="AI3281" t="s">
        <v>28313</v>
      </c>
      <c r="AJ3281" t="s">
        <v>3598</v>
      </c>
      <c r="AK3281" t="s">
        <v>12698</v>
      </c>
      <c r="AL3281">
        <v>1.48</v>
      </c>
      <c r="AM3281">
        <v>0.96</v>
      </c>
      <c r="AN3281">
        <v>2.2400000000000002</v>
      </c>
      <c r="AO3281" t="s">
        <v>16971</v>
      </c>
      <c r="AP3281" t="s">
        <v>2447</v>
      </c>
      <c r="AQ3281" t="s">
        <v>3598</v>
      </c>
      <c r="AR3281" t="s">
        <v>2522</v>
      </c>
      <c r="AS3281" t="s">
        <v>1934</v>
      </c>
      <c r="AT3281" t="s">
        <v>5491</v>
      </c>
      <c r="AU3281" t="s">
        <v>1884</v>
      </c>
      <c r="AV3281" t="s">
        <v>25231</v>
      </c>
      <c r="AW3281" t="s">
        <v>17649</v>
      </c>
      <c r="AX3281" t="s">
        <v>3982</v>
      </c>
      <c r="AY3281" t="s">
        <v>6555</v>
      </c>
      <c r="AZ3281" t="s">
        <v>3982</v>
      </c>
      <c r="BA3281">
        <v>1.5</v>
      </c>
      <c r="BB3281">
        <v>448.88</v>
      </c>
      <c r="BC3281">
        <v>1.25</v>
      </c>
      <c r="BD3281">
        <v>6.76</v>
      </c>
      <c r="BE3281">
        <v>6.69</v>
      </c>
      <c r="BF3281">
        <v>6.27</v>
      </c>
      <c r="BG3281" t="s">
        <v>28314</v>
      </c>
      <c r="BH3281" t="s">
        <v>28315</v>
      </c>
      <c r="BI3281" t="s">
        <v>28316</v>
      </c>
      <c r="BJ3281" t="s">
        <v>101</v>
      </c>
      <c r="BK3281" t="s">
        <v>7347</v>
      </c>
      <c r="BL3281" t="s">
        <v>9272</v>
      </c>
      <c r="BM3281" t="s">
        <v>10019</v>
      </c>
      <c r="BN3281" t="s">
        <v>27621</v>
      </c>
    </row>
    <row r="3282" spans="1:66" x14ac:dyDescent="0.25">
      <c r="A3282" t="str">
        <f>HYPERLINK("https://elite.finviz.com/quote.ashx?t=IMNN&amp;ty=c&amp;p=d&amp;b=1", "IMNN")</f>
        <v>IMNN</v>
      </c>
      <c r="B3282">
        <v>4</v>
      </c>
      <c r="C3282">
        <v>105.92</v>
      </c>
      <c r="D3282">
        <v>33.979999999999997</v>
      </c>
      <c r="E3282" t="s">
        <v>28317</v>
      </c>
      <c r="F3282" t="s">
        <v>107</v>
      </c>
      <c r="G3282" t="s">
        <v>428</v>
      </c>
      <c r="H3282" t="s">
        <v>429</v>
      </c>
      <c r="I3282" t="s">
        <v>70</v>
      </c>
      <c r="J3282" t="s">
        <v>321</v>
      </c>
      <c r="K3282">
        <v>12.96</v>
      </c>
      <c r="L3282">
        <v>5.14</v>
      </c>
      <c r="M3282" t="s">
        <v>3634</v>
      </c>
      <c r="N3282">
        <v>11626</v>
      </c>
      <c r="S3282">
        <v>3.82</v>
      </c>
      <c r="AA3282">
        <v>-13.57</v>
      </c>
      <c r="AB3282" t="s">
        <v>28318</v>
      </c>
      <c r="AC3282" t="s">
        <v>13242</v>
      </c>
      <c r="AD3282" t="s">
        <v>3534</v>
      </c>
      <c r="AE3282" t="s">
        <v>579</v>
      </c>
      <c r="AI3282" t="s">
        <v>7885</v>
      </c>
      <c r="AJ3282" t="s">
        <v>164</v>
      </c>
      <c r="AK3282" t="s">
        <v>8855</v>
      </c>
      <c r="AL3282">
        <v>1.3</v>
      </c>
      <c r="AM3282">
        <v>1.3</v>
      </c>
      <c r="AN3282">
        <v>0.45</v>
      </c>
      <c r="AR3282" t="s">
        <v>6456</v>
      </c>
      <c r="AS3282" t="s">
        <v>1160</v>
      </c>
      <c r="AT3282" t="s">
        <v>8626</v>
      </c>
      <c r="AU3282" t="s">
        <v>8918</v>
      </c>
      <c r="AV3282" t="s">
        <v>28319</v>
      </c>
      <c r="AW3282" t="s">
        <v>28320</v>
      </c>
      <c r="AX3282" t="s">
        <v>827</v>
      </c>
      <c r="AY3282" t="s">
        <v>28321</v>
      </c>
      <c r="AZ3282" t="s">
        <v>827</v>
      </c>
      <c r="BA3282">
        <v>1.67</v>
      </c>
      <c r="BB3282">
        <v>229.19</v>
      </c>
      <c r="BC3282">
        <v>0.18</v>
      </c>
      <c r="BD3282">
        <v>5.19</v>
      </c>
      <c r="BE3282">
        <v>5.2</v>
      </c>
      <c r="BF3282">
        <v>5.12</v>
      </c>
      <c r="BG3282" t="s">
        <v>28322</v>
      </c>
      <c r="BH3282" t="s">
        <v>579</v>
      </c>
      <c r="BI3282" t="s">
        <v>827</v>
      </c>
      <c r="BJ3282" t="s">
        <v>101</v>
      </c>
      <c r="BK3282" t="s">
        <v>18711</v>
      </c>
      <c r="BL3282" t="s">
        <v>28323</v>
      </c>
      <c r="BM3282" t="s">
        <v>6115</v>
      </c>
      <c r="BN3282" t="s">
        <v>27621</v>
      </c>
    </row>
    <row r="3283" spans="1:66" x14ac:dyDescent="0.25">
      <c r="A3283" t="str">
        <f>HYPERLINK("https://elite.finviz.com/quote.ashx?t=AHH&amp;ty=c&amp;p=d&amp;b=1", "AHH")</f>
        <v>AHH</v>
      </c>
      <c r="B3283">
        <v>4</v>
      </c>
      <c r="C3283">
        <v>105.92</v>
      </c>
      <c r="D3283">
        <v>33.99</v>
      </c>
      <c r="E3283" t="s">
        <v>28324</v>
      </c>
      <c r="F3283" t="s">
        <v>67</v>
      </c>
      <c r="G3283" t="s">
        <v>68</v>
      </c>
      <c r="H3283" t="s">
        <v>4656</v>
      </c>
      <c r="I3283" t="s">
        <v>70</v>
      </c>
      <c r="J3283" t="s">
        <v>71</v>
      </c>
      <c r="K3283">
        <v>688.67</v>
      </c>
      <c r="L3283">
        <v>6.8</v>
      </c>
      <c r="M3283" t="s">
        <v>171</v>
      </c>
      <c r="N3283">
        <v>110498</v>
      </c>
      <c r="O3283">
        <v>73.86</v>
      </c>
      <c r="P3283">
        <v>35.76</v>
      </c>
      <c r="R3283">
        <v>1.26</v>
      </c>
      <c r="S3283">
        <v>1.1299999999999999</v>
      </c>
      <c r="T3283" t="s">
        <v>3100</v>
      </c>
      <c r="U3283">
        <v>0.5</v>
      </c>
      <c r="V3283" t="s">
        <v>13483</v>
      </c>
      <c r="W3283" t="s">
        <v>6404</v>
      </c>
      <c r="X3283" t="s">
        <v>2487</v>
      </c>
      <c r="Y3283" t="s">
        <v>4886</v>
      </c>
      <c r="Z3283" t="s">
        <v>7826</v>
      </c>
      <c r="AA3283">
        <v>0.09</v>
      </c>
      <c r="AB3283" t="s">
        <v>5113</v>
      </c>
      <c r="AC3283" t="s">
        <v>14960</v>
      </c>
      <c r="AD3283" t="s">
        <v>18033</v>
      </c>
      <c r="AE3283" t="s">
        <v>15289</v>
      </c>
      <c r="AF3283" t="s">
        <v>20486</v>
      </c>
      <c r="AG3283" t="s">
        <v>9960</v>
      </c>
      <c r="AH3283" t="s">
        <v>21169</v>
      </c>
      <c r="AI3283" t="s">
        <v>2169</v>
      </c>
      <c r="AJ3283" t="s">
        <v>2560</v>
      </c>
      <c r="AK3283" t="s">
        <v>20294</v>
      </c>
      <c r="AL3283">
        <v>2.2400000000000002</v>
      </c>
      <c r="AM3283">
        <v>2.2400000000000002</v>
      </c>
      <c r="AN3283">
        <v>2.41</v>
      </c>
      <c r="AO3283" t="s">
        <v>6393</v>
      </c>
      <c r="AP3283" t="s">
        <v>775</v>
      </c>
      <c r="AQ3283" t="s">
        <v>2424</v>
      </c>
      <c r="AR3283" t="s">
        <v>3635</v>
      </c>
      <c r="AS3283" t="s">
        <v>3544</v>
      </c>
      <c r="AT3283" t="s">
        <v>6755</v>
      </c>
      <c r="AU3283" t="s">
        <v>8058</v>
      </c>
      <c r="AV3283" t="s">
        <v>5028</v>
      </c>
      <c r="AW3283" t="s">
        <v>7525</v>
      </c>
      <c r="AX3283" t="s">
        <v>5132</v>
      </c>
      <c r="AY3283" t="s">
        <v>22317</v>
      </c>
      <c r="AZ3283" t="s">
        <v>6923</v>
      </c>
      <c r="BA3283">
        <v>2</v>
      </c>
      <c r="BB3283">
        <v>680.53</v>
      </c>
      <c r="BC3283">
        <v>0.56999999999999995</v>
      </c>
      <c r="BD3283">
        <v>6.8</v>
      </c>
      <c r="BE3283">
        <v>6.84</v>
      </c>
      <c r="BF3283">
        <v>6.8</v>
      </c>
      <c r="BG3283" t="s">
        <v>28325</v>
      </c>
      <c r="BH3283" t="s">
        <v>13024</v>
      </c>
      <c r="BI3283" t="s">
        <v>6087</v>
      </c>
      <c r="BJ3283" t="s">
        <v>101</v>
      </c>
      <c r="BK3283" t="s">
        <v>7429</v>
      </c>
      <c r="BL3283" t="s">
        <v>12163</v>
      </c>
      <c r="BM3283" t="s">
        <v>28326</v>
      </c>
      <c r="BN3283" t="s">
        <v>27621</v>
      </c>
    </row>
    <row r="3284" spans="1:66" x14ac:dyDescent="0.25">
      <c r="A3284" t="str">
        <f>HYPERLINK("https://elite.finviz.com/quote.ashx?t=PBH&amp;ty=c&amp;p=d&amp;b=1", "PBH")</f>
        <v>PBH</v>
      </c>
      <c r="B3284">
        <v>4</v>
      </c>
      <c r="C3284">
        <v>105.92</v>
      </c>
      <c r="D3284">
        <v>33.99</v>
      </c>
      <c r="E3284" t="s">
        <v>28327</v>
      </c>
      <c r="F3284" t="s">
        <v>67</v>
      </c>
      <c r="G3284" t="s">
        <v>428</v>
      </c>
      <c r="H3284" t="s">
        <v>1296</v>
      </c>
      <c r="I3284" t="s">
        <v>70</v>
      </c>
      <c r="J3284" t="s">
        <v>71</v>
      </c>
      <c r="K3284">
        <v>3070.22</v>
      </c>
      <c r="L3284">
        <v>62.38</v>
      </c>
      <c r="M3284" t="s">
        <v>6194</v>
      </c>
      <c r="N3284">
        <v>93693</v>
      </c>
      <c r="O3284">
        <v>14.64</v>
      </c>
      <c r="P3284">
        <v>12.99</v>
      </c>
      <c r="Q3284">
        <v>5.65</v>
      </c>
      <c r="R3284">
        <v>2.74</v>
      </c>
      <c r="S3284">
        <v>1.65</v>
      </c>
      <c r="V3284" t="s">
        <v>28328</v>
      </c>
      <c r="Z3284" t="s">
        <v>164</v>
      </c>
      <c r="AA3284">
        <v>4.26</v>
      </c>
      <c r="AB3284" t="s">
        <v>3856</v>
      </c>
      <c r="AC3284" t="s">
        <v>3648</v>
      </c>
      <c r="AD3284" t="s">
        <v>90</v>
      </c>
      <c r="AE3284" t="s">
        <v>4840</v>
      </c>
      <c r="AF3284" t="s">
        <v>2572</v>
      </c>
      <c r="AG3284" t="s">
        <v>4569</v>
      </c>
      <c r="AH3284" t="s">
        <v>2401</v>
      </c>
      <c r="AI3284" t="s">
        <v>10175</v>
      </c>
      <c r="AJ3284" t="s">
        <v>164</v>
      </c>
      <c r="AK3284" t="s">
        <v>24721</v>
      </c>
      <c r="AL3284">
        <v>4.38</v>
      </c>
      <c r="AM3284">
        <v>2.99</v>
      </c>
      <c r="AN3284">
        <v>0.56000000000000005</v>
      </c>
      <c r="AO3284" t="s">
        <v>24033</v>
      </c>
      <c r="AP3284" t="s">
        <v>3762</v>
      </c>
      <c r="AQ3284" t="s">
        <v>14050</v>
      </c>
      <c r="AR3284" t="s">
        <v>3208</v>
      </c>
      <c r="AS3284" t="s">
        <v>3842</v>
      </c>
      <c r="AT3284" t="s">
        <v>799</v>
      </c>
      <c r="AU3284" t="s">
        <v>647</v>
      </c>
      <c r="AV3284" t="s">
        <v>7274</v>
      </c>
      <c r="AW3284" t="s">
        <v>19672</v>
      </c>
      <c r="AX3284" t="s">
        <v>5036</v>
      </c>
      <c r="AY3284" t="s">
        <v>15019</v>
      </c>
      <c r="AZ3284" t="s">
        <v>5036</v>
      </c>
      <c r="BA3284">
        <v>1.5</v>
      </c>
      <c r="BB3284">
        <v>547.46</v>
      </c>
      <c r="BC3284">
        <v>0.6</v>
      </c>
      <c r="BD3284">
        <v>62.72</v>
      </c>
      <c r="BE3284">
        <v>62.72</v>
      </c>
      <c r="BF3284">
        <v>62.19</v>
      </c>
      <c r="BG3284" t="s">
        <v>28329</v>
      </c>
      <c r="BH3284" t="s">
        <v>15019</v>
      </c>
      <c r="BI3284" t="s">
        <v>28330</v>
      </c>
      <c r="BJ3284" t="s">
        <v>101</v>
      </c>
      <c r="BK3284" t="s">
        <v>17845</v>
      </c>
      <c r="BL3284" t="s">
        <v>21761</v>
      </c>
      <c r="BM3284" t="s">
        <v>3101</v>
      </c>
      <c r="BN3284" t="s">
        <v>27621</v>
      </c>
    </row>
    <row r="3285" spans="1:66" x14ac:dyDescent="0.25">
      <c r="A3285" t="str">
        <f>HYPERLINK("https://elite.finviz.com/quote.ashx?t=CVLG&amp;ty=c&amp;p=d&amp;b=1", "CVLG")</f>
        <v>CVLG</v>
      </c>
      <c r="B3285">
        <v>4</v>
      </c>
      <c r="C3285">
        <v>105.92</v>
      </c>
      <c r="D3285">
        <v>33.99</v>
      </c>
      <c r="E3285" t="s">
        <v>28331</v>
      </c>
      <c r="F3285" t="s">
        <v>67</v>
      </c>
      <c r="G3285" t="s">
        <v>260</v>
      </c>
      <c r="H3285" t="s">
        <v>6190</v>
      </c>
      <c r="I3285" t="s">
        <v>70</v>
      </c>
      <c r="J3285" t="s">
        <v>71</v>
      </c>
      <c r="K3285">
        <v>540.41999999999996</v>
      </c>
      <c r="L3285">
        <v>21.6</v>
      </c>
      <c r="M3285" t="s">
        <v>770</v>
      </c>
      <c r="N3285">
        <v>4340</v>
      </c>
      <c r="O3285">
        <v>16.53</v>
      </c>
      <c r="P3285">
        <v>9.25</v>
      </c>
      <c r="R3285">
        <v>0.48</v>
      </c>
      <c r="S3285">
        <v>1.3</v>
      </c>
      <c r="T3285" t="s">
        <v>343</v>
      </c>
      <c r="U3285">
        <v>0.27</v>
      </c>
      <c r="V3285" t="s">
        <v>4548</v>
      </c>
      <c r="W3285" t="s">
        <v>164</v>
      </c>
      <c r="Z3285" t="s">
        <v>15034</v>
      </c>
      <c r="AA3285">
        <v>1.31</v>
      </c>
      <c r="AB3285" t="s">
        <v>225</v>
      </c>
      <c r="AC3285" t="s">
        <v>6669</v>
      </c>
      <c r="AE3285" t="s">
        <v>6572</v>
      </c>
      <c r="AF3285" t="s">
        <v>213</v>
      </c>
      <c r="AG3285" t="s">
        <v>5620</v>
      </c>
      <c r="AH3285" t="s">
        <v>4428</v>
      </c>
      <c r="AI3285" t="s">
        <v>12465</v>
      </c>
      <c r="AJ3285" t="s">
        <v>7709</v>
      </c>
      <c r="AK3285" t="s">
        <v>28332</v>
      </c>
      <c r="AL3285">
        <v>1.0900000000000001</v>
      </c>
      <c r="AM3285">
        <v>1.06</v>
      </c>
      <c r="AN3285">
        <v>0.74</v>
      </c>
      <c r="AO3285" t="s">
        <v>3614</v>
      </c>
      <c r="AP3285" t="s">
        <v>3334</v>
      </c>
      <c r="AQ3285" t="s">
        <v>4204</v>
      </c>
      <c r="AR3285" t="s">
        <v>2735</v>
      </c>
      <c r="AS3285" t="s">
        <v>5929</v>
      </c>
      <c r="AT3285" t="s">
        <v>2665</v>
      </c>
      <c r="AU3285" t="s">
        <v>15157</v>
      </c>
      <c r="AV3285" t="s">
        <v>15553</v>
      </c>
      <c r="AW3285" t="s">
        <v>10632</v>
      </c>
      <c r="AX3285" t="s">
        <v>1488</v>
      </c>
      <c r="AY3285" t="s">
        <v>17025</v>
      </c>
      <c r="AZ3285" t="s">
        <v>10268</v>
      </c>
      <c r="BA3285">
        <v>1.67</v>
      </c>
      <c r="BB3285">
        <v>104.38</v>
      </c>
      <c r="BC3285">
        <v>0.15</v>
      </c>
      <c r="BD3285">
        <v>21.63</v>
      </c>
      <c r="BE3285">
        <v>21.75</v>
      </c>
      <c r="BF3285">
        <v>21.64</v>
      </c>
      <c r="BG3285" t="s">
        <v>28333</v>
      </c>
      <c r="BH3285" t="s">
        <v>17025</v>
      </c>
      <c r="BI3285" t="s">
        <v>28334</v>
      </c>
      <c r="BJ3285" t="s">
        <v>101</v>
      </c>
      <c r="BK3285" t="s">
        <v>4647</v>
      </c>
      <c r="BL3285" t="s">
        <v>2677</v>
      </c>
      <c r="BM3285" t="s">
        <v>7009</v>
      </c>
      <c r="BN3285" t="s">
        <v>27621</v>
      </c>
    </row>
    <row r="3286" spans="1:66" x14ac:dyDescent="0.25">
      <c r="A3286" t="str">
        <f>HYPERLINK("https://elite.finviz.com/quote.ashx?t=LWAY&amp;ty=c&amp;p=d&amp;b=1", "LWAY")</f>
        <v>LWAY</v>
      </c>
      <c r="B3286">
        <v>4</v>
      </c>
      <c r="C3286">
        <v>105.92</v>
      </c>
      <c r="D3286">
        <v>34.01</v>
      </c>
      <c r="E3286" t="s">
        <v>28335</v>
      </c>
      <c r="F3286" t="s">
        <v>67</v>
      </c>
      <c r="G3286" t="s">
        <v>2244</v>
      </c>
      <c r="H3286" t="s">
        <v>3269</v>
      </c>
      <c r="I3286" t="s">
        <v>70</v>
      </c>
      <c r="J3286" t="s">
        <v>321</v>
      </c>
      <c r="K3286">
        <v>400.86</v>
      </c>
      <c r="L3286">
        <v>26.33</v>
      </c>
      <c r="M3286" t="s">
        <v>4507</v>
      </c>
      <c r="N3286">
        <v>6216</v>
      </c>
      <c r="O3286">
        <v>38.090000000000003</v>
      </c>
      <c r="P3286">
        <v>21.4</v>
      </c>
      <c r="R3286">
        <v>2.08</v>
      </c>
      <c r="S3286">
        <v>5.09</v>
      </c>
      <c r="V3286" t="s">
        <v>28336</v>
      </c>
      <c r="Z3286" t="s">
        <v>164</v>
      </c>
      <c r="AA3286">
        <v>0.69</v>
      </c>
      <c r="AB3286" t="s">
        <v>2563</v>
      </c>
      <c r="AC3286" t="s">
        <v>8482</v>
      </c>
      <c r="AE3286" t="s">
        <v>1006</v>
      </c>
      <c r="AF3286" t="s">
        <v>9721</v>
      </c>
      <c r="AG3286" t="s">
        <v>15086</v>
      </c>
      <c r="AH3286" t="s">
        <v>3305</v>
      </c>
      <c r="AI3286" t="s">
        <v>5644</v>
      </c>
      <c r="AJ3286" t="s">
        <v>6533</v>
      </c>
      <c r="AK3286" t="s">
        <v>11368</v>
      </c>
      <c r="AL3286">
        <v>3.03</v>
      </c>
      <c r="AM3286">
        <v>2.4</v>
      </c>
      <c r="AN3286">
        <v>0</v>
      </c>
      <c r="AO3286" t="s">
        <v>28337</v>
      </c>
      <c r="AP3286" t="s">
        <v>3777</v>
      </c>
      <c r="AQ3286" t="s">
        <v>5859</v>
      </c>
      <c r="AR3286" t="s">
        <v>891</v>
      </c>
      <c r="AS3286" t="s">
        <v>323</v>
      </c>
      <c r="AT3286" t="s">
        <v>15002</v>
      </c>
      <c r="AU3286" t="s">
        <v>12282</v>
      </c>
      <c r="AV3286" t="s">
        <v>3723</v>
      </c>
      <c r="AW3286" t="s">
        <v>12663</v>
      </c>
      <c r="AX3286" t="s">
        <v>3982</v>
      </c>
      <c r="AY3286" t="s">
        <v>12663</v>
      </c>
      <c r="AZ3286" t="s">
        <v>16789</v>
      </c>
      <c r="BA3286">
        <v>1</v>
      </c>
      <c r="BB3286">
        <v>97.13</v>
      </c>
      <c r="BC3286">
        <v>0.23</v>
      </c>
      <c r="BD3286">
        <v>26.31</v>
      </c>
      <c r="BE3286">
        <v>26.53</v>
      </c>
      <c r="BF3286">
        <v>26.19</v>
      </c>
      <c r="BG3286" t="s">
        <v>28338</v>
      </c>
      <c r="BH3286" t="s">
        <v>12663</v>
      </c>
      <c r="BI3286" t="s">
        <v>28339</v>
      </c>
      <c r="BJ3286" t="s">
        <v>101</v>
      </c>
      <c r="BK3286" t="s">
        <v>9186</v>
      </c>
      <c r="BL3286" t="s">
        <v>1767</v>
      </c>
      <c r="BM3286" t="s">
        <v>3027</v>
      </c>
      <c r="BN3286" t="s">
        <v>27621</v>
      </c>
    </row>
    <row r="3287" spans="1:66" x14ac:dyDescent="0.25">
      <c r="A3287" t="str">
        <f>HYPERLINK("https://elite.finviz.com/quote.ashx?t=RPM&amp;ty=c&amp;p=d&amp;b=1", "RPM")</f>
        <v>RPM</v>
      </c>
      <c r="B3287">
        <v>4</v>
      </c>
      <c r="C3287">
        <v>105.92</v>
      </c>
      <c r="D3287">
        <v>34.020000000000003</v>
      </c>
      <c r="E3287" t="s">
        <v>28340</v>
      </c>
      <c r="F3287" t="s">
        <v>107</v>
      </c>
      <c r="G3287" t="s">
        <v>355</v>
      </c>
      <c r="H3287" t="s">
        <v>1147</v>
      </c>
      <c r="I3287" t="s">
        <v>70</v>
      </c>
      <c r="J3287" t="s">
        <v>71</v>
      </c>
      <c r="K3287">
        <v>14919.77</v>
      </c>
      <c r="L3287">
        <v>116.29</v>
      </c>
      <c r="M3287" t="s">
        <v>4494</v>
      </c>
      <c r="N3287">
        <v>106644</v>
      </c>
      <c r="O3287">
        <v>21.73</v>
      </c>
      <c r="P3287">
        <v>18.37</v>
      </c>
      <c r="Q3287">
        <v>2.34</v>
      </c>
      <c r="R3287">
        <v>2.02</v>
      </c>
      <c r="S3287">
        <v>5.17</v>
      </c>
      <c r="T3287" t="s">
        <v>2186</v>
      </c>
      <c r="U3287">
        <v>2.04</v>
      </c>
      <c r="V3287" t="s">
        <v>7944</v>
      </c>
      <c r="W3287" t="s">
        <v>5738</v>
      </c>
      <c r="X3287" t="s">
        <v>4293</v>
      </c>
      <c r="Y3287" t="s">
        <v>7150</v>
      </c>
      <c r="Z3287" t="s">
        <v>25321</v>
      </c>
      <c r="AA3287">
        <v>5.35</v>
      </c>
      <c r="AB3287" t="s">
        <v>7345</v>
      </c>
      <c r="AC3287" t="s">
        <v>4855</v>
      </c>
      <c r="AD3287" t="s">
        <v>2886</v>
      </c>
      <c r="AE3287" t="s">
        <v>4849</v>
      </c>
      <c r="AF3287" t="s">
        <v>170</v>
      </c>
      <c r="AG3287" t="s">
        <v>370</v>
      </c>
      <c r="AH3287" t="s">
        <v>2764</v>
      </c>
      <c r="AI3287" t="s">
        <v>2861</v>
      </c>
      <c r="AJ3287" t="s">
        <v>2745</v>
      </c>
      <c r="AK3287" t="s">
        <v>4359</v>
      </c>
      <c r="AL3287">
        <v>2.16</v>
      </c>
      <c r="AM3287">
        <v>1.45</v>
      </c>
      <c r="AN3287">
        <v>1.05</v>
      </c>
      <c r="AO3287" t="s">
        <v>7740</v>
      </c>
      <c r="AP3287" t="s">
        <v>2392</v>
      </c>
      <c r="AQ3287" t="s">
        <v>2363</v>
      </c>
      <c r="AR3287" t="s">
        <v>1439</v>
      </c>
      <c r="AS3287" t="s">
        <v>2339</v>
      </c>
      <c r="AT3287" t="s">
        <v>8710</v>
      </c>
      <c r="AU3287" t="s">
        <v>9070</v>
      </c>
      <c r="AV3287" t="s">
        <v>2856</v>
      </c>
      <c r="AW3287" t="s">
        <v>7811</v>
      </c>
      <c r="AX3287" t="s">
        <v>4551</v>
      </c>
      <c r="AY3287" t="s">
        <v>421</v>
      </c>
      <c r="AZ3287" t="s">
        <v>3514</v>
      </c>
      <c r="BA3287">
        <v>2.0499999999999998</v>
      </c>
      <c r="BB3287">
        <v>766.81</v>
      </c>
      <c r="BC3287">
        <v>0.49</v>
      </c>
      <c r="BD3287">
        <v>116.14</v>
      </c>
      <c r="BE3287">
        <v>116.98</v>
      </c>
      <c r="BF3287">
        <v>116.14</v>
      </c>
      <c r="BG3287" t="s">
        <v>28341</v>
      </c>
      <c r="BH3287" t="s">
        <v>421</v>
      </c>
      <c r="BI3287" t="s">
        <v>28342</v>
      </c>
      <c r="BJ3287" t="s">
        <v>101</v>
      </c>
      <c r="BK3287" t="s">
        <v>5395</v>
      </c>
      <c r="BL3287" t="s">
        <v>2745</v>
      </c>
      <c r="BM3287" t="s">
        <v>3509</v>
      </c>
      <c r="BN3287" t="s">
        <v>27621</v>
      </c>
    </row>
    <row r="3288" spans="1:66" x14ac:dyDescent="0.25">
      <c r="A3288" t="str">
        <f>HYPERLINK("https://elite.finviz.com/quote.ashx?t=UFPI&amp;ty=c&amp;p=d&amp;b=1", "UFPI")</f>
        <v>UFPI</v>
      </c>
      <c r="B3288">
        <v>4</v>
      </c>
      <c r="C3288">
        <v>105.92</v>
      </c>
      <c r="D3288">
        <v>34.049999999999997</v>
      </c>
      <c r="E3288" t="s">
        <v>28343</v>
      </c>
      <c r="F3288" t="s">
        <v>67</v>
      </c>
      <c r="G3288" t="s">
        <v>355</v>
      </c>
      <c r="H3288" t="s">
        <v>23334</v>
      </c>
      <c r="I3288" t="s">
        <v>70</v>
      </c>
      <c r="J3288" t="s">
        <v>321</v>
      </c>
      <c r="K3288">
        <v>5556.93</v>
      </c>
      <c r="L3288">
        <v>92.01</v>
      </c>
      <c r="M3288" t="s">
        <v>822</v>
      </c>
      <c r="N3288">
        <v>30957</v>
      </c>
      <c r="O3288">
        <v>16.12</v>
      </c>
      <c r="P3288">
        <v>14.24</v>
      </c>
      <c r="Q3288">
        <v>4.84</v>
      </c>
      <c r="R3288">
        <v>0.85</v>
      </c>
      <c r="S3288">
        <v>1.71</v>
      </c>
      <c r="T3288" t="s">
        <v>4780</v>
      </c>
      <c r="U3288">
        <v>1.38</v>
      </c>
      <c r="V3288" t="s">
        <v>4882</v>
      </c>
      <c r="W3288" t="s">
        <v>1746</v>
      </c>
      <c r="X3288" t="s">
        <v>10099</v>
      </c>
      <c r="Y3288" t="s">
        <v>18109</v>
      </c>
      <c r="Z3288" t="s">
        <v>9044</v>
      </c>
      <c r="AA3288">
        <v>5.71</v>
      </c>
      <c r="AB3288" t="s">
        <v>15221</v>
      </c>
      <c r="AC3288" t="s">
        <v>555</v>
      </c>
      <c r="AD3288" t="s">
        <v>4189</v>
      </c>
      <c r="AE3288" t="s">
        <v>15172</v>
      </c>
      <c r="AF3288" t="s">
        <v>5085</v>
      </c>
      <c r="AG3288" t="s">
        <v>5607</v>
      </c>
      <c r="AH3288" t="s">
        <v>5763</v>
      </c>
      <c r="AI3288" t="s">
        <v>626</v>
      </c>
      <c r="AJ3288" t="s">
        <v>164</v>
      </c>
      <c r="AK3288" t="s">
        <v>5172</v>
      </c>
      <c r="AL3288">
        <v>4.54</v>
      </c>
      <c r="AM3288">
        <v>3.16</v>
      </c>
      <c r="AN3288">
        <v>0.12</v>
      </c>
      <c r="AO3288" t="s">
        <v>728</v>
      </c>
      <c r="AP3288" t="s">
        <v>3053</v>
      </c>
      <c r="AQ3288" t="s">
        <v>7453</v>
      </c>
      <c r="AR3288" t="s">
        <v>4800</v>
      </c>
      <c r="AS3288" t="s">
        <v>2619</v>
      </c>
      <c r="AT3288" t="s">
        <v>2354</v>
      </c>
      <c r="AU3288" t="s">
        <v>5371</v>
      </c>
      <c r="AV3288" t="s">
        <v>303</v>
      </c>
      <c r="AW3288" t="s">
        <v>487</v>
      </c>
      <c r="AX3288" t="s">
        <v>3761</v>
      </c>
      <c r="AY3288" t="s">
        <v>10544</v>
      </c>
      <c r="AZ3288" t="s">
        <v>3761</v>
      </c>
      <c r="BA3288">
        <v>2.33</v>
      </c>
      <c r="BB3288">
        <v>390.28</v>
      </c>
      <c r="BC3288">
        <v>0.28000000000000003</v>
      </c>
      <c r="BD3288">
        <v>91.8</v>
      </c>
      <c r="BE3288">
        <v>92.4</v>
      </c>
      <c r="BF3288">
        <v>91.73</v>
      </c>
      <c r="BG3288" t="s">
        <v>28344</v>
      </c>
      <c r="BH3288" t="s">
        <v>10544</v>
      </c>
      <c r="BI3288" t="s">
        <v>28345</v>
      </c>
      <c r="BJ3288" t="s">
        <v>101</v>
      </c>
      <c r="BK3288" t="s">
        <v>7449</v>
      </c>
      <c r="BL3288" t="s">
        <v>17450</v>
      </c>
      <c r="BM3288" t="s">
        <v>4195</v>
      </c>
      <c r="BN3288" t="s">
        <v>27621</v>
      </c>
    </row>
    <row r="3289" spans="1:66" x14ac:dyDescent="0.25">
      <c r="A3289" t="str">
        <f>HYPERLINK("https://elite.finviz.com/quote.ashx?t=CGBD&amp;ty=c&amp;p=d&amp;b=1", "CGBD")</f>
        <v>CGBD</v>
      </c>
      <c r="B3289">
        <v>4</v>
      </c>
      <c r="C3289">
        <v>105.92</v>
      </c>
      <c r="D3289">
        <v>34.049999999999997</v>
      </c>
      <c r="E3289" t="s">
        <v>28346</v>
      </c>
      <c r="F3289" t="s">
        <v>107</v>
      </c>
      <c r="G3289" t="s">
        <v>550</v>
      </c>
      <c r="H3289" t="s">
        <v>2597</v>
      </c>
      <c r="I3289" t="s">
        <v>70</v>
      </c>
      <c r="J3289" t="s">
        <v>321</v>
      </c>
      <c r="K3289">
        <v>952.84</v>
      </c>
      <c r="L3289">
        <v>13.07</v>
      </c>
      <c r="M3289" t="s">
        <v>8357</v>
      </c>
      <c r="N3289">
        <v>100139</v>
      </c>
      <c r="O3289">
        <v>11.17</v>
      </c>
      <c r="P3289">
        <v>8.2899999999999991</v>
      </c>
      <c r="R3289">
        <v>4.0599999999999996</v>
      </c>
      <c r="S3289">
        <v>0.8</v>
      </c>
      <c r="T3289" t="s">
        <v>6329</v>
      </c>
      <c r="U3289">
        <v>1.65</v>
      </c>
      <c r="V3289" t="s">
        <v>198</v>
      </c>
      <c r="W3289" t="s">
        <v>3002</v>
      </c>
      <c r="X3289" t="s">
        <v>9108</v>
      </c>
      <c r="Y3289" t="s">
        <v>4323</v>
      </c>
      <c r="Z3289" t="s">
        <v>28347</v>
      </c>
      <c r="AA3289">
        <v>1.17</v>
      </c>
      <c r="AH3289" t="s">
        <v>644</v>
      </c>
      <c r="AI3289" t="s">
        <v>4963</v>
      </c>
      <c r="AJ3289" t="s">
        <v>8402</v>
      </c>
      <c r="AK3289" t="s">
        <v>256</v>
      </c>
      <c r="AR3289" t="s">
        <v>3925</v>
      </c>
      <c r="AS3289" t="s">
        <v>7423</v>
      </c>
      <c r="AT3289" t="s">
        <v>2204</v>
      </c>
      <c r="AU3289" t="s">
        <v>8358</v>
      </c>
      <c r="AV3289" t="s">
        <v>24267</v>
      </c>
      <c r="AW3289" t="s">
        <v>3705</v>
      </c>
      <c r="AX3289" t="s">
        <v>8179</v>
      </c>
      <c r="AY3289" t="s">
        <v>6006</v>
      </c>
      <c r="AZ3289" t="s">
        <v>8179</v>
      </c>
      <c r="BB3289">
        <v>455.23</v>
      </c>
      <c r="BC3289">
        <v>0.77</v>
      </c>
      <c r="BD3289">
        <v>13.18</v>
      </c>
      <c r="BE3289">
        <v>13.25</v>
      </c>
      <c r="BF3289">
        <v>13.05</v>
      </c>
      <c r="BG3289" t="s">
        <v>28348</v>
      </c>
      <c r="BH3289" t="s">
        <v>6277</v>
      </c>
      <c r="BI3289" t="s">
        <v>28349</v>
      </c>
      <c r="BJ3289" t="s">
        <v>101</v>
      </c>
      <c r="BK3289" t="s">
        <v>5748</v>
      </c>
      <c r="BL3289" t="s">
        <v>24563</v>
      </c>
      <c r="BM3289" t="s">
        <v>6789</v>
      </c>
      <c r="BN3289" t="s">
        <v>27621</v>
      </c>
    </row>
    <row r="3290" spans="1:66" x14ac:dyDescent="0.25">
      <c r="A3290" t="str">
        <f>HYPERLINK("https://elite.finviz.com/quote.ashx?t=RBKB&amp;ty=c&amp;p=d&amp;b=1", "RBKB")</f>
        <v>RBKB</v>
      </c>
      <c r="B3290">
        <v>4</v>
      </c>
      <c r="C3290">
        <v>105.92</v>
      </c>
      <c r="D3290">
        <v>34.049999999999997</v>
      </c>
      <c r="E3290" t="s">
        <v>28350</v>
      </c>
      <c r="F3290" t="s">
        <v>67</v>
      </c>
      <c r="G3290" t="s">
        <v>550</v>
      </c>
      <c r="H3290" t="s">
        <v>697</v>
      </c>
      <c r="I3290" t="s">
        <v>70</v>
      </c>
      <c r="J3290" t="s">
        <v>321</v>
      </c>
      <c r="K3290">
        <v>130.05000000000001</v>
      </c>
      <c r="L3290">
        <v>11.71</v>
      </c>
      <c r="M3290" t="s">
        <v>4271</v>
      </c>
      <c r="N3290">
        <v>977</v>
      </c>
      <c r="R3290">
        <v>2.2999999999999998</v>
      </c>
      <c r="S3290">
        <v>1.01</v>
      </c>
      <c r="AA3290">
        <v>-0.54</v>
      </c>
      <c r="AE3290" t="s">
        <v>7533</v>
      </c>
      <c r="AF3290" t="s">
        <v>6692</v>
      </c>
      <c r="AG3290" t="s">
        <v>295</v>
      </c>
      <c r="AH3290" t="s">
        <v>2776</v>
      </c>
      <c r="AJ3290" t="s">
        <v>171</v>
      </c>
      <c r="AK3290" t="s">
        <v>2812</v>
      </c>
      <c r="AL3290">
        <v>0.11</v>
      </c>
      <c r="AN3290">
        <v>0.3</v>
      </c>
      <c r="AP3290" t="s">
        <v>20527</v>
      </c>
      <c r="AQ3290" t="s">
        <v>10461</v>
      </c>
      <c r="AR3290" t="s">
        <v>3636</v>
      </c>
      <c r="AS3290" t="s">
        <v>5187</v>
      </c>
      <c r="AT3290" t="s">
        <v>10338</v>
      </c>
      <c r="AU3290" t="s">
        <v>3729</v>
      </c>
      <c r="AV3290" t="s">
        <v>3054</v>
      </c>
      <c r="AW3290" t="s">
        <v>24076</v>
      </c>
      <c r="AX3290" t="s">
        <v>3777</v>
      </c>
      <c r="AY3290" t="s">
        <v>24076</v>
      </c>
      <c r="AZ3290" t="s">
        <v>1654</v>
      </c>
      <c r="BB3290">
        <v>16.47</v>
      </c>
      <c r="BC3290">
        <v>0.21</v>
      </c>
      <c r="BD3290">
        <v>11.65</v>
      </c>
      <c r="BE3290">
        <v>11.65</v>
      </c>
      <c r="BF3290">
        <v>11.65</v>
      </c>
      <c r="BG3290" t="s">
        <v>28351</v>
      </c>
      <c r="BH3290" t="s">
        <v>24076</v>
      </c>
      <c r="BI3290" t="s">
        <v>28352</v>
      </c>
      <c r="BJ3290" t="s">
        <v>101</v>
      </c>
      <c r="BK3290" t="s">
        <v>5809</v>
      </c>
      <c r="BL3290" t="s">
        <v>1497</v>
      </c>
      <c r="BM3290" t="s">
        <v>15260</v>
      </c>
      <c r="BN3290" t="s">
        <v>27621</v>
      </c>
    </row>
    <row r="3291" spans="1:66" x14ac:dyDescent="0.25">
      <c r="A3291" t="str">
        <f>HYPERLINK("https://elite.finviz.com/quote.ashx?t=BJRI&amp;ty=c&amp;p=d&amp;b=1", "BJRI")</f>
        <v>BJRI</v>
      </c>
      <c r="B3291">
        <v>4</v>
      </c>
      <c r="C3291">
        <v>105.92</v>
      </c>
      <c r="D3291">
        <v>34.06</v>
      </c>
      <c r="E3291" t="s">
        <v>28353</v>
      </c>
      <c r="F3291" t="s">
        <v>67</v>
      </c>
      <c r="G3291" t="s">
        <v>813</v>
      </c>
      <c r="H3291" t="s">
        <v>2285</v>
      </c>
      <c r="I3291" t="s">
        <v>70</v>
      </c>
      <c r="J3291" t="s">
        <v>321</v>
      </c>
      <c r="K3291">
        <v>665.79</v>
      </c>
      <c r="L3291">
        <v>30.09</v>
      </c>
      <c r="M3291" t="s">
        <v>193</v>
      </c>
      <c r="N3291">
        <v>70962</v>
      </c>
      <c r="O3291">
        <v>25.31</v>
      </c>
      <c r="P3291">
        <v>12.67</v>
      </c>
      <c r="Q3291">
        <v>1.1399999999999999</v>
      </c>
      <c r="R3291">
        <v>0.48</v>
      </c>
      <c r="S3291">
        <v>1.73</v>
      </c>
      <c r="V3291" t="s">
        <v>28354</v>
      </c>
      <c r="Z3291" t="s">
        <v>164</v>
      </c>
      <c r="AA3291">
        <v>1.19</v>
      </c>
      <c r="AC3291" t="s">
        <v>5196</v>
      </c>
      <c r="AD3291" t="s">
        <v>5614</v>
      </c>
      <c r="AE3291" t="s">
        <v>5164</v>
      </c>
      <c r="AF3291" t="s">
        <v>7403</v>
      </c>
      <c r="AG3291" t="s">
        <v>2356</v>
      </c>
      <c r="AH3291" t="s">
        <v>2842</v>
      </c>
      <c r="AI3291" t="s">
        <v>16508</v>
      </c>
      <c r="AJ3291" t="s">
        <v>8382</v>
      </c>
      <c r="AK3291" t="s">
        <v>13724</v>
      </c>
      <c r="AL3291">
        <v>0.38</v>
      </c>
      <c r="AM3291">
        <v>0.32</v>
      </c>
      <c r="AN3291">
        <v>1.24</v>
      </c>
      <c r="AO3291" t="s">
        <v>4965</v>
      </c>
      <c r="AP3291" t="s">
        <v>3454</v>
      </c>
      <c r="AQ3291" t="s">
        <v>3856</v>
      </c>
      <c r="AR3291" t="s">
        <v>4892</v>
      </c>
      <c r="AS3291" t="s">
        <v>307</v>
      </c>
      <c r="AT3291" t="s">
        <v>922</v>
      </c>
      <c r="AU3291" t="s">
        <v>388</v>
      </c>
      <c r="AV3291" t="s">
        <v>14248</v>
      </c>
      <c r="AW3291" t="s">
        <v>15913</v>
      </c>
      <c r="AX3291" t="s">
        <v>4547</v>
      </c>
      <c r="AY3291" t="s">
        <v>18204</v>
      </c>
      <c r="AZ3291" t="s">
        <v>2419</v>
      </c>
      <c r="BA3291">
        <v>3</v>
      </c>
      <c r="BB3291">
        <v>571.54</v>
      </c>
      <c r="BC3291">
        <v>0.44</v>
      </c>
      <c r="BD3291">
        <v>30.01</v>
      </c>
      <c r="BE3291">
        <v>30.16</v>
      </c>
      <c r="BF3291">
        <v>29.86</v>
      </c>
      <c r="BG3291" t="s">
        <v>28355</v>
      </c>
      <c r="BH3291" t="s">
        <v>28356</v>
      </c>
      <c r="BI3291" t="s">
        <v>28357</v>
      </c>
      <c r="BJ3291" t="s">
        <v>101</v>
      </c>
      <c r="BK3291" t="s">
        <v>9029</v>
      </c>
      <c r="BL3291" t="s">
        <v>17228</v>
      </c>
      <c r="BM3291" t="s">
        <v>11795</v>
      </c>
      <c r="BN3291" t="s">
        <v>27621</v>
      </c>
    </row>
    <row r="3292" spans="1:66" x14ac:dyDescent="0.25">
      <c r="A3292" t="str">
        <f>HYPERLINK("https://elite.finviz.com/quote.ashx?t=GMRE&amp;ty=c&amp;p=d&amp;b=1", "GMRE")</f>
        <v>GMRE</v>
      </c>
      <c r="B3292">
        <v>4</v>
      </c>
      <c r="C3292">
        <v>105.92</v>
      </c>
      <c r="D3292">
        <v>34.07</v>
      </c>
      <c r="E3292" t="s">
        <v>28358</v>
      </c>
      <c r="F3292" t="s">
        <v>67</v>
      </c>
      <c r="G3292" t="s">
        <v>68</v>
      </c>
      <c r="H3292" t="s">
        <v>6072</v>
      </c>
      <c r="I3292" t="s">
        <v>70</v>
      </c>
      <c r="J3292" t="s">
        <v>71</v>
      </c>
      <c r="K3292">
        <v>651.71</v>
      </c>
      <c r="L3292">
        <v>33.79</v>
      </c>
      <c r="M3292" t="s">
        <v>2785</v>
      </c>
      <c r="N3292">
        <v>48792</v>
      </c>
      <c r="O3292">
        <v>100.41</v>
      </c>
      <c r="P3292">
        <v>72.41</v>
      </c>
      <c r="Q3292">
        <v>0.7</v>
      </c>
      <c r="R3292">
        <v>4.1500000000000004</v>
      </c>
      <c r="S3292">
        <v>1.06</v>
      </c>
      <c r="T3292" t="s">
        <v>185</v>
      </c>
      <c r="U3292">
        <v>3.35</v>
      </c>
      <c r="V3292" t="s">
        <v>2598</v>
      </c>
      <c r="W3292" t="s">
        <v>164</v>
      </c>
      <c r="X3292" t="s">
        <v>747</v>
      </c>
      <c r="Y3292" t="s">
        <v>5055</v>
      </c>
      <c r="Z3292" t="s">
        <v>28359</v>
      </c>
      <c r="AA3292">
        <v>0.34</v>
      </c>
      <c r="AB3292" t="s">
        <v>28360</v>
      </c>
      <c r="AC3292" t="s">
        <v>23822</v>
      </c>
      <c r="AD3292" t="s">
        <v>27081</v>
      </c>
      <c r="AE3292" t="s">
        <v>3493</v>
      </c>
      <c r="AF3292" t="s">
        <v>302</v>
      </c>
      <c r="AG3292" t="s">
        <v>2360</v>
      </c>
      <c r="AH3292" t="s">
        <v>3372</v>
      </c>
      <c r="AI3292" t="s">
        <v>28361</v>
      </c>
      <c r="AK3292" t="s">
        <v>1658</v>
      </c>
      <c r="AL3292">
        <v>0.98</v>
      </c>
      <c r="AM3292">
        <v>0.98</v>
      </c>
      <c r="AN3292">
        <v>1.46</v>
      </c>
      <c r="AO3292" t="s">
        <v>14417</v>
      </c>
      <c r="AP3292" t="s">
        <v>10693</v>
      </c>
      <c r="AQ3292" t="s">
        <v>205</v>
      </c>
      <c r="AR3292" t="s">
        <v>6183</v>
      </c>
      <c r="AS3292" t="s">
        <v>2543</v>
      </c>
      <c r="AT3292" t="s">
        <v>16335</v>
      </c>
      <c r="AU3292" t="s">
        <v>9711</v>
      </c>
      <c r="AV3292" t="s">
        <v>8115</v>
      </c>
      <c r="AW3292" t="s">
        <v>5104</v>
      </c>
      <c r="AX3292" t="s">
        <v>2447</v>
      </c>
      <c r="AY3292" t="s">
        <v>12024</v>
      </c>
      <c r="AZ3292" t="s">
        <v>5446</v>
      </c>
      <c r="BA3292">
        <v>1.89</v>
      </c>
      <c r="BB3292">
        <v>171.09</v>
      </c>
      <c r="BC3292">
        <v>1.01</v>
      </c>
      <c r="BD3292">
        <v>33.520000000000003</v>
      </c>
      <c r="BE3292">
        <v>33.869999999999997</v>
      </c>
      <c r="BF3292">
        <v>33.49</v>
      </c>
      <c r="BG3292" t="s">
        <v>28362</v>
      </c>
      <c r="BH3292" t="s">
        <v>17204</v>
      </c>
      <c r="BI3292" t="s">
        <v>4666</v>
      </c>
      <c r="BJ3292" t="s">
        <v>101</v>
      </c>
      <c r="BK3292" t="s">
        <v>1765</v>
      </c>
      <c r="BL3292" t="s">
        <v>6788</v>
      </c>
      <c r="BM3292" t="s">
        <v>24365</v>
      </c>
      <c r="BN3292" t="s">
        <v>27621</v>
      </c>
    </row>
    <row r="3293" spans="1:66" x14ac:dyDescent="0.25">
      <c r="A3293" t="str">
        <f>HYPERLINK("https://elite.finviz.com/quote.ashx?t=TRC&amp;ty=c&amp;p=d&amp;b=1", "TRC")</f>
        <v>TRC</v>
      </c>
      <c r="B3293">
        <v>4</v>
      </c>
      <c r="C3293">
        <v>105.92</v>
      </c>
      <c r="D3293">
        <v>34.08</v>
      </c>
      <c r="E3293" t="s">
        <v>28363</v>
      </c>
      <c r="F3293" t="s">
        <v>67</v>
      </c>
      <c r="G3293" t="s">
        <v>260</v>
      </c>
      <c r="H3293" t="s">
        <v>2508</v>
      </c>
      <c r="I3293" t="s">
        <v>70</v>
      </c>
      <c r="J3293" t="s">
        <v>71</v>
      </c>
      <c r="K3293">
        <v>431.38</v>
      </c>
      <c r="L3293">
        <v>16.04</v>
      </c>
      <c r="M3293" t="s">
        <v>3226</v>
      </c>
      <c r="N3293">
        <v>7691</v>
      </c>
      <c r="R3293">
        <v>9.52</v>
      </c>
      <c r="S3293">
        <v>0.91</v>
      </c>
      <c r="Z3293" t="s">
        <v>164</v>
      </c>
      <c r="AA3293">
        <v>-0.02</v>
      </c>
      <c r="AB3293" t="s">
        <v>10680</v>
      </c>
      <c r="AC3293" t="s">
        <v>14463</v>
      </c>
      <c r="AE3293" t="s">
        <v>5307</v>
      </c>
      <c r="AF3293" t="s">
        <v>16335</v>
      </c>
      <c r="AG3293" t="s">
        <v>5928</v>
      </c>
      <c r="AH3293" t="s">
        <v>15038</v>
      </c>
      <c r="AI3293" t="s">
        <v>23073</v>
      </c>
      <c r="AJ3293" t="s">
        <v>2294</v>
      </c>
      <c r="AK3293" t="s">
        <v>5804</v>
      </c>
      <c r="AL3293">
        <v>2.2400000000000002</v>
      </c>
      <c r="AM3293">
        <v>1.66</v>
      </c>
      <c r="AN3293">
        <v>0.17</v>
      </c>
      <c r="AO3293" t="s">
        <v>4089</v>
      </c>
      <c r="AP3293" t="s">
        <v>18543</v>
      </c>
      <c r="AQ3293" t="s">
        <v>655</v>
      </c>
      <c r="AR3293" t="s">
        <v>5258</v>
      </c>
      <c r="AS3293" t="s">
        <v>3118</v>
      </c>
      <c r="AT3293" t="s">
        <v>6161</v>
      </c>
      <c r="AU3293" t="s">
        <v>6757</v>
      </c>
      <c r="AV3293" t="s">
        <v>10774</v>
      </c>
      <c r="AW3293" t="s">
        <v>2747</v>
      </c>
      <c r="AX3293" t="s">
        <v>6493</v>
      </c>
      <c r="AY3293" t="s">
        <v>2747</v>
      </c>
      <c r="AZ3293" t="s">
        <v>8662</v>
      </c>
      <c r="BB3293">
        <v>113.39</v>
      </c>
      <c r="BC3293">
        <v>0.24</v>
      </c>
      <c r="BD3293">
        <v>15.98</v>
      </c>
      <c r="BE3293">
        <v>16.12</v>
      </c>
      <c r="BF3293">
        <v>15.98</v>
      </c>
      <c r="BG3293" t="s">
        <v>28364</v>
      </c>
      <c r="BH3293" t="s">
        <v>28365</v>
      </c>
      <c r="BI3293" t="s">
        <v>28366</v>
      </c>
      <c r="BJ3293" t="s">
        <v>101</v>
      </c>
      <c r="BK3293" t="s">
        <v>10713</v>
      </c>
      <c r="BL3293" t="s">
        <v>1272</v>
      </c>
      <c r="BM3293" t="s">
        <v>503</v>
      </c>
      <c r="BN3293" t="s">
        <v>27621</v>
      </c>
    </row>
    <row r="3294" spans="1:66" x14ac:dyDescent="0.25">
      <c r="A3294" t="str">
        <f>HYPERLINK("https://elite.finviz.com/quote.ashx?t=SITE&amp;ty=c&amp;p=d&amp;b=1", "SITE")</f>
        <v>SITE</v>
      </c>
      <c r="B3294">
        <v>4</v>
      </c>
      <c r="C3294">
        <v>105.92</v>
      </c>
      <c r="D3294">
        <v>34.090000000000003</v>
      </c>
      <c r="E3294" t="s">
        <v>28367</v>
      </c>
      <c r="F3294" t="s">
        <v>107</v>
      </c>
      <c r="G3294" t="s">
        <v>260</v>
      </c>
      <c r="H3294" t="s">
        <v>8107</v>
      </c>
      <c r="I3294" t="s">
        <v>70</v>
      </c>
      <c r="J3294" t="s">
        <v>71</v>
      </c>
      <c r="K3294">
        <v>5711.72</v>
      </c>
      <c r="L3294">
        <v>128.03</v>
      </c>
      <c r="M3294" t="s">
        <v>8425</v>
      </c>
      <c r="N3294">
        <v>52173</v>
      </c>
      <c r="O3294">
        <v>46.56</v>
      </c>
      <c r="P3294">
        <v>28.49</v>
      </c>
      <c r="Q3294">
        <v>3.55</v>
      </c>
      <c r="R3294">
        <v>1.24</v>
      </c>
      <c r="S3294">
        <v>3.49</v>
      </c>
      <c r="Z3294" t="s">
        <v>164</v>
      </c>
      <c r="AA3294">
        <v>2.75</v>
      </c>
      <c r="AB3294" t="s">
        <v>5637</v>
      </c>
      <c r="AC3294" t="s">
        <v>6421</v>
      </c>
      <c r="AD3294" t="s">
        <v>6202</v>
      </c>
      <c r="AE3294" t="s">
        <v>3020</v>
      </c>
      <c r="AF3294" t="s">
        <v>6945</v>
      </c>
      <c r="AG3294" t="s">
        <v>3531</v>
      </c>
      <c r="AH3294" t="s">
        <v>3454</v>
      </c>
      <c r="AI3294" t="s">
        <v>193</v>
      </c>
      <c r="AJ3294" t="s">
        <v>6798</v>
      </c>
      <c r="AK3294" t="s">
        <v>7020</v>
      </c>
      <c r="AL3294">
        <v>2.41</v>
      </c>
      <c r="AM3294">
        <v>1.06</v>
      </c>
      <c r="AN3294">
        <v>0.64</v>
      </c>
      <c r="AO3294" t="s">
        <v>4400</v>
      </c>
      <c r="AP3294" t="s">
        <v>6475</v>
      </c>
      <c r="AQ3294" t="s">
        <v>1768</v>
      </c>
      <c r="AR3294" t="s">
        <v>715</v>
      </c>
      <c r="AS3294" t="s">
        <v>5256</v>
      </c>
      <c r="AT3294" t="s">
        <v>5932</v>
      </c>
      <c r="AU3294" t="s">
        <v>14653</v>
      </c>
      <c r="AV3294" t="s">
        <v>11260</v>
      </c>
      <c r="AW3294" t="s">
        <v>16445</v>
      </c>
      <c r="AX3294" t="s">
        <v>4323</v>
      </c>
      <c r="AY3294" t="s">
        <v>844</v>
      </c>
      <c r="AZ3294" t="s">
        <v>6446</v>
      </c>
      <c r="BA3294">
        <v>2.25</v>
      </c>
      <c r="BB3294">
        <v>578.85</v>
      </c>
      <c r="BC3294">
        <v>0.32</v>
      </c>
      <c r="BD3294">
        <v>128.38</v>
      </c>
      <c r="BE3294">
        <v>129.12</v>
      </c>
      <c r="BF3294">
        <v>127.55</v>
      </c>
      <c r="BG3294" t="s">
        <v>28368</v>
      </c>
      <c r="BH3294" t="s">
        <v>28369</v>
      </c>
      <c r="BI3294" t="s">
        <v>28370</v>
      </c>
      <c r="BJ3294" t="s">
        <v>101</v>
      </c>
      <c r="BK3294" t="s">
        <v>8925</v>
      </c>
      <c r="BL3294" t="s">
        <v>4856</v>
      </c>
      <c r="BM3294" t="s">
        <v>7704</v>
      </c>
      <c r="BN3294" t="s">
        <v>27621</v>
      </c>
    </row>
    <row r="3295" spans="1:66" x14ac:dyDescent="0.25">
      <c r="A3295" t="str">
        <f>HYPERLINK("https://elite.finviz.com/quote.ashx?t=VAC&amp;ty=c&amp;p=d&amp;b=1", "VAC")</f>
        <v>VAC</v>
      </c>
      <c r="B3295">
        <v>4</v>
      </c>
      <c r="C3295">
        <v>105.92</v>
      </c>
      <c r="D3295">
        <v>34.090000000000003</v>
      </c>
      <c r="E3295" t="s">
        <v>28371</v>
      </c>
      <c r="F3295" t="s">
        <v>67</v>
      </c>
      <c r="G3295" t="s">
        <v>813</v>
      </c>
      <c r="H3295" t="s">
        <v>2763</v>
      </c>
      <c r="I3295" t="s">
        <v>70</v>
      </c>
      <c r="J3295" t="s">
        <v>71</v>
      </c>
      <c r="K3295">
        <v>2428.92</v>
      </c>
      <c r="L3295">
        <v>70.19</v>
      </c>
      <c r="M3295" t="s">
        <v>2906</v>
      </c>
      <c r="N3295">
        <v>50988</v>
      </c>
      <c r="O3295">
        <v>10.56</v>
      </c>
      <c r="P3295">
        <v>8.86</v>
      </c>
      <c r="Q3295">
        <v>1.0900000000000001</v>
      </c>
      <c r="R3295">
        <v>0.48</v>
      </c>
      <c r="S3295">
        <v>0.98</v>
      </c>
      <c r="T3295" t="s">
        <v>197</v>
      </c>
      <c r="U3295">
        <v>3.16</v>
      </c>
      <c r="V3295" t="s">
        <v>5673</v>
      </c>
      <c r="W3295" t="s">
        <v>2316</v>
      </c>
      <c r="X3295" t="s">
        <v>11963</v>
      </c>
      <c r="Y3295" t="s">
        <v>185</v>
      </c>
      <c r="Z3295" t="s">
        <v>13777</v>
      </c>
      <c r="AA3295">
        <v>6.65</v>
      </c>
      <c r="AB3295" t="s">
        <v>28372</v>
      </c>
      <c r="AC3295" t="s">
        <v>5676</v>
      </c>
      <c r="AD3295" t="s">
        <v>2635</v>
      </c>
      <c r="AE3295" t="s">
        <v>2450</v>
      </c>
      <c r="AF3295" t="s">
        <v>6028</v>
      </c>
      <c r="AG3295" t="s">
        <v>6104</v>
      </c>
      <c r="AH3295" t="s">
        <v>2363</v>
      </c>
      <c r="AI3295" t="s">
        <v>2824</v>
      </c>
      <c r="AJ3295" t="s">
        <v>14884</v>
      </c>
      <c r="AK3295" t="s">
        <v>28373</v>
      </c>
      <c r="AL3295">
        <v>1.29</v>
      </c>
      <c r="AM3295">
        <v>0.73</v>
      </c>
      <c r="AN3295">
        <v>2.2000000000000002</v>
      </c>
      <c r="AO3295" t="s">
        <v>3168</v>
      </c>
      <c r="AP3295" t="s">
        <v>6196</v>
      </c>
      <c r="AQ3295" t="s">
        <v>1104</v>
      </c>
      <c r="AR3295" t="s">
        <v>1391</v>
      </c>
      <c r="AS3295" t="s">
        <v>2383</v>
      </c>
      <c r="AT3295" t="s">
        <v>14874</v>
      </c>
      <c r="AU3295" t="s">
        <v>1537</v>
      </c>
      <c r="AV3295" t="s">
        <v>6985</v>
      </c>
      <c r="AW3295" t="s">
        <v>9917</v>
      </c>
      <c r="AX3295" t="s">
        <v>2785</v>
      </c>
      <c r="AY3295" t="s">
        <v>28374</v>
      </c>
      <c r="AZ3295" t="s">
        <v>13596</v>
      </c>
      <c r="BA3295">
        <v>2.09</v>
      </c>
      <c r="BB3295">
        <v>539.97</v>
      </c>
      <c r="BC3295">
        <v>0.33</v>
      </c>
      <c r="BD3295">
        <v>70.319999999999993</v>
      </c>
      <c r="BE3295">
        <v>70.84</v>
      </c>
      <c r="BF3295">
        <v>70.17</v>
      </c>
      <c r="BG3295" t="s">
        <v>28375</v>
      </c>
      <c r="BH3295" t="s">
        <v>7674</v>
      </c>
      <c r="BI3295" t="s">
        <v>28376</v>
      </c>
      <c r="BJ3295" t="s">
        <v>101</v>
      </c>
      <c r="BK3295" t="s">
        <v>93</v>
      </c>
      <c r="BL3295" t="s">
        <v>3303</v>
      </c>
      <c r="BM3295" t="s">
        <v>8055</v>
      </c>
      <c r="BN3295" t="s">
        <v>27621</v>
      </c>
    </row>
    <row r="3296" spans="1:66" x14ac:dyDescent="0.25">
      <c r="A3296" t="str">
        <f>HYPERLINK("https://elite.finviz.com/quote.ashx?t=KEX&amp;ty=c&amp;p=d&amp;b=1", "KEX")</f>
        <v>KEX</v>
      </c>
      <c r="B3296">
        <v>4</v>
      </c>
      <c r="C3296">
        <v>105.92</v>
      </c>
      <c r="D3296">
        <v>34.29</v>
      </c>
      <c r="E3296" t="s">
        <v>28377</v>
      </c>
      <c r="F3296" t="s">
        <v>107</v>
      </c>
      <c r="G3296" t="s">
        <v>260</v>
      </c>
      <c r="H3296" t="s">
        <v>2696</v>
      </c>
      <c r="I3296" t="s">
        <v>70</v>
      </c>
      <c r="J3296" t="s">
        <v>71</v>
      </c>
      <c r="K3296">
        <v>4697.25</v>
      </c>
      <c r="L3296">
        <v>84.18</v>
      </c>
      <c r="M3296" t="s">
        <v>580</v>
      </c>
      <c r="N3296">
        <v>141638</v>
      </c>
      <c r="O3296">
        <v>15.94</v>
      </c>
      <c r="P3296">
        <v>11.86</v>
      </c>
      <c r="Q3296">
        <v>1.53</v>
      </c>
      <c r="R3296">
        <v>1.43</v>
      </c>
      <c r="S3296">
        <v>1.39</v>
      </c>
      <c r="Z3296" t="s">
        <v>164</v>
      </c>
      <c r="AA3296">
        <v>5.28</v>
      </c>
      <c r="AC3296" t="s">
        <v>4834</v>
      </c>
      <c r="AD3296" t="s">
        <v>702</v>
      </c>
      <c r="AE3296" t="s">
        <v>5121</v>
      </c>
      <c r="AF3296" t="s">
        <v>3955</v>
      </c>
      <c r="AG3296" t="s">
        <v>205</v>
      </c>
      <c r="AH3296" t="s">
        <v>1100</v>
      </c>
      <c r="AI3296" t="s">
        <v>2785</v>
      </c>
      <c r="AJ3296" t="s">
        <v>164</v>
      </c>
      <c r="AK3296" t="s">
        <v>28378</v>
      </c>
      <c r="AL3296">
        <v>1.74</v>
      </c>
      <c r="AM3296">
        <v>1.1200000000000001</v>
      </c>
      <c r="AN3296">
        <v>0.38</v>
      </c>
      <c r="AO3296" t="s">
        <v>3397</v>
      </c>
      <c r="AP3296" t="s">
        <v>8564</v>
      </c>
      <c r="AQ3296" t="s">
        <v>9280</v>
      </c>
      <c r="AR3296" t="s">
        <v>205</v>
      </c>
      <c r="AS3296" t="s">
        <v>5780</v>
      </c>
      <c r="AT3296" t="s">
        <v>5061</v>
      </c>
      <c r="AU3296" t="s">
        <v>10010</v>
      </c>
      <c r="AV3296" t="s">
        <v>11872</v>
      </c>
      <c r="AW3296" t="s">
        <v>15832</v>
      </c>
      <c r="AX3296" t="s">
        <v>5780</v>
      </c>
      <c r="AY3296" t="s">
        <v>24662</v>
      </c>
      <c r="AZ3296" t="s">
        <v>5780</v>
      </c>
      <c r="BA3296">
        <v>1.57</v>
      </c>
      <c r="BB3296">
        <v>870.02</v>
      </c>
      <c r="BC3296">
        <v>0.56999999999999995</v>
      </c>
      <c r="BD3296">
        <v>84.12</v>
      </c>
      <c r="BE3296">
        <v>84.97</v>
      </c>
      <c r="BF3296">
        <v>84.11</v>
      </c>
      <c r="BG3296" t="s">
        <v>28379</v>
      </c>
      <c r="BH3296" t="s">
        <v>24662</v>
      </c>
      <c r="BI3296" t="s">
        <v>28380</v>
      </c>
      <c r="BJ3296" t="s">
        <v>101</v>
      </c>
      <c r="BK3296" t="s">
        <v>16816</v>
      </c>
      <c r="BL3296" t="s">
        <v>9977</v>
      </c>
      <c r="BM3296" t="s">
        <v>28381</v>
      </c>
      <c r="BN3296" t="s">
        <v>27621</v>
      </c>
    </row>
    <row r="3297" spans="1:66" x14ac:dyDescent="0.25">
      <c r="A3297" t="str">
        <f>HYPERLINK("https://elite.finviz.com/quote.ashx?t=CTO&amp;ty=c&amp;p=d&amp;b=1", "CTO")</f>
        <v>CTO</v>
      </c>
      <c r="B3297">
        <v>4</v>
      </c>
      <c r="C3297">
        <v>105.92</v>
      </c>
      <c r="D3297">
        <v>34.299999999999997</v>
      </c>
      <c r="E3297" t="s">
        <v>28382</v>
      </c>
      <c r="F3297" t="s">
        <v>67</v>
      </c>
      <c r="G3297" t="s">
        <v>68</v>
      </c>
      <c r="H3297" t="s">
        <v>4656</v>
      </c>
      <c r="I3297" t="s">
        <v>70</v>
      </c>
      <c r="J3297" t="s">
        <v>71</v>
      </c>
      <c r="K3297">
        <v>527.04</v>
      </c>
      <c r="L3297">
        <v>16</v>
      </c>
      <c r="M3297" t="s">
        <v>2880</v>
      </c>
      <c r="N3297">
        <v>48471</v>
      </c>
      <c r="P3297">
        <v>110.34</v>
      </c>
      <c r="R3297">
        <v>3.74</v>
      </c>
      <c r="S3297">
        <v>0.92</v>
      </c>
      <c r="T3297" t="s">
        <v>3141</v>
      </c>
      <c r="U3297">
        <v>1.52</v>
      </c>
      <c r="V3297" t="s">
        <v>7788</v>
      </c>
      <c r="W3297" t="s">
        <v>164</v>
      </c>
      <c r="X3297" t="s">
        <v>4104</v>
      </c>
      <c r="Y3297" t="s">
        <v>2608</v>
      </c>
      <c r="AA3297">
        <v>-1.32</v>
      </c>
      <c r="AE3297" t="s">
        <v>2556</v>
      </c>
      <c r="AF3297" t="s">
        <v>1367</v>
      </c>
      <c r="AG3297" t="s">
        <v>9461</v>
      </c>
      <c r="AH3297" t="s">
        <v>5867</v>
      </c>
      <c r="AI3297" t="s">
        <v>28383</v>
      </c>
      <c r="AJ3297" t="s">
        <v>80</v>
      </c>
      <c r="AK3297" t="s">
        <v>28384</v>
      </c>
      <c r="AL3297">
        <v>3.25</v>
      </c>
      <c r="AM3297">
        <v>3.25</v>
      </c>
      <c r="AN3297">
        <v>1.08</v>
      </c>
      <c r="AO3297" t="s">
        <v>2961</v>
      </c>
      <c r="AP3297" t="s">
        <v>702</v>
      </c>
      <c r="AQ3297" t="s">
        <v>17250</v>
      </c>
      <c r="AR3297" t="s">
        <v>1952</v>
      </c>
      <c r="AS3297" t="s">
        <v>192</v>
      </c>
      <c r="AT3297" t="s">
        <v>6739</v>
      </c>
      <c r="AU3297" t="s">
        <v>9070</v>
      </c>
      <c r="AV3297" t="s">
        <v>7480</v>
      </c>
      <c r="AW3297" t="s">
        <v>11990</v>
      </c>
      <c r="AX3297" t="s">
        <v>698</v>
      </c>
      <c r="AY3297" t="s">
        <v>8268</v>
      </c>
      <c r="AZ3297" t="s">
        <v>698</v>
      </c>
      <c r="BA3297">
        <v>1</v>
      </c>
      <c r="BB3297">
        <v>311.89</v>
      </c>
      <c r="BC3297">
        <v>0.55000000000000004</v>
      </c>
      <c r="BD3297">
        <v>15.97</v>
      </c>
      <c r="BE3297">
        <v>16.14</v>
      </c>
      <c r="BF3297">
        <v>16.05</v>
      </c>
      <c r="BG3297" t="s">
        <v>28385</v>
      </c>
      <c r="BH3297" t="s">
        <v>28386</v>
      </c>
      <c r="BI3297" t="s">
        <v>28387</v>
      </c>
      <c r="BJ3297" t="s">
        <v>101</v>
      </c>
      <c r="BK3297" t="s">
        <v>10338</v>
      </c>
      <c r="BL3297" t="s">
        <v>11312</v>
      </c>
      <c r="BM3297" t="s">
        <v>5980</v>
      </c>
      <c r="BN3297" t="s">
        <v>27621</v>
      </c>
    </row>
    <row r="3298" spans="1:66" x14ac:dyDescent="0.25">
      <c r="A3298" t="str">
        <f>HYPERLINK("https://elite.finviz.com/quote.ashx?t=BCC&amp;ty=c&amp;p=d&amp;b=1", "BCC")</f>
        <v>BCC</v>
      </c>
      <c r="B3298">
        <v>4</v>
      </c>
      <c r="C3298">
        <v>105.92</v>
      </c>
      <c r="D3298">
        <v>34.33</v>
      </c>
      <c r="E3298" t="s">
        <v>28388</v>
      </c>
      <c r="F3298" t="s">
        <v>67</v>
      </c>
      <c r="G3298" t="s">
        <v>355</v>
      </c>
      <c r="H3298" t="s">
        <v>23334</v>
      </c>
      <c r="I3298" t="s">
        <v>70</v>
      </c>
      <c r="J3298" t="s">
        <v>71</v>
      </c>
      <c r="K3298">
        <v>2863.88</v>
      </c>
      <c r="L3298">
        <v>76.7</v>
      </c>
      <c r="M3298" t="s">
        <v>580</v>
      </c>
      <c r="N3298">
        <v>40304</v>
      </c>
      <c r="O3298">
        <v>11.27</v>
      </c>
      <c r="P3298">
        <v>13.5</v>
      </c>
      <c r="R3298">
        <v>0.44</v>
      </c>
      <c r="S3298">
        <v>1.33</v>
      </c>
      <c r="T3298" t="s">
        <v>1837</v>
      </c>
      <c r="U3298">
        <v>0.85</v>
      </c>
      <c r="V3298" t="s">
        <v>2187</v>
      </c>
      <c r="W3298" t="s">
        <v>2360</v>
      </c>
      <c r="X3298" t="s">
        <v>17740</v>
      </c>
      <c r="Y3298" t="s">
        <v>2976</v>
      </c>
      <c r="Z3298" t="s">
        <v>4815</v>
      </c>
      <c r="AA3298">
        <v>6.81</v>
      </c>
      <c r="AB3298" t="s">
        <v>14832</v>
      </c>
      <c r="AC3298" t="s">
        <v>14088</v>
      </c>
      <c r="AD3298" t="s">
        <v>2593</v>
      </c>
      <c r="AE3298" t="s">
        <v>786</v>
      </c>
      <c r="AF3298" t="s">
        <v>4073</v>
      </c>
      <c r="AG3298" t="s">
        <v>2698</v>
      </c>
      <c r="AH3298" t="s">
        <v>1081</v>
      </c>
      <c r="AI3298" t="s">
        <v>1727</v>
      </c>
      <c r="AJ3298" t="s">
        <v>8402</v>
      </c>
      <c r="AK3298" t="s">
        <v>28389</v>
      </c>
      <c r="AL3298">
        <v>2.96</v>
      </c>
      <c r="AM3298">
        <v>1.54</v>
      </c>
      <c r="AN3298">
        <v>0.24</v>
      </c>
      <c r="AO3298" t="s">
        <v>11239</v>
      </c>
      <c r="AP3298" t="s">
        <v>3303</v>
      </c>
      <c r="AQ3298" t="s">
        <v>3433</v>
      </c>
      <c r="AR3298" t="s">
        <v>213</v>
      </c>
      <c r="AS3298" t="s">
        <v>2735</v>
      </c>
      <c r="AT3298" t="s">
        <v>5211</v>
      </c>
      <c r="AU3298" t="s">
        <v>2301</v>
      </c>
      <c r="AV3298" t="s">
        <v>24379</v>
      </c>
      <c r="AW3298" t="s">
        <v>1530</v>
      </c>
      <c r="AX3298" t="s">
        <v>227</v>
      </c>
      <c r="AY3298" t="s">
        <v>27928</v>
      </c>
      <c r="AZ3298" t="s">
        <v>227</v>
      </c>
      <c r="BA3298">
        <v>2.12</v>
      </c>
      <c r="BB3298">
        <v>373.56</v>
      </c>
      <c r="BC3298">
        <v>0.38</v>
      </c>
      <c r="BD3298">
        <v>76.650000000000006</v>
      </c>
      <c r="BE3298">
        <v>77.599999999999994</v>
      </c>
      <c r="BF3298">
        <v>76.599999999999994</v>
      </c>
      <c r="BG3298" t="s">
        <v>28390</v>
      </c>
      <c r="BH3298" t="s">
        <v>27928</v>
      </c>
      <c r="BI3298" t="s">
        <v>28391</v>
      </c>
      <c r="BJ3298" t="s">
        <v>101</v>
      </c>
      <c r="BK3298" t="s">
        <v>4115</v>
      </c>
      <c r="BL3298" t="s">
        <v>12994</v>
      </c>
      <c r="BM3298" t="s">
        <v>25766</v>
      </c>
      <c r="BN3298" t="s">
        <v>27621</v>
      </c>
    </row>
    <row r="3299" spans="1:66" x14ac:dyDescent="0.25">
      <c r="A3299" t="str">
        <f>HYPERLINK("https://elite.finviz.com/quote.ashx?t=SON&amp;ty=c&amp;p=d&amp;b=1", "SON")</f>
        <v>SON</v>
      </c>
      <c r="B3299">
        <v>4</v>
      </c>
      <c r="C3299">
        <v>105.92</v>
      </c>
      <c r="D3299">
        <v>34.380000000000003</v>
      </c>
      <c r="E3299" t="s">
        <v>28392</v>
      </c>
      <c r="F3299" t="s">
        <v>107</v>
      </c>
      <c r="G3299" t="s">
        <v>813</v>
      </c>
      <c r="H3299" t="s">
        <v>7355</v>
      </c>
      <c r="I3299" t="s">
        <v>70</v>
      </c>
      <c r="J3299" t="s">
        <v>71</v>
      </c>
      <c r="K3299">
        <v>4351.6099999999997</v>
      </c>
      <c r="L3299">
        <v>44.12</v>
      </c>
      <c r="M3299" t="s">
        <v>2215</v>
      </c>
      <c r="N3299">
        <v>111102</v>
      </c>
      <c r="P3299">
        <v>6.84</v>
      </c>
      <c r="R3299">
        <v>0.65</v>
      </c>
      <c r="S3299">
        <v>1.34</v>
      </c>
      <c r="T3299" t="s">
        <v>121</v>
      </c>
      <c r="U3299">
        <v>2.1</v>
      </c>
      <c r="V3299" t="s">
        <v>1762</v>
      </c>
      <c r="W3299" t="s">
        <v>3635</v>
      </c>
      <c r="X3299" t="s">
        <v>161</v>
      </c>
      <c r="Y3299" t="s">
        <v>289</v>
      </c>
      <c r="Z3299" t="s">
        <v>28393</v>
      </c>
      <c r="AA3299">
        <v>-0.71</v>
      </c>
      <c r="AC3299" t="s">
        <v>7543</v>
      </c>
      <c r="AD3299" t="s">
        <v>302</v>
      </c>
      <c r="AE3299" t="s">
        <v>3493</v>
      </c>
      <c r="AF3299" t="s">
        <v>1413</v>
      </c>
      <c r="AG3299" t="s">
        <v>4538</v>
      </c>
      <c r="AH3299" t="s">
        <v>1570</v>
      </c>
      <c r="AI3299" t="s">
        <v>4540</v>
      </c>
      <c r="AJ3299" t="s">
        <v>1776</v>
      </c>
      <c r="AK3299" t="s">
        <v>8784</v>
      </c>
      <c r="AL3299">
        <v>1.25</v>
      </c>
      <c r="AM3299">
        <v>0.72</v>
      </c>
      <c r="AN3299">
        <v>1.78</v>
      </c>
      <c r="AO3299" t="s">
        <v>8153</v>
      </c>
      <c r="AP3299" t="s">
        <v>14933</v>
      </c>
      <c r="AQ3299" t="s">
        <v>2276</v>
      </c>
      <c r="AR3299" t="s">
        <v>6003</v>
      </c>
      <c r="AS3299" t="s">
        <v>4891</v>
      </c>
      <c r="AT3299" t="s">
        <v>6499</v>
      </c>
      <c r="AU3299" t="s">
        <v>3625</v>
      </c>
      <c r="AV3299" t="s">
        <v>4553</v>
      </c>
      <c r="AW3299" t="s">
        <v>332</v>
      </c>
      <c r="AX3299" t="s">
        <v>2216</v>
      </c>
      <c r="AY3299" t="s">
        <v>16222</v>
      </c>
      <c r="AZ3299" t="s">
        <v>3188</v>
      </c>
      <c r="BA3299">
        <v>1.77</v>
      </c>
      <c r="BB3299">
        <v>985.88</v>
      </c>
      <c r="BC3299">
        <v>0.4</v>
      </c>
      <c r="BD3299">
        <v>44.11</v>
      </c>
      <c r="BE3299">
        <v>44.17</v>
      </c>
      <c r="BF3299">
        <v>43.68</v>
      </c>
      <c r="BG3299" t="s">
        <v>28394</v>
      </c>
      <c r="BH3299" t="s">
        <v>28395</v>
      </c>
      <c r="BI3299" t="s">
        <v>28396</v>
      </c>
      <c r="BJ3299" t="s">
        <v>101</v>
      </c>
      <c r="BK3299" t="s">
        <v>5253</v>
      </c>
      <c r="BL3299" t="s">
        <v>402</v>
      </c>
      <c r="BM3299" t="s">
        <v>3464</v>
      </c>
      <c r="BN3299" t="s">
        <v>27621</v>
      </c>
    </row>
    <row r="3300" spans="1:66" x14ac:dyDescent="0.25">
      <c r="A3300" t="str">
        <f>HYPERLINK("https://elite.finviz.com/quote.ashx?t=ALMS&amp;ty=c&amp;p=d&amp;b=1", "ALMS")</f>
        <v>ALMS</v>
      </c>
      <c r="B3300">
        <v>4</v>
      </c>
      <c r="C3300">
        <v>105.92</v>
      </c>
      <c r="D3300">
        <v>34.479999999999997</v>
      </c>
      <c r="E3300" t="s">
        <v>28397</v>
      </c>
      <c r="F3300" t="s">
        <v>67</v>
      </c>
      <c r="G3300" t="s">
        <v>428</v>
      </c>
      <c r="H3300" t="s">
        <v>429</v>
      </c>
      <c r="I3300" t="s">
        <v>70</v>
      </c>
      <c r="J3300" t="s">
        <v>321</v>
      </c>
      <c r="K3300">
        <v>403.77</v>
      </c>
      <c r="L3300">
        <v>3.88</v>
      </c>
      <c r="M3300" t="s">
        <v>7356</v>
      </c>
      <c r="N3300">
        <v>105675</v>
      </c>
      <c r="R3300">
        <v>20.14</v>
      </c>
      <c r="S3300">
        <v>0.83</v>
      </c>
      <c r="AA3300">
        <v>-4.5</v>
      </c>
      <c r="AB3300" t="s">
        <v>19750</v>
      </c>
      <c r="AD3300" t="s">
        <v>16508</v>
      </c>
      <c r="AI3300" t="s">
        <v>661</v>
      </c>
      <c r="AJ3300" t="s">
        <v>2185</v>
      </c>
      <c r="AK3300" t="s">
        <v>5750</v>
      </c>
      <c r="AL3300">
        <v>6.05</v>
      </c>
      <c r="AM3300">
        <v>6.05</v>
      </c>
      <c r="AN3300">
        <v>0.08</v>
      </c>
      <c r="AO3300" t="s">
        <v>28398</v>
      </c>
      <c r="AP3300" t="s">
        <v>28399</v>
      </c>
      <c r="AQ3300" t="s">
        <v>28400</v>
      </c>
      <c r="AR3300" t="s">
        <v>6419</v>
      </c>
      <c r="AS3300" t="s">
        <v>5090</v>
      </c>
      <c r="AT3300" t="s">
        <v>13090</v>
      </c>
      <c r="AU3300" t="s">
        <v>1245</v>
      </c>
      <c r="AV3300" t="s">
        <v>9571</v>
      </c>
      <c r="AW3300" t="s">
        <v>1301</v>
      </c>
      <c r="AX3300" t="s">
        <v>12410</v>
      </c>
      <c r="AY3300" t="s">
        <v>28401</v>
      </c>
      <c r="AZ3300" t="s">
        <v>11386</v>
      </c>
      <c r="BA3300">
        <v>1.1200000000000001</v>
      </c>
      <c r="BB3300">
        <v>675.37</v>
      </c>
      <c r="BC3300">
        <v>0.55000000000000004</v>
      </c>
      <c r="BD3300">
        <v>3.99</v>
      </c>
      <c r="BE3300">
        <v>4.01</v>
      </c>
      <c r="BF3300">
        <v>3.85</v>
      </c>
      <c r="BG3300" t="s">
        <v>28402</v>
      </c>
      <c r="BH3300" t="s">
        <v>24628</v>
      </c>
      <c r="BI3300" t="s">
        <v>11386</v>
      </c>
      <c r="BJ3300" t="s">
        <v>101</v>
      </c>
      <c r="BK3300" t="s">
        <v>13676</v>
      </c>
      <c r="BL3300" t="s">
        <v>20279</v>
      </c>
      <c r="BM3300" t="s">
        <v>28403</v>
      </c>
      <c r="BN3300" t="s">
        <v>27621</v>
      </c>
    </row>
    <row r="3301" spans="1:66" x14ac:dyDescent="0.25">
      <c r="A3301" t="str">
        <f>HYPERLINK("https://elite.finviz.com/quote.ashx?t=CACC&amp;ty=c&amp;p=d&amp;b=1", "CACC")</f>
        <v>CACC</v>
      </c>
      <c r="B3301">
        <v>4</v>
      </c>
      <c r="C3301">
        <v>105.92</v>
      </c>
      <c r="D3301">
        <v>34.479999999999997</v>
      </c>
      <c r="E3301" t="s">
        <v>28404</v>
      </c>
      <c r="F3301" t="s">
        <v>107</v>
      </c>
      <c r="G3301" t="s">
        <v>550</v>
      </c>
      <c r="H3301" t="s">
        <v>3744</v>
      </c>
      <c r="I3301" t="s">
        <v>70</v>
      </c>
      <c r="J3301" t="s">
        <v>321</v>
      </c>
      <c r="K3301">
        <v>5171.13</v>
      </c>
      <c r="L3301">
        <v>460.16</v>
      </c>
      <c r="M3301" t="s">
        <v>2826</v>
      </c>
      <c r="N3301">
        <v>42831</v>
      </c>
      <c r="O3301">
        <v>13.26</v>
      </c>
      <c r="P3301">
        <v>10.17</v>
      </c>
      <c r="Q3301">
        <v>0.75</v>
      </c>
      <c r="R3301">
        <v>2.2799999999999998</v>
      </c>
      <c r="S3301">
        <v>3.33</v>
      </c>
      <c r="Z3301" t="s">
        <v>164</v>
      </c>
      <c r="AA3301">
        <v>34.69</v>
      </c>
      <c r="AB3301" t="s">
        <v>6281</v>
      </c>
      <c r="AC3301" t="s">
        <v>10199</v>
      </c>
      <c r="AD3301" t="s">
        <v>13660</v>
      </c>
      <c r="AE3301" t="s">
        <v>11871</v>
      </c>
      <c r="AF3301" t="s">
        <v>3758</v>
      </c>
      <c r="AG3301" t="s">
        <v>7622</v>
      </c>
      <c r="AH3301" t="s">
        <v>3455</v>
      </c>
      <c r="AI3301" t="s">
        <v>6591</v>
      </c>
      <c r="AJ3301" t="s">
        <v>5195</v>
      </c>
      <c r="AK3301" t="s">
        <v>28405</v>
      </c>
      <c r="AL3301">
        <v>1.27</v>
      </c>
      <c r="AM3301">
        <v>1.27</v>
      </c>
      <c r="AN3301">
        <v>4.16</v>
      </c>
      <c r="AO3301" t="s">
        <v>28406</v>
      </c>
      <c r="AP3301" t="s">
        <v>14879</v>
      </c>
      <c r="AQ3301" t="s">
        <v>6081</v>
      </c>
      <c r="AR3301" t="s">
        <v>3542</v>
      </c>
      <c r="AS3301" t="s">
        <v>5593</v>
      </c>
      <c r="AT3301" t="s">
        <v>8562</v>
      </c>
      <c r="AU3301" t="s">
        <v>3164</v>
      </c>
      <c r="AV3301" t="s">
        <v>9091</v>
      </c>
      <c r="AW3301" t="s">
        <v>13455</v>
      </c>
      <c r="AX3301" t="s">
        <v>614</v>
      </c>
      <c r="AY3301" t="s">
        <v>19104</v>
      </c>
      <c r="AZ3301" t="s">
        <v>821</v>
      </c>
      <c r="BA3301">
        <v>3.4</v>
      </c>
      <c r="BB3301">
        <v>124.52</v>
      </c>
      <c r="BC3301">
        <v>1.21</v>
      </c>
      <c r="BD3301">
        <v>466.4</v>
      </c>
      <c r="BE3301">
        <v>469.53</v>
      </c>
      <c r="BF3301">
        <v>456.96</v>
      </c>
      <c r="BG3301" t="s">
        <v>28407</v>
      </c>
      <c r="BH3301" t="s">
        <v>28408</v>
      </c>
      <c r="BI3301" t="s">
        <v>28409</v>
      </c>
      <c r="BJ3301" t="s">
        <v>101</v>
      </c>
      <c r="BK3301" t="s">
        <v>11693</v>
      </c>
      <c r="BL3301" t="s">
        <v>11990</v>
      </c>
      <c r="BM3301" t="s">
        <v>3173</v>
      </c>
      <c r="BN3301" t="s">
        <v>27621</v>
      </c>
    </row>
    <row r="3302" spans="1:66" x14ac:dyDescent="0.25">
      <c r="A3302" t="str">
        <f>HYPERLINK("https://elite.finviz.com/quote.ashx?t=AVIR&amp;ty=c&amp;p=d&amp;b=1", "AVIR")</f>
        <v>AVIR</v>
      </c>
      <c r="B3302">
        <v>4</v>
      </c>
      <c r="C3302">
        <v>105.92</v>
      </c>
      <c r="D3302">
        <v>34.54</v>
      </c>
      <c r="E3302" t="s">
        <v>28410</v>
      </c>
      <c r="F3302" t="s">
        <v>67</v>
      </c>
      <c r="G3302" t="s">
        <v>428</v>
      </c>
      <c r="H3302" t="s">
        <v>429</v>
      </c>
      <c r="I3302" t="s">
        <v>70</v>
      </c>
      <c r="J3302" t="s">
        <v>321</v>
      </c>
      <c r="K3302">
        <v>231.72</v>
      </c>
      <c r="L3302">
        <v>2.92</v>
      </c>
      <c r="M3302" t="s">
        <v>3736</v>
      </c>
      <c r="N3302">
        <v>29040</v>
      </c>
      <c r="S3302">
        <v>0.65</v>
      </c>
      <c r="AA3302">
        <v>-1.61</v>
      </c>
      <c r="AC3302" t="s">
        <v>14198</v>
      </c>
      <c r="AD3302" t="s">
        <v>4961</v>
      </c>
      <c r="AI3302" t="s">
        <v>5880</v>
      </c>
      <c r="AJ3302" t="s">
        <v>164</v>
      </c>
      <c r="AK3302" t="s">
        <v>20757</v>
      </c>
      <c r="AL3302">
        <v>19.170000000000002</v>
      </c>
      <c r="AM3302">
        <v>19.170000000000002</v>
      </c>
      <c r="AN3302">
        <v>0</v>
      </c>
      <c r="AR3302" t="s">
        <v>1751</v>
      </c>
      <c r="AS3302" t="s">
        <v>5672</v>
      </c>
      <c r="AT3302" t="s">
        <v>120</v>
      </c>
      <c r="AU3302" t="s">
        <v>17165</v>
      </c>
      <c r="AV3302" t="s">
        <v>4875</v>
      </c>
      <c r="AW3302" t="s">
        <v>21993</v>
      </c>
      <c r="AX3302" t="s">
        <v>5929</v>
      </c>
      <c r="AY3302" t="s">
        <v>21993</v>
      </c>
      <c r="AZ3302" t="s">
        <v>9006</v>
      </c>
      <c r="BA3302">
        <v>2</v>
      </c>
      <c r="BB3302">
        <v>333.25</v>
      </c>
      <c r="BC3302">
        <v>0.31</v>
      </c>
      <c r="BD3302">
        <v>2.91</v>
      </c>
      <c r="BE3302">
        <v>2.94</v>
      </c>
      <c r="BF3302">
        <v>2.91</v>
      </c>
      <c r="BG3302" t="s">
        <v>28411</v>
      </c>
      <c r="BH3302" t="s">
        <v>28412</v>
      </c>
      <c r="BI3302" t="s">
        <v>9006</v>
      </c>
      <c r="BJ3302" t="s">
        <v>101</v>
      </c>
      <c r="BK3302" t="s">
        <v>18033</v>
      </c>
      <c r="BL3302" t="s">
        <v>2149</v>
      </c>
      <c r="BM3302" t="s">
        <v>28413</v>
      </c>
      <c r="BN3302" t="s">
        <v>27621</v>
      </c>
    </row>
    <row r="3303" spans="1:66" x14ac:dyDescent="0.25">
      <c r="A3303" t="str">
        <f>HYPERLINK("https://elite.finviz.com/quote.ashx?t=FDUS&amp;ty=c&amp;p=d&amp;b=1", "FDUS")</f>
        <v>FDUS</v>
      </c>
      <c r="B3303">
        <v>4</v>
      </c>
      <c r="C3303">
        <v>105.92</v>
      </c>
      <c r="D3303">
        <v>34.56</v>
      </c>
      <c r="E3303" t="s">
        <v>28414</v>
      </c>
      <c r="F3303" t="s">
        <v>107</v>
      </c>
      <c r="G3303" t="s">
        <v>550</v>
      </c>
      <c r="H3303" t="s">
        <v>2597</v>
      </c>
      <c r="I3303" t="s">
        <v>70</v>
      </c>
      <c r="J3303" t="s">
        <v>321</v>
      </c>
      <c r="K3303">
        <v>720.69</v>
      </c>
      <c r="L3303">
        <v>20.37</v>
      </c>
      <c r="M3303" t="s">
        <v>4273</v>
      </c>
      <c r="N3303">
        <v>63014</v>
      </c>
      <c r="O3303">
        <v>8.82</v>
      </c>
      <c r="P3303">
        <v>10.27</v>
      </c>
      <c r="R3303">
        <v>4.7300000000000004</v>
      </c>
      <c r="S3303">
        <v>1.04</v>
      </c>
      <c r="T3303" t="s">
        <v>5700</v>
      </c>
      <c r="U3303">
        <v>1.71</v>
      </c>
      <c r="V3303" t="s">
        <v>8236</v>
      </c>
      <c r="W3303" t="s">
        <v>5726</v>
      </c>
      <c r="X3303" t="s">
        <v>6497</v>
      </c>
      <c r="Y3303" t="s">
        <v>121</v>
      </c>
      <c r="Z3303" t="s">
        <v>22103</v>
      </c>
      <c r="AA3303">
        <v>2.31</v>
      </c>
      <c r="AH3303" t="s">
        <v>14148</v>
      </c>
      <c r="AI3303" t="s">
        <v>2559</v>
      </c>
      <c r="AJ3303" t="s">
        <v>164</v>
      </c>
      <c r="AK3303" t="s">
        <v>2815</v>
      </c>
      <c r="AR3303" t="s">
        <v>7423</v>
      </c>
      <c r="AS3303" t="s">
        <v>6155</v>
      </c>
      <c r="AT3303" t="s">
        <v>4113</v>
      </c>
      <c r="AU3303" t="s">
        <v>79</v>
      </c>
      <c r="AV3303" t="s">
        <v>4328</v>
      </c>
      <c r="AW3303" t="s">
        <v>4317</v>
      </c>
      <c r="AX3303" t="s">
        <v>5577</v>
      </c>
      <c r="AY3303" t="s">
        <v>12912</v>
      </c>
      <c r="AZ3303" t="s">
        <v>3748</v>
      </c>
      <c r="BB3303">
        <v>196.6</v>
      </c>
      <c r="BC3303">
        <v>1.1299999999999999</v>
      </c>
      <c r="BD3303">
        <v>20.47</v>
      </c>
      <c r="BE3303">
        <v>20.64</v>
      </c>
      <c r="BF3303">
        <v>20.38</v>
      </c>
      <c r="BG3303" t="s">
        <v>28415</v>
      </c>
      <c r="BH3303" t="s">
        <v>12912</v>
      </c>
      <c r="BI3303" t="s">
        <v>28416</v>
      </c>
      <c r="BJ3303" t="s">
        <v>101</v>
      </c>
      <c r="BK3303" t="s">
        <v>1932</v>
      </c>
      <c r="BL3303" t="s">
        <v>2486</v>
      </c>
      <c r="BM3303" t="s">
        <v>699</v>
      </c>
      <c r="BN3303" t="s">
        <v>27621</v>
      </c>
    </row>
    <row r="3304" spans="1:66" x14ac:dyDescent="0.25">
      <c r="A3304" t="str">
        <f>HYPERLINK("https://elite.finviz.com/quote.ashx?t=CRWS&amp;ty=c&amp;p=d&amp;b=1", "CRWS")</f>
        <v>CRWS</v>
      </c>
      <c r="B3304">
        <v>4</v>
      </c>
      <c r="C3304">
        <v>105.92</v>
      </c>
      <c r="D3304">
        <v>34.56</v>
      </c>
      <c r="E3304" t="s">
        <v>28417</v>
      </c>
      <c r="F3304" t="s">
        <v>107</v>
      </c>
      <c r="G3304" t="s">
        <v>813</v>
      </c>
      <c r="H3304" t="s">
        <v>3866</v>
      </c>
      <c r="I3304" t="s">
        <v>70</v>
      </c>
      <c r="J3304" t="s">
        <v>321</v>
      </c>
      <c r="K3304">
        <v>29.79</v>
      </c>
      <c r="L3304">
        <v>2.82</v>
      </c>
      <c r="M3304" t="s">
        <v>5778</v>
      </c>
      <c r="N3304">
        <v>4278</v>
      </c>
      <c r="R3304">
        <v>0.34</v>
      </c>
      <c r="S3304">
        <v>0.79</v>
      </c>
      <c r="T3304" t="s">
        <v>6528</v>
      </c>
      <c r="U3304">
        <v>0.32</v>
      </c>
      <c r="V3304" t="s">
        <v>2620</v>
      </c>
      <c r="W3304" t="s">
        <v>164</v>
      </c>
      <c r="X3304" t="s">
        <v>164</v>
      </c>
      <c r="Y3304" t="s">
        <v>164</v>
      </c>
      <c r="AA3304">
        <v>-0.97</v>
      </c>
      <c r="AE3304" t="s">
        <v>2760</v>
      </c>
      <c r="AF3304" t="s">
        <v>3227</v>
      </c>
      <c r="AG3304" t="s">
        <v>2495</v>
      </c>
      <c r="AH3304" t="s">
        <v>4653</v>
      </c>
      <c r="AJ3304" t="s">
        <v>164</v>
      </c>
      <c r="AK3304" t="s">
        <v>2165</v>
      </c>
      <c r="AL3304">
        <v>2.88</v>
      </c>
      <c r="AM3304">
        <v>1.1100000000000001</v>
      </c>
      <c r="AN3304">
        <v>0.69</v>
      </c>
      <c r="AO3304" t="s">
        <v>5326</v>
      </c>
      <c r="AP3304" t="s">
        <v>3613</v>
      </c>
      <c r="AQ3304" t="s">
        <v>879</v>
      </c>
      <c r="AR3304" t="s">
        <v>1761</v>
      </c>
      <c r="AS3304" t="s">
        <v>2473</v>
      </c>
      <c r="AT3304" t="s">
        <v>706</v>
      </c>
      <c r="AU3304" t="s">
        <v>11513</v>
      </c>
      <c r="AV3304" t="s">
        <v>14406</v>
      </c>
      <c r="AW3304" t="s">
        <v>16883</v>
      </c>
      <c r="AX3304" t="s">
        <v>3916</v>
      </c>
      <c r="AY3304" t="s">
        <v>14800</v>
      </c>
      <c r="AZ3304" t="s">
        <v>3916</v>
      </c>
      <c r="BA3304">
        <v>1</v>
      </c>
      <c r="BB3304">
        <v>28.6</v>
      </c>
      <c r="BC3304">
        <v>0.53</v>
      </c>
      <c r="BD3304">
        <v>2.89</v>
      </c>
      <c r="BE3304">
        <v>2.85</v>
      </c>
      <c r="BF3304">
        <v>2.83</v>
      </c>
      <c r="BG3304" t="s">
        <v>28418</v>
      </c>
      <c r="BH3304" t="s">
        <v>28419</v>
      </c>
      <c r="BI3304" t="s">
        <v>28420</v>
      </c>
      <c r="BJ3304" t="s">
        <v>101</v>
      </c>
      <c r="BK3304" t="s">
        <v>4865</v>
      </c>
      <c r="BL3304" t="s">
        <v>28421</v>
      </c>
      <c r="BM3304" t="s">
        <v>22818</v>
      </c>
      <c r="BN3304" t="s">
        <v>27621</v>
      </c>
    </row>
    <row r="3305" spans="1:66" x14ac:dyDescent="0.25">
      <c r="A3305" t="str">
        <f>HYPERLINK("https://elite.finviz.com/quote.ashx?t=FLWS&amp;ty=c&amp;p=d&amp;b=1", "FLWS")</f>
        <v>FLWS</v>
      </c>
      <c r="B3305">
        <v>4</v>
      </c>
      <c r="C3305">
        <v>105.92</v>
      </c>
      <c r="D3305">
        <v>34.6</v>
      </c>
      <c r="E3305" t="s">
        <v>28422</v>
      </c>
      <c r="F3305" t="s">
        <v>67</v>
      </c>
      <c r="G3305" t="s">
        <v>813</v>
      </c>
      <c r="H3305" t="s">
        <v>2262</v>
      </c>
      <c r="I3305" t="s">
        <v>70</v>
      </c>
      <c r="J3305" t="s">
        <v>321</v>
      </c>
      <c r="K3305">
        <v>298.58</v>
      </c>
      <c r="L3305">
        <v>4.6900000000000004</v>
      </c>
      <c r="M3305" t="s">
        <v>3896</v>
      </c>
      <c r="N3305">
        <v>81317</v>
      </c>
      <c r="R3305">
        <v>0.18</v>
      </c>
      <c r="S3305">
        <v>1.1100000000000001</v>
      </c>
      <c r="AA3305">
        <v>-3.15</v>
      </c>
      <c r="AE3305" t="s">
        <v>357</v>
      </c>
      <c r="AF3305" t="s">
        <v>5205</v>
      </c>
      <c r="AG3305" t="s">
        <v>6430</v>
      </c>
      <c r="AH3305" t="s">
        <v>10896</v>
      </c>
      <c r="AI3305" t="s">
        <v>18568</v>
      </c>
      <c r="AJ3305" t="s">
        <v>3020</v>
      </c>
      <c r="AK3305" t="s">
        <v>7457</v>
      </c>
      <c r="AL3305">
        <v>1.28</v>
      </c>
      <c r="AM3305">
        <v>0.48</v>
      </c>
      <c r="AN3305">
        <v>1.01</v>
      </c>
      <c r="AO3305" t="s">
        <v>2894</v>
      </c>
      <c r="AP3305" t="s">
        <v>3814</v>
      </c>
      <c r="AQ3305" t="s">
        <v>2266</v>
      </c>
      <c r="AR3305" t="s">
        <v>616</v>
      </c>
      <c r="AS3305" t="s">
        <v>4686</v>
      </c>
      <c r="AT3305" t="s">
        <v>21630</v>
      </c>
      <c r="AU3305" t="s">
        <v>8624</v>
      </c>
      <c r="AV3305" t="s">
        <v>366</v>
      </c>
      <c r="AW3305" t="s">
        <v>20566</v>
      </c>
      <c r="AX3305" t="s">
        <v>352</v>
      </c>
      <c r="AY3305" t="s">
        <v>4951</v>
      </c>
      <c r="AZ3305" t="s">
        <v>6437</v>
      </c>
      <c r="BA3305">
        <v>3</v>
      </c>
      <c r="BB3305">
        <v>609.86</v>
      </c>
      <c r="BC3305">
        <v>0.47</v>
      </c>
      <c r="BD3305">
        <v>4.72</v>
      </c>
      <c r="BE3305">
        <v>4.79</v>
      </c>
      <c r="BF3305">
        <v>4.67</v>
      </c>
      <c r="BG3305" t="s">
        <v>28423</v>
      </c>
      <c r="BH3305" t="s">
        <v>28424</v>
      </c>
      <c r="BI3305" t="s">
        <v>10212</v>
      </c>
      <c r="BJ3305" t="s">
        <v>101</v>
      </c>
      <c r="BK3305" t="s">
        <v>15037</v>
      </c>
      <c r="BL3305" t="s">
        <v>14451</v>
      </c>
      <c r="BM3305" t="s">
        <v>9759</v>
      </c>
      <c r="BN3305" t="s">
        <v>27621</v>
      </c>
    </row>
    <row r="3306" spans="1:66" x14ac:dyDescent="0.25">
      <c r="A3306" t="str">
        <f>HYPERLINK("https://elite.finviz.com/quote.ashx?t=ASH&amp;ty=c&amp;p=d&amp;b=1", "ASH")</f>
        <v>ASH</v>
      </c>
      <c r="B3306">
        <v>4</v>
      </c>
      <c r="C3306">
        <v>105.92</v>
      </c>
      <c r="D3306">
        <v>34.619999999999997</v>
      </c>
      <c r="E3306" t="s">
        <v>28425</v>
      </c>
      <c r="F3306" t="s">
        <v>107</v>
      </c>
      <c r="G3306" t="s">
        <v>355</v>
      </c>
      <c r="H3306" t="s">
        <v>1147</v>
      </c>
      <c r="I3306" t="s">
        <v>70</v>
      </c>
      <c r="J3306" t="s">
        <v>71</v>
      </c>
      <c r="K3306">
        <v>2224.5100000000002</v>
      </c>
      <c r="L3306">
        <v>48.67</v>
      </c>
      <c r="M3306" t="s">
        <v>7423</v>
      </c>
      <c r="N3306">
        <v>95688</v>
      </c>
      <c r="P3306">
        <v>10.83</v>
      </c>
      <c r="R3306">
        <v>1.19</v>
      </c>
      <c r="S3306">
        <v>1.18</v>
      </c>
      <c r="T3306" t="s">
        <v>2662</v>
      </c>
      <c r="U3306">
        <v>1.64</v>
      </c>
      <c r="V3306" t="s">
        <v>4882</v>
      </c>
      <c r="W3306" t="s">
        <v>3581</v>
      </c>
      <c r="X3306" t="s">
        <v>5459</v>
      </c>
      <c r="Y3306" t="s">
        <v>466</v>
      </c>
      <c r="Z3306" t="s">
        <v>28426</v>
      </c>
      <c r="AA3306">
        <v>-18.63</v>
      </c>
      <c r="AB3306" t="s">
        <v>7193</v>
      </c>
      <c r="AC3306" t="s">
        <v>19245</v>
      </c>
      <c r="AD3306" t="s">
        <v>2408</v>
      </c>
      <c r="AE3306" t="s">
        <v>8974</v>
      </c>
      <c r="AF3306" t="s">
        <v>5549</v>
      </c>
      <c r="AG3306" t="s">
        <v>4222</v>
      </c>
      <c r="AH3306" t="s">
        <v>11579</v>
      </c>
      <c r="AI3306" t="s">
        <v>15759</v>
      </c>
      <c r="AJ3306" t="s">
        <v>164</v>
      </c>
      <c r="AK3306" t="s">
        <v>4061</v>
      </c>
      <c r="AL3306">
        <v>2.68</v>
      </c>
      <c r="AM3306">
        <v>1.33</v>
      </c>
      <c r="AN3306">
        <v>0.79</v>
      </c>
      <c r="AO3306" t="s">
        <v>16326</v>
      </c>
      <c r="AP3306" t="s">
        <v>2810</v>
      </c>
      <c r="AQ3306" t="s">
        <v>27679</v>
      </c>
      <c r="AR3306" t="s">
        <v>2361</v>
      </c>
      <c r="AS3306" t="s">
        <v>89</v>
      </c>
      <c r="AT3306" t="s">
        <v>6538</v>
      </c>
      <c r="AU3306" t="s">
        <v>76</v>
      </c>
      <c r="AV3306" t="s">
        <v>16544</v>
      </c>
      <c r="AW3306" t="s">
        <v>3473</v>
      </c>
      <c r="AX3306" t="s">
        <v>1952</v>
      </c>
      <c r="AY3306" t="s">
        <v>25506</v>
      </c>
      <c r="AZ3306" t="s">
        <v>1771</v>
      </c>
      <c r="BA3306">
        <v>1.83</v>
      </c>
      <c r="BB3306">
        <v>534.22</v>
      </c>
      <c r="BC3306">
        <v>0.63</v>
      </c>
      <c r="BD3306">
        <v>47.89</v>
      </c>
      <c r="BE3306">
        <v>49.16</v>
      </c>
      <c r="BF3306">
        <v>48.24</v>
      </c>
      <c r="BG3306" t="s">
        <v>28427</v>
      </c>
      <c r="BH3306" t="s">
        <v>26275</v>
      </c>
      <c r="BI3306" t="s">
        <v>28428</v>
      </c>
      <c r="BJ3306" t="s">
        <v>101</v>
      </c>
      <c r="BK3306" t="s">
        <v>2998</v>
      </c>
      <c r="BL3306" t="s">
        <v>16977</v>
      </c>
      <c r="BM3306" t="s">
        <v>5622</v>
      </c>
      <c r="BN3306" t="s">
        <v>27621</v>
      </c>
    </row>
    <row r="3307" spans="1:66" x14ac:dyDescent="0.25">
      <c r="A3307" t="str">
        <f>HYPERLINK("https://elite.finviz.com/quote.ashx?t=MMI&amp;ty=c&amp;p=d&amp;b=1", "MMI")</f>
        <v>MMI</v>
      </c>
      <c r="B3307">
        <v>4</v>
      </c>
      <c r="C3307">
        <v>105.92</v>
      </c>
      <c r="D3307">
        <v>34.64</v>
      </c>
      <c r="E3307" t="s">
        <v>28429</v>
      </c>
      <c r="F3307" t="s">
        <v>67</v>
      </c>
      <c r="G3307" t="s">
        <v>68</v>
      </c>
      <c r="H3307" t="s">
        <v>7494</v>
      </c>
      <c r="I3307" t="s">
        <v>70</v>
      </c>
      <c r="J3307" t="s">
        <v>71</v>
      </c>
      <c r="K3307">
        <v>1156.6500000000001</v>
      </c>
      <c r="L3307">
        <v>29.66</v>
      </c>
      <c r="M3307" t="s">
        <v>3598</v>
      </c>
      <c r="N3307">
        <v>7365</v>
      </c>
      <c r="P3307">
        <v>51.58</v>
      </c>
      <c r="R3307">
        <v>1.59</v>
      </c>
      <c r="S3307">
        <v>1.9</v>
      </c>
      <c r="T3307" t="s">
        <v>2274</v>
      </c>
      <c r="U3307">
        <v>0.5</v>
      </c>
      <c r="V3307" t="s">
        <v>3833</v>
      </c>
      <c r="W3307" t="s">
        <v>164</v>
      </c>
      <c r="AA3307">
        <v>-0.32</v>
      </c>
      <c r="AE3307" t="s">
        <v>1550</v>
      </c>
      <c r="AF3307" t="s">
        <v>1527</v>
      </c>
      <c r="AG3307" t="s">
        <v>7865</v>
      </c>
      <c r="AH3307" t="s">
        <v>2250</v>
      </c>
      <c r="AI3307" t="s">
        <v>28430</v>
      </c>
      <c r="AJ3307" t="s">
        <v>406</v>
      </c>
      <c r="AK3307" t="s">
        <v>28431</v>
      </c>
      <c r="AL3307">
        <v>3.47</v>
      </c>
      <c r="AM3307">
        <v>3.47</v>
      </c>
      <c r="AN3307">
        <v>0.14000000000000001</v>
      </c>
      <c r="AO3307" t="s">
        <v>11409</v>
      </c>
      <c r="AP3307" t="s">
        <v>2969</v>
      </c>
      <c r="AQ3307" t="s">
        <v>123</v>
      </c>
      <c r="AR3307" t="s">
        <v>4687</v>
      </c>
      <c r="AS3307" t="s">
        <v>5121</v>
      </c>
      <c r="AT3307" t="s">
        <v>15150</v>
      </c>
      <c r="AU3307" t="s">
        <v>8889</v>
      </c>
      <c r="AV3307" t="s">
        <v>1828</v>
      </c>
      <c r="AW3307" t="s">
        <v>10195</v>
      </c>
      <c r="AX3307" t="s">
        <v>636</v>
      </c>
      <c r="AY3307" t="s">
        <v>15019</v>
      </c>
      <c r="AZ3307" t="s">
        <v>699</v>
      </c>
      <c r="BA3307">
        <v>4</v>
      </c>
      <c r="BB3307">
        <v>121.5</v>
      </c>
      <c r="BC3307">
        <v>0.21</v>
      </c>
      <c r="BD3307">
        <v>29.67</v>
      </c>
      <c r="BE3307">
        <v>29.98</v>
      </c>
      <c r="BF3307">
        <v>29.59</v>
      </c>
      <c r="BG3307" t="s">
        <v>28432</v>
      </c>
      <c r="BH3307" t="s">
        <v>28433</v>
      </c>
      <c r="BI3307" t="s">
        <v>28434</v>
      </c>
      <c r="BJ3307" t="s">
        <v>101</v>
      </c>
      <c r="BK3307" t="s">
        <v>1580</v>
      </c>
      <c r="BL3307" t="s">
        <v>19824</v>
      </c>
      <c r="BM3307" t="s">
        <v>23837</v>
      </c>
      <c r="BN3307" t="s">
        <v>27621</v>
      </c>
    </row>
    <row r="3308" spans="1:66" x14ac:dyDescent="0.25">
      <c r="A3308" t="str">
        <f>HYPERLINK("https://elite.finviz.com/quote.ashx?t=RHP&amp;ty=c&amp;p=d&amp;b=1", "RHP")</f>
        <v>RHP</v>
      </c>
      <c r="B3308">
        <v>4</v>
      </c>
      <c r="C3308">
        <v>105.92</v>
      </c>
      <c r="D3308">
        <v>34.65</v>
      </c>
      <c r="E3308" t="s">
        <v>28435</v>
      </c>
      <c r="F3308" t="s">
        <v>67</v>
      </c>
      <c r="G3308" t="s">
        <v>68</v>
      </c>
      <c r="H3308" t="s">
        <v>4145</v>
      </c>
      <c r="I3308" t="s">
        <v>70</v>
      </c>
      <c r="J3308" t="s">
        <v>71</v>
      </c>
      <c r="K3308">
        <v>5819.61</v>
      </c>
      <c r="L3308">
        <v>92.38</v>
      </c>
      <c r="M3308" t="s">
        <v>3000</v>
      </c>
      <c r="N3308">
        <v>89793</v>
      </c>
      <c r="O3308">
        <v>22.46</v>
      </c>
      <c r="P3308">
        <v>23.57</v>
      </c>
      <c r="R3308">
        <v>2.38</v>
      </c>
      <c r="S3308">
        <v>7.19</v>
      </c>
      <c r="T3308" t="s">
        <v>3450</v>
      </c>
      <c r="U3308">
        <v>4.53</v>
      </c>
      <c r="V3308" t="s">
        <v>198</v>
      </c>
      <c r="W3308" t="s">
        <v>10611</v>
      </c>
      <c r="Y3308" t="s">
        <v>5497</v>
      </c>
      <c r="Z3308" t="s">
        <v>22630</v>
      </c>
      <c r="AA3308">
        <v>4.1100000000000003</v>
      </c>
      <c r="AC3308" t="s">
        <v>2192</v>
      </c>
      <c r="AD3308" t="s">
        <v>77</v>
      </c>
      <c r="AE3308" t="s">
        <v>283</v>
      </c>
      <c r="AF3308" t="s">
        <v>13049</v>
      </c>
      <c r="AG3308" t="s">
        <v>7566</v>
      </c>
      <c r="AH3308" t="s">
        <v>1495</v>
      </c>
      <c r="AI3308" t="s">
        <v>4537</v>
      </c>
      <c r="AJ3308" t="s">
        <v>3761</v>
      </c>
      <c r="AK3308" t="s">
        <v>16510</v>
      </c>
      <c r="AL3308">
        <v>1.25</v>
      </c>
      <c r="AM3308">
        <v>1.25</v>
      </c>
      <c r="AN3308">
        <v>5.15</v>
      </c>
      <c r="AO3308" t="s">
        <v>5769</v>
      </c>
      <c r="AP3308" t="s">
        <v>8415</v>
      </c>
      <c r="AQ3308" t="s">
        <v>6532</v>
      </c>
      <c r="AR3308" t="s">
        <v>3832</v>
      </c>
      <c r="AS3308" t="s">
        <v>1439</v>
      </c>
      <c r="AT3308" t="s">
        <v>7964</v>
      </c>
      <c r="AU3308" t="s">
        <v>922</v>
      </c>
      <c r="AV3308" t="s">
        <v>8506</v>
      </c>
      <c r="AW3308" t="s">
        <v>7054</v>
      </c>
      <c r="AX3308" t="s">
        <v>6118</v>
      </c>
      <c r="AY3308" t="s">
        <v>6789</v>
      </c>
      <c r="AZ3308" t="s">
        <v>5793</v>
      </c>
      <c r="BA3308">
        <v>1.08</v>
      </c>
      <c r="BB3308">
        <v>618.04999999999995</v>
      </c>
      <c r="BC3308">
        <v>0.51</v>
      </c>
      <c r="BD3308">
        <v>92.03</v>
      </c>
      <c r="BE3308">
        <v>92.93</v>
      </c>
      <c r="BF3308">
        <v>91.14</v>
      </c>
      <c r="BG3308" t="s">
        <v>28436</v>
      </c>
      <c r="BH3308" t="s">
        <v>5720</v>
      </c>
      <c r="BI3308" t="s">
        <v>28437</v>
      </c>
      <c r="BJ3308" t="s">
        <v>101</v>
      </c>
      <c r="BK3308" t="s">
        <v>6403</v>
      </c>
      <c r="BL3308" t="s">
        <v>4312</v>
      </c>
      <c r="BM3308" t="s">
        <v>8527</v>
      </c>
      <c r="BN3308" t="s">
        <v>27621</v>
      </c>
    </row>
    <row r="3309" spans="1:66" x14ac:dyDescent="0.25">
      <c r="A3309" t="str">
        <f>HYPERLINK("https://elite.finviz.com/quote.ashx?t=NRC&amp;ty=c&amp;p=d&amp;b=1", "NRC")</f>
        <v>NRC</v>
      </c>
      <c r="B3309">
        <v>4</v>
      </c>
      <c r="C3309">
        <v>105.92</v>
      </c>
      <c r="D3309">
        <v>34.68</v>
      </c>
      <c r="E3309" t="s">
        <v>28438</v>
      </c>
      <c r="F3309" t="s">
        <v>67</v>
      </c>
      <c r="G3309" t="s">
        <v>428</v>
      </c>
      <c r="H3309" t="s">
        <v>2075</v>
      </c>
      <c r="I3309" t="s">
        <v>70</v>
      </c>
      <c r="J3309" t="s">
        <v>321</v>
      </c>
      <c r="K3309">
        <v>314.58999999999997</v>
      </c>
      <c r="L3309">
        <v>13.64</v>
      </c>
      <c r="M3309" t="s">
        <v>5879</v>
      </c>
      <c r="N3309">
        <v>5366</v>
      </c>
      <c r="O3309">
        <v>17.86</v>
      </c>
      <c r="R3309">
        <v>2.2400000000000002</v>
      </c>
      <c r="S3309">
        <v>14.78</v>
      </c>
      <c r="T3309" t="s">
        <v>2495</v>
      </c>
      <c r="U3309">
        <v>0.48</v>
      </c>
      <c r="V3309" t="s">
        <v>4741</v>
      </c>
      <c r="W3309" t="s">
        <v>164</v>
      </c>
      <c r="X3309" t="s">
        <v>164</v>
      </c>
      <c r="Y3309" t="s">
        <v>9731</v>
      </c>
      <c r="Z3309" t="s">
        <v>9844</v>
      </c>
      <c r="AA3309">
        <v>0.76</v>
      </c>
      <c r="AB3309" t="s">
        <v>8416</v>
      </c>
      <c r="AC3309" t="s">
        <v>2893</v>
      </c>
      <c r="AE3309" t="s">
        <v>4078</v>
      </c>
      <c r="AF3309" t="s">
        <v>3940</v>
      </c>
      <c r="AG3309" t="s">
        <v>8016</v>
      </c>
      <c r="AH3309" t="s">
        <v>5686</v>
      </c>
      <c r="AJ3309" t="s">
        <v>5549</v>
      </c>
      <c r="AK3309" t="s">
        <v>6402</v>
      </c>
      <c r="AL3309">
        <v>0.7</v>
      </c>
      <c r="AM3309">
        <v>0.7</v>
      </c>
      <c r="AN3309">
        <v>3.8</v>
      </c>
      <c r="AO3309" t="s">
        <v>13494</v>
      </c>
      <c r="AP3309" t="s">
        <v>10912</v>
      </c>
      <c r="AQ3309" t="s">
        <v>1359</v>
      </c>
      <c r="AR3309" t="s">
        <v>276</v>
      </c>
      <c r="AS3309" t="s">
        <v>6475</v>
      </c>
      <c r="AT3309" t="s">
        <v>4284</v>
      </c>
      <c r="AU3309" t="s">
        <v>8251</v>
      </c>
      <c r="AV3309" t="s">
        <v>19666</v>
      </c>
      <c r="AW3309" t="s">
        <v>4368</v>
      </c>
      <c r="AX3309" t="s">
        <v>8188</v>
      </c>
      <c r="AY3309" t="s">
        <v>27401</v>
      </c>
      <c r="AZ3309" t="s">
        <v>20520</v>
      </c>
      <c r="BA3309">
        <v>3</v>
      </c>
      <c r="BB3309">
        <v>102.6</v>
      </c>
      <c r="BC3309">
        <v>0.18</v>
      </c>
      <c r="BD3309">
        <v>13.85</v>
      </c>
      <c r="BE3309">
        <v>13.81</v>
      </c>
      <c r="BF3309">
        <v>13.6</v>
      </c>
      <c r="BG3309" t="s">
        <v>28439</v>
      </c>
      <c r="BH3309" t="s">
        <v>28440</v>
      </c>
      <c r="BI3309" t="s">
        <v>20520</v>
      </c>
      <c r="BJ3309" t="s">
        <v>101</v>
      </c>
      <c r="BK3309" t="s">
        <v>9977</v>
      </c>
      <c r="BL3309" t="s">
        <v>7742</v>
      </c>
      <c r="BM3309" t="s">
        <v>28441</v>
      </c>
      <c r="BN3309" t="s">
        <v>27621</v>
      </c>
    </row>
    <row r="3310" spans="1:66" x14ac:dyDescent="0.25">
      <c r="A3310" t="str">
        <f>HYPERLINK("https://elite.finviz.com/quote.ashx?t=BAER&amp;ty=c&amp;p=d&amp;b=1", "BAER")</f>
        <v>BAER</v>
      </c>
      <c r="B3310">
        <v>4</v>
      </c>
      <c r="C3310">
        <v>105.92</v>
      </c>
      <c r="D3310">
        <v>34.71</v>
      </c>
      <c r="E3310" t="s">
        <v>28442</v>
      </c>
      <c r="F3310" t="s">
        <v>107</v>
      </c>
      <c r="G3310" t="s">
        <v>260</v>
      </c>
      <c r="H3310" t="s">
        <v>4162</v>
      </c>
      <c r="I3310" t="s">
        <v>70</v>
      </c>
      <c r="J3310" t="s">
        <v>321</v>
      </c>
      <c r="K3310">
        <v>92.73</v>
      </c>
      <c r="L3310">
        <v>1.67</v>
      </c>
      <c r="M3310" t="s">
        <v>7270</v>
      </c>
      <c r="N3310">
        <v>80079</v>
      </c>
      <c r="R3310">
        <v>0.73</v>
      </c>
      <c r="AA3310">
        <v>-0.57999999999999996</v>
      </c>
      <c r="AB3310" t="s">
        <v>16620</v>
      </c>
      <c r="AE3310" t="s">
        <v>28443</v>
      </c>
      <c r="AF3310" t="s">
        <v>16982</v>
      </c>
      <c r="AH3310" t="s">
        <v>28444</v>
      </c>
      <c r="AI3310" t="s">
        <v>8272</v>
      </c>
      <c r="AJ3310" t="s">
        <v>164</v>
      </c>
      <c r="AK3310" t="s">
        <v>7775</v>
      </c>
      <c r="AL3310">
        <v>2.17</v>
      </c>
      <c r="AM3310">
        <v>2.13</v>
      </c>
      <c r="AN3310">
        <v>5.0199999999999996</v>
      </c>
      <c r="AO3310" t="s">
        <v>8856</v>
      </c>
      <c r="AP3310" t="s">
        <v>4621</v>
      </c>
      <c r="AQ3310" t="s">
        <v>985</v>
      </c>
      <c r="AR3310" t="s">
        <v>5611</v>
      </c>
      <c r="AS3310" t="s">
        <v>2932</v>
      </c>
      <c r="AT3310" t="s">
        <v>7951</v>
      </c>
      <c r="AU3310" t="s">
        <v>8729</v>
      </c>
      <c r="AV3310" t="s">
        <v>11904</v>
      </c>
      <c r="AW3310" t="s">
        <v>18847</v>
      </c>
      <c r="AX3310" t="s">
        <v>3205</v>
      </c>
      <c r="AY3310" t="s">
        <v>317</v>
      </c>
      <c r="AZ3310" t="s">
        <v>10604</v>
      </c>
      <c r="BA3310">
        <v>1</v>
      </c>
      <c r="BB3310">
        <v>212.64</v>
      </c>
      <c r="BC3310">
        <v>1.34</v>
      </c>
      <c r="BD3310">
        <v>1.68</v>
      </c>
      <c r="BE3310">
        <v>1.71</v>
      </c>
      <c r="BF3310">
        <v>1.66</v>
      </c>
      <c r="BG3310" t="s">
        <v>28445</v>
      </c>
      <c r="BH3310" t="s">
        <v>25387</v>
      </c>
      <c r="BI3310" t="s">
        <v>10604</v>
      </c>
      <c r="BJ3310" t="s">
        <v>101</v>
      </c>
      <c r="BK3310" t="s">
        <v>3507</v>
      </c>
      <c r="BL3310" t="s">
        <v>9005</v>
      </c>
      <c r="BM3310" t="s">
        <v>26155</v>
      </c>
      <c r="BN3310" t="s">
        <v>27621</v>
      </c>
    </row>
    <row r="3311" spans="1:66" x14ac:dyDescent="0.25">
      <c r="A3311" t="str">
        <f>HYPERLINK("https://elite.finviz.com/quote.ashx?t=BWIN&amp;ty=c&amp;p=d&amp;b=1", "BWIN")</f>
        <v>BWIN</v>
      </c>
      <c r="B3311">
        <v>4</v>
      </c>
      <c r="C3311">
        <v>105.92</v>
      </c>
      <c r="D3311">
        <v>34.75</v>
      </c>
      <c r="E3311" t="s">
        <v>28446</v>
      </c>
      <c r="F3311" t="s">
        <v>67</v>
      </c>
      <c r="G3311" t="s">
        <v>550</v>
      </c>
      <c r="H3311" t="s">
        <v>10916</v>
      </c>
      <c r="I3311" t="s">
        <v>70</v>
      </c>
      <c r="J3311" t="s">
        <v>321</v>
      </c>
      <c r="K3311">
        <v>3424.38</v>
      </c>
      <c r="L3311">
        <v>28.86</v>
      </c>
      <c r="M3311" t="s">
        <v>1457</v>
      </c>
      <c r="N3311">
        <v>84388</v>
      </c>
      <c r="P3311">
        <v>13.77</v>
      </c>
      <c r="R3311">
        <v>2.34</v>
      </c>
      <c r="S3311">
        <v>3.26</v>
      </c>
      <c r="AA3311">
        <v>-0.28999999999999998</v>
      </c>
      <c r="AB3311" t="s">
        <v>1552</v>
      </c>
      <c r="AC3311" t="s">
        <v>2146</v>
      </c>
      <c r="AD3311" t="s">
        <v>7320</v>
      </c>
      <c r="AE3311" t="s">
        <v>6331</v>
      </c>
      <c r="AF3311" t="s">
        <v>9534</v>
      </c>
      <c r="AG3311" t="s">
        <v>17923</v>
      </c>
      <c r="AH3311" t="s">
        <v>12806</v>
      </c>
      <c r="AI3311" t="s">
        <v>3047</v>
      </c>
      <c r="AJ3311" t="s">
        <v>28447</v>
      </c>
      <c r="AK3311" t="s">
        <v>28448</v>
      </c>
      <c r="AL3311">
        <v>1.23</v>
      </c>
      <c r="AM3311">
        <v>1.23</v>
      </c>
      <c r="AN3311">
        <v>2.69</v>
      </c>
      <c r="AO3311" t="s">
        <v>7789</v>
      </c>
      <c r="AP3311" t="s">
        <v>3983</v>
      </c>
      <c r="AQ3311" t="s">
        <v>1864</v>
      </c>
      <c r="AR3311" t="s">
        <v>4395</v>
      </c>
      <c r="AS3311" t="s">
        <v>4323</v>
      </c>
      <c r="AT3311" t="s">
        <v>6985</v>
      </c>
      <c r="AU3311" t="s">
        <v>7634</v>
      </c>
      <c r="AV3311" t="s">
        <v>14268</v>
      </c>
      <c r="AW3311" t="s">
        <v>28449</v>
      </c>
      <c r="AX3311" t="s">
        <v>6151</v>
      </c>
      <c r="AY3311" t="s">
        <v>28450</v>
      </c>
      <c r="AZ3311" t="s">
        <v>6151</v>
      </c>
      <c r="BA3311">
        <v>2.1</v>
      </c>
      <c r="BB3311">
        <v>826.78</v>
      </c>
      <c r="BC3311">
        <v>0.36</v>
      </c>
      <c r="BD3311">
        <v>28.57</v>
      </c>
      <c r="BE3311">
        <v>28.98</v>
      </c>
      <c r="BF3311">
        <v>28.63</v>
      </c>
      <c r="BG3311" t="s">
        <v>28451</v>
      </c>
      <c r="BH3311" t="s">
        <v>28450</v>
      </c>
      <c r="BI3311" t="s">
        <v>28452</v>
      </c>
      <c r="BJ3311" t="s">
        <v>101</v>
      </c>
      <c r="BK3311" t="s">
        <v>28453</v>
      </c>
      <c r="BL3311" t="s">
        <v>23830</v>
      </c>
      <c r="BM3311" t="s">
        <v>28454</v>
      </c>
      <c r="BN3311" t="s">
        <v>27621</v>
      </c>
    </row>
    <row r="3312" spans="1:66" x14ac:dyDescent="0.25">
      <c r="A3312" t="str">
        <f>HYPERLINK("https://elite.finviz.com/quote.ashx?t=PRTH&amp;ty=c&amp;p=d&amp;b=1", "PRTH")</f>
        <v>PRTH</v>
      </c>
      <c r="B3312">
        <v>4</v>
      </c>
      <c r="C3312">
        <v>105.92</v>
      </c>
      <c r="D3312">
        <v>34.75</v>
      </c>
      <c r="E3312" t="s">
        <v>28455</v>
      </c>
      <c r="F3312" t="s">
        <v>67</v>
      </c>
      <c r="G3312" t="s">
        <v>108</v>
      </c>
      <c r="H3312" t="s">
        <v>109</v>
      </c>
      <c r="I3312" t="s">
        <v>70</v>
      </c>
      <c r="J3312" t="s">
        <v>321</v>
      </c>
      <c r="K3312">
        <v>551.42999999999995</v>
      </c>
      <c r="L3312">
        <v>6.9</v>
      </c>
      <c r="M3312" t="s">
        <v>5693</v>
      </c>
      <c r="N3312">
        <v>45630</v>
      </c>
      <c r="O3312">
        <v>26.52</v>
      </c>
      <c r="P3312">
        <v>5.85</v>
      </c>
      <c r="R3312">
        <v>0.6</v>
      </c>
      <c r="T3312" t="s">
        <v>5166</v>
      </c>
      <c r="AA3312">
        <v>0.26</v>
      </c>
      <c r="AB3312" t="s">
        <v>3244</v>
      </c>
      <c r="AC3312" t="s">
        <v>11505</v>
      </c>
      <c r="AE3312" t="s">
        <v>9097</v>
      </c>
      <c r="AF3312" t="s">
        <v>18550</v>
      </c>
      <c r="AG3312" t="s">
        <v>7287</v>
      </c>
      <c r="AH3312" t="s">
        <v>2093</v>
      </c>
      <c r="AI3312" t="s">
        <v>8522</v>
      </c>
      <c r="AJ3312" t="s">
        <v>2213</v>
      </c>
      <c r="AK3312" t="s">
        <v>8641</v>
      </c>
      <c r="AL3312">
        <v>1.06</v>
      </c>
      <c r="AM3312">
        <v>1.06</v>
      </c>
      <c r="AO3312" t="s">
        <v>5230</v>
      </c>
      <c r="AP3312" t="s">
        <v>11062</v>
      </c>
      <c r="AQ3312" t="s">
        <v>6003</v>
      </c>
      <c r="AR3312" t="s">
        <v>756</v>
      </c>
      <c r="AS3312" t="s">
        <v>4093</v>
      </c>
      <c r="AT3312" t="s">
        <v>1137</v>
      </c>
      <c r="AU3312" t="s">
        <v>7954</v>
      </c>
      <c r="AV3312" t="s">
        <v>16445</v>
      </c>
      <c r="AW3312" t="s">
        <v>9565</v>
      </c>
      <c r="AX3312" t="s">
        <v>283</v>
      </c>
      <c r="AY3312" t="s">
        <v>28456</v>
      </c>
      <c r="AZ3312" t="s">
        <v>5514</v>
      </c>
      <c r="BA3312">
        <v>1</v>
      </c>
      <c r="BB3312">
        <v>509.46</v>
      </c>
      <c r="BC3312">
        <v>0.32</v>
      </c>
      <c r="BD3312">
        <v>6.96</v>
      </c>
      <c r="BE3312">
        <v>7.03</v>
      </c>
      <c r="BF3312">
        <v>6.98</v>
      </c>
      <c r="BG3312" t="s">
        <v>28457</v>
      </c>
      <c r="BH3312" t="s">
        <v>18239</v>
      </c>
      <c r="BI3312" t="s">
        <v>28458</v>
      </c>
      <c r="BJ3312" t="s">
        <v>101</v>
      </c>
      <c r="BK3312" t="s">
        <v>12091</v>
      </c>
      <c r="BL3312" t="s">
        <v>1153</v>
      </c>
      <c r="BM3312" t="s">
        <v>3114</v>
      </c>
      <c r="BN3312" t="s">
        <v>27621</v>
      </c>
    </row>
    <row r="3313" spans="1:66" x14ac:dyDescent="0.25">
      <c r="A3313" t="str">
        <f>HYPERLINK("https://elite.finviz.com/quote.ashx?t=DFIN&amp;ty=c&amp;p=d&amp;b=1", "DFIN")</f>
        <v>DFIN</v>
      </c>
      <c r="B3313">
        <v>4</v>
      </c>
      <c r="C3313">
        <v>105.92</v>
      </c>
      <c r="D3313">
        <v>34.76</v>
      </c>
      <c r="E3313" t="s">
        <v>28459</v>
      </c>
      <c r="F3313" t="s">
        <v>67</v>
      </c>
      <c r="G3313" t="s">
        <v>108</v>
      </c>
      <c r="H3313" t="s">
        <v>136</v>
      </c>
      <c r="I3313" t="s">
        <v>70</v>
      </c>
      <c r="J3313" t="s">
        <v>71</v>
      </c>
      <c r="K3313">
        <v>1401.5</v>
      </c>
      <c r="L3313">
        <v>50.97</v>
      </c>
      <c r="M3313" t="s">
        <v>3446</v>
      </c>
      <c r="N3313">
        <v>34448</v>
      </c>
      <c r="O3313">
        <v>17.989999999999998</v>
      </c>
      <c r="P3313">
        <v>11.93</v>
      </c>
      <c r="Q3313">
        <v>1.37</v>
      </c>
      <c r="R3313">
        <v>1.86</v>
      </c>
      <c r="S3313">
        <v>3.24</v>
      </c>
      <c r="Z3313" t="s">
        <v>164</v>
      </c>
      <c r="AA3313">
        <v>2.83</v>
      </c>
      <c r="AB3313" t="s">
        <v>7571</v>
      </c>
      <c r="AC3313" t="s">
        <v>4181</v>
      </c>
      <c r="AD3313" t="s">
        <v>1557</v>
      </c>
      <c r="AE3313" t="s">
        <v>4446</v>
      </c>
      <c r="AF3313" t="s">
        <v>6436</v>
      </c>
      <c r="AG3313" t="s">
        <v>5444</v>
      </c>
      <c r="AH3313" t="s">
        <v>14960</v>
      </c>
      <c r="AI3313" t="s">
        <v>2385</v>
      </c>
      <c r="AJ3313" t="s">
        <v>9240</v>
      </c>
      <c r="AK3313" t="s">
        <v>28460</v>
      </c>
      <c r="AL3313">
        <v>1.29</v>
      </c>
      <c r="AM3313">
        <v>1.29</v>
      </c>
      <c r="AN3313">
        <v>0.47</v>
      </c>
      <c r="AO3313" t="s">
        <v>8992</v>
      </c>
      <c r="AP3313" t="s">
        <v>3668</v>
      </c>
      <c r="AQ3313" t="s">
        <v>7777</v>
      </c>
      <c r="AR3313" t="s">
        <v>3173</v>
      </c>
      <c r="AS3313" t="s">
        <v>1776</v>
      </c>
      <c r="AT3313" t="s">
        <v>4021</v>
      </c>
      <c r="AU3313" t="s">
        <v>6735</v>
      </c>
      <c r="AV3313" t="s">
        <v>2393</v>
      </c>
      <c r="AW3313" t="s">
        <v>19465</v>
      </c>
      <c r="AX3313" t="s">
        <v>1933</v>
      </c>
      <c r="AY3313" t="s">
        <v>24339</v>
      </c>
      <c r="AZ3313" t="s">
        <v>9131</v>
      </c>
      <c r="BA3313">
        <v>1</v>
      </c>
      <c r="BB3313">
        <v>261.64</v>
      </c>
      <c r="BC3313">
        <v>0.46</v>
      </c>
      <c r="BD3313">
        <v>50.81</v>
      </c>
      <c r="BE3313">
        <v>51.26</v>
      </c>
      <c r="BF3313">
        <v>50.73</v>
      </c>
      <c r="BG3313" t="s">
        <v>28461</v>
      </c>
      <c r="BH3313" t="s">
        <v>6548</v>
      </c>
      <c r="BI3313" t="s">
        <v>28462</v>
      </c>
      <c r="BJ3313" t="s">
        <v>101</v>
      </c>
      <c r="BK3313" t="s">
        <v>11922</v>
      </c>
      <c r="BL3313" t="s">
        <v>7883</v>
      </c>
      <c r="BM3313" t="s">
        <v>23921</v>
      </c>
      <c r="BN3313" t="s">
        <v>27621</v>
      </c>
    </row>
    <row r="3314" spans="1:66" x14ac:dyDescent="0.25">
      <c r="A3314" t="str">
        <f>HYPERLINK("https://elite.finviz.com/quote.ashx?t=BIRD&amp;ty=c&amp;p=d&amp;b=1", "BIRD")</f>
        <v>BIRD</v>
      </c>
      <c r="B3314">
        <v>4</v>
      </c>
      <c r="C3314">
        <v>105.92</v>
      </c>
      <c r="D3314">
        <v>34.81</v>
      </c>
      <c r="E3314" t="s">
        <v>28463</v>
      </c>
      <c r="F3314" t="s">
        <v>107</v>
      </c>
      <c r="G3314" t="s">
        <v>813</v>
      </c>
      <c r="H3314" t="s">
        <v>4488</v>
      </c>
      <c r="I3314" t="s">
        <v>70</v>
      </c>
      <c r="J3314" t="s">
        <v>321</v>
      </c>
      <c r="K3314">
        <v>46.96</v>
      </c>
      <c r="L3314">
        <v>5.76</v>
      </c>
      <c r="M3314" t="s">
        <v>1324</v>
      </c>
      <c r="N3314">
        <v>18645</v>
      </c>
      <c r="R3314">
        <v>0.28000000000000003</v>
      </c>
      <c r="S3314">
        <v>0.66</v>
      </c>
      <c r="AA3314">
        <v>-10.55</v>
      </c>
      <c r="AB3314" t="s">
        <v>17578</v>
      </c>
      <c r="AC3314" t="s">
        <v>19249</v>
      </c>
      <c r="AD3314" t="s">
        <v>13695</v>
      </c>
      <c r="AE3314" t="s">
        <v>28464</v>
      </c>
      <c r="AF3314" t="s">
        <v>388</v>
      </c>
      <c r="AG3314" t="s">
        <v>337</v>
      </c>
      <c r="AH3314" t="s">
        <v>13509</v>
      </c>
      <c r="AI3314" t="s">
        <v>1610</v>
      </c>
      <c r="AJ3314" t="s">
        <v>2486</v>
      </c>
      <c r="AK3314" t="s">
        <v>4398</v>
      </c>
      <c r="AL3314">
        <v>2.5499999999999998</v>
      </c>
      <c r="AM3314">
        <v>1.4</v>
      </c>
      <c r="AN3314">
        <v>0.53</v>
      </c>
      <c r="AO3314" t="s">
        <v>1008</v>
      </c>
      <c r="AP3314" t="s">
        <v>18470</v>
      </c>
      <c r="AQ3314" t="s">
        <v>5440</v>
      </c>
      <c r="AR3314" t="s">
        <v>274</v>
      </c>
      <c r="AS3314" t="s">
        <v>4995</v>
      </c>
      <c r="AT3314" t="s">
        <v>6985</v>
      </c>
      <c r="AU3314" t="s">
        <v>10181</v>
      </c>
      <c r="AV3314" t="s">
        <v>6500</v>
      </c>
      <c r="AW3314" t="s">
        <v>3824</v>
      </c>
      <c r="AX3314" t="s">
        <v>4780</v>
      </c>
      <c r="AY3314" t="s">
        <v>28465</v>
      </c>
      <c r="AZ3314" t="s">
        <v>10394</v>
      </c>
      <c r="BA3314">
        <v>2.33</v>
      </c>
      <c r="BB3314">
        <v>59.62</v>
      </c>
      <c r="BC3314">
        <v>1.1100000000000001</v>
      </c>
      <c r="BD3314">
        <v>5.76</v>
      </c>
      <c r="BE3314">
        <v>5.82</v>
      </c>
      <c r="BF3314">
        <v>5.69</v>
      </c>
      <c r="BG3314" t="s">
        <v>28466</v>
      </c>
      <c r="BH3314" t="s">
        <v>13376</v>
      </c>
      <c r="BI3314" t="s">
        <v>10394</v>
      </c>
      <c r="BJ3314" t="s">
        <v>101</v>
      </c>
      <c r="BK3314" t="s">
        <v>24500</v>
      </c>
      <c r="BL3314" t="s">
        <v>5558</v>
      </c>
      <c r="BM3314" t="s">
        <v>15671</v>
      </c>
      <c r="BN3314" t="s">
        <v>27621</v>
      </c>
    </row>
    <row r="3315" spans="1:66" x14ac:dyDescent="0.25">
      <c r="A3315" t="str">
        <f>HYPERLINK("https://elite.finviz.com/quote.ashx?t=BTMD&amp;ty=c&amp;p=d&amp;b=1", "BTMD")</f>
        <v>BTMD</v>
      </c>
      <c r="B3315">
        <v>4</v>
      </c>
      <c r="C3315">
        <v>105.92</v>
      </c>
      <c r="D3315">
        <v>34.81</v>
      </c>
      <c r="E3315" t="s">
        <v>28467</v>
      </c>
      <c r="F3315" t="s">
        <v>67</v>
      </c>
      <c r="G3315" t="s">
        <v>428</v>
      </c>
      <c r="H3315" t="s">
        <v>3160</v>
      </c>
      <c r="I3315" t="s">
        <v>70</v>
      </c>
      <c r="J3315" t="s">
        <v>321</v>
      </c>
      <c r="K3315">
        <v>146.83000000000001</v>
      </c>
      <c r="L3315">
        <v>2.97</v>
      </c>
      <c r="M3315" t="s">
        <v>164</v>
      </c>
      <c r="N3315">
        <v>30856</v>
      </c>
      <c r="O3315">
        <v>3.29</v>
      </c>
      <c r="P3315">
        <v>5.88</v>
      </c>
      <c r="Q3315">
        <v>0.03</v>
      </c>
      <c r="R3315">
        <v>0.74</v>
      </c>
      <c r="Z3315" t="s">
        <v>164</v>
      </c>
      <c r="AA3315">
        <v>0.9</v>
      </c>
      <c r="AC3315" t="s">
        <v>6352</v>
      </c>
      <c r="AD3315" t="s">
        <v>28468</v>
      </c>
      <c r="AE3315" t="s">
        <v>3229</v>
      </c>
      <c r="AF3315" t="s">
        <v>10221</v>
      </c>
      <c r="AG3315" t="s">
        <v>3243</v>
      </c>
      <c r="AH3315" t="s">
        <v>8932</v>
      </c>
      <c r="AI3315" t="s">
        <v>2621</v>
      </c>
      <c r="AJ3315" t="s">
        <v>4084</v>
      </c>
      <c r="AK3315" t="s">
        <v>28469</v>
      </c>
      <c r="AL3315">
        <v>0.98</v>
      </c>
      <c r="AM3315">
        <v>0.66</v>
      </c>
      <c r="AO3315" t="s">
        <v>18343</v>
      </c>
      <c r="AP3315" t="s">
        <v>10109</v>
      </c>
      <c r="AQ3315" t="s">
        <v>5749</v>
      </c>
      <c r="AR3315" t="s">
        <v>7682</v>
      </c>
      <c r="AS3315" t="s">
        <v>2385</v>
      </c>
      <c r="AT3315" t="s">
        <v>13208</v>
      </c>
      <c r="AU3315" t="s">
        <v>13401</v>
      </c>
      <c r="AV3315" t="s">
        <v>1459</v>
      </c>
      <c r="AW3315" t="s">
        <v>28470</v>
      </c>
      <c r="AX3315" t="s">
        <v>438</v>
      </c>
      <c r="AY3315" t="s">
        <v>2904</v>
      </c>
      <c r="AZ3315" t="s">
        <v>438</v>
      </c>
      <c r="BA3315">
        <v>1.4</v>
      </c>
      <c r="BB3315">
        <v>157.61000000000001</v>
      </c>
      <c r="BC3315">
        <v>0.7</v>
      </c>
      <c r="BD3315">
        <v>2.97</v>
      </c>
      <c r="BE3315">
        <v>3.05</v>
      </c>
      <c r="BF3315">
        <v>2.98</v>
      </c>
      <c r="BG3315" t="s">
        <v>28471</v>
      </c>
      <c r="BH3315" t="s">
        <v>7058</v>
      </c>
      <c r="BI3315" t="s">
        <v>13821</v>
      </c>
      <c r="BJ3315" t="s">
        <v>101</v>
      </c>
      <c r="BK3315" t="s">
        <v>7318</v>
      </c>
      <c r="BL3315" t="s">
        <v>4989</v>
      </c>
      <c r="BM3315" t="s">
        <v>4933</v>
      </c>
      <c r="BN3315" t="s">
        <v>27621</v>
      </c>
    </row>
    <row r="3316" spans="1:66" x14ac:dyDescent="0.25">
      <c r="A3316" t="str">
        <f>HYPERLINK("https://elite.finviz.com/quote.ashx?t=ATHR&amp;ty=c&amp;p=d&amp;b=1", "ATHR")</f>
        <v>ATHR</v>
      </c>
      <c r="B3316">
        <v>4</v>
      </c>
      <c r="C3316">
        <v>105.92</v>
      </c>
      <c r="D3316">
        <v>34.89</v>
      </c>
      <c r="E3316" t="s">
        <v>28472</v>
      </c>
      <c r="F3316" t="s">
        <v>107</v>
      </c>
      <c r="G3316" t="s">
        <v>108</v>
      </c>
      <c r="H3316" t="s">
        <v>136</v>
      </c>
      <c r="I3316" t="s">
        <v>70</v>
      </c>
      <c r="J3316" t="s">
        <v>321</v>
      </c>
      <c r="K3316">
        <v>59.89</v>
      </c>
      <c r="L3316">
        <v>4.95</v>
      </c>
      <c r="M3316" t="s">
        <v>4142</v>
      </c>
      <c r="N3316">
        <v>2122</v>
      </c>
      <c r="R3316">
        <v>43.09</v>
      </c>
      <c r="S3316">
        <v>10.08</v>
      </c>
      <c r="AA3316">
        <v>-0.17</v>
      </c>
      <c r="AB3316" t="s">
        <v>28473</v>
      </c>
      <c r="AE3316" t="s">
        <v>8534</v>
      </c>
      <c r="AF3316" t="s">
        <v>3625</v>
      </c>
      <c r="AH3316" t="s">
        <v>2998</v>
      </c>
      <c r="AJ3316" t="s">
        <v>164</v>
      </c>
      <c r="AK3316" t="s">
        <v>3871</v>
      </c>
      <c r="AL3316">
        <v>11.18</v>
      </c>
      <c r="AM3316">
        <v>11.18</v>
      </c>
      <c r="AN3316">
        <v>0</v>
      </c>
      <c r="AO3316" t="s">
        <v>19578</v>
      </c>
      <c r="AP3316" t="s">
        <v>28474</v>
      </c>
      <c r="AQ3316" t="s">
        <v>28475</v>
      </c>
      <c r="AR3316" t="s">
        <v>4867</v>
      </c>
      <c r="AS3316" t="s">
        <v>2661</v>
      </c>
      <c r="AT3316" t="s">
        <v>10170</v>
      </c>
      <c r="AU3316" t="s">
        <v>20284</v>
      </c>
      <c r="AV3316" t="s">
        <v>19390</v>
      </c>
      <c r="AW3316" t="s">
        <v>28476</v>
      </c>
      <c r="AX3316" t="s">
        <v>3776</v>
      </c>
      <c r="AY3316" t="s">
        <v>28477</v>
      </c>
      <c r="AZ3316" t="s">
        <v>3776</v>
      </c>
      <c r="BB3316">
        <v>79.900000000000006</v>
      </c>
      <c r="BC3316">
        <v>0.09</v>
      </c>
      <c r="BD3316">
        <v>4.76</v>
      </c>
      <c r="BE3316">
        <v>4.9800000000000004</v>
      </c>
      <c r="BF3316">
        <v>4.8600000000000003</v>
      </c>
      <c r="BG3316" t="s">
        <v>28478</v>
      </c>
      <c r="BH3316" t="s">
        <v>28477</v>
      </c>
      <c r="BI3316" t="s">
        <v>3776</v>
      </c>
      <c r="BJ3316" t="s">
        <v>101</v>
      </c>
      <c r="BK3316" t="s">
        <v>28479</v>
      </c>
      <c r="BN3316" t="s">
        <v>27621</v>
      </c>
    </row>
    <row r="3317" spans="1:66" x14ac:dyDescent="0.25">
      <c r="A3317" t="str">
        <f>HYPERLINK("https://elite.finviz.com/quote.ashx?t=FFIN&amp;ty=c&amp;p=d&amp;b=1", "FFIN")</f>
        <v>FFIN</v>
      </c>
      <c r="B3317">
        <v>4</v>
      </c>
      <c r="C3317">
        <v>105.92</v>
      </c>
      <c r="D3317">
        <v>34.89</v>
      </c>
      <c r="E3317" t="s">
        <v>28480</v>
      </c>
      <c r="F3317" t="s">
        <v>67</v>
      </c>
      <c r="G3317" t="s">
        <v>550</v>
      </c>
      <c r="H3317" t="s">
        <v>697</v>
      </c>
      <c r="I3317" t="s">
        <v>70</v>
      </c>
      <c r="J3317" t="s">
        <v>321</v>
      </c>
      <c r="K3317">
        <v>4861.08</v>
      </c>
      <c r="L3317">
        <v>33.97</v>
      </c>
      <c r="M3317" t="s">
        <v>1998</v>
      </c>
      <c r="N3317">
        <v>58158</v>
      </c>
      <c r="O3317">
        <v>19.82</v>
      </c>
      <c r="P3317">
        <v>17.63</v>
      </c>
      <c r="Q3317">
        <v>1.76</v>
      </c>
      <c r="R3317">
        <v>6.15</v>
      </c>
      <c r="S3317">
        <v>2.78</v>
      </c>
      <c r="T3317" t="s">
        <v>2421</v>
      </c>
      <c r="U3317">
        <v>0.74</v>
      </c>
      <c r="V3317" t="s">
        <v>3833</v>
      </c>
      <c r="W3317" t="s">
        <v>2554</v>
      </c>
      <c r="X3317" t="s">
        <v>8808</v>
      </c>
      <c r="Y3317" t="s">
        <v>4718</v>
      </c>
      <c r="Z3317" t="s">
        <v>17538</v>
      </c>
      <c r="AA3317">
        <v>1.71</v>
      </c>
      <c r="AB3317" t="s">
        <v>8932</v>
      </c>
      <c r="AC3317" t="s">
        <v>2293</v>
      </c>
      <c r="AD3317" t="s">
        <v>2517</v>
      </c>
      <c r="AE3317" t="s">
        <v>3815</v>
      </c>
      <c r="AF3317" t="s">
        <v>1055</v>
      </c>
      <c r="AG3317" t="s">
        <v>6388</v>
      </c>
      <c r="AH3317" t="s">
        <v>2824</v>
      </c>
      <c r="AI3317" t="s">
        <v>8925</v>
      </c>
      <c r="AJ3317" t="s">
        <v>3358</v>
      </c>
      <c r="AK3317" t="s">
        <v>28481</v>
      </c>
      <c r="AL3317">
        <v>0.2</v>
      </c>
      <c r="AN3317">
        <v>0.04</v>
      </c>
      <c r="AP3317" t="s">
        <v>21506</v>
      </c>
      <c r="AQ3317" t="s">
        <v>4047</v>
      </c>
      <c r="AR3317" t="s">
        <v>4946</v>
      </c>
      <c r="AS3317" t="s">
        <v>5420</v>
      </c>
      <c r="AT3317" t="s">
        <v>2431</v>
      </c>
      <c r="AU3317" t="s">
        <v>5558</v>
      </c>
      <c r="AV3317" t="s">
        <v>15949</v>
      </c>
      <c r="AW3317" t="s">
        <v>11904</v>
      </c>
      <c r="AX3317" t="s">
        <v>2185</v>
      </c>
      <c r="AY3317" t="s">
        <v>27618</v>
      </c>
      <c r="AZ3317" t="s">
        <v>4672</v>
      </c>
      <c r="BA3317">
        <v>3</v>
      </c>
      <c r="BB3317">
        <v>545.97</v>
      </c>
      <c r="BC3317">
        <v>0.38</v>
      </c>
      <c r="BD3317">
        <v>34.020000000000003</v>
      </c>
      <c r="BE3317">
        <v>34.35</v>
      </c>
      <c r="BF3317">
        <v>33.85</v>
      </c>
      <c r="BG3317" t="s">
        <v>28482</v>
      </c>
      <c r="BH3317" t="s">
        <v>28483</v>
      </c>
      <c r="BI3317" t="s">
        <v>28484</v>
      </c>
      <c r="BJ3317" t="s">
        <v>101</v>
      </c>
      <c r="BK3317" t="s">
        <v>17105</v>
      </c>
      <c r="BL3317" t="s">
        <v>11444</v>
      </c>
      <c r="BM3317" t="s">
        <v>967</v>
      </c>
      <c r="BN3317" t="s">
        <v>27621</v>
      </c>
    </row>
    <row r="3318" spans="1:66" x14ac:dyDescent="0.25">
      <c r="A3318" t="str">
        <f>HYPERLINK("https://elite.finviz.com/quote.ashx?t=GDEN&amp;ty=c&amp;p=d&amp;b=1", "GDEN")</f>
        <v>GDEN</v>
      </c>
      <c r="B3318">
        <v>4</v>
      </c>
      <c r="C3318">
        <v>105.92</v>
      </c>
      <c r="D3318">
        <v>34.89</v>
      </c>
      <c r="E3318" t="s">
        <v>28485</v>
      </c>
      <c r="F3318" t="s">
        <v>67</v>
      </c>
      <c r="G3318" t="s">
        <v>813</v>
      </c>
      <c r="H3318" t="s">
        <v>2763</v>
      </c>
      <c r="I3318" t="s">
        <v>70</v>
      </c>
      <c r="J3318" t="s">
        <v>321</v>
      </c>
      <c r="K3318">
        <v>608.17999999999995</v>
      </c>
      <c r="L3318">
        <v>23.25</v>
      </c>
      <c r="M3318" t="s">
        <v>4946</v>
      </c>
      <c r="N3318">
        <v>36463</v>
      </c>
      <c r="O3318">
        <v>43.02</v>
      </c>
      <c r="P3318">
        <v>30.86</v>
      </c>
      <c r="R3318">
        <v>0.94</v>
      </c>
      <c r="S3318">
        <v>1.37</v>
      </c>
      <c r="T3318" t="s">
        <v>170</v>
      </c>
      <c r="U3318">
        <v>1</v>
      </c>
      <c r="V3318" t="s">
        <v>2651</v>
      </c>
      <c r="Z3318" t="s">
        <v>28486</v>
      </c>
      <c r="AA3318">
        <v>0.54</v>
      </c>
      <c r="AB3318" t="s">
        <v>151</v>
      </c>
      <c r="AD3318" t="s">
        <v>11925</v>
      </c>
      <c r="AE3318" t="s">
        <v>17774</v>
      </c>
      <c r="AF3318" t="s">
        <v>7203</v>
      </c>
      <c r="AG3318" t="s">
        <v>184</v>
      </c>
      <c r="AH3318" t="s">
        <v>5444</v>
      </c>
      <c r="AI3318" t="s">
        <v>15403</v>
      </c>
      <c r="AJ3318" t="s">
        <v>164</v>
      </c>
      <c r="AK3318" t="s">
        <v>21593</v>
      </c>
      <c r="AL3318">
        <v>1.1200000000000001</v>
      </c>
      <c r="AM3318">
        <v>1.03</v>
      </c>
      <c r="AN3318">
        <v>1.1599999999999999</v>
      </c>
      <c r="AO3318" t="s">
        <v>8557</v>
      </c>
      <c r="AP3318" t="s">
        <v>4966</v>
      </c>
      <c r="AQ3318" t="s">
        <v>342</v>
      </c>
      <c r="AR3318" t="s">
        <v>3173</v>
      </c>
      <c r="AS3318" t="s">
        <v>4710</v>
      </c>
      <c r="AT3318" t="s">
        <v>4432</v>
      </c>
      <c r="AU3318" t="s">
        <v>19464</v>
      </c>
      <c r="AV3318" t="s">
        <v>9578</v>
      </c>
      <c r="AW3318" t="s">
        <v>19553</v>
      </c>
      <c r="AX3318" t="s">
        <v>2619</v>
      </c>
      <c r="AY3318" t="s">
        <v>18484</v>
      </c>
      <c r="AZ3318" t="s">
        <v>2742</v>
      </c>
      <c r="BA3318">
        <v>1.75</v>
      </c>
      <c r="BB3318">
        <v>201.13</v>
      </c>
      <c r="BC3318">
        <v>0.64</v>
      </c>
      <c r="BD3318">
        <v>22.85</v>
      </c>
      <c r="BE3318">
        <v>23.65</v>
      </c>
      <c r="BF3318">
        <v>22.88</v>
      </c>
      <c r="BG3318" t="s">
        <v>28487</v>
      </c>
      <c r="BH3318" t="s">
        <v>28488</v>
      </c>
      <c r="BI3318" t="s">
        <v>28489</v>
      </c>
      <c r="BJ3318" t="s">
        <v>101</v>
      </c>
      <c r="BK3318" t="s">
        <v>9377</v>
      </c>
      <c r="BL3318" t="s">
        <v>21989</v>
      </c>
      <c r="BM3318" t="s">
        <v>24960</v>
      </c>
      <c r="BN3318" t="s">
        <v>27621</v>
      </c>
    </row>
    <row r="3319" spans="1:66" x14ac:dyDescent="0.25">
      <c r="A3319" t="str">
        <f>HYPERLINK("https://elite.finviz.com/quote.ashx?t=BIVI&amp;ty=c&amp;p=d&amp;b=1", "BIVI")</f>
        <v>BIVI</v>
      </c>
      <c r="B3319">
        <v>4</v>
      </c>
      <c r="C3319">
        <v>105.92</v>
      </c>
      <c r="D3319">
        <v>34.9</v>
      </c>
      <c r="E3319" t="s">
        <v>28490</v>
      </c>
      <c r="F3319" t="s">
        <v>107</v>
      </c>
      <c r="G3319" t="s">
        <v>428</v>
      </c>
      <c r="H3319" t="s">
        <v>429</v>
      </c>
      <c r="I3319" t="s">
        <v>70</v>
      </c>
      <c r="J3319" t="s">
        <v>321</v>
      </c>
      <c r="K3319">
        <v>13.54</v>
      </c>
      <c r="L3319">
        <v>1.8</v>
      </c>
      <c r="M3319" t="s">
        <v>2717</v>
      </c>
      <c r="N3319">
        <v>37761</v>
      </c>
      <c r="S3319">
        <v>0.18</v>
      </c>
      <c r="AA3319">
        <v>-14.88</v>
      </c>
      <c r="AB3319" t="s">
        <v>4445</v>
      </c>
      <c r="AC3319" t="s">
        <v>15940</v>
      </c>
      <c r="AI3319" t="s">
        <v>164</v>
      </c>
      <c r="AJ3319" t="s">
        <v>164</v>
      </c>
      <c r="AK3319" t="s">
        <v>2449</v>
      </c>
      <c r="AL3319">
        <v>9.1</v>
      </c>
      <c r="AM3319">
        <v>9.1</v>
      </c>
      <c r="AN3319">
        <v>0.02</v>
      </c>
      <c r="AR3319" t="s">
        <v>8593</v>
      </c>
      <c r="AS3319" t="s">
        <v>5389</v>
      </c>
      <c r="AT3319" t="s">
        <v>84</v>
      </c>
      <c r="AU3319" t="s">
        <v>25820</v>
      </c>
      <c r="AV3319" t="s">
        <v>10630</v>
      </c>
      <c r="AW3319" t="s">
        <v>13430</v>
      </c>
      <c r="AX3319" t="s">
        <v>3427</v>
      </c>
      <c r="AY3319" t="s">
        <v>28491</v>
      </c>
      <c r="AZ3319" t="s">
        <v>3427</v>
      </c>
      <c r="BA3319">
        <v>1</v>
      </c>
      <c r="BB3319">
        <v>261.67</v>
      </c>
      <c r="BC3319">
        <v>0.51</v>
      </c>
      <c r="BD3319">
        <v>1.8</v>
      </c>
      <c r="BE3319">
        <v>1.85</v>
      </c>
      <c r="BF3319">
        <v>1.75</v>
      </c>
      <c r="BG3319" t="s">
        <v>28492</v>
      </c>
      <c r="BH3319" t="s">
        <v>5233</v>
      </c>
      <c r="BI3319" t="s">
        <v>3427</v>
      </c>
      <c r="BJ3319" t="s">
        <v>101</v>
      </c>
      <c r="BK3319" t="s">
        <v>28493</v>
      </c>
      <c r="BL3319" t="s">
        <v>19675</v>
      </c>
      <c r="BM3319" t="s">
        <v>28494</v>
      </c>
      <c r="BN3319" t="s">
        <v>27621</v>
      </c>
    </row>
    <row r="3320" spans="1:66" x14ac:dyDescent="0.25">
      <c r="A3320" t="str">
        <f>HYPERLINK("https://elite.finviz.com/quote.ashx?t=CGEM&amp;ty=c&amp;p=d&amp;b=1", "CGEM")</f>
        <v>CGEM</v>
      </c>
      <c r="B3320">
        <v>4</v>
      </c>
      <c r="C3320">
        <v>105.92</v>
      </c>
      <c r="D3320">
        <v>34.909999999999997</v>
      </c>
      <c r="E3320" t="s">
        <v>28495</v>
      </c>
      <c r="F3320" t="s">
        <v>67</v>
      </c>
      <c r="G3320" t="s">
        <v>428</v>
      </c>
      <c r="H3320" t="s">
        <v>429</v>
      </c>
      <c r="I3320" t="s">
        <v>70</v>
      </c>
      <c r="J3320" t="s">
        <v>321</v>
      </c>
      <c r="K3320">
        <v>353.86</v>
      </c>
      <c r="L3320">
        <v>5.99</v>
      </c>
      <c r="M3320" t="s">
        <v>164</v>
      </c>
      <c r="N3320">
        <v>67089</v>
      </c>
      <c r="S3320">
        <v>0.72</v>
      </c>
      <c r="AA3320">
        <v>-3.52</v>
      </c>
      <c r="AB3320" t="s">
        <v>24900</v>
      </c>
      <c r="AC3320" t="s">
        <v>8656</v>
      </c>
      <c r="AD3320" t="s">
        <v>14635</v>
      </c>
      <c r="AI3320" t="s">
        <v>10955</v>
      </c>
      <c r="AJ3320" t="s">
        <v>164</v>
      </c>
      <c r="AK3320" t="s">
        <v>11048</v>
      </c>
      <c r="AL3320">
        <v>9.83</v>
      </c>
      <c r="AM3320">
        <v>9.83</v>
      </c>
      <c r="AN3320">
        <v>0</v>
      </c>
      <c r="AR3320" t="s">
        <v>3204</v>
      </c>
      <c r="AS3320" t="s">
        <v>2174</v>
      </c>
      <c r="AT3320" t="s">
        <v>11385</v>
      </c>
      <c r="AU3320" t="s">
        <v>3556</v>
      </c>
      <c r="AV3320" t="s">
        <v>23386</v>
      </c>
      <c r="AW3320" t="s">
        <v>22890</v>
      </c>
      <c r="AX3320" t="s">
        <v>908</v>
      </c>
      <c r="AY3320" t="s">
        <v>28496</v>
      </c>
      <c r="AZ3320" t="s">
        <v>908</v>
      </c>
      <c r="BA3320">
        <v>1</v>
      </c>
      <c r="BB3320">
        <v>447.82</v>
      </c>
      <c r="BC3320">
        <v>0.53</v>
      </c>
      <c r="BD3320">
        <v>5.99</v>
      </c>
      <c r="BE3320">
        <v>6.05</v>
      </c>
      <c r="BF3320">
        <v>5.92</v>
      </c>
      <c r="BG3320" t="s">
        <v>28497</v>
      </c>
      <c r="BH3320" t="s">
        <v>16175</v>
      </c>
      <c r="BI3320" t="s">
        <v>908</v>
      </c>
      <c r="BJ3320" t="s">
        <v>101</v>
      </c>
      <c r="BK3320" t="s">
        <v>7506</v>
      </c>
      <c r="BL3320" t="s">
        <v>16208</v>
      </c>
      <c r="BM3320" t="s">
        <v>28498</v>
      </c>
      <c r="BN3320" t="s">
        <v>27621</v>
      </c>
    </row>
    <row r="3321" spans="1:66" x14ac:dyDescent="0.25">
      <c r="A3321" t="str">
        <f>HYPERLINK("https://elite.finviz.com/quote.ashx?t=KNF&amp;ty=c&amp;p=d&amp;b=1", "KNF")</f>
        <v>KNF</v>
      </c>
      <c r="B3321">
        <v>4</v>
      </c>
      <c r="C3321">
        <v>105.92</v>
      </c>
      <c r="D3321">
        <v>34.94</v>
      </c>
      <c r="E3321" t="s">
        <v>28499</v>
      </c>
      <c r="F3321" t="s">
        <v>67</v>
      </c>
      <c r="G3321" t="s">
        <v>355</v>
      </c>
      <c r="H3321" t="s">
        <v>7681</v>
      </c>
      <c r="I3321" t="s">
        <v>70</v>
      </c>
      <c r="J3321" t="s">
        <v>71</v>
      </c>
      <c r="K3321">
        <v>4142.1499999999996</v>
      </c>
      <c r="L3321">
        <v>73.099999999999994</v>
      </c>
      <c r="M3321" t="s">
        <v>5610</v>
      </c>
      <c r="N3321">
        <v>77984</v>
      </c>
      <c r="O3321">
        <v>27.18</v>
      </c>
      <c r="P3321">
        <v>18.75</v>
      </c>
      <c r="Q3321">
        <v>3.64</v>
      </c>
      <c r="R3321">
        <v>1.4</v>
      </c>
      <c r="S3321">
        <v>2.83</v>
      </c>
      <c r="Z3321" t="s">
        <v>164</v>
      </c>
      <c r="AA3321">
        <v>2.69</v>
      </c>
      <c r="AB3321" t="s">
        <v>14942</v>
      </c>
      <c r="AC3321" t="s">
        <v>8727</v>
      </c>
      <c r="AD3321" t="s">
        <v>8808</v>
      </c>
      <c r="AE3321" t="s">
        <v>4154</v>
      </c>
      <c r="AF3321" t="s">
        <v>1423</v>
      </c>
      <c r="AG3321" t="s">
        <v>2816</v>
      </c>
      <c r="AH3321" t="s">
        <v>4189</v>
      </c>
      <c r="AI3321" t="s">
        <v>6243</v>
      </c>
      <c r="AJ3321" t="s">
        <v>164</v>
      </c>
      <c r="AK3321" t="s">
        <v>13502</v>
      </c>
      <c r="AL3321">
        <v>2.78</v>
      </c>
      <c r="AM3321">
        <v>1.57</v>
      </c>
      <c r="AN3321">
        <v>0.96</v>
      </c>
      <c r="AO3321" t="s">
        <v>10695</v>
      </c>
      <c r="AP3321" t="s">
        <v>1822</v>
      </c>
      <c r="AQ3321" t="s">
        <v>6226</v>
      </c>
      <c r="AR3321" t="s">
        <v>4916</v>
      </c>
      <c r="AS3321" t="s">
        <v>3205</v>
      </c>
      <c r="AT3321" t="s">
        <v>6469</v>
      </c>
      <c r="AU3321" t="s">
        <v>14667</v>
      </c>
      <c r="AV3321" t="s">
        <v>15099</v>
      </c>
      <c r="AW3321" t="s">
        <v>14209</v>
      </c>
      <c r="AX3321" t="s">
        <v>7484</v>
      </c>
      <c r="AY3321" t="s">
        <v>28500</v>
      </c>
      <c r="AZ3321" t="s">
        <v>7484</v>
      </c>
      <c r="BA3321">
        <v>1.2</v>
      </c>
      <c r="BB3321">
        <v>700.74</v>
      </c>
      <c r="BC3321">
        <v>0.39</v>
      </c>
      <c r="BD3321">
        <v>72.040000000000006</v>
      </c>
      <c r="BE3321">
        <v>73.44</v>
      </c>
      <c r="BF3321">
        <v>72.12</v>
      </c>
      <c r="BG3321" t="s">
        <v>28501</v>
      </c>
      <c r="BH3321" t="s">
        <v>28500</v>
      </c>
      <c r="BI3321" t="s">
        <v>28502</v>
      </c>
      <c r="BJ3321" t="s">
        <v>101</v>
      </c>
      <c r="BK3321" t="s">
        <v>7737</v>
      </c>
      <c r="BL3321" t="s">
        <v>14451</v>
      </c>
      <c r="BM3321" t="s">
        <v>219</v>
      </c>
      <c r="BN3321" t="s">
        <v>27621</v>
      </c>
    </row>
    <row r="3322" spans="1:66" x14ac:dyDescent="0.25">
      <c r="A3322" t="str">
        <f>HYPERLINK("https://elite.finviz.com/quote.ashx?t=WDI&amp;ty=c&amp;p=d&amp;b=1", "WDI")</f>
        <v>WDI</v>
      </c>
      <c r="B3322">
        <v>4</v>
      </c>
      <c r="C3322">
        <v>105.92</v>
      </c>
      <c r="D3322">
        <v>34.96</v>
      </c>
      <c r="E3322" t="s">
        <v>28503</v>
      </c>
      <c r="F3322" t="s">
        <v>107</v>
      </c>
      <c r="G3322" t="s">
        <v>550</v>
      </c>
      <c r="H3322" t="s">
        <v>2597</v>
      </c>
      <c r="I3322" t="s">
        <v>70</v>
      </c>
      <c r="J3322" t="s">
        <v>71</v>
      </c>
      <c r="K3322">
        <v>768.96</v>
      </c>
      <c r="L3322">
        <v>14.85</v>
      </c>
      <c r="M3322" t="s">
        <v>1547</v>
      </c>
      <c r="N3322">
        <v>38734</v>
      </c>
      <c r="O3322">
        <v>12.27</v>
      </c>
      <c r="T3322" t="s">
        <v>6531</v>
      </c>
      <c r="U3322">
        <v>1.78</v>
      </c>
      <c r="V3322" t="s">
        <v>20796</v>
      </c>
      <c r="W3322" t="s">
        <v>2428</v>
      </c>
      <c r="X3322" t="s">
        <v>20523</v>
      </c>
      <c r="Z3322" t="s">
        <v>28504</v>
      </c>
      <c r="AA3322">
        <v>1.21</v>
      </c>
      <c r="AK3322" t="s">
        <v>13228</v>
      </c>
      <c r="AR3322" t="s">
        <v>4759</v>
      </c>
      <c r="AS3322" t="s">
        <v>4782</v>
      </c>
      <c r="AT3322" t="s">
        <v>14607</v>
      </c>
      <c r="AU3322" t="s">
        <v>2007</v>
      </c>
      <c r="AV3322" t="s">
        <v>1279</v>
      </c>
      <c r="AW3322" t="s">
        <v>2673</v>
      </c>
      <c r="AX3322" t="s">
        <v>2290</v>
      </c>
      <c r="AY3322" t="s">
        <v>5880</v>
      </c>
      <c r="AZ3322" t="s">
        <v>8694</v>
      </c>
      <c r="BB3322">
        <v>157.35</v>
      </c>
      <c r="BC3322">
        <v>0.87</v>
      </c>
      <c r="BD3322">
        <v>14.86</v>
      </c>
      <c r="BE3322">
        <v>14.9</v>
      </c>
      <c r="BF3322">
        <v>14.83</v>
      </c>
      <c r="BG3322" t="s">
        <v>28505</v>
      </c>
      <c r="BH3322" t="s">
        <v>27725</v>
      </c>
      <c r="BI3322" t="s">
        <v>5382</v>
      </c>
      <c r="BJ3322" t="s">
        <v>101</v>
      </c>
      <c r="BK3322" t="s">
        <v>6719</v>
      </c>
      <c r="BL3322" t="s">
        <v>6151</v>
      </c>
      <c r="BM3322" t="s">
        <v>10703</v>
      </c>
      <c r="BN3322" t="s">
        <v>27621</v>
      </c>
    </row>
    <row r="3323" spans="1:66" x14ac:dyDescent="0.25">
      <c r="A3323" t="str">
        <f>HYPERLINK("https://elite.finviz.com/quote.ashx?t=PDSB&amp;ty=c&amp;p=d&amp;b=1", "PDSB")</f>
        <v>PDSB</v>
      </c>
      <c r="B3323">
        <v>4</v>
      </c>
      <c r="C3323">
        <v>105.92</v>
      </c>
      <c r="D3323">
        <v>34.96</v>
      </c>
      <c r="E3323" t="s">
        <v>28506</v>
      </c>
      <c r="F3323" t="s">
        <v>107</v>
      </c>
      <c r="G3323" t="s">
        <v>428</v>
      </c>
      <c r="H3323" t="s">
        <v>429</v>
      </c>
      <c r="I3323" t="s">
        <v>70</v>
      </c>
      <c r="J3323" t="s">
        <v>321</v>
      </c>
      <c r="K3323">
        <v>47.73</v>
      </c>
      <c r="L3323">
        <v>1.01</v>
      </c>
      <c r="M3323" t="s">
        <v>4763</v>
      </c>
      <c r="N3323">
        <v>110848</v>
      </c>
      <c r="S3323">
        <v>2.97</v>
      </c>
      <c r="AA3323">
        <v>-0.92</v>
      </c>
      <c r="AB3323" t="s">
        <v>19824</v>
      </c>
      <c r="AC3323" t="s">
        <v>4742</v>
      </c>
      <c r="AD3323" t="s">
        <v>6928</v>
      </c>
      <c r="AI3323" t="s">
        <v>6448</v>
      </c>
      <c r="AJ3323" t="s">
        <v>164</v>
      </c>
      <c r="AK3323" t="s">
        <v>9860</v>
      </c>
      <c r="AL3323">
        <v>2.92</v>
      </c>
      <c r="AM3323">
        <v>2.92</v>
      </c>
      <c r="AN3323">
        <v>1.1599999999999999</v>
      </c>
      <c r="AR3323" t="s">
        <v>3506</v>
      </c>
      <c r="AS3323" t="s">
        <v>8593</v>
      </c>
      <c r="AT3323" t="s">
        <v>15775</v>
      </c>
      <c r="AU3323" t="s">
        <v>1024</v>
      </c>
      <c r="AV3323" t="s">
        <v>1010</v>
      </c>
      <c r="AW3323" t="s">
        <v>28507</v>
      </c>
      <c r="AX3323" t="s">
        <v>4273</v>
      </c>
      <c r="AY3323" t="s">
        <v>13404</v>
      </c>
      <c r="AZ3323" t="s">
        <v>9905</v>
      </c>
      <c r="BA3323">
        <v>1</v>
      </c>
      <c r="BB3323">
        <v>502.02</v>
      </c>
      <c r="BC3323">
        <v>0.78</v>
      </c>
      <c r="BD3323">
        <v>1.03</v>
      </c>
      <c r="BE3323">
        <v>1.05</v>
      </c>
      <c r="BF3323">
        <v>1.01</v>
      </c>
      <c r="BG3323" t="s">
        <v>28508</v>
      </c>
      <c r="BH3323" t="s">
        <v>1969</v>
      </c>
      <c r="BI3323" t="s">
        <v>28509</v>
      </c>
      <c r="BJ3323" t="s">
        <v>101</v>
      </c>
      <c r="BK3323" t="s">
        <v>19597</v>
      </c>
      <c r="BL3323" t="s">
        <v>2957</v>
      </c>
      <c r="BM3323" t="s">
        <v>28510</v>
      </c>
      <c r="BN3323" t="s">
        <v>27621</v>
      </c>
    </row>
    <row r="3324" spans="1:66" x14ac:dyDescent="0.25">
      <c r="A3324" t="str">
        <f>HYPERLINK("https://elite.finviz.com/quote.ashx?t=BV&amp;ty=c&amp;p=d&amp;b=1", "BV")</f>
        <v>BV</v>
      </c>
      <c r="B3324">
        <v>4</v>
      </c>
      <c r="C3324">
        <v>105.92</v>
      </c>
      <c r="D3324">
        <v>34.99</v>
      </c>
      <c r="E3324" t="s">
        <v>28511</v>
      </c>
      <c r="F3324" t="s">
        <v>67</v>
      </c>
      <c r="G3324" t="s">
        <v>260</v>
      </c>
      <c r="H3324" t="s">
        <v>1077</v>
      </c>
      <c r="I3324" t="s">
        <v>70</v>
      </c>
      <c r="J3324" t="s">
        <v>71</v>
      </c>
      <c r="K3324">
        <v>1253.54</v>
      </c>
      <c r="L3324">
        <v>13.21</v>
      </c>
      <c r="M3324" t="s">
        <v>6056</v>
      </c>
      <c r="N3324">
        <v>104479</v>
      </c>
      <c r="O3324">
        <v>394.3</v>
      </c>
      <c r="P3324">
        <v>15.29</v>
      </c>
      <c r="Q3324">
        <v>37.299999999999997</v>
      </c>
      <c r="R3324">
        <v>0.46</v>
      </c>
      <c r="S3324">
        <v>0.98</v>
      </c>
      <c r="Z3324" t="s">
        <v>164</v>
      </c>
      <c r="AA3324">
        <v>0.03</v>
      </c>
      <c r="AB3324" t="s">
        <v>1451</v>
      </c>
      <c r="AC3324" t="s">
        <v>12060</v>
      </c>
      <c r="AD3324" t="s">
        <v>326</v>
      </c>
      <c r="AE3324" t="s">
        <v>900</v>
      </c>
      <c r="AF3324" t="s">
        <v>2496</v>
      </c>
      <c r="AG3324" t="s">
        <v>205</v>
      </c>
      <c r="AH3324" t="s">
        <v>2304</v>
      </c>
      <c r="AI3324" t="s">
        <v>4284</v>
      </c>
      <c r="AJ3324" t="s">
        <v>16189</v>
      </c>
      <c r="AK3324" t="s">
        <v>11512</v>
      </c>
      <c r="AL3324">
        <v>1.31</v>
      </c>
      <c r="AM3324">
        <v>1.31</v>
      </c>
      <c r="AN3324">
        <v>0.49</v>
      </c>
      <c r="AO3324" t="s">
        <v>7726</v>
      </c>
      <c r="AP3324" t="s">
        <v>3951</v>
      </c>
      <c r="AQ3324" t="s">
        <v>4494</v>
      </c>
      <c r="AR3324" t="s">
        <v>4891</v>
      </c>
      <c r="AS3324" t="s">
        <v>4154</v>
      </c>
      <c r="AT3324" t="s">
        <v>2998</v>
      </c>
      <c r="AU3324" t="s">
        <v>10332</v>
      </c>
      <c r="AV3324" t="s">
        <v>7951</v>
      </c>
      <c r="AW3324" t="s">
        <v>28512</v>
      </c>
      <c r="AX3324" t="s">
        <v>2175</v>
      </c>
      <c r="AY3324" t="s">
        <v>1058</v>
      </c>
      <c r="AZ3324" t="s">
        <v>2819</v>
      </c>
      <c r="BA3324">
        <v>2.2200000000000002</v>
      </c>
      <c r="BB3324">
        <v>968.3</v>
      </c>
      <c r="BC3324">
        <v>0.38</v>
      </c>
      <c r="BD3324">
        <v>13.01</v>
      </c>
      <c r="BE3324">
        <v>13.28</v>
      </c>
      <c r="BF3324">
        <v>13</v>
      </c>
      <c r="BG3324" t="s">
        <v>28513</v>
      </c>
      <c r="BH3324" t="s">
        <v>23745</v>
      </c>
      <c r="BI3324" t="s">
        <v>19978</v>
      </c>
      <c r="BJ3324" t="s">
        <v>101</v>
      </c>
      <c r="BK3324" t="s">
        <v>15379</v>
      </c>
      <c r="BL3324" t="s">
        <v>1547</v>
      </c>
      <c r="BM3324" t="s">
        <v>15067</v>
      </c>
      <c r="BN3324" t="s">
        <v>27621</v>
      </c>
    </row>
    <row r="3325" spans="1:66" x14ac:dyDescent="0.25">
      <c r="A3325" t="str">
        <f>HYPERLINK("https://elite.finviz.com/quote.ashx?t=ERIE&amp;ty=c&amp;p=d&amp;b=1", "ERIE")</f>
        <v>ERIE</v>
      </c>
      <c r="B3325">
        <v>4</v>
      </c>
      <c r="C3325">
        <v>105.92</v>
      </c>
      <c r="D3325">
        <v>35</v>
      </c>
      <c r="E3325" t="s">
        <v>28514</v>
      </c>
      <c r="F3325" t="s">
        <v>195</v>
      </c>
      <c r="G3325" t="s">
        <v>550</v>
      </c>
      <c r="H3325" t="s">
        <v>10916</v>
      </c>
      <c r="I3325" t="s">
        <v>70</v>
      </c>
      <c r="J3325" t="s">
        <v>321</v>
      </c>
      <c r="K3325">
        <v>14737.2</v>
      </c>
      <c r="L3325">
        <v>316.45</v>
      </c>
      <c r="M3325" t="s">
        <v>4902</v>
      </c>
      <c r="N3325">
        <v>5793</v>
      </c>
      <c r="O3325">
        <v>26.68</v>
      </c>
      <c r="P3325">
        <v>21.84</v>
      </c>
      <c r="R3325">
        <v>3.71</v>
      </c>
      <c r="S3325">
        <v>6.75</v>
      </c>
      <c r="T3325" t="s">
        <v>6336</v>
      </c>
      <c r="U3325">
        <v>5.37</v>
      </c>
      <c r="V3325" t="s">
        <v>11435</v>
      </c>
      <c r="W3325" t="s">
        <v>297</v>
      </c>
      <c r="X3325" t="s">
        <v>5999</v>
      </c>
      <c r="Y3325" t="s">
        <v>3121</v>
      </c>
      <c r="Z3325" t="s">
        <v>15926</v>
      </c>
      <c r="AA3325">
        <v>11.86</v>
      </c>
      <c r="AB3325" t="s">
        <v>7433</v>
      </c>
      <c r="AC3325" t="s">
        <v>5539</v>
      </c>
      <c r="AE3325" t="s">
        <v>2715</v>
      </c>
      <c r="AF3325" t="s">
        <v>2337</v>
      </c>
      <c r="AG3325" t="s">
        <v>716</v>
      </c>
      <c r="AH3325" t="s">
        <v>1653</v>
      </c>
      <c r="AI3325" t="s">
        <v>1149</v>
      </c>
      <c r="AJ3325" t="s">
        <v>164</v>
      </c>
      <c r="AK3325" t="s">
        <v>6402</v>
      </c>
      <c r="AL3325">
        <v>1.47</v>
      </c>
      <c r="AM3325">
        <v>1.47</v>
      </c>
      <c r="AN3325">
        <v>0</v>
      </c>
      <c r="AO3325" t="s">
        <v>339</v>
      </c>
      <c r="AP3325" t="s">
        <v>535</v>
      </c>
      <c r="AQ3325" t="s">
        <v>4153</v>
      </c>
      <c r="AR3325" t="s">
        <v>2202</v>
      </c>
      <c r="AS3325" t="s">
        <v>6003</v>
      </c>
      <c r="AT3325" t="s">
        <v>5061</v>
      </c>
      <c r="AU3325" t="s">
        <v>4325</v>
      </c>
      <c r="AV3325" t="s">
        <v>22294</v>
      </c>
      <c r="AW3325" t="s">
        <v>8900</v>
      </c>
      <c r="AX3325" t="s">
        <v>6692</v>
      </c>
      <c r="AY3325" t="s">
        <v>22288</v>
      </c>
      <c r="AZ3325" t="s">
        <v>6692</v>
      </c>
      <c r="BA3325">
        <v>2</v>
      </c>
      <c r="BB3325">
        <v>142.30000000000001</v>
      </c>
      <c r="BC3325">
        <v>0.14000000000000001</v>
      </c>
      <c r="BD3325">
        <v>312.95</v>
      </c>
      <c r="BE3325">
        <v>317.49</v>
      </c>
      <c r="BF3325">
        <v>315.49</v>
      </c>
      <c r="BG3325" t="s">
        <v>28515</v>
      </c>
      <c r="BH3325" t="s">
        <v>17872</v>
      </c>
      <c r="BI3325" t="s">
        <v>28516</v>
      </c>
      <c r="BJ3325" t="s">
        <v>101</v>
      </c>
      <c r="BK3325" t="s">
        <v>7455</v>
      </c>
      <c r="BL3325" t="s">
        <v>4814</v>
      </c>
      <c r="BM3325" t="s">
        <v>28145</v>
      </c>
      <c r="BN3325" t="s">
        <v>27621</v>
      </c>
    </row>
    <row r="3326" spans="1:66" x14ac:dyDescent="0.25">
      <c r="A3326" t="str">
        <f>HYPERLINK("https://elite.finviz.com/quote.ashx?t=DXYZ&amp;ty=c&amp;p=d&amp;b=1", "DXYZ")</f>
        <v>DXYZ</v>
      </c>
      <c r="B3326">
        <v>4</v>
      </c>
      <c r="C3326">
        <v>105.92</v>
      </c>
      <c r="D3326">
        <v>35.04</v>
      </c>
      <c r="E3326" t="s">
        <v>28517</v>
      </c>
      <c r="F3326" t="s">
        <v>107</v>
      </c>
      <c r="G3326" t="s">
        <v>550</v>
      </c>
      <c r="H3326" t="s">
        <v>2597</v>
      </c>
      <c r="I3326" t="s">
        <v>70</v>
      </c>
      <c r="J3326" t="s">
        <v>71</v>
      </c>
      <c r="K3326">
        <v>268.39999999999998</v>
      </c>
      <c r="L3326">
        <v>24.67</v>
      </c>
      <c r="M3326" t="s">
        <v>2950</v>
      </c>
      <c r="N3326">
        <v>162947</v>
      </c>
      <c r="O3326">
        <v>13.48</v>
      </c>
      <c r="Z3326" t="s">
        <v>164</v>
      </c>
      <c r="AA3326">
        <v>1.83</v>
      </c>
      <c r="AJ3326" t="s">
        <v>28518</v>
      </c>
      <c r="AK3326" t="s">
        <v>5164</v>
      </c>
      <c r="AR3326" t="s">
        <v>5467</v>
      </c>
      <c r="AS3326" t="s">
        <v>323</v>
      </c>
      <c r="AT3326" t="s">
        <v>4517</v>
      </c>
      <c r="AU3326" t="s">
        <v>12167</v>
      </c>
      <c r="AV3326" t="s">
        <v>28519</v>
      </c>
      <c r="AW3326" t="s">
        <v>19487</v>
      </c>
      <c r="AX3326" t="s">
        <v>3113</v>
      </c>
      <c r="AY3326" t="s">
        <v>21245</v>
      </c>
      <c r="AZ3326" t="s">
        <v>18606</v>
      </c>
      <c r="BB3326">
        <v>481.7</v>
      </c>
      <c r="BC3326">
        <v>1.19</v>
      </c>
      <c r="BD3326">
        <v>25.07</v>
      </c>
      <c r="BE3326">
        <v>25.7</v>
      </c>
      <c r="BF3326">
        <v>24.61</v>
      </c>
      <c r="BG3326" t="s">
        <v>28520</v>
      </c>
      <c r="BH3326" t="s">
        <v>15806</v>
      </c>
      <c r="BI3326" t="s">
        <v>28521</v>
      </c>
      <c r="BJ3326" t="s">
        <v>101</v>
      </c>
      <c r="BK3326" t="s">
        <v>28522</v>
      </c>
      <c r="BL3326" t="s">
        <v>21309</v>
      </c>
      <c r="BM3326" t="s">
        <v>28523</v>
      </c>
      <c r="BN3326" t="s">
        <v>27621</v>
      </c>
    </row>
    <row r="3327" spans="1:66" x14ac:dyDescent="0.25">
      <c r="A3327" t="str">
        <f>HYPERLINK("https://elite.finviz.com/quote.ashx?t=THS&amp;ty=c&amp;p=d&amp;b=1", "THS")</f>
        <v>THS</v>
      </c>
      <c r="B3327">
        <v>4</v>
      </c>
      <c r="C3327">
        <v>105.92</v>
      </c>
      <c r="D3327">
        <v>35.08</v>
      </c>
      <c r="E3327" t="s">
        <v>28524</v>
      </c>
      <c r="F3327" t="s">
        <v>67</v>
      </c>
      <c r="G3327" t="s">
        <v>2244</v>
      </c>
      <c r="H3327" t="s">
        <v>3269</v>
      </c>
      <c r="I3327" t="s">
        <v>70</v>
      </c>
      <c r="J3327" t="s">
        <v>71</v>
      </c>
      <c r="K3327">
        <v>813.55</v>
      </c>
      <c r="L3327">
        <v>16.11</v>
      </c>
      <c r="M3327" t="s">
        <v>80</v>
      </c>
      <c r="N3327">
        <v>81531</v>
      </c>
      <c r="O3327">
        <v>41.17</v>
      </c>
      <c r="P3327">
        <v>8.1</v>
      </c>
      <c r="Q3327">
        <v>9.4600000000000009</v>
      </c>
      <c r="R3327">
        <v>0.24</v>
      </c>
      <c r="S3327">
        <v>0.53</v>
      </c>
      <c r="Z3327" t="s">
        <v>164</v>
      </c>
      <c r="AA3327">
        <v>0.39</v>
      </c>
      <c r="AD3327" t="s">
        <v>3520</v>
      </c>
      <c r="AE3327" t="s">
        <v>5879</v>
      </c>
      <c r="AF3327" t="s">
        <v>2472</v>
      </c>
      <c r="AG3327" t="s">
        <v>4665</v>
      </c>
      <c r="AH3327" t="s">
        <v>1417</v>
      </c>
      <c r="AI3327" t="s">
        <v>6179</v>
      </c>
      <c r="AJ3327" t="s">
        <v>28525</v>
      </c>
      <c r="AK3327" t="s">
        <v>28526</v>
      </c>
      <c r="AL3327">
        <v>1.26</v>
      </c>
      <c r="AM3327">
        <v>0.38</v>
      </c>
      <c r="AN3327">
        <v>1.08</v>
      </c>
      <c r="AO3327" t="s">
        <v>10541</v>
      </c>
      <c r="AP3327" t="s">
        <v>351</v>
      </c>
      <c r="AQ3327" t="s">
        <v>4308</v>
      </c>
      <c r="AR3327" t="s">
        <v>9651</v>
      </c>
      <c r="AS3327" t="s">
        <v>4677</v>
      </c>
      <c r="AT3327" t="s">
        <v>1529</v>
      </c>
      <c r="AU3327" t="s">
        <v>15457</v>
      </c>
      <c r="AV3327" t="s">
        <v>18240</v>
      </c>
      <c r="AW3327" t="s">
        <v>28527</v>
      </c>
      <c r="AX3327" t="s">
        <v>2082</v>
      </c>
      <c r="AY3327" t="s">
        <v>27737</v>
      </c>
      <c r="AZ3327" t="s">
        <v>2082</v>
      </c>
      <c r="BA3327">
        <v>2.67</v>
      </c>
      <c r="BB3327">
        <v>766.47</v>
      </c>
      <c r="BC3327">
        <v>0.37</v>
      </c>
      <c r="BD3327">
        <v>15.91</v>
      </c>
      <c r="BE3327">
        <v>16.14</v>
      </c>
      <c r="BF3327">
        <v>15.91</v>
      </c>
      <c r="BG3327" t="s">
        <v>28528</v>
      </c>
      <c r="BH3327" t="s">
        <v>21289</v>
      </c>
      <c r="BI3327" t="s">
        <v>2082</v>
      </c>
      <c r="BJ3327" t="s">
        <v>101</v>
      </c>
      <c r="BK3327" t="s">
        <v>20057</v>
      </c>
      <c r="BL3327" t="s">
        <v>26797</v>
      </c>
      <c r="BM3327" t="s">
        <v>23083</v>
      </c>
      <c r="BN3327" t="s">
        <v>27621</v>
      </c>
    </row>
    <row r="3328" spans="1:66" x14ac:dyDescent="0.25">
      <c r="A3328" t="str">
        <f>HYPERLINK("https://elite.finviz.com/quote.ashx?t=HGBL&amp;ty=c&amp;p=d&amp;b=1", "HGBL")</f>
        <v>HGBL</v>
      </c>
      <c r="B3328">
        <v>4</v>
      </c>
      <c r="C3328">
        <v>105.92</v>
      </c>
      <c r="D3328">
        <v>35.1</v>
      </c>
      <c r="E3328" t="s">
        <v>28529</v>
      </c>
      <c r="F3328" t="s">
        <v>107</v>
      </c>
      <c r="G3328" t="s">
        <v>550</v>
      </c>
      <c r="H3328" t="s">
        <v>551</v>
      </c>
      <c r="I3328" t="s">
        <v>70</v>
      </c>
      <c r="J3328" t="s">
        <v>321</v>
      </c>
      <c r="K3328">
        <v>60.1</v>
      </c>
      <c r="L3328">
        <v>1.73</v>
      </c>
      <c r="M3328" t="s">
        <v>3896</v>
      </c>
      <c r="N3328">
        <v>26701</v>
      </c>
      <c r="O3328">
        <v>17.489999999999998</v>
      </c>
      <c r="P3328">
        <v>7.94</v>
      </c>
      <c r="Q3328">
        <v>1.21</v>
      </c>
      <c r="R3328">
        <v>1.23</v>
      </c>
      <c r="S3328">
        <v>0.91</v>
      </c>
      <c r="Z3328" t="s">
        <v>164</v>
      </c>
      <c r="AA3328">
        <v>0.1</v>
      </c>
      <c r="AB3328" t="s">
        <v>4874</v>
      </c>
      <c r="AC3328" t="s">
        <v>2759</v>
      </c>
      <c r="AD3328" t="s">
        <v>5699</v>
      </c>
      <c r="AE3328" t="s">
        <v>1828</v>
      </c>
      <c r="AF3328" t="s">
        <v>1876</v>
      </c>
      <c r="AG3328" t="s">
        <v>5128</v>
      </c>
      <c r="AH3328" t="s">
        <v>8982</v>
      </c>
      <c r="AI3328" t="s">
        <v>821</v>
      </c>
      <c r="AJ3328" t="s">
        <v>164</v>
      </c>
      <c r="AK3328" t="s">
        <v>17256</v>
      </c>
      <c r="AL3328">
        <v>2.0499999999999998</v>
      </c>
      <c r="AM3328">
        <v>1.69</v>
      </c>
      <c r="AN3328">
        <v>0.11</v>
      </c>
      <c r="AO3328" t="s">
        <v>28530</v>
      </c>
      <c r="AP3328" t="s">
        <v>1369</v>
      </c>
      <c r="AQ3328" t="s">
        <v>4850</v>
      </c>
      <c r="AR3328" t="s">
        <v>1449</v>
      </c>
      <c r="AS3328" t="s">
        <v>3542</v>
      </c>
      <c r="AT3328" t="s">
        <v>2206</v>
      </c>
      <c r="AU3328" t="s">
        <v>9594</v>
      </c>
      <c r="AV3328" t="s">
        <v>11481</v>
      </c>
      <c r="AW3328" t="s">
        <v>11339</v>
      </c>
      <c r="AX3328" t="s">
        <v>6460</v>
      </c>
      <c r="AY3328" t="s">
        <v>8713</v>
      </c>
      <c r="AZ3328" t="s">
        <v>7945</v>
      </c>
      <c r="BA3328">
        <v>1</v>
      </c>
      <c r="BB3328">
        <v>47.41</v>
      </c>
      <c r="BC3328">
        <v>2</v>
      </c>
      <c r="BD3328">
        <v>1.74</v>
      </c>
      <c r="BE3328">
        <v>1.74</v>
      </c>
      <c r="BF3328">
        <v>1.7</v>
      </c>
      <c r="BG3328" t="s">
        <v>28531</v>
      </c>
      <c r="BH3328" t="s">
        <v>26711</v>
      </c>
      <c r="BJ3328" t="s">
        <v>101</v>
      </c>
      <c r="BK3328" t="s">
        <v>12623</v>
      </c>
      <c r="BL3328" t="s">
        <v>18342</v>
      </c>
      <c r="BM3328" t="s">
        <v>4872</v>
      </c>
      <c r="BN3328" t="s">
        <v>27621</v>
      </c>
    </row>
    <row r="3329" spans="1:66" x14ac:dyDescent="0.25">
      <c r="A3329" t="str">
        <f>HYPERLINK("https://elite.finviz.com/quote.ashx?t=CNVS&amp;ty=c&amp;p=d&amp;b=1", "CNVS")</f>
        <v>CNVS</v>
      </c>
      <c r="B3329">
        <v>4</v>
      </c>
      <c r="C3329">
        <v>105.92</v>
      </c>
      <c r="D3329">
        <v>35.18</v>
      </c>
      <c r="E3329" t="s">
        <v>28532</v>
      </c>
      <c r="F3329" t="s">
        <v>107</v>
      </c>
      <c r="G3329" t="s">
        <v>598</v>
      </c>
      <c r="H3329" t="s">
        <v>4247</v>
      </c>
      <c r="I3329" t="s">
        <v>70</v>
      </c>
      <c r="J3329" t="s">
        <v>321</v>
      </c>
      <c r="K3329">
        <v>64.66</v>
      </c>
      <c r="L3329">
        <v>3.39</v>
      </c>
      <c r="M3329" t="s">
        <v>2641</v>
      </c>
      <c r="N3329">
        <v>22091</v>
      </c>
      <c r="O3329">
        <v>25.3</v>
      </c>
      <c r="P3329">
        <v>16.14</v>
      </c>
      <c r="R3329">
        <v>0.81</v>
      </c>
      <c r="S3329">
        <v>1.73</v>
      </c>
      <c r="Z3329" t="s">
        <v>164</v>
      </c>
      <c r="AA3329">
        <v>0.13</v>
      </c>
      <c r="AB3329" t="s">
        <v>3114</v>
      </c>
      <c r="AE3329" t="s">
        <v>28533</v>
      </c>
      <c r="AF3329" t="s">
        <v>1206</v>
      </c>
      <c r="AG3329" t="s">
        <v>5706</v>
      </c>
      <c r="AH3329" t="s">
        <v>4664</v>
      </c>
      <c r="AI3329" t="s">
        <v>28534</v>
      </c>
      <c r="AJ3329" t="s">
        <v>164</v>
      </c>
      <c r="AK3329" t="s">
        <v>11856</v>
      </c>
      <c r="AL3329">
        <v>0.99</v>
      </c>
      <c r="AM3329">
        <v>0.99</v>
      </c>
      <c r="AN3329">
        <v>0.11</v>
      </c>
      <c r="AO3329" t="s">
        <v>1824</v>
      </c>
      <c r="AP3329" t="s">
        <v>5726</v>
      </c>
      <c r="AQ3329" t="s">
        <v>5736</v>
      </c>
      <c r="AR3329" t="s">
        <v>3855</v>
      </c>
      <c r="AS3329" t="s">
        <v>7542</v>
      </c>
      <c r="AT3329" t="s">
        <v>5101</v>
      </c>
      <c r="AU3329" t="s">
        <v>28535</v>
      </c>
      <c r="AV3329" t="s">
        <v>9638</v>
      </c>
      <c r="AW3329" t="s">
        <v>7277</v>
      </c>
      <c r="AX3329" t="s">
        <v>755</v>
      </c>
      <c r="AY3329" t="s">
        <v>1234</v>
      </c>
      <c r="AZ3329" t="s">
        <v>28536</v>
      </c>
      <c r="BA3329">
        <v>1</v>
      </c>
      <c r="BB3329">
        <v>442.65</v>
      </c>
      <c r="BC3329">
        <v>0.18</v>
      </c>
      <c r="BD3329">
        <v>3.38</v>
      </c>
      <c r="BE3329">
        <v>3.49</v>
      </c>
      <c r="BF3329">
        <v>3.41</v>
      </c>
      <c r="BG3329" t="s">
        <v>28537</v>
      </c>
      <c r="BH3329" t="s">
        <v>16966</v>
      </c>
      <c r="BI3329" t="s">
        <v>28538</v>
      </c>
      <c r="BJ3329" t="s">
        <v>101</v>
      </c>
      <c r="BK3329" t="s">
        <v>17392</v>
      </c>
      <c r="BL3329" t="s">
        <v>4780</v>
      </c>
      <c r="BM3329" t="s">
        <v>28539</v>
      </c>
      <c r="BN3329" t="s">
        <v>27621</v>
      </c>
    </row>
    <row r="3330" spans="1:66" x14ac:dyDescent="0.25">
      <c r="A3330" t="str">
        <f>HYPERLINK("https://elite.finviz.com/quote.ashx?t=PX&amp;ty=c&amp;p=d&amp;b=1", "PX")</f>
        <v>PX</v>
      </c>
      <c r="B3330">
        <v>4</v>
      </c>
      <c r="C3330">
        <v>105.92</v>
      </c>
      <c r="D3330">
        <v>35.19</v>
      </c>
      <c r="E3330" t="s">
        <v>28540</v>
      </c>
      <c r="F3330" t="s">
        <v>67</v>
      </c>
      <c r="G3330" t="s">
        <v>550</v>
      </c>
      <c r="H3330" t="s">
        <v>2597</v>
      </c>
      <c r="I3330" t="s">
        <v>70</v>
      </c>
      <c r="J3330" t="s">
        <v>71</v>
      </c>
      <c r="K3330">
        <v>1235.7</v>
      </c>
      <c r="L3330">
        <v>11.25</v>
      </c>
      <c r="M3330" t="s">
        <v>4237</v>
      </c>
      <c r="N3330">
        <v>40773</v>
      </c>
      <c r="O3330">
        <v>89.9</v>
      </c>
      <c r="P3330">
        <v>10.26</v>
      </c>
      <c r="Q3330">
        <v>11.22</v>
      </c>
      <c r="R3330">
        <v>4.12</v>
      </c>
      <c r="S3330">
        <v>3.66</v>
      </c>
      <c r="T3330" t="s">
        <v>1559</v>
      </c>
      <c r="U3330">
        <v>0.15</v>
      </c>
      <c r="V3330" t="s">
        <v>4882</v>
      </c>
      <c r="W3330" t="s">
        <v>2698</v>
      </c>
      <c r="Z3330" t="s">
        <v>22201</v>
      </c>
      <c r="AA3330">
        <v>0.13</v>
      </c>
      <c r="AB3330" t="s">
        <v>13432</v>
      </c>
      <c r="AC3330" t="s">
        <v>4704</v>
      </c>
      <c r="AD3330" t="s">
        <v>2446</v>
      </c>
      <c r="AE3330" t="s">
        <v>14549</v>
      </c>
      <c r="AF3330" t="s">
        <v>10971</v>
      </c>
      <c r="AG3330" t="s">
        <v>19804</v>
      </c>
      <c r="AH3330" t="s">
        <v>679</v>
      </c>
      <c r="AI3330" t="s">
        <v>1116</v>
      </c>
      <c r="AJ3330" t="s">
        <v>5000</v>
      </c>
      <c r="AK3330" t="s">
        <v>18842</v>
      </c>
      <c r="AL3330">
        <v>1.28</v>
      </c>
      <c r="AM3330">
        <v>1.28</v>
      </c>
      <c r="AN3330">
        <v>1.19</v>
      </c>
      <c r="AP3330" t="s">
        <v>4771</v>
      </c>
      <c r="AQ3330" t="s">
        <v>5100</v>
      </c>
      <c r="AR3330" t="s">
        <v>911</v>
      </c>
      <c r="AS3330" t="s">
        <v>2080</v>
      </c>
      <c r="AT3330" t="s">
        <v>1200</v>
      </c>
      <c r="AU3330" t="s">
        <v>6757</v>
      </c>
      <c r="AV3330" t="s">
        <v>786</v>
      </c>
      <c r="AW3330" t="s">
        <v>831</v>
      </c>
      <c r="AX3330" t="s">
        <v>2217</v>
      </c>
      <c r="AY3330" t="s">
        <v>985</v>
      </c>
      <c r="AZ3330" t="s">
        <v>10659</v>
      </c>
      <c r="BA3330">
        <v>1.75</v>
      </c>
      <c r="BB3330">
        <v>627.99</v>
      </c>
      <c r="BC3330">
        <v>0.23</v>
      </c>
      <c r="BD3330">
        <v>11.24</v>
      </c>
      <c r="BE3330">
        <v>11.41</v>
      </c>
      <c r="BF3330">
        <v>11.22</v>
      </c>
      <c r="BG3330" t="s">
        <v>28541</v>
      </c>
      <c r="BH3330" t="s">
        <v>8695</v>
      </c>
      <c r="BI3330" t="s">
        <v>28542</v>
      </c>
      <c r="BJ3330" t="s">
        <v>101</v>
      </c>
      <c r="BK3330" t="s">
        <v>6528</v>
      </c>
      <c r="BL3330" t="s">
        <v>19319</v>
      </c>
      <c r="BM3330" t="s">
        <v>4204</v>
      </c>
      <c r="BN3330" t="s">
        <v>27621</v>
      </c>
    </row>
    <row r="3331" spans="1:66" x14ac:dyDescent="0.25">
      <c r="A3331" t="str">
        <f>HYPERLINK("https://elite.finviz.com/quote.ashx?t=ALTI&amp;ty=c&amp;p=d&amp;b=1", "ALTI")</f>
        <v>ALTI</v>
      </c>
      <c r="B3331">
        <v>4</v>
      </c>
      <c r="C3331">
        <v>105.92</v>
      </c>
      <c r="D3331">
        <v>35.19</v>
      </c>
      <c r="E3331" t="s">
        <v>28543</v>
      </c>
      <c r="F3331" t="s">
        <v>67</v>
      </c>
      <c r="G3331" t="s">
        <v>550</v>
      </c>
      <c r="H3331" t="s">
        <v>2597</v>
      </c>
      <c r="I3331" t="s">
        <v>70</v>
      </c>
      <c r="J3331" t="s">
        <v>321</v>
      </c>
      <c r="K3331">
        <v>541.15</v>
      </c>
      <c r="L3331">
        <v>3.69</v>
      </c>
      <c r="M3331" t="s">
        <v>164</v>
      </c>
      <c r="N3331">
        <v>17701</v>
      </c>
      <c r="P3331">
        <v>13.67</v>
      </c>
      <c r="R3331">
        <v>2.46</v>
      </c>
      <c r="S3331">
        <v>1.07</v>
      </c>
      <c r="AA3331">
        <v>-1.78</v>
      </c>
      <c r="AB3331" t="s">
        <v>28544</v>
      </c>
      <c r="AC3331" t="s">
        <v>28545</v>
      </c>
      <c r="AE3331" t="s">
        <v>3705</v>
      </c>
      <c r="AH3331" t="s">
        <v>3204</v>
      </c>
      <c r="AJ3331" t="s">
        <v>2906</v>
      </c>
      <c r="AK3331" t="s">
        <v>2890</v>
      </c>
      <c r="AL3331">
        <v>1.54</v>
      </c>
      <c r="AM3331">
        <v>1.54</v>
      </c>
      <c r="AN3331">
        <v>0.1</v>
      </c>
      <c r="AP3331" t="s">
        <v>28546</v>
      </c>
      <c r="AQ3331" t="s">
        <v>23008</v>
      </c>
      <c r="AR3331" t="s">
        <v>215</v>
      </c>
      <c r="AS3331" t="s">
        <v>5885</v>
      </c>
      <c r="AT3331" t="s">
        <v>5748</v>
      </c>
      <c r="AU3331" t="s">
        <v>11400</v>
      </c>
      <c r="AV3331" t="s">
        <v>4531</v>
      </c>
      <c r="AW3331" t="s">
        <v>19185</v>
      </c>
      <c r="AX3331" t="s">
        <v>3832</v>
      </c>
      <c r="AY3331" t="s">
        <v>20756</v>
      </c>
      <c r="AZ3331" t="s">
        <v>15267</v>
      </c>
      <c r="BA3331">
        <v>1</v>
      </c>
      <c r="BB3331">
        <v>160.22</v>
      </c>
      <c r="BC3331">
        <v>0.39</v>
      </c>
      <c r="BD3331">
        <v>3.69</v>
      </c>
      <c r="BE3331">
        <v>3.74</v>
      </c>
      <c r="BF3331">
        <v>3.65</v>
      </c>
      <c r="BG3331" t="s">
        <v>28547</v>
      </c>
      <c r="BH3331" t="s">
        <v>28548</v>
      </c>
      <c r="BI3331" t="s">
        <v>15267</v>
      </c>
      <c r="BJ3331" t="s">
        <v>101</v>
      </c>
      <c r="BK3331" t="s">
        <v>14667</v>
      </c>
      <c r="BL3331" t="s">
        <v>4930</v>
      </c>
      <c r="BM3331" t="s">
        <v>3328</v>
      </c>
      <c r="BN3331" t="s">
        <v>27621</v>
      </c>
    </row>
    <row r="3332" spans="1:66" x14ac:dyDescent="0.25">
      <c r="A3332" t="str">
        <f>HYPERLINK("https://elite.finviz.com/quote.ashx?t=UFPT&amp;ty=c&amp;p=d&amp;b=1", "UFPT")</f>
        <v>UFPT</v>
      </c>
      <c r="B3332">
        <v>4</v>
      </c>
      <c r="C3332">
        <v>105.92</v>
      </c>
      <c r="D3332">
        <v>35.22</v>
      </c>
      <c r="E3332" t="s">
        <v>28549</v>
      </c>
      <c r="F3332" t="s">
        <v>67</v>
      </c>
      <c r="G3332" t="s">
        <v>428</v>
      </c>
      <c r="H3332" t="s">
        <v>2051</v>
      </c>
      <c r="I3332" t="s">
        <v>70</v>
      </c>
      <c r="J3332" t="s">
        <v>321</v>
      </c>
      <c r="K3332">
        <v>1473.75</v>
      </c>
      <c r="L3332">
        <v>191.12</v>
      </c>
      <c r="M3332" t="s">
        <v>2216</v>
      </c>
      <c r="N3332">
        <v>32317</v>
      </c>
      <c r="O3332">
        <v>22.16</v>
      </c>
      <c r="P3332">
        <v>18.09</v>
      </c>
      <c r="Q3332">
        <v>1.82</v>
      </c>
      <c r="R3332">
        <v>2.5</v>
      </c>
      <c r="S3332">
        <v>3.82</v>
      </c>
      <c r="Z3332" t="s">
        <v>164</v>
      </c>
      <c r="AA3332">
        <v>8.6300000000000008</v>
      </c>
      <c r="AB3332" t="s">
        <v>28550</v>
      </c>
      <c r="AC3332" t="s">
        <v>4745</v>
      </c>
      <c r="AD3332" t="s">
        <v>239</v>
      </c>
      <c r="AE3332" t="s">
        <v>11652</v>
      </c>
      <c r="AF3332" t="s">
        <v>19644</v>
      </c>
      <c r="AG3332" t="s">
        <v>10934</v>
      </c>
      <c r="AH3332" t="s">
        <v>9402</v>
      </c>
      <c r="AI3332" t="s">
        <v>821</v>
      </c>
      <c r="AJ3332" t="s">
        <v>4763</v>
      </c>
      <c r="AK3332" t="s">
        <v>28551</v>
      </c>
      <c r="AL3332">
        <v>2.77</v>
      </c>
      <c r="AM3332">
        <v>1.53</v>
      </c>
      <c r="AN3332">
        <v>0.47</v>
      </c>
      <c r="AO3332" t="s">
        <v>2972</v>
      </c>
      <c r="AP3332" t="s">
        <v>830</v>
      </c>
      <c r="AQ3332" t="s">
        <v>7605</v>
      </c>
      <c r="AR3332" t="s">
        <v>162</v>
      </c>
      <c r="AS3332" t="s">
        <v>2495</v>
      </c>
      <c r="AT3332" t="s">
        <v>10194</v>
      </c>
      <c r="AU3332" t="s">
        <v>14694</v>
      </c>
      <c r="AV3332" t="s">
        <v>12430</v>
      </c>
      <c r="AW3332" t="s">
        <v>12198</v>
      </c>
      <c r="AX3332" t="s">
        <v>2876</v>
      </c>
      <c r="AY3332" t="s">
        <v>28552</v>
      </c>
      <c r="AZ3332" t="s">
        <v>1159</v>
      </c>
      <c r="BA3332">
        <v>2</v>
      </c>
      <c r="BB3332">
        <v>110.36</v>
      </c>
      <c r="BC3332">
        <v>1.03</v>
      </c>
      <c r="BD3332">
        <v>190.04</v>
      </c>
      <c r="BE3332">
        <v>190.04</v>
      </c>
      <c r="BF3332">
        <v>190.17</v>
      </c>
      <c r="BG3332" t="s">
        <v>28553</v>
      </c>
      <c r="BH3332" t="s">
        <v>11190</v>
      </c>
      <c r="BI3332" t="s">
        <v>28554</v>
      </c>
      <c r="BJ3332" t="s">
        <v>101</v>
      </c>
      <c r="BK3332" t="s">
        <v>5613</v>
      </c>
      <c r="BL3332" t="s">
        <v>8506</v>
      </c>
      <c r="BM3332" t="s">
        <v>28555</v>
      </c>
      <c r="BN3332" t="s">
        <v>27621</v>
      </c>
    </row>
    <row r="3333" spans="1:66" x14ac:dyDescent="0.25">
      <c r="A3333" t="str">
        <f>HYPERLINK("https://elite.finviz.com/quote.ashx?t=GKOS&amp;ty=c&amp;p=d&amp;b=1", "GKOS")</f>
        <v>GKOS</v>
      </c>
      <c r="B3333">
        <v>4</v>
      </c>
      <c r="C3333">
        <v>105.92</v>
      </c>
      <c r="D3333">
        <v>35.24</v>
      </c>
      <c r="E3333" t="s">
        <v>28556</v>
      </c>
      <c r="F3333" t="s">
        <v>67</v>
      </c>
      <c r="G3333" t="s">
        <v>428</v>
      </c>
      <c r="H3333" t="s">
        <v>2051</v>
      </c>
      <c r="I3333" t="s">
        <v>70</v>
      </c>
      <c r="J3333" t="s">
        <v>71</v>
      </c>
      <c r="K3333">
        <v>4588</v>
      </c>
      <c r="L3333">
        <v>80</v>
      </c>
      <c r="M3333" t="s">
        <v>5257</v>
      </c>
      <c r="N3333">
        <v>250119</v>
      </c>
      <c r="P3333">
        <v>4294.1499999999996</v>
      </c>
      <c r="R3333">
        <v>10.6</v>
      </c>
      <c r="S3333">
        <v>5.99</v>
      </c>
      <c r="AA3333">
        <v>-1.66</v>
      </c>
      <c r="AB3333" t="s">
        <v>28447</v>
      </c>
      <c r="AE3333" t="s">
        <v>11897</v>
      </c>
      <c r="AF3333" t="s">
        <v>10619</v>
      </c>
      <c r="AG3333" t="s">
        <v>9123</v>
      </c>
      <c r="AH3333" t="s">
        <v>19211</v>
      </c>
      <c r="AI3333" t="s">
        <v>1423</v>
      </c>
      <c r="AJ3333" t="s">
        <v>124</v>
      </c>
      <c r="AK3333" t="s">
        <v>17506</v>
      </c>
      <c r="AL3333">
        <v>5.51</v>
      </c>
      <c r="AM3333">
        <v>4.6900000000000004</v>
      </c>
      <c r="AN3333">
        <v>0.14000000000000001</v>
      </c>
      <c r="AO3333" t="s">
        <v>3823</v>
      </c>
      <c r="AP3333" t="s">
        <v>19037</v>
      </c>
      <c r="AQ3333" t="s">
        <v>5406</v>
      </c>
      <c r="AR3333" t="s">
        <v>9130</v>
      </c>
      <c r="AS3333" t="s">
        <v>6150</v>
      </c>
      <c r="AT3333" t="s">
        <v>4841</v>
      </c>
      <c r="AU3333" t="s">
        <v>6205</v>
      </c>
      <c r="AV3333" t="s">
        <v>28557</v>
      </c>
      <c r="AW3333" t="s">
        <v>16222</v>
      </c>
      <c r="AX3333" t="s">
        <v>2059</v>
      </c>
      <c r="AY3333" t="s">
        <v>9560</v>
      </c>
      <c r="AZ3333" t="s">
        <v>3670</v>
      </c>
      <c r="BA3333">
        <v>1.53</v>
      </c>
      <c r="BB3333">
        <v>934.31</v>
      </c>
      <c r="BC3333">
        <v>0.94</v>
      </c>
      <c r="BD3333">
        <v>81.47</v>
      </c>
      <c r="BE3333">
        <v>82.14</v>
      </c>
      <c r="BF3333">
        <v>79.81</v>
      </c>
      <c r="BG3333" t="s">
        <v>28558</v>
      </c>
      <c r="BH3333" t="s">
        <v>9560</v>
      </c>
      <c r="BI3333" t="s">
        <v>28559</v>
      </c>
      <c r="BJ3333" t="s">
        <v>101</v>
      </c>
      <c r="BK3333" t="s">
        <v>28047</v>
      </c>
      <c r="BL3333" t="s">
        <v>11363</v>
      </c>
      <c r="BM3333" t="s">
        <v>522</v>
      </c>
      <c r="BN3333" t="s">
        <v>27621</v>
      </c>
    </row>
    <row r="3334" spans="1:66" x14ac:dyDescent="0.25">
      <c r="A3334" t="str">
        <f>HYPERLINK("https://elite.finviz.com/quote.ashx?t=DBD&amp;ty=c&amp;p=d&amp;b=1", "DBD")</f>
        <v>DBD</v>
      </c>
      <c r="B3334">
        <v>4</v>
      </c>
      <c r="C3334">
        <v>105.92</v>
      </c>
      <c r="D3334">
        <v>35.25</v>
      </c>
      <c r="E3334" t="s">
        <v>28560</v>
      </c>
      <c r="F3334" t="s">
        <v>67</v>
      </c>
      <c r="G3334" t="s">
        <v>108</v>
      </c>
      <c r="H3334" t="s">
        <v>136</v>
      </c>
      <c r="I3334" t="s">
        <v>70</v>
      </c>
      <c r="J3334" t="s">
        <v>71</v>
      </c>
      <c r="K3334">
        <v>2052.94</v>
      </c>
      <c r="L3334">
        <v>56.04</v>
      </c>
      <c r="M3334" t="s">
        <v>337</v>
      </c>
      <c r="N3334">
        <v>17970</v>
      </c>
      <c r="P3334">
        <v>11.31</v>
      </c>
      <c r="R3334">
        <v>0.56000000000000005</v>
      </c>
      <c r="S3334">
        <v>1.88</v>
      </c>
      <c r="T3334" t="s">
        <v>975</v>
      </c>
      <c r="AA3334">
        <v>-0.34</v>
      </c>
      <c r="AB3334" t="s">
        <v>8207</v>
      </c>
      <c r="AC3334" t="s">
        <v>18361</v>
      </c>
      <c r="AD3334" t="s">
        <v>4720</v>
      </c>
      <c r="AE3334" t="s">
        <v>1269</v>
      </c>
      <c r="AF3334" t="s">
        <v>10852</v>
      </c>
      <c r="AG3334" t="s">
        <v>9098</v>
      </c>
      <c r="AH3334" t="s">
        <v>1272</v>
      </c>
      <c r="AI3334" t="s">
        <v>13429</v>
      </c>
      <c r="AJ3334" t="s">
        <v>2265</v>
      </c>
      <c r="AK3334" t="s">
        <v>28561</v>
      </c>
      <c r="AL3334">
        <v>1.36</v>
      </c>
      <c r="AM3334">
        <v>0.91</v>
      </c>
      <c r="AN3334">
        <v>0.97</v>
      </c>
      <c r="AO3334" t="s">
        <v>2832</v>
      </c>
      <c r="AP3334" t="s">
        <v>5150</v>
      </c>
      <c r="AQ3334" t="s">
        <v>2263</v>
      </c>
      <c r="AR3334" t="s">
        <v>5425</v>
      </c>
      <c r="AS3334" t="s">
        <v>633</v>
      </c>
      <c r="AT3334" t="s">
        <v>15172</v>
      </c>
      <c r="AU3334" t="s">
        <v>1821</v>
      </c>
      <c r="AV3334" t="s">
        <v>584</v>
      </c>
      <c r="AW3334" t="s">
        <v>23553</v>
      </c>
      <c r="AX3334" t="s">
        <v>316</v>
      </c>
      <c r="AY3334" t="s">
        <v>23553</v>
      </c>
      <c r="AZ3334" t="s">
        <v>6262</v>
      </c>
      <c r="BA3334">
        <v>1</v>
      </c>
      <c r="BB3334">
        <v>230.92</v>
      </c>
      <c r="BC3334">
        <v>0.27</v>
      </c>
      <c r="BD3334">
        <v>56.27</v>
      </c>
      <c r="BE3334">
        <v>56.72</v>
      </c>
      <c r="BF3334">
        <v>55.63</v>
      </c>
      <c r="BG3334" t="s">
        <v>28562</v>
      </c>
      <c r="BH3334" t="s">
        <v>23553</v>
      </c>
      <c r="BI3334" t="s">
        <v>13069</v>
      </c>
      <c r="BJ3334" t="s">
        <v>101</v>
      </c>
      <c r="BK3334" t="s">
        <v>1837</v>
      </c>
      <c r="BL3334" t="s">
        <v>15950</v>
      </c>
      <c r="BM3334" t="s">
        <v>12500</v>
      </c>
      <c r="BN3334" t="s">
        <v>27621</v>
      </c>
    </row>
    <row r="3335" spans="1:66" x14ac:dyDescent="0.25">
      <c r="A3335" t="str">
        <f>HYPERLINK("https://elite.finviz.com/quote.ashx?t=DSGR&amp;ty=c&amp;p=d&amp;b=1", "DSGR")</f>
        <v>DSGR</v>
      </c>
      <c r="B3335">
        <v>4</v>
      </c>
      <c r="C3335">
        <v>105.92</v>
      </c>
      <c r="D3335">
        <v>35.26</v>
      </c>
      <c r="E3335" t="s">
        <v>28563</v>
      </c>
      <c r="F3335" t="s">
        <v>67</v>
      </c>
      <c r="G3335" t="s">
        <v>260</v>
      </c>
      <c r="H3335" t="s">
        <v>8107</v>
      </c>
      <c r="I3335" t="s">
        <v>70</v>
      </c>
      <c r="J3335" t="s">
        <v>321</v>
      </c>
      <c r="K3335">
        <v>1346.15</v>
      </c>
      <c r="L3335">
        <v>29.09</v>
      </c>
      <c r="M3335" t="s">
        <v>497</v>
      </c>
      <c r="N3335">
        <v>11212</v>
      </c>
      <c r="O3335">
        <v>347.14</v>
      </c>
      <c r="P3335">
        <v>24.04</v>
      </c>
      <c r="R3335">
        <v>0.7</v>
      </c>
      <c r="S3335">
        <v>2.0699999999999998</v>
      </c>
      <c r="V3335" t="s">
        <v>28564</v>
      </c>
      <c r="AA3335">
        <v>0.08</v>
      </c>
      <c r="AB3335" t="s">
        <v>6413</v>
      </c>
      <c r="AE3335" t="s">
        <v>6608</v>
      </c>
      <c r="AF3335" t="s">
        <v>18019</v>
      </c>
      <c r="AG3335" t="s">
        <v>18382</v>
      </c>
      <c r="AH3335" t="s">
        <v>15021</v>
      </c>
      <c r="AI3335" t="s">
        <v>8752</v>
      </c>
      <c r="AJ3335" t="s">
        <v>164</v>
      </c>
      <c r="AK3335" t="s">
        <v>3490</v>
      </c>
      <c r="AL3335">
        <v>2.59</v>
      </c>
      <c r="AM3335">
        <v>1.36</v>
      </c>
      <c r="AN3335">
        <v>1.27</v>
      </c>
      <c r="AO3335" t="s">
        <v>3643</v>
      </c>
      <c r="AP3335" t="s">
        <v>3958</v>
      </c>
      <c r="AQ3335" t="s">
        <v>430</v>
      </c>
      <c r="AR3335" t="s">
        <v>2543</v>
      </c>
      <c r="AS3335" t="s">
        <v>2473</v>
      </c>
      <c r="AT3335" t="s">
        <v>4888</v>
      </c>
      <c r="AU3335" t="s">
        <v>6741</v>
      </c>
      <c r="AV3335" t="s">
        <v>11896</v>
      </c>
      <c r="AW3335" t="s">
        <v>9071</v>
      </c>
      <c r="AX3335" t="s">
        <v>2662</v>
      </c>
      <c r="AY3335" t="s">
        <v>8432</v>
      </c>
      <c r="AZ3335" t="s">
        <v>9551</v>
      </c>
      <c r="BA3335">
        <v>1.67</v>
      </c>
      <c r="BB3335">
        <v>57.33</v>
      </c>
      <c r="BC3335">
        <v>0.69</v>
      </c>
      <c r="BD3335">
        <v>29.03</v>
      </c>
      <c r="BE3335">
        <v>29.93</v>
      </c>
      <c r="BF3335">
        <v>28.97</v>
      </c>
      <c r="BG3335" t="s">
        <v>28565</v>
      </c>
      <c r="BH3335" t="s">
        <v>8432</v>
      </c>
      <c r="BI3335" t="s">
        <v>28566</v>
      </c>
      <c r="BJ3335" t="s">
        <v>101</v>
      </c>
      <c r="BK3335" t="s">
        <v>4393</v>
      </c>
      <c r="BL3335" t="s">
        <v>4916</v>
      </c>
      <c r="BM3335" t="s">
        <v>742</v>
      </c>
      <c r="BN3335" t="s">
        <v>27621</v>
      </c>
    </row>
    <row r="3336" spans="1:66" x14ac:dyDescent="0.25">
      <c r="A3336" t="str">
        <f>HYPERLINK("https://elite.finviz.com/quote.ashx?t=PATK&amp;ty=c&amp;p=d&amp;b=1", "PATK")</f>
        <v>PATK</v>
      </c>
      <c r="B3336">
        <v>4</v>
      </c>
      <c r="C3336">
        <v>105.92</v>
      </c>
      <c r="D3336">
        <v>35.29</v>
      </c>
      <c r="E3336" t="s">
        <v>28567</v>
      </c>
      <c r="F3336" t="s">
        <v>67</v>
      </c>
      <c r="G3336" t="s">
        <v>813</v>
      </c>
      <c r="H3336" t="s">
        <v>3866</v>
      </c>
      <c r="I3336" t="s">
        <v>70</v>
      </c>
      <c r="J3336" t="s">
        <v>321</v>
      </c>
      <c r="K3336">
        <v>3411.57</v>
      </c>
      <c r="L3336">
        <v>102.51</v>
      </c>
      <c r="M3336" t="s">
        <v>4794</v>
      </c>
      <c r="N3336">
        <v>21664</v>
      </c>
      <c r="O3336">
        <v>27.74</v>
      </c>
      <c r="P3336">
        <v>18.579999999999998</v>
      </c>
      <c r="R3336">
        <v>0.89</v>
      </c>
      <c r="S3336">
        <v>2.98</v>
      </c>
      <c r="T3336" t="s">
        <v>3494</v>
      </c>
      <c r="U3336">
        <v>1.6</v>
      </c>
      <c r="V3336" t="s">
        <v>10943</v>
      </c>
      <c r="W3336" t="s">
        <v>3710</v>
      </c>
      <c r="X3336" t="s">
        <v>11397</v>
      </c>
      <c r="Y3336" t="s">
        <v>8289</v>
      </c>
      <c r="Z3336" t="s">
        <v>20425</v>
      </c>
      <c r="AA3336">
        <v>3.7</v>
      </c>
      <c r="AB3336" t="s">
        <v>4228</v>
      </c>
      <c r="AC3336" t="s">
        <v>7288</v>
      </c>
      <c r="AE3336" t="s">
        <v>614</v>
      </c>
      <c r="AF3336" t="s">
        <v>79</v>
      </c>
      <c r="AG3336" t="s">
        <v>3581</v>
      </c>
      <c r="AH3336" t="s">
        <v>2624</v>
      </c>
      <c r="AI3336" t="s">
        <v>6392</v>
      </c>
      <c r="AJ3336" t="s">
        <v>10842</v>
      </c>
      <c r="AK3336" t="s">
        <v>28568</v>
      </c>
      <c r="AL3336">
        <v>1.96</v>
      </c>
      <c r="AM3336">
        <v>0.75</v>
      </c>
      <c r="AN3336">
        <v>1.28</v>
      </c>
      <c r="AO3336" t="s">
        <v>25988</v>
      </c>
      <c r="AP3336" t="s">
        <v>1159</v>
      </c>
      <c r="AQ3336" t="s">
        <v>3636</v>
      </c>
      <c r="AR3336" t="s">
        <v>6430</v>
      </c>
      <c r="AS3336" t="s">
        <v>1933</v>
      </c>
      <c r="AT3336" t="s">
        <v>11313</v>
      </c>
      <c r="AU3336" t="s">
        <v>2998</v>
      </c>
      <c r="AV3336" t="s">
        <v>6122</v>
      </c>
      <c r="AW3336" t="s">
        <v>1287</v>
      </c>
      <c r="AX3336" t="s">
        <v>723</v>
      </c>
      <c r="AY3336" t="s">
        <v>1287</v>
      </c>
      <c r="AZ3336" t="s">
        <v>23351</v>
      </c>
      <c r="BA3336">
        <v>1.67</v>
      </c>
      <c r="BB3336">
        <v>308.20999999999998</v>
      </c>
      <c r="BC3336">
        <v>0.25</v>
      </c>
      <c r="BD3336">
        <v>102.33</v>
      </c>
      <c r="BE3336">
        <v>103.18</v>
      </c>
      <c r="BF3336">
        <v>102.17</v>
      </c>
      <c r="BG3336" t="s">
        <v>28569</v>
      </c>
      <c r="BH3336" t="s">
        <v>1287</v>
      </c>
      <c r="BI3336" t="s">
        <v>28570</v>
      </c>
      <c r="BJ3336" t="s">
        <v>101</v>
      </c>
      <c r="BK3336" t="s">
        <v>6085</v>
      </c>
      <c r="BL3336" t="s">
        <v>4855</v>
      </c>
      <c r="BM3336" t="s">
        <v>2922</v>
      </c>
      <c r="BN3336" t="s">
        <v>27621</v>
      </c>
    </row>
    <row r="3337" spans="1:66" x14ac:dyDescent="0.25">
      <c r="A3337" t="str">
        <f>HYPERLINK("https://elite.finviz.com/quote.ashx?t=SGBX&amp;ty=c&amp;p=d&amp;b=1", "SGBX")</f>
        <v>SGBX</v>
      </c>
      <c r="B3337">
        <v>4</v>
      </c>
      <c r="C3337">
        <v>105.92</v>
      </c>
      <c r="D3337">
        <v>35.31</v>
      </c>
      <c r="E3337" t="s">
        <v>28571</v>
      </c>
      <c r="F3337" t="s">
        <v>107</v>
      </c>
      <c r="G3337" t="s">
        <v>260</v>
      </c>
      <c r="H3337" t="s">
        <v>2223</v>
      </c>
      <c r="I3337" t="s">
        <v>70</v>
      </c>
      <c r="J3337" t="s">
        <v>321</v>
      </c>
      <c r="K3337">
        <v>3.77</v>
      </c>
      <c r="L3337">
        <v>7.81</v>
      </c>
      <c r="M3337" t="s">
        <v>1074</v>
      </c>
      <c r="N3337">
        <v>61596</v>
      </c>
      <c r="R3337">
        <v>0.93</v>
      </c>
      <c r="S3337">
        <v>7.0000000000000007E-2</v>
      </c>
      <c r="AA3337">
        <v>-350.64</v>
      </c>
      <c r="AB3337" t="s">
        <v>7045</v>
      </c>
      <c r="AC3337" t="s">
        <v>1535</v>
      </c>
      <c r="AE3337" t="s">
        <v>26859</v>
      </c>
      <c r="AF3337" t="s">
        <v>23582</v>
      </c>
      <c r="AG3337" t="s">
        <v>6810</v>
      </c>
      <c r="AH3337" t="s">
        <v>6639</v>
      </c>
      <c r="AJ3337" t="s">
        <v>164</v>
      </c>
      <c r="AK3337" t="s">
        <v>7699</v>
      </c>
      <c r="AL3337">
        <v>0.16</v>
      </c>
      <c r="AM3337">
        <v>0.13</v>
      </c>
      <c r="AN3337">
        <v>0.53</v>
      </c>
      <c r="AO3337" t="s">
        <v>28572</v>
      </c>
      <c r="AP3337" t="s">
        <v>28573</v>
      </c>
      <c r="AQ3337" t="s">
        <v>28574</v>
      </c>
      <c r="AR3337" t="s">
        <v>3560</v>
      </c>
      <c r="AS3337" t="s">
        <v>3188</v>
      </c>
      <c r="AT3337" t="s">
        <v>18365</v>
      </c>
      <c r="AU3337" t="s">
        <v>19030</v>
      </c>
      <c r="AV3337" t="s">
        <v>28575</v>
      </c>
      <c r="AW3337" t="s">
        <v>28576</v>
      </c>
      <c r="AX3337" t="s">
        <v>1492</v>
      </c>
      <c r="AY3337" t="s">
        <v>28577</v>
      </c>
      <c r="AZ3337" t="s">
        <v>1492</v>
      </c>
      <c r="BA3337">
        <v>1</v>
      </c>
      <c r="BB3337">
        <v>481.17</v>
      </c>
      <c r="BC3337">
        <v>0.45</v>
      </c>
      <c r="BD3337">
        <v>8.2200000000000006</v>
      </c>
      <c r="BE3337">
        <v>8.4</v>
      </c>
      <c r="BF3337">
        <v>7.52</v>
      </c>
      <c r="BG3337" t="s">
        <v>28578</v>
      </c>
      <c r="BH3337" t="s">
        <v>3320</v>
      </c>
      <c r="BI3337" t="s">
        <v>1492</v>
      </c>
      <c r="BJ3337" t="s">
        <v>101</v>
      </c>
      <c r="BK3337" t="s">
        <v>23200</v>
      </c>
      <c r="BL3337" t="s">
        <v>23035</v>
      </c>
      <c r="BM3337" t="s">
        <v>28579</v>
      </c>
      <c r="BN3337" t="s">
        <v>27621</v>
      </c>
    </row>
    <row r="3338" spans="1:66" x14ac:dyDescent="0.25">
      <c r="A3338" t="str">
        <f>HYPERLINK("https://elite.finviz.com/quote.ashx?t=OCSL&amp;ty=c&amp;p=d&amp;b=1", "OCSL")</f>
        <v>OCSL</v>
      </c>
      <c r="B3338">
        <v>4</v>
      </c>
      <c r="C3338">
        <v>105.92</v>
      </c>
      <c r="D3338">
        <v>35.36</v>
      </c>
      <c r="E3338" t="s">
        <v>28580</v>
      </c>
      <c r="F3338" t="s">
        <v>107</v>
      </c>
      <c r="G3338" t="s">
        <v>550</v>
      </c>
      <c r="H3338" t="s">
        <v>2597</v>
      </c>
      <c r="I3338" t="s">
        <v>70</v>
      </c>
      <c r="J3338" t="s">
        <v>321</v>
      </c>
      <c r="K3338">
        <v>1151.0899999999999</v>
      </c>
      <c r="L3338">
        <v>13.07</v>
      </c>
      <c r="M3338" t="s">
        <v>3358</v>
      </c>
      <c r="N3338">
        <v>127469</v>
      </c>
      <c r="O3338">
        <v>22.93</v>
      </c>
      <c r="P3338">
        <v>8.43</v>
      </c>
      <c r="R3338">
        <v>3.45</v>
      </c>
      <c r="S3338">
        <v>0.78</v>
      </c>
      <c r="T3338" t="s">
        <v>562</v>
      </c>
      <c r="U3338">
        <v>1.77</v>
      </c>
      <c r="V3338" t="s">
        <v>3833</v>
      </c>
      <c r="W3338" t="s">
        <v>439</v>
      </c>
      <c r="X3338" t="s">
        <v>5788</v>
      </c>
      <c r="Y3338" t="s">
        <v>11140</v>
      </c>
      <c r="Z3338" t="s">
        <v>28581</v>
      </c>
      <c r="AA3338">
        <v>0.56999999999999995</v>
      </c>
      <c r="AH3338" t="s">
        <v>5399</v>
      </c>
      <c r="AI3338" t="s">
        <v>1589</v>
      </c>
      <c r="AJ3338" t="s">
        <v>5676</v>
      </c>
      <c r="AK3338" t="s">
        <v>8765</v>
      </c>
      <c r="AR3338" t="s">
        <v>5420</v>
      </c>
      <c r="AS3338" t="s">
        <v>9136</v>
      </c>
      <c r="AT3338" t="s">
        <v>5309</v>
      </c>
      <c r="AU3338" t="s">
        <v>5189</v>
      </c>
      <c r="AV3338" t="s">
        <v>5773</v>
      </c>
      <c r="AW3338" t="s">
        <v>10146</v>
      </c>
      <c r="AX3338" t="s">
        <v>4294</v>
      </c>
      <c r="AY3338" t="s">
        <v>9377</v>
      </c>
      <c r="AZ3338" t="s">
        <v>10226</v>
      </c>
      <c r="BB3338">
        <v>654.04999999999995</v>
      </c>
      <c r="BC3338">
        <v>0.69</v>
      </c>
      <c r="BD3338">
        <v>13.05</v>
      </c>
      <c r="BE3338">
        <v>13.18</v>
      </c>
      <c r="BF3338">
        <v>13.06</v>
      </c>
      <c r="BG3338" t="s">
        <v>28582</v>
      </c>
      <c r="BH3338" t="s">
        <v>28583</v>
      </c>
      <c r="BI3338" t="s">
        <v>1288</v>
      </c>
      <c r="BJ3338" t="s">
        <v>101</v>
      </c>
      <c r="BK3338" t="s">
        <v>3114</v>
      </c>
      <c r="BL3338" t="s">
        <v>8450</v>
      </c>
      <c r="BM3338" t="s">
        <v>10770</v>
      </c>
      <c r="BN3338" t="s">
        <v>27621</v>
      </c>
    </row>
    <row r="3339" spans="1:66" x14ac:dyDescent="0.25">
      <c r="A3339" t="str">
        <f>HYPERLINK("https://elite.finviz.com/quote.ashx?t=RBOT&amp;ty=c&amp;p=d&amp;b=1", "RBOT")</f>
        <v>RBOT</v>
      </c>
      <c r="B3339">
        <v>4</v>
      </c>
      <c r="C3339">
        <v>105.92</v>
      </c>
      <c r="D3339">
        <v>35.409999999999997</v>
      </c>
      <c r="E3339" t="s">
        <v>28584</v>
      </c>
      <c r="F3339" t="s">
        <v>107</v>
      </c>
      <c r="G3339" t="s">
        <v>428</v>
      </c>
      <c r="H3339" t="s">
        <v>2051</v>
      </c>
      <c r="I3339" t="s">
        <v>70</v>
      </c>
      <c r="J3339" t="s">
        <v>71</v>
      </c>
      <c r="K3339">
        <v>31.91</v>
      </c>
      <c r="L3339">
        <v>5.36</v>
      </c>
      <c r="M3339" t="s">
        <v>8937</v>
      </c>
      <c r="N3339">
        <v>11242</v>
      </c>
      <c r="S3339">
        <v>1.38</v>
      </c>
      <c r="AA3339">
        <v>-10.08</v>
      </c>
      <c r="AB3339" t="s">
        <v>6842</v>
      </c>
      <c r="AC3339" t="s">
        <v>28585</v>
      </c>
      <c r="AD3339" t="s">
        <v>12265</v>
      </c>
      <c r="AI3339" t="s">
        <v>3901</v>
      </c>
      <c r="AJ3339" t="s">
        <v>124</v>
      </c>
      <c r="AK3339" t="s">
        <v>8379</v>
      </c>
      <c r="AL3339">
        <v>5.1100000000000003</v>
      </c>
      <c r="AM3339">
        <v>5.1100000000000003</v>
      </c>
      <c r="AN3339">
        <v>0.56999999999999995</v>
      </c>
      <c r="AR3339" t="s">
        <v>699</v>
      </c>
      <c r="AS3339" t="s">
        <v>578</v>
      </c>
      <c r="AT3339" t="s">
        <v>6139</v>
      </c>
      <c r="AU3339" t="s">
        <v>20996</v>
      </c>
      <c r="AV3339" t="s">
        <v>23809</v>
      </c>
      <c r="AW3339" t="s">
        <v>28586</v>
      </c>
      <c r="AX3339" t="s">
        <v>164</v>
      </c>
      <c r="AY3339" t="s">
        <v>2766</v>
      </c>
      <c r="AZ3339" t="s">
        <v>1507</v>
      </c>
      <c r="BA3339">
        <v>2.33</v>
      </c>
      <c r="BB3339">
        <v>35.049999999999997</v>
      </c>
      <c r="BC3339">
        <v>1.1299999999999999</v>
      </c>
      <c r="BD3339">
        <v>5.49</v>
      </c>
      <c r="BE3339">
        <v>5.6</v>
      </c>
      <c r="BF3339">
        <v>5.32</v>
      </c>
      <c r="BG3339" t="s">
        <v>28587</v>
      </c>
      <c r="BH3339" t="s">
        <v>8552</v>
      </c>
      <c r="BI3339" t="s">
        <v>8720</v>
      </c>
      <c r="BJ3339" t="s">
        <v>101</v>
      </c>
      <c r="BK3339" t="s">
        <v>28588</v>
      </c>
      <c r="BL3339" t="s">
        <v>4702</v>
      </c>
      <c r="BM3339" t="s">
        <v>6533</v>
      </c>
      <c r="BN3339" t="s">
        <v>27621</v>
      </c>
    </row>
    <row r="3340" spans="1:66" x14ac:dyDescent="0.25">
      <c r="A3340" t="str">
        <f>HYPERLINK("https://elite.finviz.com/quote.ashx?t=FRPH&amp;ty=c&amp;p=d&amp;b=1", "FRPH")</f>
        <v>FRPH</v>
      </c>
      <c r="B3340">
        <v>4</v>
      </c>
      <c r="C3340">
        <v>105.92</v>
      </c>
      <c r="D3340">
        <v>35.46</v>
      </c>
      <c r="E3340" t="s">
        <v>28589</v>
      </c>
      <c r="F3340" t="s">
        <v>67</v>
      </c>
      <c r="G3340" t="s">
        <v>68</v>
      </c>
      <c r="H3340" t="s">
        <v>7494</v>
      </c>
      <c r="I3340" t="s">
        <v>70</v>
      </c>
      <c r="J3340" t="s">
        <v>321</v>
      </c>
      <c r="K3340">
        <v>460.92</v>
      </c>
      <c r="L3340">
        <v>24.12</v>
      </c>
      <c r="M3340" t="s">
        <v>241</v>
      </c>
      <c r="N3340">
        <v>15789</v>
      </c>
      <c r="O3340">
        <v>86.08</v>
      </c>
      <c r="R3340">
        <v>10.89</v>
      </c>
      <c r="S3340">
        <v>1.08</v>
      </c>
      <c r="Z3340" t="s">
        <v>164</v>
      </c>
      <c r="AA3340">
        <v>0.28000000000000003</v>
      </c>
      <c r="AB3340" t="s">
        <v>13536</v>
      </c>
      <c r="AC3340" t="s">
        <v>28267</v>
      </c>
      <c r="AE3340" t="s">
        <v>5121</v>
      </c>
      <c r="AF3340" t="s">
        <v>185</v>
      </c>
      <c r="AG3340" t="s">
        <v>14918</v>
      </c>
      <c r="AH3340" t="s">
        <v>6726</v>
      </c>
      <c r="AJ3340" t="s">
        <v>164</v>
      </c>
      <c r="AK3340" t="s">
        <v>13548</v>
      </c>
      <c r="AL3340">
        <v>15.26</v>
      </c>
      <c r="AM3340">
        <v>15.26</v>
      </c>
      <c r="AN3340">
        <v>0.42</v>
      </c>
      <c r="AO3340" t="s">
        <v>17353</v>
      </c>
      <c r="AP3340" t="s">
        <v>4745</v>
      </c>
      <c r="AQ3340" t="s">
        <v>920</v>
      </c>
      <c r="AR3340" t="s">
        <v>3544</v>
      </c>
      <c r="AS3340" t="s">
        <v>909</v>
      </c>
      <c r="AT3340" t="s">
        <v>3114</v>
      </c>
      <c r="AU3340" t="s">
        <v>7750</v>
      </c>
      <c r="AV3340" t="s">
        <v>9332</v>
      </c>
      <c r="AW3340" t="s">
        <v>3101</v>
      </c>
      <c r="AX3340" t="s">
        <v>4539</v>
      </c>
      <c r="AY3340" t="s">
        <v>6563</v>
      </c>
      <c r="AZ3340" t="s">
        <v>4539</v>
      </c>
      <c r="BA3340">
        <v>3</v>
      </c>
      <c r="BB3340">
        <v>48.2</v>
      </c>
      <c r="BC3340">
        <v>1.1499999999999999</v>
      </c>
      <c r="BD3340">
        <v>24.31</v>
      </c>
      <c r="BE3340">
        <v>24.2</v>
      </c>
      <c r="BF3340">
        <v>23.97</v>
      </c>
      <c r="BG3340" t="s">
        <v>28590</v>
      </c>
      <c r="BH3340" t="s">
        <v>12015</v>
      </c>
      <c r="BI3340" t="s">
        <v>28591</v>
      </c>
      <c r="BJ3340" t="s">
        <v>101</v>
      </c>
      <c r="BK3340" t="s">
        <v>14774</v>
      </c>
      <c r="BL3340" t="s">
        <v>17450</v>
      </c>
      <c r="BM3340" t="s">
        <v>9068</v>
      </c>
      <c r="BN3340" t="s">
        <v>27621</v>
      </c>
    </row>
    <row r="3341" spans="1:66" x14ac:dyDescent="0.25">
      <c r="A3341" t="str">
        <f>HYPERLINK("https://elite.finviz.com/quote.ashx?t=CION&amp;ty=c&amp;p=d&amp;b=1", "CION")</f>
        <v>CION</v>
      </c>
      <c r="B3341">
        <v>4</v>
      </c>
      <c r="C3341">
        <v>105.92</v>
      </c>
      <c r="D3341">
        <v>35.47</v>
      </c>
      <c r="E3341" t="s">
        <v>28592</v>
      </c>
      <c r="F3341" t="s">
        <v>107</v>
      </c>
      <c r="G3341" t="s">
        <v>550</v>
      </c>
      <c r="H3341" t="s">
        <v>2597</v>
      </c>
      <c r="I3341" t="s">
        <v>70</v>
      </c>
      <c r="J3341" t="s">
        <v>71</v>
      </c>
      <c r="K3341">
        <v>503.68</v>
      </c>
      <c r="L3341">
        <v>9.67</v>
      </c>
      <c r="M3341" t="s">
        <v>2638</v>
      </c>
      <c r="N3341">
        <v>23410</v>
      </c>
      <c r="P3341">
        <v>7.5</v>
      </c>
      <c r="R3341">
        <v>2.23</v>
      </c>
      <c r="S3341">
        <v>0.67</v>
      </c>
      <c r="T3341" t="s">
        <v>1561</v>
      </c>
      <c r="U3341">
        <v>1.44</v>
      </c>
      <c r="V3341" t="s">
        <v>2187</v>
      </c>
      <c r="W3341" t="s">
        <v>2823</v>
      </c>
      <c r="X3341" t="s">
        <v>28593</v>
      </c>
      <c r="Z3341" t="s">
        <v>164</v>
      </c>
      <c r="AA3341">
        <v>-0.19</v>
      </c>
      <c r="AC3341" t="s">
        <v>15013</v>
      </c>
      <c r="AG3341" t="s">
        <v>4269</v>
      </c>
      <c r="AH3341" t="s">
        <v>360</v>
      </c>
      <c r="AI3341" t="s">
        <v>552</v>
      </c>
      <c r="AJ3341" t="s">
        <v>648</v>
      </c>
      <c r="AK3341" t="s">
        <v>12624</v>
      </c>
      <c r="AL3341">
        <v>2.7</v>
      </c>
      <c r="AM3341">
        <v>2.7</v>
      </c>
      <c r="AN3341">
        <v>1.45</v>
      </c>
      <c r="AO3341" t="s">
        <v>1647</v>
      </c>
      <c r="AP3341" t="s">
        <v>22744</v>
      </c>
      <c r="AQ3341" t="s">
        <v>13734</v>
      </c>
      <c r="AR3341" t="s">
        <v>3842</v>
      </c>
      <c r="AS3341" t="s">
        <v>4493</v>
      </c>
      <c r="AT3341" t="s">
        <v>5356</v>
      </c>
      <c r="AU3341" t="s">
        <v>8830</v>
      </c>
      <c r="AV3341" t="s">
        <v>5641</v>
      </c>
      <c r="AW3341" t="s">
        <v>1443</v>
      </c>
      <c r="AX3341" t="s">
        <v>1560</v>
      </c>
      <c r="AY3341" t="s">
        <v>14243</v>
      </c>
      <c r="AZ3341" t="s">
        <v>6087</v>
      </c>
      <c r="BB3341">
        <v>280.64</v>
      </c>
      <c r="BC3341">
        <v>0.28999999999999998</v>
      </c>
      <c r="BD3341">
        <v>9.68</v>
      </c>
      <c r="BE3341">
        <v>9.74</v>
      </c>
      <c r="BF3341">
        <v>9.66</v>
      </c>
      <c r="BG3341" t="s">
        <v>28594</v>
      </c>
      <c r="BH3341" t="s">
        <v>14280</v>
      </c>
      <c r="BI3341" t="s">
        <v>13695</v>
      </c>
      <c r="BJ3341" t="s">
        <v>101</v>
      </c>
      <c r="BK3341" t="s">
        <v>2217</v>
      </c>
      <c r="BL3341" t="s">
        <v>7746</v>
      </c>
      <c r="BM3341" t="s">
        <v>14980</v>
      </c>
      <c r="BN3341" t="s">
        <v>27621</v>
      </c>
    </row>
    <row r="3342" spans="1:66" x14ac:dyDescent="0.25">
      <c r="A3342" t="str">
        <f>HYPERLINK("https://elite.finviz.com/quote.ashx?t=INVA&amp;ty=c&amp;p=d&amp;b=1", "INVA")</f>
        <v>INVA</v>
      </c>
      <c r="B3342">
        <v>4</v>
      </c>
      <c r="C3342">
        <v>105.92</v>
      </c>
      <c r="D3342">
        <v>35.47</v>
      </c>
      <c r="E3342" t="s">
        <v>28595</v>
      </c>
      <c r="F3342" t="s">
        <v>67</v>
      </c>
      <c r="G3342" t="s">
        <v>428</v>
      </c>
      <c r="H3342" t="s">
        <v>429</v>
      </c>
      <c r="I3342" t="s">
        <v>70</v>
      </c>
      <c r="J3342" t="s">
        <v>321</v>
      </c>
      <c r="K3342">
        <v>1172.51</v>
      </c>
      <c r="L3342">
        <v>18.600000000000001</v>
      </c>
      <c r="M3342" t="s">
        <v>2880</v>
      </c>
      <c r="N3342">
        <v>79498</v>
      </c>
      <c r="O3342">
        <v>56.07</v>
      </c>
      <c r="P3342">
        <v>8.5</v>
      </c>
      <c r="Q3342">
        <v>0.64</v>
      </c>
      <c r="R3342">
        <v>3.05</v>
      </c>
      <c r="S3342">
        <v>1.64</v>
      </c>
      <c r="V3342" t="s">
        <v>28596</v>
      </c>
      <c r="Z3342" t="s">
        <v>164</v>
      </c>
      <c r="AA3342">
        <v>0.33</v>
      </c>
      <c r="AB3342" t="s">
        <v>28597</v>
      </c>
      <c r="AC3342" t="s">
        <v>7960</v>
      </c>
      <c r="AD3342" t="s">
        <v>2168</v>
      </c>
      <c r="AE3342" t="s">
        <v>7510</v>
      </c>
      <c r="AF3342" t="s">
        <v>4646</v>
      </c>
      <c r="AG3342" t="s">
        <v>6593</v>
      </c>
      <c r="AH3342" t="s">
        <v>3000</v>
      </c>
      <c r="AI3342" t="s">
        <v>28598</v>
      </c>
      <c r="AJ3342" t="s">
        <v>164</v>
      </c>
      <c r="AK3342" t="s">
        <v>19433</v>
      </c>
      <c r="AL3342">
        <v>2.64</v>
      </c>
      <c r="AM3342">
        <v>2.44</v>
      </c>
      <c r="AN3342">
        <v>0.72</v>
      </c>
      <c r="AO3342" t="s">
        <v>10828</v>
      </c>
      <c r="AP3342" t="s">
        <v>16009</v>
      </c>
      <c r="AQ3342" t="s">
        <v>1115</v>
      </c>
      <c r="AR3342" t="s">
        <v>2473</v>
      </c>
      <c r="AS3342" t="s">
        <v>2619</v>
      </c>
      <c r="AT3342" t="s">
        <v>4234</v>
      </c>
      <c r="AU3342" t="s">
        <v>4665</v>
      </c>
      <c r="AV3342" t="s">
        <v>13366</v>
      </c>
      <c r="AW3342" t="s">
        <v>4095</v>
      </c>
      <c r="AX3342" t="s">
        <v>3433</v>
      </c>
      <c r="AY3342" t="s">
        <v>7558</v>
      </c>
      <c r="AZ3342" t="s">
        <v>5446</v>
      </c>
      <c r="BA3342">
        <v>1</v>
      </c>
      <c r="BB3342">
        <v>822.9</v>
      </c>
      <c r="BC3342">
        <v>0.34</v>
      </c>
      <c r="BD3342">
        <v>18.57</v>
      </c>
      <c r="BE3342">
        <v>18.88</v>
      </c>
      <c r="BF3342">
        <v>18.54</v>
      </c>
      <c r="BG3342" t="s">
        <v>28599</v>
      </c>
      <c r="BH3342" t="s">
        <v>4584</v>
      </c>
      <c r="BI3342" t="s">
        <v>28600</v>
      </c>
      <c r="BJ3342" t="s">
        <v>101</v>
      </c>
      <c r="BK3342" t="s">
        <v>9725</v>
      </c>
      <c r="BL3342" t="s">
        <v>3469</v>
      </c>
      <c r="BM3342" t="s">
        <v>5070</v>
      </c>
      <c r="BN3342" t="s">
        <v>27621</v>
      </c>
    </row>
    <row r="3343" spans="1:66" x14ac:dyDescent="0.25">
      <c r="A3343" t="str">
        <f>HYPERLINK("https://elite.finviz.com/quote.ashx?t=SEAT&amp;ty=c&amp;p=d&amp;b=1", "SEAT")</f>
        <v>SEAT</v>
      </c>
      <c r="B3343">
        <v>4</v>
      </c>
      <c r="C3343">
        <v>105.92</v>
      </c>
      <c r="D3343">
        <v>35.51</v>
      </c>
      <c r="E3343" t="s">
        <v>28601</v>
      </c>
      <c r="F3343" t="s">
        <v>67</v>
      </c>
      <c r="G3343" t="s">
        <v>598</v>
      </c>
      <c r="H3343" t="s">
        <v>599</v>
      </c>
      <c r="I3343" t="s">
        <v>70</v>
      </c>
      <c r="J3343" t="s">
        <v>321</v>
      </c>
      <c r="K3343">
        <v>155.36000000000001</v>
      </c>
      <c r="L3343">
        <v>15.11</v>
      </c>
      <c r="M3343" t="s">
        <v>530</v>
      </c>
      <c r="N3343">
        <v>8447</v>
      </c>
      <c r="R3343">
        <v>0.22</v>
      </c>
      <c r="S3343">
        <v>0.45</v>
      </c>
      <c r="V3343" t="s">
        <v>28602</v>
      </c>
      <c r="Z3343" t="s">
        <v>164</v>
      </c>
      <c r="AA3343">
        <v>-21.67</v>
      </c>
      <c r="AE3343" t="s">
        <v>626</v>
      </c>
      <c r="AF3343" t="s">
        <v>10934</v>
      </c>
      <c r="AG3343" t="s">
        <v>28603</v>
      </c>
      <c r="AH3343" t="s">
        <v>14765</v>
      </c>
      <c r="AI3343" t="s">
        <v>28604</v>
      </c>
      <c r="AJ3343" t="s">
        <v>3388</v>
      </c>
      <c r="AK3343" t="s">
        <v>10635</v>
      </c>
      <c r="AL3343">
        <v>0.72</v>
      </c>
      <c r="AM3343">
        <v>0.63</v>
      </c>
      <c r="AN3343">
        <v>1.87</v>
      </c>
      <c r="AO3343" t="s">
        <v>5352</v>
      </c>
      <c r="AP3343" t="s">
        <v>908</v>
      </c>
      <c r="AQ3343" t="s">
        <v>844</v>
      </c>
      <c r="AR3343" t="s">
        <v>9703</v>
      </c>
      <c r="AS3343" t="s">
        <v>438</v>
      </c>
      <c r="AT3343" t="s">
        <v>13822</v>
      </c>
      <c r="AU3343" t="s">
        <v>27782</v>
      </c>
      <c r="AV3343" t="s">
        <v>28605</v>
      </c>
      <c r="AW3343" t="s">
        <v>25235</v>
      </c>
      <c r="AX3343" t="s">
        <v>4395</v>
      </c>
      <c r="AY3343" t="s">
        <v>23401</v>
      </c>
      <c r="AZ3343" t="s">
        <v>4395</v>
      </c>
      <c r="BA3343">
        <v>2.5499999999999998</v>
      </c>
      <c r="BB3343">
        <v>154.5</v>
      </c>
      <c r="BC3343">
        <v>0.19</v>
      </c>
      <c r="BD3343">
        <v>15.24</v>
      </c>
      <c r="BE3343">
        <v>15.34</v>
      </c>
      <c r="BF3343">
        <v>14.97</v>
      </c>
      <c r="BG3343" t="s">
        <v>28606</v>
      </c>
      <c r="BH3343" t="s">
        <v>28607</v>
      </c>
      <c r="BI3343" t="s">
        <v>4395</v>
      </c>
      <c r="BJ3343" t="s">
        <v>101</v>
      </c>
      <c r="BK3343" t="s">
        <v>26175</v>
      </c>
      <c r="BL3343" t="s">
        <v>28608</v>
      </c>
      <c r="BM3343" t="s">
        <v>28609</v>
      </c>
      <c r="BN3343" t="s">
        <v>27621</v>
      </c>
    </row>
    <row r="3344" spans="1:66" x14ac:dyDescent="0.25">
      <c r="A3344" t="str">
        <f>HYPERLINK("https://elite.finviz.com/quote.ashx?t=CASS&amp;ty=c&amp;p=d&amp;b=1", "CASS")</f>
        <v>CASS</v>
      </c>
      <c r="B3344">
        <v>4</v>
      </c>
      <c r="C3344">
        <v>105.92</v>
      </c>
      <c r="D3344">
        <v>35.53</v>
      </c>
      <c r="E3344" t="s">
        <v>28610</v>
      </c>
      <c r="F3344" t="s">
        <v>67</v>
      </c>
      <c r="G3344" t="s">
        <v>260</v>
      </c>
      <c r="H3344" t="s">
        <v>1077</v>
      </c>
      <c r="I3344" t="s">
        <v>70</v>
      </c>
      <c r="J3344" t="s">
        <v>321</v>
      </c>
      <c r="K3344">
        <v>535.69000000000005</v>
      </c>
      <c r="L3344">
        <v>40.53</v>
      </c>
      <c r="M3344" t="s">
        <v>5549</v>
      </c>
      <c r="N3344">
        <v>7520</v>
      </c>
      <c r="O3344">
        <v>21.79</v>
      </c>
      <c r="P3344">
        <v>13.29</v>
      </c>
      <c r="Q3344">
        <v>0.6</v>
      </c>
      <c r="R3344">
        <v>2.54</v>
      </c>
      <c r="S3344">
        <v>2.2400000000000002</v>
      </c>
      <c r="T3344" t="s">
        <v>5188</v>
      </c>
      <c r="U3344">
        <v>1.24</v>
      </c>
      <c r="V3344" t="s">
        <v>4548</v>
      </c>
      <c r="W3344" t="s">
        <v>5369</v>
      </c>
      <c r="X3344" t="s">
        <v>3205</v>
      </c>
      <c r="Y3344" t="s">
        <v>5425</v>
      </c>
      <c r="Z3344" t="s">
        <v>28611</v>
      </c>
      <c r="AA3344">
        <v>1.86</v>
      </c>
      <c r="AB3344" t="s">
        <v>5958</v>
      </c>
      <c r="AC3344" t="s">
        <v>15221</v>
      </c>
      <c r="AD3344" t="s">
        <v>7498</v>
      </c>
      <c r="AE3344" t="s">
        <v>11513</v>
      </c>
      <c r="AF3344" t="s">
        <v>2913</v>
      </c>
      <c r="AG3344" t="s">
        <v>8925</v>
      </c>
      <c r="AH3344" t="s">
        <v>626</v>
      </c>
      <c r="AI3344" t="s">
        <v>15125</v>
      </c>
      <c r="AJ3344" t="s">
        <v>211</v>
      </c>
      <c r="AK3344" t="s">
        <v>20168</v>
      </c>
      <c r="AL3344">
        <v>0.21</v>
      </c>
      <c r="AM3344">
        <v>0.21</v>
      </c>
      <c r="AN3344">
        <v>0.02</v>
      </c>
      <c r="AO3344" t="s">
        <v>28612</v>
      </c>
      <c r="AP3344" t="s">
        <v>6329</v>
      </c>
      <c r="AQ3344" t="s">
        <v>13322</v>
      </c>
      <c r="AR3344" t="s">
        <v>715</v>
      </c>
      <c r="AS3344" t="s">
        <v>5660</v>
      </c>
      <c r="AT3344" t="s">
        <v>842</v>
      </c>
      <c r="AU3344" t="s">
        <v>12014</v>
      </c>
      <c r="AV3344" t="s">
        <v>10842</v>
      </c>
      <c r="AW3344" t="s">
        <v>5059</v>
      </c>
      <c r="AX3344" t="s">
        <v>1302</v>
      </c>
      <c r="AY3344" t="s">
        <v>3977</v>
      </c>
      <c r="AZ3344" t="s">
        <v>521</v>
      </c>
      <c r="BA3344">
        <v>2</v>
      </c>
      <c r="BB3344">
        <v>63.98</v>
      </c>
      <c r="BC3344">
        <v>0.41</v>
      </c>
      <c r="BD3344">
        <v>40.520000000000003</v>
      </c>
      <c r="BE3344">
        <v>40.82</v>
      </c>
      <c r="BF3344">
        <v>40.56</v>
      </c>
      <c r="BG3344" t="s">
        <v>28613</v>
      </c>
      <c r="BH3344" t="s">
        <v>17467</v>
      </c>
      <c r="BI3344" t="s">
        <v>28614</v>
      </c>
      <c r="BJ3344" t="s">
        <v>101</v>
      </c>
      <c r="BK3344" t="s">
        <v>1571</v>
      </c>
      <c r="BL3344" t="s">
        <v>4236</v>
      </c>
      <c r="BM3344" t="s">
        <v>1356</v>
      </c>
      <c r="BN3344" t="s">
        <v>27621</v>
      </c>
    </row>
    <row r="3345" spans="1:66" x14ac:dyDescent="0.25">
      <c r="A3345" t="str">
        <f>HYPERLINK("https://elite.finviz.com/quote.ashx?t=APAM&amp;ty=c&amp;p=d&amp;b=1", "APAM")</f>
        <v>APAM</v>
      </c>
      <c r="B3345">
        <v>4</v>
      </c>
      <c r="C3345">
        <v>105.92</v>
      </c>
      <c r="D3345">
        <v>35.54</v>
      </c>
      <c r="E3345" t="s">
        <v>28615</v>
      </c>
      <c r="F3345" t="s">
        <v>67</v>
      </c>
      <c r="G3345" t="s">
        <v>550</v>
      </c>
      <c r="H3345" t="s">
        <v>2597</v>
      </c>
      <c r="I3345" t="s">
        <v>70</v>
      </c>
      <c r="J3345" t="s">
        <v>71</v>
      </c>
      <c r="K3345">
        <v>3535.34</v>
      </c>
      <c r="L3345">
        <v>43.81</v>
      </c>
      <c r="M3345" t="s">
        <v>406</v>
      </c>
      <c r="N3345">
        <v>50307</v>
      </c>
      <c r="O3345">
        <v>11.88</v>
      </c>
      <c r="P3345">
        <v>11.11</v>
      </c>
      <c r="Q3345">
        <v>1.97</v>
      </c>
      <c r="R3345">
        <v>2.88</v>
      </c>
      <c r="S3345">
        <v>8.08</v>
      </c>
      <c r="T3345" t="s">
        <v>2407</v>
      </c>
      <c r="U3345">
        <v>3.06</v>
      </c>
      <c r="V3345" t="s">
        <v>3046</v>
      </c>
      <c r="W3345" t="s">
        <v>8580</v>
      </c>
      <c r="X3345" t="s">
        <v>14563</v>
      </c>
      <c r="Y3345" t="s">
        <v>3613</v>
      </c>
      <c r="Z3345" t="s">
        <v>28616</v>
      </c>
      <c r="AA3345">
        <v>3.69</v>
      </c>
      <c r="AB3345" t="s">
        <v>13438</v>
      </c>
      <c r="AC3345" t="s">
        <v>4760</v>
      </c>
      <c r="AD3345" t="s">
        <v>1826</v>
      </c>
      <c r="AE3345" t="s">
        <v>6344</v>
      </c>
      <c r="AF3345" t="s">
        <v>123</v>
      </c>
      <c r="AG3345" t="s">
        <v>3837</v>
      </c>
      <c r="AH3345" t="s">
        <v>6736</v>
      </c>
      <c r="AI3345" t="s">
        <v>2430</v>
      </c>
      <c r="AJ3345" t="s">
        <v>4065</v>
      </c>
      <c r="AK3345" t="s">
        <v>5526</v>
      </c>
      <c r="AL3345">
        <v>2.8</v>
      </c>
      <c r="AM3345">
        <v>2.8</v>
      </c>
      <c r="AN3345">
        <v>0.77</v>
      </c>
      <c r="AP3345" t="s">
        <v>28617</v>
      </c>
      <c r="AQ3345" t="s">
        <v>13600</v>
      </c>
      <c r="AR3345" t="s">
        <v>4267</v>
      </c>
      <c r="AS3345" t="s">
        <v>4493</v>
      </c>
      <c r="AT3345" t="s">
        <v>10747</v>
      </c>
      <c r="AU3345" t="s">
        <v>8139</v>
      </c>
      <c r="AV3345" t="s">
        <v>5968</v>
      </c>
      <c r="AW3345" t="s">
        <v>10517</v>
      </c>
      <c r="AX3345" t="s">
        <v>3336</v>
      </c>
      <c r="AY3345" t="s">
        <v>3610</v>
      </c>
      <c r="AZ3345" t="s">
        <v>12106</v>
      </c>
      <c r="BA3345">
        <v>3</v>
      </c>
      <c r="BB3345">
        <v>508.53</v>
      </c>
      <c r="BC3345">
        <v>0.35</v>
      </c>
      <c r="BD3345">
        <v>43.8</v>
      </c>
      <c r="BE3345">
        <v>44.28</v>
      </c>
      <c r="BF3345">
        <v>43.77</v>
      </c>
      <c r="BG3345" t="s">
        <v>28618</v>
      </c>
      <c r="BH3345" t="s">
        <v>19955</v>
      </c>
      <c r="BI3345" t="s">
        <v>28619</v>
      </c>
      <c r="BJ3345" t="s">
        <v>101</v>
      </c>
      <c r="BK3345" t="s">
        <v>5000</v>
      </c>
      <c r="BL3345" t="s">
        <v>607</v>
      </c>
      <c r="BM3345" t="s">
        <v>4280</v>
      </c>
      <c r="BN3345" t="s">
        <v>27621</v>
      </c>
    </row>
    <row r="3346" spans="1:66" x14ac:dyDescent="0.25">
      <c r="A3346" t="str">
        <f>HYPERLINK("https://elite.finviz.com/quote.ashx?t=CEP&amp;ty=c&amp;p=d&amp;b=1", "CEP")</f>
        <v>CEP</v>
      </c>
      <c r="B3346">
        <v>4</v>
      </c>
      <c r="C3346">
        <v>105.92</v>
      </c>
      <c r="D3346">
        <v>35.65</v>
      </c>
      <c r="E3346" t="s">
        <v>28620</v>
      </c>
      <c r="F3346" t="s">
        <v>107</v>
      </c>
      <c r="G3346" t="s">
        <v>550</v>
      </c>
      <c r="H3346" t="s">
        <v>2120</v>
      </c>
      <c r="I3346" t="s">
        <v>70</v>
      </c>
      <c r="J3346" t="s">
        <v>321</v>
      </c>
      <c r="K3346">
        <v>244.35</v>
      </c>
      <c r="L3346">
        <v>19.09</v>
      </c>
      <c r="M3346" t="s">
        <v>3018</v>
      </c>
      <c r="N3346">
        <v>54390</v>
      </c>
      <c r="O3346">
        <v>88.22</v>
      </c>
      <c r="S3346">
        <v>2.37</v>
      </c>
      <c r="Z3346" t="s">
        <v>164</v>
      </c>
      <c r="AA3346">
        <v>0.22</v>
      </c>
      <c r="AJ3346" t="s">
        <v>164</v>
      </c>
      <c r="AK3346" t="s">
        <v>14169</v>
      </c>
      <c r="AL3346">
        <v>0.2</v>
      </c>
      <c r="AM3346">
        <v>0.2</v>
      </c>
      <c r="AN3346">
        <v>0.01</v>
      </c>
      <c r="AR3346" t="s">
        <v>5659</v>
      </c>
      <c r="AS3346" t="s">
        <v>8852</v>
      </c>
      <c r="AT3346" t="s">
        <v>5594</v>
      </c>
      <c r="AU3346" t="s">
        <v>16561</v>
      </c>
      <c r="AV3346" t="s">
        <v>14563</v>
      </c>
      <c r="AW3346" t="s">
        <v>24024</v>
      </c>
      <c r="AX3346" t="s">
        <v>3951</v>
      </c>
      <c r="AY3346" t="s">
        <v>395</v>
      </c>
      <c r="AZ3346" t="s">
        <v>13807</v>
      </c>
      <c r="BB3346">
        <v>444.56</v>
      </c>
      <c r="BC3346">
        <v>0.43</v>
      </c>
      <c r="BD3346">
        <v>18.88</v>
      </c>
      <c r="BE3346">
        <v>19.29</v>
      </c>
      <c r="BF3346">
        <v>18.88</v>
      </c>
      <c r="BG3346" t="s">
        <v>28621</v>
      </c>
      <c r="BH3346" t="s">
        <v>395</v>
      </c>
      <c r="BI3346" t="s">
        <v>9528</v>
      </c>
      <c r="BJ3346" t="s">
        <v>101</v>
      </c>
      <c r="BK3346" t="s">
        <v>15318</v>
      </c>
      <c r="BL3346" t="s">
        <v>3222</v>
      </c>
      <c r="BM3346" t="s">
        <v>9197</v>
      </c>
      <c r="BN3346" t="s">
        <v>27621</v>
      </c>
    </row>
    <row r="3347" spans="1:66" x14ac:dyDescent="0.25">
      <c r="A3347" t="str">
        <f>HYPERLINK("https://elite.finviz.com/quote.ashx?t=NMFC&amp;ty=c&amp;p=d&amp;b=1", "NMFC")</f>
        <v>NMFC</v>
      </c>
      <c r="B3347">
        <v>4</v>
      </c>
      <c r="C3347">
        <v>105.92</v>
      </c>
      <c r="D3347">
        <v>35.74</v>
      </c>
      <c r="E3347" t="s">
        <v>28622</v>
      </c>
      <c r="F3347" t="s">
        <v>107</v>
      </c>
      <c r="G3347" t="s">
        <v>550</v>
      </c>
      <c r="H3347" t="s">
        <v>2597</v>
      </c>
      <c r="I3347" t="s">
        <v>70</v>
      </c>
      <c r="J3347" t="s">
        <v>321</v>
      </c>
      <c r="K3347">
        <v>1039.68</v>
      </c>
      <c r="L3347">
        <v>9.77</v>
      </c>
      <c r="M3347" t="s">
        <v>1998</v>
      </c>
      <c r="N3347">
        <v>153530</v>
      </c>
      <c r="O3347">
        <v>12.86</v>
      </c>
      <c r="P3347">
        <v>7.73</v>
      </c>
      <c r="R3347">
        <v>2.92</v>
      </c>
      <c r="S3347">
        <v>0.8</v>
      </c>
      <c r="T3347" t="s">
        <v>3430</v>
      </c>
      <c r="U3347">
        <v>1.28</v>
      </c>
      <c r="V3347" t="s">
        <v>5925</v>
      </c>
      <c r="W3347" t="s">
        <v>2424</v>
      </c>
      <c r="X3347" t="s">
        <v>307</v>
      </c>
      <c r="Y3347" t="s">
        <v>10808</v>
      </c>
      <c r="Z3347" t="s">
        <v>21326</v>
      </c>
      <c r="AA3347">
        <v>0.76</v>
      </c>
      <c r="AH3347" t="s">
        <v>508</v>
      </c>
      <c r="AI3347" t="s">
        <v>4266</v>
      </c>
      <c r="AJ3347" t="s">
        <v>3024</v>
      </c>
      <c r="AK3347" t="s">
        <v>21745</v>
      </c>
      <c r="AR3347" t="s">
        <v>2195</v>
      </c>
      <c r="AS3347" t="s">
        <v>1760</v>
      </c>
      <c r="AT3347" t="s">
        <v>4645</v>
      </c>
      <c r="AU3347" t="s">
        <v>4073</v>
      </c>
      <c r="AV3347" t="s">
        <v>13780</v>
      </c>
      <c r="AW3347" t="s">
        <v>5773</v>
      </c>
      <c r="AX3347" t="s">
        <v>3832</v>
      </c>
      <c r="AY3347" t="s">
        <v>26911</v>
      </c>
      <c r="AZ3347" t="s">
        <v>11544</v>
      </c>
      <c r="BA3347">
        <v>3.17</v>
      </c>
      <c r="BB3347">
        <v>500.6</v>
      </c>
      <c r="BC3347">
        <v>1.08</v>
      </c>
      <c r="BD3347">
        <v>9.7899999999999991</v>
      </c>
      <c r="BE3347">
        <v>9.86</v>
      </c>
      <c r="BF3347">
        <v>9.77</v>
      </c>
      <c r="BG3347" t="s">
        <v>28623</v>
      </c>
      <c r="BH3347" t="s">
        <v>3642</v>
      </c>
      <c r="BI3347" t="s">
        <v>8547</v>
      </c>
      <c r="BJ3347" t="s">
        <v>101</v>
      </c>
      <c r="BK3347" t="s">
        <v>3266</v>
      </c>
      <c r="BL3347" t="s">
        <v>8311</v>
      </c>
      <c r="BM3347" t="s">
        <v>26491</v>
      </c>
      <c r="BN3347" t="s">
        <v>27621</v>
      </c>
    </row>
    <row r="3348" spans="1:66" x14ac:dyDescent="0.25">
      <c r="A3348" t="str">
        <f>HYPERLINK("https://elite.finviz.com/quote.ashx?t=CRL&amp;ty=c&amp;p=d&amp;b=1", "CRL")</f>
        <v>CRL</v>
      </c>
      <c r="B3348">
        <v>4</v>
      </c>
      <c r="C3348">
        <v>105.92</v>
      </c>
      <c r="D3348">
        <v>35.770000000000003</v>
      </c>
      <c r="E3348" t="s">
        <v>28624</v>
      </c>
      <c r="F3348" t="s">
        <v>195</v>
      </c>
      <c r="G3348" t="s">
        <v>428</v>
      </c>
      <c r="H3348" t="s">
        <v>4202</v>
      </c>
      <c r="I3348" t="s">
        <v>70</v>
      </c>
      <c r="J3348" t="s">
        <v>71</v>
      </c>
      <c r="K3348">
        <v>7187.73</v>
      </c>
      <c r="L3348">
        <v>146.05000000000001</v>
      </c>
      <c r="M3348" t="s">
        <v>2290</v>
      </c>
      <c r="N3348">
        <v>74097</v>
      </c>
      <c r="P3348">
        <v>13.52</v>
      </c>
      <c r="R3348">
        <v>1.78</v>
      </c>
      <c r="S3348">
        <v>2.14</v>
      </c>
      <c r="Z3348" t="s">
        <v>164</v>
      </c>
      <c r="AA3348">
        <v>-1.32</v>
      </c>
      <c r="AB3348" t="s">
        <v>28625</v>
      </c>
      <c r="AC3348" t="s">
        <v>21445</v>
      </c>
      <c r="AD3348" t="s">
        <v>7699</v>
      </c>
      <c r="AE3348" t="s">
        <v>2518</v>
      </c>
      <c r="AF3348" t="s">
        <v>4908</v>
      </c>
      <c r="AG3348" t="s">
        <v>290</v>
      </c>
      <c r="AH3348" t="s">
        <v>4623</v>
      </c>
      <c r="AI3348" t="s">
        <v>15766</v>
      </c>
      <c r="AJ3348" t="s">
        <v>1445</v>
      </c>
      <c r="AK3348" t="s">
        <v>28626</v>
      </c>
      <c r="AL3348">
        <v>1.36</v>
      </c>
      <c r="AM3348">
        <v>1.1000000000000001</v>
      </c>
      <c r="AN3348">
        <v>0.83</v>
      </c>
      <c r="AO3348" t="s">
        <v>8247</v>
      </c>
      <c r="AP3348" t="s">
        <v>6751</v>
      </c>
      <c r="AQ3348" t="s">
        <v>181</v>
      </c>
      <c r="AR3348" t="s">
        <v>5132</v>
      </c>
      <c r="AS3348" t="s">
        <v>2822</v>
      </c>
      <c r="AT3348" t="s">
        <v>5355</v>
      </c>
      <c r="AU3348" t="s">
        <v>1537</v>
      </c>
      <c r="AV3348" t="s">
        <v>11444</v>
      </c>
      <c r="AW3348" t="s">
        <v>10627</v>
      </c>
      <c r="AX3348" t="s">
        <v>2650</v>
      </c>
      <c r="AY3348" t="s">
        <v>5493</v>
      </c>
      <c r="AZ3348" t="s">
        <v>13399</v>
      </c>
      <c r="BA3348">
        <v>2.4</v>
      </c>
      <c r="BB3348">
        <v>883</v>
      </c>
      <c r="BC3348">
        <v>0.3</v>
      </c>
      <c r="BD3348">
        <v>145.57</v>
      </c>
      <c r="BE3348">
        <v>146.35</v>
      </c>
      <c r="BF3348">
        <v>145.37</v>
      </c>
      <c r="BG3348" t="s">
        <v>28627</v>
      </c>
      <c r="BH3348" t="s">
        <v>15313</v>
      </c>
      <c r="BI3348" t="s">
        <v>28628</v>
      </c>
      <c r="BJ3348" t="s">
        <v>101</v>
      </c>
      <c r="BK3348" t="s">
        <v>3328</v>
      </c>
      <c r="BL3348" t="s">
        <v>5428</v>
      </c>
      <c r="BM3348" t="s">
        <v>2152</v>
      </c>
      <c r="BN3348" t="s">
        <v>27621</v>
      </c>
    </row>
    <row r="3349" spans="1:66" x14ac:dyDescent="0.25">
      <c r="A3349" t="str">
        <f>HYPERLINK("https://elite.finviz.com/quote.ashx?t=BMHL&amp;ty=c&amp;p=d&amp;b=1", "BMHL")</f>
        <v>BMHL</v>
      </c>
      <c r="B3349">
        <v>4</v>
      </c>
      <c r="C3349">
        <v>105.92</v>
      </c>
      <c r="D3349">
        <v>35.78</v>
      </c>
      <c r="E3349" t="s">
        <v>28629</v>
      </c>
      <c r="F3349" t="s">
        <v>107</v>
      </c>
      <c r="G3349" t="s">
        <v>550</v>
      </c>
      <c r="H3349" t="s">
        <v>551</v>
      </c>
      <c r="I3349" t="s">
        <v>70</v>
      </c>
      <c r="J3349" t="s">
        <v>321</v>
      </c>
      <c r="L3349">
        <v>3.4</v>
      </c>
      <c r="M3349" t="s">
        <v>2401</v>
      </c>
      <c r="N3349">
        <v>213</v>
      </c>
      <c r="AR3349" t="s">
        <v>2772</v>
      </c>
      <c r="AS3349" t="s">
        <v>6106</v>
      </c>
      <c r="AT3349" t="s">
        <v>10421</v>
      </c>
      <c r="AU3349" t="s">
        <v>7237</v>
      </c>
      <c r="AV3349" t="s">
        <v>20326</v>
      </c>
      <c r="AW3349" t="s">
        <v>28630</v>
      </c>
      <c r="AX3349" t="s">
        <v>84</v>
      </c>
      <c r="AY3349" t="s">
        <v>28630</v>
      </c>
      <c r="AZ3349" t="s">
        <v>84</v>
      </c>
      <c r="BB3349">
        <v>88.69</v>
      </c>
      <c r="BC3349">
        <v>0.01</v>
      </c>
      <c r="BD3349">
        <v>3.64</v>
      </c>
      <c r="BE3349">
        <v>4.0999999999999996</v>
      </c>
      <c r="BF3349">
        <v>3.74</v>
      </c>
      <c r="BG3349" t="s">
        <v>28631</v>
      </c>
      <c r="BH3349" t="s">
        <v>28630</v>
      </c>
      <c r="BI3349" t="s">
        <v>84</v>
      </c>
      <c r="BJ3349" t="s">
        <v>101</v>
      </c>
      <c r="BN3349" t="s">
        <v>27621</v>
      </c>
    </row>
    <row r="3350" spans="1:66" x14ac:dyDescent="0.25">
      <c r="A3350" t="str">
        <f>HYPERLINK("https://elite.finviz.com/quote.ashx?t=AAME&amp;ty=c&amp;p=d&amp;b=1", "AAME")</f>
        <v>AAME</v>
      </c>
      <c r="B3350">
        <v>4</v>
      </c>
      <c r="C3350">
        <v>105.92</v>
      </c>
      <c r="D3350">
        <v>35.81</v>
      </c>
      <c r="E3350" t="s">
        <v>28632</v>
      </c>
      <c r="F3350" t="s">
        <v>107</v>
      </c>
      <c r="G3350" t="s">
        <v>550</v>
      </c>
      <c r="H3350" t="s">
        <v>5652</v>
      </c>
      <c r="I3350" t="s">
        <v>70</v>
      </c>
      <c r="J3350" t="s">
        <v>321</v>
      </c>
      <c r="K3350">
        <v>58.43</v>
      </c>
      <c r="L3350">
        <v>2.86</v>
      </c>
      <c r="M3350" t="s">
        <v>745</v>
      </c>
      <c r="N3350">
        <v>9179</v>
      </c>
      <c r="O3350">
        <v>28.87</v>
      </c>
      <c r="R3350">
        <v>0.28999999999999998</v>
      </c>
      <c r="S3350">
        <v>0.55000000000000004</v>
      </c>
      <c r="T3350" t="s">
        <v>3047</v>
      </c>
      <c r="U3350">
        <v>0.02</v>
      </c>
      <c r="V3350" t="s">
        <v>28633</v>
      </c>
      <c r="W3350" t="s">
        <v>164</v>
      </c>
      <c r="X3350" t="s">
        <v>164</v>
      </c>
      <c r="Y3350" t="s">
        <v>164</v>
      </c>
      <c r="AA3350">
        <v>0.1</v>
      </c>
      <c r="AC3350" t="s">
        <v>28634</v>
      </c>
      <c r="AE3350" t="s">
        <v>9751</v>
      </c>
      <c r="AF3350" t="s">
        <v>6152</v>
      </c>
      <c r="AG3350" t="s">
        <v>7137</v>
      </c>
      <c r="AH3350" t="s">
        <v>10361</v>
      </c>
      <c r="AJ3350" t="s">
        <v>164</v>
      </c>
      <c r="AK3350" t="s">
        <v>2811</v>
      </c>
      <c r="AL3350">
        <v>1.3</v>
      </c>
      <c r="AN3350">
        <v>0.4</v>
      </c>
      <c r="AP3350" t="s">
        <v>6770</v>
      </c>
      <c r="AQ3350" t="s">
        <v>2644</v>
      </c>
      <c r="AR3350" t="s">
        <v>2192</v>
      </c>
      <c r="AS3350" t="s">
        <v>1955</v>
      </c>
      <c r="AT3350" t="s">
        <v>2988</v>
      </c>
      <c r="AU3350" t="s">
        <v>1787</v>
      </c>
      <c r="AV3350" t="s">
        <v>6052</v>
      </c>
      <c r="AW3350" t="s">
        <v>11363</v>
      </c>
      <c r="AX3350" t="s">
        <v>28635</v>
      </c>
      <c r="AY3350" t="s">
        <v>11363</v>
      </c>
      <c r="AZ3350" t="s">
        <v>18207</v>
      </c>
      <c r="BB3350">
        <v>38.29</v>
      </c>
      <c r="BC3350">
        <v>0.84</v>
      </c>
      <c r="BD3350">
        <v>2.89</v>
      </c>
      <c r="BE3350">
        <v>3</v>
      </c>
      <c r="BF3350">
        <v>2.82</v>
      </c>
      <c r="BG3350" t="s">
        <v>28636</v>
      </c>
      <c r="BH3350" t="s">
        <v>12150</v>
      </c>
      <c r="BI3350" t="s">
        <v>28637</v>
      </c>
      <c r="BJ3350" t="s">
        <v>101</v>
      </c>
      <c r="BK3350" t="s">
        <v>20801</v>
      </c>
      <c r="BL3350" t="s">
        <v>2833</v>
      </c>
      <c r="BM3350" t="s">
        <v>27516</v>
      </c>
      <c r="BN3350" t="s">
        <v>27621</v>
      </c>
    </row>
    <row r="3351" spans="1:66" x14ac:dyDescent="0.25">
      <c r="A3351" t="str">
        <f>HYPERLINK("https://elite.finviz.com/quote.ashx?t=DOX&amp;ty=c&amp;p=d&amp;b=1", "DOX")</f>
        <v>DOX</v>
      </c>
      <c r="B3351">
        <v>4</v>
      </c>
      <c r="C3351">
        <v>105.92</v>
      </c>
      <c r="D3351">
        <v>35.880000000000003</v>
      </c>
      <c r="E3351" t="s">
        <v>28638</v>
      </c>
      <c r="F3351" t="s">
        <v>107</v>
      </c>
      <c r="G3351" t="s">
        <v>108</v>
      </c>
      <c r="H3351" t="s">
        <v>109</v>
      </c>
      <c r="I3351" t="s">
        <v>70</v>
      </c>
      <c r="J3351" t="s">
        <v>321</v>
      </c>
      <c r="K3351">
        <v>8980.2999999999993</v>
      </c>
      <c r="L3351">
        <v>81.64</v>
      </c>
      <c r="M3351" t="s">
        <v>2418</v>
      </c>
      <c r="N3351">
        <v>210259</v>
      </c>
      <c r="O3351">
        <v>16.5</v>
      </c>
      <c r="P3351">
        <v>10.67</v>
      </c>
      <c r="Q3351">
        <v>1.86</v>
      </c>
      <c r="R3351">
        <v>1.93</v>
      </c>
      <c r="S3351">
        <v>2.56</v>
      </c>
      <c r="T3351" t="s">
        <v>3208</v>
      </c>
      <c r="U3351">
        <v>2.0099999999999998</v>
      </c>
      <c r="V3351" t="s">
        <v>198</v>
      </c>
      <c r="W3351" t="s">
        <v>3962</v>
      </c>
      <c r="X3351" t="s">
        <v>7288</v>
      </c>
      <c r="Y3351" t="s">
        <v>6293</v>
      </c>
      <c r="Z3351" t="s">
        <v>5222</v>
      </c>
      <c r="AA3351">
        <v>4.95</v>
      </c>
      <c r="AB3351" t="s">
        <v>9240</v>
      </c>
      <c r="AC3351" t="s">
        <v>1981</v>
      </c>
      <c r="AD3351" t="s">
        <v>10542</v>
      </c>
      <c r="AE3351" t="s">
        <v>14915</v>
      </c>
      <c r="AF3351" t="s">
        <v>8966</v>
      </c>
      <c r="AG3351" t="s">
        <v>4299</v>
      </c>
      <c r="AH3351" t="s">
        <v>6303</v>
      </c>
      <c r="AI3351" t="s">
        <v>3446</v>
      </c>
      <c r="AJ3351" t="s">
        <v>164</v>
      </c>
      <c r="AK3351" t="s">
        <v>7911</v>
      </c>
      <c r="AL3351">
        <v>1.22</v>
      </c>
      <c r="AM3351">
        <v>1.22</v>
      </c>
      <c r="AN3351">
        <v>0.24</v>
      </c>
      <c r="AO3351" t="s">
        <v>4608</v>
      </c>
      <c r="AP3351" t="s">
        <v>11525</v>
      </c>
      <c r="AQ3351" t="s">
        <v>904</v>
      </c>
      <c r="AR3351" t="s">
        <v>2339</v>
      </c>
      <c r="AS3351" t="s">
        <v>2195</v>
      </c>
      <c r="AT3351" t="s">
        <v>7884</v>
      </c>
      <c r="AU3351" t="s">
        <v>10194</v>
      </c>
      <c r="AV3351" t="s">
        <v>12921</v>
      </c>
      <c r="AW3351" t="s">
        <v>481</v>
      </c>
      <c r="AX3351" t="s">
        <v>3013</v>
      </c>
      <c r="AY3351" t="s">
        <v>12683</v>
      </c>
      <c r="AZ3351" t="s">
        <v>7117</v>
      </c>
      <c r="BA3351">
        <v>1.56</v>
      </c>
      <c r="BB3351">
        <v>815.76</v>
      </c>
      <c r="BC3351">
        <v>0.91</v>
      </c>
      <c r="BD3351">
        <v>81.2</v>
      </c>
      <c r="BE3351">
        <v>82.01</v>
      </c>
      <c r="BF3351">
        <v>81.02</v>
      </c>
      <c r="BG3351" t="s">
        <v>28639</v>
      </c>
      <c r="BH3351" t="s">
        <v>9068</v>
      </c>
      <c r="BI3351" t="s">
        <v>28640</v>
      </c>
      <c r="BJ3351" t="s">
        <v>101</v>
      </c>
      <c r="BK3351" t="s">
        <v>16279</v>
      </c>
      <c r="BL3351" t="s">
        <v>6266</v>
      </c>
      <c r="BM3351" t="s">
        <v>2220</v>
      </c>
      <c r="BN3351" t="s">
        <v>27621</v>
      </c>
    </row>
    <row r="3352" spans="1:66" x14ac:dyDescent="0.25">
      <c r="A3352" t="str">
        <f>HYPERLINK("https://elite.finviz.com/quote.ashx?t=CTS&amp;ty=c&amp;p=d&amp;b=1", "CTS")</f>
        <v>CTS</v>
      </c>
      <c r="B3352">
        <v>4</v>
      </c>
      <c r="C3352">
        <v>105.92</v>
      </c>
      <c r="D3352">
        <v>35.89</v>
      </c>
      <c r="E3352" t="s">
        <v>28641</v>
      </c>
      <c r="F3352" t="s">
        <v>67</v>
      </c>
      <c r="G3352" t="s">
        <v>108</v>
      </c>
      <c r="H3352" t="s">
        <v>3346</v>
      </c>
      <c r="I3352" t="s">
        <v>70</v>
      </c>
      <c r="J3352" t="s">
        <v>71</v>
      </c>
      <c r="K3352">
        <v>1157.31</v>
      </c>
      <c r="L3352">
        <v>39.26</v>
      </c>
      <c r="M3352" t="s">
        <v>575</v>
      </c>
      <c r="N3352">
        <v>30172</v>
      </c>
      <c r="O3352">
        <v>18.54</v>
      </c>
      <c r="P3352">
        <v>16.29</v>
      </c>
      <c r="R3352">
        <v>2.2200000000000002</v>
      </c>
      <c r="S3352">
        <v>2.11</v>
      </c>
      <c r="T3352" t="s">
        <v>1765</v>
      </c>
      <c r="U3352">
        <v>0.16</v>
      </c>
      <c r="V3352" t="s">
        <v>4741</v>
      </c>
      <c r="W3352" t="s">
        <v>164</v>
      </c>
      <c r="X3352" t="s">
        <v>164</v>
      </c>
      <c r="Y3352" t="s">
        <v>164</v>
      </c>
      <c r="Z3352" t="s">
        <v>4378</v>
      </c>
      <c r="AA3352">
        <v>2.12</v>
      </c>
      <c r="AC3352" t="s">
        <v>5318</v>
      </c>
      <c r="AE3352" t="s">
        <v>5166</v>
      </c>
      <c r="AF3352" t="s">
        <v>2560</v>
      </c>
      <c r="AG3352" t="s">
        <v>909</v>
      </c>
      <c r="AH3352" t="s">
        <v>2721</v>
      </c>
      <c r="AI3352" t="s">
        <v>5111</v>
      </c>
      <c r="AJ3352" t="s">
        <v>164</v>
      </c>
      <c r="AK3352" t="s">
        <v>10870</v>
      </c>
      <c r="AL3352">
        <v>2.61</v>
      </c>
      <c r="AM3352">
        <v>2.04</v>
      </c>
      <c r="AN3352">
        <v>0.2</v>
      </c>
      <c r="AO3352" t="s">
        <v>10033</v>
      </c>
      <c r="AP3352" t="s">
        <v>8400</v>
      </c>
      <c r="AQ3352" t="s">
        <v>2913</v>
      </c>
      <c r="AR3352" t="s">
        <v>5425</v>
      </c>
      <c r="AS3352" t="s">
        <v>633</v>
      </c>
      <c r="AT3352" t="s">
        <v>16493</v>
      </c>
      <c r="AU3352" t="s">
        <v>3423</v>
      </c>
      <c r="AV3352" t="s">
        <v>21638</v>
      </c>
      <c r="AW3352" t="s">
        <v>626</v>
      </c>
      <c r="AX3352" t="s">
        <v>2736</v>
      </c>
      <c r="AY3352" t="s">
        <v>10838</v>
      </c>
      <c r="AZ3352" t="s">
        <v>4455</v>
      </c>
      <c r="BA3352">
        <v>3</v>
      </c>
      <c r="BB3352">
        <v>204.84</v>
      </c>
      <c r="BC3352">
        <v>0.52</v>
      </c>
      <c r="BD3352">
        <v>39.69</v>
      </c>
      <c r="BE3352">
        <v>39.9</v>
      </c>
      <c r="BF3352">
        <v>39.130000000000003</v>
      </c>
      <c r="BG3352" t="s">
        <v>28642</v>
      </c>
      <c r="BH3352" t="s">
        <v>3234</v>
      </c>
      <c r="BI3352" t="s">
        <v>28643</v>
      </c>
      <c r="BJ3352" t="s">
        <v>101</v>
      </c>
      <c r="BK3352" t="s">
        <v>7269</v>
      </c>
      <c r="BL3352" t="s">
        <v>3502</v>
      </c>
      <c r="BM3352" t="s">
        <v>6589</v>
      </c>
      <c r="BN3352" t="s">
        <v>27621</v>
      </c>
    </row>
    <row r="3353" spans="1:66" x14ac:dyDescent="0.25">
      <c r="A3353" t="str">
        <f>HYPERLINK("https://elite.finviz.com/quote.ashx?t=BF-A&amp;ty=c&amp;p=d&amp;b=1", "BF-A")</f>
        <v>BF-A</v>
      </c>
      <c r="B3353">
        <v>4</v>
      </c>
      <c r="C3353">
        <v>105.92</v>
      </c>
      <c r="D3353">
        <v>35.9</v>
      </c>
      <c r="E3353" t="s">
        <v>24994</v>
      </c>
      <c r="F3353" t="s">
        <v>107</v>
      </c>
      <c r="G3353" t="s">
        <v>2244</v>
      </c>
      <c r="H3353" t="s">
        <v>2245</v>
      </c>
      <c r="I3353" t="s">
        <v>70</v>
      </c>
      <c r="J3353" t="s">
        <v>71</v>
      </c>
      <c r="K3353">
        <v>12689.75</v>
      </c>
      <c r="L3353">
        <v>26.7</v>
      </c>
      <c r="M3353" t="s">
        <v>5253</v>
      </c>
      <c r="N3353">
        <v>15631</v>
      </c>
      <c r="O3353">
        <v>14.96</v>
      </c>
      <c r="P3353">
        <v>15.43</v>
      </c>
      <c r="Q3353">
        <v>59.85</v>
      </c>
      <c r="R3353">
        <v>3.22</v>
      </c>
      <c r="S3353">
        <v>3.17</v>
      </c>
      <c r="T3353" t="s">
        <v>903</v>
      </c>
      <c r="U3353">
        <v>0.9</v>
      </c>
      <c r="W3353" t="s">
        <v>3343</v>
      </c>
      <c r="X3353" t="s">
        <v>713</v>
      </c>
      <c r="Y3353" t="s">
        <v>5336</v>
      </c>
      <c r="Z3353" t="s">
        <v>963</v>
      </c>
      <c r="AA3353">
        <v>1.78</v>
      </c>
      <c r="AB3353" t="s">
        <v>5084</v>
      </c>
      <c r="AC3353" t="s">
        <v>1559</v>
      </c>
      <c r="AD3353" t="s">
        <v>4266</v>
      </c>
      <c r="AE3353" t="s">
        <v>5426</v>
      </c>
      <c r="AF3353" t="s">
        <v>2423</v>
      </c>
      <c r="AG3353" t="s">
        <v>2700</v>
      </c>
      <c r="AH3353" t="s">
        <v>7176</v>
      </c>
      <c r="AI3353" t="s">
        <v>7598</v>
      </c>
      <c r="AJ3353" t="s">
        <v>1249</v>
      </c>
      <c r="AK3353" t="s">
        <v>2493</v>
      </c>
      <c r="AL3353">
        <v>2.79</v>
      </c>
      <c r="AM3353">
        <v>1.06</v>
      </c>
      <c r="AN3353">
        <v>0.68</v>
      </c>
      <c r="AO3353" t="s">
        <v>24997</v>
      </c>
      <c r="AP3353" t="s">
        <v>2781</v>
      </c>
      <c r="AQ3353" t="s">
        <v>15794</v>
      </c>
      <c r="AR3353" t="s">
        <v>7437</v>
      </c>
      <c r="AS3353" t="s">
        <v>862</v>
      </c>
      <c r="AT3353" t="s">
        <v>4187</v>
      </c>
      <c r="AU3353" t="s">
        <v>7754</v>
      </c>
      <c r="AV3353" t="s">
        <v>11586</v>
      </c>
      <c r="AW3353" t="s">
        <v>28644</v>
      </c>
      <c r="AX3353" t="s">
        <v>192</v>
      </c>
      <c r="AY3353" t="s">
        <v>28645</v>
      </c>
      <c r="AZ3353" t="s">
        <v>1599</v>
      </c>
      <c r="BA3353">
        <v>3.1</v>
      </c>
      <c r="BB3353">
        <v>201.04</v>
      </c>
      <c r="BC3353">
        <v>0.27</v>
      </c>
      <c r="BD3353">
        <v>26.52</v>
      </c>
      <c r="BE3353">
        <v>26.81</v>
      </c>
      <c r="BF3353">
        <v>26.58</v>
      </c>
      <c r="BG3353" t="s">
        <v>28646</v>
      </c>
      <c r="BH3353" t="s">
        <v>28647</v>
      </c>
      <c r="BI3353" t="s">
        <v>28648</v>
      </c>
      <c r="BJ3353" t="s">
        <v>101</v>
      </c>
      <c r="BK3353" t="s">
        <v>10819</v>
      </c>
      <c r="BL3353" t="s">
        <v>18158</v>
      </c>
      <c r="BM3353" t="s">
        <v>2011</v>
      </c>
      <c r="BN3353" t="s">
        <v>27621</v>
      </c>
    </row>
    <row r="3354" spans="1:66" x14ac:dyDescent="0.25">
      <c r="A3354" t="str">
        <f>HYPERLINK("https://elite.finviz.com/quote.ashx?t=CVGW&amp;ty=c&amp;p=d&amp;b=1", "CVGW")</f>
        <v>CVGW</v>
      </c>
      <c r="B3354">
        <v>4</v>
      </c>
      <c r="C3354">
        <v>105.92</v>
      </c>
      <c r="D3354">
        <v>35.92</v>
      </c>
      <c r="E3354" t="s">
        <v>28649</v>
      </c>
      <c r="F3354" t="s">
        <v>67</v>
      </c>
      <c r="G3354" t="s">
        <v>2244</v>
      </c>
      <c r="H3354" t="s">
        <v>6825</v>
      </c>
      <c r="I3354" t="s">
        <v>70</v>
      </c>
      <c r="J3354" t="s">
        <v>321</v>
      </c>
      <c r="K3354">
        <v>465.26</v>
      </c>
      <c r="L3354">
        <v>26.06</v>
      </c>
      <c r="M3354" t="s">
        <v>5777</v>
      </c>
      <c r="N3354">
        <v>23383</v>
      </c>
      <c r="O3354">
        <v>29.73</v>
      </c>
      <c r="P3354">
        <v>13.86</v>
      </c>
      <c r="R3354">
        <v>0.67</v>
      </c>
      <c r="S3354">
        <v>2.25</v>
      </c>
      <c r="T3354" t="s">
        <v>1902</v>
      </c>
      <c r="U3354">
        <v>0.8</v>
      </c>
      <c r="V3354" t="s">
        <v>198</v>
      </c>
      <c r="W3354" t="s">
        <v>1057</v>
      </c>
      <c r="X3354" t="s">
        <v>8709</v>
      </c>
      <c r="Y3354" t="s">
        <v>18389</v>
      </c>
      <c r="AA3354">
        <v>0.88</v>
      </c>
      <c r="AB3354" t="s">
        <v>3960</v>
      </c>
      <c r="AE3354" t="s">
        <v>4073</v>
      </c>
      <c r="AF3354" t="s">
        <v>12683</v>
      </c>
      <c r="AG3354" t="s">
        <v>18085</v>
      </c>
      <c r="AH3354" t="s">
        <v>7346</v>
      </c>
      <c r="AI3354" t="s">
        <v>892</v>
      </c>
      <c r="AJ3354" t="s">
        <v>2376</v>
      </c>
      <c r="AK3354" t="s">
        <v>11274</v>
      </c>
      <c r="AL3354">
        <v>2.2999999999999998</v>
      </c>
      <c r="AM3354">
        <v>1.66</v>
      </c>
      <c r="AN3354">
        <v>0.12</v>
      </c>
      <c r="AO3354" t="s">
        <v>2877</v>
      </c>
      <c r="AP3354" t="s">
        <v>2700</v>
      </c>
      <c r="AQ3354" t="s">
        <v>1599</v>
      </c>
      <c r="AR3354" t="s">
        <v>4976</v>
      </c>
      <c r="AS3354" t="s">
        <v>2643</v>
      </c>
      <c r="AT3354" t="s">
        <v>944</v>
      </c>
      <c r="AU3354" t="s">
        <v>4289</v>
      </c>
      <c r="AV3354" t="s">
        <v>3925</v>
      </c>
      <c r="AW3354" t="s">
        <v>7439</v>
      </c>
      <c r="AX3354" t="s">
        <v>1933</v>
      </c>
      <c r="AY3354" t="s">
        <v>12167</v>
      </c>
      <c r="AZ3354" t="s">
        <v>3858</v>
      </c>
      <c r="BA3354">
        <v>1.67</v>
      </c>
      <c r="BB3354">
        <v>201.43</v>
      </c>
      <c r="BC3354">
        <v>0.41</v>
      </c>
      <c r="BD3354">
        <v>26.19</v>
      </c>
      <c r="BE3354">
        <v>26.2</v>
      </c>
      <c r="BF3354">
        <v>25.98</v>
      </c>
      <c r="BG3354" t="s">
        <v>28650</v>
      </c>
      <c r="BH3354" t="s">
        <v>25303</v>
      </c>
      <c r="BI3354" t="s">
        <v>28651</v>
      </c>
      <c r="BJ3354" t="s">
        <v>101</v>
      </c>
      <c r="BK3354" t="s">
        <v>10262</v>
      </c>
      <c r="BL3354" t="s">
        <v>463</v>
      </c>
      <c r="BM3354" t="s">
        <v>14840</v>
      </c>
      <c r="BN3354" t="s">
        <v>27621</v>
      </c>
    </row>
    <row r="3355" spans="1:66" x14ac:dyDescent="0.25">
      <c r="A3355" t="str">
        <f>HYPERLINK("https://elite.finviz.com/quote.ashx?t=CURV&amp;ty=c&amp;p=d&amp;b=1", "CURV")</f>
        <v>CURV</v>
      </c>
      <c r="B3355">
        <v>4</v>
      </c>
      <c r="C3355">
        <v>105.92</v>
      </c>
      <c r="D3355">
        <v>35.94</v>
      </c>
      <c r="E3355" t="s">
        <v>28652</v>
      </c>
      <c r="F3355" t="s">
        <v>67</v>
      </c>
      <c r="G3355" t="s">
        <v>813</v>
      </c>
      <c r="H3355" t="s">
        <v>4488</v>
      </c>
      <c r="I3355" t="s">
        <v>70</v>
      </c>
      <c r="J3355" t="s">
        <v>71</v>
      </c>
      <c r="K3355">
        <v>172.19</v>
      </c>
      <c r="L3355">
        <v>1.74</v>
      </c>
      <c r="M3355" t="s">
        <v>2468</v>
      </c>
      <c r="N3355">
        <v>36439</v>
      </c>
      <c r="O3355">
        <v>55.65</v>
      </c>
      <c r="P3355">
        <v>18.59</v>
      </c>
      <c r="R3355">
        <v>0.16</v>
      </c>
      <c r="Z3355" t="s">
        <v>164</v>
      </c>
      <c r="AA3355">
        <v>0.03</v>
      </c>
      <c r="AC3355" t="s">
        <v>3502</v>
      </c>
      <c r="AD3355" t="s">
        <v>1787</v>
      </c>
      <c r="AE3355" t="s">
        <v>7402</v>
      </c>
      <c r="AF3355" t="s">
        <v>10228</v>
      </c>
      <c r="AG3355" t="s">
        <v>1391</v>
      </c>
      <c r="AH3355" t="s">
        <v>6436</v>
      </c>
      <c r="AI3355" t="s">
        <v>23685</v>
      </c>
      <c r="AJ3355" t="s">
        <v>13699</v>
      </c>
      <c r="AK3355" t="s">
        <v>12556</v>
      </c>
      <c r="AL3355">
        <v>0.83</v>
      </c>
      <c r="AM3355">
        <v>0.26</v>
      </c>
      <c r="AO3355" t="s">
        <v>21640</v>
      </c>
      <c r="AP3355" t="s">
        <v>903</v>
      </c>
      <c r="AQ3355" t="s">
        <v>698</v>
      </c>
      <c r="AR3355" t="s">
        <v>7542</v>
      </c>
      <c r="AS3355" t="s">
        <v>6420</v>
      </c>
      <c r="AT3355" t="s">
        <v>119</v>
      </c>
      <c r="AU3355" t="s">
        <v>24063</v>
      </c>
      <c r="AV3355" t="s">
        <v>23774</v>
      </c>
      <c r="AW3355" t="s">
        <v>24158</v>
      </c>
      <c r="AX3355" t="s">
        <v>3432</v>
      </c>
      <c r="AY3355" t="s">
        <v>6323</v>
      </c>
      <c r="AZ3355" t="s">
        <v>3432</v>
      </c>
      <c r="BA3355">
        <v>3</v>
      </c>
      <c r="BB3355">
        <v>800.67</v>
      </c>
      <c r="BC3355">
        <v>0.16</v>
      </c>
      <c r="BD3355">
        <v>1.74</v>
      </c>
      <c r="BE3355">
        <v>1.77</v>
      </c>
      <c r="BF3355">
        <v>1.74</v>
      </c>
      <c r="BG3355" t="s">
        <v>28653</v>
      </c>
      <c r="BH3355" t="s">
        <v>23418</v>
      </c>
      <c r="BI3355" t="s">
        <v>28654</v>
      </c>
      <c r="BJ3355" t="s">
        <v>101</v>
      </c>
      <c r="BK3355" t="s">
        <v>25652</v>
      </c>
      <c r="BL3355" t="s">
        <v>28655</v>
      </c>
      <c r="BM3355" t="s">
        <v>23041</v>
      </c>
      <c r="BN3355" t="s">
        <v>27621</v>
      </c>
    </row>
    <row r="3356" spans="1:66" x14ac:dyDescent="0.25">
      <c r="A3356" t="str">
        <f>HYPERLINK("https://elite.finviz.com/quote.ashx?t=PINE&amp;ty=c&amp;p=d&amp;b=1", "PINE")</f>
        <v>PINE</v>
      </c>
      <c r="B3356">
        <v>4</v>
      </c>
      <c r="C3356">
        <v>105.92</v>
      </c>
      <c r="D3356">
        <v>35.94</v>
      </c>
      <c r="E3356" t="s">
        <v>28656</v>
      </c>
      <c r="F3356" t="s">
        <v>67</v>
      </c>
      <c r="G3356" t="s">
        <v>68</v>
      </c>
      <c r="H3356" t="s">
        <v>160</v>
      </c>
      <c r="I3356" t="s">
        <v>70</v>
      </c>
      <c r="J3356" t="s">
        <v>71</v>
      </c>
      <c r="K3356">
        <v>200.06</v>
      </c>
      <c r="L3356">
        <v>14.13</v>
      </c>
      <c r="M3356" t="s">
        <v>193</v>
      </c>
      <c r="N3356">
        <v>10398</v>
      </c>
      <c r="P3356">
        <v>1335.54</v>
      </c>
      <c r="R3356">
        <v>3.55</v>
      </c>
      <c r="S3356">
        <v>0.87</v>
      </c>
      <c r="T3356" t="s">
        <v>9478</v>
      </c>
      <c r="U3356">
        <v>1.1399999999999999</v>
      </c>
      <c r="V3356" t="s">
        <v>7788</v>
      </c>
      <c r="W3356" t="s">
        <v>3344</v>
      </c>
      <c r="X3356" t="s">
        <v>170</v>
      </c>
      <c r="Y3356" t="s">
        <v>9909</v>
      </c>
      <c r="Z3356" t="s">
        <v>28657</v>
      </c>
      <c r="AA3356">
        <v>-0.04</v>
      </c>
      <c r="AB3356" t="s">
        <v>13775</v>
      </c>
      <c r="AC3356" t="s">
        <v>24272</v>
      </c>
      <c r="AE3356" t="s">
        <v>2360</v>
      </c>
      <c r="AF3356" t="s">
        <v>11608</v>
      </c>
      <c r="AG3356" t="s">
        <v>4047</v>
      </c>
      <c r="AH3356" t="s">
        <v>3676</v>
      </c>
      <c r="AI3356" t="s">
        <v>28658</v>
      </c>
      <c r="AJ3356" t="s">
        <v>2877</v>
      </c>
      <c r="AK3356" t="s">
        <v>17637</v>
      </c>
      <c r="AN3356">
        <v>1.57</v>
      </c>
      <c r="AO3356" t="s">
        <v>15685</v>
      </c>
      <c r="AP3356" t="s">
        <v>18905</v>
      </c>
      <c r="AQ3356" t="s">
        <v>11260</v>
      </c>
      <c r="AR3356" t="s">
        <v>6493</v>
      </c>
      <c r="AS3356" t="s">
        <v>3487</v>
      </c>
      <c r="AT3356" t="s">
        <v>17477</v>
      </c>
      <c r="AU3356" t="s">
        <v>7959</v>
      </c>
      <c r="AV3356" t="s">
        <v>9710</v>
      </c>
      <c r="AW3356" t="s">
        <v>1704</v>
      </c>
      <c r="AX3356" t="s">
        <v>6478</v>
      </c>
      <c r="AY3356" t="s">
        <v>24956</v>
      </c>
      <c r="AZ3356" t="s">
        <v>6478</v>
      </c>
      <c r="BA3356">
        <v>1.55</v>
      </c>
      <c r="BB3356">
        <v>84.93</v>
      </c>
      <c r="BC3356">
        <v>0.44</v>
      </c>
      <c r="BD3356">
        <v>14.09</v>
      </c>
      <c r="BE3356">
        <v>14.25</v>
      </c>
      <c r="BF3356">
        <v>14.1</v>
      </c>
      <c r="BG3356" t="s">
        <v>28659</v>
      </c>
      <c r="BH3356" t="s">
        <v>10388</v>
      </c>
      <c r="BI3356" t="s">
        <v>28660</v>
      </c>
      <c r="BJ3356" t="s">
        <v>101</v>
      </c>
      <c r="BK3356" t="s">
        <v>8058</v>
      </c>
      <c r="BL3356" t="s">
        <v>19806</v>
      </c>
      <c r="BM3356" t="s">
        <v>588</v>
      </c>
      <c r="BN3356" t="s">
        <v>27621</v>
      </c>
    </row>
    <row r="3357" spans="1:66" x14ac:dyDescent="0.25">
      <c r="A3357" t="str">
        <f>HYPERLINK("https://elite.finviz.com/quote.ashx?t=TVGN&amp;ty=c&amp;p=d&amp;b=1", "TVGN")</f>
        <v>TVGN</v>
      </c>
      <c r="B3357">
        <v>4</v>
      </c>
      <c r="C3357">
        <v>105.92</v>
      </c>
      <c r="D3357">
        <v>35.97</v>
      </c>
      <c r="E3357" t="s">
        <v>28661</v>
      </c>
      <c r="F3357" t="s">
        <v>67</v>
      </c>
      <c r="G3357" t="s">
        <v>428</v>
      </c>
      <c r="H3357" t="s">
        <v>429</v>
      </c>
      <c r="I3357" t="s">
        <v>70</v>
      </c>
      <c r="J3357" t="s">
        <v>321</v>
      </c>
      <c r="K3357">
        <v>153.44999999999999</v>
      </c>
      <c r="L3357">
        <v>0.78</v>
      </c>
      <c r="M3357" t="s">
        <v>8932</v>
      </c>
      <c r="N3357">
        <v>80700</v>
      </c>
      <c r="AA3357">
        <v>-0.18</v>
      </c>
      <c r="AB3357" t="s">
        <v>28662</v>
      </c>
      <c r="AI3357" t="s">
        <v>22042</v>
      </c>
      <c r="AJ3357" t="s">
        <v>2132</v>
      </c>
      <c r="AK3357" t="s">
        <v>4547</v>
      </c>
      <c r="AL3357">
        <v>0.25</v>
      </c>
      <c r="AM3357">
        <v>0.25</v>
      </c>
      <c r="AR3357" t="s">
        <v>607</v>
      </c>
      <c r="AS3357" t="s">
        <v>614</v>
      </c>
      <c r="AT3357" t="s">
        <v>8055</v>
      </c>
      <c r="AU3357" t="s">
        <v>11213</v>
      </c>
      <c r="AV3357" t="s">
        <v>1189</v>
      </c>
      <c r="AW3357" t="s">
        <v>28663</v>
      </c>
      <c r="AX3357" t="s">
        <v>5592</v>
      </c>
      <c r="AY3357" t="s">
        <v>28664</v>
      </c>
      <c r="AZ3357" t="s">
        <v>28665</v>
      </c>
      <c r="BA3357">
        <v>1</v>
      </c>
      <c r="BB3357">
        <v>854.37</v>
      </c>
      <c r="BC3357">
        <v>0.33</v>
      </c>
      <c r="BD3357">
        <v>0.79</v>
      </c>
      <c r="BE3357">
        <v>0.8</v>
      </c>
      <c r="BF3357">
        <v>0.78</v>
      </c>
      <c r="BG3357" t="s">
        <v>28666</v>
      </c>
      <c r="BH3357" t="s">
        <v>28667</v>
      </c>
      <c r="BI3357" t="s">
        <v>28665</v>
      </c>
      <c r="BJ3357" t="s">
        <v>101</v>
      </c>
      <c r="BK3357" t="s">
        <v>455</v>
      </c>
      <c r="BL3357" t="s">
        <v>28668</v>
      </c>
      <c r="BM3357" t="s">
        <v>18676</v>
      </c>
      <c r="BN3357" t="s">
        <v>27621</v>
      </c>
    </row>
    <row r="3358" spans="1:66" x14ac:dyDescent="0.25">
      <c r="A3358" t="str">
        <f>HYPERLINK("https://elite.finviz.com/quote.ashx?t=CLPR&amp;ty=c&amp;p=d&amp;b=1", "CLPR")</f>
        <v>CLPR</v>
      </c>
      <c r="B3358">
        <v>4</v>
      </c>
      <c r="C3358">
        <v>105.92</v>
      </c>
      <c r="D3358">
        <v>35.979999999999997</v>
      </c>
      <c r="E3358" t="s">
        <v>28669</v>
      </c>
      <c r="F3358" t="s">
        <v>67</v>
      </c>
      <c r="G3358" t="s">
        <v>68</v>
      </c>
      <c r="H3358" t="s">
        <v>5671</v>
      </c>
      <c r="I3358" t="s">
        <v>70</v>
      </c>
      <c r="J3358" t="s">
        <v>71</v>
      </c>
      <c r="K3358">
        <v>62.08</v>
      </c>
      <c r="L3358">
        <v>3.85</v>
      </c>
      <c r="M3358" t="s">
        <v>6719</v>
      </c>
      <c r="N3358">
        <v>6897</v>
      </c>
      <c r="R3358">
        <v>0.4</v>
      </c>
      <c r="T3358" t="s">
        <v>341</v>
      </c>
      <c r="U3358">
        <v>0.38</v>
      </c>
      <c r="V3358" t="s">
        <v>5037</v>
      </c>
      <c r="W3358" t="s">
        <v>164</v>
      </c>
      <c r="X3358" t="s">
        <v>164</v>
      </c>
      <c r="Y3358" t="s">
        <v>164</v>
      </c>
      <c r="AA3358">
        <v>-1.03</v>
      </c>
      <c r="AB3358" t="s">
        <v>233</v>
      </c>
      <c r="AC3358" t="s">
        <v>6023</v>
      </c>
      <c r="AE3358" t="s">
        <v>2698</v>
      </c>
      <c r="AF3358" t="s">
        <v>7935</v>
      </c>
      <c r="AG3358" t="s">
        <v>3887</v>
      </c>
      <c r="AH3358" t="s">
        <v>169</v>
      </c>
      <c r="AJ3358" t="s">
        <v>2641</v>
      </c>
      <c r="AK3358" t="s">
        <v>15193</v>
      </c>
      <c r="AL3358">
        <v>0.65</v>
      </c>
      <c r="AM3358">
        <v>0.65</v>
      </c>
      <c r="AO3358" t="s">
        <v>9831</v>
      </c>
      <c r="AP3358" t="s">
        <v>13013</v>
      </c>
      <c r="AQ3358" t="s">
        <v>16801</v>
      </c>
      <c r="AR3358" t="s">
        <v>353</v>
      </c>
      <c r="AS3358" t="s">
        <v>2419</v>
      </c>
      <c r="AT3358" t="s">
        <v>12282</v>
      </c>
      <c r="AU3358" t="s">
        <v>4665</v>
      </c>
      <c r="AV3358" t="s">
        <v>17105</v>
      </c>
      <c r="AW3358" t="s">
        <v>12700</v>
      </c>
      <c r="AX3358" t="s">
        <v>4558</v>
      </c>
      <c r="AY3358" t="s">
        <v>28670</v>
      </c>
      <c r="AZ3358" t="s">
        <v>4558</v>
      </c>
      <c r="BA3358">
        <v>2</v>
      </c>
      <c r="BB3358">
        <v>88.1</v>
      </c>
      <c r="BC3358">
        <v>0.28000000000000003</v>
      </c>
      <c r="BD3358">
        <v>3.83</v>
      </c>
      <c r="BE3358">
        <v>3.98</v>
      </c>
      <c r="BF3358">
        <v>3.85</v>
      </c>
      <c r="BG3358" t="s">
        <v>28671</v>
      </c>
      <c r="BH3358" t="s">
        <v>28672</v>
      </c>
      <c r="BI3358" t="s">
        <v>5479</v>
      </c>
      <c r="BJ3358" t="s">
        <v>101</v>
      </c>
      <c r="BK3358" t="s">
        <v>5929</v>
      </c>
      <c r="BL3358" t="s">
        <v>12575</v>
      </c>
      <c r="BM3358" t="s">
        <v>28673</v>
      </c>
      <c r="BN3358" t="s">
        <v>27621</v>
      </c>
    </row>
    <row r="3359" spans="1:66" x14ac:dyDescent="0.25">
      <c r="A3359" t="str">
        <f>HYPERLINK("https://elite.finviz.com/quote.ashx?t=MBWM&amp;ty=c&amp;p=d&amp;b=1", "MBWM")</f>
        <v>MBWM</v>
      </c>
      <c r="B3359">
        <v>4</v>
      </c>
      <c r="C3359">
        <v>105.92</v>
      </c>
      <c r="D3359">
        <v>36.01</v>
      </c>
      <c r="E3359" t="s">
        <v>28674</v>
      </c>
      <c r="F3359" t="s">
        <v>67</v>
      </c>
      <c r="G3359" t="s">
        <v>550</v>
      </c>
      <c r="H3359" t="s">
        <v>697</v>
      </c>
      <c r="I3359" t="s">
        <v>70</v>
      </c>
      <c r="J3359" t="s">
        <v>321</v>
      </c>
      <c r="K3359">
        <v>736.23</v>
      </c>
      <c r="L3359">
        <v>45.31</v>
      </c>
      <c r="M3359" t="s">
        <v>1722</v>
      </c>
      <c r="N3359">
        <v>8303</v>
      </c>
      <c r="O3359">
        <v>9.01</v>
      </c>
      <c r="P3359">
        <v>8.3800000000000008</v>
      </c>
      <c r="Q3359">
        <v>2.2400000000000002</v>
      </c>
      <c r="R3359">
        <v>2</v>
      </c>
      <c r="S3359">
        <v>1.17</v>
      </c>
      <c r="T3359" t="s">
        <v>6770</v>
      </c>
      <c r="U3359">
        <v>1.48</v>
      </c>
      <c r="V3359" t="s">
        <v>4548</v>
      </c>
      <c r="W3359" t="s">
        <v>8164</v>
      </c>
      <c r="X3359" t="s">
        <v>463</v>
      </c>
      <c r="Y3359" t="s">
        <v>1826</v>
      </c>
      <c r="Z3359" t="s">
        <v>8687</v>
      </c>
      <c r="AA3359">
        <v>5.03</v>
      </c>
      <c r="AB3359" t="s">
        <v>10793</v>
      </c>
      <c r="AC3359" t="s">
        <v>2555</v>
      </c>
      <c r="AD3359" t="s">
        <v>926</v>
      </c>
      <c r="AE3359" t="s">
        <v>11639</v>
      </c>
      <c r="AF3359" t="s">
        <v>7726</v>
      </c>
      <c r="AG3359" t="s">
        <v>2660</v>
      </c>
      <c r="AH3359" t="s">
        <v>5859</v>
      </c>
      <c r="AI3359" t="s">
        <v>11337</v>
      </c>
      <c r="AJ3359" t="s">
        <v>2560</v>
      </c>
      <c r="AK3359" t="s">
        <v>28675</v>
      </c>
      <c r="AL3359">
        <v>0.08</v>
      </c>
      <c r="AN3359">
        <v>1.18</v>
      </c>
      <c r="AP3359" t="s">
        <v>8888</v>
      </c>
      <c r="AQ3359" t="s">
        <v>1007</v>
      </c>
      <c r="AR3359" t="s">
        <v>4255</v>
      </c>
      <c r="AS3359" t="s">
        <v>2742</v>
      </c>
      <c r="AT3359" t="s">
        <v>2076</v>
      </c>
      <c r="AU3359" t="s">
        <v>6074</v>
      </c>
      <c r="AV3359" t="s">
        <v>6407</v>
      </c>
      <c r="AW3359" t="s">
        <v>10461</v>
      </c>
      <c r="AX3359" t="s">
        <v>2494</v>
      </c>
      <c r="AY3359" t="s">
        <v>20918</v>
      </c>
      <c r="AZ3359" t="s">
        <v>8239</v>
      </c>
      <c r="BA3359">
        <v>2</v>
      </c>
      <c r="BB3359">
        <v>70.86</v>
      </c>
      <c r="BC3359">
        <v>0.41</v>
      </c>
      <c r="BD3359">
        <v>45.76</v>
      </c>
      <c r="BE3359">
        <v>46.14</v>
      </c>
      <c r="BF3359">
        <v>45.57</v>
      </c>
      <c r="BG3359" t="s">
        <v>28676</v>
      </c>
      <c r="BH3359" t="s">
        <v>20918</v>
      </c>
      <c r="BI3359" t="s">
        <v>28677</v>
      </c>
      <c r="BJ3359" t="s">
        <v>101</v>
      </c>
      <c r="BK3359" t="s">
        <v>5444</v>
      </c>
      <c r="BL3359" t="s">
        <v>2144</v>
      </c>
      <c r="BM3359" t="s">
        <v>1104</v>
      </c>
      <c r="BN3359" t="s">
        <v>27621</v>
      </c>
    </row>
    <row r="3360" spans="1:66" x14ac:dyDescent="0.25">
      <c r="A3360" t="str">
        <f>HYPERLINK("https://elite.finviz.com/quote.ashx?t=BFH&amp;ty=c&amp;p=d&amp;b=1", "BFH")</f>
        <v>BFH</v>
      </c>
      <c r="B3360">
        <v>4</v>
      </c>
      <c r="C3360">
        <v>105.92</v>
      </c>
      <c r="D3360">
        <v>36.119999999999997</v>
      </c>
      <c r="E3360" t="s">
        <v>28678</v>
      </c>
      <c r="F3360" t="s">
        <v>67</v>
      </c>
      <c r="G3360" t="s">
        <v>550</v>
      </c>
      <c r="H3360" t="s">
        <v>3744</v>
      </c>
      <c r="I3360" t="s">
        <v>70</v>
      </c>
      <c r="J3360" t="s">
        <v>71</v>
      </c>
      <c r="K3360">
        <v>2756.56</v>
      </c>
      <c r="L3360">
        <v>59.1</v>
      </c>
      <c r="M3360" t="s">
        <v>2950</v>
      </c>
      <c r="N3360">
        <v>102389</v>
      </c>
      <c r="O3360">
        <v>10.01</v>
      </c>
      <c r="P3360">
        <v>6.5</v>
      </c>
      <c r="Q3360">
        <v>0.9</v>
      </c>
      <c r="R3360">
        <v>0.57999999999999996</v>
      </c>
      <c r="S3360">
        <v>0.87</v>
      </c>
      <c r="T3360" t="s">
        <v>3019</v>
      </c>
      <c r="U3360">
        <v>0.84</v>
      </c>
      <c r="V3360" t="s">
        <v>1762</v>
      </c>
      <c r="W3360" t="s">
        <v>164</v>
      </c>
      <c r="X3360" t="s">
        <v>164</v>
      </c>
      <c r="Y3360" t="s">
        <v>5828</v>
      </c>
      <c r="Z3360" t="s">
        <v>1224</v>
      </c>
      <c r="AA3360">
        <v>5.9</v>
      </c>
      <c r="AB3360" t="s">
        <v>6395</v>
      </c>
      <c r="AD3360" t="s">
        <v>8691</v>
      </c>
      <c r="AE3360" t="s">
        <v>15052</v>
      </c>
      <c r="AF3360" t="s">
        <v>3147</v>
      </c>
      <c r="AG3360" t="s">
        <v>10774</v>
      </c>
      <c r="AH3360" t="s">
        <v>14462</v>
      </c>
      <c r="AI3360" t="s">
        <v>22162</v>
      </c>
      <c r="AJ3360" t="s">
        <v>6156</v>
      </c>
      <c r="AK3360" t="s">
        <v>28679</v>
      </c>
      <c r="AL3360">
        <v>1.27</v>
      </c>
      <c r="AN3360">
        <v>1.34</v>
      </c>
      <c r="AP3360" t="s">
        <v>6859</v>
      </c>
      <c r="AQ3360" t="s">
        <v>7541</v>
      </c>
      <c r="AR3360" t="s">
        <v>2582</v>
      </c>
      <c r="AS3360" t="s">
        <v>4216</v>
      </c>
      <c r="AT3360" t="s">
        <v>972</v>
      </c>
      <c r="AU3360" t="s">
        <v>309</v>
      </c>
      <c r="AV3360" t="s">
        <v>323</v>
      </c>
      <c r="AW3360" t="s">
        <v>16620</v>
      </c>
      <c r="AX3360" t="s">
        <v>6104</v>
      </c>
      <c r="AY3360" t="s">
        <v>16620</v>
      </c>
      <c r="AZ3360" t="s">
        <v>13571</v>
      </c>
      <c r="BA3360">
        <v>2.62</v>
      </c>
      <c r="BB3360">
        <v>626.29</v>
      </c>
      <c r="BC3360">
        <v>0.57999999999999996</v>
      </c>
      <c r="BD3360">
        <v>60.06</v>
      </c>
      <c r="BE3360">
        <v>60.46</v>
      </c>
      <c r="BF3360">
        <v>58.91</v>
      </c>
      <c r="BG3360" t="s">
        <v>28680</v>
      </c>
      <c r="BH3360" t="s">
        <v>28681</v>
      </c>
      <c r="BI3360" t="s">
        <v>28682</v>
      </c>
      <c r="BJ3360" t="s">
        <v>101</v>
      </c>
      <c r="BK3360" t="s">
        <v>4125</v>
      </c>
      <c r="BL3360" t="s">
        <v>3058</v>
      </c>
      <c r="BM3360" t="s">
        <v>8280</v>
      </c>
      <c r="BN3360" t="s">
        <v>27621</v>
      </c>
    </row>
    <row r="3361" spans="1:66" x14ac:dyDescent="0.25">
      <c r="A3361" t="str">
        <f>HYPERLINK("https://elite.finviz.com/quote.ashx?t=OFLX&amp;ty=c&amp;p=d&amp;b=1", "OFLX")</f>
        <v>OFLX</v>
      </c>
      <c r="B3361">
        <v>4</v>
      </c>
      <c r="C3361">
        <v>105.92</v>
      </c>
      <c r="D3361">
        <v>36.130000000000003</v>
      </c>
      <c r="E3361" t="s">
        <v>28683</v>
      </c>
      <c r="F3361" t="s">
        <v>67</v>
      </c>
      <c r="G3361" t="s">
        <v>260</v>
      </c>
      <c r="H3361" t="s">
        <v>261</v>
      </c>
      <c r="I3361" t="s">
        <v>70</v>
      </c>
      <c r="J3361" t="s">
        <v>321</v>
      </c>
      <c r="K3361">
        <v>321.41000000000003</v>
      </c>
      <c r="L3361">
        <v>31.84</v>
      </c>
      <c r="M3361" t="s">
        <v>6192</v>
      </c>
      <c r="N3361">
        <v>3293</v>
      </c>
      <c r="O3361">
        <v>18.88</v>
      </c>
      <c r="R3361">
        <v>3.19</v>
      </c>
      <c r="S3361">
        <v>3.83</v>
      </c>
      <c r="T3361" t="s">
        <v>4744</v>
      </c>
      <c r="U3361">
        <v>1.36</v>
      </c>
      <c r="V3361" t="s">
        <v>2651</v>
      </c>
      <c r="W3361" t="s">
        <v>1769</v>
      </c>
      <c r="X3361" t="s">
        <v>4908</v>
      </c>
      <c r="Y3361" t="s">
        <v>371</v>
      </c>
      <c r="Z3361" t="s">
        <v>10973</v>
      </c>
      <c r="AA3361">
        <v>1.69</v>
      </c>
      <c r="AB3361" t="s">
        <v>2248</v>
      </c>
      <c r="AC3361" t="s">
        <v>2734</v>
      </c>
      <c r="AE3361" t="s">
        <v>4653</v>
      </c>
      <c r="AF3361" t="s">
        <v>8230</v>
      </c>
      <c r="AG3361" t="s">
        <v>5257</v>
      </c>
      <c r="AH3361" t="s">
        <v>2764</v>
      </c>
      <c r="AJ3361" t="s">
        <v>1249</v>
      </c>
      <c r="AK3361" t="s">
        <v>4208</v>
      </c>
      <c r="AL3361">
        <v>5.84</v>
      </c>
      <c r="AM3361">
        <v>4.79</v>
      </c>
      <c r="AN3361">
        <v>0.06</v>
      </c>
      <c r="AO3361" t="s">
        <v>9668</v>
      </c>
      <c r="AP3361" t="s">
        <v>21085</v>
      </c>
      <c r="AQ3361" t="s">
        <v>3199</v>
      </c>
      <c r="AR3361" t="s">
        <v>6726</v>
      </c>
      <c r="AS3361" t="s">
        <v>5111</v>
      </c>
      <c r="AT3361" t="s">
        <v>9018</v>
      </c>
      <c r="AU3361" t="s">
        <v>8670</v>
      </c>
      <c r="AV3361" t="s">
        <v>3941</v>
      </c>
      <c r="AW3361" t="s">
        <v>7443</v>
      </c>
      <c r="AX3361" t="s">
        <v>3148</v>
      </c>
      <c r="AY3361" t="s">
        <v>27649</v>
      </c>
      <c r="AZ3361" t="s">
        <v>2709</v>
      </c>
      <c r="BB3361">
        <v>37.04</v>
      </c>
      <c r="BC3361">
        <v>0.32</v>
      </c>
      <c r="BD3361">
        <v>31.87</v>
      </c>
      <c r="BE3361">
        <v>32.01</v>
      </c>
      <c r="BF3361">
        <v>32</v>
      </c>
      <c r="BG3361" t="s">
        <v>28684</v>
      </c>
      <c r="BH3361" t="s">
        <v>28685</v>
      </c>
      <c r="BI3361" t="s">
        <v>28686</v>
      </c>
      <c r="BJ3361" t="s">
        <v>101</v>
      </c>
      <c r="BK3361" t="s">
        <v>1529</v>
      </c>
      <c r="BL3361" t="s">
        <v>9198</v>
      </c>
      <c r="BM3361" t="s">
        <v>28470</v>
      </c>
      <c r="BN3361" t="s">
        <v>27621</v>
      </c>
    </row>
    <row r="3362" spans="1:66" x14ac:dyDescent="0.25">
      <c r="A3362" t="str">
        <f>HYPERLINK("https://elite.finviz.com/quote.ashx?t=HLNE&amp;ty=c&amp;p=d&amp;b=1", "HLNE")</f>
        <v>HLNE</v>
      </c>
      <c r="B3362">
        <v>4</v>
      </c>
      <c r="C3362">
        <v>105.92</v>
      </c>
      <c r="D3362">
        <v>36.15</v>
      </c>
      <c r="E3362" t="s">
        <v>28687</v>
      </c>
      <c r="F3362" t="s">
        <v>107</v>
      </c>
      <c r="G3362" t="s">
        <v>550</v>
      </c>
      <c r="H3362" t="s">
        <v>2597</v>
      </c>
      <c r="I3362" t="s">
        <v>70</v>
      </c>
      <c r="J3362" t="s">
        <v>321</v>
      </c>
      <c r="K3362">
        <v>7780.13</v>
      </c>
      <c r="L3362">
        <v>139.63999999999999</v>
      </c>
      <c r="M3362" t="s">
        <v>1249</v>
      </c>
      <c r="N3362">
        <v>34150</v>
      </c>
      <c r="O3362">
        <v>26.84</v>
      </c>
      <c r="P3362">
        <v>23.35</v>
      </c>
      <c r="Q3362">
        <v>2.0299999999999998</v>
      </c>
      <c r="R3362">
        <v>11.24</v>
      </c>
      <c r="S3362">
        <v>8.01</v>
      </c>
      <c r="T3362" t="s">
        <v>3349</v>
      </c>
      <c r="U3362">
        <v>2.06</v>
      </c>
      <c r="V3362" t="s">
        <v>7552</v>
      </c>
      <c r="W3362" t="s">
        <v>5404</v>
      </c>
      <c r="X3362" t="s">
        <v>4079</v>
      </c>
      <c r="Y3362" t="s">
        <v>4087</v>
      </c>
      <c r="Z3362" t="s">
        <v>13115</v>
      </c>
      <c r="AA3362">
        <v>5.2</v>
      </c>
      <c r="AB3362" t="s">
        <v>6532</v>
      </c>
      <c r="AC3362" t="s">
        <v>7846</v>
      </c>
      <c r="AD3362" t="s">
        <v>8181</v>
      </c>
      <c r="AE3362" t="s">
        <v>7419</v>
      </c>
      <c r="AF3362" t="s">
        <v>4541</v>
      </c>
      <c r="AG3362" t="s">
        <v>10795</v>
      </c>
      <c r="AH3362" t="s">
        <v>7151</v>
      </c>
      <c r="AI3362" t="s">
        <v>5033</v>
      </c>
      <c r="AJ3362" t="s">
        <v>8357</v>
      </c>
      <c r="AK3362" t="s">
        <v>24729</v>
      </c>
      <c r="AL3362">
        <v>4.37</v>
      </c>
      <c r="AM3362">
        <v>4.37</v>
      </c>
      <c r="AN3362">
        <v>0.48</v>
      </c>
      <c r="AP3362" t="s">
        <v>5483</v>
      </c>
      <c r="AQ3362" t="s">
        <v>12733</v>
      </c>
      <c r="AR3362" t="s">
        <v>4658</v>
      </c>
      <c r="AS3362" t="s">
        <v>4945</v>
      </c>
      <c r="AT3362" t="s">
        <v>1929</v>
      </c>
      <c r="AU3362" t="s">
        <v>5211</v>
      </c>
      <c r="AV3362" t="s">
        <v>2332</v>
      </c>
      <c r="AW3362" t="s">
        <v>15022</v>
      </c>
      <c r="AX3362" t="s">
        <v>2757</v>
      </c>
      <c r="AY3362" t="s">
        <v>4163</v>
      </c>
      <c r="AZ3362" t="s">
        <v>13198</v>
      </c>
      <c r="BA3362">
        <v>3</v>
      </c>
      <c r="BB3362">
        <v>496.27</v>
      </c>
      <c r="BC3362">
        <v>0.24</v>
      </c>
      <c r="BD3362">
        <v>139.66</v>
      </c>
      <c r="BE3362">
        <v>140.76</v>
      </c>
      <c r="BF3362">
        <v>138.81</v>
      </c>
      <c r="BG3362" t="s">
        <v>28688</v>
      </c>
      <c r="BH3362" t="s">
        <v>4163</v>
      </c>
      <c r="BI3362" t="s">
        <v>28689</v>
      </c>
      <c r="BJ3362" t="s">
        <v>101</v>
      </c>
      <c r="BK3362" t="s">
        <v>13365</v>
      </c>
      <c r="BL3362" t="s">
        <v>6043</v>
      </c>
      <c r="BM3362" t="s">
        <v>7835</v>
      </c>
      <c r="BN3362" t="s">
        <v>27621</v>
      </c>
    </row>
    <row r="3363" spans="1:66" x14ac:dyDescent="0.25">
      <c r="A3363" t="str">
        <f>HYPERLINK("https://elite.finviz.com/quote.ashx?t=MFIC&amp;ty=c&amp;p=d&amp;b=1", "MFIC")</f>
        <v>MFIC</v>
      </c>
      <c r="B3363">
        <v>4</v>
      </c>
      <c r="C3363">
        <v>105.92</v>
      </c>
      <c r="D3363">
        <v>36.17</v>
      </c>
      <c r="E3363" t="s">
        <v>28690</v>
      </c>
      <c r="F3363" t="s">
        <v>107</v>
      </c>
      <c r="G3363" t="s">
        <v>550</v>
      </c>
      <c r="H3363" t="s">
        <v>2597</v>
      </c>
      <c r="I3363" t="s">
        <v>70</v>
      </c>
      <c r="J3363" t="s">
        <v>321</v>
      </c>
      <c r="K3363">
        <v>1128.97</v>
      </c>
      <c r="L3363">
        <v>12.1</v>
      </c>
      <c r="M3363" t="s">
        <v>124</v>
      </c>
      <c r="N3363">
        <v>138816</v>
      </c>
      <c r="O3363">
        <v>11.52</v>
      </c>
      <c r="P3363">
        <v>8.1</v>
      </c>
      <c r="R3363">
        <v>3.48</v>
      </c>
      <c r="S3363">
        <v>0.82</v>
      </c>
      <c r="T3363" t="s">
        <v>794</v>
      </c>
      <c r="U3363">
        <v>1.52</v>
      </c>
      <c r="V3363" t="s">
        <v>163</v>
      </c>
      <c r="W3363" t="s">
        <v>2785</v>
      </c>
      <c r="X3363" t="s">
        <v>5552</v>
      </c>
      <c r="Y3363" t="s">
        <v>132</v>
      </c>
      <c r="Z3363" t="s">
        <v>18771</v>
      </c>
      <c r="AA3363">
        <v>1.05</v>
      </c>
      <c r="AH3363" t="s">
        <v>4807</v>
      </c>
      <c r="AI3363" t="s">
        <v>1148</v>
      </c>
      <c r="AJ3363" t="s">
        <v>164</v>
      </c>
      <c r="AK3363" t="s">
        <v>932</v>
      </c>
      <c r="AR3363" t="s">
        <v>5071</v>
      </c>
      <c r="AS3363" t="s">
        <v>6493</v>
      </c>
      <c r="AT3363" t="s">
        <v>11896</v>
      </c>
      <c r="AU3363" t="s">
        <v>3577</v>
      </c>
      <c r="AV3363" t="s">
        <v>9019</v>
      </c>
      <c r="AW3363" t="s">
        <v>3561</v>
      </c>
      <c r="AX3363" t="s">
        <v>2145</v>
      </c>
      <c r="AY3363" t="s">
        <v>20462</v>
      </c>
      <c r="AZ3363" t="s">
        <v>8807</v>
      </c>
      <c r="BA3363">
        <v>2.38</v>
      </c>
      <c r="BB3363">
        <v>406.23</v>
      </c>
      <c r="BC3363">
        <v>1.2</v>
      </c>
      <c r="BD3363">
        <v>12.14</v>
      </c>
      <c r="BE3363">
        <v>12.25</v>
      </c>
      <c r="BF3363">
        <v>12.09</v>
      </c>
      <c r="BG3363" t="s">
        <v>28691</v>
      </c>
      <c r="BH3363" t="s">
        <v>11666</v>
      </c>
      <c r="BI3363" t="s">
        <v>28692</v>
      </c>
      <c r="BJ3363" t="s">
        <v>101</v>
      </c>
      <c r="BK3363" t="s">
        <v>1081</v>
      </c>
      <c r="BL3363" t="s">
        <v>4325</v>
      </c>
      <c r="BM3363" t="s">
        <v>15690</v>
      </c>
      <c r="BN3363" t="s">
        <v>27621</v>
      </c>
    </row>
    <row r="3364" spans="1:66" x14ac:dyDescent="0.25">
      <c r="A3364" t="str">
        <f>HYPERLINK("https://elite.finviz.com/quote.ashx?t=EPSN&amp;ty=c&amp;p=d&amp;b=1", "EPSN")</f>
        <v>EPSN</v>
      </c>
      <c r="B3364">
        <v>4</v>
      </c>
      <c r="C3364">
        <v>105.92</v>
      </c>
      <c r="D3364">
        <v>36.22</v>
      </c>
      <c r="E3364" t="s">
        <v>28693</v>
      </c>
      <c r="F3364" t="s">
        <v>67</v>
      </c>
      <c r="G3364" t="s">
        <v>1048</v>
      </c>
      <c r="H3364" t="s">
        <v>1049</v>
      </c>
      <c r="I3364" t="s">
        <v>70</v>
      </c>
      <c r="J3364" t="s">
        <v>321</v>
      </c>
      <c r="K3364">
        <v>115.03</v>
      </c>
      <c r="L3364">
        <v>5.22</v>
      </c>
      <c r="M3364" t="s">
        <v>80</v>
      </c>
      <c r="N3364">
        <v>73920</v>
      </c>
      <c r="O3364">
        <v>22.33</v>
      </c>
      <c r="R3364">
        <v>2.61</v>
      </c>
      <c r="S3364">
        <v>1.1499999999999999</v>
      </c>
      <c r="T3364" t="s">
        <v>995</v>
      </c>
      <c r="U3364">
        <v>0.25</v>
      </c>
      <c r="V3364" t="s">
        <v>3833</v>
      </c>
      <c r="W3364" t="s">
        <v>164</v>
      </c>
      <c r="Z3364" t="s">
        <v>28694</v>
      </c>
      <c r="AA3364">
        <v>0.23</v>
      </c>
      <c r="AB3364" t="s">
        <v>28695</v>
      </c>
      <c r="AC3364" t="s">
        <v>7181</v>
      </c>
      <c r="AE3364" t="s">
        <v>5945</v>
      </c>
      <c r="AF3364" t="s">
        <v>16093</v>
      </c>
      <c r="AG3364" t="s">
        <v>2662</v>
      </c>
      <c r="AH3364" t="s">
        <v>28696</v>
      </c>
      <c r="AI3364" t="s">
        <v>28697</v>
      </c>
      <c r="AJ3364" t="s">
        <v>4431</v>
      </c>
      <c r="AK3364" t="s">
        <v>28698</v>
      </c>
      <c r="AL3364">
        <v>2.23</v>
      </c>
      <c r="AM3364">
        <v>2.23</v>
      </c>
      <c r="AN3364">
        <v>0</v>
      </c>
      <c r="AO3364" t="s">
        <v>1586</v>
      </c>
      <c r="AP3364" t="s">
        <v>785</v>
      </c>
      <c r="AQ3364" t="s">
        <v>8041</v>
      </c>
      <c r="AR3364" t="s">
        <v>7484</v>
      </c>
      <c r="AS3364" t="s">
        <v>295</v>
      </c>
      <c r="AT3364" t="s">
        <v>9780</v>
      </c>
      <c r="AU3364" t="s">
        <v>18199</v>
      </c>
      <c r="AV3364" t="s">
        <v>3203</v>
      </c>
      <c r="AW3364" t="s">
        <v>24184</v>
      </c>
      <c r="AX3364" t="s">
        <v>1091</v>
      </c>
      <c r="AY3364" t="s">
        <v>28170</v>
      </c>
      <c r="AZ3364" t="s">
        <v>1091</v>
      </c>
      <c r="BA3364">
        <v>1</v>
      </c>
      <c r="BB3364">
        <v>182.49</v>
      </c>
      <c r="BC3364">
        <v>1.43</v>
      </c>
      <c r="BD3364">
        <v>5.15</v>
      </c>
      <c r="BE3364">
        <v>5.26</v>
      </c>
      <c r="BF3364">
        <v>5.14</v>
      </c>
      <c r="BG3364" t="s">
        <v>28699</v>
      </c>
      <c r="BH3364" t="s">
        <v>21746</v>
      </c>
      <c r="BI3364" t="s">
        <v>28700</v>
      </c>
      <c r="BJ3364" t="s">
        <v>101</v>
      </c>
      <c r="BK3364" t="s">
        <v>20054</v>
      </c>
      <c r="BL3364" t="s">
        <v>10063</v>
      </c>
      <c r="BM3364" t="s">
        <v>8654</v>
      </c>
      <c r="BN3364" t="s">
        <v>27621</v>
      </c>
    </row>
    <row r="3365" spans="1:66" x14ac:dyDescent="0.25">
      <c r="A3365" t="str">
        <f>HYPERLINK("https://elite.finviz.com/quote.ashx?t=ISPR&amp;ty=c&amp;p=d&amp;b=1", "ISPR")</f>
        <v>ISPR</v>
      </c>
      <c r="B3365">
        <v>4</v>
      </c>
      <c r="C3365">
        <v>105.92</v>
      </c>
      <c r="D3365">
        <v>36.24</v>
      </c>
      <c r="E3365" t="s">
        <v>28701</v>
      </c>
      <c r="F3365" t="s">
        <v>67</v>
      </c>
      <c r="G3365" t="s">
        <v>2244</v>
      </c>
      <c r="H3365" t="s">
        <v>7643</v>
      </c>
      <c r="I3365" t="s">
        <v>70</v>
      </c>
      <c r="J3365" t="s">
        <v>321</v>
      </c>
      <c r="K3365">
        <v>148.35</v>
      </c>
      <c r="L3365">
        <v>2.59</v>
      </c>
      <c r="M3365" t="s">
        <v>164</v>
      </c>
      <c r="N3365">
        <v>6094</v>
      </c>
      <c r="R3365">
        <v>1.1599999999999999</v>
      </c>
      <c r="S3365">
        <v>245.03</v>
      </c>
      <c r="AA3365">
        <v>-0.69</v>
      </c>
      <c r="AB3365" t="s">
        <v>28702</v>
      </c>
      <c r="AE3365" t="s">
        <v>2036</v>
      </c>
      <c r="AF3365" t="s">
        <v>2947</v>
      </c>
      <c r="AG3365" t="s">
        <v>8558</v>
      </c>
      <c r="AH3365" t="s">
        <v>28703</v>
      </c>
      <c r="AI3365" t="s">
        <v>18285</v>
      </c>
      <c r="AJ3365" t="s">
        <v>164</v>
      </c>
      <c r="AK3365" t="s">
        <v>1341</v>
      </c>
      <c r="AL3365">
        <v>1.01</v>
      </c>
      <c r="AM3365">
        <v>0.91</v>
      </c>
      <c r="AN3365">
        <v>11.77</v>
      </c>
      <c r="AO3365" t="s">
        <v>3451</v>
      </c>
      <c r="AP3365" t="s">
        <v>16627</v>
      </c>
      <c r="AQ3365" t="s">
        <v>20522</v>
      </c>
      <c r="AR3365" t="s">
        <v>2635</v>
      </c>
      <c r="AS3365" t="s">
        <v>9280</v>
      </c>
      <c r="AT3365" t="s">
        <v>14901</v>
      </c>
      <c r="AU3365" t="s">
        <v>5123</v>
      </c>
      <c r="AV3365" t="s">
        <v>16898</v>
      </c>
      <c r="AW3365" t="s">
        <v>28381</v>
      </c>
      <c r="AX3365" t="s">
        <v>3429</v>
      </c>
      <c r="AY3365" t="s">
        <v>28704</v>
      </c>
      <c r="AZ3365" t="s">
        <v>8093</v>
      </c>
      <c r="BA3365">
        <v>1</v>
      </c>
      <c r="BB3365">
        <v>62.53</v>
      </c>
      <c r="BC3365">
        <v>0.35</v>
      </c>
      <c r="BD3365">
        <v>2.59</v>
      </c>
      <c r="BE3365">
        <v>2.68</v>
      </c>
      <c r="BF3365">
        <v>2.56</v>
      </c>
      <c r="BG3365" t="s">
        <v>28705</v>
      </c>
      <c r="BH3365" t="s">
        <v>28706</v>
      </c>
      <c r="BI3365" t="s">
        <v>8093</v>
      </c>
      <c r="BJ3365" t="s">
        <v>101</v>
      </c>
      <c r="BK3365" t="s">
        <v>6329</v>
      </c>
      <c r="BL3365" t="s">
        <v>14667</v>
      </c>
      <c r="BM3365" t="s">
        <v>28707</v>
      </c>
      <c r="BN3365" t="s">
        <v>27621</v>
      </c>
    </row>
    <row r="3366" spans="1:66" x14ac:dyDescent="0.25">
      <c r="A3366" t="str">
        <f>HYPERLINK("https://elite.finviz.com/quote.ashx?t=FOA&amp;ty=c&amp;p=d&amp;b=1", "FOA")</f>
        <v>FOA</v>
      </c>
      <c r="B3366">
        <v>4</v>
      </c>
      <c r="C3366">
        <v>105.92</v>
      </c>
      <c r="D3366">
        <v>36.25</v>
      </c>
      <c r="E3366" t="s">
        <v>28708</v>
      </c>
      <c r="F3366" t="s">
        <v>67</v>
      </c>
      <c r="G3366" t="s">
        <v>550</v>
      </c>
      <c r="H3366" t="s">
        <v>3744</v>
      </c>
      <c r="I3366" t="s">
        <v>70</v>
      </c>
      <c r="J3366" t="s">
        <v>71</v>
      </c>
      <c r="K3366">
        <v>556.44000000000005</v>
      </c>
      <c r="L3366">
        <v>22.9</v>
      </c>
      <c r="M3366" t="s">
        <v>1842</v>
      </c>
      <c r="N3366">
        <v>27429</v>
      </c>
      <c r="P3366">
        <v>5.27</v>
      </c>
      <c r="R3366">
        <v>0.28000000000000003</v>
      </c>
      <c r="S3366">
        <v>1.71</v>
      </c>
      <c r="Z3366" t="s">
        <v>164</v>
      </c>
      <c r="AA3366">
        <v>-0.15</v>
      </c>
      <c r="AC3366" t="s">
        <v>4439</v>
      </c>
      <c r="AD3366" t="s">
        <v>23789</v>
      </c>
      <c r="AE3366" t="s">
        <v>28709</v>
      </c>
      <c r="AF3366" t="s">
        <v>3793</v>
      </c>
      <c r="AH3366" t="s">
        <v>4801</v>
      </c>
      <c r="AI3366" t="s">
        <v>17437</v>
      </c>
      <c r="AJ3366" t="s">
        <v>5116</v>
      </c>
      <c r="AK3366" t="s">
        <v>5386</v>
      </c>
      <c r="AL3366">
        <v>0.06</v>
      </c>
      <c r="AM3366">
        <v>0.06</v>
      </c>
      <c r="AN3366">
        <v>90.79</v>
      </c>
      <c r="AO3366" t="s">
        <v>10397</v>
      </c>
      <c r="AP3366" t="s">
        <v>28710</v>
      </c>
      <c r="AQ3366" t="s">
        <v>4659</v>
      </c>
      <c r="AR3366" t="s">
        <v>4403</v>
      </c>
      <c r="AS3366" t="s">
        <v>4403</v>
      </c>
      <c r="AT3366" t="s">
        <v>5773</v>
      </c>
      <c r="AU3366" t="s">
        <v>2396</v>
      </c>
      <c r="AV3366" t="s">
        <v>5928</v>
      </c>
      <c r="AW3366" t="s">
        <v>12212</v>
      </c>
      <c r="AX3366" t="s">
        <v>583</v>
      </c>
      <c r="AY3366" t="s">
        <v>28711</v>
      </c>
      <c r="AZ3366" t="s">
        <v>19514</v>
      </c>
      <c r="BA3366">
        <v>3</v>
      </c>
      <c r="BB3366">
        <v>121.11</v>
      </c>
      <c r="BC3366">
        <v>0.8</v>
      </c>
      <c r="BD3366">
        <v>22.93</v>
      </c>
      <c r="BE3366">
        <v>23.27</v>
      </c>
      <c r="BF3366">
        <v>22.72</v>
      </c>
      <c r="BG3366" t="s">
        <v>28712</v>
      </c>
      <c r="BH3366" t="s">
        <v>8616</v>
      </c>
      <c r="BI3366" t="s">
        <v>28713</v>
      </c>
      <c r="BJ3366" t="s">
        <v>101</v>
      </c>
      <c r="BK3366" t="s">
        <v>8634</v>
      </c>
      <c r="BL3366" t="s">
        <v>7978</v>
      </c>
      <c r="BM3366" t="s">
        <v>28714</v>
      </c>
      <c r="BN3366" t="s">
        <v>27621</v>
      </c>
    </row>
    <row r="3367" spans="1:66" x14ac:dyDescent="0.25">
      <c r="A3367" t="str">
        <f>HYPERLINK("https://elite.finviz.com/quote.ashx?t=OLP&amp;ty=c&amp;p=d&amp;b=1", "OLP")</f>
        <v>OLP</v>
      </c>
      <c r="B3367">
        <v>4</v>
      </c>
      <c r="C3367">
        <v>105.92</v>
      </c>
      <c r="D3367">
        <v>36.26</v>
      </c>
      <c r="E3367" t="s">
        <v>28715</v>
      </c>
      <c r="F3367" t="s">
        <v>67</v>
      </c>
      <c r="G3367" t="s">
        <v>68</v>
      </c>
      <c r="H3367" t="s">
        <v>4656</v>
      </c>
      <c r="I3367" t="s">
        <v>70</v>
      </c>
      <c r="J3367" t="s">
        <v>71</v>
      </c>
      <c r="K3367">
        <v>472.72</v>
      </c>
      <c r="L3367">
        <v>21.89</v>
      </c>
      <c r="M3367" t="s">
        <v>4865</v>
      </c>
      <c r="N3367">
        <v>9371</v>
      </c>
      <c r="O3367">
        <v>16.93</v>
      </c>
      <c r="P3367">
        <v>32.659999999999997</v>
      </c>
      <c r="R3367">
        <v>4.99</v>
      </c>
      <c r="S3367">
        <v>1.5</v>
      </c>
      <c r="T3367" t="s">
        <v>2848</v>
      </c>
      <c r="U3367">
        <v>1.8</v>
      </c>
      <c r="V3367" t="s">
        <v>13483</v>
      </c>
      <c r="W3367" t="s">
        <v>164</v>
      </c>
      <c r="X3367" t="s">
        <v>164</v>
      </c>
      <c r="Y3367" t="s">
        <v>164</v>
      </c>
      <c r="Z3367" t="s">
        <v>28716</v>
      </c>
      <c r="AA3367">
        <v>1.29</v>
      </c>
      <c r="AB3367" t="s">
        <v>4397</v>
      </c>
      <c r="AC3367" t="s">
        <v>1066</v>
      </c>
      <c r="AD3367" t="s">
        <v>15468</v>
      </c>
      <c r="AE3367" t="s">
        <v>4697</v>
      </c>
      <c r="AF3367" t="s">
        <v>1932</v>
      </c>
      <c r="AG3367" t="s">
        <v>4856</v>
      </c>
      <c r="AH3367" t="s">
        <v>920</v>
      </c>
      <c r="AJ3367" t="s">
        <v>9925</v>
      </c>
      <c r="AK3367" t="s">
        <v>1418</v>
      </c>
      <c r="AL3367">
        <v>3.54</v>
      </c>
      <c r="AM3367">
        <v>3.54</v>
      </c>
      <c r="AN3367">
        <v>1.55</v>
      </c>
      <c r="AO3367" t="s">
        <v>5042</v>
      </c>
      <c r="AP3367" t="s">
        <v>5156</v>
      </c>
      <c r="AQ3367" t="s">
        <v>14969</v>
      </c>
      <c r="AR3367" t="s">
        <v>5071</v>
      </c>
      <c r="AS3367" t="s">
        <v>3757</v>
      </c>
      <c r="AT3367" t="s">
        <v>3625</v>
      </c>
      <c r="AU3367" t="s">
        <v>706</v>
      </c>
      <c r="AV3367" t="s">
        <v>7672</v>
      </c>
      <c r="AW3367" t="s">
        <v>8659</v>
      </c>
      <c r="AX3367" t="s">
        <v>4881</v>
      </c>
      <c r="AY3367" t="s">
        <v>5229</v>
      </c>
      <c r="AZ3367" t="s">
        <v>4881</v>
      </c>
      <c r="BA3367">
        <v>2</v>
      </c>
      <c r="BB3367">
        <v>67.95</v>
      </c>
      <c r="BC3367">
        <v>0.49</v>
      </c>
      <c r="BD3367">
        <v>21.73</v>
      </c>
      <c r="BE3367">
        <v>21.97</v>
      </c>
      <c r="BF3367">
        <v>21.73</v>
      </c>
      <c r="BG3367" t="s">
        <v>28717</v>
      </c>
      <c r="BH3367" t="s">
        <v>3211</v>
      </c>
      <c r="BI3367" t="s">
        <v>28718</v>
      </c>
      <c r="BJ3367" t="s">
        <v>101</v>
      </c>
      <c r="BK3367" t="s">
        <v>2587</v>
      </c>
      <c r="BL3367" t="s">
        <v>20311</v>
      </c>
      <c r="BM3367" t="s">
        <v>4740</v>
      </c>
      <c r="BN3367" t="s">
        <v>27621</v>
      </c>
    </row>
    <row r="3368" spans="1:66" x14ac:dyDescent="0.25">
      <c r="A3368" t="str">
        <f>HYPERLINK("https://elite.finviz.com/quote.ashx?t=PHR&amp;ty=c&amp;p=d&amp;b=1", "PHR")</f>
        <v>PHR</v>
      </c>
      <c r="B3368">
        <v>4</v>
      </c>
      <c r="C3368">
        <v>105.92</v>
      </c>
      <c r="D3368">
        <v>36.270000000000003</v>
      </c>
      <c r="E3368" t="s">
        <v>28719</v>
      </c>
      <c r="F3368" t="s">
        <v>67</v>
      </c>
      <c r="G3368" t="s">
        <v>428</v>
      </c>
      <c r="H3368" t="s">
        <v>2075</v>
      </c>
      <c r="I3368" t="s">
        <v>70</v>
      </c>
      <c r="J3368" t="s">
        <v>71</v>
      </c>
      <c r="K3368">
        <v>1413.98</v>
      </c>
      <c r="L3368">
        <v>23.6</v>
      </c>
      <c r="M3368" t="s">
        <v>3463</v>
      </c>
      <c r="N3368">
        <v>92304</v>
      </c>
      <c r="P3368">
        <v>82.25</v>
      </c>
      <c r="R3368">
        <v>3.14</v>
      </c>
      <c r="S3368">
        <v>4.7300000000000004</v>
      </c>
      <c r="AA3368">
        <v>-0.41</v>
      </c>
      <c r="AB3368" t="s">
        <v>1628</v>
      </c>
      <c r="AC3368" t="s">
        <v>22563</v>
      </c>
      <c r="AE3368" t="s">
        <v>6387</v>
      </c>
      <c r="AF3368" t="s">
        <v>7390</v>
      </c>
      <c r="AG3368" t="s">
        <v>771</v>
      </c>
      <c r="AH3368" t="s">
        <v>15574</v>
      </c>
      <c r="AI3368" t="s">
        <v>28720</v>
      </c>
      <c r="AJ3368" t="s">
        <v>6757</v>
      </c>
      <c r="AK3368" t="s">
        <v>25863</v>
      </c>
      <c r="AL3368">
        <v>2.11</v>
      </c>
      <c r="AM3368">
        <v>2.11</v>
      </c>
      <c r="AN3368">
        <v>0.04</v>
      </c>
      <c r="AO3368" t="s">
        <v>20721</v>
      </c>
      <c r="AP3368" t="s">
        <v>2220</v>
      </c>
      <c r="AQ3368" t="s">
        <v>4417</v>
      </c>
      <c r="AR3368" t="s">
        <v>2764</v>
      </c>
      <c r="AS3368" t="s">
        <v>4269</v>
      </c>
      <c r="AT3368" t="s">
        <v>2746</v>
      </c>
      <c r="AU3368" t="s">
        <v>15457</v>
      </c>
      <c r="AV3368" t="s">
        <v>704</v>
      </c>
      <c r="AW3368" t="s">
        <v>566</v>
      </c>
      <c r="AX3368" t="s">
        <v>5592</v>
      </c>
      <c r="AY3368" t="s">
        <v>566</v>
      </c>
      <c r="AZ3368" t="s">
        <v>13289</v>
      </c>
      <c r="BA3368">
        <v>1.1299999999999999</v>
      </c>
      <c r="BB3368">
        <v>817.99</v>
      </c>
      <c r="BC3368">
        <v>0.4</v>
      </c>
      <c r="BD3368">
        <v>23.45</v>
      </c>
      <c r="BE3368">
        <v>23.68</v>
      </c>
      <c r="BF3368">
        <v>23.11</v>
      </c>
      <c r="BG3368" t="s">
        <v>28721</v>
      </c>
      <c r="BH3368" t="s">
        <v>28722</v>
      </c>
      <c r="BI3368" t="s">
        <v>18829</v>
      </c>
      <c r="BJ3368" t="s">
        <v>101</v>
      </c>
      <c r="BK3368" t="s">
        <v>410</v>
      </c>
      <c r="BL3368" t="s">
        <v>15457</v>
      </c>
      <c r="BM3368" t="s">
        <v>3456</v>
      </c>
      <c r="BN3368" t="s">
        <v>27621</v>
      </c>
    </row>
    <row r="3369" spans="1:66" x14ac:dyDescent="0.25">
      <c r="A3369" t="str">
        <f>HYPERLINK("https://elite.finviz.com/quote.ashx?t=TTEC&amp;ty=c&amp;p=d&amp;b=1", "TTEC")</f>
        <v>TTEC</v>
      </c>
      <c r="B3369">
        <v>4</v>
      </c>
      <c r="C3369">
        <v>105.92</v>
      </c>
      <c r="D3369">
        <v>36.29</v>
      </c>
      <c r="E3369" t="s">
        <v>28723</v>
      </c>
      <c r="F3369" t="s">
        <v>67</v>
      </c>
      <c r="G3369" t="s">
        <v>108</v>
      </c>
      <c r="H3369" t="s">
        <v>1322</v>
      </c>
      <c r="I3369" t="s">
        <v>70</v>
      </c>
      <c r="J3369" t="s">
        <v>321</v>
      </c>
      <c r="K3369">
        <v>163.32</v>
      </c>
      <c r="L3369">
        <v>3.37</v>
      </c>
      <c r="M3369" t="s">
        <v>91</v>
      </c>
      <c r="N3369">
        <v>67653</v>
      </c>
      <c r="P3369">
        <v>2.5</v>
      </c>
      <c r="R3369">
        <v>0.08</v>
      </c>
      <c r="S3369">
        <v>0.59</v>
      </c>
      <c r="V3369" t="s">
        <v>28724</v>
      </c>
      <c r="AA3369">
        <v>-0.54</v>
      </c>
      <c r="AD3369" t="s">
        <v>2334</v>
      </c>
      <c r="AE3369" t="s">
        <v>5932</v>
      </c>
      <c r="AF3369" t="s">
        <v>5721</v>
      </c>
      <c r="AG3369" t="s">
        <v>3601</v>
      </c>
      <c r="AH3369" t="s">
        <v>3124</v>
      </c>
      <c r="AI3369" t="s">
        <v>3962</v>
      </c>
      <c r="AJ3369" t="s">
        <v>164</v>
      </c>
      <c r="AK3369" t="s">
        <v>3970</v>
      </c>
      <c r="AL3369">
        <v>1.77</v>
      </c>
      <c r="AM3369">
        <v>1.77</v>
      </c>
      <c r="AN3369">
        <v>3.58</v>
      </c>
      <c r="AO3369" t="s">
        <v>4272</v>
      </c>
      <c r="AP3369" t="s">
        <v>3469</v>
      </c>
      <c r="AQ3369" t="s">
        <v>609</v>
      </c>
      <c r="AR3369" t="s">
        <v>3758</v>
      </c>
      <c r="AS3369" t="s">
        <v>2235</v>
      </c>
      <c r="AT3369" t="s">
        <v>7996</v>
      </c>
      <c r="AU3369" t="s">
        <v>9414</v>
      </c>
      <c r="AV3369" t="s">
        <v>23267</v>
      </c>
      <c r="AW3369" t="s">
        <v>28725</v>
      </c>
      <c r="AX3369" t="s">
        <v>6439</v>
      </c>
      <c r="AY3369" t="s">
        <v>19474</v>
      </c>
      <c r="AZ3369" t="s">
        <v>6439</v>
      </c>
      <c r="BA3369">
        <v>2</v>
      </c>
      <c r="BB3369">
        <v>396.49</v>
      </c>
      <c r="BC3369">
        <v>0.61</v>
      </c>
      <c r="BD3369">
        <v>3.46</v>
      </c>
      <c r="BE3369">
        <v>3.46</v>
      </c>
      <c r="BF3369">
        <v>3.33</v>
      </c>
      <c r="BG3369" t="s">
        <v>28726</v>
      </c>
      <c r="BH3369" t="s">
        <v>28727</v>
      </c>
      <c r="BI3369" t="s">
        <v>6439</v>
      </c>
      <c r="BJ3369" t="s">
        <v>101</v>
      </c>
      <c r="BK3369" t="s">
        <v>15095</v>
      </c>
      <c r="BL3369" t="s">
        <v>4763</v>
      </c>
      <c r="BM3369" t="s">
        <v>18084</v>
      </c>
      <c r="BN3369" t="s">
        <v>27621</v>
      </c>
    </row>
    <row r="3370" spans="1:66" x14ac:dyDescent="0.25">
      <c r="A3370" t="str">
        <f>HYPERLINK("https://elite.finviz.com/quote.ashx?t=AGEN&amp;ty=c&amp;p=d&amp;b=1", "AGEN")</f>
        <v>AGEN</v>
      </c>
      <c r="B3370">
        <v>4</v>
      </c>
      <c r="C3370">
        <v>105.92</v>
      </c>
      <c r="D3370">
        <v>36.33</v>
      </c>
      <c r="E3370" t="s">
        <v>28728</v>
      </c>
      <c r="F3370" t="s">
        <v>107</v>
      </c>
      <c r="G3370" t="s">
        <v>428</v>
      </c>
      <c r="H3370" t="s">
        <v>429</v>
      </c>
      <c r="I3370" t="s">
        <v>70</v>
      </c>
      <c r="J3370" t="s">
        <v>321</v>
      </c>
      <c r="K3370">
        <v>124.56</v>
      </c>
      <c r="L3370">
        <v>3.91</v>
      </c>
      <c r="M3370" t="s">
        <v>822</v>
      </c>
      <c r="N3370">
        <v>257101</v>
      </c>
      <c r="R3370">
        <v>1.22</v>
      </c>
      <c r="AA3370">
        <v>-7.15</v>
      </c>
      <c r="AB3370" t="s">
        <v>28114</v>
      </c>
      <c r="AC3370" t="s">
        <v>3982</v>
      </c>
      <c r="AD3370" t="s">
        <v>2014</v>
      </c>
      <c r="AE3370" t="s">
        <v>27554</v>
      </c>
      <c r="AF3370" t="s">
        <v>26563</v>
      </c>
      <c r="AG3370" t="s">
        <v>4317</v>
      </c>
      <c r="AH3370" t="s">
        <v>2886</v>
      </c>
      <c r="AI3370" t="s">
        <v>28729</v>
      </c>
      <c r="AJ3370" t="s">
        <v>164</v>
      </c>
      <c r="AK3370" t="s">
        <v>10599</v>
      </c>
      <c r="AL3370">
        <v>0.06</v>
      </c>
      <c r="AM3370">
        <v>0.06</v>
      </c>
      <c r="AO3370" t="s">
        <v>19259</v>
      </c>
      <c r="AP3370" t="s">
        <v>28730</v>
      </c>
      <c r="AQ3370" t="s">
        <v>28731</v>
      </c>
      <c r="AR3370" t="s">
        <v>1515</v>
      </c>
      <c r="AS3370" t="s">
        <v>8960</v>
      </c>
      <c r="AT3370" t="s">
        <v>8812</v>
      </c>
      <c r="AU3370" t="s">
        <v>24382</v>
      </c>
      <c r="AV3370" t="s">
        <v>2235</v>
      </c>
      <c r="AW3370" t="s">
        <v>18089</v>
      </c>
      <c r="AX3370" t="s">
        <v>4689</v>
      </c>
      <c r="AY3370" t="s">
        <v>23297</v>
      </c>
      <c r="AZ3370" t="s">
        <v>28732</v>
      </c>
      <c r="BA3370">
        <v>1.67</v>
      </c>
      <c r="BB3370">
        <v>827.91</v>
      </c>
      <c r="BC3370">
        <v>1.0900000000000001</v>
      </c>
      <c r="BD3370">
        <v>3.9</v>
      </c>
      <c r="BE3370">
        <v>3.92</v>
      </c>
      <c r="BF3370">
        <v>3.78</v>
      </c>
      <c r="BG3370" t="s">
        <v>28733</v>
      </c>
      <c r="BH3370" t="s">
        <v>14593</v>
      </c>
      <c r="BI3370" t="s">
        <v>28732</v>
      </c>
      <c r="BJ3370" t="s">
        <v>101</v>
      </c>
      <c r="BK3370" t="s">
        <v>4746</v>
      </c>
      <c r="BL3370" t="s">
        <v>28734</v>
      </c>
      <c r="BM3370" t="s">
        <v>9111</v>
      </c>
      <c r="BN3370" t="s">
        <v>27621</v>
      </c>
    </row>
    <row r="3371" spans="1:66" x14ac:dyDescent="0.25">
      <c r="A3371" t="str">
        <f>HYPERLINK("https://elite.finviz.com/quote.ashx?t=PDEX&amp;ty=c&amp;p=d&amp;b=1", "PDEX")</f>
        <v>PDEX</v>
      </c>
      <c r="B3371">
        <v>4</v>
      </c>
      <c r="C3371">
        <v>105.92</v>
      </c>
      <c r="D3371">
        <v>36.36</v>
      </c>
      <c r="E3371" t="s">
        <v>28735</v>
      </c>
      <c r="F3371" t="s">
        <v>67</v>
      </c>
      <c r="G3371" t="s">
        <v>428</v>
      </c>
      <c r="H3371" t="s">
        <v>2161</v>
      </c>
      <c r="I3371" t="s">
        <v>70</v>
      </c>
      <c r="J3371" t="s">
        <v>321</v>
      </c>
      <c r="K3371">
        <v>109.77</v>
      </c>
      <c r="L3371">
        <v>33.65</v>
      </c>
      <c r="M3371" t="s">
        <v>164</v>
      </c>
      <c r="N3371">
        <v>5766</v>
      </c>
      <c r="O3371">
        <v>12.47</v>
      </c>
      <c r="R3371">
        <v>1.65</v>
      </c>
      <c r="S3371">
        <v>3</v>
      </c>
      <c r="Z3371" t="s">
        <v>164</v>
      </c>
      <c r="AA3371">
        <v>2.7</v>
      </c>
      <c r="AB3371" t="s">
        <v>15685</v>
      </c>
      <c r="AC3371" t="s">
        <v>4087</v>
      </c>
      <c r="AE3371" t="s">
        <v>9496</v>
      </c>
      <c r="AF3371" t="s">
        <v>1038</v>
      </c>
      <c r="AG3371" t="s">
        <v>4549</v>
      </c>
      <c r="AH3371" t="s">
        <v>5119</v>
      </c>
      <c r="AI3371" t="s">
        <v>26039</v>
      </c>
      <c r="AJ3371" t="s">
        <v>3113</v>
      </c>
      <c r="AK3371" t="s">
        <v>15975</v>
      </c>
      <c r="AL3371">
        <v>3.23</v>
      </c>
      <c r="AM3371">
        <v>1.71</v>
      </c>
      <c r="AN3371">
        <v>0.45</v>
      </c>
      <c r="AO3371" t="s">
        <v>6623</v>
      </c>
      <c r="AP3371" t="s">
        <v>22563</v>
      </c>
      <c r="AQ3371" t="s">
        <v>6608</v>
      </c>
      <c r="AR3371" t="s">
        <v>4125</v>
      </c>
      <c r="AS3371" t="s">
        <v>4393</v>
      </c>
      <c r="AT3371" t="s">
        <v>4397</v>
      </c>
      <c r="AU3371" t="s">
        <v>23783</v>
      </c>
      <c r="AV3371" t="s">
        <v>28736</v>
      </c>
      <c r="AW3371" t="s">
        <v>15307</v>
      </c>
      <c r="AX3371" t="s">
        <v>6183</v>
      </c>
      <c r="AY3371" t="s">
        <v>28737</v>
      </c>
      <c r="AZ3371" t="s">
        <v>5694</v>
      </c>
      <c r="BA3371">
        <v>1</v>
      </c>
      <c r="BB3371">
        <v>50.25</v>
      </c>
      <c r="BC3371">
        <v>0.4</v>
      </c>
      <c r="BD3371">
        <v>33.65</v>
      </c>
      <c r="BE3371">
        <v>34.44</v>
      </c>
      <c r="BF3371">
        <v>33.4</v>
      </c>
      <c r="BG3371" t="s">
        <v>28738</v>
      </c>
      <c r="BH3371" t="s">
        <v>28737</v>
      </c>
      <c r="BI3371" t="s">
        <v>28739</v>
      </c>
      <c r="BJ3371" t="s">
        <v>101</v>
      </c>
      <c r="BK3371" t="s">
        <v>24376</v>
      </c>
      <c r="BL3371" t="s">
        <v>5202</v>
      </c>
      <c r="BM3371" t="s">
        <v>6703</v>
      </c>
      <c r="BN3371" t="s">
        <v>27621</v>
      </c>
    </row>
    <row r="3372" spans="1:66" x14ac:dyDescent="0.25">
      <c r="A3372" t="str">
        <f>HYPERLINK("https://elite.finviz.com/quote.ashx?t=VVOS&amp;ty=c&amp;p=d&amp;b=1", "VVOS")</f>
        <v>VVOS</v>
      </c>
      <c r="B3372">
        <v>4</v>
      </c>
      <c r="C3372">
        <v>105.92</v>
      </c>
      <c r="D3372">
        <v>36.39</v>
      </c>
      <c r="E3372" t="s">
        <v>28740</v>
      </c>
      <c r="F3372" t="s">
        <v>107</v>
      </c>
      <c r="G3372" t="s">
        <v>428</v>
      </c>
      <c r="H3372" t="s">
        <v>2051</v>
      </c>
      <c r="I3372" t="s">
        <v>70</v>
      </c>
      <c r="J3372" t="s">
        <v>321</v>
      </c>
      <c r="K3372">
        <v>24.69</v>
      </c>
      <c r="L3372">
        <v>3.29</v>
      </c>
      <c r="M3372" t="s">
        <v>4149</v>
      </c>
      <c r="N3372">
        <v>19274</v>
      </c>
      <c r="R3372">
        <v>1.72</v>
      </c>
      <c r="S3372">
        <v>5.26</v>
      </c>
      <c r="AA3372">
        <v>-1.88</v>
      </c>
      <c r="AB3372" t="s">
        <v>3682</v>
      </c>
      <c r="AC3372" t="s">
        <v>13715</v>
      </c>
      <c r="AE3372" t="s">
        <v>213</v>
      </c>
      <c r="AF3372" t="s">
        <v>3005</v>
      </c>
      <c r="AG3372" t="s">
        <v>1772</v>
      </c>
      <c r="AH3372" t="s">
        <v>2562</v>
      </c>
      <c r="AI3372" t="s">
        <v>9701</v>
      </c>
      <c r="AJ3372" t="s">
        <v>164</v>
      </c>
      <c r="AK3372" t="s">
        <v>896</v>
      </c>
      <c r="AL3372">
        <v>1.05</v>
      </c>
      <c r="AM3372">
        <v>1.05</v>
      </c>
      <c r="AN3372">
        <v>2.5299999999999998</v>
      </c>
      <c r="AO3372" t="s">
        <v>5951</v>
      </c>
      <c r="AP3372" t="s">
        <v>28741</v>
      </c>
      <c r="AQ3372" t="s">
        <v>3607</v>
      </c>
      <c r="AR3372" t="s">
        <v>2398</v>
      </c>
      <c r="AS3372" t="s">
        <v>15964</v>
      </c>
      <c r="AT3372" t="s">
        <v>8812</v>
      </c>
      <c r="AU3372" t="s">
        <v>28742</v>
      </c>
      <c r="AV3372" t="s">
        <v>7480</v>
      </c>
      <c r="AW3372" t="s">
        <v>28743</v>
      </c>
      <c r="AX3372" t="s">
        <v>1934</v>
      </c>
      <c r="AY3372" t="s">
        <v>24250</v>
      </c>
      <c r="AZ3372" t="s">
        <v>11180</v>
      </c>
      <c r="BA3372">
        <v>2</v>
      </c>
      <c r="BB3372">
        <v>820.55</v>
      </c>
      <c r="BC3372">
        <v>0.08</v>
      </c>
      <c r="BD3372">
        <v>3.35</v>
      </c>
      <c r="BE3372">
        <v>3.41</v>
      </c>
      <c r="BF3372">
        <v>3.29</v>
      </c>
      <c r="BG3372" t="s">
        <v>28744</v>
      </c>
      <c r="BH3372" t="s">
        <v>14494</v>
      </c>
      <c r="BI3372" t="s">
        <v>3467</v>
      </c>
      <c r="BJ3372" t="s">
        <v>101</v>
      </c>
      <c r="BK3372" t="s">
        <v>2641</v>
      </c>
      <c r="BL3372" t="s">
        <v>7088</v>
      </c>
      <c r="BM3372" t="s">
        <v>2848</v>
      </c>
      <c r="BN3372" t="s">
        <v>27621</v>
      </c>
    </row>
    <row r="3373" spans="1:66" x14ac:dyDescent="0.25">
      <c r="A3373" t="str">
        <f>HYPERLINK("https://elite.finviz.com/quote.ashx?t=MLKN&amp;ty=c&amp;p=d&amp;b=1", "MLKN")</f>
        <v>MLKN</v>
      </c>
      <c r="B3373">
        <v>4</v>
      </c>
      <c r="C3373">
        <v>105.92</v>
      </c>
      <c r="D3373">
        <v>36.39</v>
      </c>
      <c r="E3373" t="s">
        <v>28745</v>
      </c>
      <c r="F3373" t="s">
        <v>67</v>
      </c>
      <c r="G3373" t="s">
        <v>813</v>
      </c>
      <c r="H3373" t="s">
        <v>3866</v>
      </c>
      <c r="I3373" t="s">
        <v>70</v>
      </c>
      <c r="J3373" t="s">
        <v>321</v>
      </c>
      <c r="K3373">
        <v>1235.0899999999999</v>
      </c>
      <c r="L3373">
        <v>18.04</v>
      </c>
      <c r="M3373" t="s">
        <v>2273</v>
      </c>
      <c r="N3373">
        <v>127656</v>
      </c>
      <c r="P3373">
        <v>8.0399999999999991</v>
      </c>
      <c r="R3373">
        <v>0.34</v>
      </c>
      <c r="S3373">
        <v>0.96</v>
      </c>
      <c r="T3373" t="s">
        <v>4690</v>
      </c>
      <c r="U3373">
        <v>0.75</v>
      </c>
      <c r="V3373" t="s">
        <v>4882</v>
      </c>
      <c r="W3373" t="s">
        <v>164</v>
      </c>
      <c r="X3373" t="s">
        <v>164</v>
      </c>
      <c r="Y3373" t="s">
        <v>2234</v>
      </c>
      <c r="AA3373">
        <v>-0.56000000000000005</v>
      </c>
      <c r="AB3373" t="s">
        <v>14902</v>
      </c>
      <c r="AC3373" t="s">
        <v>6548</v>
      </c>
      <c r="AE3373" t="s">
        <v>1279</v>
      </c>
      <c r="AF3373" t="s">
        <v>13522</v>
      </c>
      <c r="AG3373" t="s">
        <v>2655</v>
      </c>
      <c r="AH3373" t="s">
        <v>2861</v>
      </c>
      <c r="AI3373" t="s">
        <v>14914</v>
      </c>
      <c r="AJ3373" t="s">
        <v>164</v>
      </c>
      <c r="AK3373" t="s">
        <v>23896</v>
      </c>
      <c r="AL3373">
        <v>1.58</v>
      </c>
      <c r="AM3373">
        <v>0.94</v>
      </c>
      <c r="AN3373">
        <v>1.42</v>
      </c>
      <c r="AO3373" t="s">
        <v>1931</v>
      </c>
      <c r="AP3373" t="s">
        <v>1952</v>
      </c>
      <c r="AQ3373" t="s">
        <v>3113</v>
      </c>
      <c r="AR3373" t="s">
        <v>6330</v>
      </c>
      <c r="AS3373" t="s">
        <v>8818</v>
      </c>
      <c r="AT3373" t="s">
        <v>12166</v>
      </c>
      <c r="AU3373" t="s">
        <v>5491</v>
      </c>
      <c r="AV3373" t="s">
        <v>9666</v>
      </c>
      <c r="AW3373" t="s">
        <v>17709</v>
      </c>
      <c r="AX3373" t="s">
        <v>4377</v>
      </c>
      <c r="AY3373" t="s">
        <v>24011</v>
      </c>
      <c r="AZ3373" t="s">
        <v>10775</v>
      </c>
      <c r="BA3373">
        <v>3</v>
      </c>
      <c r="BB3373">
        <v>502.09</v>
      </c>
      <c r="BC3373">
        <v>0.9</v>
      </c>
      <c r="BD3373">
        <v>17.579999999999998</v>
      </c>
      <c r="BE3373">
        <v>18.100000000000001</v>
      </c>
      <c r="BF3373">
        <v>17.559999999999999</v>
      </c>
      <c r="BG3373" t="s">
        <v>28746</v>
      </c>
      <c r="BH3373" t="s">
        <v>16902</v>
      </c>
      <c r="BI3373" t="s">
        <v>28747</v>
      </c>
      <c r="BJ3373" t="s">
        <v>101</v>
      </c>
      <c r="BK3373" t="s">
        <v>12181</v>
      </c>
      <c r="BL3373" t="s">
        <v>12908</v>
      </c>
      <c r="BM3373" t="s">
        <v>11766</v>
      </c>
      <c r="BN3373" t="s">
        <v>27621</v>
      </c>
    </row>
    <row r="3374" spans="1:66" x14ac:dyDescent="0.25">
      <c r="A3374" t="str">
        <f>HYPERLINK("https://elite.finviz.com/quote.ashx?t=CWST&amp;ty=c&amp;p=d&amp;b=1", "CWST")</f>
        <v>CWST</v>
      </c>
      <c r="B3374">
        <v>4</v>
      </c>
      <c r="C3374">
        <v>105.92</v>
      </c>
      <c r="D3374">
        <v>36.39</v>
      </c>
      <c r="E3374" t="s">
        <v>28748</v>
      </c>
      <c r="F3374" t="s">
        <v>67</v>
      </c>
      <c r="G3374" t="s">
        <v>260</v>
      </c>
      <c r="H3374" t="s">
        <v>1573</v>
      </c>
      <c r="I3374" t="s">
        <v>70</v>
      </c>
      <c r="J3374" t="s">
        <v>321</v>
      </c>
      <c r="K3374">
        <v>5630.32</v>
      </c>
      <c r="L3374">
        <v>88.68</v>
      </c>
      <c r="M3374" t="s">
        <v>2362</v>
      </c>
      <c r="N3374">
        <v>115789</v>
      </c>
      <c r="O3374">
        <v>490.49</v>
      </c>
      <c r="P3374">
        <v>62.87</v>
      </c>
      <c r="Q3374">
        <v>58.53</v>
      </c>
      <c r="R3374">
        <v>3.27</v>
      </c>
      <c r="S3374">
        <v>3.62</v>
      </c>
      <c r="Z3374" t="s">
        <v>164</v>
      </c>
      <c r="AA3374">
        <v>0.18</v>
      </c>
      <c r="AB3374" t="s">
        <v>96</v>
      </c>
      <c r="AC3374" t="s">
        <v>28749</v>
      </c>
      <c r="AD3374" t="s">
        <v>8050</v>
      </c>
      <c r="AE3374" t="s">
        <v>11965</v>
      </c>
      <c r="AF3374" t="s">
        <v>10006</v>
      </c>
      <c r="AG3374" t="s">
        <v>874</v>
      </c>
      <c r="AH3374" t="s">
        <v>16116</v>
      </c>
      <c r="AI3374" t="s">
        <v>6168</v>
      </c>
      <c r="AJ3374" t="s">
        <v>6152</v>
      </c>
      <c r="AK3374" t="s">
        <v>28750</v>
      </c>
      <c r="AL3374">
        <v>1.7</v>
      </c>
      <c r="AM3374">
        <v>1.61</v>
      </c>
      <c r="AN3374">
        <v>0.79</v>
      </c>
      <c r="AO3374" t="s">
        <v>1844</v>
      </c>
      <c r="AP3374" t="s">
        <v>3057</v>
      </c>
      <c r="AQ3374" t="s">
        <v>3463</v>
      </c>
      <c r="AR3374" t="s">
        <v>2662</v>
      </c>
      <c r="AS3374" t="s">
        <v>1761</v>
      </c>
      <c r="AT3374" t="s">
        <v>10262</v>
      </c>
      <c r="AU3374" t="s">
        <v>16396</v>
      </c>
      <c r="AV3374" t="s">
        <v>1362</v>
      </c>
      <c r="AW3374" t="s">
        <v>19031</v>
      </c>
      <c r="AX3374" t="s">
        <v>5164</v>
      </c>
      <c r="AY3374" t="s">
        <v>15122</v>
      </c>
      <c r="AZ3374" t="s">
        <v>5164</v>
      </c>
      <c r="BA3374">
        <v>2.4</v>
      </c>
      <c r="BB3374">
        <v>525.46</v>
      </c>
      <c r="BC3374">
        <v>0.78</v>
      </c>
      <c r="BD3374">
        <v>88.21</v>
      </c>
      <c r="BE3374">
        <v>89.11</v>
      </c>
      <c r="BF3374">
        <v>88.2</v>
      </c>
      <c r="BG3374" t="s">
        <v>28751</v>
      </c>
      <c r="BH3374" t="s">
        <v>15122</v>
      </c>
      <c r="BI3374" t="s">
        <v>28752</v>
      </c>
      <c r="BJ3374" t="s">
        <v>101</v>
      </c>
      <c r="BK3374" t="s">
        <v>28753</v>
      </c>
      <c r="BL3374" t="s">
        <v>12547</v>
      </c>
      <c r="BM3374" t="s">
        <v>7279</v>
      </c>
      <c r="BN3374" t="s">
        <v>27621</v>
      </c>
    </row>
    <row r="3375" spans="1:66" x14ac:dyDescent="0.25">
      <c r="A3375" t="str">
        <f>HYPERLINK("https://elite.finviz.com/quote.ashx?t=USNA&amp;ty=c&amp;p=d&amp;b=1", "USNA")</f>
        <v>USNA</v>
      </c>
      <c r="B3375">
        <v>4</v>
      </c>
      <c r="C3375">
        <v>105.92</v>
      </c>
      <c r="D3375">
        <v>36.46</v>
      </c>
      <c r="E3375" t="s">
        <v>28754</v>
      </c>
      <c r="F3375" t="s">
        <v>67</v>
      </c>
      <c r="G3375" t="s">
        <v>2244</v>
      </c>
      <c r="H3375" t="s">
        <v>3269</v>
      </c>
      <c r="I3375" t="s">
        <v>70</v>
      </c>
      <c r="J3375" t="s">
        <v>71</v>
      </c>
      <c r="K3375">
        <v>520.29</v>
      </c>
      <c r="L3375">
        <v>28.48</v>
      </c>
      <c r="M3375" t="s">
        <v>227</v>
      </c>
      <c r="N3375">
        <v>18146</v>
      </c>
      <c r="O3375">
        <v>15.8</v>
      </c>
      <c r="P3375">
        <v>8.39</v>
      </c>
      <c r="R3375">
        <v>0.57999999999999996</v>
      </c>
      <c r="S3375">
        <v>0.98</v>
      </c>
      <c r="Z3375" t="s">
        <v>164</v>
      </c>
      <c r="AA3375">
        <v>1.8</v>
      </c>
      <c r="AB3375" t="s">
        <v>4681</v>
      </c>
      <c r="AC3375" t="s">
        <v>5863</v>
      </c>
      <c r="AE3375" t="s">
        <v>2743</v>
      </c>
      <c r="AF3375" t="s">
        <v>3975</v>
      </c>
      <c r="AG3375" t="s">
        <v>6092</v>
      </c>
      <c r="AH3375" t="s">
        <v>3614</v>
      </c>
      <c r="AI3375" t="s">
        <v>26765</v>
      </c>
      <c r="AJ3375" t="s">
        <v>2294</v>
      </c>
      <c r="AK3375" t="s">
        <v>8740</v>
      </c>
      <c r="AL3375">
        <v>2.15</v>
      </c>
      <c r="AM3375">
        <v>1.47</v>
      </c>
      <c r="AN3375">
        <v>0</v>
      </c>
      <c r="AO3375" t="s">
        <v>28217</v>
      </c>
      <c r="AP3375" t="s">
        <v>229</v>
      </c>
      <c r="AQ3375" t="s">
        <v>1934</v>
      </c>
      <c r="AR3375" t="s">
        <v>2735</v>
      </c>
      <c r="AS3375" t="s">
        <v>89</v>
      </c>
      <c r="AT3375" t="s">
        <v>2665</v>
      </c>
      <c r="AU3375" t="s">
        <v>9471</v>
      </c>
      <c r="AV3375" t="s">
        <v>5703</v>
      </c>
      <c r="AW3375" t="s">
        <v>12530</v>
      </c>
      <c r="AX3375" t="s">
        <v>5055</v>
      </c>
      <c r="AY3375" t="s">
        <v>1181</v>
      </c>
      <c r="AZ3375" t="s">
        <v>2779</v>
      </c>
      <c r="BA3375">
        <v>3</v>
      </c>
      <c r="BB3375">
        <v>130.88</v>
      </c>
      <c r="BC3375">
        <v>0.49</v>
      </c>
      <c r="BD3375">
        <v>28.29</v>
      </c>
      <c r="BE3375">
        <v>28.52</v>
      </c>
      <c r="BF3375">
        <v>28.35</v>
      </c>
      <c r="BG3375" t="s">
        <v>28755</v>
      </c>
      <c r="BH3375" t="s">
        <v>25335</v>
      </c>
      <c r="BI3375" t="s">
        <v>28756</v>
      </c>
      <c r="BJ3375" t="s">
        <v>101</v>
      </c>
      <c r="BK3375" t="s">
        <v>10011</v>
      </c>
      <c r="BL3375" t="s">
        <v>4902</v>
      </c>
      <c r="BM3375" t="s">
        <v>13141</v>
      </c>
      <c r="BN3375" t="s">
        <v>27621</v>
      </c>
    </row>
    <row r="3376" spans="1:66" x14ac:dyDescent="0.25">
      <c r="A3376" t="str">
        <f>HYPERLINK("https://elite.finviz.com/quote.ashx?t=WHLR&amp;ty=c&amp;p=d&amp;b=1", "WHLR")</f>
        <v>WHLR</v>
      </c>
      <c r="B3376">
        <v>4</v>
      </c>
      <c r="C3376">
        <v>105.92</v>
      </c>
      <c r="D3376">
        <v>36.46</v>
      </c>
      <c r="E3376" t="s">
        <v>28757</v>
      </c>
      <c r="F3376" t="s">
        <v>107</v>
      </c>
      <c r="G3376" t="s">
        <v>68</v>
      </c>
      <c r="H3376" t="s">
        <v>160</v>
      </c>
      <c r="I3376" t="s">
        <v>70</v>
      </c>
      <c r="J3376" t="s">
        <v>321</v>
      </c>
      <c r="K3376">
        <v>6.4</v>
      </c>
      <c r="L3376">
        <v>6.76</v>
      </c>
      <c r="M3376" t="s">
        <v>4646</v>
      </c>
      <c r="N3376">
        <v>54179</v>
      </c>
      <c r="R3376">
        <v>0.06</v>
      </c>
      <c r="V3376" t="s">
        <v>28758</v>
      </c>
      <c r="AA3376">
        <v>-126832.99</v>
      </c>
      <c r="AB3376" t="s">
        <v>28759</v>
      </c>
      <c r="AC3376" t="s">
        <v>28760</v>
      </c>
      <c r="AE3376" t="s">
        <v>3358</v>
      </c>
      <c r="AF3376" t="s">
        <v>5761</v>
      </c>
      <c r="AG3376" t="s">
        <v>5841</v>
      </c>
      <c r="AH3376" t="s">
        <v>1648</v>
      </c>
      <c r="AK3376" t="s">
        <v>13358</v>
      </c>
      <c r="AL3376">
        <v>71.31</v>
      </c>
      <c r="AM3376">
        <v>71.31</v>
      </c>
      <c r="AN3376">
        <v>9.06</v>
      </c>
      <c r="AO3376" t="s">
        <v>14688</v>
      </c>
      <c r="AP3376" t="s">
        <v>10525</v>
      </c>
      <c r="AQ3376" t="s">
        <v>2504</v>
      </c>
      <c r="AR3376" t="s">
        <v>2210</v>
      </c>
      <c r="AS3376" t="s">
        <v>8400</v>
      </c>
      <c r="AT3376" t="s">
        <v>10211</v>
      </c>
      <c r="AU3376" t="s">
        <v>28761</v>
      </c>
      <c r="AV3376" t="s">
        <v>26787</v>
      </c>
      <c r="AW3376" t="s">
        <v>18064</v>
      </c>
      <c r="AX3376" t="s">
        <v>3793</v>
      </c>
      <c r="AY3376" t="s">
        <v>5233</v>
      </c>
      <c r="AZ3376" t="s">
        <v>3793</v>
      </c>
      <c r="BA3376">
        <v>3</v>
      </c>
      <c r="BB3376">
        <v>344.93</v>
      </c>
      <c r="BC3376">
        <v>0.56000000000000005</v>
      </c>
      <c r="BD3376">
        <v>6.95</v>
      </c>
      <c r="BE3376">
        <v>6.92</v>
      </c>
      <c r="BF3376">
        <v>6.68</v>
      </c>
      <c r="BG3376" t="s">
        <v>28762</v>
      </c>
      <c r="BH3376" t="s">
        <v>579</v>
      </c>
      <c r="BI3376" t="s">
        <v>3793</v>
      </c>
      <c r="BJ3376" t="s">
        <v>101</v>
      </c>
      <c r="BK3376" t="s">
        <v>28763</v>
      </c>
      <c r="BL3376" t="s">
        <v>9959</v>
      </c>
      <c r="BM3376" t="s">
        <v>1194</v>
      </c>
      <c r="BN3376" t="s">
        <v>27621</v>
      </c>
    </row>
    <row r="3377" spans="1:66" x14ac:dyDescent="0.25">
      <c r="A3377" t="str">
        <f>HYPERLINK("https://elite.finviz.com/quote.ashx?t=RMR&amp;ty=c&amp;p=d&amp;b=1", "RMR")</f>
        <v>RMR</v>
      </c>
      <c r="B3377">
        <v>4</v>
      </c>
      <c r="C3377">
        <v>105.92</v>
      </c>
      <c r="D3377">
        <v>36.47</v>
      </c>
      <c r="E3377" t="s">
        <v>28764</v>
      </c>
      <c r="F3377" t="s">
        <v>67</v>
      </c>
      <c r="G3377" t="s">
        <v>68</v>
      </c>
      <c r="H3377" t="s">
        <v>7494</v>
      </c>
      <c r="I3377" t="s">
        <v>70</v>
      </c>
      <c r="J3377" t="s">
        <v>321</v>
      </c>
      <c r="K3377">
        <v>504.18</v>
      </c>
      <c r="L3377">
        <v>15.82</v>
      </c>
      <c r="M3377" t="s">
        <v>4507</v>
      </c>
      <c r="N3377">
        <v>6676</v>
      </c>
      <c r="O3377">
        <v>13.74</v>
      </c>
      <c r="P3377">
        <v>8.84</v>
      </c>
      <c r="R3377">
        <v>0.67</v>
      </c>
      <c r="S3377">
        <v>1.1499999999999999</v>
      </c>
      <c r="T3377" t="s">
        <v>8086</v>
      </c>
      <c r="U3377">
        <v>1.8</v>
      </c>
      <c r="V3377" t="s">
        <v>6164</v>
      </c>
      <c r="W3377" t="s">
        <v>229</v>
      </c>
      <c r="X3377" t="s">
        <v>756</v>
      </c>
      <c r="Y3377" t="s">
        <v>6475</v>
      </c>
      <c r="Z3377" t="s">
        <v>13954</v>
      </c>
      <c r="AA3377">
        <v>1.1499999999999999</v>
      </c>
      <c r="AB3377" t="s">
        <v>9332</v>
      </c>
      <c r="AC3377" t="s">
        <v>19216</v>
      </c>
      <c r="AE3377" t="s">
        <v>27498</v>
      </c>
      <c r="AF3377" t="s">
        <v>7301</v>
      </c>
      <c r="AG3377" t="s">
        <v>5370</v>
      </c>
      <c r="AH3377" t="s">
        <v>27854</v>
      </c>
      <c r="AI3377" t="s">
        <v>4839</v>
      </c>
      <c r="AJ3377" t="s">
        <v>164</v>
      </c>
      <c r="AK3377" t="s">
        <v>27515</v>
      </c>
      <c r="AL3377">
        <v>2.27</v>
      </c>
      <c r="AM3377">
        <v>2.27</v>
      </c>
      <c r="AN3377">
        <v>0.5</v>
      </c>
      <c r="AO3377" t="s">
        <v>4621</v>
      </c>
      <c r="AP3377" t="s">
        <v>3126</v>
      </c>
      <c r="AQ3377" t="s">
        <v>387</v>
      </c>
      <c r="AR3377" t="s">
        <v>714</v>
      </c>
      <c r="AS3377" t="s">
        <v>4493</v>
      </c>
      <c r="AT3377" t="s">
        <v>11567</v>
      </c>
      <c r="AU3377" t="s">
        <v>922</v>
      </c>
      <c r="AV3377" t="s">
        <v>3051</v>
      </c>
      <c r="AW3377" t="s">
        <v>8722</v>
      </c>
      <c r="AX3377" t="s">
        <v>2195</v>
      </c>
      <c r="AY3377" t="s">
        <v>27750</v>
      </c>
      <c r="AZ3377" t="s">
        <v>1005</v>
      </c>
      <c r="BA3377">
        <v>2.33</v>
      </c>
      <c r="BB3377">
        <v>97.44</v>
      </c>
      <c r="BC3377">
        <v>0.24</v>
      </c>
      <c r="BD3377">
        <v>15.81</v>
      </c>
      <c r="BE3377">
        <v>15.95</v>
      </c>
      <c r="BF3377">
        <v>15.8</v>
      </c>
      <c r="BG3377" t="s">
        <v>28765</v>
      </c>
      <c r="BH3377" t="s">
        <v>28766</v>
      </c>
      <c r="BI3377" t="s">
        <v>10448</v>
      </c>
      <c r="BJ3377" t="s">
        <v>101</v>
      </c>
      <c r="BK3377" t="s">
        <v>6494</v>
      </c>
      <c r="BL3377" t="s">
        <v>11445</v>
      </c>
      <c r="BM3377" t="s">
        <v>28767</v>
      </c>
      <c r="BN3377" t="s">
        <v>27621</v>
      </c>
    </row>
    <row r="3378" spans="1:66" x14ac:dyDescent="0.25">
      <c r="A3378" t="str">
        <f>HYPERLINK("https://elite.finviz.com/quote.ashx?t=SGRP&amp;ty=c&amp;p=d&amp;b=1", "SGRP")</f>
        <v>SGRP</v>
      </c>
      <c r="B3378">
        <v>4</v>
      </c>
      <c r="C3378">
        <v>105.92</v>
      </c>
      <c r="D3378">
        <v>36.54</v>
      </c>
      <c r="E3378" t="s">
        <v>28768</v>
      </c>
      <c r="F3378" t="s">
        <v>107</v>
      </c>
      <c r="G3378" t="s">
        <v>260</v>
      </c>
      <c r="H3378" t="s">
        <v>1077</v>
      </c>
      <c r="I3378" t="s">
        <v>70</v>
      </c>
      <c r="J3378" t="s">
        <v>321</v>
      </c>
      <c r="K3378">
        <v>24.99</v>
      </c>
      <c r="L3378">
        <v>1.05</v>
      </c>
      <c r="M3378" t="s">
        <v>11896</v>
      </c>
      <c r="N3378">
        <v>29603</v>
      </c>
      <c r="R3378">
        <v>0.17</v>
      </c>
      <c r="S3378">
        <v>1</v>
      </c>
      <c r="AA3378">
        <v>-0.55000000000000004</v>
      </c>
      <c r="AB3378" t="s">
        <v>2275</v>
      </c>
      <c r="AE3378" t="s">
        <v>26589</v>
      </c>
      <c r="AF3378" t="s">
        <v>11354</v>
      </c>
      <c r="AG3378" t="s">
        <v>5371</v>
      </c>
      <c r="AH3378" t="s">
        <v>9059</v>
      </c>
      <c r="AJ3378" t="s">
        <v>164</v>
      </c>
      <c r="AK3378" t="s">
        <v>6272</v>
      </c>
      <c r="AL3378">
        <v>1.36</v>
      </c>
      <c r="AM3378">
        <v>1.36</v>
      </c>
      <c r="AN3378">
        <v>1.1000000000000001</v>
      </c>
      <c r="AO3378" t="s">
        <v>7902</v>
      </c>
      <c r="AP3378" t="s">
        <v>9075</v>
      </c>
      <c r="AQ3378" t="s">
        <v>16335</v>
      </c>
      <c r="AR3378" t="s">
        <v>3205</v>
      </c>
      <c r="AS3378" t="s">
        <v>215</v>
      </c>
      <c r="AT3378" t="s">
        <v>5271</v>
      </c>
      <c r="AU3378" t="s">
        <v>8507</v>
      </c>
      <c r="AV3378" t="s">
        <v>17774</v>
      </c>
      <c r="AW3378" t="s">
        <v>5360</v>
      </c>
      <c r="AX3378" t="s">
        <v>9751</v>
      </c>
      <c r="AY3378" t="s">
        <v>28769</v>
      </c>
      <c r="AZ3378" t="s">
        <v>1680</v>
      </c>
      <c r="BA3378">
        <v>1</v>
      </c>
      <c r="BB3378">
        <v>142.96</v>
      </c>
      <c r="BC3378">
        <v>0.73</v>
      </c>
      <c r="BD3378">
        <v>1.0900000000000001</v>
      </c>
      <c r="BE3378">
        <v>1.1000000000000001</v>
      </c>
      <c r="BF3378">
        <v>0.99</v>
      </c>
      <c r="BG3378" t="s">
        <v>28770</v>
      </c>
      <c r="BH3378" t="s">
        <v>28771</v>
      </c>
      <c r="BI3378" t="s">
        <v>28772</v>
      </c>
      <c r="BJ3378" t="s">
        <v>101</v>
      </c>
      <c r="BK3378" t="s">
        <v>1204</v>
      </c>
      <c r="BL3378" t="s">
        <v>2775</v>
      </c>
      <c r="BM3378" t="s">
        <v>27627</v>
      </c>
      <c r="BN3378" t="s">
        <v>27621</v>
      </c>
    </row>
    <row r="3379" spans="1:66" x14ac:dyDescent="0.25">
      <c r="A3379" t="str">
        <f>HYPERLINK("https://elite.finviz.com/quote.ashx?t=ADTX&amp;ty=c&amp;p=d&amp;b=1", "ADTX")</f>
        <v>ADTX</v>
      </c>
      <c r="B3379">
        <v>4</v>
      </c>
      <c r="C3379">
        <v>105.92</v>
      </c>
      <c r="D3379">
        <v>36.56</v>
      </c>
      <c r="E3379" t="s">
        <v>28773</v>
      </c>
      <c r="F3379" t="s">
        <v>107</v>
      </c>
      <c r="G3379" t="s">
        <v>428</v>
      </c>
      <c r="H3379" t="s">
        <v>429</v>
      </c>
      <c r="I3379" t="s">
        <v>70</v>
      </c>
      <c r="J3379" t="s">
        <v>321</v>
      </c>
      <c r="K3379">
        <v>4.25</v>
      </c>
      <c r="L3379">
        <v>0.85</v>
      </c>
      <c r="M3379" t="s">
        <v>7709</v>
      </c>
      <c r="N3379">
        <v>149599</v>
      </c>
      <c r="R3379">
        <v>424.9</v>
      </c>
      <c r="S3379">
        <v>0.21</v>
      </c>
      <c r="AA3379">
        <v>-27818.97</v>
      </c>
      <c r="AB3379" t="s">
        <v>18275</v>
      </c>
      <c r="AC3379" t="s">
        <v>17562</v>
      </c>
      <c r="AE3379" t="s">
        <v>17850</v>
      </c>
      <c r="AF3379" t="s">
        <v>712</v>
      </c>
      <c r="AH3379" t="s">
        <v>9837</v>
      </c>
      <c r="AK3379" t="s">
        <v>6463</v>
      </c>
      <c r="AL3379">
        <v>0.02</v>
      </c>
      <c r="AM3379">
        <v>0.02</v>
      </c>
      <c r="AN3379">
        <v>0.42</v>
      </c>
      <c r="AO3379" t="s">
        <v>28774</v>
      </c>
      <c r="AP3379" t="s">
        <v>28775</v>
      </c>
      <c r="AQ3379" t="s">
        <v>28776</v>
      </c>
      <c r="AR3379" t="s">
        <v>3491</v>
      </c>
      <c r="AS3379" t="s">
        <v>635</v>
      </c>
      <c r="AT3379" t="s">
        <v>10983</v>
      </c>
      <c r="AU3379" t="s">
        <v>20981</v>
      </c>
      <c r="AV3379" t="s">
        <v>25448</v>
      </c>
      <c r="AW3379" t="s">
        <v>22411</v>
      </c>
      <c r="AX3379" t="s">
        <v>2580</v>
      </c>
      <c r="AY3379" t="s">
        <v>1194</v>
      </c>
      <c r="AZ3379" t="s">
        <v>2580</v>
      </c>
      <c r="BA3379">
        <v>1</v>
      </c>
      <c r="BB3379">
        <v>586.66999999999996</v>
      </c>
      <c r="BC3379">
        <v>0.9</v>
      </c>
      <c r="BD3379">
        <v>0.85</v>
      </c>
      <c r="BE3379">
        <v>0.91</v>
      </c>
      <c r="BF3379">
        <v>0.85</v>
      </c>
      <c r="BG3379" t="s">
        <v>28777</v>
      </c>
      <c r="BH3379" t="s">
        <v>579</v>
      </c>
      <c r="BI3379" t="s">
        <v>2580</v>
      </c>
      <c r="BJ3379" t="s">
        <v>101</v>
      </c>
      <c r="BK3379" t="s">
        <v>21004</v>
      </c>
      <c r="BL3379" t="s">
        <v>28778</v>
      </c>
      <c r="BM3379" t="s">
        <v>1194</v>
      </c>
      <c r="BN3379" t="s">
        <v>27621</v>
      </c>
    </row>
    <row r="3380" spans="1:66" x14ac:dyDescent="0.25">
      <c r="A3380" t="str">
        <f>HYPERLINK("https://elite.finviz.com/quote.ashx?t=NSTS&amp;ty=c&amp;p=d&amp;b=1", "NSTS")</f>
        <v>NSTS</v>
      </c>
      <c r="B3380">
        <v>4</v>
      </c>
      <c r="C3380">
        <v>105.92</v>
      </c>
      <c r="D3380">
        <v>36.619999999999997</v>
      </c>
      <c r="E3380" t="s">
        <v>28779</v>
      </c>
      <c r="F3380" t="s">
        <v>107</v>
      </c>
      <c r="G3380" t="s">
        <v>550</v>
      </c>
      <c r="H3380" t="s">
        <v>697</v>
      </c>
      <c r="I3380" t="s">
        <v>70</v>
      </c>
      <c r="J3380" t="s">
        <v>321</v>
      </c>
      <c r="K3380">
        <v>60.41</v>
      </c>
      <c r="L3380">
        <v>11.53</v>
      </c>
      <c r="M3380" t="s">
        <v>164</v>
      </c>
      <c r="N3380">
        <v>0</v>
      </c>
      <c r="R3380">
        <v>4.6399999999999997</v>
      </c>
      <c r="S3380">
        <v>0.72</v>
      </c>
      <c r="AA3380">
        <v>-0.16</v>
      </c>
      <c r="AB3380" t="s">
        <v>28780</v>
      </c>
      <c r="AE3380" t="s">
        <v>9367</v>
      </c>
      <c r="AF3380" t="s">
        <v>17283</v>
      </c>
      <c r="AG3380" t="s">
        <v>7019</v>
      </c>
      <c r="AH3380" t="s">
        <v>1777</v>
      </c>
      <c r="AJ3380" t="s">
        <v>164</v>
      </c>
      <c r="AK3380" t="s">
        <v>11275</v>
      </c>
      <c r="AL3380">
        <v>0.4</v>
      </c>
      <c r="AN3380">
        <v>0</v>
      </c>
      <c r="AP3380" t="s">
        <v>6741</v>
      </c>
      <c r="AQ3380" t="s">
        <v>6741</v>
      </c>
      <c r="AR3380" t="s">
        <v>4600</v>
      </c>
      <c r="AS3380" t="s">
        <v>5577</v>
      </c>
      <c r="AT3380" t="s">
        <v>2617</v>
      </c>
      <c r="AU3380" t="s">
        <v>8380</v>
      </c>
      <c r="AV3380" t="s">
        <v>7391</v>
      </c>
      <c r="AW3380" t="s">
        <v>10533</v>
      </c>
      <c r="AX3380" t="s">
        <v>306</v>
      </c>
      <c r="AY3380" t="s">
        <v>4134</v>
      </c>
      <c r="AZ3380" t="s">
        <v>2601</v>
      </c>
      <c r="BB3380">
        <v>3.22</v>
      </c>
      <c r="BC3380">
        <v>0</v>
      </c>
      <c r="BD3380">
        <v>11.53</v>
      </c>
      <c r="BE3380">
        <v>11.53</v>
      </c>
      <c r="BF3380">
        <v>11.53</v>
      </c>
      <c r="BG3380" t="s">
        <v>28781</v>
      </c>
      <c r="BH3380" t="s">
        <v>4134</v>
      </c>
      <c r="BI3380" t="s">
        <v>6621</v>
      </c>
      <c r="BJ3380" t="s">
        <v>101</v>
      </c>
      <c r="BK3380" t="s">
        <v>94</v>
      </c>
      <c r="BL3380" t="s">
        <v>8358</v>
      </c>
      <c r="BM3380" t="s">
        <v>2948</v>
      </c>
      <c r="BN3380" t="s">
        <v>27621</v>
      </c>
    </row>
    <row r="3381" spans="1:66" x14ac:dyDescent="0.25">
      <c r="A3381" t="str">
        <f>HYPERLINK("https://elite.finviz.com/quote.ashx?t=KAI&amp;ty=c&amp;p=d&amp;b=1", "KAI")</f>
        <v>KAI</v>
      </c>
      <c r="B3381">
        <v>4</v>
      </c>
      <c r="C3381">
        <v>105.92</v>
      </c>
      <c r="D3381">
        <v>36.630000000000003</v>
      </c>
      <c r="E3381" t="s">
        <v>28782</v>
      </c>
      <c r="F3381" t="s">
        <v>67</v>
      </c>
      <c r="G3381" t="s">
        <v>260</v>
      </c>
      <c r="H3381" t="s">
        <v>261</v>
      </c>
      <c r="I3381" t="s">
        <v>70</v>
      </c>
      <c r="J3381" t="s">
        <v>71</v>
      </c>
      <c r="K3381">
        <v>3547.66</v>
      </c>
      <c r="L3381">
        <v>301.23</v>
      </c>
      <c r="M3381" t="s">
        <v>4963</v>
      </c>
      <c r="N3381">
        <v>24100</v>
      </c>
      <c r="O3381">
        <v>33.54</v>
      </c>
      <c r="P3381">
        <v>29.02</v>
      </c>
      <c r="R3381">
        <v>3.46</v>
      </c>
      <c r="S3381">
        <v>3.83</v>
      </c>
      <c r="T3381" t="s">
        <v>3112</v>
      </c>
      <c r="U3381">
        <v>1.32</v>
      </c>
      <c r="V3381" t="s">
        <v>228</v>
      </c>
      <c r="W3381" t="s">
        <v>4288</v>
      </c>
      <c r="X3381" t="s">
        <v>6607</v>
      </c>
      <c r="Y3381" t="s">
        <v>7150</v>
      </c>
      <c r="Z3381" t="s">
        <v>7775</v>
      </c>
      <c r="AA3381">
        <v>8.98</v>
      </c>
      <c r="AB3381" t="s">
        <v>4248</v>
      </c>
      <c r="AC3381" t="s">
        <v>2133</v>
      </c>
      <c r="AE3381" t="s">
        <v>2195</v>
      </c>
      <c r="AF3381" t="s">
        <v>8240</v>
      </c>
      <c r="AG3381" t="s">
        <v>5700</v>
      </c>
      <c r="AH3381" t="s">
        <v>19119</v>
      </c>
      <c r="AI3381" t="s">
        <v>15593</v>
      </c>
      <c r="AJ3381" t="s">
        <v>4150</v>
      </c>
      <c r="AK3381" t="s">
        <v>28783</v>
      </c>
      <c r="AL3381">
        <v>2.38</v>
      </c>
      <c r="AM3381">
        <v>1.53</v>
      </c>
      <c r="AN3381">
        <v>0.27</v>
      </c>
      <c r="AO3381" t="s">
        <v>17658</v>
      </c>
      <c r="AP3381" t="s">
        <v>9523</v>
      </c>
      <c r="AQ3381" t="s">
        <v>1396</v>
      </c>
      <c r="AR3381" t="s">
        <v>1599</v>
      </c>
      <c r="AS3381" t="s">
        <v>2643</v>
      </c>
      <c r="AT3381" t="s">
        <v>12014</v>
      </c>
      <c r="AU3381" t="s">
        <v>14874</v>
      </c>
      <c r="AV3381" t="s">
        <v>13438</v>
      </c>
      <c r="AW3381" t="s">
        <v>1923</v>
      </c>
      <c r="AX3381" t="s">
        <v>5577</v>
      </c>
      <c r="AY3381" t="s">
        <v>12860</v>
      </c>
      <c r="AZ3381" t="s">
        <v>8054</v>
      </c>
      <c r="BA3381">
        <v>2</v>
      </c>
      <c r="BB3381">
        <v>113.31</v>
      </c>
      <c r="BC3381">
        <v>0.75</v>
      </c>
      <c r="BD3381">
        <v>303.17</v>
      </c>
      <c r="BE3381">
        <v>305.67</v>
      </c>
      <c r="BF3381">
        <v>299.98</v>
      </c>
      <c r="BG3381" t="s">
        <v>28784</v>
      </c>
      <c r="BH3381" t="s">
        <v>12860</v>
      </c>
      <c r="BI3381" t="s">
        <v>28785</v>
      </c>
      <c r="BJ3381" t="s">
        <v>101</v>
      </c>
      <c r="BK3381" t="s">
        <v>1149</v>
      </c>
      <c r="BL3381" t="s">
        <v>10666</v>
      </c>
      <c r="BM3381" t="s">
        <v>7101</v>
      </c>
      <c r="BN3381" t="s">
        <v>27621</v>
      </c>
    </row>
    <row r="3382" spans="1:66" x14ac:dyDescent="0.25">
      <c r="A3382" t="str">
        <f>HYPERLINK("https://elite.finviz.com/quote.ashx?t=CUE&amp;ty=c&amp;p=d&amp;b=1", "CUE")</f>
        <v>CUE</v>
      </c>
      <c r="B3382">
        <v>4</v>
      </c>
      <c r="C3382">
        <v>105.92</v>
      </c>
      <c r="D3382">
        <v>36.68</v>
      </c>
      <c r="E3382" t="s">
        <v>28786</v>
      </c>
      <c r="F3382" t="s">
        <v>107</v>
      </c>
      <c r="G3382" t="s">
        <v>428</v>
      </c>
      <c r="H3382" t="s">
        <v>429</v>
      </c>
      <c r="I3382" t="s">
        <v>70</v>
      </c>
      <c r="J3382" t="s">
        <v>321</v>
      </c>
      <c r="K3382">
        <v>53.35</v>
      </c>
      <c r="L3382">
        <v>0.69</v>
      </c>
      <c r="M3382" t="s">
        <v>4623</v>
      </c>
      <c r="N3382">
        <v>26438</v>
      </c>
      <c r="R3382">
        <v>6.43</v>
      </c>
      <c r="S3382">
        <v>2.92</v>
      </c>
      <c r="AA3382">
        <v>-0.55000000000000004</v>
      </c>
      <c r="AB3382" t="s">
        <v>13600</v>
      </c>
      <c r="AC3382" t="s">
        <v>5057</v>
      </c>
      <c r="AD3382" t="s">
        <v>7654</v>
      </c>
      <c r="AE3382" t="s">
        <v>4699</v>
      </c>
      <c r="AF3382" t="s">
        <v>6337</v>
      </c>
      <c r="AG3382" t="s">
        <v>7352</v>
      </c>
      <c r="AH3382" t="s">
        <v>2656</v>
      </c>
      <c r="AI3382" t="s">
        <v>7097</v>
      </c>
      <c r="AJ3382" t="s">
        <v>164</v>
      </c>
      <c r="AK3382" t="s">
        <v>6696</v>
      </c>
      <c r="AL3382">
        <v>1.6</v>
      </c>
      <c r="AM3382">
        <v>1.6</v>
      </c>
      <c r="AN3382">
        <v>0.42</v>
      </c>
      <c r="AO3382" t="s">
        <v>17110</v>
      </c>
      <c r="AP3382" t="s">
        <v>28787</v>
      </c>
      <c r="AQ3382" t="s">
        <v>28788</v>
      </c>
      <c r="AR3382" t="s">
        <v>11336</v>
      </c>
      <c r="AS3382" t="s">
        <v>4173</v>
      </c>
      <c r="AT3382" t="s">
        <v>6450</v>
      </c>
      <c r="AU3382" t="s">
        <v>3838</v>
      </c>
      <c r="AV3382" t="s">
        <v>13616</v>
      </c>
      <c r="AW3382" t="s">
        <v>19170</v>
      </c>
      <c r="AX3382" t="s">
        <v>5593</v>
      </c>
      <c r="AY3382" t="s">
        <v>28476</v>
      </c>
      <c r="AZ3382" t="s">
        <v>4571</v>
      </c>
      <c r="BA3382">
        <v>1</v>
      </c>
      <c r="BB3382">
        <v>263.23</v>
      </c>
      <c r="BC3382">
        <v>0.36</v>
      </c>
      <c r="BD3382">
        <v>0.69</v>
      </c>
      <c r="BE3382">
        <v>0.7</v>
      </c>
      <c r="BF3382">
        <v>0.69</v>
      </c>
      <c r="BG3382" t="s">
        <v>28789</v>
      </c>
      <c r="BH3382" t="s">
        <v>25901</v>
      </c>
      <c r="BI3382" t="s">
        <v>4571</v>
      </c>
      <c r="BJ3382" t="s">
        <v>101</v>
      </c>
      <c r="BK3382" t="s">
        <v>7300</v>
      </c>
      <c r="BL3382" t="s">
        <v>13405</v>
      </c>
      <c r="BM3382" t="s">
        <v>6742</v>
      </c>
      <c r="BN3382" t="s">
        <v>27621</v>
      </c>
    </row>
    <row r="3383" spans="1:66" x14ac:dyDescent="0.25">
      <c r="A3383" t="str">
        <f>HYPERLINK("https://elite.finviz.com/quote.ashx?t=CPAY&amp;ty=c&amp;p=d&amp;b=1", "CPAY")</f>
        <v>CPAY</v>
      </c>
      <c r="B3383">
        <v>4</v>
      </c>
      <c r="C3383">
        <v>105.92</v>
      </c>
      <c r="D3383">
        <v>36.700000000000003</v>
      </c>
      <c r="E3383" t="s">
        <v>28790</v>
      </c>
      <c r="F3383" t="s">
        <v>195</v>
      </c>
      <c r="G3383" t="s">
        <v>108</v>
      </c>
      <c r="H3383" t="s">
        <v>109</v>
      </c>
      <c r="I3383" t="s">
        <v>70</v>
      </c>
      <c r="J3383" t="s">
        <v>71</v>
      </c>
      <c r="K3383">
        <v>20867.61</v>
      </c>
      <c r="L3383">
        <v>295.52</v>
      </c>
      <c r="M3383" t="s">
        <v>1279</v>
      </c>
      <c r="N3383">
        <v>100930</v>
      </c>
      <c r="O3383">
        <v>20.079999999999998</v>
      </c>
      <c r="P3383">
        <v>12.13</v>
      </c>
      <c r="Q3383">
        <v>1.47</v>
      </c>
      <c r="R3383">
        <v>5</v>
      </c>
      <c r="S3383">
        <v>5.31</v>
      </c>
      <c r="Z3383" t="s">
        <v>164</v>
      </c>
      <c r="AA3383">
        <v>14.72</v>
      </c>
      <c r="AB3383" t="s">
        <v>845</v>
      </c>
      <c r="AC3383" t="s">
        <v>8852</v>
      </c>
      <c r="AD3383" t="s">
        <v>5539</v>
      </c>
      <c r="AE3383" t="s">
        <v>7019</v>
      </c>
      <c r="AF3383" t="s">
        <v>3644</v>
      </c>
      <c r="AG3383" t="s">
        <v>712</v>
      </c>
      <c r="AH3383" t="s">
        <v>13468</v>
      </c>
      <c r="AI3383" t="s">
        <v>4494</v>
      </c>
      <c r="AJ3383" t="s">
        <v>164</v>
      </c>
      <c r="AK3383" t="s">
        <v>26653</v>
      </c>
      <c r="AL3383">
        <v>1.1200000000000001</v>
      </c>
      <c r="AM3383">
        <v>1.1200000000000001</v>
      </c>
      <c r="AN3383">
        <v>2.0699999999999998</v>
      </c>
      <c r="AO3383" t="s">
        <v>19738</v>
      </c>
      <c r="AP3383" t="s">
        <v>9603</v>
      </c>
      <c r="AQ3383" t="s">
        <v>2306</v>
      </c>
      <c r="AR3383" t="s">
        <v>3842</v>
      </c>
      <c r="AS3383" t="s">
        <v>8016</v>
      </c>
      <c r="AT3383" t="s">
        <v>3897</v>
      </c>
      <c r="AU3383" t="s">
        <v>6538</v>
      </c>
      <c r="AV3383" t="s">
        <v>8792</v>
      </c>
      <c r="AW3383" t="s">
        <v>335</v>
      </c>
      <c r="AX3383" t="s">
        <v>3842</v>
      </c>
      <c r="AY3383" t="s">
        <v>17258</v>
      </c>
      <c r="AZ3383" t="s">
        <v>2877</v>
      </c>
      <c r="BA3383">
        <v>1.75</v>
      </c>
      <c r="BB3383">
        <v>468.38</v>
      </c>
      <c r="BC3383">
        <v>0.76</v>
      </c>
      <c r="BD3383">
        <v>292.18</v>
      </c>
      <c r="BE3383">
        <v>292.18</v>
      </c>
      <c r="BF3383">
        <v>293.66000000000003</v>
      </c>
      <c r="BG3383" t="s">
        <v>28791</v>
      </c>
      <c r="BH3383" t="s">
        <v>17258</v>
      </c>
      <c r="BI3383" t="s">
        <v>28792</v>
      </c>
      <c r="BJ3383" t="s">
        <v>101</v>
      </c>
      <c r="BK3383" t="s">
        <v>12163</v>
      </c>
      <c r="BL3383" t="s">
        <v>16135</v>
      </c>
      <c r="BM3383" t="s">
        <v>818</v>
      </c>
      <c r="BN3383" t="s">
        <v>27621</v>
      </c>
    </row>
    <row r="3384" spans="1:66" x14ac:dyDescent="0.25">
      <c r="A3384" t="str">
        <f>HYPERLINK("https://elite.finviz.com/quote.ashx?t=ZEUS&amp;ty=c&amp;p=d&amp;b=1", "ZEUS")</f>
        <v>ZEUS</v>
      </c>
      <c r="B3384">
        <v>4</v>
      </c>
      <c r="C3384">
        <v>105.92</v>
      </c>
      <c r="D3384">
        <v>36.700000000000003</v>
      </c>
      <c r="E3384" t="s">
        <v>28793</v>
      </c>
      <c r="F3384" t="s">
        <v>67</v>
      </c>
      <c r="G3384" t="s">
        <v>355</v>
      </c>
      <c r="H3384" t="s">
        <v>10220</v>
      </c>
      <c r="I3384" t="s">
        <v>70</v>
      </c>
      <c r="J3384" t="s">
        <v>321</v>
      </c>
      <c r="K3384">
        <v>344.32</v>
      </c>
      <c r="L3384">
        <v>30.75</v>
      </c>
      <c r="M3384" t="s">
        <v>2203</v>
      </c>
      <c r="N3384">
        <v>8077</v>
      </c>
      <c r="O3384">
        <v>25.1</v>
      </c>
      <c r="P3384">
        <v>13.08</v>
      </c>
      <c r="R3384">
        <v>0.18</v>
      </c>
      <c r="S3384">
        <v>0.59</v>
      </c>
      <c r="T3384" t="s">
        <v>6151</v>
      </c>
      <c r="U3384">
        <v>0.63</v>
      </c>
      <c r="V3384" t="s">
        <v>2187</v>
      </c>
      <c r="W3384" t="s">
        <v>1746</v>
      </c>
      <c r="X3384" t="s">
        <v>21979</v>
      </c>
      <c r="Y3384" t="s">
        <v>28794</v>
      </c>
      <c r="Z3384" t="s">
        <v>21821</v>
      </c>
      <c r="AA3384">
        <v>1.23</v>
      </c>
      <c r="AB3384" t="s">
        <v>19660</v>
      </c>
      <c r="AC3384" t="s">
        <v>17636</v>
      </c>
      <c r="AE3384" t="s">
        <v>4478</v>
      </c>
      <c r="AF3384" t="s">
        <v>8889</v>
      </c>
      <c r="AG3384" t="s">
        <v>6460</v>
      </c>
      <c r="AH3384" t="s">
        <v>8889</v>
      </c>
      <c r="AI3384" t="s">
        <v>6206</v>
      </c>
      <c r="AJ3384" t="s">
        <v>164</v>
      </c>
      <c r="AK3384" t="s">
        <v>13370</v>
      </c>
      <c r="AL3384">
        <v>3.07</v>
      </c>
      <c r="AM3384">
        <v>1.18</v>
      </c>
      <c r="AN3384">
        <v>0.48</v>
      </c>
      <c r="AO3384" t="s">
        <v>1819</v>
      </c>
      <c r="AP3384" t="s">
        <v>3118</v>
      </c>
      <c r="AQ3384" t="s">
        <v>84</v>
      </c>
      <c r="AR3384" t="s">
        <v>6770</v>
      </c>
      <c r="AS3384" t="s">
        <v>911</v>
      </c>
      <c r="AT3384" t="s">
        <v>11313</v>
      </c>
      <c r="AU3384" t="s">
        <v>7380</v>
      </c>
      <c r="AV3384" t="s">
        <v>798</v>
      </c>
      <c r="AW3384" t="s">
        <v>3700</v>
      </c>
      <c r="AX3384" t="s">
        <v>2822</v>
      </c>
      <c r="AY3384" t="s">
        <v>23709</v>
      </c>
      <c r="AZ3384" t="s">
        <v>4601</v>
      </c>
      <c r="BA3384">
        <v>1</v>
      </c>
      <c r="BB3384">
        <v>64.95</v>
      </c>
      <c r="BC3384">
        <v>0.44</v>
      </c>
      <c r="BD3384">
        <v>30.89</v>
      </c>
      <c r="BE3384">
        <v>31.36</v>
      </c>
      <c r="BF3384">
        <v>30.75</v>
      </c>
      <c r="BG3384" t="s">
        <v>28795</v>
      </c>
      <c r="BH3384" t="s">
        <v>28796</v>
      </c>
      <c r="BI3384" t="s">
        <v>28797</v>
      </c>
      <c r="BJ3384" t="s">
        <v>101</v>
      </c>
      <c r="BK3384" t="s">
        <v>1092</v>
      </c>
      <c r="BL3384" t="s">
        <v>93</v>
      </c>
      <c r="BM3384" t="s">
        <v>18112</v>
      </c>
      <c r="BN3384" t="s">
        <v>27621</v>
      </c>
    </row>
    <row r="3385" spans="1:66" x14ac:dyDescent="0.25">
      <c r="A3385" t="str">
        <f>HYPERLINK("https://elite.finviz.com/quote.ashx?t=CHH&amp;ty=c&amp;p=d&amp;b=1", "CHH")</f>
        <v>CHH</v>
      </c>
      <c r="B3385">
        <v>4</v>
      </c>
      <c r="C3385">
        <v>105.92</v>
      </c>
      <c r="D3385">
        <v>36.700000000000003</v>
      </c>
      <c r="E3385" t="s">
        <v>28798</v>
      </c>
      <c r="F3385" t="s">
        <v>107</v>
      </c>
      <c r="G3385" t="s">
        <v>813</v>
      </c>
      <c r="H3385" t="s">
        <v>16375</v>
      </c>
      <c r="I3385" t="s">
        <v>70</v>
      </c>
      <c r="J3385" t="s">
        <v>71</v>
      </c>
      <c r="K3385">
        <v>5041.3999999999996</v>
      </c>
      <c r="L3385">
        <v>108.96</v>
      </c>
      <c r="M3385" t="s">
        <v>3000</v>
      </c>
      <c r="N3385">
        <v>48016</v>
      </c>
      <c r="O3385">
        <v>16.72</v>
      </c>
      <c r="P3385">
        <v>14.61</v>
      </c>
      <c r="Q3385">
        <v>4.13</v>
      </c>
      <c r="R3385">
        <v>3.2</v>
      </c>
      <c r="T3385" t="s">
        <v>581</v>
      </c>
      <c r="U3385">
        <v>1.1499999999999999</v>
      </c>
      <c r="V3385" t="s">
        <v>700</v>
      </c>
      <c r="W3385" t="s">
        <v>164</v>
      </c>
      <c r="X3385" t="s">
        <v>731</v>
      </c>
      <c r="Y3385" t="s">
        <v>3088</v>
      </c>
      <c r="Z3385" t="s">
        <v>7903</v>
      </c>
      <c r="AA3385">
        <v>6.52</v>
      </c>
      <c r="AB3385" t="s">
        <v>4476</v>
      </c>
      <c r="AC3385" t="s">
        <v>2886</v>
      </c>
      <c r="AD3385" t="s">
        <v>3469</v>
      </c>
      <c r="AE3385" t="s">
        <v>2082</v>
      </c>
      <c r="AF3385" t="s">
        <v>6498</v>
      </c>
      <c r="AG3385" t="s">
        <v>4850</v>
      </c>
      <c r="AH3385" t="s">
        <v>1444</v>
      </c>
      <c r="AI3385" t="s">
        <v>3344</v>
      </c>
      <c r="AJ3385" t="s">
        <v>171</v>
      </c>
      <c r="AK3385" t="s">
        <v>22117</v>
      </c>
      <c r="AL3385">
        <v>0.89</v>
      </c>
      <c r="AM3385">
        <v>0.89</v>
      </c>
      <c r="AO3385" t="s">
        <v>6311</v>
      </c>
      <c r="AP3385" t="s">
        <v>19283</v>
      </c>
      <c r="AQ3385" t="s">
        <v>4515</v>
      </c>
      <c r="AR3385" t="s">
        <v>633</v>
      </c>
      <c r="AS3385" t="s">
        <v>2640</v>
      </c>
      <c r="AT3385" t="s">
        <v>16782</v>
      </c>
      <c r="AU3385" t="s">
        <v>19565</v>
      </c>
      <c r="AV3385" t="s">
        <v>9698</v>
      </c>
      <c r="AW3385" t="s">
        <v>10719</v>
      </c>
      <c r="AX3385" t="s">
        <v>2509</v>
      </c>
      <c r="AY3385" t="s">
        <v>898</v>
      </c>
      <c r="AZ3385" t="s">
        <v>2509</v>
      </c>
      <c r="BA3385">
        <v>2.88</v>
      </c>
      <c r="BB3385">
        <v>429.97</v>
      </c>
      <c r="BC3385">
        <v>0.39</v>
      </c>
      <c r="BD3385">
        <v>108.56</v>
      </c>
      <c r="BE3385">
        <v>109.54</v>
      </c>
      <c r="BF3385">
        <v>108.96</v>
      </c>
      <c r="BG3385" t="s">
        <v>28799</v>
      </c>
      <c r="BH3385" t="s">
        <v>898</v>
      </c>
      <c r="BI3385" t="s">
        <v>28800</v>
      </c>
      <c r="BJ3385" t="s">
        <v>101</v>
      </c>
      <c r="BK3385" t="s">
        <v>4729</v>
      </c>
      <c r="BL3385" t="s">
        <v>16906</v>
      </c>
      <c r="BM3385" t="s">
        <v>15587</v>
      </c>
      <c r="BN3385" t="s">
        <v>27621</v>
      </c>
    </row>
    <row r="3386" spans="1:66" x14ac:dyDescent="0.25">
      <c r="A3386" t="str">
        <f>HYPERLINK("https://elite.finviz.com/quote.ashx?t=SAH&amp;ty=c&amp;p=d&amp;b=1", "SAH")</f>
        <v>SAH</v>
      </c>
      <c r="B3386">
        <v>4</v>
      </c>
      <c r="C3386">
        <v>105.92</v>
      </c>
      <c r="D3386">
        <v>36.78</v>
      </c>
      <c r="E3386" t="s">
        <v>28801</v>
      </c>
      <c r="F3386" t="s">
        <v>67</v>
      </c>
      <c r="G3386" t="s">
        <v>813</v>
      </c>
      <c r="H3386" t="s">
        <v>5888</v>
      </c>
      <c r="I3386" t="s">
        <v>70</v>
      </c>
      <c r="J3386" t="s">
        <v>71</v>
      </c>
      <c r="K3386">
        <v>2566.38</v>
      </c>
      <c r="L3386">
        <v>75.150000000000006</v>
      </c>
      <c r="M3386" t="s">
        <v>193</v>
      </c>
      <c r="N3386">
        <v>16017</v>
      </c>
      <c r="O3386">
        <v>16.72</v>
      </c>
      <c r="P3386">
        <v>10.32</v>
      </c>
      <c r="Q3386">
        <v>1.31</v>
      </c>
      <c r="R3386">
        <v>0.17</v>
      </c>
      <c r="S3386">
        <v>2.4900000000000002</v>
      </c>
      <c r="T3386" t="s">
        <v>7338</v>
      </c>
      <c r="U3386">
        <v>1.43</v>
      </c>
      <c r="V3386" t="s">
        <v>3833</v>
      </c>
      <c r="W3386" t="s">
        <v>4114</v>
      </c>
      <c r="X3386" t="s">
        <v>10089</v>
      </c>
      <c r="Y3386" t="s">
        <v>18905</v>
      </c>
      <c r="Z3386" t="s">
        <v>6953</v>
      </c>
      <c r="AA3386">
        <v>4.49</v>
      </c>
      <c r="AB3386" t="s">
        <v>2488</v>
      </c>
      <c r="AC3386" t="s">
        <v>973</v>
      </c>
      <c r="AD3386" t="s">
        <v>7435</v>
      </c>
      <c r="AE3386" t="s">
        <v>2842</v>
      </c>
      <c r="AF3386" t="s">
        <v>2523</v>
      </c>
      <c r="AG3386" t="s">
        <v>713</v>
      </c>
      <c r="AH3386" t="s">
        <v>3204</v>
      </c>
      <c r="AI3386" t="s">
        <v>15396</v>
      </c>
      <c r="AJ3386" t="s">
        <v>2760</v>
      </c>
      <c r="AK3386" t="s">
        <v>4414</v>
      </c>
      <c r="AL3386">
        <v>1.03</v>
      </c>
      <c r="AM3386">
        <v>0.24</v>
      </c>
      <c r="AN3386">
        <v>4.04</v>
      </c>
      <c r="AO3386" t="s">
        <v>2230</v>
      </c>
      <c r="AP3386" t="s">
        <v>2764</v>
      </c>
      <c r="AQ3386" t="s">
        <v>2644</v>
      </c>
      <c r="AR3386" t="s">
        <v>4658</v>
      </c>
      <c r="AS3386" t="s">
        <v>307</v>
      </c>
      <c r="AT3386" t="s">
        <v>4967</v>
      </c>
      <c r="AU3386" t="s">
        <v>8109</v>
      </c>
      <c r="AV3386" t="s">
        <v>12712</v>
      </c>
      <c r="AW3386" t="s">
        <v>8098</v>
      </c>
      <c r="AX3386" t="s">
        <v>7403</v>
      </c>
      <c r="AY3386" t="s">
        <v>2128</v>
      </c>
      <c r="AZ3386" t="s">
        <v>6283</v>
      </c>
      <c r="BA3386">
        <v>2.5</v>
      </c>
      <c r="BB3386">
        <v>222.35</v>
      </c>
      <c r="BC3386">
        <v>0.25</v>
      </c>
      <c r="BD3386">
        <v>74.94</v>
      </c>
      <c r="BE3386">
        <v>75.319999999999993</v>
      </c>
      <c r="BF3386">
        <v>77.05</v>
      </c>
      <c r="BG3386" t="s">
        <v>28802</v>
      </c>
      <c r="BH3386" t="s">
        <v>2128</v>
      </c>
      <c r="BI3386" t="s">
        <v>28803</v>
      </c>
      <c r="BJ3386" t="s">
        <v>101</v>
      </c>
      <c r="BK3386" t="s">
        <v>8262</v>
      </c>
      <c r="BL3386" t="s">
        <v>14389</v>
      </c>
      <c r="BM3386" t="s">
        <v>22206</v>
      </c>
      <c r="BN3386" t="s">
        <v>27621</v>
      </c>
    </row>
    <row r="3387" spans="1:66" x14ac:dyDescent="0.25">
      <c r="A3387" t="str">
        <f>HYPERLINK("https://elite.finviz.com/quote.ashx?t=STKS&amp;ty=c&amp;p=d&amp;b=1", "STKS")</f>
        <v>STKS</v>
      </c>
      <c r="B3387">
        <v>4</v>
      </c>
      <c r="C3387">
        <v>105.92</v>
      </c>
      <c r="D3387">
        <v>36.78</v>
      </c>
      <c r="E3387" t="s">
        <v>28804</v>
      </c>
      <c r="F3387" t="s">
        <v>107</v>
      </c>
      <c r="G3387" t="s">
        <v>813</v>
      </c>
      <c r="H3387" t="s">
        <v>2285</v>
      </c>
      <c r="I3387" t="s">
        <v>70</v>
      </c>
      <c r="J3387" t="s">
        <v>321</v>
      </c>
      <c r="K3387">
        <v>74.760000000000005</v>
      </c>
      <c r="L3387">
        <v>2.41</v>
      </c>
      <c r="M3387" t="s">
        <v>180</v>
      </c>
      <c r="N3387">
        <v>79618</v>
      </c>
      <c r="P3387">
        <v>4.8</v>
      </c>
      <c r="R3387">
        <v>0.09</v>
      </c>
      <c r="S3387">
        <v>3.24</v>
      </c>
      <c r="AA3387">
        <v>-1.49</v>
      </c>
      <c r="AE3387" t="s">
        <v>20100</v>
      </c>
      <c r="AF3387" t="s">
        <v>11919</v>
      </c>
      <c r="AG3387" t="s">
        <v>28805</v>
      </c>
      <c r="AH3387" t="s">
        <v>8365</v>
      </c>
      <c r="AI3387" t="s">
        <v>28806</v>
      </c>
      <c r="AJ3387" t="s">
        <v>6494</v>
      </c>
      <c r="AK3387" t="s">
        <v>6669</v>
      </c>
      <c r="AL3387">
        <v>0.35</v>
      </c>
      <c r="AM3387">
        <v>0.28000000000000003</v>
      </c>
      <c r="AN3387">
        <v>3.24</v>
      </c>
      <c r="AO3387" t="s">
        <v>14731</v>
      </c>
      <c r="AP3387" t="s">
        <v>3389</v>
      </c>
      <c r="AQ3387" t="s">
        <v>5301</v>
      </c>
      <c r="AR3387" t="s">
        <v>2515</v>
      </c>
      <c r="AS3387" t="s">
        <v>4641</v>
      </c>
      <c r="AT3387" t="s">
        <v>14645</v>
      </c>
      <c r="AU3387" t="s">
        <v>12683</v>
      </c>
      <c r="AV3387" t="s">
        <v>24376</v>
      </c>
      <c r="AW3387" t="s">
        <v>28807</v>
      </c>
      <c r="AX3387" t="s">
        <v>4104</v>
      </c>
      <c r="AY3387" t="s">
        <v>28808</v>
      </c>
      <c r="AZ3387" t="s">
        <v>4104</v>
      </c>
      <c r="BA3387">
        <v>1.4</v>
      </c>
      <c r="BB3387">
        <v>164.02</v>
      </c>
      <c r="BC3387">
        <v>1.72</v>
      </c>
      <c r="BD3387">
        <v>2.36</v>
      </c>
      <c r="BE3387">
        <v>2.4500000000000002</v>
      </c>
      <c r="BF3387">
        <v>2.37</v>
      </c>
      <c r="BG3387" t="s">
        <v>28809</v>
      </c>
      <c r="BH3387" t="s">
        <v>8223</v>
      </c>
      <c r="BI3387" t="s">
        <v>28810</v>
      </c>
      <c r="BJ3387" t="s">
        <v>101</v>
      </c>
      <c r="BK3387" t="s">
        <v>20253</v>
      </c>
      <c r="BL3387" t="s">
        <v>12223</v>
      </c>
      <c r="BM3387" t="s">
        <v>28811</v>
      </c>
      <c r="BN3387" t="s">
        <v>27621</v>
      </c>
    </row>
    <row r="3388" spans="1:66" x14ac:dyDescent="0.25">
      <c r="A3388" t="str">
        <f>HYPERLINK("https://elite.finviz.com/quote.ashx?t=ZBRA&amp;ty=c&amp;p=d&amp;b=1", "ZBRA")</f>
        <v>ZBRA</v>
      </c>
      <c r="B3388">
        <v>4</v>
      </c>
      <c r="C3388">
        <v>105.92</v>
      </c>
      <c r="D3388">
        <v>36.78</v>
      </c>
      <c r="E3388" t="s">
        <v>28812</v>
      </c>
      <c r="F3388" t="s">
        <v>195</v>
      </c>
      <c r="G3388" t="s">
        <v>108</v>
      </c>
      <c r="H3388" t="s">
        <v>1921</v>
      </c>
      <c r="I3388" t="s">
        <v>70</v>
      </c>
      <c r="J3388" t="s">
        <v>321</v>
      </c>
      <c r="K3388">
        <v>15141.94</v>
      </c>
      <c r="L3388">
        <v>297.8</v>
      </c>
      <c r="M3388" t="s">
        <v>1510</v>
      </c>
      <c r="N3388">
        <v>102281</v>
      </c>
      <c r="O3388">
        <v>28.14</v>
      </c>
      <c r="P3388">
        <v>17.21</v>
      </c>
      <c r="Q3388">
        <v>2.4300000000000002</v>
      </c>
      <c r="R3388">
        <v>2.92</v>
      </c>
      <c r="S3388">
        <v>4.1900000000000004</v>
      </c>
      <c r="Z3388" t="s">
        <v>164</v>
      </c>
      <c r="AA3388">
        <v>10.58</v>
      </c>
      <c r="AB3388" t="s">
        <v>15457</v>
      </c>
      <c r="AC3388" t="s">
        <v>1409</v>
      </c>
      <c r="AD3388" t="s">
        <v>1675</v>
      </c>
      <c r="AE3388" t="s">
        <v>9557</v>
      </c>
      <c r="AF3388" t="s">
        <v>5621</v>
      </c>
      <c r="AG3388" t="s">
        <v>6003</v>
      </c>
      <c r="AH3388" t="s">
        <v>4114</v>
      </c>
      <c r="AI3388" t="s">
        <v>1515</v>
      </c>
      <c r="AJ3388" t="s">
        <v>2402</v>
      </c>
      <c r="AK3388" t="s">
        <v>16218</v>
      </c>
      <c r="AL3388">
        <v>1.46</v>
      </c>
      <c r="AM3388">
        <v>1.03</v>
      </c>
      <c r="AN3388">
        <v>0.65</v>
      </c>
      <c r="AO3388" t="s">
        <v>21753</v>
      </c>
      <c r="AP3388" t="s">
        <v>23203</v>
      </c>
      <c r="AQ3388" t="s">
        <v>5738</v>
      </c>
      <c r="AR3388" t="s">
        <v>1761</v>
      </c>
      <c r="AS3388" t="s">
        <v>3842</v>
      </c>
      <c r="AT3388" t="s">
        <v>9814</v>
      </c>
      <c r="AU3388" t="s">
        <v>4147</v>
      </c>
      <c r="AV3388" t="s">
        <v>4517</v>
      </c>
      <c r="AW3388" t="s">
        <v>22444</v>
      </c>
      <c r="AX3388" t="s">
        <v>4886</v>
      </c>
      <c r="AY3388" t="s">
        <v>16105</v>
      </c>
      <c r="AZ3388" t="s">
        <v>12402</v>
      </c>
      <c r="BA3388">
        <v>1.95</v>
      </c>
      <c r="BB3388">
        <v>526.94000000000005</v>
      </c>
      <c r="BC3388">
        <v>0.68</v>
      </c>
      <c r="BD3388">
        <v>301.97000000000003</v>
      </c>
      <c r="BE3388">
        <v>303.24</v>
      </c>
      <c r="BF3388">
        <v>297.39999999999998</v>
      </c>
      <c r="BG3388" t="s">
        <v>28813</v>
      </c>
      <c r="BH3388" t="s">
        <v>23818</v>
      </c>
      <c r="BI3388" t="s">
        <v>28814</v>
      </c>
      <c r="BJ3388" t="s">
        <v>101</v>
      </c>
      <c r="BK3388" t="s">
        <v>13981</v>
      </c>
      <c r="BL3388" t="s">
        <v>2810</v>
      </c>
      <c r="BM3388" t="s">
        <v>5570</v>
      </c>
      <c r="BN3388" t="s">
        <v>27621</v>
      </c>
    </row>
    <row r="3389" spans="1:66" x14ac:dyDescent="0.25">
      <c r="A3389" t="str">
        <f>HYPERLINK("https://elite.finviz.com/quote.ashx?t=SBSI&amp;ty=c&amp;p=d&amp;b=1", "SBSI")</f>
        <v>SBSI</v>
      </c>
      <c r="B3389">
        <v>4</v>
      </c>
      <c r="C3389">
        <v>105.92</v>
      </c>
      <c r="D3389">
        <v>36.78</v>
      </c>
      <c r="E3389" t="s">
        <v>28815</v>
      </c>
      <c r="F3389" t="s">
        <v>67</v>
      </c>
      <c r="G3389" t="s">
        <v>550</v>
      </c>
      <c r="H3389" t="s">
        <v>697</v>
      </c>
      <c r="I3389" t="s">
        <v>70</v>
      </c>
      <c r="J3389" t="s">
        <v>71</v>
      </c>
      <c r="K3389">
        <v>869.17</v>
      </c>
      <c r="L3389">
        <v>28.9</v>
      </c>
      <c r="M3389" t="s">
        <v>2717</v>
      </c>
      <c r="N3389">
        <v>9742</v>
      </c>
      <c r="O3389">
        <v>10.26</v>
      </c>
      <c r="P3389">
        <v>9.57</v>
      </c>
      <c r="R3389">
        <v>1.94</v>
      </c>
      <c r="S3389">
        <v>1.36</v>
      </c>
      <c r="T3389" t="s">
        <v>1104</v>
      </c>
      <c r="U3389">
        <v>1.44</v>
      </c>
      <c r="V3389" t="s">
        <v>5037</v>
      </c>
      <c r="W3389" t="s">
        <v>2146</v>
      </c>
      <c r="X3389" t="s">
        <v>170</v>
      </c>
      <c r="Y3389" t="s">
        <v>170</v>
      </c>
      <c r="Z3389" t="s">
        <v>28816</v>
      </c>
      <c r="AA3389">
        <v>2.82</v>
      </c>
      <c r="AB3389" t="s">
        <v>3509</v>
      </c>
      <c r="AC3389" t="s">
        <v>2932</v>
      </c>
      <c r="AE3389" t="s">
        <v>3205</v>
      </c>
      <c r="AF3389" t="s">
        <v>2812</v>
      </c>
      <c r="AG3389" t="s">
        <v>3962</v>
      </c>
      <c r="AH3389" t="s">
        <v>4528</v>
      </c>
      <c r="AI3389" t="s">
        <v>6593</v>
      </c>
      <c r="AJ3389" t="s">
        <v>2215</v>
      </c>
      <c r="AK3389" t="s">
        <v>11748</v>
      </c>
      <c r="AL3389">
        <v>0.23</v>
      </c>
      <c r="AN3389">
        <v>0.96</v>
      </c>
      <c r="AP3389" t="s">
        <v>15814</v>
      </c>
      <c r="AQ3389" t="s">
        <v>4874</v>
      </c>
      <c r="AR3389" t="s">
        <v>744</v>
      </c>
      <c r="AS3389" t="s">
        <v>910</v>
      </c>
      <c r="AT3389" t="s">
        <v>1580</v>
      </c>
      <c r="AU3389" t="s">
        <v>818</v>
      </c>
      <c r="AV3389" t="s">
        <v>7689</v>
      </c>
      <c r="AW3389" t="s">
        <v>13780</v>
      </c>
      <c r="AX3389" t="s">
        <v>3456</v>
      </c>
      <c r="AY3389" t="s">
        <v>24107</v>
      </c>
      <c r="AZ3389" t="s">
        <v>3327</v>
      </c>
      <c r="BA3389">
        <v>3</v>
      </c>
      <c r="BB3389">
        <v>116.83</v>
      </c>
      <c r="BC3389">
        <v>0.28999999999999998</v>
      </c>
      <c r="BD3389">
        <v>28.93</v>
      </c>
      <c r="BE3389">
        <v>29.16</v>
      </c>
      <c r="BF3389">
        <v>28.88</v>
      </c>
      <c r="BG3389" t="s">
        <v>28817</v>
      </c>
      <c r="BH3389" t="s">
        <v>24515</v>
      </c>
      <c r="BI3389" t="s">
        <v>28818</v>
      </c>
      <c r="BJ3389" t="s">
        <v>101</v>
      </c>
      <c r="BK3389" t="s">
        <v>2741</v>
      </c>
      <c r="BL3389" t="s">
        <v>9498</v>
      </c>
      <c r="BM3389" t="s">
        <v>10520</v>
      </c>
      <c r="BN3389" t="s">
        <v>27621</v>
      </c>
    </row>
    <row r="3390" spans="1:66" x14ac:dyDescent="0.25">
      <c r="A3390" t="str">
        <f>HYPERLINK("https://elite.finviz.com/quote.ashx?t=XPEL&amp;ty=c&amp;p=d&amp;b=1", "XPEL")</f>
        <v>XPEL</v>
      </c>
      <c r="B3390">
        <v>4</v>
      </c>
      <c r="C3390">
        <v>105.92</v>
      </c>
      <c r="D3390">
        <v>36.79</v>
      </c>
      <c r="E3390" t="s">
        <v>28819</v>
      </c>
      <c r="F3390" t="s">
        <v>67</v>
      </c>
      <c r="G3390" t="s">
        <v>813</v>
      </c>
      <c r="H3390" t="s">
        <v>814</v>
      </c>
      <c r="I3390" t="s">
        <v>70</v>
      </c>
      <c r="J3390" t="s">
        <v>321</v>
      </c>
      <c r="K3390">
        <v>896.04</v>
      </c>
      <c r="L3390">
        <v>32.380000000000003</v>
      </c>
      <c r="M3390" t="s">
        <v>227</v>
      </c>
      <c r="N3390">
        <v>26311</v>
      </c>
      <c r="O3390">
        <v>18.440000000000001</v>
      </c>
      <c r="P3390">
        <v>15.49</v>
      </c>
      <c r="R3390">
        <v>2</v>
      </c>
      <c r="S3390">
        <v>3.5</v>
      </c>
      <c r="Z3390" t="s">
        <v>164</v>
      </c>
      <c r="AA3390">
        <v>1.76</v>
      </c>
      <c r="AB3390" t="s">
        <v>1116</v>
      </c>
      <c r="AC3390" t="s">
        <v>4934</v>
      </c>
      <c r="AE3390" t="s">
        <v>1064</v>
      </c>
      <c r="AF3390" t="s">
        <v>5003</v>
      </c>
      <c r="AG3390" t="s">
        <v>9373</v>
      </c>
      <c r="AH3390" t="s">
        <v>4390</v>
      </c>
      <c r="AI3390" t="s">
        <v>511</v>
      </c>
      <c r="AJ3390" t="s">
        <v>1648</v>
      </c>
      <c r="AK3390" t="s">
        <v>27164</v>
      </c>
      <c r="AL3390">
        <v>4.42</v>
      </c>
      <c r="AM3390">
        <v>2.09</v>
      </c>
      <c r="AN3390">
        <v>0.09</v>
      </c>
      <c r="AO3390" t="s">
        <v>11819</v>
      </c>
      <c r="AP3390" t="s">
        <v>7727</v>
      </c>
      <c r="AQ3390" t="s">
        <v>6928</v>
      </c>
      <c r="AR3390" t="s">
        <v>6121</v>
      </c>
      <c r="AS3390" t="s">
        <v>2721</v>
      </c>
      <c r="AT3390" t="s">
        <v>6450</v>
      </c>
      <c r="AU3390" t="s">
        <v>7996</v>
      </c>
      <c r="AV3390" t="s">
        <v>501</v>
      </c>
      <c r="AW3390" t="s">
        <v>21423</v>
      </c>
      <c r="AX3390" t="s">
        <v>3244</v>
      </c>
      <c r="AY3390" t="s">
        <v>21244</v>
      </c>
      <c r="AZ3390" t="s">
        <v>4000</v>
      </c>
      <c r="BA3390">
        <v>1</v>
      </c>
      <c r="BB3390">
        <v>205.85</v>
      </c>
      <c r="BC3390">
        <v>0.45</v>
      </c>
      <c r="BD3390">
        <v>32.17</v>
      </c>
      <c r="BE3390">
        <v>33.020000000000003</v>
      </c>
      <c r="BF3390">
        <v>32.090000000000003</v>
      </c>
      <c r="BG3390" t="s">
        <v>28820</v>
      </c>
      <c r="BH3390" t="s">
        <v>14992</v>
      </c>
      <c r="BJ3390" t="s">
        <v>101</v>
      </c>
      <c r="BK3390" t="s">
        <v>3571</v>
      </c>
      <c r="BL3390" t="s">
        <v>648</v>
      </c>
      <c r="BM3390" t="s">
        <v>7158</v>
      </c>
      <c r="BN3390" t="s">
        <v>27621</v>
      </c>
    </row>
    <row r="3391" spans="1:66" x14ac:dyDescent="0.25">
      <c r="A3391" t="str">
        <f>HYPERLINK("https://elite.finviz.com/quote.ashx?t=CAL&amp;ty=c&amp;p=d&amp;b=1", "CAL")</f>
        <v>CAL</v>
      </c>
      <c r="B3391">
        <v>4</v>
      </c>
      <c r="C3391">
        <v>105.92</v>
      </c>
      <c r="D3391">
        <v>36.85</v>
      </c>
      <c r="E3391" t="s">
        <v>28821</v>
      </c>
      <c r="F3391" t="s">
        <v>67</v>
      </c>
      <c r="G3391" t="s">
        <v>813</v>
      </c>
      <c r="H3391" t="s">
        <v>4488</v>
      </c>
      <c r="I3391" t="s">
        <v>70</v>
      </c>
      <c r="J3391" t="s">
        <v>71</v>
      </c>
      <c r="K3391">
        <v>453.16</v>
      </c>
      <c r="L3391">
        <v>13.39</v>
      </c>
      <c r="M3391" t="s">
        <v>1763</v>
      </c>
      <c r="N3391">
        <v>70346</v>
      </c>
      <c r="O3391">
        <v>7.69</v>
      </c>
      <c r="P3391">
        <v>5.13</v>
      </c>
      <c r="R3391">
        <v>0.17</v>
      </c>
      <c r="S3391">
        <v>0.74</v>
      </c>
      <c r="T3391" t="s">
        <v>3671</v>
      </c>
      <c r="U3391">
        <v>0.28000000000000003</v>
      </c>
      <c r="V3391" t="s">
        <v>2620</v>
      </c>
      <c r="W3391" t="s">
        <v>164</v>
      </c>
      <c r="X3391" t="s">
        <v>164</v>
      </c>
      <c r="Y3391" t="s">
        <v>164</v>
      </c>
      <c r="Z3391" t="s">
        <v>2093</v>
      </c>
      <c r="AA3391">
        <v>1.74</v>
      </c>
      <c r="AB3391" t="s">
        <v>103</v>
      </c>
      <c r="AC3391" t="s">
        <v>7683</v>
      </c>
      <c r="AD3391" t="s">
        <v>14331</v>
      </c>
      <c r="AE3391" t="s">
        <v>12259</v>
      </c>
      <c r="AF3391" t="s">
        <v>2331</v>
      </c>
      <c r="AG3391" t="s">
        <v>7598</v>
      </c>
      <c r="AH3391" t="s">
        <v>3114</v>
      </c>
      <c r="AI3391" t="s">
        <v>23830</v>
      </c>
      <c r="AJ3391" t="s">
        <v>1279</v>
      </c>
      <c r="AK3391" t="s">
        <v>28822</v>
      </c>
      <c r="AL3391">
        <v>1.08</v>
      </c>
      <c r="AM3391">
        <v>0.4</v>
      </c>
      <c r="AN3391">
        <v>1.58</v>
      </c>
      <c r="AO3391" t="s">
        <v>11421</v>
      </c>
      <c r="AP3391" t="s">
        <v>5026</v>
      </c>
      <c r="AQ3391" t="s">
        <v>3544</v>
      </c>
      <c r="AR3391" t="s">
        <v>10226</v>
      </c>
      <c r="AS3391" t="s">
        <v>6525</v>
      </c>
      <c r="AT3391" t="s">
        <v>8382</v>
      </c>
      <c r="AU3391" t="s">
        <v>20212</v>
      </c>
      <c r="AV3391" t="s">
        <v>28823</v>
      </c>
      <c r="AW3391" t="s">
        <v>18694</v>
      </c>
      <c r="AX3391" t="s">
        <v>2523</v>
      </c>
      <c r="AY3391" t="s">
        <v>27272</v>
      </c>
      <c r="AZ3391" t="s">
        <v>177</v>
      </c>
      <c r="BA3391">
        <v>2</v>
      </c>
      <c r="BB3391">
        <v>787.95</v>
      </c>
      <c r="BC3391">
        <v>0.32</v>
      </c>
      <c r="BD3391">
        <v>13.31</v>
      </c>
      <c r="BE3391">
        <v>13.45</v>
      </c>
      <c r="BF3391">
        <v>13.25</v>
      </c>
      <c r="BG3391" t="s">
        <v>28824</v>
      </c>
      <c r="BH3391" t="s">
        <v>28825</v>
      </c>
      <c r="BI3391" t="s">
        <v>28826</v>
      </c>
      <c r="BJ3391" t="s">
        <v>101</v>
      </c>
      <c r="BK3391" t="s">
        <v>11629</v>
      </c>
      <c r="BL3391" t="s">
        <v>24524</v>
      </c>
      <c r="BM3391" t="s">
        <v>28827</v>
      </c>
      <c r="BN3391" t="s">
        <v>27621</v>
      </c>
    </row>
    <row r="3392" spans="1:66" x14ac:dyDescent="0.25">
      <c r="A3392" t="str">
        <f>HYPERLINK("https://elite.finviz.com/quote.ashx?t=CHEF&amp;ty=c&amp;p=d&amp;b=1", "CHEF")</f>
        <v>CHEF</v>
      </c>
      <c r="B3392">
        <v>4</v>
      </c>
      <c r="C3392">
        <v>105.92</v>
      </c>
      <c r="D3392">
        <v>36.86</v>
      </c>
      <c r="E3392" t="s">
        <v>28828</v>
      </c>
      <c r="F3392" t="s">
        <v>67</v>
      </c>
      <c r="G3392" t="s">
        <v>2244</v>
      </c>
      <c r="H3392" t="s">
        <v>6825</v>
      </c>
      <c r="I3392" t="s">
        <v>70</v>
      </c>
      <c r="J3392" t="s">
        <v>321</v>
      </c>
      <c r="K3392">
        <v>2406.62</v>
      </c>
      <c r="L3392">
        <v>59.04</v>
      </c>
      <c r="M3392" t="s">
        <v>3113</v>
      </c>
      <c r="N3392">
        <v>76414</v>
      </c>
      <c r="O3392">
        <v>36.44</v>
      </c>
      <c r="P3392">
        <v>27.39</v>
      </c>
      <c r="Q3392">
        <v>1.75</v>
      </c>
      <c r="R3392">
        <v>0.61</v>
      </c>
      <c r="S3392">
        <v>4.3099999999999996</v>
      </c>
      <c r="Z3392" t="s">
        <v>164</v>
      </c>
      <c r="AA3392">
        <v>1.62</v>
      </c>
      <c r="AC3392" t="s">
        <v>8240</v>
      </c>
      <c r="AD3392" t="s">
        <v>6969</v>
      </c>
      <c r="AE3392" t="s">
        <v>3982</v>
      </c>
      <c r="AF3392" t="s">
        <v>13085</v>
      </c>
      <c r="AG3392" t="s">
        <v>8982</v>
      </c>
      <c r="AH3392" t="s">
        <v>1252</v>
      </c>
      <c r="AI3392" t="s">
        <v>2291</v>
      </c>
      <c r="AJ3392" t="s">
        <v>2486</v>
      </c>
      <c r="AK3392" t="s">
        <v>21979</v>
      </c>
      <c r="AL3392">
        <v>2.0099999999999998</v>
      </c>
      <c r="AM3392">
        <v>1.17</v>
      </c>
      <c r="AN3392">
        <v>1.67</v>
      </c>
      <c r="AO3392" t="s">
        <v>14831</v>
      </c>
      <c r="AP3392" t="s">
        <v>903</v>
      </c>
      <c r="AQ3392" t="s">
        <v>5084</v>
      </c>
      <c r="AR3392" t="s">
        <v>165</v>
      </c>
      <c r="AS3392" t="s">
        <v>911</v>
      </c>
      <c r="AT3392" t="s">
        <v>5428</v>
      </c>
      <c r="AU3392" t="s">
        <v>7557</v>
      </c>
      <c r="AV3392" t="s">
        <v>2642</v>
      </c>
      <c r="AW3392" t="s">
        <v>4521</v>
      </c>
      <c r="AX3392" t="s">
        <v>1657</v>
      </c>
      <c r="AY3392" t="s">
        <v>4521</v>
      </c>
      <c r="AZ3392" t="s">
        <v>15665</v>
      </c>
      <c r="BA3392">
        <v>1.25</v>
      </c>
      <c r="BB3392">
        <v>490.39</v>
      </c>
      <c r="BC3392">
        <v>0.55000000000000004</v>
      </c>
      <c r="BD3392">
        <v>59.64</v>
      </c>
      <c r="BE3392">
        <v>59.62</v>
      </c>
      <c r="BF3392">
        <v>58.96</v>
      </c>
      <c r="BG3392" t="s">
        <v>28829</v>
      </c>
      <c r="BH3392" t="s">
        <v>4521</v>
      </c>
      <c r="BI3392" t="s">
        <v>28830</v>
      </c>
      <c r="BJ3392" t="s">
        <v>101</v>
      </c>
      <c r="BK3392" t="s">
        <v>9704</v>
      </c>
      <c r="BL3392" t="s">
        <v>1064</v>
      </c>
      <c r="BM3392" t="s">
        <v>1172</v>
      </c>
      <c r="BN3392" t="s">
        <v>27621</v>
      </c>
    </row>
    <row r="3393" spans="1:66" x14ac:dyDescent="0.25">
      <c r="A3393" t="str">
        <f>HYPERLINK("https://elite.finviz.com/quote.ashx?t=BLD&amp;ty=c&amp;p=d&amp;b=1", "BLD")</f>
        <v>BLD</v>
      </c>
      <c r="B3393">
        <v>4</v>
      </c>
      <c r="C3393">
        <v>105.92</v>
      </c>
      <c r="D3393">
        <v>36.89</v>
      </c>
      <c r="E3393" t="s">
        <v>28831</v>
      </c>
      <c r="F3393" t="s">
        <v>107</v>
      </c>
      <c r="G3393" t="s">
        <v>260</v>
      </c>
      <c r="H3393" t="s">
        <v>2944</v>
      </c>
      <c r="I3393" t="s">
        <v>70</v>
      </c>
      <c r="J3393" t="s">
        <v>71</v>
      </c>
      <c r="K3393">
        <v>10976.68</v>
      </c>
      <c r="L3393">
        <v>390.09</v>
      </c>
      <c r="M3393" t="s">
        <v>3871</v>
      </c>
      <c r="N3393">
        <v>30844</v>
      </c>
      <c r="O3393">
        <v>19.22</v>
      </c>
      <c r="P3393">
        <v>18.010000000000002</v>
      </c>
      <c r="Q3393">
        <v>4.53</v>
      </c>
      <c r="R3393">
        <v>2.1</v>
      </c>
      <c r="S3393">
        <v>5.14</v>
      </c>
      <c r="Z3393" t="s">
        <v>164</v>
      </c>
      <c r="AA3393">
        <v>20.3</v>
      </c>
      <c r="AB3393" t="s">
        <v>3685</v>
      </c>
      <c r="AC3393" t="s">
        <v>11323</v>
      </c>
      <c r="AD3393" t="s">
        <v>3519</v>
      </c>
      <c r="AE3393" t="s">
        <v>1226</v>
      </c>
      <c r="AF3393" t="s">
        <v>10303</v>
      </c>
      <c r="AG3393" t="s">
        <v>663</v>
      </c>
      <c r="AH3393" t="s">
        <v>10175</v>
      </c>
      <c r="AI3393" t="s">
        <v>165</v>
      </c>
      <c r="AJ3393" t="s">
        <v>3408</v>
      </c>
      <c r="AK3393" t="s">
        <v>28832</v>
      </c>
      <c r="AL3393">
        <v>2.83</v>
      </c>
      <c r="AM3393">
        <v>2.29</v>
      </c>
      <c r="AN3393">
        <v>0.97</v>
      </c>
      <c r="AO3393" t="s">
        <v>5538</v>
      </c>
      <c r="AP3393" t="s">
        <v>16280</v>
      </c>
      <c r="AQ3393" t="s">
        <v>7605</v>
      </c>
      <c r="AR3393" t="s">
        <v>179</v>
      </c>
      <c r="AS3393" t="s">
        <v>1776</v>
      </c>
      <c r="AT3393" t="s">
        <v>7074</v>
      </c>
      <c r="AU3393" t="s">
        <v>5639</v>
      </c>
      <c r="AV3393" t="s">
        <v>11062</v>
      </c>
      <c r="AW3393" t="s">
        <v>23652</v>
      </c>
      <c r="AX3393" t="s">
        <v>1115</v>
      </c>
      <c r="AY3393" t="s">
        <v>23652</v>
      </c>
      <c r="AZ3393" t="s">
        <v>1385</v>
      </c>
      <c r="BA3393">
        <v>1.57</v>
      </c>
      <c r="BB3393">
        <v>397.39</v>
      </c>
      <c r="BC3393">
        <v>0.27</v>
      </c>
      <c r="BD3393">
        <v>387.31</v>
      </c>
      <c r="BE3393">
        <v>391.58</v>
      </c>
      <c r="BF3393">
        <v>386.88</v>
      </c>
      <c r="BG3393" t="s">
        <v>28833</v>
      </c>
      <c r="BH3393" t="s">
        <v>15495</v>
      </c>
      <c r="BI3393" t="s">
        <v>28834</v>
      </c>
      <c r="BJ3393" t="s">
        <v>101</v>
      </c>
      <c r="BK3393" t="s">
        <v>2710</v>
      </c>
      <c r="BL3393" t="s">
        <v>15421</v>
      </c>
      <c r="BM3393" t="s">
        <v>4645</v>
      </c>
      <c r="BN3393" t="s">
        <v>27621</v>
      </c>
    </row>
    <row r="3394" spans="1:66" x14ac:dyDescent="0.25">
      <c r="A3394" t="str">
        <f>HYPERLINK("https://elite.finviz.com/quote.ashx?t=GORV&amp;ty=c&amp;p=d&amp;b=1", "GORV")</f>
        <v>GORV</v>
      </c>
      <c r="B3394">
        <v>4</v>
      </c>
      <c r="C3394">
        <v>105.92</v>
      </c>
      <c r="D3394">
        <v>36.9</v>
      </c>
      <c r="E3394" t="s">
        <v>28835</v>
      </c>
      <c r="F3394" t="s">
        <v>107</v>
      </c>
      <c r="G3394" t="s">
        <v>813</v>
      </c>
      <c r="H3394" t="s">
        <v>5888</v>
      </c>
      <c r="I3394" t="s">
        <v>70</v>
      </c>
      <c r="J3394" t="s">
        <v>321</v>
      </c>
      <c r="K3394">
        <v>8.44</v>
      </c>
      <c r="L3394">
        <v>2.2599999999999998</v>
      </c>
      <c r="M3394" t="s">
        <v>4559</v>
      </c>
      <c r="N3394">
        <v>13412</v>
      </c>
      <c r="R3394">
        <v>0.01</v>
      </c>
      <c r="S3394">
        <v>0.15</v>
      </c>
      <c r="AA3394">
        <v>-122.06</v>
      </c>
      <c r="AC3394" t="s">
        <v>28836</v>
      </c>
      <c r="AE3394" t="s">
        <v>5905</v>
      </c>
      <c r="AF3394" t="s">
        <v>10855</v>
      </c>
      <c r="AG3394" t="s">
        <v>8925</v>
      </c>
      <c r="AH3394" t="s">
        <v>28837</v>
      </c>
      <c r="AJ3394" t="s">
        <v>164</v>
      </c>
      <c r="AK3394" t="s">
        <v>12013</v>
      </c>
      <c r="AL3394">
        <v>0.91</v>
      </c>
      <c r="AM3394">
        <v>0.23</v>
      </c>
      <c r="AN3394">
        <v>5.84</v>
      </c>
      <c r="AO3394" t="s">
        <v>12922</v>
      </c>
      <c r="AP3394" t="s">
        <v>1821</v>
      </c>
      <c r="AQ3394" t="s">
        <v>22937</v>
      </c>
      <c r="AR3394" t="s">
        <v>2653</v>
      </c>
      <c r="AS3394" t="s">
        <v>5761</v>
      </c>
      <c r="AT3394" t="s">
        <v>4217</v>
      </c>
      <c r="AU3394" t="s">
        <v>28145</v>
      </c>
      <c r="AV3394" t="s">
        <v>6717</v>
      </c>
      <c r="AW3394" t="s">
        <v>28838</v>
      </c>
      <c r="AX3394" t="s">
        <v>2794</v>
      </c>
      <c r="AY3394" t="s">
        <v>28839</v>
      </c>
      <c r="AZ3394" t="s">
        <v>2794</v>
      </c>
      <c r="BA3394">
        <v>3</v>
      </c>
      <c r="BB3394">
        <v>506.56</v>
      </c>
      <c r="BC3394">
        <v>0.09</v>
      </c>
      <c r="BD3394">
        <v>2.37</v>
      </c>
      <c r="BE3394">
        <v>2.4</v>
      </c>
      <c r="BF3394">
        <v>2.2400000000000002</v>
      </c>
      <c r="BG3394" t="s">
        <v>28840</v>
      </c>
      <c r="BH3394" t="s">
        <v>7427</v>
      </c>
      <c r="BI3394" t="s">
        <v>2794</v>
      </c>
      <c r="BJ3394" t="s">
        <v>101</v>
      </c>
      <c r="BK3394" t="s">
        <v>19003</v>
      </c>
      <c r="BL3394" t="s">
        <v>28841</v>
      </c>
      <c r="BM3394" t="s">
        <v>28842</v>
      </c>
      <c r="BN3394" t="s">
        <v>27621</v>
      </c>
    </row>
    <row r="3395" spans="1:66" x14ac:dyDescent="0.25">
      <c r="A3395" t="str">
        <f>HYPERLINK("https://elite.finviz.com/quote.ashx?t=ROP&amp;ty=c&amp;p=d&amp;b=1", "ROP")</f>
        <v>ROP</v>
      </c>
      <c r="B3395">
        <v>4</v>
      </c>
      <c r="C3395">
        <v>105.92</v>
      </c>
      <c r="D3395">
        <v>36.909999999999997</v>
      </c>
      <c r="E3395" t="s">
        <v>28843</v>
      </c>
      <c r="F3395" t="s">
        <v>319</v>
      </c>
      <c r="G3395" t="s">
        <v>108</v>
      </c>
      <c r="H3395" t="s">
        <v>136</v>
      </c>
      <c r="I3395" t="s">
        <v>70</v>
      </c>
      <c r="J3395" t="s">
        <v>321</v>
      </c>
      <c r="K3395">
        <v>53613.21</v>
      </c>
      <c r="L3395">
        <v>498.2</v>
      </c>
      <c r="M3395" t="s">
        <v>3463</v>
      </c>
      <c r="N3395">
        <v>66244</v>
      </c>
      <c r="O3395">
        <v>35.01</v>
      </c>
      <c r="P3395">
        <v>22.86</v>
      </c>
      <c r="Q3395">
        <v>3.89</v>
      </c>
      <c r="R3395">
        <v>7.18</v>
      </c>
      <c r="S3395">
        <v>2.72</v>
      </c>
      <c r="T3395" t="s">
        <v>1763</v>
      </c>
      <c r="U3395">
        <v>3.22</v>
      </c>
      <c r="V3395" t="s">
        <v>4105</v>
      </c>
      <c r="W3395" t="s">
        <v>3962</v>
      </c>
      <c r="X3395" t="s">
        <v>1115</v>
      </c>
      <c r="Y3395" t="s">
        <v>4852</v>
      </c>
      <c r="Z3395" t="s">
        <v>3858</v>
      </c>
      <c r="AA3395">
        <v>14.23</v>
      </c>
      <c r="AB3395" t="s">
        <v>8530</v>
      </c>
      <c r="AC3395" t="s">
        <v>7907</v>
      </c>
      <c r="AD3395" t="s">
        <v>1133</v>
      </c>
      <c r="AE3395" t="s">
        <v>8916</v>
      </c>
      <c r="AF3395" t="s">
        <v>1777</v>
      </c>
      <c r="AG3395" t="s">
        <v>3057</v>
      </c>
      <c r="AH3395" t="s">
        <v>2948</v>
      </c>
      <c r="AI3395" t="s">
        <v>84</v>
      </c>
      <c r="AJ3395" t="s">
        <v>3495</v>
      </c>
      <c r="AK3395" t="s">
        <v>7451</v>
      </c>
      <c r="AL3395">
        <v>0.46</v>
      </c>
      <c r="AM3395">
        <v>0.43</v>
      </c>
      <c r="AN3395">
        <v>0.45</v>
      </c>
      <c r="AO3395" t="s">
        <v>365</v>
      </c>
      <c r="AP3395" t="s">
        <v>2389</v>
      </c>
      <c r="AQ3395" t="s">
        <v>4607</v>
      </c>
      <c r="AR3395" t="s">
        <v>2082</v>
      </c>
      <c r="AS3395" t="s">
        <v>192</v>
      </c>
      <c r="AT3395" t="s">
        <v>9085</v>
      </c>
      <c r="AU3395" t="s">
        <v>4691</v>
      </c>
      <c r="AV3395" t="s">
        <v>5767</v>
      </c>
      <c r="AW3395" t="s">
        <v>5194</v>
      </c>
      <c r="AX3395" t="s">
        <v>6155</v>
      </c>
      <c r="AY3395" t="s">
        <v>8450</v>
      </c>
      <c r="AZ3395" t="s">
        <v>6155</v>
      </c>
      <c r="BA3395">
        <v>1.9</v>
      </c>
      <c r="BB3395">
        <v>747.05</v>
      </c>
      <c r="BC3395">
        <v>0.31</v>
      </c>
      <c r="BD3395">
        <v>495.03</v>
      </c>
      <c r="BE3395">
        <v>498.98</v>
      </c>
      <c r="BF3395">
        <v>494.53</v>
      </c>
      <c r="BG3395" t="s">
        <v>28844</v>
      </c>
      <c r="BH3395" t="s">
        <v>8450</v>
      </c>
      <c r="BI3395" t="s">
        <v>28845</v>
      </c>
      <c r="BJ3395" t="s">
        <v>101</v>
      </c>
      <c r="BK3395" t="s">
        <v>612</v>
      </c>
      <c r="BL3395" t="s">
        <v>16988</v>
      </c>
      <c r="BM3395" t="s">
        <v>3338</v>
      </c>
      <c r="BN3395" t="s">
        <v>27621</v>
      </c>
    </row>
    <row r="3396" spans="1:66" x14ac:dyDescent="0.25">
      <c r="A3396" t="str">
        <f>HYPERLINK("https://elite.finviz.com/quote.ashx?t=VCEL&amp;ty=c&amp;p=d&amp;b=1", "VCEL")</f>
        <v>VCEL</v>
      </c>
      <c r="B3396">
        <v>4</v>
      </c>
      <c r="C3396">
        <v>105.92</v>
      </c>
      <c r="D3396">
        <v>36.92</v>
      </c>
      <c r="E3396" t="s">
        <v>28846</v>
      </c>
      <c r="F3396" t="s">
        <v>67</v>
      </c>
      <c r="G3396" t="s">
        <v>428</v>
      </c>
      <c r="H3396" t="s">
        <v>429</v>
      </c>
      <c r="I3396" t="s">
        <v>70</v>
      </c>
      <c r="J3396" t="s">
        <v>321</v>
      </c>
      <c r="K3396">
        <v>1501.81</v>
      </c>
      <c r="L3396">
        <v>29.76</v>
      </c>
      <c r="M3396" t="s">
        <v>2402</v>
      </c>
      <c r="N3396">
        <v>66657</v>
      </c>
      <c r="O3396">
        <v>238.67</v>
      </c>
      <c r="P3396">
        <v>51.61</v>
      </c>
      <c r="Q3396">
        <v>3.28</v>
      </c>
      <c r="R3396">
        <v>6.03</v>
      </c>
      <c r="S3396">
        <v>4.8899999999999997</v>
      </c>
      <c r="Z3396" t="s">
        <v>164</v>
      </c>
      <c r="AA3396">
        <v>0.12</v>
      </c>
      <c r="AD3396" t="s">
        <v>8453</v>
      </c>
      <c r="AE3396" t="s">
        <v>14962</v>
      </c>
      <c r="AF3396" t="s">
        <v>3774</v>
      </c>
      <c r="AG3396" t="s">
        <v>6201</v>
      </c>
      <c r="AH3396" t="s">
        <v>12771</v>
      </c>
      <c r="AI3396" t="s">
        <v>28847</v>
      </c>
      <c r="AJ3396" t="s">
        <v>20101</v>
      </c>
      <c r="AK3396" t="s">
        <v>5183</v>
      </c>
      <c r="AL3396">
        <v>4.97</v>
      </c>
      <c r="AM3396">
        <v>4.5599999999999996</v>
      </c>
      <c r="AN3396">
        <v>0.33</v>
      </c>
      <c r="AO3396" t="s">
        <v>28848</v>
      </c>
      <c r="AP3396" t="s">
        <v>4801</v>
      </c>
      <c r="AQ3396" t="s">
        <v>205</v>
      </c>
      <c r="AR3396" t="s">
        <v>4394</v>
      </c>
      <c r="AS3396" t="s">
        <v>3545</v>
      </c>
      <c r="AT3396" t="s">
        <v>8230</v>
      </c>
      <c r="AU3396" t="s">
        <v>20586</v>
      </c>
      <c r="AV3396" t="s">
        <v>17589</v>
      </c>
      <c r="AW3396" t="s">
        <v>20996</v>
      </c>
      <c r="AX3396" t="s">
        <v>2201</v>
      </c>
      <c r="AY3396" t="s">
        <v>5402</v>
      </c>
      <c r="AZ3396" t="s">
        <v>2201</v>
      </c>
      <c r="BA3396">
        <v>1.25</v>
      </c>
      <c r="BB3396">
        <v>696.13</v>
      </c>
      <c r="BC3396">
        <v>0.34</v>
      </c>
      <c r="BD3396">
        <v>29.84</v>
      </c>
      <c r="BE3396">
        <v>30.07</v>
      </c>
      <c r="BF3396">
        <v>29.66</v>
      </c>
      <c r="BG3396" t="s">
        <v>28849</v>
      </c>
      <c r="BH3396" t="s">
        <v>17985</v>
      </c>
      <c r="BI3396" t="s">
        <v>28850</v>
      </c>
      <c r="BJ3396" t="s">
        <v>101</v>
      </c>
      <c r="BK3396" t="s">
        <v>28851</v>
      </c>
      <c r="BL3396" t="s">
        <v>9904</v>
      </c>
      <c r="BM3396" t="s">
        <v>17589</v>
      </c>
      <c r="BN3396" t="s">
        <v>27621</v>
      </c>
    </row>
    <row r="3397" spans="1:66" x14ac:dyDescent="0.25">
      <c r="A3397" t="str">
        <f>HYPERLINK("https://elite.finviz.com/quote.ashx?t=HNNA&amp;ty=c&amp;p=d&amp;b=1", "HNNA")</f>
        <v>HNNA</v>
      </c>
      <c r="B3397">
        <v>4</v>
      </c>
      <c r="C3397">
        <v>105.92</v>
      </c>
      <c r="D3397">
        <v>36.950000000000003</v>
      </c>
      <c r="E3397" t="s">
        <v>28852</v>
      </c>
      <c r="F3397" t="s">
        <v>107</v>
      </c>
      <c r="G3397" t="s">
        <v>550</v>
      </c>
      <c r="H3397" t="s">
        <v>2597</v>
      </c>
      <c r="I3397" t="s">
        <v>70</v>
      </c>
      <c r="J3397" t="s">
        <v>321</v>
      </c>
      <c r="K3397">
        <v>82.4</v>
      </c>
      <c r="L3397">
        <v>10.58</v>
      </c>
      <c r="M3397" t="s">
        <v>12781</v>
      </c>
      <c r="N3397">
        <v>898</v>
      </c>
      <c r="O3397">
        <v>8.44</v>
      </c>
      <c r="R3397">
        <v>2.2999999999999998</v>
      </c>
      <c r="S3397">
        <v>0.85</v>
      </c>
      <c r="T3397" t="s">
        <v>4173</v>
      </c>
      <c r="U3397">
        <v>0.55000000000000004</v>
      </c>
      <c r="V3397" t="s">
        <v>5737</v>
      </c>
      <c r="W3397" t="s">
        <v>164</v>
      </c>
      <c r="X3397" t="s">
        <v>164</v>
      </c>
      <c r="Y3397" t="s">
        <v>1391</v>
      </c>
      <c r="Z3397" t="s">
        <v>5821</v>
      </c>
      <c r="AA3397">
        <v>1.25</v>
      </c>
      <c r="AB3397" t="s">
        <v>18188</v>
      </c>
      <c r="AC3397" t="s">
        <v>11615</v>
      </c>
      <c r="AE3397" t="s">
        <v>8736</v>
      </c>
      <c r="AF3397" t="s">
        <v>3814</v>
      </c>
      <c r="AG3397" t="s">
        <v>972</v>
      </c>
      <c r="AH3397" t="s">
        <v>2941</v>
      </c>
      <c r="AI3397" t="s">
        <v>7956</v>
      </c>
      <c r="AJ3397" t="s">
        <v>10852</v>
      </c>
      <c r="AK3397" t="s">
        <v>11292</v>
      </c>
      <c r="AL3397">
        <v>15.58</v>
      </c>
      <c r="AM3397">
        <v>15.58</v>
      </c>
      <c r="AN3397">
        <v>0.42</v>
      </c>
      <c r="AO3397" t="s">
        <v>4359</v>
      </c>
      <c r="AP3397" t="s">
        <v>14051</v>
      </c>
      <c r="AQ3397" t="s">
        <v>4332</v>
      </c>
      <c r="AR3397" t="s">
        <v>4403</v>
      </c>
      <c r="AS3397" t="s">
        <v>6404</v>
      </c>
      <c r="AT3397" t="s">
        <v>2467</v>
      </c>
      <c r="AU3397" t="s">
        <v>481</v>
      </c>
      <c r="AV3397" t="s">
        <v>14732</v>
      </c>
      <c r="AW3397" t="s">
        <v>10021</v>
      </c>
      <c r="AX3397" t="s">
        <v>6937</v>
      </c>
      <c r="AY3397" t="s">
        <v>11305</v>
      </c>
      <c r="AZ3397" t="s">
        <v>20629</v>
      </c>
      <c r="BA3397">
        <v>1</v>
      </c>
      <c r="BB3397">
        <v>10.029999999999999</v>
      </c>
      <c r="BC3397">
        <v>0.32</v>
      </c>
      <c r="BD3397">
        <v>10.84</v>
      </c>
      <c r="BE3397">
        <v>10.98</v>
      </c>
      <c r="BF3397">
        <v>10.55</v>
      </c>
      <c r="BG3397" t="s">
        <v>28853</v>
      </c>
      <c r="BH3397" t="s">
        <v>28854</v>
      </c>
      <c r="BI3397" t="s">
        <v>28855</v>
      </c>
      <c r="BJ3397" t="s">
        <v>101</v>
      </c>
      <c r="BK3397" t="s">
        <v>11699</v>
      </c>
      <c r="BL3397" t="s">
        <v>7388</v>
      </c>
      <c r="BM3397" t="s">
        <v>3432</v>
      </c>
      <c r="BN3397" t="s">
        <v>27621</v>
      </c>
    </row>
    <row r="3398" spans="1:66" x14ac:dyDescent="0.25">
      <c r="A3398" t="str">
        <f>HYPERLINK("https://elite.finviz.com/quote.ashx?t=BZFD&amp;ty=c&amp;p=d&amp;b=1", "BZFD")</f>
        <v>BZFD</v>
      </c>
      <c r="B3398">
        <v>4</v>
      </c>
      <c r="C3398">
        <v>105.92</v>
      </c>
      <c r="D3398">
        <v>36.979999999999997</v>
      </c>
      <c r="E3398" t="s">
        <v>28856</v>
      </c>
      <c r="F3398" t="s">
        <v>107</v>
      </c>
      <c r="G3398" t="s">
        <v>598</v>
      </c>
      <c r="H3398" t="s">
        <v>599</v>
      </c>
      <c r="I3398" t="s">
        <v>70</v>
      </c>
      <c r="J3398" t="s">
        <v>321</v>
      </c>
      <c r="K3398">
        <v>64.260000000000005</v>
      </c>
      <c r="L3398">
        <v>1.74</v>
      </c>
      <c r="M3398" t="s">
        <v>2646</v>
      </c>
      <c r="N3398">
        <v>38833</v>
      </c>
      <c r="R3398">
        <v>0.28999999999999998</v>
      </c>
      <c r="S3398">
        <v>0.75</v>
      </c>
      <c r="AA3398">
        <v>-1.43</v>
      </c>
      <c r="AE3398" t="s">
        <v>16359</v>
      </c>
      <c r="AF3398" t="s">
        <v>11348</v>
      </c>
      <c r="AH3398" t="s">
        <v>927</v>
      </c>
      <c r="AI3398" t="s">
        <v>2930</v>
      </c>
      <c r="AJ3398" t="s">
        <v>345</v>
      </c>
      <c r="AK3398" t="s">
        <v>847</v>
      </c>
      <c r="AL3398">
        <v>1.23</v>
      </c>
      <c r="AM3398">
        <v>1.23</v>
      </c>
      <c r="AN3398">
        <v>1.02</v>
      </c>
      <c r="AO3398" t="s">
        <v>12857</v>
      </c>
      <c r="AP3398" t="s">
        <v>5641</v>
      </c>
      <c r="AQ3398" t="s">
        <v>14823</v>
      </c>
      <c r="AR3398" t="s">
        <v>1091</v>
      </c>
      <c r="AS3398" t="s">
        <v>4173</v>
      </c>
      <c r="AT3398" t="s">
        <v>10591</v>
      </c>
      <c r="AU3398" t="s">
        <v>12683</v>
      </c>
      <c r="AV3398" t="s">
        <v>881</v>
      </c>
      <c r="AW3398" t="s">
        <v>24688</v>
      </c>
      <c r="AX3398" t="s">
        <v>5263</v>
      </c>
      <c r="AY3398" t="s">
        <v>28857</v>
      </c>
      <c r="AZ3398" t="s">
        <v>4114</v>
      </c>
      <c r="BA3398">
        <v>1</v>
      </c>
      <c r="BB3398">
        <v>278.7</v>
      </c>
      <c r="BC3398">
        <v>0.5</v>
      </c>
      <c r="BD3398">
        <v>1.73</v>
      </c>
      <c r="BE3398">
        <v>1.76</v>
      </c>
      <c r="BF3398">
        <v>1.72</v>
      </c>
      <c r="BG3398" t="s">
        <v>28858</v>
      </c>
      <c r="BH3398" t="s">
        <v>23730</v>
      </c>
      <c r="BI3398" t="s">
        <v>28859</v>
      </c>
      <c r="BJ3398" t="s">
        <v>101</v>
      </c>
      <c r="BK3398" t="s">
        <v>9829</v>
      </c>
      <c r="BL3398" t="s">
        <v>28860</v>
      </c>
      <c r="BM3398" t="s">
        <v>17876</v>
      </c>
      <c r="BN3398" t="s">
        <v>27621</v>
      </c>
    </row>
    <row r="3399" spans="1:66" x14ac:dyDescent="0.25">
      <c r="A3399" t="str">
        <f>HYPERLINK("https://elite.finviz.com/quote.ashx?t=OSK&amp;ty=c&amp;p=d&amp;b=1", "OSK")</f>
        <v>OSK</v>
      </c>
      <c r="B3399">
        <v>4</v>
      </c>
      <c r="C3399">
        <v>105.92</v>
      </c>
      <c r="D3399">
        <v>36.99</v>
      </c>
      <c r="E3399" t="s">
        <v>28861</v>
      </c>
      <c r="F3399" t="s">
        <v>107</v>
      </c>
      <c r="G3399" t="s">
        <v>260</v>
      </c>
      <c r="H3399" t="s">
        <v>320</v>
      </c>
      <c r="I3399" t="s">
        <v>70</v>
      </c>
      <c r="J3399" t="s">
        <v>71</v>
      </c>
      <c r="K3399">
        <v>8247.08</v>
      </c>
      <c r="L3399">
        <v>128.86000000000001</v>
      </c>
      <c r="M3399" t="s">
        <v>344</v>
      </c>
      <c r="N3399">
        <v>51115</v>
      </c>
      <c r="O3399">
        <v>12.93</v>
      </c>
      <c r="P3399">
        <v>9.99</v>
      </c>
      <c r="Q3399">
        <v>1.56</v>
      </c>
      <c r="R3399">
        <v>0.79</v>
      </c>
      <c r="S3399">
        <v>1.85</v>
      </c>
      <c r="T3399" t="s">
        <v>2449</v>
      </c>
      <c r="U3399">
        <v>1.99</v>
      </c>
      <c r="V3399" t="s">
        <v>10236</v>
      </c>
      <c r="W3399" t="s">
        <v>4079</v>
      </c>
      <c r="X3399" t="s">
        <v>5838</v>
      </c>
      <c r="Y3399" t="s">
        <v>3549</v>
      </c>
      <c r="Z3399" t="s">
        <v>11525</v>
      </c>
      <c r="AA3399">
        <v>9.9600000000000009</v>
      </c>
      <c r="AB3399" t="s">
        <v>4295</v>
      </c>
      <c r="AC3399" t="s">
        <v>215</v>
      </c>
      <c r="AD3399" t="s">
        <v>4128</v>
      </c>
      <c r="AE3399" t="s">
        <v>1765</v>
      </c>
      <c r="AF3399" t="s">
        <v>330</v>
      </c>
      <c r="AG3399" t="s">
        <v>2744</v>
      </c>
      <c r="AH3399" t="s">
        <v>11242</v>
      </c>
      <c r="AI3399" t="s">
        <v>11116</v>
      </c>
      <c r="AJ3399" t="s">
        <v>3509</v>
      </c>
      <c r="AK3399" t="s">
        <v>2254</v>
      </c>
      <c r="AL3399">
        <v>1.84</v>
      </c>
      <c r="AM3399">
        <v>0.92</v>
      </c>
      <c r="AN3399">
        <v>0.34</v>
      </c>
      <c r="AO3399" t="s">
        <v>15014</v>
      </c>
      <c r="AP3399" t="s">
        <v>9280</v>
      </c>
      <c r="AQ3399" t="s">
        <v>229</v>
      </c>
      <c r="AR3399" t="s">
        <v>3208</v>
      </c>
      <c r="AS3399" t="s">
        <v>5660</v>
      </c>
      <c r="AT3399" t="s">
        <v>5264</v>
      </c>
      <c r="AU3399" t="s">
        <v>8534</v>
      </c>
      <c r="AV3399" t="s">
        <v>10695</v>
      </c>
      <c r="AW3399" t="s">
        <v>1323</v>
      </c>
      <c r="AX3399" t="s">
        <v>1475</v>
      </c>
      <c r="AY3399" t="s">
        <v>1323</v>
      </c>
      <c r="AZ3399" t="s">
        <v>28862</v>
      </c>
      <c r="BA3399">
        <v>2</v>
      </c>
      <c r="BB3399">
        <v>705.54</v>
      </c>
      <c r="BC3399">
        <v>0.26</v>
      </c>
      <c r="BD3399">
        <v>127.48</v>
      </c>
      <c r="BE3399">
        <v>129.4</v>
      </c>
      <c r="BF3399">
        <v>127.95</v>
      </c>
      <c r="BG3399" t="s">
        <v>28863</v>
      </c>
      <c r="BH3399" t="s">
        <v>1323</v>
      </c>
      <c r="BI3399" t="s">
        <v>28864</v>
      </c>
      <c r="BJ3399" t="s">
        <v>101</v>
      </c>
      <c r="BK3399" t="s">
        <v>3002</v>
      </c>
      <c r="BL3399" t="s">
        <v>16790</v>
      </c>
      <c r="BM3399" t="s">
        <v>3191</v>
      </c>
      <c r="BN3399" t="s">
        <v>27621</v>
      </c>
    </row>
    <row r="3400" spans="1:66" x14ac:dyDescent="0.25">
      <c r="A3400" t="str">
        <f>HYPERLINK("https://elite.finviz.com/quote.ashx?t=UMH&amp;ty=c&amp;p=d&amp;b=1", "UMH")</f>
        <v>UMH</v>
      </c>
      <c r="B3400">
        <v>4</v>
      </c>
      <c r="C3400">
        <v>105.92</v>
      </c>
      <c r="D3400">
        <v>37</v>
      </c>
      <c r="E3400" t="s">
        <v>28865</v>
      </c>
      <c r="F3400" t="s">
        <v>67</v>
      </c>
      <c r="G3400" t="s">
        <v>68</v>
      </c>
      <c r="H3400" t="s">
        <v>5671</v>
      </c>
      <c r="I3400" t="s">
        <v>70</v>
      </c>
      <c r="J3400" t="s">
        <v>71</v>
      </c>
      <c r="K3400">
        <v>1254.4000000000001</v>
      </c>
      <c r="L3400">
        <v>14.77</v>
      </c>
      <c r="M3400" t="s">
        <v>4901</v>
      </c>
      <c r="N3400">
        <v>81743</v>
      </c>
      <c r="O3400">
        <v>110.39</v>
      </c>
      <c r="P3400">
        <v>66.16</v>
      </c>
      <c r="R3400">
        <v>5.01</v>
      </c>
      <c r="S3400">
        <v>2.0499999999999998</v>
      </c>
      <c r="T3400" t="s">
        <v>8460</v>
      </c>
      <c r="U3400">
        <v>0.71</v>
      </c>
      <c r="V3400" t="s">
        <v>3046</v>
      </c>
      <c r="W3400" t="s">
        <v>2494</v>
      </c>
      <c r="X3400" t="s">
        <v>756</v>
      </c>
      <c r="Y3400" t="s">
        <v>2662</v>
      </c>
      <c r="Z3400" t="s">
        <v>28866</v>
      </c>
      <c r="AA3400">
        <v>0.13</v>
      </c>
      <c r="AB3400" t="s">
        <v>19604</v>
      </c>
      <c r="AC3400" t="s">
        <v>3838</v>
      </c>
      <c r="AE3400" t="s">
        <v>224</v>
      </c>
      <c r="AF3400" t="s">
        <v>4193</v>
      </c>
      <c r="AG3400" t="s">
        <v>12553</v>
      </c>
      <c r="AH3400" t="s">
        <v>3368</v>
      </c>
      <c r="AI3400" t="s">
        <v>14407</v>
      </c>
      <c r="AJ3400" t="s">
        <v>6538</v>
      </c>
      <c r="AK3400" t="s">
        <v>28867</v>
      </c>
      <c r="AL3400">
        <v>6.93</v>
      </c>
      <c r="AM3400">
        <v>5.69</v>
      </c>
      <c r="AN3400">
        <v>0.71</v>
      </c>
      <c r="AO3400" t="s">
        <v>19396</v>
      </c>
      <c r="AP3400" t="s">
        <v>10775</v>
      </c>
      <c r="AQ3400" t="s">
        <v>5467</v>
      </c>
      <c r="AR3400" t="s">
        <v>92</v>
      </c>
      <c r="AS3400" t="s">
        <v>2609</v>
      </c>
      <c r="AT3400" t="s">
        <v>708</v>
      </c>
      <c r="AU3400" t="s">
        <v>2401</v>
      </c>
      <c r="AV3400" t="s">
        <v>6431</v>
      </c>
      <c r="AW3400" t="s">
        <v>1446</v>
      </c>
      <c r="AX3400" t="s">
        <v>5166</v>
      </c>
      <c r="AY3400" t="s">
        <v>23521</v>
      </c>
      <c r="AZ3400" t="s">
        <v>5166</v>
      </c>
      <c r="BA3400">
        <v>1.67</v>
      </c>
      <c r="BB3400">
        <v>586.95000000000005</v>
      </c>
      <c r="BC3400">
        <v>0.49</v>
      </c>
      <c r="BD3400">
        <v>14.69</v>
      </c>
      <c r="BE3400">
        <v>14.87</v>
      </c>
      <c r="BF3400">
        <v>14.72</v>
      </c>
      <c r="BG3400" t="s">
        <v>28868</v>
      </c>
      <c r="BH3400" t="s">
        <v>15779</v>
      </c>
      <c r="BI3400" t="s">
        <v>28869</v>
      </c>
      <c r="BJ3400" t="s">
        <v>101</v>
      </c>
      <c r="BK3400" t="s">
        <v>879</v>
      </c>
      <c r="BL3400" t="s">
        <v>9116</v>
      </c>
      <c r="BM3400" t="s">
        <v>28870</v>
      </c>
      <c r="BN3400" t="s">
        <v>27621</v>
      </c>
    </row>
    <row r="3401" spans="1:66" x14ac:dyDescent="0.25">
      <c r="A3401" t="str">
        <f>HYPERLINK("https://elite.finviz.com/quote.ashx?t=NDLS&amp;ty=c&amp;p=d&amp;b=1", "NDLS")</f>
        <v>NDLS</v>
      </c>
      <c r="B3401">
        <v>4</v>
      </c>
      <c r="C3401">
        <v>105.92</v>
      </c>
      <c r="D3401">
        <v>37.03</v>
      </c>
      <c r="E3401" t="s">
        <v>28871</v>
      </c>
      <c r="F3401" t="s">
        <v>107</v>
      </c>
      <c r="G3401" t="s">
        <v>813</v>
      </c>
      <c r="H3401" t="s">
        <v>2285</v>
      </c>
      <c r="I3401" t="s">
        <v>70</v>
      </c>
      <c r="J3401" t="s">
        <v>321</v>
      </c>
      <c r="K3401">
        <v>28.35</v>
      </c>
      <c r="L3401">
        <v>0.61</v>
      </c>
      <c r="M3401" t="s">
        <v>1560</v>
      </c>
      <c r="N3401">
        <v>17724</v>
      </c>
      <c r="R3401">
        <v>0.06</v>
      </c>
      <c r="AA3401">
        <v>-0.94</v>
      </c>
      <c r="AE3401" t="s">
        <v>2007</v>
      </c>
      <c r="AF3401" t="s">
        <v>80</v>
      </c>
      <c r="AG3401" t="s">
        <v>2509</v>
      </c>
      <c r="AH3401" t="s">
        <v>4086</v>
      </c>
      <c r="AI3401" t="s">
        <v>4360</v>
      </c>
      <c r="AJ3401" t="s">
        <v>164</v>
      </c>
      <c r="AK3401" t="s">
        <v>12154</v>
      </c>
      <c r="AL3401">
        <v>0.31</v>
      </c>
      <c r="AM3401">
        <v>0.16</v>
      </c>
      <c r="AO3401" t="s">
        <v>4416</v>
      </c>
      <c r="AP3401" t="s">
        <v>9500</v>
      </c>
      <c r="AQ3401" t="s">
        <v>5677</v>
      </c>
      <c r="AR3401" t="s">
        <v>1496</v>
      </c>
      <c r="AS3401" t="s">
        <v>5090</v>
      </c>
      <c r="AT3401" t="s">
        <v>6450</v>
      </c>
      <c r="AU3401" t="s">
        <v>186</v>
      </c>
      <c r="AV3401" t="s">
        <v>28872</v>
      </c>
      <c r="AW3401" t="s">
        <v>28873</v>
      </c>
      <c r="AX3401" t="s">
        <v>5736</v>
      </c>
      <c r="AY3401" t="s">
        <v>21875</v>
      </c>
      <c r="AZ3401" t="s">
        <v>602</v>
      </c>
      <c r="BA3401">
        <v>2</v>
      </c>
      <c r="BB3401">
        <v>216.24</v>
      </c>
      <c r="BC3401">
        <v>0.28999999999999998</v>
      </c>
      <c r="BD3401">
        <v>0.6</v>
      </c>
      <c r="BE3401">
        <v>0.63</v>
      </c>
      <c r="BF3401">
        <v>0.6</v>
      </c>
      <c r="BG3401" t="s">
        <v>28874</v>
      </c>
      <c r="BH3401" t="s">
        <v>1685</v>
      </c>
      <c r="BI3401" t="s">
        <v>602</v>
      </c>
      <c r="BJ3401" t="s">
        <v>101</v>
      </c>
      <c r="BK3401" t="s">
        <v>8228</v>
      </c>
      <c r="BL3401" t="s">
        <v>11883</v>
      </c>
      <c r="BM3401" t="s">
        <v>11057</v>
      </c>
      <c r="BN3401" t="s">
        <v>27621</v>
      </c>
    </row>
    <row r="3402" spans="1:66" x14ac:dyDescent="0.25">
      <c r="A3402" t="str">
        <f>HYPERLINK("https://elite.finviz.com/quote.ashx?t=VCTR&amp;ty=c&amp;p=d&amp;b=1", "VCTR")</f>
        <v>VCTR</v>
      </c>
      <c r="B3402">
        <v>4</v>
      </c>
      <c r="C3402">
        <v>105.92</v>
      </c>
      <c r="D3402">
        <v>37.04</v>
      </c>
      <c r="E3402" t="s">
        <v>28875</v>
      </c>
      <c r="F3402" t="s">
        <v>67</v>
      </c>
      <c r="G3402" t="s">
        <v>550</v>
      </c>
      <c r="H3402" t="s">
        <v>2597</v>
      </c>
      <c r="I3402" t="s">
        <v>70</v>
      </c>
      <c r="J3402" t="s">
        <v>321</v>
      </c>
      <c r="K3402">
        <v>4370.9799999999996</v>
      </c>
      <c r="L3402">
        <v>65.45</v>
      </c>
      <c r="M3402" t="s">
        <v>2560</v>
      </c>
      <c r="N3402">
        <v>54539</v>
      </c>
      <c r="O3402">
        <v>16.16</v>
      </c>
      <c r="P3402">
        <v>9.65</v>
      </c>
      <c r="Q3402">
        <v>1.5</v>
      </c>
      <c r="R3402">
        <v>4.18</v>
      </c>
      <c r="S3402">
        <v>1.78</v>
      </c>
      <c r="T3402" t="s">
        <v>6118</v>
      </c>
      <c r="U3402">
        <v>1.89</v>
      </c>
      <c r="V3402" t="s">
        <v>5717</v>
      </c>
      <c r="W3402" t="s">
        <v>2511</v>
      </c>
      <c r="X3402" t="s">
        <v>20150</v>
      </c>
      <c r="Y3402" t="s">
        <v>5986</v>
      </c>
      <c r="Z3402" t="s">
        <v>129</v>
      </c>
      <c r="AA3402">
        <v>4.05</v>
      </c>
      <c r="AB3402" t="s">
        <v>3948</v>
      </c>
      <c r="AC3402" t="s">
        <v>5782</v>
      </c>
      <c r="AD3402" t="s">
        <v>6810</v>
      </c>
      <c r="AE3402" t="s">
        <v>5759</v>
      </c>
      <c r="AF3402" t="s">
        <v>6245</v>
      </c>
      <c r="AG3402" t="s">
        <v>5528</v>
      </c>
      <c r="AH3402" t="s">
        <v>24997</v>
      </c>
      <c r="AI3402" t="s">
        <v>370</v>
      </c>
      <c r="AJ3402" t="s">
        <v>164</v>
      </c>
      <c r="AK3402" t="s">
        <v>27420</v>
      </c>
      <c r="AL3402">
        <v>1.99</v>
      </c>
      <c r="AM3402">
        <v>1.99</v>
      </c>
      <c r="AN3402">
        <v>0.41</v>
      </c>
      <c r="AO3402" t="s">
        <v>7592</v>
      </c>
      <c r="AP3402" t="s">
        <v>20352</v>
      </c>
      <c r="AQ3402" t="s">
        <v>7855</v>
      </c>
      <c r="AR3402" t="s">
        <v>6151</v>
      </c>
      <c r="AS3402" t="s">
        <v>92</v>
      </c>
      <c r="AT3402" t="s">
        <v>4121</v>
      </c>
      <c r="AU3402" t="s">
        <v>11702</v>
      </c>
      <c r="AV3402" t="s">
        <v>4256</v>
      </c>
      <c r="AW3402" t="s">
        <v>21638</v>
      </c>
      <c r="AX3402" t="s">
        <v>1022</v>
      </c>
      <c r="AY3402" t="s">
        <v>19240</v>
      </c>
      <c r="AZ3402" t="s">
        <v>11381</v>
      </c>
      <c r="BA3402">
        <v>2</v>
      </c>
      <c r="BB3402">
        <v>751.16</v>
      </c>
      <c r="BC3402">
        <v>0.26</v>
      </c>
      <c r="BD3402">
        <v>65.34</v>
      </c>
      <c r="BE3402">
        <v>66.22</v>
      </c>
      <c r="BF3402">
        <v>65.45</v>
      </c>
      <c r="BG3402" t="s">
        <v>28876</v>
      </c>
      <c r="BH3402" t="s">
        <v>19240</v>
      </c>
      <c r="BI3402" t="s">
        <v>28877</v>
      </c>
      <c r="BJ3402" t="s">
        <v>101</v>
      </c>
      <c r="BK3402" t="s">
        <v>4891</v>
      </c>
      <c r="BL3402" t="s">
        <v>10114</v>
      </c>
      <c r="BM3402" t="s">
        <v>7913</v>
      </c>
      <c r="BN3402" t="s">
        <v>27621</v>
      </c>
    </row>
    <row r="3403" spans="1:66" x14ac:dyDescent="0.25">
      <c r="A3403" t="str">
        <f>HYPERLINK("https://elite.finviz.com/quote.ashx?t=CSW&amp;ty=c&amp;p=d&amp;b=1", "CSW")</f>
        <v>CSW</v>
      </c>
      <c r="B3403">
        <v>4</v>
      </c>
      <c r="C3403">
        <v>105.92</v>
      </c>
      <c r="D3403">
        <v>37.04</v>
      </c>
      <c r="E3403" t="s">
        <v>28878</v>
      </c>
      <c r="F3403" t="s">
        <v>67</v>
      </c>
      <c r="G3403" t="s">
        <v>260</v>
      </c>
      <c r="H3403" t="s">
        <v>261</v>
      </c>
      <c r="I3403" t="s">
        <v>70</v>
      </c>
      <c r="J3403" t="s">
        <v>71</v>
      </c>
      <c r="K3403">
        <v>4097.62</v>
      </c>
      <c r="L3403">
        <v>243.87</v>
      </c>
      <c r="M3403" t="s">
        <v>2362</v>
      </c>
      <c r="N3403">
        <v>18985</v>
      </c>
      <c r="O3403">
        <v>29.15</v>
      </c>
      <c r="P3403">
        <v>21.24</v>
      </c>
      <c r="Q3403">
        <v>2.2400000000000002</v>
      </c>
      <c r="R3403">
        <v>4.47</v>
      </c>
      <c r="S3403">
        <v>3.69</v>
      </c>
      <c r="T3403" t="s">
        <v>1409</v>
      </c>
      <c r="U3403">
        <v>1.02</v>
      </c>
      <c r="V3403" t="s">
        <v>12255</v>
      </c>
      <c r="W3403" t="s">
        <v>10068</v>
      </c>
      <c r="X3403" t="s">
        <v>5699</v>
      </c>
      <c r="Y3403" t="s">
        <v>10073</v>
      </c>
      <c r="Z3403" t="s">
        <v>6532</v>
      </c>
      <c r="AA3403">
        <v>8.3699999999999992</v>
      </c>
      <c r="AB3403" t="s">
        <v>3750</v>
      </c>
      <c r="AC3403" t="s">
        <v>361</v>
      </c>
      <c r="AD3403" t="s">
        <v>3560</v>
      </c>
      <c r="AE3403" t="s">
        <v>2392</v>
      </c>
      <c r="AF3403" t="s">
        <v>5387</v>
      </c>
      <c r="AG3403" t="s">
        <v>6722</v>
      </c>
      <c r="AH3403" t="s">
        <v>1038</v>
      </c>
      <c r="AI3403" t="s">
        <v>4946</v>
      </c>
      <c r="AJ3403" t="s">
        <v>4122</v>
      </c>
      <c r="AK3403" t="s">
        <v>7559</v>
      </c>
      <c r="AL3403">
        <v>2.86</v>
      </c>
      <c r="AM3403">
        <v>1.48</v>
      </c>
      <c r="AN3403">
        <v>0.16</v>
      </c>
      <c r="AO3403" t="s">
        <v>6335</v>
      </c>
      <c r="AP3403" t="s">
        <v>9140</v>
      </c>
      <c r="AQ3403" t="s">
        <v>2018</v>
      </c>
      <c r="AR3403" t="s">
        <v>5425</v>
      </c>
      <c r="AS3403" t="s">
        <v>7154</v>
      </c>
      <c r="AT3403" t="s">
        <v>1580</v>
      </c>
      <c r="AU3403" t="s">
        <v>7557</v>
      </c>
      <c r="AV3403" t="s">
        <v>17470</v>
      </c>
      <c r="AW3403" t="s">
        <v>11181</v>
      </c>
      <c r="AX3403" t="s">
        <v>6463</v>
      </c>
      <c r="AY3403" t="s">
        <v>28879</v>
      </c>
      <c r="AZ3403" t="s">
        <v>6463</v>
      </c>
      <c r="BA3403">
        <v>2.67</v>
      </c>
      <c r="BB3403">
        <v>158.58000000000001</v>
      </c>
      <c r="BC3403">
        <v>0.42</v>
      </c>
      <c r="BD3403">
        <v>242.59</v>
      </c>
      <c r="BE3403">
        <v>246.6</v>
      </c>
      <c r="BF3403">
        <v>242.6</v>
      </c>
      <c r="BG3403" t="s">
        <v>28880</v>
      </c>
      <c r="BH3403" t="s">
        <v>28879</v>
      </c>
      <c r="BI3403" t="s">
        <v>28881</v>
      </c>
      <c r="BJ3403" t="s">
        <v>101</v>
      </c>
      <c r="BK3403" t="s">
        <v>11437</v>
      </c>
      <c r="BL3403" t="s">
        <v>24147</v>
      </c>
      <c r="BM3403" t="s">
        <v>22947</v>
      </c>
      <c r="BN3403" t="s">
        <v>27621</v>
      </c>
    </row>
    <row r="3404" spans="1:66" x14ac:dyDescent="0.25">
      <c r="A3404" t="str">
        <f>HYPERLINK("https://elite.finviz.com/quote.ashx?t=ARTL&amp;ty=c&amp;p=d&amp;b=1", "ARTL")</f>
        <v>ARTL</v>
      </c>
      <c r="B3404">
        <v>4</v>
      </c>
      <c r="C3404">
        <v>105.92</v>
      </c>
      <c r="D3404">
        <v>37.049999999999997</v>
      </c>
      <c r="E3404" t="s">
        <v>28882</v>
      </c>
      <c r="F3404" t="s">
        <v>107</v>
      </c>
      <c r="G3404" t="s">
        <v>428</v>
      </c>
      <c r="H3404" t="s">
        <v>429</v>
      </c>
      <c r="I3404" t="s">
        <v>70</v>
      </c>
      <c r="J3404" t="s">
        <v>321</v>
      </c>
      <c r="K3404">
        <v>7.72</v>
      </c>
      <c r="L3404">
        <v>5.44</v>
      </c>
      <c r="M3404" t="s">
        <v>3753</v>
      </c>
      <c r="N3404">
        <v>7025</v>
      </c>
      <c r="AA3404">
        <v>-19.05</v>
      </c>
      <c r="AB3404" t="s">
        <v>11778</v>
      </c>
      <c r="AC3404" t="s">
        <v>877</v>
      </c>
      <c r="AD3404" t="s">
        <v>28883</v>
      </c>
      <c r="AI3404" t="s">
        <v>28884</v>
      </c>
      <c r="AJ3404" t="s">
        <v>164</v>
      </c>
      <c r="AK3404" t="s">
        <v>6732</v>
      </c>
      <c r="AL3404">
        <v>0.39</v>
      </c>
      <c r="AM3404">
        <v>0.39</v>
      </c>
      <c r="AR3404" t="s">
        <v>848</v>
      </c>
      <c r="AS3404" t="s">
        <v>12048</v>
      </c>
      <c r="AT3404" t="s">
        <v>1821</v>
      </c>
      <c r="AU3404" t="s">
        <v>24284</v>
      </c>
      <c r="AV3404" t="s">
        <v>21109</v>
      </c>
      <c r="AW3404" t="s">
        <v>28885</v>
      </c>
      <c r="AX3404" t="s">
        <v>5712</v>
      </c>
      <c r="AY3404" t="s">
        <v>28886</v>
      </c>
      <c r="AZ3404" t="s">
        <v>5712</v>
      </c>
      <c r="BA3404">
        <v>3</v>
      </c>
      <c r="BB3404">
        <v>695.35</v>
      </c>
      <c r="BC3404">
        <v>0.04</v>
      </c>
      <c r="BD3404">
        <v>5.56</v>
      </c>
      <c r="BE3404">
        <v>5.5</v>
      </c>
      <c r="BF3404">
        <v>5.36</v>
      </c>
      <c r="BG3404" t="s">
        <v>28887</v>
      </c>
      <c r="BH3404" t="s">
        <v>784</v>
      </c>
      <c r="BI3404" t="s">
        <v>5712</v>
      </c>
      <c r="BJ3404" t="s">
        <v>101</v>
      </c>
      <c r="BK3404" t="s">
        <v>15979</v>
      </c>
      <c r="BL3404" t="s">
        <v>2951</v>
      </c>
      <c r="BM3404" t="s">
        <v>15099</v>
      </c>
      <c r="BN3404" t="s">
        <v>27621</v>
      </c>
    </row>
    <row r="3405" spans="1:66" x14ac:dyDescent="0.25">
      <c r="A3405" t="str">
        <f>HYPERLINK("https://elite.finviz.com/quote.ashx?t=MCO&amp;ty=c&amp;p=d&amp;b=1", "MCO")</f>
        <v>MCO</v>
      </c>
      <c r="B3405">
        <v>4</v>
      </c>
      <c r="C3405">
        <v>105.92</v>
      </c>
      <c r="D3405">
        <v>37.08</v>
      </c>
      <c r="E3405" t="s">
        <v>28888</v>
      </c>
      <c r="F3405" t="s">
        <v>195</v>
      </c>
      <c r="G3405" t="s">
        <v>550</v>
      </c>
      <c r="H3405" t="s">
        <v>16129</v>
      </c>
      <c r="I3405" t="s">
        <v>70</v>
      </c>
      <c r="J3405" t="s">
        <v>71</v>
      </c>
      <c r="K3405">
        <v>85698.48</v>
      </c>
      <c r="L3405">
        <v>477.7</v>
      </c>
      <c r="M3405" t="s">
        <v>3552</v>
      </c>
      <c r="N3405">
        <v>120368</v>
      </c>
      <c r="O3405">
        <v>40.6</v>
      </c>
      <c r="P3405">
        <v>30.59</v>
      </c>
      <c r="Q3405">
        <v>3.34</v>
      </c>
      <c r="R3405">
        <v>11.73</v>
      </c>
      <c r="S3405">
        <v>21.7</v>
      </c>
      <c r="T3405" t="s">
        <v>4865</v>
      </c>
      <c r="U3405">
        <v>3.67</v>
      </c>
      <c r="V3405" t="s">
        <v>3046</v>
      </c>
      <c r="W3405" t="s">
        <v>2312</v>
      </c>
      <c r="X3405" t="s">
        <v>1395</v>
      </c>
      <c r="Y3405" t="s">
        <v>6293</v>
      </c>
      <c r="Z3405" t="s">
        <v>7673</v>
      </c>
      <c r="AA3405">
        <v>11.77</v>
      </c>
      <c r="AB3405" t="s">
        <v>2856</v>
      </c>
      <c r="AC3405" t="s">
        <v>9159</v>
      </c>
      <c r="AD3405" t="s">
        <v>3923</v>
      </c>
      <c r="AE3405" t="s">
        <v>12806</v>
      </c>
      <c r="AF3405" t="s">
        <v>5554</v>
      </c>
      <c r="AG3405" t="s">
        <v>10425</v>
      </c>
      <c r="AH3405" t="s">
        <v>5554</v>
      </c>
      <c r="AI3405" t="s">
        <v>322</v>
      </c>
      <c r="AJ3405" t="s">
        <v>4888</v>
      </c>
      <c r="AK3405" t="s">
        <v>28889</v>
      </c>
      <c r="AL3405">
        <v>1.7</v>
      </c>
      <c r="AM3405">
        <v>1.7</v>
      </c>
      <c r="AN3405">
        <v>1.84</v>
      </c>
      <c r="AO3405" t="s">
        <v>27420</v>
      </c>
      <c r="AP3405" t="s">
        <v>17636</v>
      </c>
      <c r="AQ3405" t="s">
        <v>6978</v>
      </c>
      <c r="AR3405" t="s">
        <v>3118</v>
      </c>
      <c r="AS3405" t="s">
        <v>2339</v>
      </c>
      <c r="AT3405" t="s">
        <v>11253</v>
      </c>
      <c r="AU3405" t="s">
        <v>2604</v>
      </c>
      <c r="AV3405" t="s">
        <v>4828</v>
      </c>
      <c r="AW3405" t="s">
        <v>5677</v>
      </c>
      <c r="AX3405" t="s">
        <v>4267</v>
      </c>
      <c r="AY3405" t="s">
        <v>21630</v>
      </c>
      <c r="AZ3405" t="s">
        <v>6862</v>
      </c>
      <c r="BA3405">
        <v>2.31</v>
      </c>
      <c r="BB3405">
        <v>748.04</v>
      </c>
      <c r="BC3405">
        <v>0.56999999999999995</v>
      </c>
      <c r="BD3405">
        <v>472.69</v>
      </c>
      <c r="BE3405">
        <v>479.1</v>
      </c>
      <c r="BF3405">
        <v>473.79</v>
      </c>
      <c r="BG3405" t="s">
        <v>28890</v>
      </c>
      <c r="BH3405" t="s">
        <v>21630</v>
      </c>
      <c r="BI3405" t="s">
        <v>28891</v>
      </c>
      <c r="BJ3405" t="s">
        <v>101</v>
      </c>
      <c r="BK3405" t="s">
        <v>2723</v>
      </c>
      <c r="BL3405" t="s">
        <v>2219</v>
      </c>
      <c r="BM3405" t="s">
        <v>2263</v>
      </c>
      <c r="BN3405" t="s">
        <v>27621</v>
      </c>
    </row>
    <row r="3406" spans="1:66" x14ac:dyDescent="0.25">
      <c r="A3406" t="str">
        <f>HYPERLINK("https://elite.finviz.com/quote.ashx?t=MSB&amp;ty=c&amp;p=d&amp;b=1", "MSB")</f>
        <v>MSB</v>
      </c>
      <c r="B3406">
        <v>4</v>
      </c>
      <c r="C3406">
        <v>105.92</v>
      </c>
      <c r="D3406">
        <v>37.090000000000003</v>
      </c>
      <c r="E3406" t="s">
        <v>28892</v>
      </c>
      <c r="F3406" t="s">
        <v>107</v>
      </c>
      <c r="G3406" t="s">
        <v>355</v>
      </c>
      <c r="H3406" t="s">
        <v>10220</v>
      </c>
      <c r="I3406" t="s">
        <v>70</v>
      </c>
      <c r="J3406" t="s">
        <v>71</v>
      </c>
      <c r="K3406">
        <v>382.83</v>
      </c>
      <c r="L3406">
        <v>29.18</v>
      </c>
      <c r="M3406" t="s">
        <v>1086</v>
      </c>
      <c r="N3406">
        <v>5316</v>
      </c>
      <c r="O3406">
        <v>4.13</v>
      </c>
      <c r="R3406">
        <v>3.98</v>
      </c>
      <c r="S3406">
        <v>16.8</v>
      </c>
      <c r="T3406" t="s">
        <v>21465</v>
      </c>
      <c r="U3406">
        <v>7.02</v>
      </c>
      <c r="V3406" t="s">
        <v>10483</v>
      </c>
      <c r="W3406" t="s">
        <v>2064</v>
      </c>
      <c r="X3406" t="s">
        <v>15569</v>
      </c>
      <c r="Y3406" t="s">
        <v>17816</v>
      </c>
      <c r="Z3406" t="s">
        <v>6226</v>
      </c>
      <c r="AA3406">
        <v>7.07</v>
      </c>
      <c r="AB3406" t="s">
        <v>3326</v>
      </c>
      <c r="AC3406" t="s">
        <v>3969</v>
      </c>
      <c r="AE3406" t="s">
        <v>28893</v>
      </c>
      <c r="AF3406" t="s">
        <v>5656</v>
      </c>
      <c r="AG3406" t="s">
        <v>1034</v>
      </c>
      <c r="AH3406" t="s">
        <v>15067</v>
      </c>
      <c r="AI3406" t="s">
        <v>8293</v>
      </c>
      <c r="AJ3406" t="s">
        <v>164</v>
      </c>
      <c r="AK3406" t="s">
        <v>15243</v>
      </c>
      <c r="AL3406">
        <v>12.42</v>
      </c>
      <c r="AM3406">
        <v>12.42</v>
      </c>
      <c r="AN3406">
        <v>0</v>
      </c>
      <c r="AO3406" t="s">
        <v>28894</v>
      </c>
      <c r="AP3406" t="s">
        <v>28894</v>
      </c>
      <c r="AQ3406" t="s">
        <v>28894</v>
      </c>
      <c r="AR3406" t="s">
        <v>4093</v>
      </c>
      <c r="AS3406" t="s">
        <v>203</v>
      </c>
      <c r="AT3406" t="s">
        <v>6469</v>
      </c>
      <c r="AU3406" t="s">
        <v>3897</v>
      </c>
      <c r="AV3406" t="s">
        <v>4133</v>
      </c>
      <c r="AW3406" t="s">
        <v>9592</v>
      </c>
      <c r="AX3406" t="s">
        <v>6860</v>
      </c>
      <c r="AY3406" t="s">
        <v>24926</v>
      </c>
      <c r="AZ3406" t="s">
        <v>1565</v>
      </c>
      <c r="BB3406">
        <v>47.96</v>
      </c>
      <c r="BC3406">
        <v>0.39</v>
      </c>
      <c r="BD3406">
        <v>29.35</v>
      </c>
      <c r="BE3406">
        <v>29.5</v>
      </c>
      <c r="BF3406">
        <v>28.88</v>
      </c>
      <c r="BG3406" t="s">
        <v>28895</v>
      </c>
      <c r="BH3406" t="s">
        <v>28896</v>
      </c>
      <c r="BI3406" t="s">
        <v>28897</v>
      </c>
      <c r="BJ3406" t="s">
        <v>101</v>
      </c>
      <c r="BK3406" t="s">
        <v>4130</v>
      </c>
      <c r="BL3406" t="s">
        <v>8727</v>
      </c>
      <c r="BM3406" t="s">
        <v>10233</v>
      </c>
      <c r="BN3406" t="s">
        <v>27621</v>
      </c>
    </row>
    <row r="3407" spans="1:66" x14ac:dyDescent="0.25">
      <c r="A3407" t="str">
        <f>HYPERLINK("https://elite.finviz.com/quote.ashx?t=NAII&amp;ty=c&amp;p=d&amp;b=1", "NAII")</f>
        <v>NAII</v>
      </c>
      <c r="B3407">
        <v>4</v>
      </c>
      <c r="C3407">
        <v>105.92</v>
      </c>
      <c r="D3407">
        <v>37.14</v>
      </c>
      <c r="E3407" t="s">
        <v>28898</v>
      </c>
      <c r="F3407" t="s">
        <v>107</v>
      </c>
      <c r="G3407" t="s">
        <v>2244</v>
      </c>
      <c r="H3407" t="s">
        <v>3269</v>
      </c>
      <c r="I3407" t="s">
        <v>70</v>
      </c>
      <c r="J3407" t="s">
        <v>321</v>
      </c>
      <c r="K3407">
        <v>18.45</v>
      </c>
      <c r="L3407">
        <v>2.99</v>
      </c>
      <c r="M3407" t="s">
        <v>164</v>
      </c>
      <c r="N3407">
        <v>0</v>
      </c>
      <c r="R3407">
        <v>0.14000000000000001</v>
      </c>
      <c r="S3407">
        <v>0.27</v>
      </c>
      <c r="AA3407">
        <v>-2.2400000000000002</v>
      </c>
      <c r="AC3407" t="s">
        <v>28899</v>
      </c>
      <c r="AE3407" t="s">
        <v>6967</v>
      </c>
      <c r="AF3407" t="s">
        <v>3869</v>
      </c>
      <c r="AG3407" t="s">
        <v>2808</v>
      </c>
      <c r="AH3407" t="s">
        <v>6474</v>
      </c>
      <c r="AJ3407" t="s">
        <v>164</v>
      </c>
      <c r="AK3407" t="s">
        <v>8381</v>
      </c>
      <c r="AL3407">
        <v>2.06</v>
      </c>
      <c r="AM3407">
        <v>1.19</v>
      </c>
      <c r="AN3407">
        <v>0.86</v>
      </c>
      <c r="AO3407" t="s">
        <v>2585</v>
      </c>
      <c r="AP3407" t="s">
        <v>7532</v>
      </c>
      <c r="AQ3407" t="s">
        <v>10199</v>
      </c>
      <c r="AR3407" t="s">
        <v>1507</v>
      </c>
      <c r="AS3407" t="s">
        <v>291</v>
      </c>
      <c r="AT3407" t="s">
        <v>9631</v>
      </c>
      <c r="AU3407" t="s">
        <v>489</v>
      </c>
      <c r="AV3407" t="s">
        <v>20060</v>
      </c>
      <c r="AW3407" t="s">
        <v>16249</v>
      </c>
      <c r="AX3407" t="s">
        <v>4189</v>
      </c>
      <c r="AY3407" t="s">
        <v>28900</v>
      </c>
      <c r="AZ3407" t="s">
        <v>6501</v>
      </c>
      <c r="BB3407">
        <v>5.1100000000000003</v>
      </c>
      <c r="BC3407">
        <v>0</v>
      </c>
      <c r="BD3407">
        <v>2.99</v>
      </c>
      <c r="BE3407">
        <v>2.99</v>
      </c>
      <c r="BF3407">
        <v>2.99</v>
      </c>
      <c r="BG3407" t="s">
        <v>28901</v>
      </c>
      <c r="BH3407" t="s">
        <v>14427</v>
      </c>
      <c r="BI3407" t="s">
        <v>28902</v>
      </c>
      <c r="BJ3407" t="s">
        <v>101</v>
      </c>
      <c r="BK3407" t="s">
        <v>11692</v>
      </c>
      <c r="BL3407" t="s">
        <v>2611</v>
      </c>
      <c r="BM3407" t="s">
        <v>14419</v>
      </c>
      <c r="BN3407" t="s">
        <v>27621</v>
      </c>
    </row>
    <row r="3408" spans="1:66" x14ac:dyDescent="0.25">
      <c r="A3408" t="str">
        <f>HYPERLINK("https://elite.finviz.com/quote.ashx?t=MSIF&amp;ty=c&amp;p=d&amp;b=1", "MSIF")</f>
        <v>MSIF</v>
      </c>
      <c r="B3408">
        <v>4</v>
      </c>
      <c r="C3408">
        <v>105.92</v>
      </c>
      <c r="D3408">
        <v>37.15</v>
      </c>
      <c r="E3408" t="s">
        <v>28903</v>
      </c>
      <c r="F3408" t="s">
        <v>107</v>
      </c>
      <c r="G3408" t="s">
        <v>550</v>
      </c>
      <c r="H3408" t="s">
        <v>2597</v>
      </c>
      <c r="I3408" t="s">
        <v>70</v>
      </c>
      <c r="J3408" t="s">
        <v>71</v>
      </c>
      <c r="K3408">
        <v>644</v>
      </c>
      <c r="L3408">
        <v>13.57</v>
      </c>
      <c r="M3408" t="s">
        <v>1714</v>
      </c>
      <c r="N3408">
        <v>22483</v>
      </c>
      <c r="O3408">
        <v>9.74</v>
      </c>
      <c r="P3408">
        <v>9.08</v>
      </c>
      <c r="Q3408">
        <v>3.81</v>
      </c>
      <c r="R3408">
        <v>4.71</v>
      </c>
      <c r="S3408">
        <v>0.89</v>
      </c>
      <c r="T3408" t="s">
        <v>2786</v>
      </c>
      <c r="U3408">
        <v>0.7</v>
      </c>
      <c r="V3408" t="s">
        <v>198</v>
      </c>
      <c r="W3408" t="s">
        <v>975</v>
      </c>
      <c r="Z3408" t="s">
        <v>21840</v>
      </c>
      <c r="AA3408">
        <v>1.39</v>
      </c>
      <c r="AB3408" t="s">
        <v>8659</v>
      </c>
      <c r="AC3408" t="s">
        <v>8593</v>
      </c>
      <c r="AD3408" t="s">
        <v>1933</v>
      </c>
      <c r="AE3408" t="s">
        <v>7209</v>
      </c>
      <c r="AF3408" t="s">
        <v>816</v>
      </c>
      <c r="AG3408" t="s">
        <v>9037</v>
      </c>
      <c r="AH3408" t="s">
        <v>339</v>
      </c>
      <c r="AI3408" t="s">
        <v>1000</v>
      </c>
      <c r="AJ3408" t="s">
        <v>316</v>
      </c>
      <c r="AK3408" t="s">
        <v>322</v>
      </c>
      <c r="AL3408">
        <v>1.26</v>
      </c>
      <c r="AM3408">
        <v>1.26</v>
      </c>
      <c r="AN3408">
        <v>0.75</v>
      </c>
      <c r="AO3408" t="s">
        <v>28904</v>
      </c>
      <c r="AP3408" t="s">
        <v>878</v>
      </c>
      <c r="AQ3408" t="s">
        <v>1230</v>
      </c>
      <c r="AR3408" t="s">
        <v>212</v>
      </c>
      <c r="AS3408" t="s">
        <v>4256</v>
      </c>
      <c r="AT3408" t="s">
        <v>5120</v>
      </c>
      <c r="AU3408" t="s">
        <v>6231</v>
      </c>
      <c r="AV3408" t="s">
        <v>20045</v>
      </c>
      <c r="AW3408" t="s">
        <v>6676</v>
      </c>
      <c r="AX3408" t="s">
        <v>4794</v>
      </c>
      <c r="AY3408" t="s">
        <v>15473</v>
      </c>
      <c r="AZ3408" t="s">
        <v>4794</v>
      </c>
      <c r="BA3408">
        <v>2.33</v>
      </c>
      <c r="BB3408">
        <v>140.41999999999999</v>
      </c>
      <c r="BC3408">
        <v>0.56999999999999995</v>
      </c>
      <c r="BD3408">
        <v>13.65</v>
      </c>
      <c r="BE3408">
        <v>13.71</v>
      </c>
      <c r="BF3408">
        <v>13.55</v>
      </c>
      <c r="BG3408" t="s">
        <v>28905</v>
      </c>
      <c r="BH3408" t="s">
        <v>15473</v>
      </c>
      <c r="BI3408" t="s">
        <v>11496</v>
      </c>
      <c r="BJ3408" t="s">
        <v>101</v>
      </c>
      <c r="BK3408" t="s">
        <v>14415</v>
      </c>
      <c r="BL3408" t="s">
        <v>22494</v>
      </c>
      <c r="BN3408" t="s">
        <v>27621</v>
      </c>
    </row>
    <row r="3409" spans="1:66" x14ac:dyDescent="0.25">
      <c r="A3409" t="str">
        <f>HYPERLINK("https://elite.finviz.com/quote.ashx?t=BBSI&amp;ty=c&amp;p=d&amp;b=1", "BBSI")</f>
        <v>BBSI</v>
      </c>
      <c r="B3409">
        <v>4</v>
      </c>
      <c r="C3409">
        <v>105.92</v>
      </c>
      <c r="D3409">
        <v>37.17</v>
      </c>
      <c r="E3409" t="s">
        <v>28906</v>
      </c>
      <c r="F3409" t="s">
        <v>67</v>
      </c>
      <c r="G3409" t="s">
        <v>260</v>
      </c>
      <c r="H3409" t="s">
        <v>8693</v>
      </c>
      <c r="I3409" t="s">
        <v>70</v>
      </c>
      <c r="J3409" t="s">
        <v>321</v>
      </c>
      <c r="K3409">
        <v>1143.7</v>
      </c>
      <c r="L3409">
        <v>44.52</v>
      </c>
      <c r="M3409" t="s">
        <v>102</v>
      </c>
      <c r="N3409">
        <v>34763</v>
      </c>
      <c r="O3409">
        <v>21.9</v>
      </c>
      <c r="P3409">
        <v>18.079999999999998</v>
      </c>
      <c r="R3409">
        <v>0.95</v>
      </c>
      <c r="S3409">
        <v>5.03</v>
      </c>
      <c r="T3409" t="s">
        <v>3871</v>
      </c>
      <c r="U3409">
        <v>0.32</v>
      </c>
      <c r="V3409" t="s">
        <v>4186</v>
      </c>
      <c r="W3409" t="s">
        <v>4189</v>
      </c>
      <c r="X3409" t="s">
        <v>1837</v>
      </c>
      <c r="Y3409" t="s">
        <v>5263</v>
      </c>
      <c r="Z3409" t="s">
        <v>6343</v>
      </c>
      <c r="AA3409">
        <v>2.0299999999999998</v>
      </c>
      <c r="AB3409" t="s">
        <v>5747</v>
      </c>
      <c r="AC3409" t="s">
        <v>454</v>
      </c>
      <c r="AE3409" t="s">
        <v>12048</v>
      </c>
      <c r="AF3409" t="s">
        <v>8925</v>
      </c>
      <c r="AG3409" t="s">
        <v>6475</v>
      </c>
      <c r="AH3409" t="s">
        <v>4783</v>
      </c>
      <c r="AI3409" t="s">
        <v>1303</v>
      </c>
      <c r="AJ3409" t="s">
        <v>2528</v>
      </c>
      <c r="AK3409" t="s">
        <v>28907</v>
      </c>
      <c r="AL3409">
        <v>1.25</v>
      </c>
      <c r="AM3409">
        <v>1.25</v>
      </c>
      <c r="AN3409">
        <v>0.11</v>
      </c>
      <c r="AO3409" t="s">
        <v>7087</v>
      </c>
      <c r="AP3409" t="s">
        <v>3958</v>
      </c>
      <c r="AQ3409" t="s">
        <v>6378</v>
      </c>
      <c r="AR3409" t="s">
        <v>4547</v>
      </c>
      <c r="AS3409" t="s">
        <v>1439</v>
      </c>
      <c r="AT3409" t="s">
        <v>4893</v>
      </c>
      <c r="AU3409" t="s">
        <v>2814</v>
      </c>
      <c r="AV3409" t="s">
        <v>8818</v>
      </c>
      <c r="AW3409" t="s">
        <v>9261</v>
      </c>
      <c r="AX3409" t="s">
        <v>2317</v>
      </c>
      <c r="AY3409" t="s">
        <v>9261</v>
      </c>
      <c r="AZ3409" t="s">
        <v>9999</v>
      </c>
      <c r="BA3409">
        <v>1.5</v>
      </c>
      <c r="BB3409">
        <v>167.17</v>
      </c>
      <c r="BC3409">
        <v>0.73</v>
      </c>
      <c r="BD3409">
        <v>44</v>
      </c>
      <c r="BE3409">
        <v>44.96</v>
      </c>
      <c r="BF3409">
        <v>43.74</v>
      </c>
      <c r="BG3409" t="s">
        <v>28908</v>
      </c>
      <c r="BH3409" t="s">
        <v>9261</v>
      </c>
      <c r="BI3409" t="s">
        <v>28909</v>
      </c>
      <c r="BJ3409" t="s">
        <v>101</v>
      </c>
      <c r="BK3409" t="s">
        <v>414</v>
      </c>
      <c r="BL3409" t="s">
        <v>2398</v>
      </c>
      <c r="BM3409" t="s">
        <v>2956</v>
      </c>
      <c r="BN3409" t="s">
        <v>27621</v>
      </c>
    </row>
    <row r="3410" spans="1:66" x14ac:dyDescent="0.25">
      <c r="A3410" t="str">
        <f>HYPERLINK("https://elite.finviz.com/quote.ashx?t=AWR&amp;ty=c&amp;p=d&amp;b=1", "AWR")</f>
        <v>AWR</v>
      </c>
      <c r="B3410">
        <v>4</v>
      </c>
      <c r="C3410">
        <v>105.92</v>
      </c>
      <c r="D3410">
        <v>37.17</v>
      </c>
      <c r="E3410" t="s">
        <v>28910</v>
      </c>
      <c r="F3410" t="s">
        <v>67</v>
      </c>
      <c r="G3410" t="s">
        <v>287</v>
      </c>
      <c r="H3410" t="s">
        <v>13133</v>
      </c>
      <c r="I3410" t="s">
        <v>70</v>
      </c>
      <c r="J3410" t="s">
        <v>71</v>
      </c>
      <c r="K3410">
        <v>2758.02</v>
      </c>
      <c r="L3410">
        <v>71.62</v>
      </c>
      <c r="M3410" t="s">
        <v>183</v>
      </c>
      <c r="N3410">
        <v>18973</v>
      </c>
      <c r="O3410">
        <v>21.95</v>
      </c>
      <c r="P3410">
        <v>20.58</v>
      </c>
      <c r="Q3410">
        <v>3.87</v>
      </c>
      <c r="R3410">
        <v>4.4800000000000004</v>
      </c>
      <c r="S3410">
        <v>2.84</v>
      </c>
      <c r="T3410" t="s">
        <v>901</v>
      </c>
      <c r="U3410">
        <v>1.9</v>
      </c>
      <c r="V3410" t="s">
        <v>3046</v>
      </c>
      <c r="W3410" t="s">
        <v>7566</v>
      </c>
      <c r="X3410" t="s">
        <v>5607</v>
      </c>
      <c r="Y3410" t="s">
        <v>2625</v>
      </c>
      <c r="Z3410" t="s">
        <v>494</v>
      </c>
      <c r="AA3410">
        <v>3.26</v>
      </c>
      <c r="AB3410" t="s">
        <v>2922</v>
      </c>
      <c r="AC3410" t="s">
        <v>3126</v>
      </c>
      <c r="AD3410" t="s">
        <v>7118</v>
      </c>
      <c r="AE3410" t="s">
        <v>637</v>
      </c>
      <c r="AF3410" t="s">
        <v>1204</v>
      </c>
      <c r="AG3410" t="s">
        <v>5907</v>
      </c>
      <c r="AH3410" t="s">
        <v>4824</v>
      </c>
      <c r="AI3410" t="s">
        <v>2431</v>
      </c>
      <c r="AJ3410" t="s">
        <v>4266</v>
      </c>
      <c r="AK3410" t="s">
        <v>28911</v>
      </c>
      <c r="AL3410">
        <v>1.56</v>
      </c>
      <c r="AM3410">
        <v>1.46</v>
      </c>
      <c r="AN3410">
        <v>0.98</v>
      </c>
      <c r="AO3410" t="s">
        <v>22241</v>
      </c>
      <c r="AP3410" t="s">
        <v>8180</v>
      </c>
      <c r="AQ3410" t="s">
        <v>5792</v>
      </c>
      <c r="AR3410" t="s">
        <v>3976</v>
      </c>
      <c r="AS3410" t="s">
        <v>4280</v>
      </c>
      <c r="AT3410" t="s">
        <v>2950</v>
      </c>
      <c r="AU3410" t="s">
        <v>3554</v>
      </c>
      <c r="AV3410" t="s">
        <v>7300</v>
      </c>
      <c r="AW3410" t="s">
        <v>269</v>
      </c>
      <c r="AX3410" t="s">
        <v>3871</v>
      </c>
      <c r="AY3410" t="s">
        <v>9068</v>
      </c>
      <c r="AZ3410" t="s">
        <v>910</v>
      </c>
      <c r="BA3410">
        <v>2.67</v>
      </c>
      <c r="BB3410">
        <v>246.57</v>
      </c>
      <c r="BC3410">
        <v>0.27</v>
      </c>
      <c r="BD3410">
        <v>71.510000000000005</v>
      </c>
      <c r="BE3410">
        <v>71.959999999999994</v>
      </c>
      <c r="BF3410">
        <v>71.64</v>
      </c>
      <c r="BG3410" t="s">
        <v>28912</v>
      </c>
      <c r="BH3410" t="s">
        <v>898</v>
      </c>
      <c r="BI3410" t="s">
        <v>28913</v>
      </c>
      <c r="BJ3410" t="s">
        <v>101</v>
      </c>
      <c r="BK3410" t="s">
        <v>4667</v>
      </c>
      <c r="BL3410" t="s">
        <v>5623</v>
      </c>
      <c r="BM3410" t="s">
        <v>10383</v>
      </c>
      <c r="BN3410" t="s">
        <v>27621</v>
      </c>
    </row>
    <row r="3411" spans="1:66" x14ac:dyDescent="0.25">
      <c r="A3411" t="str">
        <f>HYPERLINK("https://elite.finviz.com/quote.ashx?t=ACXP&amp;ty=c&amp;p=d&amp;b=1", "ACXP")</f>
        <v>ACXP</v>
      </c>
      <c r="B3411">
        <v>4</v>
      </c>
      <c r="C3411">
        <v>105.92</v>
      </c>
      <c r="D3411">
        <v>37.340000000000003</v>
      </c>
      <c r="E3411" t="s">
        <v>28914</v>
      </c>
      <c r="F3411" t="s">
        <v>107</v>
      </c>
      <c r="G3411" t="s">
        <v>428</v>
      </c>
      <c r="H3411" t="s">
        <v>429</v>
      </c>
      <c r="I3411" t="s">
        <v>70</v>
      </c>
      <c r="J3411" t="s">
        <v>321</v>
      </c>
      <c r="K3411">
        <v>6.36</v>
      </c>
      <c r="L3411">
        <v>4.01</v>
      </c>
      <c r="M3411" t="s">
        <v>2717</v>
      </c>
      <c r="N3411">
        <v>2648</v>
      </c>
      <c r="S3411">
        <v>1.66</v>
      </c>
      <c r="AA3411">
        <v>-10.75</v>
      </c>
      <c r="AB3411" t="s">
        <v>3920</v>
      </c>
      <c r="AC3411" t="s">
        <v>12610</v>
      </c>
      <c r="AD3411" t="s">
        <v>13116</v>
      </c>
      <c r="AI3411" t="s">
        <v>3676</v>
      </c>
      <c r="AJ3411" t="s">
        <v>164</v>
      </c>
      <c r="AK3411" t="s">
        <v>9204</v>
      </c>
      <c r="AL3411">
        <v>2.38</v>
      </c>
      <c r="AM3411">
        <v>2.38</v>
      </c>
      <c r="AN3411">
        <v>0</v>
      </c>
      <c r="AR3411" t="s">
        <v>417</v>
      </c>
      <c r="AS3411" t="s">
        <v>5227</v>
      </c>
      <c r="AT3411" t="s">
        <v>4927</v>
      </c>
      <c r="AU3411" t="s">
        <v>10414</v>
      </c>
      <c r="AV3411" t="s">
        <v>1541</v>
      </c>
      <c r="AW3411" t="s">
        <v>28915</v>
      </c>
      <c r="AX3411" t="s">
        <v>5210</v>
      </c>
      <c r="AY3411" t="s">
        <v>3281</v>
      </c>
      <c r="AZ3411" t="s">
        <v>5210</v>
      </c>
      <c r="BA3411">
        <v>1</v>
      </c>
      <c r="BB3411">
        <v>73.31</v>
      </c>
      <c r="BC3411">
        <v>0.13</v>
      </c>
      <c r="BD3411">
        <v>4.0199999999999996</v>
      </c>
      <c r="BE3411">
        <v>4.05</v>
      </c>
      <c r="BF3411">
        <v>3.99</v>
      </c>
      <c r="BG3411" t="s">
        <v>28916</v>
      </c>
      <c r="BH3411" t="s">
        <v>28917</v>
      </c>
      <c r="BI3411" t="s">
        <v>5210</v>
      </c>
      <c r="BJ3411" t="s">
        <v>101</v>
      </c>
      <c r="BK3411" t="s">
        <v>27320</v>
      </c>
      <c r="BL3411" t="s">
        <v>23079</v>
      </c>
      <c r="BM3411" t="s">
        <v>28918</v>
      </c>
      <c r="BN3411" t="s">
        <v>27621</v>
      </c>
    </row>
    <row r="3412" spans="1:66" x14ac:dyDescent="0.25">
      <c r="A3412" t="str">
        <f>HYPERLINK("https://elite.finviz.com/quote.ashx?t=ERNA&amp;ty=c&amp;p=d&amp;b=1", "ERNA")</f>
        <v>ERNA</v>
      </c>
      <c r="B3412">
        <v>4</v>
      </c>
      <c r="C3412">
        <v>105.92</v>
      </c>
      <c r="D3412">
        <v>37.35</v>
      </c>
      <c r="E3412" t="s">
        <v>28919</v>
      </c>
      <c r="F3412" t="s">
        <v>107</v>
      </c>
      <c r="G3412" t="s">
        <v>428</v>
      </c>
      <c r="H3412" t="s">
        <v>429</v>
      </c>
      <c r="I3412" t="s">
        <v>70</v>
      </c>
      <c r="J3412" t="s">
        <v>321</v>
      </c>
      <c r="K3412">
        <v>8.74</v>
      </c>
      <c r="L3412">
        <v>1.1399999999999999</v>
      </c>
      <c r="M3412" t="s">
        <v>2201</v>
      </c>
      <c r="N3412">
        <v>5542</v>
      </c>
      <c r="R3412">
        <v>17.84</v>
      </c>
      <c r="S3412">
        <v>1.92</v>
      </c>
      <c r="AA3412">
        <v>-78.36</v>
      </c>
      <c r="AB3412" t="s">
        <v>8679</v>
      </c>
      <c r="AC3412" t="s">
        <v>10655</v>
      </c>
      <c r="AE3412" t="s">
        <v>28920</v>
      </c>
      <c r="AG3412" t="s">
        <v>16824</v>
      </c>
      <c r="AH3412" t="s">
        <v>579</v>
      </c>
      <c r="AK3412" t="s">
        <v>227</v>
      </c>
      <c r="AL3412">
        <v>1.81</v>
      </c>
      <c r="AM3412">
        <v>1.81</v>
      </c>
      <c r="AN3412">
        <v>0.13</v>
      </c>
      <c r="AO3412" t="s">
        <v>104</v>
      </c>
      <c r="AP3412" t="s">
        <v>28921</v>
      </c>
      <c r="AQ3412" t="s">
        <v>28922</v>
      </c>
      <c r="AR3412" t="s">
        <v>2459</v>
      </c>
      <c r="AS3412" t="s">
        <v>7419</v>
      </c>
      <c r="AT3412" t="s">
        <v>5569</v>
      </c>
      <c r="AU3412" t="s">
        <v>28242</v>
      </c>
      <c r="AV3412" t="s">
        <v>28923</v>
      </c>
      <c r="AW3412" t="s">
        <v>28924</v>
      </c>
      <c r="AX3412" t="s">
        <v>4908</v>
      </c>
      <c r="AY3412" t="s">
        <v>28925</v>
      </c>
      <c r="AZ3412" t="s">
        <v>4908</v>
      </c>
      <c r="BA3412">
        <v>1</v>
      </c>
      <c r="BB3412">
        <v>100.1</v>
      </c>
      <c r="BC3412">
        <v>0.2</v>
      </c>
      <c r="BD3412">
        <v>1.1200000000000001</v>
      </c>
      <c r="BE3412">
        <v>1.2</v>
      </c>
      <c r="BF3412">
        <v>1.1100000000000001</v>
      </c>
      <c r="BG3412" t="s">
        <v>28926</v>
      </c>
      <c r="BH3412" t="s">
        <v>579</v>
      </c>
      <c r="BI3412" t="s">
        <v>4908</v>
      </c>
      <c r="BJ3412" t="s">
        <v>101</v>
      </c>
      <c r="BK3412" t="s">
        <v>12825</v>
      </c>
      <c r="BL3412" t="s">
        <v>28927</v>
      </c>
      <c r="BM3412" t="s">
        <v>28928</v>
      </c>
      <c r="BN3412" t="s">
        <v>27621</v>
      </c>
    </row>
    <row r="3413" spans="1:66" x14ac:dyDescent="0.25">
      <c r="A3413" t="str">
        <f>HYPERLINK("https://elite.finviz.com/quote.ashx?t=MKTX&amp;ty=c&amp;p=d&amp;b=1", "MKTX")</f>
        <v>MKTX</v>
      </c>
      <c r="B3413">
        <v>4</v>
      </c>
      <c r="C3413">
        <v>105.92</v>
      </c>
      <c r="D3413">
        <v>37.4</v>
      </c>
      <c r="E3413" t="s">
        <v>28929</v>
      </c>
      <c r="F3413" t="s">
        <v>107</v>
      </c>
      <c r="G3413" t="s">
        <v>550</v>
      </c>
      <c r="H3413" t="s">
        <v>551</v>
      </c>
      <c r="I3413" t="s">
        <v>70</v>
      </c>
      <c r="J3413" t="s">
        <v>321</v>
      </c>
      <c r="K3413">
        <v>6664.15</v>
      </c>
      <c r="L3413">
        <v>178.36</v>
      </c>
      <c r="M3413" t="s">
        <v>211</v>
      </c>
      <c r="N3413">
        <v>83502</v>
      </c>
      <c r="O3413">
        <v>30.01</v>
      </c>
      <c r="P3413">
        <v>21.5</v>
      </c>
      <c r="Q3413">
        <v>3.28</v>
      </c>
      <c r="R3413">
        <v>7.92</v>
      </c>
      <c r="S3413">
        <v>4.8099999999999996</v>
      </c>
      <c r="T3413" t="s">
        <v>6493</v>
      </c>
      <c r="U3413">
        <v>3.02</v>
      </c>
      <c r="V3413" t="s">
        <v>5737</v>
      </c>
      <c r="W3413" t="s">
        <v>5780</v>
      </c>
      <c r="X3413" t="s">
        <v>162</v>
      </c>
      <c r="Y3413" t="s">
        <v>5552</v>
      </c>
      <c r="Z3413" t="s">
        <v>12019</v>
      </c>
      <c r="AA3413">
        <v>5.94</v>
      </c>
      <c r="AB3413" t="s">
        <v>5121</v>
      </c>
      <c r="AC3413" t="s">
        <v>3530</v>
      </c>
      <c r="AD3413" t="s">
        <v>1423</v>
      </c>
      <c r="AE3413" t="s">
        <v>6421</v>
      </c>
      <c r="AF3413" t="s">
        <v>8966</v>
      </c>
      <c r="AG3413" t="s">
        <v>2877</v>
      </c>
      <c r="AH3413" t="s">
        <v>4621</v>
      </c>
      <c r="AI3413" t="s">
        <v>633</v>
      </c>
      <c r="AJ3413" t="s">
        <v>241</v>
      </c>
      <c r="AK3413" t="s">
        <v>18907</v>
      </c>
      <c r="AL3413">
        <v>2.27</v>
      </c>
      <c r="AM3413">
        <v>2.27</v>
      </c>
      <c r="AN3413">
        <v>0.05</v>
      </c>
      <c r="AO3413" t="s">
        <v>23108</v>
      </c>
      <c r="AP3413" t="s">
        <v>8408</v>
      </c>
      <c r="AQ3413" t="s">
        <v>6703</v>
      </c>
      <c r="AR3413" t="s">
        <v>910</v>
      </c>
      <c r="AS3413" t="s">
        <v>3842</v>
      </c>
      <c r="AT3413" t="s">
        <v>3753</v>
      </c>
      <c r="AU3413" t="s">
        <v>19459</v>
      </c>
      <c r="AV3413" t="s">
        <v>10847</v>
      </c>
      <c r="AW3413" t="s">
        <v>9443</v>
      </c>
      <c r="AX3413" t="s">
        <v>5577</v>
      </c>
      <c r="AY3413" t="s">
        <v>19299</v>
      </c>
      <c r="AZ3413" t="s">
        <v>5577</v>
      </c>
      <c r="BA3413">
        <v>2.1800000000000002</v>
      </c>
      <c r="BB3413">
        <v>708.83</v>
      </c>
      <c r="BC3413">
        <v>0.42</v>
      </c>
      <c r="BD3413">
        <v>178.17</v>
      </c>
      <c r="BE3413">
        <v>179.45</v>
      </c>
      <c r="BF3413">
        <v>178.95</v>
      </c>
      <c r="BG3413" t="s">
        <v>28930</v>
      </c>
      <c r="BH3413" t="s">
        <v>28931</v>
      </c>
      <c r="BI3413" t="s">
        <v>28932</v>
      </c>
      <c r="BJ3413" t="s">
        <v>101</v>
      </c>
      <c r="BK3413" t="s">
        <v>17172</v>
      </c>
      <c r="BL3413" t="s">
        <v>13684</v>
      </c>
      <c r="BM3413" t="s">
        <v>25189</v>
      </c>
      <c r="BN3413" t="s">
        <v>27621</v>
      </c>
    </row>
    <row r="3414" spans="1:66" x14ac:dyDescent="0.25">
      <c r="A3414" t="str">
        <f>HYPERLINK("https://elite.finviz.com/quote.ashx?t=NIXX&amp;ty=c&amp;p=d&amp;b=1", "NIXX")</f>
        <v>NIXX</v>
      </c>
      <c r="B3414">
        <v>4</v>
      </c>
      <c r="C3414">
        <v>105.92</v>
      </c>
      <c r="D3414">
        <v>37.409999999999997</v>
      </c>
      <c r="E3414" t="s">
        <v>28933</v>
      </c>
      <c r="F3414" t="s">
        <v>107</v>
      </c>
      <c r="G3414" t="s">
        <v>260</v>
      </c>
      <c r="H3414" t="s">
        <v>8693</v>
      </c>
      <c r="I3414" t="s">
        <v>70</v>
      </c>
      <c r="J3414" t="s">
        <v>321</v>
      </c>
      <c r="K3414">
        <v>29.58</v>
      </c>
      <c r="L3414">
        <v>1.42</v>
      </c>
      <c r="M3414" t="s">
        <v>1770</v>
      </c>
      <c r="N3414">
        <v>52248</v>
      </c>
      <c r="R3414">
        <v>1.96</v>
      </c>
      <c r="S3414">
        <v>4.49</v>
      </c>
      <c r="AA3414">
        <v>-3.67</v>
      </c>
      <c r="AB3414" t="s">
        <v>10650</v>
      </c>
      <c r="AC3414" t="s">
        <v>11126</v>
      </c>
      <c r="AE3414" t="s">
        <v>28934</v>
      </c>
      <c r="AF3414" t="s">
        <v>23655</v>
      </c>
      <c r="AG3414" t="s">
        <v>17620</v>
      </c>
      <c r="AH3414" t="s">
        <v>28935</v>
      </c>
      <c r="AJ3414" t="s">
        <v>164</v>
      </c>
      <c r="AK3414" t="s">
        <v>7154</v>
      </c>
      <c r="AL3414">
        <v>0.25</v>
      </c>
      <c r="AM3414">
        <v>0.25</v>
      </c>
      <c r="AN3414">
        <v>0.18</v>
      </c>
      <c r="AO3414" t="s">
        <v>269</v>
      </c>
      <c r="AP3414" t="s">
        <v>28936</v>
      </c>
      <c r="AQ3414" t="s">
        <v>28937</v>
      </c>
      <c r="AR3414" t="s">
        <v>7938</v>
      </c>
      <c r="AS3414" t="s">
        <v>484</v>
      </c>
      <c r="AT3414" t="s">
        <v>9953</v>
      </c>
      <c r="AU3414" t="s">
        <v>5866</v>
      </c>
      <c r="AV3414" t="s">
        <v>28938</v>
      </c>
      <c r="AW3414" t="s">
        <v>28009</v>
      </c>
      <c r="AX3414" t="s">
        <v>2201</v>
      </c>
      <c r="AY3414" t="s">
        <v>28939</v>
      </c>
      <c r="AZ3414" t="s">
        <v>5395</v>
      </c>
      <c r="BA3414">
        <v>1</v>
      </c>
      <c r="BB3414">
        <v>226.14</v>
      </c>
      <c r="BC3414">
        <v>0.81</v>
      </c>
      <c r="BD3414">
        <v>1.48</v>
      </c>
      <c r="BE3414">
        <v>1.48</v>
      </c>
      <c r="BF3414">
        <v>1.41</v>
      </c>
      <c r="BG3414" t="s">
        <v>28940</v>
      </c>
      <c r="BH3414" t="s">
        <v>579</v>
      </c>
      <c r="BI3414" t="s">
        <v>7687</v>
      </c>
      <c r="BJ3414" t="s">
        <v>101</v>
      </c>
      <c r="BK3414" t="s">
        <v>12589</v>
      </c>
      <c r="BL3414" t="s">
        <v>8887</v>
      </c>
      <c r="BM3414" t="s">
        <v>17462</v>
      </c>
      <c r="BN3414" t="s">
        <v>27621</v>
      </c>
    </row>
    <row r="3415" spans="1:66" x14ac:dyDescent="0.25">
      <c r="A3415" t="str">
        <f>HYPERLINK("https://elite.finviz.com/quote.ashx?t=ADV&amp;ty=c&amp;p=d&amp;b=1", "ADV")</f>
        <v>ADV</v>
      </c>
      <c r="B3415">
        <v>4</v>
      </c>
      <c r="C3415">
        <v>105.92</v>
      </c>
      <c r="D3415">
        <v>37.43</v>
      </c>
      <c r="E3415" t="s">
        <v>28941</v>
      </c>
      <c r="F3415" t="s">
        <v>67</v>
      </c>
      <c r="G3415" t="s">
        <v>598</v>
      </c>
      <c r="H3415" t="s">
        <v>1020</v>
      </c>
      <c r="I3415" t="s">
        <v>70</v>
      </c>
      <c r="J3415" t="s">
        <v>321</v>
      </c>
      <c r="K3415">
        <v>515.09</v>
      </c>
      <c r="L3415">
        <v>1.58</v>
      </c>
      <c r="M3415" t="s">
        <v>9618</v>
      </c>
      <c r="N3415">
        <v>56826</v>
      </c>
      <c r="P3415">
        <v>11.29</v>
      </c>
      <c r="R3415">
        <v>0.15</v>
      </c>
      <c r="S3415">
        <v>0.74</v>
      </c>
      <c r="AA3415">
        <v>-1.03</v>
      </c>
      <c r="AE3415" t="s">
        <v>16855</v>
      </c>
      <c r="AF3415" t="s">
        <v>124</v>
      </c>
      <c r="AH3415" t="s">
        <v>629</v>
      </c>
      <c r="AI3415" t="s">
        <v>28942</v>
      </c>
      <c r="AJ3415" t="s">
        <v>6156</v>
      </c>
      <c r="AK3415" t="s">
        <v>7834</v>
      </c>
      <c r="AL3415">
        <v>1.96</v>
      </c>
      <c r="AM3415">
        <v>1.96</v>
      </c>
      <c r="AN3415">
        <v>2.42</v>
      </c>
      <c r="AO3415" t="s">
        <v>10714</v>
      </c>
      <c r="AP3415" t="s">
        <v>3447</v>
      </c>
      <c r="AQ3415" t="s">
        <v>19565</v>
      </c>
      <c r="AR3415" t="s">
        <v>892</v>
      </c>
      <c r="AS3415" t="s">
        <v>3057</v>
      </c>
      <c r="AT3415" t="s">
        <v>8487</v>
      </c>
      <c r="AU3415" t="s">
        <v>5703</v>
      </c>
      <c r="AV3415" t="s">
        <v>11427</v>
      </c>
      <c r="AW3415" t="s">
        <v>11966</v>
      </c>
      <c r="AX3415" t="s">
        <v>3748</v>
      </c>
      <c r="AY3415" t="s">
        <v>28943</v>
      </c>
      <c r="AZ3415" t="s">
        <v>20021</v>
      </c>
      <c r="BA3415">
        <v>2.33</v>
      </c>
      <c r="BB3415">
        <v>837.22</v>
      </c>
      <c r="BC3415">
        <v>0.24</v>
      </c>
      <c r="BD3415">
        <v>1.61</v>
      </c>
      <c r="BE3415">
        <v>1.62</v>
      </c>
      <c r="BF3415">
        <v>1.58</v>
      </c>
      <c r="BG3415" t="s">
        <v>28944</v>
      </c>
      <c r="BH3415" t="s">
        <v>23501</v>
      </c>
      <c r="BI3415" t="s">
        <v>20021</v>
      </c>
      <c r="BJ3415" t="s">
        <v>101</v>
      </c>
      <c r="BK3415" t="s">
        <v>3538</v>
      </c>
      <c r="BL3415" t="s">
        <v>1202</v>
      </c>
      <c r="BM3415" t="s">
        <v>28945</v>
      </c>
      <c r="BN3415" t="s">
        <v>27621</v>
      </c>
    </row>
    <row r="3416" spans="1:66" x14ac:dyDescent="0.25">
      <c r="A3416" t="str">
        <f>HYPERLINK("https://elite.finviz.com/quote.ashx?t=YCBD&amp;ty=c&amp;p=d&amp;b=1", "YCBD")</f>
        <v>YCBD</v>
      </c>
      <c r="B3416">
        <v>4</v>
      </c>
      <c r="C3416">
        <v>105.92</v>
      </c>
      <c r="D3416">
        <v>37.44</v>
      </c>
      <c r="E3416" t="s">
        <v>28946</v>
      </c>
      <c r="F3416" t="s">
        <v>107</v>
      </c>
      <c r="G3416" t="s">
        <v>428</v>
      </c>
      <c r="H3416" t="s">
        <v>1296</v>
      </c>
      <c r="I3416" t="s">
        <v>70</v>
      </c>
      <c r="J3416" t="s">
        <v>383</v>
      </c>
      <c r="K3416">
        <v>5.43</v>
      </c>
      <c r="L3416">
        <v>0.61</v>
      </c>
      <c r="M3416" t="s">
        <v>1837</v>
      </c>
      <c r="N3416">
        <v>41217</v>
      </c>
      <c r="R3416">
        <v>0.28999999999999998</v>
      </c>
      <c r="S3416">
        <v>0.89</v>
      </c>
      <c r="AA3416">
        <v>-6.19</v>
      </c>
      <c r="AB3416" t="s">
        <v>17986</v>
      </c>
      <c r="AC3416" t="s">
        <v>6856</v>
      </c>
      <c r="AE3416" t="s">
        <v>5197</v>
      </c>
      <c r="AF3416" t="s">
        <v>28947</v>
      </c>
      <c r="AG3416" t="s">
        <v>3005</v>
      </c>
      <c r="AH3416" t="s">
        <v>16522</v>
      </c>
      <c r="AI3416" t="s">
        <v>28948</v>
      </c>
      <c r="AJ3416" t="s">
        <v>164</v>
      </c>
      <c r="AK3416" t="s">
        <v>2123</v>
      </c>
      <c r="AL3416">
        <v>1.56</v>
      </c>
      <c r="AM3416">
        <v>0.67</v>
      </c>
      <c r="AN3416">
        <v>0.16</v>
      </c>
      <c r="AO3416" t="s">
        <v>6434</v>
      </c>
      <c r="AP3416" t="s">
        <v>5559</v>
      </c>
      <c r="AQ3416" t="s">
        <v>17345</v>
      </c>
      <c r="AR3416" t="s">
        <v>10425</v>
      </c>
      <c r="AS3416" t="s">
        <v>4913</v>
      </c>
      <c r="AT3416" t="s">
        <v>968</v>
      </c>
      <c r="AU3416" t="s">
        <v>2930</v>
      </c>
      <c r="AV3416" t="s">
        <v>21932</v>
      </c>
      <c r="AW3416" t="s">
        <v>4070</v>
      </c>
      <c r="AX3416" t="s">
        <v>5779</v>
      </c>
      <c r="AY3416" t="s">
        <v>22338</v>
      </c>
      <c r="AZ3416" t="s">
        <v>5779</v>
      </c>
      <c r="BA3416">
        <v>1</v>
      </c>
      <c r="BB3416">
        <v>92.16</v>
      </c>
      <c r="BC3416">
        <v>1.59</v>
      </c>
      <c r="BD3416">
        <v>0.6</v>
      </c>
      <c r="BE3416">
        <v>0.63</v>
      </c>
      <c r="BF3416">
        <v>0.6</v>
      </c>
      <c r="BG3416" t="s">
        <v>28949</v>
      </c>
      <c r="BH3416" t="s">
        <v>3265</v>
      </c>
      <c r="BI3416" t="s">
        <v>5779</v>
      </c>
      <c r="BJ3416" t="s">
        <v>101</v>
      </c>
      <c r="BK3416" t="s">
        <v>3333</v>
      </c>
      <c r="BL3416" t="s">
        <v>28950</v>
      </c>
      <c r="BM3416" t="s">
        <v>28951</v>
      </c>
      <c r="BN3416" t="s">
        <v>27621</v>
      </c>
    </row>
    <row r="3417" spans="1:66" x14ac:dyDescent="0.25">
      <c r="A3417" t="str">
        <f>HYPERLINK("https://elite.finviz.com/quote.ashx?t=VRE&amp;ty=c&amp;p=d&amp;b=1", "VRE")</f>
        <v>VRE</v>
      </c>
      <c r="B3417">
        <v>4</v>
      </c>
      <c r="C3417">
        <v>105.92</v>
      </c>
      <c r="D3417">
        <v>37.53</v>
      </c>
      <c r="E3417" t="s">
        <v>28952</v>
      </c>
      <c r="F3417" t="s">
        <v>67</v>
      </c>
      <c r="G3417" t="s">
        <v>68</v>
      </c>
      <c r="H3417" t="s">
        <v>5671</v>
      </c>
      <c r="I3417" t="s">
        <v>70</v>
      </c>
      <c r="J3417" t="s">
        <v>71</v>
      </c>
      <c r="K3417">
        <v>1369.57</v>
      </c>
      <c r="L3417">
        <v>14.66</v>
      </c>
      <c r="M3417" t="s">
        <v>214</v>
      </c>
      <c r="N3417">
        <v>206557</v>
      </c>
      <c r="R3417">
        <v>4.8899999999999997</v>
      </c>
      <c r="S3417">
        <v>1.26</v>
      </c>
      <c r="T3417" t="s">
        <v>2808</v>
      </c>
      <c r="U3417">
        <v>0.24</v>
      </c>
      <c r="V3417" t="s">
        <v>198</v>
      </c>
      <c r="W3417" t="s">
        <v>16956</v>
      </c>
      <c r="Y3417" t="s">
        <v>27575</v>
      </c>
      <c r="AA3417">
        <v>-0.26</v>
      </c>
      <c r="AB3417" t="s">
        <v>3416</v>
      </c>
      <c r="AD3417" t="s">
        <v>3058</v>
      </c>
      <c r="AE3417" t="s">
        <v>182</v>
      </c>
      <c r="AF3417" t="s">
        <v>3140</v>
      </c>
      <c r="AG3417" t="s">
        <v>8933</v>
      </c>
      <c r="AH3417" t="s">
        <v>3918</v>
      </c>
      <c r="AI3417" t="s">
        <v>28953</v>
      </c>
      <c r="AJ3417" t="s">
        <v>164</v>
      </c>
      <c r="AK3417" t="s">
        <v>26653</v>
      </c>
      <c r="AL3417">
        <v>4.41</v>
      </c>
      <c r="AM3417">
        <v>4.41</v>
      </c>
      <c r="AN3417">
        <v>1.65</v>
      </c>
      <c r="AO3417" t="s">
        <v>8958</v>
      </c>
      <c r="AP3417" t="s">
        <v>5057</v>
      </c>
      <c r="AQ3417" t="s">
        <v>15037</v>
      </c>
      <c r="AR3417" t="s">
        <v>4267</v>
      </c>
      <c r="AS3417" t="s">
        <v>3671</v>
      </c>
      <c r="AT3417" t="s">
        <v>12466</v>
      </c>
      <c r="AU3417" t="s">
        <v>5000</v>
      </c>
      <c r="AV3417" t="s">
        <v>625</v>
      </c>
      <c r="AW3417" t="s">
        <v>5445</v>
      </c>
      <c r="AX3417" t="s">
        <v>906</v>
      </c>
      <c r="AY3417" t="s">
        <v>6788</v>
      </c>
      <c r="AZ3417" t="s">
        <v>906</v>
      </c>
      <c r="BA3417">
        <v>2.33</v>
      </c>
      <c r="BB3417">
        <v>592.85</v>
      </c>
      <c r="BC3417">
        <v>1.23</v>
      </c>
      <c r="BD3417">
        <v>14.95</v>
      </c>
      <c r="BE3417">
        <v>14.93</v>
      </c>
      <c r="BF3417">
        <v>14.66</v>
      </c>
      <c r="BG3417" t="s">
        <v>28954</v>
      </c>
      <c r="BH3417" t="s">
        <v>28955</v>
      </c>
      <c r="BI3417" t="s">
        <v>27229</v>
      </c>
      <c r="BJ3417" t="s">
        <v>101</v>
      </c>
      <c r="BK3417" t="s">
        <v>4595</v>
      </c>
      <c r="BL3417" t="s">
        <v>15299</v>
      </c>
      <c r="BM3417" t="s">
        <v>219</v>
      </c>
      <c r="BN3417" t="s">
        <v>27621</v>
      </c>
    </row>
    <row r="3418" spans="1:66" x14ac:dyDescent="0.25">
      <c r="A3418" t="str">
        <f>HYPERLINK("https://elite.finviz.com/quote.ashx?t=GENK&amp;ty=c&amp;p=d&amp;b=1", "GENK")</f>
        <v>GENK</v>
      </c>
      <c r="B3418">
        <v>4</v>
      </c>
      <c r="C3418">
        <v>105.92</v>
      </c>
      <c r="D3418">
        <v>37.53</v>
      </c>
      <c r="E3418" t="s">
        <v>28956</v>
      </c>
      <c r="F3418" t="s">
        <v>107</v>
      </c>
      <c r="G3418" t="s">
        <v>813</v>
      </c>
      <c r="H3418" t="s">
        <v>2285</v>
      </c>
      <c r="I3418" t="s">
        <v>70</v>
      </c>
      <c r="J3418" t="s">
        <v>321</v>
      </c>
      <c r="K3418">
        <v>98.8</v>
      </c>
      <c r="L3418">
        <v>3</v>
      </c>
      <c r="M3418" t="s">
        <v>2290</v>
      </c>
      <c r="N3418">
        <v>7860</v>
      </c>
      <c r="R3418">
        <v>0.46</v>
      </c>
      <c r="S3418">
        <v>1.02</v>
      </c>
      <c r="V3418" t="s">
        <v>28957</v>
      </c>
      <c r="Z3418" t="s">
        <v>164</v>
      </c>
      <c r="AA3418">
        <v>-0.15</v>
      </c>
      <c r="AB3418" t="s">
        <v>14380</v>
      </c>
      <c r="AE3418" t="s">
        <v>531</v>
      </c>
      <c r="AF3418" t="s">
        <v>6498</v>
      </c>
      <c r="AG3418" t="s">
        <v>2253</v>
      </c>
      <c r="AH3418" t="s">
        <v>633</v>
      </c>
      <c r="AJ3418" t="s">
        <v>5253</v>
      </c>
      <c r="AK3418" t="s">
        <v>8959</v>
      </c>
      <c r="AL3418">
        <v>0.44</v>
      </c>
      <c r="AM3418">
        <v>0.42</v>
      </c>
      <c r="AN3418">
        <v>11.38</v>
      </c>
      <c r="AO3418" t="s">
        <v>1822</v>
      </c>
      <c r="AP3418" t="s">
        <v>7332</v>
      </c>
      <c r="AQ3418" t="s">
        <v>9925</v>
      </c>
      <c r="AR3418" t="s">
        <v>3745</v>
      </c>
      <c r="AS3418" t="s">
        <v>2370</v>
      </c>
      <c r="AT3418" t="s">
        <v>1779</v>
      </c>
      <c r="AU3418" t="s">
        <v>19351</v>
      </c>
      <c r="AV3418" t="s">
        <v>28958</v>
      </c>
      <c r="AW3418" t="s">
        <v>19299</v>
      </c>
      <c r="AX3418" t="s">
        <v>1252</v>
      </c>
      <c r="AY3418" t="s">
        <v>28129</v>
      </c>
      <c r="AZ3418" t="s">
        <v>1252</v>
      </c>
      <c r="BA3418">
        <v>1</v>
      </c>
      <c r="BB3418">
        <v>68.8</v>
      </c>
      <c r="BC3418">
        <v>0.41</v>
      </c>
      <c r="BD3418">
        <v>2.99</v>
      </c>
      <c r="BE3418">
        <v>3.08</v>
      </c>
      <c r="BF3418">
        <v>2.98</v>
      </c>
      <c r="BG3418" t="s">
        <v>28959</v>
      </c>
      <c r="BH3418" t="s">
        <v>2703</v>
      </c>
      <c r="BI3418" t="s">
        <v>1252</v>
      </c>
      <c r="BJ3418" t="s">
        <v>101</v>
      </c>
      <c r="BK3418" t="s">
        <v>3464</v>
      </c>
      <c r="BL3418" t="s">
        <v>11356</v>
      </c>
      <c r="BM3418" t="s">
        <v>14478</v>
      </c>
      <c r="BN3418" t="s">
        <v>27621</v>
      </c>
    </row>
    <row r="3419" spans="1:66" x14ac:dyDescent="0.25">
      <c r="A3419" t="str">
        <f>HYPERLINK("https://elite.finviz.com/quote.ashx?t=ULY&amp;ty=c&amp;p=d&amp;b=1", "ULY")</f>
        <v>ULY</v>
      </c>
      <c r="B3419">
        <v>4</v>
      </c>
      <c r="C3419">
        <v>105.92</v>
      </c>
      <c r="D3419">
        <v>37.54</v>
      </c>
      <c r="E3419" t="s">
        <v>28960</v>
      </c>
      <c r="F3419" t="s">
        <v>107</v>
      </c>
      <c r="G3419" t="s">
        <v>108</v>
      </c>
      <c r="H3419" t="s">
        <v>136</v>
      </c>
      <c r="I3419" t="s">
        <v>70</v>
      </c>
      <c r="J3419" t="s">
        <v>321</v>
      </c>
      <c r="K3419">
        <v>5.03</v>
      </c>
      <c r="L3419">
        <v>3.6</v>
      </c>
      <c r="M3419" t="s">
        <v>6150</v>
      </c>
      <c r="N3419">
        <v>947</v>
      </c>
      <c r="R3419">
        <v>0.04</v>
      </c>
      <c r="AA3419">
        <v>-26.44</v>
      </c>
      <c r="AB3419" t="s">
        <v>10132</v>
      </c>
      <c r="AE3419" t="s">
        <v>21794</v>
      </c>
      <c r="AF3419" t="s">
        <v>3484</v>
      </c>
      <c r="AH3419" t="s">
        <v>9741</v>
      </c>
      <c r="AI3419" t="s">
        <v>867</v>
      </c>
      <c r="AJ3419" t="s">
        <v>11675</v>
      </c>
      <c r="AK3419" t="s">
        <v>4946</v>
      </c>
      <c r="AL3419">
        <v>0.92</v>
      </c>
      <c r="AM3419">
        <v>0.92</v>
      </c>
      <c r="AO3419" t="s">
        <v>11578</v>
      </c>
      <c r="AP3419" t="s">
        <v>613</v>
      </c>
      <c r="AQ3419" t="s">
        <v>19909</v>
      </c>
      <c r="AR3419" t="s">
        <v>6573</v>
      </c>
      <c r="AS3419" t="s">
        <v>12974</v>
      </c>
      <c r="AT3419" t="s">
        <v>6757</v>
      </c>
      <c r="AU3419" t="s">
        <v>9211</v>
      </c>
      <c r="AV3419" t="s">
        <v>28961</v>
      </c>
      <c r="AW3419" t="s">
        <v>4680</v>
      </c>
      <c r="AX3419" t="s">
        <v>3981</v>
      </c>
      <c r="AY3419" t="s">
        <v>6367</v>
      </c>
      <c r="AZ3419" t="s">
        <v>8466</v>
      </c>
      <c r="BA3419">
        <v>1</v>
      </c>
      <c r="BB3419">
        <v>94.92</v>
      </c>
      <c r="BC3419">
        <v>0.04</v>
      </c>
      <c r="BD3419">
        <v>3.48</v>
      </c>
      <c r="BE3419">
        <v>3.48</v>
      </c>
      <c r="BF3419">
        <v>3.48</v>
      </c>
      <c r="BG3419" t="s">
        <v>28962</v>
      </c>
      <c r="BH3419" t="s">
        <v>519</v>
      </c>
      <c r="BI3419" t="s">
        <v>8466</v>
      </c>
      <c r="BJ3419" t="s">
        <v>101</v>
      </c>
      <c r="BK3419" t="s">
        <v>20130</v>
      </c>
      <c r="BL3419" t="s">
        <v>8663</v>
      </c>
      <c r="BM3419" t="s">
        <v>23889</v>
      </c>
      <c r="BN3419" t="s">
        <v>27621</v>
      </c>
    </row>
    <row r="3420" spans="1:66" x14ac:dyDescent="0.25">
      <c r="A3420" t="str">
        <f>HYPERLINK("https://elite.finviz.com/quote.ashx?t=LEA&amp;ty=c&amp;p=d&amp;b=1", "LEA")</f>
        <v>LEA</v>
      </c>
      <c r="B3420">
        <v>4</v>
      </c>
      <c r="C3420">
        <v>105.92</v>
      </c>
      <c r="D3420">
        <v>37.56</v>
      </c>
      <c r="E3420" t="s">
        <v>28963</v>
      </c>
      <c r="F3420" t="s">
        <v>107</v>
      </c>
      <c r="G3420" t="s">
        <v>813</v>
      </c>
      <c r="H3420" t="s">
        <v>814</v>
      </c>
      <c r="I3420" t="s">
        <v>70</v>
      </c>
      <c r="J3420" t="s">
        <v>71</v>
      </c>
      <c r="K3420">
        <v>5363.97</v>
      </c>
      <c r="L3420">
        <v>100.82</v>
      </c>
      <c r="M3420" t="s">
        <v>2418</v>
      </c>
      <c r="N3420">
        <v>104974</v>
      </c>
      <c r="O3420">
        <v>11.78</v>
      </c>
      <c r="P3420">
        <v>7.2</v>
      </c>
      <c r="Q3420">
        <v>1.27</v>
      </c>
      <c r="R3420">
        <v>0.23</v>
      </c>
      <c r="S3420">
        <v>1.06</v>
      </c>
      <c r="T3420" t="s">
        <v>203</v>
      </c>
      <c r="U3420">
        <v>3.08</v>
      </c>
      <c r="V3420" t="s">
        <v>7315</v>
      </c>
      <c r="W3420" t="s">
        <v>164</v>
      </c>
      <c r="X3420" t="s">
        <v>2728</v>
      </c>
      <c r="Y3420" t="s">
        <v>2362</v>
      </c>
      <c r="Z3420" t="s">
        <v>26780</v>
      </c>
      <c r="AA3420">
        <v>8.56</v>
      </c>
      <c r="AB3420" t="s">
        <v>15351</v>
      </c>
      <c r="AC3420" t="s">
        <v>9725</v>
      </c>
      <c r="AD3420" t="s">
        <v>7387</v>
      </c>
      <c r="AE3420" t="s">
        <v>13365</v>
      </c>
      <c r="AF3420" t="s">
        <v>2124</v>
      </c>
      <c r="AG3420" t="s">
        <v>3636</v>
      </c>
      <c r="AH3420" t="s">
        <v>3446</v>
      </c>
      <c r="AI3420" t="s">
        <v>3855</v>
      </c>
      <c r="AJ3420" t="s">
        <v>5852</v>
      </c>
      <c r="AK3420" t="s">
        <v>28964</v>
      </c>
      <c r="AL3420">
        <v>1.34</v>
      </c>
      <c r="AM3420">
        <v>1.07</v>
      </c>
      <c r="AN3420">
        <v>0.7</v>
      </c>
      <c r="AO3420" t="s">
        <v>1495</v>
      </c>
      <c r="AP3420" t="s">
        <v>4908</v>
      </c>
      <c r="AQ3420" t="s">
        <v>6151</v>
      </c>
      <c r="AR3420" t="s">
        <v>4600</v>
      </c>
      <c r="AS3420" t="s">
        <v>4800</v>
      </c>
      <c r="AT3420" t="s">
        <v>5301</v>
      </c>
      <c r="AU3420" t="s">
        <v>81</v>
      </c>
      <c r="AV3420" t="s">
        <v>2580</v>
      </c>
      <c r="AW3420" t="s">
        <v>19240</v>
      </c>
      <c r="AX3420" t="s">
        <v>6344</v>
      </c>
      <c r="AY3420" t="s">
        <v>14579</v>
      </c>
      <c r="AZ3420" t="s">
        <v>1823</v>
      </c>
      <c r="BA3420">
        <v>2.29</v>
      </c>
      <c r="BB3420">
        <v>675.2</v>
      </c>
      <c r="BC3420">
        <v>0.55000000000000004</v>
      </c>
      <c r="BD3420">
        <v>100.26</v>
      </c>
      <c r="BE3420">
        <v>100.96</v>
      </c>
      <c r="BF3420">
        <v>99.81</v>
      </c>
      <c r="BG3420" t="s">
        <v>28965</v>
      </c>
      <c r="BH3420" t="s">
        <v>7277</v>
      </c>
      <c r="BI3420" t="s">
        <v>28966</v>
      </c>
      <c r="BJ3420" t="s">
        <v>101</v>
      </c>
      <c r="BK3420" t="s">
        <v>1691</v>
      </c>
      <c r="BL3420" t="s">
        <v>584</v>
      </c>
      <c r="BM3420" t="s">
        <v>1571</v>
      </c>
      <c r="BN3420" t="s">
        <v>27621</v>
      </c>
    </row>
    <row r="3421" spans="1:66" x14ac:dyDescent="0.25">
      <c r="A3421" t="str">
        <f>HYPERLINK("https://elite.finviz.com/quote.ashx?t=SRTS&amp;ty=c&amp;p=d&amp;b=1", "SRTS")</f>
        <v>SRTS</v>
      </c>
      <c r="B3421">
        <v>4</v>
      </c>
      <c r="C3421">
        <v>105.92</v>
      </c>
      <c r="D3421">
        <v>37.6</v>
      </c>
      <c r="E3421" t="s">
        <v>28967</v>
      </c>
      <c r="F3421" t="s">
        <v>107</v>
      </c>
      <c r="G3421" t="s">
        <v>428</v>
      </c>
      <c r="H3421" t="s">
        <v>2051</v>
      </c>
      <c r="I3421" t="s">
        <v>70</v>
      </c>
      <c r="J3421" t="s">
        <v>321</v>
      </c>
      <c r="K3421">
        <v>51.46</v>
      </c>
      <c r="L3421">
        <v>3.13</v>
      </c>
      <c r="M3421" t="s">
        <v>164</v>
      </c>
      <c r="N3421">
        <v>3519</v>
      </c>
      <c r="P3421">
        <v>14.73</v>
      </c>
      <c r="R3421">
        <v>1.37</v>
      </c>
      <c r="S3421">
        <v>0.99</v>
      </c>
      <c r="Z3421" t="s">
        <v>164</v>
      </c>
      <c r="AA3421">
        <v>-0.05</v>
      </c>
      <c r="AB3421" t="s">
        <v>7406</v>
      </c>
      <c r="AD3421" t="s">
        <v>9096</v>
      </c>
      <c r="AE3421" t="s">
        <v>3636</v>
      </c>
      <c r="AF3421" t="s">
        <v>583</v>
      </c>
      <c r="AG3421" t="s">
        <v>4193</v>
      </c>
      <c r="AH3421" t="s">
        <v>12539</v>
      </c>
      <c r="AI3421" t="s">
        <v>28968</v>
      </c>
      <c r="AJ3421" t="s">
        <v>5549</v>
      </c>
      <c r="AK3421" t="s">
        <v>9223</v>
      </c>
      <c r="AL3421">
        <v>8.14</v>
      </c>
      <c r="AM3421">
        <v>5.79</v>
      </c>
      <c r="AN3421">
        <v>0.01</v>
      </c>
      <c r="AO3421" t="s">
        <v>4433</v>
      </c>
      <c r="AP3421" t="s">
        <v>4439</v>
      </c>
      <c r="AQ3421" t="s">
        <v>8293</v>
      </c>
      <c r="AR3421" t="s">
        <v>2700</v>
      </c>
      <c r="AS3421" t="s">
        <v>5111</v>
      </c>
      <c r="AT3421" t="s">
        <v>2190</v>
      </c>
      <c r="AU3421" t="s">
        <v>6571</v>
      </c>
      <c r="AV3421" t="s">
        <v>7034</v>
      </c>
      <c r="AW3421" t="s">
        <v>16974</v>
      </c>
      <c r="AX3421" t="s">
        <v>3636</v>
      </c>
      <c r="AY3421" t="s">
        <v>16030</v>
      </c>
      <c r="AZ3421" t="s">
        <v>3636</v>
      </c>
      <c r="BA3421">
        <v>1</v>
      </c>
      <c r="BB3421">
        <v>132.93</v>
      </c>
      <c r="BC3421">
        <v>0.09</v>
      </c>
      <c r="BD3421">
        <v>3.13</v>
      </c>
      <c r="BE3421">
        <v>3.14</v>
      </c>
      <c r="BF3421">
        <v>3.12</v>
      </c>
      <c r="BG3421" t="s">
        <v>28969</v>
      </c>
      <c r="BH3421" t="s">
        <v>28970</v>
      </c>
      <c r="BI3421" t="s">
        <v>28971</v>
      </c>
      <c r="BJ3421" t="s">
        <v>101</v>
      </c>
      <c r="BK3421" t="s">
        <v>21578</v>
      </c>
      <c r="BL3421" t="s">
        <v>17399</v>
      </c>
      <c r="BM3421" t="s">
        <v>28972</v>
      </c>
      <c r="BN3421" t="s">
        <v>27621</v>
      </c>
    </row>
    <row r="3422" spans="1:66" x14ac:dyDescent="0.25">
      <c r="A3422" t="str">
        <f>HYPERLINK("https://elite.finviz.com/quote.ashx?t=KIDS&amp;ty=c&amp;p=d&amp;b=1", "KIDS")</f>
        <v>KIDS</v>
      </c>
      <c r="B3422">
        <v>4</v>
      </c>
      <c r="C3422">
        <v>105.92</v>
      </c>
      <c r="D3422">
        <v>37.6</v>
      </c>
      <c r="E3422" t="s">
        <v>28973</v>
      </c>
      <c r="F3422" t="s">
        <v>67</v>
      </c>
      <c r="G3422" t="s">
        <v>428</v>
      </c>
      <c r="H3422" t="s">
        <v>2051</v>
      </c>
      <c r="I3422" t="s">
        <v>70</v>
      </c>
      <c r="J3422" t="s">
        <v>321</v>
      </c>
      <c r="K3422">
        <v>456.84</v>
      </c>
      <c r="L3422">
        <v>18.22</v>
      </c>
      <c r="M3422" t="s">
        <v>3018</v>
      </c>
      <c r="N3422">
        <v>36506</v>
      </c>
      <c r="R3422">
        <v>2.0699999999999998</v>
      </c>
      <c r="S3422">
        <v>1.28</v>
      </c>
      <c r="AA3422">
        <v>-1.8</v>
      </c>
      <c r="AB3422" t="s">
        <v>15906</v>
      </c>
      <c r="AC3422" t="s">
        <v>15540</v>
      </c>
      <c r="AD3422" t="s">
        <v>1115</v>
      </c>
      <c r="AE3422" t="s">
        <v>12914</v>
      </c>
      <c r="AF3422" t="s">
        <v>7177</v>
      </c>
      <c r="AG3422" t="s">
        <v>15907</v>
      </c>
      <c r="AH3422" t="s">
        <v>5408</v>
      </c>
      <c r="AI3422" t="s">
        <v>28974</v>
      </c>
      <c r="AJ3422" t="s">
        <v>4507</v>
      </c>
      <c r="AK3422" t="s">
        <v>1273</v>
      </c>
      <c r="AL3422">
        <v>6.66</v>
      </c>
      <c r="AM3422">
        <v>3.43</v>
      </c>
      <c r="AN3422">
        <v>0.28000000000000003</v>
      </c>
      <c r="AO3422" t="s">
        <v>17501</v>
      </c>
      <c r="AP3422" t="s">
        <v>4729</v>
      </c>
      <c r="AQ3422" t="s">
        <v>13220</v>
      </c>
      <c r="AR3422" t="s">
        <v>1981</v>
      </c>
      <c r="AS3422" t="s">
        <v>3519</v>
      </c>
      <c r="AT3422" t="s">
        <v>7996</v>
      </c>
      <c r="AU3422" t="s">
        <v>9261</v>
      </c>
      <c r="AV3422" t="s">
        <v>10341</v>
      </c>
      <c r="AW3422" t="s">
        <v>2497</v>
      </c>
      <c r="AX3422" t="s">
        <v>3335</v>
      </c>
      <c r="AY3422" t="s">
        <v>26214</v>
      </c>
      <c r="AZ3422" t="s">
        <v>3335</v>
      </c>
      <c r="BA3422">
        <v>1.29</v>
      </c>
      <c r="BB3422">
        <v>156.07</v>
      </c>
      <c r="BC3422">
        <v>0.82</v>
      </c>
      <c r="BD3422">
        <v>18.02</v>
      </c>
      <c r="BE3422">
        <v>18.5</v>
      </c>
      <c r="BF3422">
        <v>18</v>
      </c>
      <c r="BG3422" t="s">
        <v>28975</v>
      </c>
      <c r="BH3422" t="s">
        <v>17511</v>
      </c>
      <c r="BI3422" t="s">
        <v>1135</v>
      </c>
      <c r="BJ3422" t="s">
        <v>101</v>
      </c>
      <c r="BK3422" t="s">
        <v>487</v>
      </c>
      <c r="BL3422" t="s">
        <v>1400</v>
      </c>
      <c r="BM3422" t="s">
        <v>3384</v>
      </c>
      <c r="BN3422" t="s">
        <v>27621</v>
      </c>
    </row>
    <row r="3423" spans="1:66" x14ac:dyDescent="0.25">
      <c r="A3423" t="str">
        <f>HYPERLINK("https://elite.finviz.com/quote.ashx?t=ICUI&amp;ty=c&amp;p=d&amp;b=1", "ICUI")</f>
        <v>ICUI</v>
      </c>
      <c r="B3423">
        <v>4</v>
      </c>
      <c r="C3423">
        <v>105.92</v>
      </c>
      <c r="D3423">
        <v>37.64</v>
      </c>
      <c r="E3423" t="s">
        <v>28976</v>
      </c>
      <c r="F3423" t="s">
        <v>67</v>
      </c>
      <c r="G3423" t="s">
        <v>428</v>
      </c>
      <c r="H3423" t="s">
        <v>2161</v>
      </c>
      <c r="I3423" t="s">
        <v>70</v>
      </c>
      <c r="J3423" t="s">
        <v>321</v>
      </c>
      <c r="K3423">
        <v>2943.28</v>
      </c>
      <c r="L3423">
        <v>119.23</v>
      </c>
      <c r="M3423" t="s">
        <v>969</v>
      </c>
      <c r="N3423">
        <v>25621</v>
      </c>
      <c r="P3423">
        <v>14.84</v>
      </c>
      <c r="R3423">
        <v>1.24</v>
      </c>
      <c r="S3423">
        <v>1.39</v>
      </c>
      <c r="AA3423">
        <v>-1.52</v>
      </c>
      <c r="AD3423" t="s">
        <v>3531</v>
      </c>
      <c r="AE3423" t="s">
        <v>5132</v>
      </c>
      <c r="AF3423" t="s">
        <v>8641</v>
      </c>
      <c r="AG3423" t="s">
        <v>10403</v>
      </c>
      <c r="AH3423" t="s">
        <v>2467</v>
      </c>
      <c r="AI3423" t="s">
        <v>10230</v>
      </c>
      <c r="AJ3423" t="s">
        <v>2969</v>
      </c>
      <c r="AK3423" t="s">
        <v>28977</v>
      </c>
      <c r="AL3423">
        <v>2.44</v>
      </c>
      <c r="AM3423">
        <v>1.17</v>
      </c>
      <c r="AN3423">
        <v>0.66</v>
      </c>
      <c r="AO3423" t="s">
        <v>10386</v>
      </c>
      <c r="AP3423" t="s">
        <v>2316</v>
      </c>
      <c r="AQ3423" t="s">
        <v>5070</v>
      </c>
      <c r="AR3423" t="s">
        <v>5026</v>
      </c>
      <c r="AS3423" t="s">
        <v>2822</v>
      </c>
      <c r="AT3423" t="s">
        <v>5271</v>
      </c>
      <c r="AU3423" t="s">
        <v>10228</v>
      </c>
      <c r="AV3423" t="s">
        <v>18707</v>
      </c>
      <c r="AW3423" t="s">
        <v>16721</v>
      </c>
      <c r="AX3423" t="s">
        <v>6331</v>
      </c>
      <c r="AY3423" t="s">
        <v>13536</v>
      </c>
      <c r="AZ3423" t="s">
        <v>6331</v>
      </c>
      <c r="BA3423">
        <v>1.43</v>
      </c>
      <c r="BB3423">
        <v>300.58</v>
      </c>
      <c r="BC3423">
        <v>0.3</v>
      </c>
      <c r="BD3423">
        <v>118.26</v>
      </c>
      <c r="BE3423">
        <v>119.18</v>
      </c>
      <c r="BF3423">
        <v>118.81</v>
      </c>
      <c r="BG3423" t="s">
        <v>28978</v>
      </c>
      <c r="BH3423" t="s">
        <v>15563</v>
      </c>
      <c r="BI3423" t="s">
        <v>28979</v>
      </c>
      <c r="BJ3423" t="s">
        <v>101</v>
      </c>
      <c r="BK3423" t="s">
        <v>119</v>
      </c>
      <c r="BL3423" t="s">
        <v>15468</v>
      </c>
      <c r="BM3423" t="s">
        <v>6744</v>
      </c>
      <c r="BN3423" t="s">
        <v>27621</v>
      </c>
    </row>
    <row r="3424" spans="1:66" x14ac:dyDescent="0.25">
      <c r="A3424" t="str">
        <f>HYPERLINK("https://elite.finviz.com/quote.ashx?t=MRCC&amp;ty=c&amp;p=d&amp;b=1", "MRCC")</f>
        <v>MRCC</v>
      </c>
      <c r="B3424">
        <v>4</v>
      </c>
      <c r="C3424">
        <v>105.92</v>
      </c>
      <c r="D3424">
        <v>37.65</v>
      </c>
      <c r="E3424" t="s">
        <v>28980</v>
      </c>
      <c r="F3424" t="s">
        <v>107</v>
      </c>
      <c r="G3424" t="s">
        <v>550</v>
      </c>
      <c r="H3424" t="s">
        <v>2597</v>
      </c>
      <c r="I3424" t="s">
        <v>70</v>
      </c>
      <c r="J3424" t="s">
        <v>321</v>
      </c>
      <c r="K3424">
        <v>152.1</v>
      </c>
      <c r="L3424">
        <v>7.02</v>
      </c>
      <c r="M3424" t="s">
        <v>7464</v>
      </c>
      <c r="N3424">
        <v>32311</v>
      </c>
      <c r="O3424">
        <v>78</v>
      </c>
      <c r="P3424">
        <v>9.99</v>
      </c>
      <c r="R3424">
        <v>2.97</v>
      </c>
      <c r="S3424">
        <v>0.85</v>
      </c>
      <c r="T3424" t="s">
        <v>15187</v>
      </c>
      <c r="U3424">
        <v>1</v>
      </c>
      <c r="V3424" t="s">
        <v>4676</v>
      </c>
      <c r="W3424" t="s">
        <v>164</v>
      </c>
      <c r="X3424" t="s">
        <v>164</v>
      </c>
      <c r="Y3424" t="s">
        <v>3401</v>
      </c>
      <c r="Z3424" t="s">
        <v>28981</v>
      </c>
      <c r="AA3424">
        <v>0.09</v>
      </c>
      <c r="AH3424" t="s">
        <v>27629</v>
      </c>
      <c r="AI3424" t="s">
        <v>8887</v>
      </c>
      <c r="AJ3424" t="s">
        <v>164</v>
      </c>
      <c r="AK3424" t="s">
        <v>1099</v>
      </c>
      <c r="AR3424" t="s">
        <v>5187</v>
      </c>
      <c r="AS3424" t="s">
        <v>6692</v>
      </c>
      <c r="AT3424" t="s">
        <v>3859</v>
      </c>
      <c r="AU3424" t="s">
        <v>1763</v>
      </c>
      <c r="AV3424" t="s">
        <v>5294</v>
      </c>
      <c r="AW3424" t="s">
        <v>19464</v>
      </c>
      <c r="AX3424" t="s">
        <v>1844</v>
      </c>
      <c r="AY3424" t="s">
        <v>26247</v>
      </c>
      <c r="AZ3424" t="s">
        <v>1844</v>
      </c>
      <c r="BB3424">
        <v>105.2</v>
      </c>
      <c r="BC3424">
        <v>1.0900000000000001</v>
      </c>
      <c r="BD3424">
        <v>6.99</v>
      </c>
      <c r="BE3424">
        <v>7.09</v>
      </c>
      <c r="BF3424">
        <v>6.91</v>
      </c>
      <c r="BG3424" t="s">
        <v>28982</v>
      </c>
      <c r="BH3424" t="s">
        <v>20377</v>
      </c>
      <c r="BI3424" t="s">
        <v>22259</v>
      </c>
      <c r="BJ3424" t="s">
        <v>101</v>
      </c>
      <c r="BK3424" t="s">
        <v>249</v>
      </c>
      <c r="BL3424" t="s">
        <v>478</v>
      </c>
      <c r="BM3424" t="s">
        <v>9472</v>
      </c>
      <c r="BN3424" t="s">
        <v>27621</v>
      </c>
    </row>
    <row r="3425" spans="1:66" x14ac:dyDescent="0.25">
      <c r="A3425" t="str">
        <f>HYPERLINK("https://elite.finviz.com/quote.ashx?t=MKTW&amp;ty=c&amp;p=d&amp;b=1", "MKTW")</f>
        <v>MKTW</v>
      </c>
      <c r="B3425">
        <v>4</v>
      </c>
      <c r="C3425">
        <v>105.92</v>
      </c>
      <c r="D3425">
        <v>37.65</v>
      </c>
      <c r="E3425" t="s">
        <v>28983</v>
      </c>
      <c r="F3425" t="s">
        <v>67</v>
      </c>
      <c r="G3425" t="s">
        <v>550</v>
      </c>
      <c r="H3425" t="s">
        <v>16129</v>
      </c>
      <c r="I3425" t="s">
        <v>70</v>
      </c>
      <c r="J3425" t="s">
        <v>321</v>
      </c>
      <c r="K3425">
        <v>271.27</v>
      </c>
      <c r="L3425">
        <v>16.57</v>
      </c>
      <c r="M3425" t="s">
        <v>2610</v>
      </c>
      <c r="N3425">
        <v>2932</v>
      </c>
      <c r="O3425">
        <v>1.55</v>
      </c>
      <c r="R3425">
        <v>0.76</v>
      </c>
      <c r="T3425" t="s">
        <v>2653</v>
      </c>
      <c r="U3425">
        <v>0.78</v>
      </c>
      <c r="V3425" t="s">
        <v>3046</v>
      </c>
      <c r="W3425" t="s">
        <v>10378</v>
      </c>
      <c r="Z3425" t="s">
        <v>6868</v>
      </c>
      <c r="AA3425">
        <v>10.71</v>
      </c>
      <c r="AE3425" t="s">
        <v>28984</v>
      </c>
      <c r="AF3425" t="s">
        <v>11932</v>
      </c>
      <c r="AG3425" t="s">
        <v>307</v>
      </c>
      <c r="AH3425" t="s">
        <v>18254</v>
      </c>
      <c r="AI3425" t="s">
        <v>4997</v>
      </c>
      <c r="AJ3425" t="s">
        <v>2215</v>
      </c>
      <c r="AK3425" t="s">
        <v>15421</v>
      </c>
      <c r="AL3425">
        <v>0.34</v>
      </c>
      <c r="AM3425">
        <v>0.34</v>
      </c>
      <c r="AO3425" t="s">
        <v>21906</v>
      </c>
      <c r="AP3425" t="s">
        <v>10649</v>
      </c>
      <c r="AQ3425" t="s">
        <v>2274</v>
      </c>
      <c r="AR3425" t="s">
        <v>8016</v>
      </c>
      <c r="AS3425" t="s">
        <v>1933</v>
      </c>
      <c r="AT3425" t="s">
        <v>4559</v>
      </c>
      <c r="AU3425" t="s">
        <v>2632</v>
      </c>
      <c r="AV3425" t="s">
        <v>6723</v>
      </c>
      <c r="AW3425" t="s">
        <v>16057</v>
      </c>
      <c r="AX3425" t="s">
        <v>2554</v>
      </c>
      <c r="AY3425" t="s">
        <v>16057</v>
      </c>
      <c r="AZ3425" t="s">
        <v>28985</v>
      </c>
      <c r="BA3425">
        <v>3</v>
      </c>
      <c r="BB3425">
        <v>14.95</v>
      </c>
      <c r="BC3425">
        <v>0.69</v>
      </c>
      <c r="BD3425">
        <v>16.399999999999999</v>
      </c>
      <c r="BE3425">
        <v>16.559999999999999</v>
      </c>
      <c r="BF3425">
        <v>16.45</v>
      </c>
      <c r="BG3425" t="s">
        <v>28986</v>
      </c>
      <c r="BH3425" t="s">
        <v>17146</v>
      </c>
      <c r="BI3425" t="s">
        <v>28985</v>
      </c>
      <c r="BJ3425" t="s">
        <v>101</v>
      </c>
      <c r="BK3425" t="s">
        <v>8098</v>
      </c>
      <c r="BL3425" t="s">
        <v>11708</v>
      </c>
      <c r="BM3425" t="s">
        <v>15401</v>
      </c>
      <c r="BN3425" t="s">
        <v>27621</v>
      </c>
    </row>
    <row r="3426" spans="1:66" x14ac:dyDescent="0.25">
      <c r="A3426" t="str">
        <f>HYPERLINK("https://elite.finviz.com/quote.ashx?t=COLM&amp;ty=c&amp;p=d&amp;b=1", "COLM")</f>
        <v>COLM</v>
      </c>
      <c r="B3426">
        <v>4</v>
      </c>
      <c r="C3426">
        <v>105.92</v>
      </c>
      <c r="D3426">
        <v>37.67</v>
      </c>
      <c r="E3426" t="s">
        <v>28987</v>
      </c>
      <c r="F3426" t="s">
        <v>107</v>
      </c>
      <c r="G3426" t="s">
        <v>813</v>
      </c>
      <c r="H3426" t="s">
        <v>7446</v>
      </c>
      <c r="I3426" t="s">
        <v>70</v>
      </c>
      <c r="J3426" t="s">
        <v>321</v>
      </c>
      <c r="K3426">
        <v>2810.25</v>
      </c>
      <c r="L3426">
        <v>51.31</v>
      </c>
      <c r="M3426" t="s">
        <v>2734</v>
      </c>
      <c r="N3426">
        <v>75051</v>
      </c>
      <c r="O3426">
        <v>13.06</v>
      </c>
      <c r="P3426">
        <v>16.399999999999999</v>
      </c>
      <c r="R3426">
        <v>0.82</v>
      </c>
      <c r="S3426">
        <v>1.7</v>
      </c>
      <c r="T3426" t="s">
        <v>4600</v>
      </c>
      <c r="U3426">
        <v>1.2</v>
      </c>
      <c r="V3426" t="s">
        <v>5037</v>
      </c>
      <c r="W3426" t="s">
        <v>164</v>
      </c>
      <c r="X3426" t="s">
        <v>585</v>
      </c>
      <c r="Y3426" t="s">
        <v>371</v>
      </c>
      <c r="Z3426" t="s">
        <v>7958</v>
      </c>
      <c r="AA3426">
        <v>3.93</v>
      </c>
      <c r="AB3426" t="s">
        <v>7543</v>
      </c>
      <c r="AC3426" t="s">
        <v>706</v>
      </c>
      <c r="AD3426" t="s">
        <v>7356</v>
      </c>
      <c r="AE3426" t="s">
        <v>747</v>
      </c>
      <c r="AF3426" t="s">
        <v>1776</v>
      </c>
      <c r="AG3426" t="s">
        <v>4276</v>
      </c>
      <c r="AH3426" t="s">
        <v>283</v>
      </c>
      <c r="AI3426" t="s">
        <v>347</v>
      </c>
      <c r="AJ3426" t="s">
        <v>1249</v>
      </c>
      <c r="AK3426" t="s">
        <v>11829</v>
      </c>
      <c r="AL3426">
        <v>2.4900000000000002</v>
      </c>
      <c r="AM3426">
        <v>1.27</v>
      </c>
      <c r="AN3426">
        <v>0.28999999999999998</v>
      </c>
      <c r="AO3426" t="s">
        <v>766</v>
      </c>
      <c r="AP3426" t="s">
        <v>4416</v>
      </c>
      <c r="AQ3426" t="s">
        <v>3429</v>
      </c>
      <c r="AR3426" t="s">
        <v>911</v>
      </c>
      <c r="AS3426" t="s">
        <v>2273</v>
      </c>
      <c r="AT3426" t="s">
        <v>402</v>
      </c>
      <c r="AU3426" t="s">
        <v>4122</v>
      </c>
      <c r="AV3426" t="s">
        <v>10129</v>
      </c>
      <c r="AW3426" t="s">
        <v>9915</v>
      </c>
      <c r="AX3426" t="s">
        <v>8593</v>
      </c>
      <c r="AY3426" t="s">
        <v>24433</v>
      </c>
      <c r="AZ3426" t="s">
        <v>8593</v>
      </c>
      <c r="BA3426">
        <v>2.91</v>
      </c>
      <c r="BB3426">
        <v>704.44</v>
      </c>
      <c r="BC3426">
        <v>0.38</v>
      </c>
      <c r="BD3426">
        <v>50.89</v>
      </c>
      <c r="BE3426">
        <v>51.51</v>
      </c>
      <c r="BF3426">
        <v>51</v>
      </c>
      <c r="BG3426" t="s">
        <v>28988</v>
      </c>
      <c r="BH3426" t="s">
        <v>28989</v>
      </c>
      <c r="BI3426" t="s">
        <v>28990</v>
      </c>
      <c r="BJ3426" t="s">
        <v>101</v>
      </c>
      <c r="BK3426" t="s">
        <v>8330</v>
      </c>
      <c r="BL3426" t="s">
        <v>28991</v>
      </c>
      <c r="BM3426" t="s">
        <v>26348</v>
      </c>
      <c r="BN3426" t="s">
        <v>27621</v>
      </c>
    </row>
    <row r="3427" spans="1:66" x14ac:dyDescent="0.25">
      <c r="A3427" t="str">
        <f>HYPERLINK("https://elite.finviz.com/quote.ashx?t=WEX&amp;ty=c&amp;p=d&amp;b=1", "WEX")</f>
        <v>WEX</v>
      </c>
      <c r="B3427">
        <v>4</v>
      </c>
      <c r="C3427">
        <v>105.92</v>
      </c>
      <c r="D3427">
        <v>37.69</v>
      </c>
      <c r="E3427" t="s">
        <v>28992</v>
      </c>
      <c r="F3427" t="s">
        <v>107</v>
      </c>
      <c r="G3427" t="s">
        <v>108</v>
      </c>
      <c r="H3427" t="s">
        <v>109</v>
      </c>
      <c r="I3427" t="s">
        <v>70</v>
      </c>
      <c r="J3427" t="s">
        <v>71</v>
      </c>
      <c r="K3427">
        <v>5424.31</v>
      </c>
      <c r="L3427">
        <v>158.31</v>
      </c>
      <c r="M3427" t="s">
        <v>6156</v>
      </c>
      <c r="N3427">
        <v>35392</v>
      </c>
      <c r="O3427">
        <v>20</v>
      </c>
      <c r="P3427">
        <v>9.0299999999999994</v>
      </c>
      <c r="Q3427">
        <v>2.2599999999999998</v>
      </c>
      <c r="R3427">
        <v>2.09</v>
      </c>
      <c r="S3427">
        <v>5.55</v>
      </c>
      <c r="Z3427" t="s">
        <v>164</v>
      </c>
      <c r="AA3427">
        <v>7.91</v>
      </c>
      <c r="AB3427" t="s">
        <v>28993</v>
      </c>
      <c r="AC3427" t="s">
        <v>22478</v>
      </c>
      <c r="AD3427" t="s">
        <v>2584</v>
      </c>
      <c r="AE3427" t="s">
        <v>3172</v>
      </c>
      <c r="AF3427" t="s">
        <v>4593</v>
      </c>
      <c r="AG3427" t="s">
        <v>1370</v>
      </c>
      <c r="AH3427" t="s">
        <v>14331</v>
      </c>
      <c r="AI3427" t="s">
        <v>3777</v>
      </c>
      <c r="AJ3427" t="s">
        <v>1842</v>
      </c>
      <c r="AK3427" t="s">
        <v>28994</v>
      </c>
      <c r="AL3427">
        <v>1.04</v>
      </c>
      <c r="AM3427">
        <v>1.04</v>
      </c>
      <c r="AN3427">
        <v>5.56</v>
      </c>
      <c r="AO3427" t="s">
        <v>28995</v>
      </c>
      <c r="AP3427" t="s">
        <v>13325</v>
      </c>
      <c r="AQ3427" t="s">
        <v>2820</v>
      </c>
      <c r="AR3427" t="s">
        <v>7088</v>
      </c>
      <c r="AS3427" t="s">
        <v>4216</v>
      </c>
      <c r="AT3427" t="s">
        <v>4475</v>
      </c>
      <c r="AU3427" t="s">
        <v>7300</v>
      </c>
      <c r="AV3427" t="s">
        <v>5158</v>
      </c>
      <c r="AW3427" t="s">
        <v>12939</v>
      </c>
      <c r="AX3427" t="s">
        <v>10926</v>
      </c>
      <c r="AY3427" t="s">
        <v>2152</v>
      </c>
      <c r="AZ3427" t="s">
        <v>5762</v>
      </c>
      <c r="BA3427">
        <v>2.88</v>
      </c>
      <c r="BB3427">
        <v>419.88</v>
      </c>
      <c r="BC3427">
        <v>0.3</v>
      </c>
      <c r="BD3427">
        <v>158.06</v>
      </c>
      <c r="BE3427">
        <v>159.79</v>
      </c>
      <c r="BF3427">
        <v>157.43</v>
      </c>
      <c r="BG3427" t="s">
        <v>28996</v>
      </c>
      <c r="BH3427" t="s">
        <v>11588</v>
      </c>
      <c r="BI3427" t="s">
        <v>28997</v>
      </c>
      <c r="BJ3427" t="s">
        <v>101</v>
      </c>
      <c r="BK3427" t="s">
        <v>5122</v>
      </c>
      <c r="BL3427" t="s">
        <v>3118</v>
      </c>
      <c r="BM3427" t="s">
        <v>20709</v>
      </c>
      <c r="BN3427" t="s">
        <v>27621</v>
      </c>
    </row>
    <row r="3428" spans="1:66" x14ac:dyDescent="0.25">
      <c r="A3428" t="str">
        <f>HYPERLINK("https://elite.finviz.com/quote.ashx?t=GWW&amp;ty=c&amp;p=d&amp;b=1", "GWW")</f>
        <v>GWW</v>
      </c>
      <c r="B3428">
        <v>4</v>
      </c>
      <c r="C3428">
        <v>105.92</v>
      </c>
      <c r="D3428">
        <v>37.71</v>
      </c>
      <c r="E3428" t="s">
        <v>28998</v>
      </c>
      <c r="F3428" t="s">
        <v>195</v>
      </c>
      <c r="G3428" t="s">
        <v>260</v>
      </c>
      <c r="H3428" t="s">
        <v>8107</v>
      </c>
      <c r="I3428" t="s">
        <v>70</v>
      </c>
      <c r="J3428" t="s">
        <v>71</v>
      </c>
      <c r="K3428">
        <v>45836.2</v>
      </c>
      <c r="L3428">
        <v>958.27</v>
      </c>
      <c r="M3428" t="s">
        <v>8179</v>
      </c>
      <c r="N3428">
        <v>25226</v>
      </c>
      <c r="O3428">
        <v>24.18</v>
      </c>
      <c r="P3428">
        <v>21.78</v>
      </c>
      <c r="Q3428">
        <v>3.15</v>
      </c>
      <c r="R3428">
        <v>2.62</v>
      </c>
      <c r="S3428">
        <v>12.5</v>
      </c>
      <c r="T3428" t="s">
        <v>2864</v>
      </c>
      <c r="U3428">
        <v>8.6199999999999992</v>
      </c>
      <c r="V3428" t="s">
        <v>893</v>
      </c>
      <c r="W3428" t="s">
        <v>2400</v>
      </c>
      <c r="X3428" t="s">
        <v>4437</v>
      </c>
      <c r="Y3428" t="s">
        <v>661</v>
      </c>
      <c r="Z3428" t="s">
        <v>3591</v>
      </c>
      <c r="AA3428">
        <v>39.630000000000003</v>
      </c>
      <c r="AB3428" t="s">
        <v>18338</v>
      </c>
      <c r="AC3428" t="s">
        <v>17310</v>
      </c>
      <c r="AD3428" t="s">
        <v>7403</v>
      </c>
      <c r="AE3428" t="s">
        <v>3520</v>
      </c>
      <c r="AF3428" t="s">
        <v>3305</v>
      </c>
      <c r="AG3428" t="s">
        <v>5700</v>
      </c>
      <c r="AH3428" t="s">
        <v>7971</v>
      </c>
      <c r="AI3428" t="s">
        <v>1722</v>
      </c>
      <c r="AJ3428" t="s">
        <v>6192</v>
      </c>
      <c r="AK3428" t="s">
        <v>9983</v>
      </c>
      <c r="AL3428">
        <v>2.82</v>
      </c>
      <c r="AM3428">
        <v>1.64</v>
      </c>
      <c r="AN3428">
        <v>0.74</v>
      </c>
      <c r="AO3428" t="s">
        <v>22747</v>
      </c>
      <c r="AP3428" t="s">
        <v>6690</v>
      </c>
      <c r="AQ3428" t="s">
        <v>7556</v>
      </c>
      <c r="AR3428" t="s">
        <v>909</v>
      </c>
      <c r="AS3428" t="s">
        <v>6975</v>
      </c>
      <c r="AT3428" t="s">
        <v>405</v>
      </c>
      <c r="AU3428" t="s">
        <v>4645</v>
      </c>
      <c r="AV3428" t="s">
        <v>10617</v>
      </c>
      <c r="AW3428" t="s">
        <v>1884</v>
      </c>
      <c r="AX3428" t="s">
        <v>3119</v>
      </c>
      <c r="AY3428" t="s">
        <v>14477</v>
      </c>
      <c r="AZ3428" t="s">
        <v>3432</v>
      </c>
      <c r="BA3428">
        <v>2.86</v>
      </c>
      <c r="BB3428">
        <v>332.94</v>
      </c>
      <c r="BC3428">
        <v>0.27</v>
      </c>
      <c r="BD3428">
        <v>951.71</v>
      </c>
      <c r="BE3428">
        <v>960.92</v>
      </c>
      <c r="BF3428">
        <v>955.96</v>
      </c>
      <c r="BG3428" t="s">
        <v>28999</v>
      </c>
      <c r="BH3428" t="s">
        <v>14477</v>
      </c>
      <c r="BI3428" t="s">
        <v>29000</v>
      </c>
      <c r="BJ3428" t="s">
        <v>101</v>
      </c>
      <c r="BK3428" t="s">
        <v>10431</v>
      </c>
      <c r="BL3428" t="s">
        <v>3640</v>
      </c>
      <c r="BM3428" t="s">
        <v>10411</v>
      </c>
      <c r="BN3428" t="s">
        <v>27621</v>
      </c>
    </row>
    <row r="3429" spans="1:66" x14ac:dyDescent="0.25">
      <c r="A3429" t="str">
        <f>HYPERLINK("https://elite.finviz.com/quote.ashx?t=AMBQ&amp;ty=c&amp;p=d&amp;b=1", "AMBQ")</f>
        <v>AMBQ</v>
      </c>
      <c r="B3429">
        <v>4</v>
      </c>
      <c r="C3429">
        <v>105.92</v>
      </c>
      <c r="D3429">
        <v>37.71</v>
      </c>
      <c r="E3429" t="s">
        <v>29001</v>
      </c>
      <c r="F3429" t="s">
        <v>67</v>
      </c>
      <c r="G3429" t="s">
        <v>108</v>
      </c>
      <c r="H3429" t="s">
        <v>1808</v>
      </c>
      <c r="I3429" t="s">
        <v>70</v>
      </c>
      <c r="J3429" t="s">
        <v>71</v>
      </c>
      <c r="K3429">
        <v>546.85</v>
      </c>
      <c r="L3429">
        <v>29.98</v>
      </c>
      <c r="M3429" t="s">
        <v>2176</v>
      </c>
      <c r="N3429">
        <v>49324</v>
      </c>
      <c r="AB3429" t="s">
        <v>19132</v>
      </c>
      <c r="AF3429" t="s">
        <v>8564</v>
      </c>
      <c r="AI3429" t="s">
        <v>2742</v>
      </c>
      <c r="AJ3429" t="s">
        <v>164</v>
      </c>
      <c r="AL3429">
        <v>5.6</v>
      </c>
      <c r="AM3429">
        <v>4.42</v>
      </c>
      <c r="AN3429">
        <v>0.01</v>
      </c>
      <c r="AR3429" t="s">
        <v>2744</v>
      </c>
      <c r="AS3429" t="s">
        <v>506</v>
      </c>
      <c r="AT3429" t="s">
        <v>9202</v>
      </c>
      <c r="AU3429" t="s">
        <v>529</v>
      </c>
      <c r="AV3429" t="s">
        <v>529</v>
      </c>
      <c r="AW3429" t="s">
        <v>1270</v>
      </c>
      <c r="AX3429" t="s">
        <v>745</v>
      </c>
      <c r="AY3429" t="s">
        <v>1270</v>
      </c>
      <c r="AZ3429" t="s">
        <v>745</v>
      </c>
      <c r="BA3429">
        <v>2</v>
      </c>
      <c r="BB3429">
        <v>510.29</v>
      </c>
      <c r="BC3429">
        <v>0.34</v>
      </c>
      <c r="BD3429">
        <v>30.38</v>
      </c>
      <c r="BE3429">
        <v>31</v>
      </c>
      <c r="BF3429">
        <v>29.76</v>
      </c>
      <c r="BG3429" t="s">
        <v>29002</v>
      </c>
      <c r="BH3429" t="s">
        <v>1270</v>
      </c>
      <c r="BI3429" t="s">
        <v>745</v>
      </c>
      <c r="BJ3429" t="s">
        <v>101</v>
      </c>
      <c r="BN3429" t="s">
        <v>27621</v>
      </c>
    </row>
    <row r="3430" spans="1:66" x14ac:dyDescent="0.25">
      <c r="A3430" t="str">
        <f>HYPERLINK("https://elite.finviz.com/quote.ashx?t=WERN&amp;ty=c&amp;p=d&amp;b=1", "WERN")</f>
        <v>WERN</v>
      </c>
      <c r="B3430">
        <v>4</v>
      </c>
      <c r="C3430">
        <v>105.92</v>
      </c>
      <c r="D3430">
        <v>37.72</v>
      </c>
      <c r="E3430" t="s">
        <v>29003</v>
      </c>
      <c r="F3430" t="s">
        <v>67</v>
      </c>
      <c r="G3430" t="s">
        <v>260</v>
      </c>
      <c r="H3430" t="s">
        <v>6190</v>
      </c>
      <c r="I3430" t="s">
        <v>70</v>
      </c>
      <c r="J3430" t="s">
        <v>321</v>
      </c>
      <c r="K3430">
        <v>1582.76</v>
      </c>
      <c r="L3430">
        <v>26.45</v>
      </c>
      <c r="M3430" t="s">
        <v>3169</v>
      </c>
      <c r="N3430">
        <v>97002</v>
      </c>
      <c r="O3430">
        <v>30.88</v>
      </c>
      <c r="P3430">
        <v>21.77</v>
      </c>
      <c r="Q3430">
        <v>0.53</v>
      </c>
      <c r="R3430">
        <v>0.53</v>
      </c>
      <c r="S3430">
        <v>1.1100000000000001</v>
      </c>
      <c r="T3430" t="s">
        <v>2430</v>
      </c>
      <c r="U3430">
        <v>0.56000000000000005</v>
      </c>
      <c r="V3430" t="s">
        <v>11435</v>
      </c>
      <c r="W3430" t="s">
        <v>1303</v>
      </c>
      <c r="X3430" t="s">
        <v>11629</v>
      </c>
      <c r="Y3430" t="s">
        <v>268</v>
      </c>
      <c r="Z3430" t="s">
        <v>29004</v>
      </c>
      <c r="AA3430">
        <v>0.86</v>
      </c>
      <c r="AB3430" t="s">
        <v>6508</v>
      </c>
      <c r="AC3430" t="s">
        <v>16096</v>
      </c>
      <c r="AD3430" t="s">
        <v>20061</v>
      </c>
      <c r="AE3430" t="s">
        <v>7008</v>
      </c>
      <c r="AF3430" t="s">
        <v>903</v>
      </c>
      <c r="AG3430" t="s">
        <v>1302</v>
      </c>
      <c r="AH3430" t="s">
        <v>3113</v>
      </c>
      <c r="AI3430" t="s">
        <v>29005</v>
      </c>
      <c r="AJ3430" t="s">
        <v>164</v>
      </c>
      <c r="AK3430" t="s">
        <v>29006</v>
      </c>
      <c r="AL3430">
        <v>1.67</v>
      </c>
      <c r="AM3430">
        <v>1.63</v>
      </c>
      <c r="AN3430">
        <v>0.54</v>
      </c>
      <c r="AO3430" t="s">
        <v>3952</v>
      </c>
      <c r="AP3430" t="s">
        <v>5188</v>
      </c>
      <c r="AQ3430" t="s">
        <v>3757</v>
      </c>
      <c r="AR3430" t="s">
        <v>4710</v>
      </c>
      <c r="AS3430" t="s">
        <v>4976</v>
      </c>
      <c r="AT3430" t="s">
        <v>11801</v>
      </c>
      <c r="AU3430" t="s">
        <v>4073</v>
      </c>
      <c r="AV3430" t="s">
        <v>6214</v>
      </c>
      <c r="AW3430" t="s">
        <v>14529</v>
      </c>
      <c r="AX3430" t="s">
        <v>3208</v>
      </c>
      <c r="AY3430" t="s">
        <v>29007</v>
      </c>
      <c r="AZ3430" t="s">
        <v>18834</v>
      </c>
      <c r="BA3430">
        <v>3.12</v>
      </c>
      <c r="BB3430">
        <v>823.2</v>
      </c>
      <c r="BC3430">
        <v>0.42</v>
      </c>
      <c r="BD3430">
        <v>26.25</v>
      </c>
      <c r="BE3430">
        <v>26.65</v>
      </c>
      <c r="BF3430">
        <v>26.25</v>
      </c>
      <c r="BG3430" t="s">
        <v>29008</v>
      </c>
      <c r="BH3430" t="s">
        <v>29009</v>
      </c>
      <c r="BI3430" t="s">
        <v>29010</v>
      </c>
      <c r="BJ3430" t="s">
        <v>101</v>
      </c>
      <c r="BK3430" t="s">
        <v>15052</v>
      </c>
      <c r="BL3430" t="s">
        <v>14896</v>
      </c>
      <c r="BM3430" t="s">
        <v>19714</v>
      </c>
      <c r="BN3430" t="s">
        <v>27621</v>
      </c>
    </row>
    <row r="3431" spans="1:66" x14ac:dyDescent="0.25">
      <c r="A3431" t="str">
        <f>HYPERLINK("https://elite.finviz.com/quote.ashx?t=HOV&amp;ty=c&amp;p=d&amp;b=1", "HOV")</f>
        <v>HOV</v>
      </c>
      <c r="B3431">
        <v>4</v>
      </c>
      <c r="C3431">
        <v>105.92</v>
      </c>
      <c r="D3431">
        <v>37.83</v>
      </c>
      <c r="E3431" t="s">
        <v>29011</v>
      </c>
      <c r="F3431" t="s">
        <v>67</v>
      </c>
      <c r="G3431" t="s">
        <v>813</v>
      </c>
      <c r="H3431" t="s">
        <v>5054</v>
      </c>
      <c r="I3431" t="s">
        <v>70</v>
      </c>
      <c r="J3431" t="s">
        <v>71</v>
      </c>
      <c r="K3431">
        <v>727.02</v>
      </c>
      <c r="L3431">
        <v>129.47999999999999</v>
      </c>
      <c r="M3431" t="s">
        <v>2402</v>
      </c>
      <c r="N3431">
        <v>27000</v>
      </c>
      <c r="O3431">
        <v>6.31</v>
      </c>
      <c r="P3431">
        <v>761.65</v>
      </c>
      <c r="R3431">
        <v>0.23</v>
      </c>
      <c r="S3431">
        <v>1.0900000000000001</v>
      </c>
      <c r="Z3431" t="s">
        <v>164</v>
      </c>
      <c r="AA3431">
        <v>20.51</v>
      </c>
      <c r="AB3431" t="s">
        <v>10626</v>
      </c>
      <c r="AE3431" t="s">
        <v>7854</v>
      </c>
      <c r="AF3431" t="s">
        <v>213</v>
      </c>
      <c r="AG3431" t="s">
        <v>4518</v>
      </c>
      <c r="AH3431" t="s">
        <v>602</v>
      </c>
      <c r="AI3431" t="s">
        <v>29012</v>
      </c>
      <c r="AJ3431" t="s">
        <v>1938</v>
      </c>
      <c r="AK3431" t="s">
        <v>10932</v>
      </c>
      <c r="AL3431">
        <v>3.27</v>
      </c>
      <c r="AM3431">
        <v>0.54</v>
      </c>
      <c r="AN3431">
        <v>1.1299999999999999</v>
      </c>
      <c r="AO3431" t="s">
        <v>5893</v>
      </c>
      <c r="AP3431" t="s">
        <v>283</v>
      </c>
      <c r="AQ3431" t="s">
        <v>247</v>
      </c>
      <c r="AR3431" t="s">
        <v>2732</v>
      </c>
      <c r="AS3431" t="s">
        <v>5554</v>
      </c>
      <c r="AT3431" t="s">
        <v>14960</v>
      </c>
      <c r="AU3431" t="s">
        <v>6775</v>
      </c>
      <c r="AV3431" t="s">
        <v>5658</v>
      </c>
      <c r="AW3431" t="s">
        <v>27836</v>
      </c>
      <c r="AX3431" t="s">
        <v>6154</v>
      </c>
      <c r="AY3431" t="s">
        <v>29013</v>
      </c>
      <c r="AZ3431" t="s">
        <v>12240</v>
      </c>
      <c r="BA3431">
        <v>3</v>
      </c>
      <c r="BB3431">
        <v>144.77000000000001</v>
      </c>
      <c r="BC3431">
        <v>0.66</v>
      </c>
      <c r="BD3431">
        <v>129.82</v>
      </c>
      <c r="BE3431">
        <v>132.24</v>
      </c>
      <c r="BF3431">
        <v>128.88999999999999</v>
      </c>
      <c r="BG3431" t="s">
        <v>29014</v>
      </c>
      <c r="BH3431" t="s">
        <v>29015</v>
      </c>
      <c r="BI3431" t="s">
        <v>29016</v>
      </c>
      <c r="BJ3431" t="s">
        <v>101</v>
      </c>
      <c r="BK3431" t="s">
        <v>14761</v>
      </c>
      <c r="BL3431" t="s">
        <v>11495</v>
      </c>
      <c r="BM3431" t="s">
        <v>22548</v>
      </c>
      <c r="BN3431" t="s">
        <v>27621</v>
      </c>
    </row>
    <row r="3432" spans="1:66" x14ac:dyDescent="0.25">
      <c r="A3432" t="str">
        <f>HYPERLINK("https://elite.finviz.com/quote.ashx?t=AMWL&amp;ty=c&amp;p=d&amp;b=1", "AMWL")</f>
        <v>AMWL</v>
      </c>
      <c r="B3432">
        <v>4</v>
      </c>
      <c r="C3432">
        <v>105.92</v>
      </c>
      <c r="D3432">
        <v>37.840000000000003</v>
      </c>
      <c r="E3432" t="s">
        <v>29017</v>
      </c>
      <c r="F3432" t="s">
        <v>107</v>
      </c>
      <c r="G3432" t="s">
        <v>428</v>
      </c>
      <c r="H3432" t="s">
        <v>2075</v>
      </c>
      <c r="I3432" t="s">
        <v>70</v>
      </c>
      <c r="J3432" t="s">
        <v>71</v>
      </c>
      <c r="K3432">
        <v>101.11</v>
      </c>
      <c r="L3432">
        <v>6.26</v>
      </c>
      <c r="M3432" t="s">
        <v>679</v>
      </c>
      <c r="N3432">
        <v>21873</v>
      </c>
      <c r="R3432">
        <v>0.37</v>
      </c>
      <c r="S3432">
        <v>0.36</v>
      </c>
      <c r="AA3432">
        <v>-8.07</v>
      </c>
      <c r="AB3432" t="s">
        <v>406</v>
      </c>
      <c r="AC3432" t="s">
        <v>1024</v>
      </c>
      <c r="AD3432" t="s">
        <v>29018</v>
      </c>
      <c r="AE3432" t="s">
        <v>2581</v>
      </c>
      <c r="AF3432" t="s">
        <v>497</v>
      </c>
      <c r="AG3432" t="s">
        <v>9718</v>
      </c>
      <c r="AH3432" t="s">
        <v>1116</v>
      </c>
      <c r="AI3432" t="s">
        <v>6360</v>
      </c>
      <c r="AJ3432" t="s">
        <v>4953</v>
      </c>
      <c r="AK3432" t="s">
        <v>5844</v>
      </c>
      <c r="AL3432">
        <v>3.27</v>
      </c>
      <c r="AM3432">
        <v>3.24</v>
      </c>
      <c r="AN3432">
        <v>0.02</v>
      </c>
      <c r="AO3432" t="s">
        <v>20438</v>
      </c>
      <c r="AP3432" t="s">
        <v>25692</v>
      </c>
      <c r="AQ3432" t="s">
        <v>4605</v>
      </c>
      <c r="AR3432" t="s">
        <v>4956</v>
      </c>
      <c r="AS3432" t="s">
        <v>975</v>
      </c>
      <c r="AT3432" t="s">
        <v>6469</v>
      </c>
      <c r="AU3432" t="s">
        <v>10968</v>
      </c>
      <c r="AV3432" t="s">
        <v>8260</v>
      </c>
      <c r="AW3432" t="s">
        <v>14488</v>
      </c>
      <c r="AX3432" t="s">
        <v>3456</v>
      </c>
      <c r="AY3432" t="s">
        <v>29019</v>
      </c>
      <c r="AZ3432" t="s">
        <v>3456</v>
      </c>
      <c r="BA3432">
        <v>2.78</v>
      </c>
      <c r="BB3432">
        <v>61.48</v>
      </c>
      <c r="BC3432">
        <v>1.26</v>
      </c>
      <c r="BD3432">
        <v>6.12</v>
      </c>
      <c r="BE3432">
        <v>6.31</v>
      </c>
      <c r="BF3432">
        <v>6.18</v>
      </c>
      <c r="BG3432" t="s">
        <v>29020</v>
      </c>
      <c r="BH3432" t="s">
        <v>5920</v>
      </c>
      <c r="BI3432" t="s">
        <v>5754</v>
      </c>
      <c r="BJ3432" t="s">
        <v>101</v>
      </c>
      <c r="BK3432" t="s">
        <v>15626</v>
      </c>
      <c r="BL3432" t="s">
        <v>1451</v>
      </c>
      <c r="BM3432" t="s">
        <v>24071</v>
      </c>
      <c r="BN3432" t="s">
        <v>27621</v>
      </c>
    </row>
    <row r="3433" spans="1:66" x14ac:dyDescent="0.25">
      <c r="A3433" t="str">
        <f>HYPERLINK("https://elite.finviz.com/quote.ashx?t=NOTV&amp;ty=c&amp;p=d&amp;b=1", "NOTV")</f>
        <v>NOTV</v>
      </c>
      <c r="B3433">
        <v>4</v>
      </c>
      <c r="C3433">
        <v>105.92</v>
      </c>
      <c r="D3433">
        <v>37.840000000000003</v>
      </c>
      <c r="E3433" t="s">
        <v>29021</v>
      </c>
      <c r="F3433" t="s">
        <v>107</v>
      </c>
      <c r="G3433" t="s">
        <v>428</v>
      </c>
      <c r="H3433" t="s">
        <v>4202</v>
      </c>
      <c r="I3433" t="s">
        <v>70</v>
      </c>
      <c r="J3433" t="s">
        <v>321</v>
      </c>
      <c r="K3433">
        <v>46.89</v>
      </c>
      <c r="L3433">
        <v>1.37</v>
      </c>
      <c r="M3433" t="s">
        <v>3000</v>
      </c>
      <c r="N3433">
        <v>60244</v>
      </c>
      <c r="R3433">
        <v>0.09</v>
      </c>
      <c r="S3433">
        <v>0.33</v>
      </c>
      <c r="AA3433">
        <v>-2.69</v>
      </c>
      <c r="AC3433" t="s">
        <v>29022</v>
      </c>
      <c r="AE3433" t="s">
        <v>3013</v>
      </c>
      <c r="AF3433" t="s">
        <v>2490</v>
      </c>
      <c r="AG3433" t="s">
        <v>20234</v>
      </c>
      <c r="AH3433" t="s">
        <v>7125</v>
      </c>
      <c r="AI3433" t="s">
        <v>29023</v>
      </c>
      <c r="AJ3433" t="s">
        <v>4703</v>
      </c>
      <c r="AK3433" t="s">
        <v>16688</v>
      </c>
      <c r="AL3433">
        <v>1.29</v>
      </c>
      <c r="AM3433">
        <v>0.81</v>
      </c>
      <c r="AN3433">
        <v>3.12</v>
      </c>
      <c r="AO3433" t="s">
        <v>8356</v>
      </c>
      <c r="AP3433" t="s">
        <v>10411</v>
      </c>
      <c r="AQ3433" t="s">
        <v>11481</v>
      </c>
      <c r="AR3433" t="s">
        <v>5557</v>
      </c>
      <c r="AS3433" t="s">
        <v>2783</v>
      </c>
      <c r="AT3433" t="s">
        <v>19119</v>
      </c>
      <c r="AU3433" t="s">
        <v>13815</v>
      </c>
      <c r="AV3433" t="s">
        <v>29024</v>
      </c>
      <c r="AW3433" t="s">
        <v>19574</v>
      </c>
      <c r="AX3433" t="s">
        <v>5658</v>
      </c>
      <c r="AY3433" t="s">
        <v>29025</v>
      </c>
      <c r="AZ3433" t="s">
        <v>13570</v>
      </c>
      <c r="BA3433">
        <v>1</v>
      </c>
      <c r="BB3433">
        <v>437.25</v>
      </c>
      <c r="BC3433">
        <v>0.49</v>
      </c>
      <c r="BD3433">
        <v>1.36</v>
      </c>
      <c r="BE3433">
        <v>1.39</v>
      </c>
      <c r="BF3433">
        <v>1.35</v>
      </c>
      <c r="BG3433" t="s">
        <v>29026</v>
      </c>
      <c r="BH3433" t="s">
        <v>19234</v>
      </c>
      <c r="BI3433" t="s">
        <v>29027</v>
      </c>
      <c r="BJ3433" t="s">
        <v>101</v>
      </c>
      <c r="BK3433" t="s">
        <v>9565</v>
      </c>
      <c r="BL3433" t="s">
        <v>29028</v>
      </c>
      <c r="BM3433" t="s">
        <v>2249</v>
      </c>
      <c r="BN3433" t="s">
        <v>27621</v>
      </c>
    </row>
    <row r="3434" spans="1:66" x14ac:dyDescent="0.25">
      <c r="A3434" t="str">
        <f>HYPERLINK("https://elite.finviz.com/quote.ashx?t=KNSL&amp;ty=c&amp;p=d&amp;b=1", "KNSL")</f>
        <v>KNSL</v>
      </c>
      <c r="B3434">
        <v>4</v>
      </c>
      <c r="C3434">
        <v>105.92</v>
      </c>
      <c r="D3434">
        <v>37.869999999999997</v>
      </c>
      <c r="E3434" t="s">
        <v>29029</v>
      </c>
      <c r="F3434" t="s">
        <v>107</v>
      </c>
      <c r="G3434" t="s">
        <v>550</v>
      </c>
      <c r="H3434" t="s">
        <v>4407</v>
      </c>
      <c r="I3434" t="s">
        <v>70</v>
      </c>
      <c r="J3434" t="s">
        <v>71</v>
      </c>
      <c r="K3434">
        <v>9767.1299999999992</v>
      </c>
      <c r="L3434">
        <v>419.19</v>
      </c>
      <c r="M3434" t="s">
        <v>2630</v>
      </c>
      <c r="N3434">
        <v>100906</v>
      </c>
      <c r="O3434">
        <v>21.88</v>
      </c>
      <c r="P3434">
        <v>20.32</v>
      </c>
      <c r="Q3434">
        <v>1.83</v>
      </c>
      <c r="R3434">
        <v>5.67</v>
      </c>
      <c r="S3434">
        <v>5.69</v>
      </c>
      <c r="T3434" t="s">
        <v>6156</v>
      </c>
      <c r="U3434">
        <v>0.66</v>
      </c>
      <c r="V3434" t="s">
        <v>4882</v>
      </c>
      <c r="W3434" t="s">
        <v>5114</v>
      </c>
      <c r="X3434" t="s">
        <v>4067</v>
      </c>
      <c r="Y3434" t="s">
        <v>7298</v>
      </c>
      <c r="Z3434" t="s">
        <v>3454</v>
      </c>
      <c r="AA3434">
        <v>19.16</v>
      </c>
      <c r="AB3434" t="s">
        <v>12706</v>
      </c>
      <c r="AC3434" t="s">
        <v>19184</v>
      </c>
      <c r="AD3434" t="s">
        <v>3644</v>
      </c>
      <c r="AE3434" t="s">
        <v>7749</v>
      </c>
      <c r="AF3434" t="s">
        <v>2410</v>
      </c>
      <c r="AG3434" t="s">
        <v>20134</v>
      </c>
      <c r="AH3434" t="s">
        <v>13932</v>
      </c>
      <c r="AI3434" t="s">
        <v>1736</v>
      </c>
      <c r="AJ3434" t="s">
        <v>3495</v>
      </c>
      <c r="AK3434" t="s">
        <v>8243</v>
      </c>
      <c r="AL3434">
        <v>0.28999999999999998</v>
      </c>
      <c r="AN3434">
        <v>0.11</v>
      </c>
      <c r="AP3434" t="s">
        <v>4793</v>
      </c>
      <c r="AQ3434" t="s">
        <v>3582</v>
      </c>
      <c r="AR3434" t="s">
        <v>2496</v>
      </c>
      <c r="AS3434" t="s">
        <v>3208</v>
      </c>
      <c r="AT3434" t="s">
        <v>2162</v>
      </c>
      <c r="AU3434" t="s">
        <v>657</v>
      </c>
      <c r="AV3434" t="s">
        <v>4712</v>
      </c>
      <c r="AW3434" t="s">
        <v>1362</v>
      </c>
      <c r="AX3434" t="s">
        <v>4916</v>
      </c>
      <c r="AY3434" t="s">
        <v>924</v>
      </c>
      <c r="AZ3434" t="s">
        <v>2700</v>
      </c>
      <c r="BA3434">
        <v>2.5</v>
      </c>
      <c r="BB3434">
        <v>216.44</v>
      </c>
      <c r="BC3434">
        <v>1.64</v>
      </c>
      <c r="BD3434">
        <v>415.15</v>
      </c>
      <c r="BE3434">
        <v>419.97</v>
      </c>
      <c r="BF3434">
        <v>418.88</v>
      </c>
      <c r="BG3434" t="s">
        <v>29030</v>
      </c>
      <c r="BH3434" t="s">
        <v>12994</v>
      </c>
      <c r="BI3434" t="s">
        <v>29031</v>
      </c>
      <c r="BJ3434" t="s">
        <v>101</v>
      </c>
      <c r="BK3434" t="s">
        <v>3822</v>
      </c>
      <c r="BL3434" t="s">
        <v>17856</v>
      </c>
      <c r="BM3434" t="s">
        <v>10896</v>
      </c>
      <c r="BN3434" t="s">
        <v>27621</v>
      </c>
    </row>
    <row r="3435" spans="1:66" x14ac:dyDescent="0.25">
      <c r="A3435" t="str">
        <f>HYPERLINK("https://elite.finviz.com/quote.ashx?t=FCBC&amp;ty=c&amp;p=d&amp;b=1", "FCBC")</f>
        <v>FCBC</v>
      </c>
      <c r="B3435">
        <v>4</v>
      </c>
      <c r="C3435">
        <v>105.92</v>
      </c>
      <c r="D3435">
        <v>37.89</v>
      </c>
      <c r="E3435" t="s">
        <v>29032</v>
      </c>
      <c r="F3435" t="s">
        <v>67</v>
      </c>
      <c r="G3435" t="s">
        <v>550</v>
      </c>
      <c r="H3435" t="s">
        <v>697</v>
      </c>
      <c r="I3435" t="s">
        <v>70</v>
      </c>
      <c r="J3435" t="s">
        <v>321</v>
      </c>
      <c r="K3435">
        <v>651.27</v>
      </c>
      <c r="L3435">
        <v>35.56</v>
      </c>
      <c r="M3435" t="s">
        <v>3495</v>
      </c>
      <c r="N3435">
        <v>4837</v>
      </c>
      <c r="O3435">
        <v>13.06</v>
      </c>
      <c r="P3435">
        <v>12.52</v>
      </c>
      <c r="R3435">
        <v>3.52</v>
      </c>
      <c r="S3435">
        <v>1.29</v>
      </c>
      <c r="T3435" t="s">
        <v>11505</v>
      </c>
      <c r="U3435">
        <v>1.22</v>
      </c>
      <c r="V3435" t="s">
        <v>1762</v>
      </c>
      <c r="W3435" t="s">
        <v>6150</v>
      </c>
      <c r="X3435" t="s">
        <v>585</v>
      </c>
      <c r="Y3435" t="s">
        <v>371</v>
      </c>
      <c r="Z3435" t="s">
        <v>2681</v>
      </c>
      <c r="AA3435">
        <v>2.72</v>
      </c>
      <c r="AB3435" t="s">
        <v>3172</v>
      </c>
      <c r="AC3435" t="s">
        <v>2742</v>
      </c>
      <c r="AE3435" t="s">
        <v>2125</v>
      </c>
      <c r="AF3435" t="s">
        <v>12974</v>
      </c>
      <c r="AG3435" t="s">
        <v>11639</v>
      </c>
      <c r="AH3435" t="s">
        <v>2899</v>
      </c>
      <c r="AI3435" t="s">
        <v>5188</v>
      </c>
      <c r="AJ3435" t="s">
        <v>406</v>
      </c>
      <c r="AK3435" t="s">
        <v>29033</v>
      </c>
      <c r="AL3435">
        <v>0.22</v>
      </c>
      <c r="AN3435">
        <v>0</v>
      </c>
      <c r="AP3435" t="s">
        <v>3689</v>
      </c>
      <c r="AQ3435" t="s">
        <v>10659</v>
      </c>
      <c r="AR3435" t="s">
        <v>4255</v>
      </c>
      <c r="AS3435" t="s">
        <v>5425</v>
      </c>
      <c r="AT3435" t="s">
        <v>3124</v>
      </c>
      <c r="AU3435" t="s">
        <v>4653</v>
      </c>
      <c r="AV3435" t="s">
        <v>10559</v>
      </c>
      <c r="AW3435" t="s">
        <v>4194</v>
      </c>
      <c r="AX3435" t="s">
        <v>8050</v>
      </c>
      <c r="AY3435" t="s">
        <v>20046</v>
      </c>
      <c r="AZ3435" t="s">
        <v>8050</v>
      </c>
      <c r="BA3435">
        <v>3</v>
      </c>
      <c r="BB3435">
        <v>49.55</v>
      </c>
      <c r="BC3435">
        <v>0.35</v>
      </c>
      <c r="BD3435">
        <v>35.799999999999997</v>
      </c>
      <c r="BE3435">
        <v>36.17</v>
      </c>
      <c r="BF3435">
        <v>35.81</v>
      </c>
      <c r="BG3435" t="s">
        <v>29034</v>
      </c>
      <c r="BH3435" t="s">
        <v>20046</v>
      </c>
      <c r="BI3435" t="s">
        <v>29035</v>
      </c>
      <c r="BJ3435" t="s">
        <v>101</v>
      </c>
      <c r="BK3435" t="s">
        <v>18739</v>
      </c>
      <c r="BL3435" t="s">
        <v>125</v>
      </c>
      <c r="BM3435" t="s">
        <v>1500</v>
      </c>
      <c r="BN3435" t="s">
        <v>27621</v>
      </c>
    </row>
    <row r="3436" spans="1:66" x14ac:dyDescent="0.25">
      <c r="A3436" t="str">
        <f>HYPERLINK("https://elite.finviz.com/quote.ashx?t=MSI&amp;ty=c&amp;p=d&amp;b=1", "MSI")</f>
        <v>MSI</v>
      </c>
      <c r="B3436">
        <v>4</v>
      </c>
      <c r="C3436">
        <v>105.92</v>
      </c>
      <c r="D3436">
        <v>37.9</v>
      </c>
      <c r="E3436" t="s">
        <v>29036</v>
      </c>
      <c r="F3436" t="s">
        <v>195</v>
      </c>
      <c r="G3436" t="s">
        <v>108</v>
      </c>
      <c r="H3436" t="s">
        <v>1921</v>
      </c>
      <c r="I3436" t="s">
        <v>70</v>
      </c>
      <c r="J3436" t="s">
        <v>71</v>
      </c>
      <c r="K3436">
        <v>75828.929999999993</v>
      </c>
      <c r="L3436">
        <v>455.14</v>
      </c>
      <c r="M3436" t="s">
        <v>1842</v>
      </c>
      <c r="N3436">
        <v>78129</v>
      </c>
      <c r="O3436">
        <v>36.630000000000003</v>
      </c>
      <c r="P3436">
        <v>28.21</v>
      </c>
      <c r="Q3436">
        <v>4.29</v>
      </c>
      <c r="R3436">
        <v>6.84</v>
      </c>
      <c r="S3436">
        <v>38.53</v>
      </c>
      <c r="T3436" t="s">
        <v>3761</v>
      </c>
      <c r="U3436">
        <v>4.3600000000000003</v>
      </c>
      <c r="V3436" t="s">
        <v>3833</v>
      </c>
      <c r="W3436" t="s">
        <v>5656</v>
      </c>
      <c r="X3436" t="s">
        <v>2661</v>
      </c>
      <c r="Y3436" t="s">
        <v>6923</v>
      </c>
      <c r="Z3436" t="s">
        <v>3213</v>
      </c>
      <c r="AA3436">
        <v>12.42</v>
      </c>
      <c r="AB3436" t="s">
        <v>5726</v>
      </c>
      <c r="AC3436" t="s">
        <v>3231</v>
      </c>
      <c r="AD3436" t="s">
        <v>5607</v>
      </c>
      <c r="AE3436" t="s">
        <v>2232</v>
      </c>
      <c r="AF3436" t="s">
        <v>7407</v>
      </c>
      <c r="AG3436" t="s">
        <v>8125</v>
      </c>
      <c r="AH3436" t="s">
        <v>2542</v>
      </c>
      <c r="AI3436" t="s">
        <v>2232</v>
      </c>
      <c r="AJ3436" t="s">
        <v>22897</v>
      </c>
      <c r="AK3436" t="s">
        <v>19083</v>
      </c>
      <c r="AL3436">
        <v>1.71</v>
      </c>
      <c r="AM3436">
        <v>1.52</v>
      </c>
      <c r="AN3436">
        <v>4.2300000000000004</v>
      </c>
      <c r="AO3436" t="s">
        <v>29037</v>
      </c>
      <c r="AP3436" t="s">
        <v>3747</v>
      </c>
      <c r="AQ3436" t="s">
        <v>8558</v>
      </c>
      <c r="AR3436" t="s">
        <v>2175</v>
      </c>
      <c r="AS3436" t="s">
        <v>4275</v>
      </c>
      <c r="AT3436" t="s">
        <v>5621</v>
      </c>
      <c r="AU3436" t="s">
        <v>8374</v>
      </c>
      <c r="AV3436" t="s">
        <v>7284</v>
      </c>
      <c r="AW3436" t="s">
        <v>6757</v>
      </c>
      <c r="AX3436" t="s">
        <v>2127</v>
      </c>
      <c r="AY3436" t="s">
        <v>14249</v>
      </c>
      <c r="AZ3436" t="s">
        <v>5337</v>
      </c>
      <c r="BA3436">
        <v>2</v>
      </c>
      <c r="BB3436">
        <v>931.34</v>
      </c>
      <c r="BC3436">
        <v>0.3</v>
      </c>
      <c r="BD3436">
        <v>455.73</v>
      </c>
      <c r="BE3436">
        <v>458.64</v>
      </c>
      <c r="BF3436">
        <v>454.47</v>
      </c>
      <c r="BG3436" t="s">
        <v>29038</v>
      </c>
      <c r="BH3436" t="s">
        <v>14249</v>
      </c>
      <c r="BI3436" t="s">
        <v>29039</v>
      </c>
      <c r="BJ3436" t="s">
        <v>101</v>
      </c>
      <c r="BK3436" t="s">
        <v>4867</v>
      </c>
      <c r="BL3436" t="s">
        <v>3948</v>
      </c>
      <c r="BM3436" t="s">
        <v>3018</v>
      </c>
      <c r="BN3436" t="s">
        <v>27621</v>
      </c>
    </row>
    <row r="3437" spans="1:66" x14ac:dyDescent="0.25">
      <c r="A3437" t="str">
        <f>HYPERLINK("https://elite.finviz.com/quote.ashx?t=AXON&amp;ty=c&amp;p=d&amp;b=1", "AXON")</f>
        <v>AXON</v>
      </c>
      <c r="B3437">
        <v>4</v>
      </c>
      <c r="C3437">
        <v>105.92</v>
      </c>
      <c r="D3437">
        <v>37.92</v>
      </c>
      <c r="E3437" t="s">
        <v>29040</v>
      </c>
      <c r="F3437" t="s">
        <v>319</v>
      </c>
      <c r="G3437" t="s">
        <v>260</v>
      </c>
      <c r="H3437" t="s">
        <v>4779</v>
      </c>
      <c r="I3437" t="s">
        <v>70</v>
      </c>
      <c r="J3437" t="s">
        <v>321</v>
      </c>
      <c r="K3437">
        <v>55414.720000000001</v>
      </c>
      <c r="L3437">
        <v>705.88</v>
      </c>
      <c r="M3437" t="s">
        <v>2694</v>
      </c>
      <c r="N3437">
        <v>132595</v>
      </c>
      <c r="O3437">
        <v>174.49</v>
      </c>
      <c r="P3437">
        <v>88.56</v>
      </c>
      <c r="Q3437">
        <v>9.5</v>
      </c>
      <c r="R3437">
        <v>23.17</v>
      </c>
      <c r="S3437">
        <v>20.28</v>
      </c>
      <c r="Z3437" t="s">
        <v>164</v>
      </c>
      <c r="AA3437">
        <v>4.05</v>
      </c>
      <c r="AC3437" t="s">
        <v>29041</v>
      </c>
      <c r="AD3437" t="s">
        <v>4533</v>
      </c>
      <c r="AE3437" t="s">
        <v>3183</v>
      </c>
      <c r="AF3437" t="s">
        <v>1008</v>
      </c>
      <c r="AG3437" t="s">
        <v>7958</v>
      </c>
      <c r="AH3437" t="s">
        <v>16837</v>
      </c>
      <c r="AI3437" t="s">
        <v>2251</v>
      </c>
      <c r="AJ3437" t="s">
        <v>8985</v>
      </c>
      <c r="AK3437" t="s">
        <v>29042</v>
      </c>
      <c r="AL3437">
        <v>2.95</v>
      </c>
      <c r="AM3437">
        <v>2.71</v>
      </c>
      <c r="AN3437">
        <v>0.75</v>
      </c>
      <c r="AO3437" t="s">
        <v>18971</v>
      </c>
      <c r="AP3437" t="s">
        <v>4539</v>
      </c>
      <c r="AQ3437" t="s">
        <v>5539</v>
      </c>
      <c r="AR3437" t="s">
        <v>5620</v>
      </c>
      <c r="AS3437" t="s">
        <v>7484</v>
      </c>
      <c r="AT3437" t="s">
        <v>19319</v>
      </c>
      <c r="AU3437" t="s">
        <v>4243</v>
      </c>
      <c r="AV3437" t="s">
        <v>275</v>
      </c>
      <c r="AW3437" t="s">
        <v>15261</v>
      </c>
      <c r="AX3437" t="s">
        <v>7423</v>
      </c>
      <c r="AY3437" t="s">
        <v>15261</v>
      </c>
      <c r="AZ3437" t="s">
        <v>26882</v>
      </c>
      <c r="BA3437">
        <v>1.43</v>
      </c>
      <c r="BB3437">
        <v>641.71</v>
      </c>
      <c r="BC3437">
        <v>0.73</v>
      </c>
      <c r="BD3437">
        <v>712.15</v>
      </c>
      <c r="BE3437">
        <v>718</v>
      </c>
      <c r="BF3437">
        <v>697.46</v>
      </c>
      <c r="BG3437" t="s">
        <v>29043</v>
      </c>
      <c r="BH3437" t="s">
        <v>15261</v>
      </c>
      <c r="BI3437" t="s">
        <v>29044</v>
      </c>
      <c r="BJ3437" t="s">
        <v>101</v>
      </c>
      <c r="BK3437" t="s">
        <v>6991</v>
      </c>
      <c r="BL3437" t="s">
        <v>17060</v>
      </c>
      <c r="BM3437" t="s">
        <v>29045</v>
      </c>
      <c r="BN3437" t="s">
        <v>27621</v>
      </c>
    </row>
    <row r="3438" spans="1:66" x14ac:dyDescent="0.25">
      <c r="A3438" t="str">
        <f>HYPERLINK("https://elite.finviz.com/quote.ashx?t=MTD&amp;ty=c&amp;p=d&amp;b=1", "MTD")</f>
        <v>MTD</v>
      </c>
      <c r="B3438">
        <v>4</v>
      </c>
      <c r="C3438">
        <v>105.92</v>
      </c>
      <c r="D3438">
        <v>37.94</v>
      </c>
      <c r="E3438" t="s">
        <v>29046</v>
      </c>
      <c r="F3438" t="s">
        <v>195</v>
      </c>
      <c r="G3438" t="s">
        <v>428</v>
      </c>
      <c r="H3438" t="s">
        <v>4202</v>
      </c>
      <c r="I3438" t="s">
        <v>70</v>
      </c>
      <c r="J3438" t="s">
        <v>71</v>
      </c>
      <c r="K3438">
        <v>25010.84</v>
      </c>
      <c r="L3438">
        <v>1214.18</v>
      </c>
      <c r="M3438" t="s">
        <v>3226</v>
      </c>
      <c r="N3438">
        <v>11497</v>
      </c>
      <c r="O3438">
        <v>30.75</v>
      </c>
      <c r="P3438">
        <v>26.3</v>
      </c>
      <c r="Q3438">
        <v>3.83</v>
      </c>
      <c r="R3438">
        <v>6.47</v>
      </c>
      <c r="Z3438" t="s">
        <v>164</v>
      </c>
      <c r="AA3438">
        <v>39.479999999999997</v>
      </c>
      <c r="AB3438" t="s">
        <v>5319</v>
      </c>
      <c r="AC3438" t="s">
        <v>6206</v>
      </c>
      <c r="AD3438" t="s">
        <v>7938</v>
      </c>
      <c r="AE3438" t="s">
        <v>3500</v>
      </c>
      <c r="AF3438" t="s">
        <v>4856</v>
      </c>
      <c r="AG3438" t="s">
        <v>3303</v>
      </c>
      <c r="AH3438" t="s">
        <v>4324</v>
      </c>
      <c r="AI3438" t="s">
        <v>6404</v>
      </c>
      <c r="AJ3438" t="s">
        <v>214</v>
      </c>
      <c r="AK3438" t="s">
        <v>29047</v>
      </c>
      <c r="AL3438">
        <v>1.1200000000000001</v>
      </c>
      <c r="AM3438">
        <v>0.77</v>
      </c>
      <c r="AO3438" t="s">
        <v>12870</v>
      </c>
      <c r="AP3438" t="s">
        <v>5401</v>
      </c>
      <c r="AQ3438" t="s">
        <v>11870</v>
      </c>
      <c r="AR3438" t="s">
        <v>6692</v>
      </c>
      <c r="AS3438" t="s">
        <v>2808</v>
      </c>
      <c r="AT3438" t="s">
        <v>8225</v>
      </c>
      <c r="AU3438" t="s">
        <v>2969</v>
      </c>
      <c r="AV3438" t="s">
        <v>124</v>
      </c>
      <c r="AW3438" t="s">
        <v>12070</v>
      </c>
      <c r="AX3438" t="s">
        <v>1215</v>
      </c>
      <c r="AY3438" t="s">
        <v>29048</v>
      </c>
      <c r="AZ3438" t="s">
        <v>1838</v>
      </c>
      <c r="BA3438">
        <v>2.44</v>
      </c>
      <c r="BB3438">
        <v>146.19</v>
      </c>
      <c r="BC3438">
        <v>0.28000000000000003</v>
      </c>
      <c r="BD3438">
        <v>1209.54</v>
      </c>
      <c r="BE3438">
        <v>1222.01</v>
      </c>
      <c r="BF3438">
        <v>1213.27</v>
      </c>
      <c r="BG3438" t="s">
        <v>29049</v>
      </c>
      <c r="BH3438" t="s">
        <v>29050</v>
      </c>
      <c r="BI3438" t="s">
        <v>29051</v>
      </c>
      <c r="BJ3438" t="s">
        <v>101</v>
      </c>
      <c r="BK3438" t="s">
        <v>6430</v>
      </c>
      <c r="BL3438" t="s">
        <v>4946</v>
      </c>
      <c r="BM3438" t="s">
        <v>11768</v>
      </c>
      <c r="BN3438" t="s">
        <v>27621</v>
      </c>
    </row>
    <row r="3439" spans="1:66" x14ac:dyDescent="0.25">
      <c r="A3439" t="str">
        <f>HYPERLINK("https://elite.finviz.com/quote.ashx?t=FRGE&amp;ty=c&amp;p=d&amp;b=1", "FRGE")</f>
        <v>FRGE</v>
      </c>
      <c r="B3439">
        <v>4</v>
      </c>
      <c r="C3439">
        <v>105.92</v>
      </c>
      <c r="D3439">
        <v>37.94</v>
      </c>
      <c r="E3439" t="s">
        <v>29052</v>
      </c>
      <c r="F3439" t="s">
        <v>67</v>
      </c>
      <c r="G3439" t="s">
        <v>550</v>
      </c>
      <c r="H3439" t="s">
        <v>551</v>
      </c>
      <c r="I3439" t="s">
        <v>70</v>
      </c>
      <c r="J3439" t="s">
        <v>71</v>
      </c>
      <c r="K3439">
        <v>213.07</v>
      </c>
      <c r="L3439">
        <v>15.66</v>
      </c>
      <c r="M3439" t="s">
        <v>4801</v>
      </c>
      <c r="N3439">
        <v>11665</v>
      </c>
      <c r="R3439">
        <v>2.35</v>
      </c>
      <c r="S3439">
        <v>0.97</v>
      </c>
      <c r="AA3439">
        <v>-5.0599999999999996</v>
      </c>
      <c r="AB3439" t="s">
        <v>14331</v>
      </c>
      <c r="AC3439" t="s">
        <v>13879</v>
      </c>
      <c r="AD3439" t="s">
        <v>7772</v>
      </c>
      <c r="AE3439" t="s">
        <v>1216</v>
      </c>
      <c r="AF3439" t="s">
        <v>17461</v>
      </c>
      <c r="AH3439" t="s">
        <v>3138</v>
      </c>
      <c r="AI3439" t="s">
        <v>19619</v>
      </c>
      <c r="AJ3439" t="s">
        <v>148</v>
      </c>
      <c r="AK3439" t="s">
        <v>982</v>
      </c>
      <c r="AL3439">
        <v>3.98</v>
      </c>
      <c r="AM3439">
        <v>3.98</v>
      </c>
      <c r="AN3439">
        <v>7.0000000000000007E-2</v>
      </c>
      <c r="AO3439" t="s">
        <v>15536</v>
      </c>
      <c r="AP3439" t="s">
        <v>29053</v>
      </c>
      <c r="AQ3439" t="s">
        <v>7545</v>
      </c>
      <c r="AR3439" t="s">
        <v>8286</v>
      </c>
      <c r="AS3439" t="s">
        <v>6593</v>
      </c>
      <c r="AT3439" t="s">
        <v>16256</v>
      </c>
      <c r="AU3439" t="s">
        <v>24199</v>
      </c>
      <c r="AV3439" t="s">
        <v>8276</v>
      </c>
      <c r="AW3439" t="s">
        <v>455</v>
      </c>
      <c r="AX3439" t="s">
        <v>7088</v>
      </c>
      <c r="AY3439" t="s">
        <v>455</v>
      </c>
      <c r="AZ3439" t="s">
        <v>1850</v>
      </c>
      <c r="BA3439">
        <v>1.67</v>
      </c>
      <c r="BB3439">
        <v>110.21</v>
      </c>
      <c r="BC3439">
        <v>0.38</v>
      </c>
      <c r="BD3439">
        <v>15.59</v>
      </c>
      <c r="BE3439">
        <v>15.92</v>
      </c>
      <c r="BF3439">
        <v>15.45</v>
      </c>
      <c r="BG3439" t="s">
        <v>29054</v>
      </c>
      <c r="BH3439" t="s">
        <v>22282</v>
      </c>
      <c r="BI3439" t="s">
        <v>1850</v>
      </c>
      <c r="BJ3439" t="s">
        <v>101</v>
      </c>
      <c r="BK3439" t="s">
        <v>3578</v>
      </c>
      <c r="BL3439" t="s">
        <v>1125</v>
      </c>
      <c r="BM3439" t="s">
        <v>13539</v>
      </c>
      <c r="BN3439" t="s">
        <v>27621</v>
      </c>
    </row>
    <row r="3440" spans="1:66" x14ac:dyDescent="0.25">
      <c r="A3440" t="str">
        <f>HYPERLINK("https://elite.finviz.com/quote.ashx?t=JSPR&amp;ty=c&amp;p=d&amp;b=1", "JSPR")</f>
        <v>JSPR</v>
      </c>
      <c r="B3440">
        <v>4</v>
      </c>
      <c r="C3440">
        <v>105.92</v>
      </c>
      <c r="D3440">
        <v>37.979999999999997</v>
      </c>
      <c r="E3440" t="s">
        <v>29055</v>
      </c>
      <c r="F3440" t="s">
        <v>107</v>
      </c>
      <c r="G3440" t="s">
        <v>428</v>
      </c>
      <c r="H3440" t="s">
        <v>429</v>
      </c>
      <c r="I3440" t="s">
        <v>70</v>
      </c>
      <c r="J3440" t="s">
        <v>321</v>
      </c>
      <c r="K3440">
        <v>66.39</v>
      </c>
      <c r="L3440">
        <v>2.38</v>
      </c>
      <c r="M3440" t="s">
        <v>6151</v>
      </c>
      <c r="N3440">
        <v>168413</v>
      </c>
      <c r="S3440">
        <v>1.64</v>
      </c>
      <c r="AA3440">
        <v>-6.02</v>
      </c>
      <c r="AB3440" t="s">
        <v>29056</v>
      </c>
      <c r="AC3440" t="s">
        <v>29057</v>
      </c>
      <c r="AD3440" t="s">
        <v>3212</v>
      </c>
      <c r="AI3440" t="s">
        <v>19545</v>
      </c>
      <c r="AJ3440" t="s">
        <v>5111</v>
      </c>
      <c r="AK3440" t="s">
        <v>9995</v>
      </c>
      <c r="AL3440">
        <v>2.1</v>
      </c>
      <c r="AM3440">
        <v>2.1</v>
      </c>
      <c r="AN3440">
        <v>0.09</v>
      </c>
      <c r="AR3440" t="s">
        <v>3455</v>
      </c>
      <c r="AS3440" t="s">
        <v>8925</v>
      </c>
      <c r="AT3440" t="s">
        <v>2665</v>
      </c>
      <c r="AU3440" t="s">
        <v>7973</v>
      </c>
      <c r="AV3440" t="s">
        <v>29058</v>
      </c>
      <c r="AW3440" t="s">
        <v>17878</v>
      </c>
      <c r="AX3440" t="s">
        <v>3745</v>
      </c>
      <c r="AY3440" t="s">
        <v>29059</v>
      </c>
      <c r="AZ3440" t="s">
        <v>3745</v>
      </c>
      <c r="BA3440">
        <v>1.67</v>
      </c>
      <c r="BB3440">
        <v>649.91999999999996</v>
      </c>
      <c r="BC3440">
        <v>0.92</v>
      </c>
      <c r="BD3440">
        <v>2.33</v>
      </c>
      <c r="BE3440">
        <v>2.38</v>
      </c>
      <c r="BF3440">
        <v>2.2999999999999998</v>
      </c>
      <c r="BG3440" t="s">
        <v>29060</v>
      </c>
      <c r="BH3440" t="s">
        <v>29061</v>
      </c>
      <c r="BI3440" t="s">
        <v>3745</v>
      </c>
      <c r="BJ3440" t="s">
        <v>101</v>
      </c>
      <c r="BK3440" t="s">
        <v>1407</v>
      </c>
      <c r="BL3440" t="s">
        <v>27058</v>
      </c>
      <c r="BM3440" t="s">
        <v>29062</v>
      </c>
      <c r="BN3440" t="s">
        <v>27621</v>
      </c>
    </row>
    <row r="3441" spans="1:66" x14ac:dyDescent="0.25">
      <c r="A3441" t="str">
        <f>HYPERLINK("https://elite.finviz.com/quote.ashx?t=BFAM&amp;ty=c&amp;p=d&amp;b=1", "BFAM")</f>
        <v>BFAM</v>
      </c>
      <c r="B3441">
        <v>4</v>
      </c>
      <c r="C3441">
        <v>105.92</v>
      </c>
      <c r="D3441">
        <v>37.99</v>
      </c>
      <c r="E3441" t="s">
        <v>29063</v>
      </c>
      <c r="F3441" t="s">
        <v>107</v>
      </c>
      <c r="G3441" t="s">
        <v>813</v>
      </c>
      <c r="H3441" t="s">
        <v>10177</v>
      </c>
      <c r="I3441" t="s">
        <v>70</v>
      </c>
      <c r="J3441" t="s">
        <v>71</v>
      </c>
      <c r="K3441">
        <v>6172.3</v>
      </c>
      <c r="L3441">
        <v>108.53</v>
      </c>
      <c r="M3441" t="s">
        <v>6732</v>
      </c>
      <c r="N3441">
        <v>63929</v>
      </c>
      <c r="O3441">
        <v>35.71</v>
      </c>
      <c r="P3441">
        <v>22.07</v>
      </c>
      <c r="Q3441">
        <v>2.0099999999999998</v>
      </c>
      <c r="R3441">
        <v>2.21</v>
      </c>
      <c r="S3441">
        <v>4.43</v>
      </c>
      <c r="Z3441" t="s">
        <v>164</v>
      </c>
      <c r="AA3441">
        <v>3.04</v>
      </c>
      <c r="AB3441" t="s">
        <v>12556</v>
      </c>
      <c r="AC3441" t="s">
        <v>8358</v>
      </c>
      <c r="AD3441" t="s">
        <v>1844</v>
      </c>
      <c r="AE3441" t="s">
        <v>9280</v>
      </c>
      <c r="AF3441" t="s">
        <v>2415</v>
      </c>
      <c r="AG3441" t="s">
        <v>5591</v>
      </c>
      <c r="AH3441" t="s">
        <v>12383</v>
      </c>
      <c r="AI3441" t="s">
        <v>7210</v>
      </c>
      <c r="AJ3441" t="s">
        <v>4540</v>
      </c>
      <c r="AK3441" t="s">
        <v>6061</v>
      </c>
      <c r="AL3441">
        <v>0.56000000000000005</v>
      </c>
      <c r="AM3441">
        <v>0.56000000000000005</v>
      </c>
      <c r="AN3441">
        <v>1.25</v>
      </c>
      <c r="AO3441" t="s">
        <v>16722</v>
      </c>
      <c r="AP3441" t="s">
        <v>3505</v>
      </c>
      <c r="AQ3441" t="s">
        <v>2065</v>
      </c>
      <c r="AR3441" t="s">
        <v>4493</v>
      </c>
      <c r="AS3441" t="s">
        <v>2307</v>
      </c>
      <c r="AT3441" t="s">
        <v>2149</v>
      </c>
      <c r="AU3441" t="s">
        <v>6755</v>
      </c>
      <c r="AV3441" t="s">
        <v>4229</v>
      </c>
      <c r="AW3441" t="s">
        <v>25907</v>
      </c>
      <c r="AX3441" t="s">
        <v>342</v>
      </c>
      <c r="AY3441" t="s">
        <v>15325</v>
      </c>
      <c r="AZ3441" t="s">
        <v>1872</v>
      </c>
      <c r="BA3441">
        <v>2.33</v>
      </c>
      <c r="BB3441">
        <v>618.44000000000005</v>
      </c>
      <c r="BC3441">
        <v>0.36</v>
      </c>
      <c r="BD3441">
        <v>107.28</v>
      </c>
      <c r="BE3441">
        <v>108.53</v>
      </c>
      <c r="BF3441">
        <v>107.18</v>
      </c>
      <c r="BG3441" t="s">
        <v>29064</v>
      </c>
      <c r="BH3441" t="s">
        <v>11480</v>
      </c>
      <c r="BI3441" t="s">
        <v>29065</v>
      </c>
      <c r="BJ3441" t="s">
        <v>101</v>
      </c>
      <c r="BK3441" t="s">
        <v>6266</v>
      </c>
      <c r="BL3441" t="s">
        <v>19245</v>
      </c>
      <c r="BM3441" t="s">
        <v>15325</v>
      </c>
      <c r="BN3441" t="s">
        <v>27621</v>
      </c>
    </row>
    <row r="3442" spans="1:66" x14ac:dyDescent="0.25">
      <c r="A3442" t="str">
        <f>HYPERLINK("https://elite.finviz.com/quote.ashx?t=LSTR&amp;ty=c&amp;p=d&amp;b=1", "LSTR")</f>
        <v>LSTR</v>
      </c>
      <c r="B3442">
        <v>4</v>
      </c>
      <c r="C3442">
        <v>105.92</v>
      </c>
      <c r="D3442">
        <v>38.020000000000003</v>
      </c>
      <c r="E3442" t="s">
        <v>29066</v>
      </c>
      <c r="F3442" t="s">
        <v>107</v>
      </c>
      <c r="G3442" t="s">
        <v>260</v>
      </c>
      <c r="H3442" t="s">
        <v>7853</v>
      </c>
      <c r="I3442" t="s">
        <v>70</v>
      </c>
      <c r="J3442" t="s">
        <v>321</v>
      </c>
      <c r="K3442">
        <v>4225.6499999999996</v>
      </c>
      <c r="L3442">
        <v>121.94</v>
      </c>
      <c r="M3442" t="s">
        <v>4901</v>
      </c>
      <c r="N3442">
        <v>24079</v>
      </c>
      <c r="O3442">
        <v>25.57</v>
      </c>
      <c r="P3442">
        <v>20.11</v>
      </c>
      <c r="Q3442">
        <v>2.4700000000000002</v>
      </c>
      <c r="R3442">
        <v>0.88</v>
      </c>
      <c r="S3442">
        <v>4.58</v>
      </c>
      <c r="T3442" t="s">
        <v>5745</v>
      </c>
      <c r="U3442">
        <v>1.52</v>
      </c>
      <c r="V3442" t="s">
        <v>10236</v>
      </c>
      <c r="W3442" t="s">
        <v>9570</v>
      </c>
      <c r="X3442" t="s">
        <v>5699</v>
      </c>
      <c r="Y3442" t="s">
        <v>3434</v>
      </c>
      <c r="Z3442" t="s">
        <v>6602</v>
      </c>
      <c r="AA3442">
        <v>4.7699999999999996</v>
      </c>
      <c r="AB3442" t="s">
        <v>23149</v>
      </c>
      <c r="AC3442" t="s">
        <v>1574</v>
      </c>
      <c r="AD3442" t="s">
        <v>2555</v>
      </c>
      <c r="AE3442" t="s">
        <v>708</v>
      </c>
      <c r="AF3442" t="s">
        <v>1861</v>
      </c>
      <c r="AG3442" t="s">
        <v>3542</v>
      </c>
      <c r="AH3442" t="s">
        <v>3940</v>
      </c>
      <c r="AI3442" t="s">
        <v>212</v>
      </c>
      <c r="AJ3442" t="s">
        <v>164</v>
      </c>
      <c r="AK3442" t="s">
        <v>9267</v>
      </c>
      <c r="AL3442">
        <v>2</v>
      </c>
      <c r="AM3442">
        <v>2</v>
      </c>
      <c r="AN3442">
        <v>0.16</v>
      </c>
      <c r="AO3442" t="s">
        <v>1369</v>
      </c>
      <c r="AP3442" t="s">
        <v>3521</v>
      </c>
      <c r="AQ3442" t="s">
        <v>1926</v>
      </c>
      <c r="AR3442" t="s">
        <v>901</v>
      </c>
      <c r="AS3442" t="s">
        <v>2273</v>
      </c>
      <c r="AT3442" t="s">
        <v>2076</v>
      </c>
      <c r="AU3442" t="s">
        <v>16199</v>
      </c>
      <c r="AV3442" t="s">
        <v>19682</v>
      </c>
      <c r="AW3442" t="s">
        <v>18853</v>
      </c>
      <c r="AX3442" t="s">
        <v>2876</v>
      </c>
      <c r="AY3442" t="s">
        <v>25993</v>
      </c>
      <c r="AZ3442" t="s">
        <v>2876</v>
      </c>
      <c r="BA3442">
        <v>3</v>
      </c>
      <c r="BB3442">
        <v>402.18</v>
      </c>
      <c r="BC3442">
        <v>0.21</v>
      </c>
      <c r="BD3442">
        <v>121.28</v>
      </c>
      <c r="BE3442">
        <v>122.71</v>
      </c>
      <c r="BF3442">
        <v>120.94</v>
      </c>
      <c r="BG3442" t="s">
        <v>29067</v>
      </c>
      <c r="BH3442" t="s">
        <v>29068</v>
      </c>
      <c r="BI3442" t="s">
        <v>29069</v>
      </c>
      <c r="BJ3442" t="s">
        <v>101</v>
      </c>
      <c r="BK3442" t="s">
        <v>15002</v>
      </c>
      <c r="BL3442" t="s">
        <v>8918</v>
      </c>
      <c r="BM3442" t="s">
        <v>20509</v>
      </c>
      <c r="BN3442" t="s">
        <v>27621</v>
      </c>
    </row>
    <row r="3443" spans="1:66" x14ac:dyDescent="0.25">
      <c r="A3443" t="str">
        <f>HYPERLINK("https://elite.finviz.com/quote.ashx?t=CLSD&amp;ty=c&amp;p=d&amp;b=1", "CLSD")</f>
        <v>CLSD</v>
      </c>
      <c r="B3443">
        <v>4</v>
      </c>
      <c r="C3443">
        <v>105.92</v>
      </c>
      <c r="D3443">
        <v>38.03</v>
      </c>
      <c r="E3443" t="s">
        <v>29070</v>
      </c>
      <c r="F3443" t="s">
        <v>107</v>
      </c>
      <c r="G3443" t="s">
        <v>428</v>
      </c>
      <c r="H3443" t="s">
        <v>429</v>
      </c>
      <c r="I3443" t="s">
        <v>70</v>
      </c>
      <c r="J3443" t="s">
        <v>321</v>
      </c>
      <c r="K3443">
        <v>20.88</v>
      </c>
      <c r="L3443">
        <v>3.99</v>
      </c>
      <c r="M3443" t="s">
        <v>12450</v>
      </c>
      <c r="N3443">
        <v>56468</v>
      </c>
      <c r="R3443">
        <v>5.01</v>
      </c>
      <c r="AA3443">
        <v>-5.46</v>
      </c>
      <c r="AC3443" t="s">
        <v>702</v>
      </c>
      <c r="AD3443" t="s">
        <v>5916</v>
      </c>
      <c r="AE3443" t="s">
        <v>29071</v>
      </c>
      <c r="AF3443" t="s">
        <v>29058</v>
      </c>
      <c r="AG3443" t="s">
        <v>6060</v>
      </c>
      <c r="AH3443" t="s">
        <v>29072</v>
      </c>
      <c r="AI3443" t="s">
        <v>164</v>
      </c>
      <c r="AJ3443" t="s">
        <v>164</v>
      </c>
      <c r="AK3443" t="s">
        <v>9253</v>
      </c>
      <c r="AL3443">
        <v>3.87</v>
      </c>
      <c r="AM3443">
        <v>3.87</v>
      </c>
      <c r="AO3443" t="s">
        <v>17618</v>
      </c>
      <c r="AP3443" t="s">
        <v>29073</v>
      </c>
      <c r="AQ3443" t="s">
        <v>29074</v>
      </c>
      <c r="AR3443" t="s">
        <v>4087</v>
      </c>
      <c r="AS3443" t="s">
        <v>537</v>
      </c>
      <c r="AT3443" t="s">
        <v>15217</v>
      </c>
      <c r="AU3443" t="s">
        <v>3329</v>
      </c>
      <c r="AV3443" t="s">
        <v>29075</v>
      </c>
      <c r="AW3443" t="s">
        <v>29076</v>
      </c>
      <c r="AX3443" t="s">
        <v>9140</v>
      </c>
      <c r="AY3443" t="s">
        <v>29077</v>
      </c>
      <c r="AZ3443" t="s">
        <v>9140</v>
      </c>
      <c r="BA3443">
        <v>2.71</v>
      </c>
      <c r="BB3443">
        <v>307.08999999999997</v>
      </c>
      <c r="BC3443">
        <v>0.65</v>
      </c>
      <c r="BD3443">
        <v>3.73</v>
      </c>
      <c r="BE3443">
        <v>4.0999999999999996</v>
      </c>
      <c r="BF3443">
        <v>3.9</v>
      </c>
      <c r="BG3443" t="s">
        <v>29078</v>
      </c>
      <c r="BH3443" t="s">
        <v>26778</v>
      </c>
      <c r="BI3443" t="s">
        <v>9140</v>
      </c>
      <c r="BJ3443" t="s">
        <v>101</v>
      </c>
      <c r="BK3443" t="s">
        <v>29079</v>
      </c>
      <c r="BL3443" t="s">
        <v>29080</v>
      </c>
      <c r="BM3443" t="s">
        <v>29081</v>
      </c>
      <c r="BN3443" t="s">
        <v>27621</v>
      </c>
    </row>
    <row r="3444" spans="1:66" x14ac:dyDescent="0.25">
      <c r="A3444" t="str">
        <f>HYPERLINK("https://elite.finviz.com/quote.ashx?t=WW&amp;ty=c&amp;p=d&amp;b=1", "WW")</f>
        <v>WW</v>
      </c>
      <c r="B3444">
        <v>4</v>
      </c>
      <c r="C3444">
        <v>105.92</v>
      </c>
      <c r="D3444">
        <v>38.08</v>
      </c>
      <c r="E3444" t="s">
        <v>29082</v>
      </c>
      <c r="F3444" t="s">
        <v>107</v>
      </c>
      <c r="G3444" t="s">
        <v>813</v>
      </c>
      <c r="H3444" t="s">
        <v>10177</v>
      </c>
      <c r="I3444" t="s">
        <v>70</v>
      </c>
      <c r="J3444" t="s">
        <v>321</v>
      </c>
      <c r="K3444">
        <v>278.73</v>
      </c>
      <c r="L3444">
        <v>27.91</v>
      </c>
      <c r="M3444" t="s">
        <v>241</v>
      </c>
      <c r="N3444">
        <v>14798</v>
      </c>
      <c r="O3444">
        <v>0.24</v>
      </c>
      <c r="R3444">
        <v>0.37</v>
      </c>
      <c r="S3444">
        <v>0.73</v>
      </c>
      <c r="AA3444">
        <v>118.02</v>
      </c>
      <c r="AE3444" t="s">
        <v>4478</v>
      </c>
      <c r="AF3444" t="s">
        <v>10383</v>
      </c>
      <c r="AG3444" t="s">
        <v>4647</v>
      </c>
      <c r="AH3444" t="s">
        <v>677</v>
      </c>
      <c r="AI3444" t="s">
        <v>29083</v>
      </c>
      <c r="AK3444" t="s">
        <v>9501</v>
      </c>
      <c r="AL3444">
        <v>1.88</v>
      </c>
      <c r="AM3444">
        <v>1.88</v>
      </c>
      <c r="AN3444">
        <v>1.25</v>
      </c>
      <c r="AO3444" t="s">
        <v>29084</v>
      </c>
      <c r="AP3444" t="s">
        <v>6694</v>
      </c>
      <c r="AQ3444" t="s">
        <v>29085</v>
      </c>
      <c r="AR3444" t="s">
        <v>2523</v>
      </c>
      <c r="AS3444" t="s">
        <v>297</v>
      </c>
      <c r="AT3444" t="s">
        <v>15037</v>
      </c>
      <c r="AU3444" t="s">
        <v>13755</v>
      </c>
      <c r="AV3444" t="s">
        <v>17709</v>
      </c>
      <c r="AW3444" t="s">
        <v>6542</v>
      </c>
      <c r="AX3444" t="s">
        <v>6003</v>
      </c>
      <c r="AY3444" t="s">
        <v>27012</v>
      </c>
      <c r="AZ3444" t="s">
        <v>12021</v>
      </c>
      <c r="BA3444">
        <v>2.33</v>
      </c>
      <c r="BB3444">
        <v>299.42</v>
      </c>
      <c r="BC3444">
        <v>0.17</v>
      </c>
      <c r="BD3444">
        <v>28.13</v>
      </c>
      <c r="BE3444">
        <v>28.4</v>
      </c>
      <c r="BF3444">
        <v>27.63</v>
      </c>
      <c r="BG3444" t="s">
        <v>29086</v>
      </c>
      <c r="BH3444" t="s">
        <v>27012</v>
      </c>
      <c r="BI3444" t="s">
        <v>12021</v>
      </c>
      <c r="BJ3444" t="s">
        <v>101</v>
      </c>
      <c r="BK3444" t="s">
        <v>3454</v>
      </c>
      <c r="BN3444" t="s">
        <v>27621</v>
      </c>
    </row>
    <row r="3445" spans="1:66" x14ac:dyDescent="0.25">
      <c r="A3445" t="str">
        <f>HYPERLINK("https://elite.finviz.com/quote.ashx?t=MCHX&amp;ty=c&amp;p=d&amp;b=1", "MCHX")</f>
        <v>MCHX</v>
      </c>
      <c r="B3445">
        <v>4</v>
      </c>
      <c r="C3445">
        <v>105.92</v>
      </c>
      <c r="D3445">
        <v>38.11</v>
      </c>
      <c r="E3445" t="s">
        <v>29087</v>
      </c>
      <c r="F3445" t="s">
        <v>107</v>
      </c>
      <c r="G3445" t="s">
        <v>598</v>
      </c>
      <c r="H3445" t="s">
        <v>1020</v>
      </c>
      <c r="I3445" t="s">
        <v>70</v>
      </c>
      <c r="J3445" t="s">
        <v>321</v>
      </c>
      <c r="K3445">
        <v>81.510000000000005</v>
      </c>
      <c r="L3445">
        <v>1.85</v>
      </c>
      <c r="M3445" t="s">
        <v>969</v>
      </c>
      <c r="N3445">
        <v>2017</v>
      </c>
      <c r="P3445">
        <v>92.25</v>
      </c>
      <c r="R3445">
        <v>1.71</v>
      </c>
      <c r="S3445">
        <v>2.52</v>
      </c>
      <c r="V3445" t="s">
        <v>29088</v>
      </c>
      <c r="AA3445">
        <v>-0.11</v>
      </c>
      <c r="AB3445" t="s">
        <v>103</v>
      </c>
      <c r="AC3445" t="s">
        <v>9711</v>
      </c>
      <c r="AE3445" t="s">
        <v>3328</v>
      </c>
      <c r="AF3445" t="s">
        <v>5309</v>
      </c>
      <c r="AG3445" t="s">
        <v>7332</v>
      </c>
      <c r="AH3445" t="s">
        <v>2204</v>
      </c>
      <c r="AI3445" t="s">
        <v>1441</v>
      </c>
      <c r="AJ3445" t="s">
        <v>6478</v>
      </c>
      <c r="AK3445" t="s">
        <v>29089</v>
      </c>
      <c r="AL3445">
        <v>2.31</v>
      </c>
      <c r="AM3445">
        <v>2.31</v>
      </c>
      <c r="AN3445">
        <v>0.03</v>
      </c>
      <c r="AO3445" t="s">
        <v>7405</v>
      </c>
      <c r="AP3445" t="s">
        <v>14960</v>
      </c>
      <c r="AQ3445" t="s">
        <v>11333</v>
      </c>
      <c r="AR3445" t="s">
        <v>5907</v>
      </c>
      <c r="AS3445" t="s">
        <v>2522</v>
      </c>
      <c r="AT3445" t="s">
        <v>6469</v>
      </c>
      <c r="AU3445" t="s">
        <v>798</v>
      </c>
      <c r="AV3445" t="s">
        <v>10852</v>
      </c>
      <c r="AW3445" t="s">
        <v>13907</v>
      </c>
      <c r="AX3445" t="s">
        <v>10607</v>
      </c>
      <c r="AY3445" t="s">
        <v>1964</v>
      </c>
      <c r="AZ3445" t="s">
        <v>18233</v>
      </c>
      <c r="BA3445">
        <v>1</v>
      </c>
      <c r="BB3445">
        <v>31.49</v>
      </c>
      <c r="BC3445">
        <v>0.23</v>
      </c>
      <c r="BD3445">
        <v>1.83</v>
      </c>
      <c r="BE3445">
        <v>1.87</v>
      </c>
      <c r="BF3445">
        <v>1.85</v>
      </c>
      <c r="BG3445" t="s">
        <v>29090</v>
      </c>
      <c r="BH3445" t="s">
        <v>20869</v>
      </c>
      <c r="BI3445" t="s">
        <v>12010</v>
      </c>
      <c r="BJ3445" t="s">
        <v>101</v>
      </c>
      <c r="BK3445" t="s">
        <v>14631</v>
      </c>
      <c r="BL3445" t="s">
        <v>2559</v>
      </c>
      <c r="BM3445" t="s">
        <v>969</v>
      </c>
      <c r="BN3445" t="s">
        <v>27621</v>
      </c>
    </row>
    <row r="3446" spans="1:66" x14ac:dyDescent="0.25">
      <c r="A3446" t="str">
        <f>HYPERLINK("https://elite.finviz.com/quote.ashx?t=ARW&amp;ty=c&amp;p=d&amp;b=1", "ARW")</f>
        <v>ARW</v>
      </c>
      <c r="B3446">
        <v>4</v>
      </c>
      <c r="C3446">
        <v>105.92</v>
      </c>
      <c r="D3446">
        <v>38.130000000000003</v>
      </c>
      <c r="E3446" t="s">
        <v>29091</v>
      </c>
      <c r="F3446" t="s">
        <v>107</v>
      </c>
      <c r="G3446" t="s">
        <v>108</v>
      </c>
      <c r="H3446" t="s">
        <v>3661</v>
      </c>
      <c r="I3446" t="s">
        <v>70</v>
      </c>
      <c r="J3446" t="s">
        <v>71</v>
      </c>
      <c r="K3446">
        <v>6125.34</v>
      </c>
      <c r="L3446">
        <v>118.93</v>
      </c>
      <c r="M3446" t="s">
        <v>4539</v>
      </c>
      <c r="N3446">
        <v>42178</v>
      </c>
      <c r="O3446">
        <v>13.45</v>
      </c>
      <c r="P3446">
        <v>8.31</v>
      </c>
      <c r="Q3446">
        <v>0.61</v>
      </c>
      <c r="R3446">
        <v>0.21</v>
      </c>
      <c r="S3446">
        <v>0.97</v>
      </c>
      <c r="Z3446" t="s">
        <v>164</v>
      </c>
      <c r="AA3446">
        <v>8.85</v>
      </c>
      <c r="AB3446" t="s">
        <v>866</v>
      </c>
      <c r="AD3446" t="s">
        <v>1255</v>
      </c>
      <c r="AE3446" t="s">
        <v>944</v>
      </c>
      <c r="AF3446" t="s">
        <v>9725</v>
      </c>
      <c r="AG3446" t="s">
        <v>2197</v>
      </c>
      <c r="AH3446" t="s">
        <v>2127</v>
      </c>
      <c r="AI3446" t="s">
        <v>3272</v>
      </c>
      <c r="AJ3446" t="s">
        <v>8520</v>
      </c>
      <c r="AK3446" t="s">
        <v>29092</v>
      </c>
      <c r="AL3446">
        <v>1.39</v>
      </c>
      <c r="AM3446">
        <v>1.07</v>
      </c>
      <c r="AN3446">
        <v>0.45</v>
      </c>
      <c r="AO3446" t="s">
        <v>6532</v>
      </c>
      <c r="AP3446" t="s">
        <v>2146</v>
      </c>
      <c r="AQ3446" t="s">
        <v>3487</v>
      </c>
      <c r="AR3446" t="s">
        <v>4256</v>
      </c>
      <c r="AS3446" t="s">
        <v>2219</v>
      </c>
      <c r="AT3446" t="s">
        <v>10842</v>
      </c>
      <c r="AU3446" t="s">
        <v>5189</v>
      </c>
      <c r="AV3446" t="s">
        <v>192</v>
      </c>
      <c r="AW3446" t="s">
        <v>10731</v>
      </c>
      <c r="AX3446" t="s">
        <v>3545</v>
      </c>
      <c r="AY3446" t="s">
        <v>15759</v>
      </c>
      <c r="AZ3446" t="s">
        <v>23052</v>
      </c>
      <c r="BA3446">
        <v>3.62</v>
      </c>
      <c r="BB3446">
        <v>490.84</v>
      </c>
      <c r="BC3446">
        <v>0.3</v>
      </c>
      <c r="BD3446">
        <v>118.84</v>
      </c>
      <c r="BE3446">
        <v>119.72</v>
      </c>
      <c r="BF3446">
        <v>118.41</v>
      </c>
      <c r="BG3446" t="s">
        <v>29093</v>
      </c>
      <c r="BH3446" t="s">
        <v>17571</v>
      </c>
      <c r="BI3446" t="s">
        <v>29094</v>
      </c>
      <c r="BJ3446" t="s">
        <v>101</v>
      </c>
      <c r="BK3446" t="s">
        <v>7750</v>
      </c>
      <c r="BL3446" t="s">
        <v>584</v>
      </c>
      <c r="BM3446" t="s">
        <v>5773</v>
      </c>
      <c r="BN3446" t="s">
        <v>27621</v>
      </c>
    </row>
    <row r="3447" spans="1:66" x14ac:dyDescent="0.25">
      <c r="A3447" t="str">
        <f>HYPERLINK("https://elite.finviz.com/quote.ashx?t=KLC&amp;ty=c&amp;p=d&amp;b=1", "KLC")</f>
        <v>KLC</v>
      </c>
      <c r="B3447">
        <v>4</v>
      </c>
      <c r="C3447">
        <v>105.92</v>
      </c>
      <c r="D3447">
        <v>38.159999999999997</v>
      </c>
      <c r="E3447" t="s">
        <v>29095</v>
      </c>
      <c r="F3447" t="s">
        <v>67</v>
      </c>
      <c r="G3447" t="s">
        <v>2244</v>
      </c>
      <c r="H3447" t="s">
        <v>2483</v>
      </c>
      <c r="I3447" t="s">
        <v>70</v>
      </c>
      <c r="J3447" t="s">
        <v>71</v>
      </c>
      <c r="K3447">
        <v>814.34</v>
      </c>
      <c r="L3447">
        <v>6.89</v>
      </c>
      <c r="M3447" t="s">
        <v>5258</v>
      </c>
      <c r="N3447">
        <v>84588</v>
      </c>
      <c r="P3447">
        <v>7.67</v>
      </c>
      <c r="R3447">
        <v>0.3</v>
      </c>
      <c r="S3447">
        <v>0.88</v>
      </c>
      <c r="AA3447">
        <v>-0.55000000000000004</v>
      </c>
      <c r="AC3447" t="s">
        <v>24462</v>
      </c>
      <c r="AD3447" t="s">
        <v>14087</v>
      </c>
      <c r="AE3447" t="s">
        <v>4324</v>
      </c>
      <c r="AF3447" t="s">
        <v>5798</v>
      </c>
      <c r="AG3447" t="s">
        <v>4819</v>
      </c>
      <c r="AH3447" t="s">
        <v>5116</v>
      </c>
      <c r="AI3447" t="s">
        <v>9071</v>
      </c>
      <c r="AJ3447" t="s">
        <v>164</v>
      </c>
      <c r="AK3447" t="s">
        <v>15980</v>
      </c>
      <c r="AL3447">
        <v>0.66</v>
      </c>
      <c r="AM3447">
        <v>0.66</v>
      </c>
      <c r="AN3447">
        <v>2.67</v>
      </c>
      <c r="AO3447" t="s">
        <v>5240</v>
      </c>
      <c r="AP3447" t="s">
        <v>4569</v>
      </c>
      <c r="AQ3447" t="s">
        <v>3811</v>
      </c>
      <c r="AR3447" t="s">
        <v>6726</v>
      </c>
      <c r="AS3447" t="s">
        <v>2821</v>
      </c>
      <c r="AT3447" t="s">
        <v>13745</v>
      </c>
      <c r="AU3447" t="s">
        <v>23606</v>
      </c>
      <c r="AV3447" t="s">
        <v>29096</v>
      </c>
      <c r="AW3447" t="s">
        <v>29097</v>
      </c>
      <c r="AX3447" t="s">
        <v>4323</v>
      </c>
      <c r="AY3447" t="s">
        <v>29098</v>
      </c>
      <c r="AZ3447" t="s">
        <v>4323</v>
      </c>
      <c r="BA3447">
        <v>1.88</v>
      </c>
      <c r="BB3447">
        <v>816.16</v>
      </c>
      <c r="BC3447">
        <v>0.37</v>
      </c>
      <c r="BD3447">
        <v>6.76</v>
      </c>
      <c r="BE3447">
        <v>6.91</v>
      </c>
      <c r="BF3447">
        <v>6.78</v>
      </c>
      <c r="BG3447" t="s">
        <v>29099</v>
      </c>
      <c r="BH3447" t="s">
        <v>29098</v>
      </c>
      <c r="BI3447" t="s">
        <v>4323</v>
      </c>
      <c r="BJ3447" t="s">
        <v>101</v>
      </c>
      <c r="BK3447" t="s">
        <v>29100</v>
      </c>
      <c r="BL3447" t="s">
        <v>29101</v>
      </c>
      <c r="BN3447" t="s">
        <v>27621</v>
      </c>
    </row>
    <row r="3448" spans="1:66" x14ac:dyDescent="0.25">
      <c r="A3448" t="str">
        <f>HYPERLINK("https://elite.finviz.com/quote.ashx?t=MNSB&amp;ty=c&amp;p=d&amp;b=1", "MNSB")</f>
        <v>MNSB</v>
      </c>
      <c r="B3448">
        <v>4</v>
      </c>
      <c r="C3448">
        <v>105.92</v>
      </c>
      <c r="D3448">
        <v>38.17</v>
      </c>
      <c r="E3448" t="s">
        <v>29102</v>
      </c>
      <c r="F3448" t="s">
        <v>67</v>
      </c>
      <c r="G3448" t="s">
        <v>550</v>
      </c>
      <c r="H3448" t="s">
        <v>697</v>
      </c>
      <c r="I3448" t="s">
        <v>70</v>
      </c>
      <c r="J3448" t="s">
        <v>321</v>
      </c>
      <c r="K3448">
        <v>160.36000000000001</v>
      </c>
      <c r="L3448">
        <v>20.81</v>
      </c>
      <c r="M3448" t="s">
        <v>5693</v>
      </c>
      <c r="N3448">
        <v>13046</v>
      </c>
      <c r="P3448">
        <v>9.0500000000000007</v>
      </c>
      <c r="R3448">
        <v>1.1499999999999999</v>
      </c>
      <c r="S3448">
        <v>0.86</v>
      </c>
      <c r="T3448" t="s">
        <v>3118</v>
      </c>
      <c r="U3448">
        <v>0.4</v>
      </c>
      <c r="V3448" t="s">
        <v>2859</v>
      </c>
      <c r="W3448" t="s">
        <v>164</v>
      </c>
      <c r="AA3448">
        <v>-1.46</v>
      </c>
      <c r="AE3448" t="s">
        <v>1751</v>
      </c>
      <c r="AF3448" t="s">
        <v>2306</v>
      </c>
      <c r="AG3448" t="s">
        <v>928</v>
      </c>
      <c r="AH3448" t="s">
        <v>2356</v>
      </c>
      <c r="AI3448" t="s">
        <v>25988</v>
      </c>
      <c r="AJ3448" t="s">
        <v>2215</v>
      </c>
      <c r="AK3448" t="s">
        <v>5385</v>
      </c>
      <c r="AL3448">
        <v>0.17</v>
      </c>
      <c r="AN3448">
        <v>0.33</v>
      </c>
      <c r="AP3448" t="s">
        <v>10926</v>
      </c>
      <c r="AQ3448" t="s">
        <v>14874</v>
      </c>
      <c r="AR3448" t="s">
        <v>451</v>
      </c>
      <c r="AS3448" t="s">
        <v>2609</v>
      </c>
      <c r="AT3448" t="s">
        <v>2109</v>
      </c>
      <c r="AU3448" t="s">
        <v>1690</v>
      </c>
      <c r="AV3448" t="s">
        <v>6408</v>
      </c>
      <c r="AW3448" t="s">
        <v>22016</v>
      </c>
      <c r="AX3448" t="s">
        <v>954</v>
      </c>
      <c r="AY3448" t="s">
        <v>22016</v>
      </c>
      <c r="AZ3448" t="s">
        <v>20203</v>
      </c>
      <c r="BA3448">
        <v>1</v>
      </c>
      <c r="BB3448">
        <v>38.409999999999997</v>
      </c>
      <c r="BC3448">
        <v>1.21</v>
      </c>
      <c r="BD3448">
        <v>20.99</v>
      </c>
      <c r="BE3448">
        <v>21.05</v>
      </c>
      <c r="BF3448">
        <v>20.95</v>
      </c>
      <c r="BG3448" t="s">
        <v>29103</v>
      </c>
      <c r="BH3448" t="s">
        <v>28500</v>
      </c>
      <c r="BI3448" t="s">
        <v>29104</v>
      </c>
      <c r="BJ3448" t="s">
        <v>101</v>
      </c>
      <c r="BK3448" t="s">
        <v>5404</v>
      </c>
      <c r="BL3448" t="s">
        <v>5050</v>
      </c>
      <c r="BM3448" t="s">
        <v>7605</v>
      </c>
      <c r="BN3448" t="s">
        <v>27621</v>
      </c>
    </row>
    <row r="3449" spans="1:66" x14ac:dyDescent="0.25">
      <c r="A3449" t="str">
        <f>HYPERLINK("https://elite.finviz.com/quote.ashx?t=EPAC&amp;ty=c&amp;p=d&amp;b=1", "EPAC")</f>
        <v>EPAC</v>
      </c>
      <c r="B3449">
        <v>4</v>
      </c>
      <c r="C3449">
        <v>105.92</v>
      </c>
      <c r="D3449">
        <v>38.17</v>
      </c>
      <c r="E3449" t="s">
        <v>29105</v>
      </c>
      <c r="F3449" t="s">
        <v>67</v>
      </c>
      <c r="G3449" t="s">
        <v>260</v>
      </c>
      <c r="H3449" t="s">
        <v>261</v>
      </c>
      <c r="I3449" t="s">
        <v>70</v>
      </c>
      <c r="J3449" t="s">
        <v>71</v>
      </c>
      <c r="K3449">
        <v>2149.4</v>
      </c>
      <c r="L3449">
        <v>39.85</v>
      </c>
      <c r="M3449" t="s">
        <v>141</v>
      </c>
      <c r="N3449">
        <v>29522</v>
      </c>
      <c r="O3449">
        <v>24.49</v>
      </c>
      <c r="P3449">
        <v>20.65</v>
      </c>
      <c r="Q3449">
        <v>2.98</v>
      </c>
      <c r="R3449">
        <v>3.53</v>
      </c>
      <c r="S3449">
        <v>4.91</v>
      </c>
      <c r="T3449" t="s">
        <v>2757</v>
      </c>
      <c r="U3449">
        <v>0.04</v>
      </c>
      <c r="V3449" t="s">
        <v>16780</v>
      </c>
      <c r="W3449" t="s">
        <v>164</v>
      </c>
      <c r="X3449" t="s">
        <v>164</v>
      </c>
      <c r="Y3449" t="s">
        <v>164</v>
      </c>
      <c r="Z3449" t="s">
        <v>1933</v>
      </c>
      <c r="AA3449">
        <v>1.63</v>
      </c>
      <c r="AB3449" t="s">
        <v>1017</v>
      </c>
      <c r="AD3449" t="s">
        <v>2848</v>
      </c>
      <c r="AE3449" t="s">
        <v>465</v>
      </c>
      <c r="AF3449" t="s">
        <v>4765</v>
      </c>
      <c r="AG3449" t="s">
        <v>1313</v>
      </c>
      <c r="AH3449" t="s">
        <v>2370</v>
      </c>
      <c r="AI3449" t="s">
        <v>2438</v>
      </c>
      <c r="AJ3449" t="s">
        <v>2103</v>
      </c>
      <c r="AK3449" t="s">
        <v>29106</v>
      </c>
      <c r="AL3449">
        <v>2.9</v>
      </c>
      <c r="AM3449">
        <v>2.2400000000000002</v>
      </c>
      <c r="AN3449">
        <v>0.44</v>
      </c>
      <c r="AO3449" t="s">
        <v>21270</v>
      </c>
      <c r="AP3449" t="s">
        <v>7254</v>
      </c>
      <c r="AQ3449" t="s">
        <v>3405</v>
      </c>
      <c r="AR3449" t="s">
        <v>213</v>
      </c>
      <c r="AS3449" t="s">
        <v>4547</v>
      </c>
      <c r="AT3449" t="s">
        <v>13734</v>
      </c>
      <c r="AU3449" t="s">
        <v>1272</v>
      </c>
      <c r="AV3449" t="s">
        <v>4101</v>
      </c>
      <c r="AW3449" t="s">
        <v>11990</v>
      </c>
      <c r="AX3449" t="s">
        <v>223</v>
      </c>
      <c r="AY3449" t="s">
        <v>10564</v>
      </c>
      <c r="AZ3449" t="s">
        <v>5557</v>
      </c>
      <c r="BA3449">
        <v>1</v>
      </c>
      <c r="BB3449">
        <v>453</v>
      </c>
      <c r="BC3449">
        <v>0.23</v>
      </c>
      <c r="BD3449">
        <v>39.71</v>
      </c>
      <c r="BE3449">
        <v>40.130000000000003</v>
      </c>
      <c r="BF3449">
        <v>39.71</v>
      </c>
      <c r="BG3449" t="s">
        <v>29107</v>
      </c>
      <c r="BH3449" t="s">
        <v>10564</v>
      </c>
      <c r="BI3449" t="s">
        <v>29108</v>
      </c>
      <c r="BJ3449" t="s">
        <v>101</v>
      </c>
      <c r="BK3449" t="s">
        <v>1770</v>
      </c>
      <c r="BL3449" t="s">
        <v>13455</v>
      </c>
      <c r="BM3449" t="s">
        <v>3577</v>
      </c>
      <c r="BN3449" t="s">
        <v>27621</v>
      </c>
    </row>
    <row r="3450" spans="1:66" x14ac:dyDescent="0.25">
      <c r="A3450" t="str">
        <f>HYPERLINK("https://elite.finviz.com/quote.ashx?t=SELF&amp;ty=c&amp;p=d&amp;b=1", "SELF")</f>
        <v>SELF</v>
      </c>
      <c r="B3450">
        <v>4</v>
      </c>
      <c r="C3450">
        <v>105.92</v>
      </c>
      <c r="D3450">
        <v>38.19</v>
      </c>
      <c r="E3450" t="s">
        <v>29109</v>
      </c>
      <c r="F3450" t="s">
        <v>107</v>
      </c>
      <c r="G3450" t="s">
        <v>68</v>
      </c>
      <c r="H3450" t="s">
        <v>7227</v>
      </c>
      <c r="I3450" t="s">
        <v>70</v>
      </c>
      <c r="J3450" t="s">
        <v>321</v>
      </c>
      <c r="K3450">
        <v>56.58</v>
      </c>
      <c r="L3450">
        <v>4.99</v>
      </c>
      <c r="M3450" t="s">
        <v>2213</v>
      </c>
      <c r="N3450">
        <v>6566</v>
      </c>
      <c r="O3450">
        <v>22.88</v>
      </c>
      <c r="P3450">
        <v>19.96</v>
      </c>
      <c r="Q3450">
        <v>2.08</v>
      </c>
      <c r="R3450">
        <v>4.45</v>
      </c>
      <c r="S3450">
        <v>1.2</v>
      </c>
      <c r="T3450" t="s">
        <v>7210</v>
      </c>
      <c r="U3450">
        <v>0.28999999999999998</v>
      </c>
      <c r="V3450" t="s">
        <v>5925</v>
      </c>
      <c r="W3450" t="s">
        <v>164</v>
      </c>
      <c r="X3450" t="s">
        <v>3482</v>
      </c>
      <c r="Y3450" t="s">
        <v>2808</v>
      </c>
      <c r="Z3450" t="s">
        <v>5576</v>
      </c>
      <c r="AA3450">
        <v>0.22</v>
      </c>
      <c r="AB3450" t="s">
        <v>13554</v>
      </c>
      <c r="AC3450" t="s">
        <v>15580</v>
      </c>
      <c r="AD3450" t="s">
        <v>847</v>
      </c>
      <c r="AE3450" t="s">
        <v>1751</v>
      </c>
      <c r="AF3450" t="s">
        <v>4077</v>
      </c>
      <c r="AG3450" t="s">
        <v>1771</v>
      </c>
      <c r="AH3450" t="s">
        <v>4658</v>
      </c>
      <c r="AJ3450" t="s">
        <v>327</v>
      </c>
      <c r="AK3450" t="s">
        <v>9007</v>
      </c>
      <c r="AL3450">
        <v>3.78</v>
      </c>
      <c r="AM3450">
        <v>3.78</v>
      </c>
      <c r="AN3450">
        <v>0.34</v>
      </c>
      <c r="AO3450" t="s">
        <v>28635</v>
      </c>
      <c r="AP3450" t="s">
        <v>3138</v>
      </c>
      <c r="AQ3450" t="s">
        <v>19410</v>
      </c>
      <c r="AR3450" t="s">
        <v>3551</v>
      </c>
      <c r="AS3450" t="s">
        <v>179</v>
      </c>
      <c r="AT3450" t="s">
        <v>7391</v>
      </c>
      <c r="AU3450" t="s">
        <v>5913</v>
      </c>
      <c r="AV3450" t="s">
        <v>5189</v>
      </c>
      <c r="AW3450" t="s">
        <v>14694</v>
      </c>
      <c r="AX3450" t="s">
        <v>1083</v>
      </c>
      <c r="AY3450" t="s">
        <v>7203</v>
      </c>
      <c r="AZ3450" t="s">
        <v>5026</v>
      </c>
      <c r="BA3450">
        <v>1</v>
      </c>
      <c r="BB3450">
        <v>31.84</v>
      </c>
      <c r="BC3450">
        <v>0.73</v>
      </c>
      <c r="BD3450">
        <v>5</v>
      </c>
      <c r="BE3450">
        <v>5</v>
      </c>
      <c r="BF3450">
        <v>4.99</v>
      </c>
      <c r="BG3450" t="s">
        <v>29110</v>
      </c>
      <c r="BH3450" t="s">
        <v>18552</v>
      </c>
      <c r="BI3450" t="s">
        <v>29111</v>
      </c>
      <c r="BJ3450" t="s">
        <v>101</v>
      </c>
      <c r="BK3450" t="s">
        <v>3423</v>
      </c>
      <c r="BL3450" t="s">
        <v>2486</v>
      </c>
      <c r="BM3450" t="s">
        <v>1510</v>
      </c>
      <c r="BN3450" t="s">
        <v>27621</v>
      </c>
    </row>
    <row r="3451" spans="1:66" x14ac:dyDescent="0.25">
      <c r="A3451" t="str">
        <f>HYPERLINK("https://elite.finviz.com/quote.ashx?t=GENC&amp;ty=c&amp;p=d&amp;b=1", "GENC")</f>
        <v>GENC</v>
      </c>
      <c r="B3451">
        <v>4</v>
      </c>
      <c r="C3451">
        <v>105.92</v>
      </c>
      <c r="D3451">
        <v>38.200000000000003</v>
      </c>
      <c r="E3451" t="s">
        <v>29112</v>
      </c>
      <c r="F3451" t="s">
        <v>67</v>
      </c>
      <c r="G3451" t="s">
        <v>260</v>
      </c>
      <c r="H3451" t="s">
        <v>320</v>
      </c>
      <c r="I3451" t="s">
        <v>70</v>
      </c>
      <c r="J3451" t="s">
        <v>383</v>
      </c>
      <c r="K3451">
        <v>212.24</v>
      </c>
      <c r="L3451">
        <v>14.48</v>
      </c>
      <c r="M3451" t="s">
        <v>497</v>
      </c>
      <c r="N3451">
        <v>4100</v>
      </c>
      <c r="O3451">
        <v>13.97</v>
      </c>
      <c r="R3451">
        <v>1.81</v>
      </c>
      <c r="S3451">
        <v>1.01</v>
      </c>
      <c r="Z3451" t="s">
        <v>164</v>
      </c>
      <c r="AA3451">
        <v>1.04</v>
      </c>
      <c r="AB3451" t="s">
        <v>9226</v>
      </c>
      <c r="AC3451" t="s">
        <v>7236</v>
      </c>
      <c r="AE3451" t="s">
        <v>2838</v>
      </c>
      <c r="AF3451" t="s">
        <v>4728</v>
      </c>
      <c r="AG3451" t="s">
        <v>7150</v>
      </c>
      <c r="AH3451" t="s">
        <v>3949</v>
      </c>
      <c r="AJ3451" t="s">
        <v>164</v>
      </c>
      <c r="AK3451" t="s">
        <v>6509</v>
      </c>
      <c r="AL3451">
        <v>24.8</v>
      </c>
      <c r="AM3451">
        <v>18.420000000000002</v>
      </c>
      <c r="AN3451">
        <v>0</v>
      </c>
      <c r="AO3451" t="s">
        <v>6704</v>
      </c>
      <c r="AP3451" t="s">
        <v>15351</v>
      </c>
      <c r="AQ3451" t="s">
        <v>9545</v>
      </c>
      <c r="AR3451" t="s">
        <v>1902</v>
      </c>
      <c r="AS3451" t="s">
        <v>1088</v>
      </c>
      <c r="AT3451" t="s">
        <v>1821</v>
      </c>
      <c r="AU3451" t="s">
        <v>6822</v>
      </c>
      <c r="AV3451" t="s">
        <v>1574</v>
      </c>
      <c r="AW3451" t="s">
        <v>9567</v>
      </c>
      <c r="AX3451" t="s">
        <v>3949</v>
      </c>
      <c r="AY3451" t="s">
        <v>11453</v>
      </c>
      <c r="AZ3451" t="s">
        <v>11802</v>
      </c>
      <c r="BA3451">
        <v>1</v>
      </c>
      <c r="BB3451">
        <v>45.35</v>
      </c>
      <c r="BC3451">
        <v>0.32</v>
      </c>
      <c r="BD3451">
        <v>14.45</v>
      </c>
      <c r="BE3451">
        <v>14.7</v>
      </c>
      <c r="BF3451">
        <v>14.48</v>
      </c>
      <c r="BG3451" t="s">
        <v>29113</v>
      </c>
      <c r="BH3451" t="s">
        <v>11788</v>
      </c>
      <c r="BI3451" t="s">
        <v>29114</v>
      </c>
      <c r="BJ3451" t="s">
        <v>101</v>
      </c>
      <c r="BK3451" t="s">
        <v>4475</v>
      </c>
      <c r="BL3451" t="s">
        <v>6608</v>
      </c>
      <c r="BM3451" t="s">
        <v>9549</v>
      </c>
      <c r="BN3451" t="s">
        <v>27621</v>
      </c>
    </row>
    <row r="3452" spans="1:66" x14ac:dyDescent="0.25">
      <c r="A3452" t="str">
        <f>HYPERLINK("https://elite.finviz.com/quote.ashx?t=TRNS&amp;ty=c&amp;p=d&amp;b=1", "TRNS")</f>
        <v>TRNS</v>
      </c>
      <c r="B3452">
        <v>4</v>
      </c>
      <c r="C3452">
        <v>105.92</v>
      </c>
      <c r="D3452">
        <v>38.200000000000003</v>
      </c>
      <c r="E3452" t="s">
        <v>29115</v>
      </c>
      <c r="F3452" t="s">
        <v>67</v>
      </c>
      <c r="G3452" t="s">
        <v>260</v>
      </c>
      <c r="H3452" t="s">
        <v>1077</v>
      </c>
      <c r="I3452" t="s">
        <v>70</v>
      </c>
      <c r="J3452" t="s">
        <v>321</v>
      </c>
      <c r="K3452">
        <v>676.94</v>
      </c>
      <c r="L3452">
        <v>72.64</v>
      </c>
      <c r="M3452" t="s">
        <v>2294</v>
      </c>
      <c r="N3452">
        <v>14185</v>
      </c>
      <c r="O3452">
        <v>50.63</v>
      </c>
      <c r="P3452">
        <v>31.8</v>
      </c>
      <c r="R3452">
        <v>2.35</v>
      </c>
      <c r="S3452">
        <v>2.31</v>
      </c>
      <c r="Z3452" t="s">
        <v>164</v>
      </c>
      <c r="AA3452">
        <v>1.43</v>
      </c>
      <c r="AB3452" t="s">
        <v>2145</v>
      </c>
      <c r="AC3452" t="s">
        <v>8535</v>
      </c>
      <c r="AD3452" t="s">
        <v>8542</v>
      </c>
      <c r="AE3452" t="s">
        <v>6028</v>
      </c>
      <c r="AF3452" t="s">
        <v>177</v>
      </c>
      <c r="AG3452" t="s">
        <v>2127</v>
      </c>
      <c r="AH3452" t="s">
        <v>3525</v>
      </c>
      <c r="AI3452" t="s">
        <v>29116</v>
      </c>
      <c r="AJ3452" t="s">
        <v>2213</v>
      </c>
      <c r="AK3452" t="s">
        <v>22790</v>
      </c>
      <c r="AL3452">
        <v>2.92</v>
      </c>
      <c r="AM3452">
        <v>2.36</v>
      </c>
      <c r="AN3452">
        <v>0.22</v>
      </c>
      <c r="AO3452" t="s">
        <v>8083</v>
      </c>
      <c r="AP3452" t="s">
        <v>2065</v>
      </c>
      <c r="AQ3452" t="s">
        <v>5685</v>
      </c>
      <c r="AR3452" t="s">
        <v>2080</v>
      </c>
      <c r="AS3452" t="s">
        <v>323</v>
      </c>
      <c r="AT3452" t="s">
        <v>14635</v>
      </c>
      <c r="AU3452" t="s">
        <v>9998</v>
      </c>
      <c r="AV3452" t="s">
        <v>18890</v>
      </c>
      <c r="AW3452" t="s">
        <v>15323</v>
      </c>
      <c r="AX3452" t="s">
        <v>206</v>
      </c>
      <c r="AY3452" t="s">
        <v>11618</v>
      </c>
      <c r="AZ3452" t="s">
        <v>6392</v>
      </c>
      <c r="BA3452">
        <v>1.8</v>
      </c>
      <c r="BB3452">
        <v>99.54</v>
      </c>
      <c r="BC3452">
        <v>0.5</v>
      </c>
      <c r="BD3452">
        <v>72.81</v>
      </c>
      <c r="BE3452">
        <v>73.25</v>
      </c>
      <c r="BF3452">
        <v>72.510000000000005</v>
      </c>
      <c r="BG3452" t="s">
        <v>29117</v>
      </c>
      <c r="BH3452" t="s">
        <v>23542</v>
      </c>
      <c r="BI3452" t="s">
        <v>29118</v>
      </c>
      <c r="BJ3452" t="s">
        <v>101</v>
      </c>
      <c r="BK3452" t="s">
        <v>4521</v>
      </c>
      <c r="BL3452" t="s">
        <v>2486</v>
      </c>
      <c r="BM3452" t="s">
        <v>26930</v>
      </c>
      <c r="BN3452" t="s">
        <v>27621</v>
      </c>
    </row>
    <row r="3453" spans="1:66" x14ac:dyDescent="0.25">
      <c r="A3453" t="str">
        <f>HYPERLINK("https://elite.finviz.com/quote.ashx?t=BCDA&amp;ty=c&amp;p=d&amp;b=1", "BCDA")</f>
        <v>BCDA</v>
      </c>
      <c r="B3453">
        <v>4</v>
      </c>
      <c r="C3453">
        <v>105.92</v>
      </c>
      <c r="D3453">
        <v>38.21</v>
      </c>
      <c r="E3453" t="s">
        <v>29119</v>
      </c>
      <c r="F3453" t="s">
        <v>107</v>
      </c>
      <c r="G3453" t="s">
        <v>428</v>
      </c>
      <c r="H3453" t="s">
        <v>429</v>
      </c>
      <c r="I3453" t="s">
        <v>70</v>
      </c>
      <c r="J3453" t="s">
        <v>321</v>
      </c>
      <c r="K3453">
        <v>8.25</v>
      </c>
      <c r="L3453">
        <v>1.42</v>
      </c>
      <c r="M3453" t="s">
        <v>4865</v>
      </c>
      <c r="N3453">
        <v>160885</v>
      </c>
      <c r="AA3453">
        <v>-2.1</v>
      </c>
      <c r="AB3453" t="s">
        <v>15020</v>
      </c>
      <c r="AC3453" t="s">
        <v>2540</v>
      </c>
      <c r="AD3453" t="s">
        <v>14860</v>
      </c>
      <c r="AE3453" t="s">
        <v>579</v>
      </c>
      <c r="AF3453" t="s">
        <v>29120</v>
      </c>
      <c r="AG3453" t="s">
        <v>29121</v>
      </c>
      <c r="AH3453" t="s">
        <v>579</v>
      </c>
      <c r="AI3453" t="s">
        <v>1746</v>
      </c>
      <c r="AJ3453" t="s">
        <v>18562</v>
      </c>
      <c r="AK3453" t="s">
        <v>2293</v>
      </c>
      <c r="AL3453">
        <v>0.33</v>
      </c>
      <c r="AM3453">
        <v>0.33</v>
      </c>
      <c r="AR3453" t="s">
        <v>8240</v>
      </c>
      <c r="AS3453" t="s">
        <v>3982</v>
      </c>
      <c r="AT3453" t="s">
        <v>29122</v>
      </c>
      <c r="AU3453" t="s">
        <v>9491</v>
      </c>
      <c r="AV3453" t="s">
        <v>29123</v>
      </c>
      <c r="AW3453" t="s">
        <v>13531</v>
      </c>
      <c r="AX3453" t="s">
        <v>10060</v>
      </c>
      <c r="AY3453" t="s">
        <v>29124</v>
      </c>
      <c r="AZ3453" t="s">
        <v>10060</v>
      </c>
      <c r="BA3453">
        <v>1</v>
      </c>
      <c r="BB3453">
        <v>734.6</v>
      </c>
      <c r="BC3453">
        <v>0.77</v>
      </c>
      <c r="BD3453">
        <v>1.41</v>
      </c>
      <c r="BE3453">
        <v>1.45</v>
      </c>
      <c r="BF3453">
        <v>1.39</v>
      </c>
      <c r="BG3453" t="s">
        <v>29125</v>
      </c>
      <c r="BH3453" t="s">
        <v>579</v>
      </c>
      <c r="BI3453" t="s">
        <v>10060</v>
      </c>
      <c r="BJ3453" t="s">
        <v>101</v>
      </c>
      <c r="BK3453" t="s">
        <v>25244</v>
      </c>
      <c r="BL3453" t="s">
        <v>29126</v>
      </c>
      <c r="BM3453" t="s">
        <v>18355</v>
      </c>
      <c r="BN3453" t="s">
        <v>27621</v>
      </c>
    </row>
    <row r="3454" spans="1:66" x14ac:dyDescent="0.25">
      <c r="A3454" t="str">
        <f>HYPERLINK("https://elite.finviz.com/quote.ashx?t=PCTY&amp;ty=c&amp;p=d&amp;b=1", "PCTY")</f>
        <v>PCTY</v>
      </c>
      <c r="B3454">
        <v>4</v>
      </c>
      <c r="C3454">
        <v>105.92</v>
      </c>
      <c r="D3454">
        <v>38.229999999999997</v>
      </c>
      <c r="E3454" t="s">
        <v>29127</v>
      </c>
      <c r="F3454" t="s">
        <v>107</v>
      </c>
      <c r="G3454" t="s">
        <v>108</v>
      </c>
      <c r="H3454" t="s">
        <v>136</v>
      </c>
      <c r="I3454" t="s">
        <v>70</v>
      </c>
      <c r="J3454" t="s">
        <v>321</v>
      </c>
      <c r="K3454">
        <v>9091.19</v>
      </c>
      <c r="L3454">
        <v>164.81</v>
      </c>
      <c r="M3454" t="s">
        <v>306</v>
      </c>
      <c r="N3454">
        <v>51356</v>
      </c>
      <c r="O3454">
        <v>41.03</v>
      </c>
      <c r="P3454">
        <v>20.7</v>
      </c>
      <c r="Q3454">
        <v>4.4800000000000004</v>
      </c>
      <c r="R3454">
        <v>5.7</v>
      </c>
      <c r="S3454">
        <v>7.4</v>
      </c>
      <c r="Z3454" t="s">
        <v>164</v>
      </c>
      <c r="AA3454">
        <v>4.0199999999999996</v>
      </c>
      <c r="AB3454" t="s">
        <v>17134</v>
      </c>
      <c r="AC3454" t="s">
        <v>14240</v>
      </c>
      <c r="AD3454" t="s">
        <v>5557</v>
      </c>
      <c r="AE3454" t="s">
        <v>14309</v>
      </c>
      <c r="AF3454" t="s">
        <v>24527</v>
      </c>
      <c r="AG3454" t="s">
        <v>4541</v>
      </c>
      <c r="AH3454" t="s">
        <v>7345</v>
      </c>
      <c r="AI3454" t="s">
        <v>6923</v>
      </c>
      <c r="AJ3454" t="s">
        <v>5444</v>
      </c>
      <c r="AK3454" t="s">
        <v>10539</v>
      </c>
      <c r="AL3454">
        <v>1.1000000000000001</v>
      </c>
      <c r="AM3454">
        <v>1.1000000000000001</v>
      </c>
      <c r="AN3454">
        <v>0.18</v>
      </c>
      <c r="AO3454" t="s">
        <v>29128</v>
      </c>
      <c r="AP3454" t="s">
        <v>5759</v>
      </c>
      <c r="AQ3454" t="s">
        <v>8437</v>
      </c>
      <c r="AR3454" t="s">
        <v>2868</v>
      </c>
      <c r="AS3454" t="s">
        <v>206</v>
      </c>
      <c r="AT3454" t="s">
        <v>81</v>
      </c>
      <c r="AU3454" t="s">
        <v>6450</v>
      </c>
      <c r="AV3454" t="s">
        <v>9260</v>
      </c>
      <c r="AW3454" t="s">
        <v>8084</v>
      </c>
      <c r="AX3454" t="s">
        <v>3019</v>
      </c>
      <c r="AY3454" t="s">
        <v>15828</v>
      </c>
      <c r="AZ3454" t="s">
        <v>170</v>
      </c>
      <c r="BA3454">
        <v>1.74</v>
      </c>
      <c r="BB3454">
        <v>535.74</v>
      </c>
      <c r="BC3454">
        <v>0.34</v>
      </c>
      <c r="BD3454">
        <v>163.81</v>
      </c>
      <c r="BE3454">
        <v>164.95</v>
      </c>
      <c r="BF3454">
        <v>162.88999999999999</v>
      </c>
      <c r="BG3454" t="s">
        <v>29129</v>
      </c>
      <c r="BH3454" t="s">
        <v>22975</v>
      </c>
      <c r="BI3454" t="s">
        <v>29130</v>
      </c>
      <c r="BJ3454" t="s">
        <v>101</v>
      </c>
      <c r="BK3454" t="s">
        <v>5932</v>
      </c>
      <c r="BL3454" t="s">
        <v>6991</v>
      </c>
      <c r="BM3454" t="s">
        <v>1445</v>
      </c>
      <c r="BN3454" t="s">
        <v>27621</v>
      </c>
    </row>
    <row r="3455" spans="1:66" x14ac:dyDescent="0.25">
      <c r="A3455" t="str">
        <f>HYPERLINK("https://elite.finviz.com/quote.ashx?t=BLKB&amp;ty=c&amp;p=d&amp;b=1", "BLKB")</f>
        <v>BLKB</v>
      </c>
      <c r="B3455">
        <v>4</v>
      </c>
      <c r="C3455">
        <v>105.92</v>
      </c>
      <c r="D3455">
        <v>38.24</v>
      </c>
      <c r="E3455" t="s">
        <v>29131</v>
      </c>
      <c r="F3455" t="s">
        <v>67</v>
      </c>
      <c r="G3455" t="s">
        <v>108</v>
      </c>
      <c r="H3455" t="s">
        <v>136</v>
      </c>
      <c r="I3455" t="s">
        <v>70</v>
      </c>
      <c r="J3455" t="s">
        <v>321</v>
      </c>
      <c r="K3455">
        <v>3091.52</v>
      </c>
      <c r="L3455">
        <v>63.73</v>
      </c>
      <c r="M3455" t="s">
        <v>2290</v>
      </c>
      <c r="N3455">
        <v>72723</v>
      </c>
      <c r="P3455">
        <v>13.45</v>
      </c>
      <c r="R3455">
        <v>2.71</v>
      </c>
      <c r="S3455">
        <v>35.15</v>
      </c>
      <c r="V3455" t="s">
        <v>27175</v>
      </c>
      <c r="AA3455">
        <v>-5.79</v>
      </c>
      <c r="AD3455" t="s">
        <v>2438</v>
      </c>
      <c r="AE3455" t="s">
        <v>211</v>
      </c>
      <c r="AF3455" t="s">
        <v>4498</v>
      </c>
      <c r="AG3455" t="s">
        <v>7453</v>
      </c>
      <c r="AH3455" t="s">
        <v>14331</v>
      </c>
      <c r="AI3455" t="s">
        <v>2722</v>
      </c>
      <c r="AJ3455" t="s">
        <v>2003</v>
      </c>
      <c r="AK3455" t="s">
        <v>29132</v>
      </c>
      <c r="AL3455">
        <v>0.84</v>
      </c>
      <c r="AM3455">
        <v>0.84</v>
      </c>
      <c r="AN3455">
        <v>13.25</v>
      </c>
      <c r="AO3455" t="s">
        <v>22644</v>
      </c>
      <c r="AP3455" t="s">
        <v>6799</v>
      </c>
      <c r="AQ3455" t="s">
        <v>4309</v>
      </c>
      <c r="AR3455" t="s">
        <v>2383</v>
      </c>
      <c r="AS3455" t="s">
        <v>6430</v>
      </c>
      <c r="AT3455" t="s">
        <v>6822</v>
      </c>
      <c r="AU3455" t="s">
        <v>79</v>
      </c>
      <c r="AV3455" t="s">
        <v>5040</v>
      </c>
      <c r="AW3455" t="s">
        <v>11579</v>
      </c>
      <c r="AX3455" t="s">
        <v>2066</v>
      </c>
      <c r="AY3455" t="s">
        <v>15899</v>
      </c>
      <c r="AZ3455" t="s">
        <v>1558</v>
      </c>
      <c r="BA3455">
        <v>3</v>
      </c>
      <c r="BB3455">
        <v>321.87</v>
      </c>
      <c r="BC3455">
        <v>0.8</v>
      </c>
      <c r="BD3455">
        <v>63.52</v>
      </c>
      <c r="BE3455">
        <v>63.98</v>
      </c>
      <c r="BF3455">
        <v>63.37</v>
      </c>
      <c r="BG3455" t="s">
        <v>29133</v>
      </c>
      <c r="BH3455" t="s">
        <v>23244</v>
      </c>
      <c r="BI3455" t="s">
        <v>29134</v>
      </c>
      <c r="BJ3455" t="s">
        <v>101</v>
      </c>
      <c r="BK3455" t="s">
        <v>6194</v>
      </c>
      <c r="BL3455" t="s">
        <v>1599</v>
      </c>
      <c r="BM3455" t="s">
        <v>29135</v>
      </c>
      <c r="BN3455" t="s">
        <v>27621</v>
      </c>
    </row>
    <row r="3456" spans="1:66" x14ac:dyDescent="0.25">
      <c r="A3456" t="str">
        <f>HYPERLINK("https://elite.finviz.com/quote.ashx?t=SI&amp;ty=c&amp;p=d&amp;b=1", "SI")</f>
        <v>SI</v>
      </c>
      <c r="B3456">
        <v>4</v>
      </c>
      <c r="C3456">
        <v>105.92</v>
      </c>
      <c r="D3456">
        <v>38.28</v>
      </c>
      <c r="E3456" t="s">
        <v>29136</v>
      </c>
      <c r="F3456" t="s">
        <v>67</v>
      </c>
      <c r="G3456" t="s">
        <v>428</v>
      </c>
      <c r="H3456" t="s">
        <v>2051</v>
      </c>
      <c r="I3456" t="s">
        <v>70</v>
      </c>
      <c r="J3456" t="s">
        <v>71</v>
      </c>
      <c r="K3456">
        <v>249</v>
      </c>
      <c r="L3456">
        <v>12.23</v>
      </c>
      <c r="M3456" t="s">
        <v>3753</v>
      </c>
      <c r="N3456">
        <v>10282</v>
      </c>
      <c r="R3456">
        <v>6.67</v>
      </c>
      <c r="AA3456">
        <v>-1.57</v>
      </c>
      <c r="AE3456" t="s">
        <v>29137</v>
      </c>
      <c r="AH3456" t="s">
        <v>10378</v>
      </c>
      <c r="AI3456" t="s">
        <v>29138</v>
      </c>
      <c r="AJ3456" t="s">
        <v>341</v>
      </c>
      <c r="AL3456">
        <v>5.52</v>
      </c>
      <c r="AM3456">
        <v>4.1500000000000004</v>
      </c>
      <c r="AN3456">
        <v>0.31</v>
      </c>
      <c r="AO3456" t="s">
        <v>28107</v>
      </c>
      <c r="AP3456" t="s">
        <v>24020</v>
      </c>
      <c r="AQ3456" t="s">
        <v>19650</v>
      </c>
      <c r="AR3456" t="s">
        <v>9751</v>
      </c>
      <c r="AS3456" t="s">
        <v>11639</v>
      </c>
      <c r="AT3456" t="s">
        <v>21989</v>
      </c>
      <c r="AU3456" t="s">
        <v>9202</v>
      </c>
      <c r="AV3456" t="s">
        <v>9202</v>
      </c>
      <c r="AW3456" t="s">
        <v>1600</v>
      </c>
      <c r="AX3456" t="s">
        <v>9651</v>
      </c>
      <c r="AY3456" t="s">
        <v>1600</v>
      </c>
      <c r="AZ3456" t="s">
        <v>9651</v>
      </c>
      <c r="BA3456">
        <v>1</v>
      </c>
      <c r="BB3456">
        <v>227.8</v>
      </c>
      <c r="BC3456">
        <v>0.16</v>
      </c>
      <c r="BD3456">
        <v>12.5</v>
      </c>
      <c r="BE3456">
        <v>12.85</v>
      </c>
      <c r="BF3456">
        <v>12.29</v>
      </c>
      <c r="BG3456" t="s">
        <v>29139</v>
      </c>
      <c r="BH3456" t="s">
        <v>1600</v>
      </c>
      <c r="BI3456" t="s">
        <v>9651</v>
      </c>
      <c r="BJ3456" t="s">
        <v>101</v>
      </c>
      <c r="BN3456" t="s">
        <v>27621</v>
      </c>
    </row>
    <row r="3457" spans="1:66" x14ac:dyDescent="0.25">
      <c r="A3457" t="str">
        <f>HYPERLINK("https://elite.finviz.com/quote.ashx?t=TYL&amp;ty=c&amp;p=d&amp;b=1", "TYL")</f>
        <v>TYL</v>
      </c>
      <c r="B3457">
        <v>4</v>
      </c>
      <c r="C3457">
        <v>105.92</v>
      </c>
      <c r="D3457">
        <v>38.299999999999997</v>
      </c>
      <c r="E3457" t="s">
        <v>29140</v>
      </c>
      <c r="F3457" t="s">
        <v>195</v>
      </c>
      <c r="G3457" t="s">
        <v>108</v>
      </c>
      <c r="H3457" t="s">
        <v>136</v>
      </c>
      <c r="I3457" t="s">
        <v>70</v>
      </c>
      <c r="J3457" t="s">
        <v>71</v>
      </c>
      <c r="K3457">
        <v>22839.64</v>
      </c>
      <c r="L3457">
        <v>527.94000000000005</v>
      </c>
      <c r="M3457" t="s">
        <v>1837</v>
      </c>
      <c r="N3457">
        <v>43638</v>
      </c>
      <c r="O3457">
        <v>75.489999999999995</v>
      </c>
      <c r="P3457">
        <v>41.98</v>
      </c>
      <c r="Q3457">
        <v>5.21</v>
      </c>
      <c r="R3457">
        <v>10.17</v>
      </c>
      <c r="S3457">
        <v>6.28</v>
      </c>
      <c r="Z3457" t="s">
        <v>164</v>
      </c>
      <c r="AA3457">
        <v>6.99</v>
      </c>
      <c r="AB3457" t="s">
        <v>16280</v>
      </c>
      <c r="AC3457" t="s">
        <v>6315</v>
      </c>
      <c r="AD3457" t="s">
        <v>2230</v>
      </c>
      <c r="AE3457" t="s">
        <v>5838</v>
      </c>
      <c r="AF3457" t="s">
        <v>3526</v>
      </c>
      <c r="AG3457" t="s">
        <v>6795</v>
      </c>
      <c r="AH3457" t="s">
        <v>185</v>
      </c>
      <c r="AI3457" t="s">
        <v>776</v>
      </c>
      <c r="AJ3457" t="s">
        <v>8330</v>
      </c>
      <c r="AK3457" t="s">
        <v>17875</v>
      </c>
      <c r="AL3457">
        <v>1.03</v>
      </c>
      <c r="AM3457">
        <v>1.03</v>
      </c>
      <c r="AN3457">
        <v>0.18</v>
      </c>
      <c r="AO3457" t="s">
        <v>916</v>
      </c>
      <c r="AP3457" t="s">
        <v>3042</v>
      </c>
      <c r="AQ3457" t="s">
        <v>2338</v>
      </c>
      <c r="AR3457" t="s">
        <v>3925</v>
      </c>
      <c r="AS3457" t="s">
        <v>2424</v>
      </c>
      <c r="AT3457" t="s">
        <v>4113</v>
      </c>
      <c r="AU3457" t="s">
        <v>8670</v>
      </c>
      <c r="AV3457" t="s">
        <v>1537</v>
      </c>
      <c r="AW3457" t="s">
        <v>1589</v>
      </c>
      <c r="AX3457" t="s">
        <v>714</v>
      </c>
      <c r="AY3457" t="s">
        <v>29048</v>
      </c>
      <c r="AZ3457" t="s">
        <v>5929</v>
      </c>
      <c r="BA3457">
        <v>1.82</v>
      </c>
      <c r="BB3457">
        <v>335.44</v>
      </c>
      <c r="BC3457">
        <v>0.46</v>
      </c>
      <c r="BD3457">
        <v>522.22</v>
      </c>
      <c r="BE3457">
        <v>528.46</v>
      </c>
      <c r="BF3457">
        <v>521.76</v>
      </c>
      <c r="BG3457" t="s">
        <v>29141</v>
      </c>
      <c r="BH3457" t="s">
        <v>29048</v>
      </c>
      <c r="BI3457" t="s">
        <v>29142</v>
      </c>
      <c r="BJ3457" t="s">
        <v>101</v>
      </c>
      <c r="BK3457" t="s">
        <v>1851</v>
      </c>
      <c r="BL3457" t="s">
        <v>7754</v>
      </c>
      <c r="BM3457" t="s">
        <v>15856</v>
      </c>
      <c r="BN3457" t="s">
        <v>27621</v>
      </c>
    </row>
    <row r="3458" spans="1:66" x14ac:dyDescent="0.25">
      <c r="A3458" t="str">
        <f>HYPERLINK("https://elite.finviz.com/quote.ashx?t=STKL&amp;ty=c&amp;p=d&amp;b=1", "STKL")</f>
        <v>STKL</v>
      </c>
      <c r="B3458">
        <v>4</v>
      </c>
      <c r="C3458">
        <v>105.92</v>
      </c>
      <c r="D3458">
        <v>38.31</v>
      </c>
      <c r="E3458" t="s">
        <v>29143</v>
      </c>
      <c r="F3458" t="s">
        <v>67</v>
      </c>
      <c r="G3458" t="s">
        <v>2244</v>
      </c>
      <c r="H3458" t="s">
        <v>4568</v>
      </c>
      <c r="I3458" t="s">
        <v>70</v>
      </c>
      <c r="J3458" t="s">
        <v>321</v>
      </c>
      <c r="K3458">
        <v>709.95</v>
      </c>
      <c r="L3458">
        <v>5.88</v>
      </c>
      <c r="M3458" t="s">
        <v>2560</v>
      </c>
      <c r="N3458">
        <v>109761</v>
      </c>
      <c r="P3458">
        <v>19.93</v>
      </c>
      <c r="R3458">
        <v>0.93</v>
      </c>
      <c r="S3458">
        <v>4.3600000000000003</v>
      </c>
      <c r="AA3458">
        <v>-0.06</v>
      </c>
      <c r="AB3458" t="s">
        <v>29144</v>
      </c>
      <c r="AC3458" t="s">
        <v>5062</v>
      </c>
      <c r="AE3458" t="s">
        <v>6234</v>
      </c>
      <c r="AF3458" t="s">
        <v>8380</v>
      </c>
      <c r="AG3458" t="s">
        <v>4507</v>
      </c>
      <c r="AH3458" t="s">
        <v>2911</v>
      </c>
      <c r="AI3458" t="s">
        <v>8778</v>
      </c>
      <c r="AJ3458" t="s">
        <v>15000</v>
      </c>
      <c r="AK3458" t="s">
        <v>14769</v>
      </c>
      <c r="AL3458">
        <v>0.96</v>
      </c>
      <c r="AM3458">
        <v>0.39</v>
      </c>
      <c r="AN3458">
        <v>2.31</v>
      </c>
      <c r="AO3458" t="s">
        <v>6748</v>
      </c>
      <c r="AP3458" t="s">
        <v>161</v>
      </c>
      <c r="AQ3458" t="s">
        <v>5424</v>
      </c>
      <c r="AR3458" t="s">
        <v>4916</v>
      </c>
      <c r="AS3458" t="s">
        <v>6104</v>
      </c>
      <c r="AT3458" t="s">
        <v>5359</v>
      </c>
      <c r="AU3458" t="s">
        <v>9148</v>
      </c>
      <c r="AV3458" t="s">
        <v>3780</v>
      </c>
      <c r="AW3458" t="s">
        <v>17129</v>
      </c>
      <c r="AX3458" t="s">
        <v>3789</v>
      </c>
      <c r="AY3458" t="s">
        <v>27307</v>
      </c>
      <c r="AZ3458" t="s">
        <v>1044</v>
      </c>
      <c r="BA3458">
        <v>1</v>
      </c>
      <c r="BB3458">
        <v>743.8</v>
      </c>
      <c r="BC3458">
        <v>0.52</v>
      </c>
      <c r="BD3458">
        <v>5.87</v>
      </c>
      <c r="BE3458">
        <v>5.94</v>
      </c>
      <c r="BF3458">
        <v>5.81</v>
      </c>
      <c r="BG3458" t="s">
        <v>29145</v>
      </c>
      <c r="BH3458" t="s">
        <v>29146</v>
      </c>
      <c r="BI3458" t="s">
        <v>29147</v>
      </c>
      <c r="BJ3458" t="s">
        <v>101</v>
      </c>
      <c r="BK3458" t="s">
        <v>2560</v>
      </c>
      <c r="BL3458" t="s">
        <v>3199</v>
      </c>
      <c r="BM3458" t="s">
        <v>12912</v>
      </c>
      <c r="BN3458" t="s">
        <v>27621</v>
      </c>
    </row>
    <row r="3459" spans="1:66" x14ac:dyDescent="0.25">
      <c r="A3459" t="str">
        <f>HYPERLINK("https://elite.finviz.com/quote.ashx?t=PLMR&amp;ty=c&amp;p=d&amp;b=1", "PLMR")</f>
        <v>PLMR</v>
      </c>
      <c r="B3459">
        <v>4</v>
      </c>
      <c r="C3459">
        <v>105.92</v>
      </c>
      <c r="D3459">
        <v>38.340000000000003</v>
      </c>
      <c r="E3459" t="s">
        <v>29148</v>
      </c>
      <c r="F3459" t="s">
        <v>67</v>
      </c>
      <c r="G3459" t="s">
        <v>550</v>
      </c>
      <c r="H3459" t="s">
        <v>4407</v>
      </c>
      <c r="I3459" t="s">
        <v>70</v>
      </c>
      <c r="J3459" t="s">
        <v>321</v>
      </c>
      <c r="K3459">
        <v>3077.27</v>
      </c>
      <c r="L3459">
        <v>114.89</v>
      </c>
      <c r="M3459" t="s">
        <v>7464</v>
      </c>
      <c r="N3459">
        <v>19032</v>
      </c>
      <c r="O3459">
        <v>20.2</v>
      </c>
      <c r="P3459">
        <v>13.92</v>
      </c>
      <c r="Q3459">
        <v>0.91</v>
      </c>
      <c r="R3459">
        <v>4.5199999999999996</v>
      </c>
      <c r="S3459">
        <v>3.63</v>
      </c>
      <c r="Z3459" t="s">
        <v>164</v>
      </c>
      <c r="AA3459">
        <v>5.69</v>
      </c>
      <c r="AB3459" t="s">
        <v>11888</v>
      </c>
      <c r="AC3459" t="s">
        <v>7153</v>
      </c>
      <c r="AD3459" t="s">
        <v>1255</v>
      </c>
      <c r="AE3459" t="s">
        <v>29149</v>
      </c>
      <c r="AF3459" t="s">
        <v>10693</v>
      </c>
      <c r="AG3459" t="s">
        <v>16935</v>
      </c>
      <c r="AH3459" t="s">
        <v>12881</v>
      </c>
      <c r="AI3459" t="s">
        <v>5336</v>
      </c>
      <c r="AJ3459" t="s">
        <v>14672</v>
      </c>
      <c r="AK3459" t="s">
        <v>750</v>
      </c>
      <c r="AL3459">
        <v>1.43</v>
      </c>
      <c r="AN3459">
        <v>0</v>
      </c>
      <c r="AP3459" t="s">
        <v>6260</v>
      </c>
      <c r="AQ3459" t="s">
        <v>112</v>
      </c>
      <c r="AR3459" t="s">
        <v>2333</v>
      </c>
      <c r="AS3459" t="s">
        <v>4945</v>
      </c>
      <c r="AT3459" t="s">
        <v>4222</v>
      </c>
      <c r="AU3459" t="s">
        <v>7782</v>
      </c>
      <c r="AV3459" t="s">
        <v>9667</v>
      </c>
      <c r="AW3459" t="s">
        <v>14772</v>
      </c>
      <c r="AX3459" t="s">
        <v>197</v>
      </c>
      <c r="AY3459" t="s">
        <v>17116</v>
      </c>
      <c r="AZ3459" t="s">
        <v>12535</v>
      </c>
      <c r="BA3459">
        <v>1.67</v>
      </c>
      <c r="BB3459">
        <v>360.71</v>
      </c>
      <c r="BC3459">
        <v>0.19</v>
      </c>
      <c r="BD3459">
        <v>114.4</v>
      </c>
      <c r="BE3459">
        <v>115.61</v>
      </c>
      <c r="BF3459">
        <v>114.68</v>
      </c>
      <c r="BG3459" t="s">
        <v>29150</v>
      </c>
      <c r="BH3459" t="s">
        <v>17116</v>
      </c>
      <c r="BI3459" t="s">
        <v>29151</v>
      </c>
      <c r="BJ3459" t="s">
        <v>101</v>
      </c>
      <c r="BK3459" t="s">
        <v>6986</v>
      </c>
      <c r="BL3459" t="s">
        <v>2575</v>
      </c>
      <c r="BM3459" t="s">
        <v>218</v>
      </c>
      <c r="BN3459" t="s">
        <v>27621</v>
      </c>
    </row>
    <row r="3460" spans="1:66" x14ac:dyDescent="0.25">
      <c r="A3460" t="str">
        <f>HYPERLINK("https://elite.finviz.com/quote.ashx?t=COYA&amp;ty=c&amp;p=d&amp;b=1", "COYA")</f>
        <v>COYA</v>
      </c>
      <c r="B3460">
        <v>4</v>
      </c>
      <c r="C3460">
        <v>105.92</v>
      </c>
      <c r="D3460">
        <v>38.35</v>
      </c>
      <c r="E3460" t="s">
        <v>29152</v>
      </c>
      <c r="F3460" t="s">
        <v>107</v>
      </c>
      <c r="G3460" t="s">
        <v>428</v>
      </c>
      <c r="H3460" t="s">
        <v>429</v>
      </c>
      <c r="I3460" t="s">
        <v>70</v>
      </c>
      <c r="J3460" t="s">
        <v>321</v>
      </c>
      <c r="K3460">
        <v>89</v>
      </c>
      <c r="L3460">
        <v>5.32</v>
      </c>
      <c r="M3460" t="s">
        <v>2880</v>
      </c>
      <c r="N3460">
        <v>5761</v>
      </c>
      <c r="R3460">
        <v>211.91</v>
      </c>
      <c r="S3460">
        <v>3.14</v>
      </c>
      <c r="AA3460">
        <v>-1.24</v>
      </c>
      <c r="AB3460" t="s">
        <v>13589</v>
      </c>
      <c r="AC3460" t="s">
        <v>29153</v>
      </c>
      <c r="AD3460" t="s">
        <v>20057</v>
      </c>
      <c r="AE3460" t="s">
        <v>24006</v>
      </c>
      <c r="AH3460" t="s">
        <v>29154</v>
      </c>
      <c r="AI3460" t="s">
        <v>6498</v>
      </c>
      <c r="AJ3460" t="s">
        <v>164</v>
      </c>
      <c r="AK3460" t="s">
        <v>29155</v>
      </c>
      <c r="AL3460">
        <v>7.43</v>
      </c>
      <c r="AM3460">
        <v>7.43</v>
      </c>
      <c r="AN3460">
        <v>0</v>
      </c>
      <c r="AO3460" t="s">
        <v>16163</v>
      </c>
      <c r="AP3460" t="s">
        <v>29156</v>
      </c>
      <c r="AQ3460" t="s">
        <v>29157</v>
      </c>
      <c r="AR3460" t="s">
        <v>6684</v>
      </c>
      <c r="AS3460" t="s">
        <v>5025</v>
      </c>
      <c r="AT3460" t="s">
        <v>2752</v>
      </c>
      <c r="AU3460" t="s">
        <v>18298</v>
      </c>
      <c r="AV3460" t="s">
        <v>18364</v>
      </c>
      <c r="AW3460" t="s">
        <v>20431</v>
      </c>
      <c r="AX3460" t="s">
        <v>4744</v>
      </c>
      <c r="AY3460" t="s">
        <v>29158</v>
      </c>
      <c r="AZ3460" t="s">
        <v>8526</v>
      </c>
      <c r="BA3460">
        <v>1</v>
      </c>
      <c r="BB3460">
        <v>84.04</v>
      </c>
      <c r="BC3460">
        <v>0.24</v>
      </c>
      <c r="BD3460">
        <v>5.31</v>
      </c>
      <c r="BE3460">
        <v>5.48</v>
      </c>
      <c r="BF3460">
        <v>5.35</v>
      </c>
      <c r="BG3460" t="s">
        <v>29159</v>
      </c>
      <c r="BH3460" t="s">
        <v>1304</v>
      </c>
      <c r="BI3460" t="s">
        <v>26996</v>
      </c>
      <c r="BJ3460" t="s">
        <v>101</v>
      </c>
      <c r="BK3460" t="s">
        <v>20059</v>
      </c>
      <c r="BL3460" t="s">
        <v>11363</v>
      </c>
      <c r="BM3460" t="s">
        <v>4284</v>
      </c>
      <c r="BN3460" t="s">
        <v>27621</v>
      </c>
    </row>
    <row r="3461" spans="1:66" x14ac:dyDescent="0.25">
      <c r="A3461" t="str">
        <f>HYPERLINK("https://elite.finviz.com/quote.ashx?t=DCGO&amp;ty=c&amp;p=d&amp;b=1", "DCGO")</f>
        <v>DCGO</v>
      </c>
      <c r="B3461">
        <v>4</v>
      </c>
      <c r="C3461">
        <v>105.92</v>
      </c>
      <c r="D3461">
        <v>38.36</v>
      </c>
      <c r="E3461" t="s">
        <v>29160</v>
      </c>
      <c r="F3461" t="s">
        <v>67</v>
      </c>
      <c r="G3461" t="s">
        <v>428</v>
      </c>
      <c r="H3461" t="s">
        <v>3160</v>
      </c>
      <c r="I3461" t="s">
        <v>70</v>
      </c>
      <c r="J3461" t="s">
        <v>321</v>
      </c>
      <c r="K3461">
        <v>135.46</v>
      </c>
      <c r="L3461">
        <v>1.38</v>
      </c>
      <c r="M3461" t="s">
        <v>1445</v>
      </c>
      <c r="N3461">
        <v>38721</v>
      </c>
      <c r="R3461">
        <v>0.31</v>
      </c>
      <c r="S3461">
        <v>0.46</v>
      </c>
      <c r="Z3461" t="s">
        <v>164</v>
      </c>
      <c r="AA3461">
        <v>-0.19</v>
      </c>
      <c r="AB3461" t="s">
        <v>7054</v>
      </c>
      <c r="AE3461" t="s">
        <v>29161</v>
      </c>
      <c r="AF3461" t="s">
        <v>16179</v>
      </c>
      <c r="AG3461" t="s">
        <v>11410</v>
      </c>
      <c r="AH3461" t="s">
        <v>27689</v>
      </c>
      <c r="AI3461" t="s">
        <v>10731</v>
      </c>
      <c r="AJ3461" t="s">
        <v>4308</v>
      </c>
      <c r="AK3461" t="s">
        <v>17565</v>
      </c>
      <c r="AL3461">
        <v>2.36</v>
      </c>
      <c r="AM3461">
        <v>2.36</v>
      </c>
      <c r="AN3461">
        <v>0.2</v>
      </c>
      <c r="AO3461" t="s">
        <v>12977</v>
      </c>
      <c r="AP3461" t="s">
        <v>4622</v>
      </c>
      <c r="AQ3461" t="s">
        <v>10747</v>
      </c>
      <c r="AR3461" t="s">
        <v>6684</v>
      </c>
      <c r="AS3461" t="s">
        <v>3303</v>
      </c>
      <c r="AT3461" t="s">
        <v>10559</v>
      </c>
      <c r="AU3461" t="s">
        <v>20059</v>
      </c>
      <c r="AV3461" t="s">
        <v>29162</v>
      </c>
      <c r="AW3461" t="s">
        <v>19069</v>
      </c>
      <c r="AX3461" t="s">
        <v>283</v>
      </c>
      <c r="AY3461" t="s">
        <v>14341</v>
      </c>
      <c r="AZ3461" t="s">
        <v>14731</v>
      </c>
      <c r="BA3461">
        <v>1.86</v>
      </c>
      <c r="BB3461">
        <v>474.87</v>
      </c>
      <c r="BC3461">
        <v>0.28999999999999998</v>
      </c>
      <c r="BD3461">
        <v>1.39</v>
      </c>
      <c r="BE3461">
        <v>1.4</v>
      </c>
      <c r="BF3461">
        <v>1.38</v>
      </c>
      <c r="BG3461" t="s">
        <v>29163</v>
      </c>
      <c r="BH3461" t="s">
        <v>1972</v>
      </c>
      <c r="BI3461" t="s">
        <v>14731</v>
      </c>
      <c r="BJ3461" t="s">
        <v>101</v>
      </c>
      <c r="BK3461" t="s">
        <v>4134</v>
      </c>
      <c r="BL3461" t="s">
        <v>29164</v>
      </c>
      <c r="BM3461" t="s">
        <v>24913</v>
      </c>
      <c r="BN3461" t="s">
        <v>27621</v>
      </c>
    </row>
    <row r="3462" spans="1:66" x14ac:dyDescent="0.25">
      <c r="A3462" t="str">
        <f>HYPERLINK("https://elite.finviz.com/quote.ashx?t=MEC&amp;ty=c&amp;p=d&amp;b=1", "MEC")</f>
        <v>MEC</v>
      </c>
      <c r="B3462">
        <v>4</v>
      </c>
      <c r="C3462">
        <v>105.92</v>
      </c>
      <c r="D3462">
        <v>38.380000000000003</v>
      </c>
      <c r="E3462" t="s">
        <v>29165</v>
      </c>
      <c r="F3462" t="s">
        <v>67</v>
      </c>
      <c r="G3462" t="s">
        <v>260</v>
      </c>
      <c r="H3462" t="s">
        <v>2223</v>
      </c>
      <c r="I3462" t="s">
        <v>70</v>
      </c>
      <c r="J3462" t="s">
        <v>71</v>
      </c>
      <c r="K3462">
        <v>274.94</v>
      </c>
      <c r="L3462">
        <v>13.53</v>
      </c>
      <c r="M3462" t="s">
        <v>406</v>
      </c>
      <c r="N3462">
        <v>6836</v>
      </c>
      <c r="O3462">
        <v>15.99</v>
      </c>
      <c r="P3462">
        <v>18.37</v>
      </c>
      <c r="Q3462">
        <v>0.68</v>
      </c>
      <c r="R3462">
        <v>0.52</v>
      </c>
      <c r="S3462">
        <v>1.1100000000000001</v>
      </c>
      <c r="Z3462" t="s">
        <v>164</v>
      </c>
      <c r="AA3462">
        <v>0.85</v>
      </c>
      <c r="AD3462" t="s">
        <v>7733</v>
      </c>
      <c r="AE3462" t="s">
        <v>6138</v>
      </c>
      <c r="AF3462" t="s">
        <v>5607</v>
      </c>
      <c r="AG3462" t="s">
        <v>1438</v>
      </c>
      <c r="AH3462" t="s">
        <v>16488</v>
      </c>
      <c r="AI3462" t="s">
        <v>4975</v>
      </c>
      <c r="AJ3462" t="s">
        <v>1083</v>
      </c>
      <c r="AK3462" t="s">
        <v>22519</v>
      </c>
      <c r="AL3462">
        <v>1.63</v>
      </c>
      <c r="AM3462">
        <v>0.8</v>
      </c>
      <c r="AN3462">
        <v>0.42</v>
      </c>
      <c r="AO3462" t="s">
        <v>2200</v>
      </c>
      <c r="AP3462" t="s">
        <v>1760</v>
      </c>
      <c r="AQ3462" t="s">
        <v>4495</v>
      </c>
      <c r="AR3462" t="s">
        <v>2735</v>
      </c>
      <c r="AS3462" t="s">
        <v>3325</v>
      </c>
      <c r="AT3462" t="s">
        <v>8470</v>
      </c>
      <c r="AU3462" t="s">
        <v>5205</v>
      </c>
      <c r="AV3462" t="s">
        <v>13003</v>
      </c>
      <c r="AW3462" t="s">
        <v>19909</v>
      </c>
      <c r="AX3462" t="s">
        <v>6466</v>
      </c>
      <c r="AY3462" t="s">
        <v>23742</v>
      </c>
      <c r="AZ3462" t="s">
        <v>9523</v>
      </c>
      <c r="BA3462">
        <v>1</v>
      </c>
      <c r="BB3462">
        <v>130</v>
      </c>
      <c r="BC3462">
        <v>0.19</v>
      </c>
      <c r="BD3462">
        <v>13.53</v>
      </c>
      <c r="BE3462">
        <v>13.52</v>
      </c>
      <c r="BF3462">
        <v>13.48</v>
      </c>
      <c r="BG3462" t="s">
        <v>29166</v>
      </c>
      <c r="BH3462" t="s">
        <v>23742</v>
      </c>
      <c r="BI3462" t="s">
        <v>29167</v>
      </c>
      <c r="BJ3462" t="s">
        <v>101</v>
      </c>
      <c r="BK3462" t="s">
        <v>17450</v>
      </c>
      <c r="BL3462" t="s">
        <v>14948</v>
      </c>
      <c r="BM3462" t="s">
        <v>29168</v>
      </c>
      <c r="BN3462" t="s">
        <v>27621</v>
      </c>
    </row>
    <row r="3463" spans="1:66" x14ac:dyDescent="0.25">
      <c r="A3463" t="str">
        <f>HYPERLINK("https://elite.finviz.com/quote.ashx?t=KZR&amp;ty=c&amp;p=d&amp;b=1", "KZR")</f>
        <v>KZR</v>
      </c>
      <c r="B3463">
        <v>4</v>
      </c>
      <c r="C3463">
        <v>105.92</v>
      </c>
      <c r="D3463">
        <v>38.4</v>
      </c>
      <c r="E3463" t="s">
        <v>29169</v>
      </c>
      <c r="F3463" t="s">
        <v>107</v>
      </c>
      <c r="G3463" t="s">
        <v>428</v>
      </c>
      <c r="H3463" t="s">
        <v>429</v>
      </c>
      <c r="I3463" t="s">
        <v>70</v>
      </c>
      <c r="J3463" t="s">
        <v>321</v>
      </c>
      <c r="K3463">
        <v>27.28</v>
      </c>
      <c r="L3463">
        <v>3.72</v>
      </c>
      <c r="M3463" t="s">
        <v>3495</v>
      </c>
      <c r="N3463">
        <v>17478</v>
      </c>
      <c r="S3463">
        <v>0.3</v>
      </c>
      <c r="AA3463">
        <v>-9.69</v>
      </c>
      <c r="AB3463" t="s">
        <v>9254</v>
      </c>
      <c r="AC3463" t="s">
        <v>7567</v>
      </c>
      <c r="AD3463" t="s">
        <v>11735</v>
      </c>
      <c r="AE3463" t="s">
        <v>579</v>
      </c>
      <c r="AI3463" t="s">
        <v>976</v>
      </c>
      <c r="AJ3463" t="s">
        <v>1547</v>
      </c>
      <c r="AK3463" t="s">
        <v>23205</v>
      </c>
      <c r="AL3463">
        <v>7.29</v>
      </c>
      <c r="AM3463">
        <v>7.29</v>
      </c>
      <c r="AN3463">
        <v>0.13</v>
      </c>
      <c r="AR3463" t="s">
        <v>3887</v>
      </c>
      <c r="AS3463" t="s">
        <v>2838</v>
      </c>
      <c r="AT3463" t="s">
        <v>4704</v>
      </c>
      <c r="AU3463" t="s">
        <v>11795</v>
      </c>
      <c r="AV3463" t="s">
        <v>514</v>
      </c>
      <c r="AW3463" t="s">
        <v>21420</v>
      </c>
      <c r="AX3463" t="s">
        <v>2423</v>
      </c>
      <c r="AY3463" t="s">
        <v>29170</v>
      </c>
      <c r="AZ3463" t="s">
        <v>4687</v>
      </c>
      <c r="BA3463">
        <v>1.8</v>
      </c>
      <c r="BB3463">
        <v>49.33</v>
      </c>
      <c r="BC3463">
        <v>1.26</v>
      </c>
      <c r="BD3463">
        <v>3.75</v>
      </c>
      <c r="BE3463">
        <v>3.8</v>
      </c>
      <c r="BF3463">
        <v>3.72</v>
      </c>
      <c r="BG3463" t="s">
        <v>29171</v>
      </c>
      <c r="BH3463" t="s">
        <v>11021</v>
      </c>
      <c r="BI3463" t="s">
        <v>4687</v>
      </c>
      <c r="BJ3463" t="s">
        <v>101</v>
      </c>
      <c r="BK3463" t="s">
        <v>489</v>
      </c>
      <c r="BL3463" t="s">
        <v>22348</v>
      </c>
      <c r="BM3463" t="s">
        <v>8226</v>
      </c>
      <c r="BN3463" t="s">
        <v>27621</v>
      </c>
    </row>
    <row r="3464" spans="1:66" x14ac:dyDescent="0.25">
      <c r="A3464" t="str">
        <f>HYPERLINK("https://elite.finviz.com/quote.ashx?t=KFY&amp;ty=c&amp;p=d&amp;b=1", "KFY")</f>
        <v>KFY</v>
      </c>
      <c r="B3464">
        <v>4</v>
      </c>
      <c r="C3464">
        <v>105.92</v>
      </c>
      <c r="D3464">
        <v>38.409999999999997</v>
      </c>
      <c r="E3464" t="s">
        <v>29172</v>
      </c>
      <c r="F3464" t="s">
        <v>67</v>
      </c>
      <c r="G3464" t="s">
        <v>260</v>
      </c>
      <c r="H3464" t="s">
        <v>8693</v>
      </c>
      <c r="I3464" t="s">
        <v>70</v>
      </c>
      <c r="J3464" t="s">
        <v>71</v>
      </c>
      <c r="K3464">
        <v>3692.78</v>
      </c>
      <c r="L3464">
        <v>70.489999999999995</v>
      </c>
      <c r="M3464" t="s">
        <v>2745</v>
      </c>
      <c r="N3464">
        <v>32938</v>
      </c>
      <c r="O3464">
        <v>14.98</v>
      </c>
      <c r="P3464">
        <v>12.39</v>
      </c>
      <c r="Q3464">
        <v>1.57</v>
      </c>
      <c r="R3464">
        <v>1.32</v>
      </c>
      <c r="S3464">
        <v>1.93</v>
      </c>
      <c r="T3464" t="s">
        <v>4216</v>
      </c>
      <c r="U3464">
        <v>1.81</v>
      </c>
      <c r="V3464" t="s">
        <v>4741</v>
      </c>
      <c r="W3464" t="s">
        <v>8092</v>
      </c>
      <c r="X3464" t="s">
        <v>26678</v>
      </c>
      <c r="Y3464" t="s">
        <v>2915</v>
      </c>
      <c r="Z3464" t="s">
        <v>9468</v>
      </c>
      <c r="AA3464">
        <v>4.71</v>
      </c>
      <c r="AB3464" t="s">
        <v>14481</v>
      </c>
      <c r="AC3464" t="s">
        <v>13652</v>
      </c>
      <c r="AD3464" t="s">
        <v>2200</v>
      </c>
      <c r="AE3464" t="s">
        <v>6463</v>
      </c>
      <c r="AF3464" t="s">
        <v>3024</v>
      </c>
      <c r="AG3464" t="s">
        <v>3952</v>
      </c>
      <c r="AH3464" t="s">
        <v>1950</v>
      </c>
      <c r="AI3464" t="s">
        <v>8164</v>
      </c>
      <c r="AJ3464" t="s">
        <v>7014</v>
      </c>
      <c r="AK3464" t="s">
        <v>29173</v>
      </c>
      <c r="AL3464">
        <v>2.21</v>
      </c>
      <c r="AM3464">
        <v>2.21</v>
      </c>
      <c r="AN3464">
        <v>0.3</v>
      </c>
      <c r="AO3464" t="s">
        <v>7501</v>
      </c>
      <c r="AP3464" t="s">
        <v>9614</v>
      </c>
      <c r="AQ3464" t="s">
        <v>2584</v>
      </c>
      <c r="AR3464" t="s">
        <v>4493</v>
      </c>
      <c r="AS3464" t="s">
        <v>4839</v>
      </c>
      <c r="AT3464" t="s">
        <v>345</v>
      </c>
      <c r="AU3464" t="s">
        <v>11896</v>
      </c>
      <c r="AV3464" t="s">
        <v>2421</v>
      </c>
      <c r="AW3464" t="s">
        <v>16855</v>
      </c>
      <c r="AX3464" t="s">
        <v>715</v>
      </c>
      <c r="AY3464" t="s">
        <v>10935</v>
      </c>
      <c r="AZ3464" t="s">
        <v>7762</v>
      </c>
      <c r="BA3464">
        <v>1.6</v>
      </c>
      <c r="BB3464">
        <v>437.8</v>
      </c>
      <c r="BC3464">
        <v>0.27</v>
      </c>
      <c r="BD3464">
        <v>70.53</v>
      </c>
      <c r="BE3464">
        <v>70.900000000000006</v>
      </c>
      <c r="BF3464">
        <v>69.790000000000006</v>
      </c>
      <c r="BG3464" t="s">
        <v>29174</v>
      </c>
      <c r="BH3464" t="s">
        <v>18998</v>
      </c>
      <c r="BI3464" t="s">
        <v>29175</v>
      </c>
      <c r="BJ3464" t="s">
        <v>101</v>
      </c>
      <c r="BK3464" t="s">
        <v>5309</v>
      </c>
      <c r="BL3464" t="s">
        <v>2742</v>
      </c>
      <c r="BM3464" t="s">
        <v>4528</v>
      </c>
      <c r="BN3464" t="s">
        <v>27621</v>
      </c>
    </row>
    <row r="3465" spans="1:66" x14ac:dyDescent="0.25">
      <c r="A3465" t="str">
        <f>HYPERLINK("https://elite.finviz.com/quote.ashx?t=EWCZ&amp;ty=c&amp;p=d&amp;b=1", "EWCZ")</f>
        <v>EWCZ</v>
      </c>
      <c r="B3465">
        <v>4</v>
      </c>
      <c r="C3465">
        <v>105.92</v>
      </c>
      <c r="D3465">
        <v>38.479999999999997</v>
      </c>
      <c r="E3465" t="s">
        <v>29176</v>
      </c>
      <c r="F3465" t="s">
        <v>67</v>
      </c>
      <c r="G3465" t="s">
        <v>2244</v>
      </c>
      <c r="H3465" t="s">
        <v>5311</v>
      </c>
      <c r="I3465" t="s">
        <v>70</v>
      </c>
      <c r="J3465" t="s">
        <v>321</v>
      </c>
      <c r="K3465">
        <v>210.92</v>
      </c>
      <c r="L3465">
        <v>3.82</v>
      </c>
      <c r="M3465" t="s">
        <v>5686</v>
      </c>
      <c r="N3465">
        <v>53417</v>
      </c>
      <c r="O3465">
        <v>18.89</v>
      </c>
      <c r="P3465">
        <v>6.65</v>
      </c>
      <c r="Q3465">
        <v>2.41</v>
      </c>
      <c r="R3465">
        <v>0.99</v>
      </c>
      <c r="S3465">
        <v>2.16</v>
      </c>
      <c r="V3465" t="s">
        <v>29177</v>
      </c>
      <c r="Z3465" t="s">
        <v>164</v>
      </c>
      <c r="AA3465">
        <v>0.2</v>
      </c>
      <c r="AD3465" t="s">
        <v>4416</v>
      </c>
      <c r="AE3465" t="s">
        <v>10194</v>
      </c>
      <c r="AF3465" t="s">
        <v>1160</v>
      </c>
      <c r="AG3465" t="s">
        <v>2869</v>
      </c>
      <c r="AH3465" t="s">
        <v>4622</v>
      </c>
      <c r="AI3465" t="s">
        <v>7360</v>
      </c>
      <c r="AJ3465" t="s">
        <v>164</v>
      </c>
      <c r="AK3465" t="s">
        <v>29178</v>
      </c>
      <c r="AL3465">
        <v>3.37</v>
      </c>
      <c r="AM3465">
        <v>2.75</v>
      </c>
      <c r="AN3465">
        <v>4.9800000000000004</v>
      </c>
      <c r="AO3465" t="s">
        <v>12615</v>
      </c>
      <c r="AP3465" t="s">
        <v>4838</v>
      </c>
      <c r="AQ3465" t="s">
        <v>2841</v>
      </c>
      <c r="AR3465" t="s">
        <v>7210</v>
      </c>
      <c r="AS3465" t="s">
        <v>4393</v>
      </c>
      <c r="AT3465" t="s">
        <v>2593</v>
      </c>
      <c r="AU3465" t="s">
        <v>1208</v>
      </c>
      <c r="AV3465" t="s">
        <v>23610</v>
      </c>
      <c r="AW3465" t="s">
        <v>29179</v>
      </c>
      <c r="AX3465" t="s">
        <v>3053</v>
      </c>
      <c r="AY3465" t="s">
        <v>29180</v>
      </c>
      <c r="AZ3465" t="s">
        <v>5314</v>
      </c>
      <c r="BA3465">
        <v>2.5</v>
      </c>
      <c r="BB3465">
        <v>480.69</v>
      </c>
      <c r="BC3465">
        <v>0.39</v>
      </c>
      <c r="BD3465">
        <v>3.93</v>
      </c>
      <c r="BE3465">
        <v>3.95</v>
      </c>
      <c r="BF3465">
        <v>3.82</v>
      </c>
      <c r="BG3465" t="s">
        <v>29181</v>
      </c>
      <c r="BH3465" t="s">
        <v>29182</v>
      </c>
      <c r="BI3465" t="s">
        <v>5314</v>
      </c>
      <c r="BJ3465" t="s">
        <v>101</v>
      </c>
      <c r="BK3465" t="s">
        <v>27843</v>
      </c>
      <c r="BL3465" t="s">
        <v>8182</v>
      </c>
      <c r="BM3465" t="s">
        <v>24024</v>
      </c>
      <c r="BN3465" t="s">
        <v>27621</v>
      </c>
    </row>
    <row r="3466" spans="1:66" x14ac:dyDescent="0.25">
      <c r="A3466" t="str">
        <f>HYPERLINK("https://elite.finviz.com/quote.ashx?t=EEFT&amp;ty=c&amp;p=d&amp;b=1", "EEFT")</f>
        <v>EEFT</v>
      </c>
      <c r="B3466">
        <v>4</v>
      </c>
      <c r="C3466">
        <v>105.92</v>
      </c>
      <c r="D3466">
        <v>38.5</v>
      </c>
      <c r="E3466" t="s">
        <v>29183</v>
      </c>
      <c r="F3466" t="s">
        <v>107</v>
      </c>
      <c r="G3466" t="s">
        <v>108</v>
      </c>
      <c r="H3466" t="s">
        <v>109</v>
      </c>
      <c r="I3466" t="s">
        <v>70</v>
      </c>
      <c r="J3466" t="s">
        <v>321</v>
      </c>
      <c r="K3466">
        <v>3632.46</v>
      </c>
      <c r="L3466">
        <v>88.61</v>
      </c>
      <c r="M3466" t="s">
        <v>6463</v>
      </c>
      <c r="N3466">
        <v>104489</v>
      </c>
      <c r="O3466">
        <v>12.11</v>
      </c>
      <c r="P3466">
        <v>7.89</v>
      </c>
      <c r="Q3466">
        <v>0.9</v>
      </c>
      <c r="R3466">
        <v>0.88</v>
      </c>
      <c r="S3466">
        <v>2.69</v>
      </c>
      <c r="Z3466" t="s">
        <v>164</v>
      </c>
      <c r="AA3466">
        <v>7.32</v>
      </c>
      <c r="AB3466" t="s">
        <v>5441</v>
      </c>
      <c r="AC3466" t="s">
        <v>7464</v>
      </c>
      <c r="AD3466" t="s">
        <v>4620</v>
      </c>
      <c r="AE3466" t="s">
        <v>4867</v>
      </c>
      <c r="AF3466" t="s">
        <v>9037</v>
      </c>
      <c r="AG3466" t="s">
        <v>5552</v>
      </c>
      <c r="AH3466" t="s">
        <v>4193</v>
      </c>
      <c r="AI3466" t="s">
        <v>156</v>
      </c>
      <c r="AJ3466" t="s">
        <v>164</v>
      </c>
      <c r="AK3466" t="s">
        <v>23973</v>
      </c>
      <c r="AL3466">
        <v>1.1499999999999999</v>
      </c>
      <c r="AM3466">
        <v>1.1499999999999999</v>
      </c>
      <c r="AN3466">
        <v>1.92</v>
      </c>
      <c r="AO3466" t="s">
        <v>5793</v>
      </c>
      <c r="AP3466" t="s">
        <v>2516</v>
      </c>
      <c r="AQ3466" t="s">
        <v>707</v>
      </c>
      <c r="AR3466" t="s">
        <v>1129</v>
      </c>
      <c r="AS3466" t="s">
        <v>3856</v>
      </c>
      <c r="AT3466" t="s">
        <v>9075</v>
      </c>
      <c r="AU3466" t="s">
        <v>625</v>
      </c>
      <c r="AV3466" t="s">
        <v>332</v>
      </c>
      <c r="AW3466" t="s">
        <v>10408</v>
      </c>
      <c r="AX3466" t="s">
        <v>5084</v>
      </c>
      <c r="AY3466" t="s">
        <v>4456</v>
      </c>
      <c r="AZ3466" t="s">
        <v>1087</v>
      </c>
      <c r="BA3466">
        <v>1.73</v>
      </c>
      <c r="BB3466">
        <v>685.85</v>
      </c>
      <c r="BC3466">
        <v>0.54</v>
      </c>
      <c r="BD3466">
        <v>87.91</v>
      </c>
      <c r="BE3466">
        <v>88.83</v>
      </c>
      <c r="BF3466">
        <v>87.81</v>
      </c>
      <c r="BG3466" t="s">
        <v>29184</v>
      </c>
      <c r="BH3466" t="s">
        <v>29185</v>
      </c>
      <c r="BI3466" t="s">
        <v>29186</v>
      </c>
      <c r="BJ3466" t="s">
        <v>101</v>
      </c>
      <c r="BK3466" t="s">
        <v>5372</v>
      </c>
      <c r="BL3466" t="s">
        <v>11237</v>
      </c>
      <c r="BM3466" t="s">
        <v>13837</v>
      </c>
      <c r="BN3466" t="s">
        <v>27621</v>
      </c>
    </row>
    <row r="3467" spans="1:66" x14ac:dyDescent="0.25">
      <c r="A3467" t="str">
        <f>HYPERLINK("https://elite.finviz.com/quote.ashx?t=KWR&amp;ty=c&amp;p=d&amp;b=1", "KWR")</f>
        <v>KWR</v>
      </c>
      <c r="B3467">
        <v>4</v>
      </c>
      <c r="C3467">
        <v>105.92</v>
      </c>
      <c r="D3467">
        <v>38.520000000000003</v>
      </c>
      <c r="E3467" t="s">
        <v>29187</v>
      </c>
      <c r="F3467" t="s">
        <v>67</v>
      </c>
      <c r="G3467" t="s">
        <v>355</v>
      </c>
      <c r="H3467" t="s">
        <v>1147</v>
      </c>
      <c r="I3467" t="s">
        <v>70</v>
      </c>
      <c r="J3467" t="s">
        <v>71</v>
      </c>
      <c r="K3467">
        <v>2262.34</v>
      </c>
      <c r="L3467">
        <v>130.06</v>
      </c>
      <c r="M3467" t="s">
        <v>4840</v>
      </c>
      <c r="N3467">
        <v>11877</v>
      </c>
      <c r="P3467">
        <v>15.25</v>
      </c>
      <c r="R3467">
        <v>1.23</v>
      </c>
      <c r="S3467">
        <v>1.69</v>
      </c>
      <c r="T3467" t="s">
        <v>84</v>
      </c>
      <c r="U3467">
        <v>1.94</v>
      </c>
      <c r="V3467" t="s">
        <v>3662</v>
      </c>
      <c r="W3467" t="s">
        <v>3949</v>
      </c>
      <c r="X3467" t="s">
        <v>6419</v>
      </c>
      <c r="Y3467" t="s">
        <v>8625</v>
      </c>
      <c r="Z3467" t="s">
        <v>10395</v>
      </c>
      <c r="AA3467">
        <v>-0.45</v>
      </c>
      <c r="AB3467" t="s">
        <v>3831</v>
      </c>
      <c r="AC3467" t="s">
        <v>21488</v>
      </c>
      <c r="AD3467" t="s">
        <v>127</v>
      </c>
      <c r="AE3467" t="s">
        <v>10262</v>
      </c>
      <c r="AF3467" t="s">
        <v>3024</v>
      </c>
      <c r="AG3467" t="s">
        <v>3171</v>
      </c>
      <c r="AH3467" t="s">
        <v>2811</v>
      </c>
      <c r="AI3467" t="s">
        <v>217</v>
      </c>
      <c r="AJ3467" t="s">
        <v>406</v>
      </c>
      <c r="AK3467" t="s">
        <v>13485</v>
      </c>
      <c r="AL3467">
        <v>2.56</v>
      </c>
      <c r="AM3467">
        <v>1.87</v>
      </c>
      <c r="AN3467">
        <v>0.72</v>
      </c>
      <c r="AO3467" t="s">
        <v>20292</v>
      </c>
      <c r="AP3467" t="s">
        <v>3147</v>
      </c>
      <c r="AQ3467" t="s">
        <v>3388</v>
      </c>
      <c r="AR3467" t="s">
        <v>1768</v>
      </c>
      <c r="AS3467" t="s">
        <v>7154</v>
      </c>
      <c r="AT3467" t="s">
        <v>2594</v>
      </c>
      <c r="AU3467" t="s">
        <v>10819</v>
      </c>
      <c r="AV3467" t="s">
        <v>2619</v>
      </c>
      <c r="AW3467" t="s">
        <v>10935</v>
      </c>
      <c r="AX3467" t="s">
        <v>1205</v>
      </c>
      <c r="AY3467" t="s">
        <v>1878</v>
      </c>
      <c r="AZ3467" t="s">
        <v>1448</v>
      </c>
      <c r="BA3467">
        <v>1</v>
      </c>
      <c r="BB3467">
        <v>167.9</v>
      </c>
      <c r="BC3467">
        <v>0.25</v>
      </c>
      <c r="BD3467">
        <v>129.25</v>
      </c>
      <c r="BE3467">
        <v>130.69999999999999</v>
      </c>
      <c r="BF3467">
        <v>129</v>
      </c>
      <c r="BG3467" t="s">
        <v>29188</v>
      </c>
      <c r="BH3467" t="s">
        <v>29189</v>
      </c>
      <c r="BI3467" t="s">
        <v>29190</v>
      </c>
      <c r="BJ3467" t="s">
        <v>101</v>
      </c>
      <c r="BK3467" t="s">
        <v>13468</v>
      </c>
      <c r="BL3467" t="s">
        <v>497</v>
      </c>
      <c r="BM3467" t="s">
        <v>13768</v>
      </c>
      <c r="BN3467" t="s">
        <v>27621</v>
      </c>
    </row>
    <row r="3468" spans="1:66" x14ac:dyDescent="0.25">
      <c r="A3468" t="str">
        <f>HYPERLINK("https://elite.finviz.com/quote.ashx?t=UNCY&amp;ty=c&amp;p=d&amp;b=1", "UNCY")</f>
        <v>UNCY</v>
      </c>
      <c r="B3468">
        <v>4</v>
      </c>
      <c r="C3468">
        <v>105.92</v>
      </c>
      <c r="D3468">
        <v>38.64</v>
      </c>
      <c r="E3468" t="s">
        <v>29191</v>
      </c>
      <c r="F3468" t="s">
        <v>107</v>
      </c>
      <c r="G3468" t="s">
        <v>428</v>
      </c>
      <c r="H3468" t="s">
        <v>429</v>
      </c>
      <c r="I3468" t="s">
        <v>70</v>
      </c>
      <c r="J3468" t="s">
        <v>321</v>
      </c>
      <c r="K3468">
        <v>67.819999999999993</v>
      </c>
      <c r="L3468">
        <v>3.84</v>
      </c>
      <c r="M3468" t="s">
        <v>4216</v>
      </c>
      <c r="N3468">
        <v>94845</v>
      </c>
      <c r="P3468">
        <v>0.32</v>
      </c>
      <c r="S3468">
        <v>3.3</v>
      </c>
      <c r="AA3468">
        <v>-3.38</v>
      </c>
      <c r="AB3468" t="s">
        <v>3435</v>
      </c>
      <c r="AC3468" t="s">
        <v>16043</v>
      </c>
      <c r="AE3468" t="s">
        <v>579</v>
      </c>
      <c r="AI3468" t="s">
        <v>10008</v>
      </c>
      <c r="AJ3468" t="s">
        <v>164</v>
      </c>
      <c r="AK3468" t="s">
        <v>16935</v>
      </c>
      <c r="AL3468">
        <v>2.1800000000000002</v>
      </c>
      <c r="AM3468">
        <v>2.1800000000000002</v>
      </c>
      <c r="AN3468">
        <v>0.02</v>
      </c>
      <c r="AR3468" t="s">
        <v>3948</v>
      </c>
      <c r="AS3468" t="s">
        <v>5969</v>
      </c>
      <c r="AT3468" t="s">
        <v>120</v>
      </c>
      <c r="AU3468" t="s">
        <v>11013</v>
      </c>
      <c r="AV3468" t="s">
        <v>29192</v>
      </c>
      <c r="AW3468" t="s">
        <v>7149</v>
      </c>
      <c r="AX3468" t="s">
        <v>2700</v>
      </c>
      <c r="AY3468" t="s">
        <v>29193</v>
      </c>
      <c r="AZ3468" t="s">
        <v>12293</v>
      </c>
      <c r="BA3468">
        <v>1</v>
      </c>
      <c r="BB3468">
        <v>618.51</v>
      </c>
      <c r="BC3468">
        <v>0.54</v>
      </c>
      <c r="BD3468">
        <v>3.74</v>
      </c>
      <c r="BE3468">
        <v>3.9</v>
      </c>
      <c r="BF3468">
        <v>3.75</v>
      </c>
      <c r="BG3468" t="s">
        <v>29194</v>
      </c>
      <c r="BH3468" t="s">
        <v>9358</v>
      </c>
      <c r="BI3468" t="s">
        <v>13649</v>
      </c>
      <c r="BJ3468" t="s">
        <v>101</v>
      </c>
      <c r="BK3468" t="s">
        <v>27103</v>
      </c>
      <c r="BL3468" t="s">
        <v>28441</v>
      </c>
      <c r="BM3468" t="s">
        <v>20045</v>
      </c>
      <c r="BN3468" t="s">
        <v>27621</v>
      </c>
    </row>
    <row r="3469" spans="1:66" x14ac:dyDescent="0.25">
      <c r="A3469" t="str">
        <f>HYPERLINK("https://elite.finviz.com/quote.ashx?t=NSP&amp;ty=c&amp;p=d&amp;b=1", "NSP")</f>
        <v>NSP</v>
      </c>
      <c r="B3469">
        <v>4</v>
      </c>
      <c r="C3469">
        <v>105.92</v>
      </c>
      <c r="D3469">
        <v>38.67</v>
      </c>
      <c r="E3469" t="s">
        <v>29195</v>
      </c>
      <c r="F3469" t="s">
        <v>67</v>
      </c>
      <c r="G3469" t="s">
        <v>260</v>
      </c>
      <c r="H3469" t="s">
        <v>8693</v>
      </c>
      <c r="I3469" t="s">
        <v>70</v>
      </c>
      <c r="J3469" t="s">
        <v>71</v>
      </c>
      <c r="K3469">
        <v>1861.83</v>
      </c>
      <c r="L3469">
        <v>49.42</v>
      </c>
      <c r="M3469" t="s">
        <v>430</v>
      </c>
      <c r="N3469">
        <v>110545</v>
      </c>
      <c r="O3469">
        <v>47.18</v>
      </c>
      <c r="P3469">
        <v>15.76</v>
      </c>
      <c r="Q3469">
        <v>13.75</v>
      </c>
      <c r="R3469">
        <v>0.28000000000000003</v>
      </c>
      <c r="S3469">
        <v>16.190000000000001</v>
      </c>
      <c r="T3469" t="s">
        <v>2035</v>
      </c>
      <c r="U3469">
        <v>2.4</v>
      </c>
      <c r="V3469" t="s">
        <v>6223</v>
      </c>
      <c r="W3469" t="s">
        <v>414</v>
      </c>
      <c r="X3469" t="s">
        <v>6573</v>
      </c>
      <c r="Y3469" t="s">
        <v>2722</v>
      </c>
      <c r="Z3469" t="s">
        <v>29196</v>
      </c>
      <c r="AA3469">
        <v>1.05</v>
      </c>
      <c r="AB3469" t="s">
        <v>20059</v>
      </c>
      <c r="AC3469" t="s">
        <v>5371</v>
      </c>
      <c r="AD3469" t="s">
        <v>2736</v>
      </c>
      <c r="AE3469" t="s">
        <v>4710</v>
      </c>
      <c r="AF3469" t="s">
        <v>1558</v>
      </c>
      <c r="AG3469" t="s">
        <v>7781</v>
      </c>
      <c r="AH3469" t="s">
        <v>3636</v>
      </c>
      <c r="AI3469" t="s">
        <v>28522</v>
      </c>
      <c r="AJ3469" t="s">
        <v>2768</v>
      </c>
      <c r="AK3469" t="s">
        <v>29197</v>
      </c>
      <c r="AL3469">
        <v>1.1200000000000001</v>
      </c>
      <c r="AM3469">
        <v>1.1200000000000001</v>
      </c>
      <c r="AN3469">
        <v>3.89</v>
      </c>
      <c r="AO3469" t="s">
        <v>4747</v>
      </c>
      <c r="AP3469" t="s">
        <v>3047</v>
      </c>
      <c r="AQ3469" t="s">
        <v>1763</v>
      </c>
      <c r="AR3469" t="s">
        <v>2234</v>
      </c>
      <c r="AS3469" t="s">
        <v>3325</v>
      </c>
      <c r="AT3469" t="s">
        <v>4234</v>
      </c>
      <c r="AU3469" t="s">
        <v>7954</v>
      </c>
      <c r="AV3469" t="s">
        <v>24455</v>
      </c>
      <c r="AW3469" t="s">
        <v>9825</v>
      </c>
      <c r="AX3469" t="s">
        <v>6531</v>
      </c>
      <c r="AY3469" t="s">
        <v>29198</v>
      </c>
      <c r="AZ3469" t="s">
        <v>6531</v>
      </c>
      <c r="BA3469">
        <v>3</v>
      </c>
      <c r="BB3469">
        <v>596.09</v>
      </c>
      <c r="BC3469">
        <v>0.65</v>
      </c>
      <c r="BD3469">
        <v>49.31</v>
      </c>
      <c r="BE3469">
        <v>49.83</v>
      </c>
      <c r="BF3469">
        <v>48.99</v>
      </c>
      <c r="BG3469" t="s">
        <v>29199</v>
      </c>
      <c r="BH3469" t="s">
        <v>14839</v>
      </c>
      <c r="BI3469" t="s">
        <v>29200</v>
      </c>
      <c r="BJ3469" t="s">
        <v>101</v>
      </c>
      <c r="BK3469" t="s">
        <v>2118</v>
      </c>
      <c r="BL3469" t="s">
        <v>29201</v>
      </c>
      <c r="BM3469" t="s">
        <v>26360</v>
      </c>
      <c r="BN3469" t="s">
        <v>27621</v>
      </c>
    </row>
    <row r="3470" spans="1:66" x14ac:dyDescent="0.25">
      <c r="A3470" t="str">
        <f>HYPERLINK("https://elite.finviz.com/quote.ashx?t=XPOF&amp;ty=c&amp;p=d&amp;b=1", "XPOF")</f>
        <v>XPOF</v>
      </c>
      <c r="B3470">
        <v>4</v>
      </c>
      <c r="C3470">
        <v>105.92</v>
      </c>
      <c r="D3470">
        <v>38.729999999999997</v>
      </c>
      <c r="E3470" t="s">
        <v>29202</v>
      </c>
      <c r="F3470" t="s">
        <v>67</v>
      </c>
      <c r="G3470" t="s">
        <v>813</v>
      </c>
      <c r="H3470" t="s">
        <v>5941</v>
      </c>
      <c r="I3470" t="s">
        <v>70</v>
      </c>
      <c r="J3470" t="s">
        <v>71</v>
      </c>
      <c r="K3470">
        <v>381.45</v>
      </c>
      <c r="L3470">
        <v>7.84</v>
      </c>
      <c r="M3470" t="s">
        <v>2880</v>
      </c>
      <c r="N3470">
        <v>45267</v>
      </c>
      <c r="P3470">
        <v>7.46</v>
      </c>
      <c r="R3470">
        <v>1.2</v>
      </c>
      <c r="AA3470">
        <v>-1.76</v>
      </c>
      <c r="AB3470" t="s">
        <v>5395</v>
      </c>
      <c r="AE3470" t="s">
        <v>10774</v>
      </c>
      <c r="AF3470" t="s">
        <v>3683</v>
      </c>
      <c r="AH3470" t="s">
        <v>2486</v>
      </c>
      <c r="AI3470" t="s">
        <v>20369</v>
      </c>
      <c r="AJ3470" t="s">
        <v>2571</v>
      </c>
      <c r="AK3470" t="s">
        <v>13720</v>
      </c>
      <c r="AL3470">
        <v>0.87</v>
      </c>
      <c r="AM3470">
        <v>0.8</v>
      </c>
      <c r="AO3470" t="s">
        <v>12157</v>
      </c>
      <c r="AP3470" t="s">
        <v>7199</v>
      </c>
      <c r="AQ3470" t="s">
        <v>21011</v>
      </c>
      <c r="AR3470" t="s">
        <v>5907</v>
      </c>
      <c r="AS3470" t="s">
        <v>372</v>
      </c>
      <c r="AT3470" t="s">
        <v>8670</v>
      </c>
      <c r="AU3470" t="s">
        <v>25533</v>
      </c>
      <c r="AV3470" t="s">
        <v>15122</v>
      </c>
      <c r="AW3470" t="s">
        <v>23950</v>
      </c>
      <c r="AX3470" t="s">
        <v>4593</v>
      </c>
      <c r="AY3470" t="s">
        <v>8446</v>
      </c>
      <c r="AZ3470" t="s">
        <v>2544</v>
      </c>
      <c r="BA3470">
        <v>1.89</v>
      </c>
      <c r="BB3470">
        <v>792.71</v>
      </c>
      <c r="BC3470">
        <v>0.2</v>
      </c>
      <c r="BD3470">
        <v>7.82</v>
      </c>
      <c r="BE3470">
        <v>7.93</v>
      </c>
      <c r="BF3470">
        <v>7.81</v>
      </c>
      <c r="BG3470" t="s">
        <v>29203</v>
      </c>
      <c r="BH3470" t="s">
        <v>29204</v>
      </c>
      <c r="BI3470" t="s">
        <v>2544</v>
      </c>
      <c r="BJ3470" t="s">
        <v>101</v>
      </c>
      <c r="BK3470" t="s">
        <v>3638</v>
      </c>
      <c r="BL3470" t="s">
        <v>16867</v>
      </c>
      <c r="BM3470" t="s">
        <v>11008</v>
      </c>
      <c r="BN3470" t="s">
        <v>27621</v>
      </c>
    </row>
    <row r="3471" spans="1:66" x14ac:dyDescent="0.25">
      <c r="A3471" t="str">
        <f>HYPERLINK("https://elite.finviz.com/quote.ashx?t=CTRN&amp;ty=c&amp;p=d&amp;b=1", "CTRN")</f>
        <v>CTRN</v>
      </c>
      <c r="B3471">
        <v>4</v>
      </c>
      <c r="C3471">
        <v>105.92</v>
      </c>
      <c r="D3471">
        <v>38.729999999999997</v>
      </c>
      <c r="E3471" t="s">
        <v>29205</v>
      </c>
      <c r="F3471" t="s">
        <v>67</v>
      </c>
      <c r="G3471" t="s">
        <v>813</v>
      </c>
      <c r="H3471" t="s">
        <v>4488</v>
      </c>
      <c r="I3471" t="s">
        <v>70</v>
      </c>
      <c r="J3471" t="s">
        <v>321</v>
      </c>
      <c r="K3471">
        <v>255.74</v>
      </c>
      <c r="L3471">
        <v>30.79</v>
      </c>
      <c r="M3471" t="s">
        <v>1648</v>
      </c>
      <c r="N3471">
        <v>5487</v>
      </c>
      <c r="P3471">
        <v>52.19</v>
      </c>
      <c r="R3471">
        <v>0.33</v>
      </c>
      <c r="S3471">
        <v>2.2599999999999998</v>
      </c>
      <c r="V3471" t="s">
        <v>29206</v>
      </c>
      <c r="AA3471">
        <v>-2</v>
      </c>
      <c r="AE3471" t="s">
        <v>4677</v>
      </c>
      <c r="AF3471" t="s">
        <v>5569</v>
      </c>
      <c r="AG3471" t="s">
        <v>240</v>
      </c>
      <c r="AH3471" t="s">
        <v>707</v>
      </c>
      <c r="AI3471" t="s">
        <v>14050</v>
      </c>
      <c r="AJ3471" t="s">
        <v>2213</v>
      </c>
      <c r="AK3471" t="s">
        <v>4513</v>
      </c>
      <c r="AL3471">
        <v>1.1299999999999999</v>
      </c>
      <c r="AM3471">
        <v>0.43</v>
      </c>
      <c r="AN3471">
        <v>1.92</v>
      </c>
      <c r="AO3471" t="s">
        <v>15246</v>
      </c>
      <c r="AP3471" t="s">
        <v>7039</v>
      </c>
      <c r="AQ3471" t="s">
        <v>4155</v>
      </c>
      <c r="AR3471" t="s">
        <v>3545</v>
      </c>
      <c r="AS3471" t="s">
        <v>1475</v>
      </c>
      <c r="AT3471" t="s">
        <v>13982</v>
      </c>
      <c r="AU3471" t="s">
        <v>7402</v>
      </c>
      <c r="AV3471" t="s">
        <v>4593</v>
      </c>
      <c r="AW3471" t="s">
        <v>10737</v>
      </c>
      <c r="AX3471" t="s">
        <v>1889</v>
      </c>
      <c r="AY3471" t="s">
        <v>10737</v>
      </c>
      <c r="AZ3471" t="s">
        <v>12695</v>
      </c>
      <c r="BA3471">
        <v>1</v>
      </c>
      <c r="BB3471">
        <v>84.14</v>
      </c>
      <c r="BC3471">
        <v>0.23</v>
      </c>
      <c r="BD3471">
        <v>30.85</v>
      </c>
      <c r="BE3471">
        <v>30.99</v>
      </c>
      <c r="BF3471">
        <v>30.53</v>
      </c>
      <c r="BG3471" t="s">
        <v>29207</v>
      </c>
      <c r="BH3471" t="s">
        <v>23593</v>
      </c>
      <c r="BI3471" t="s">
        <v>29208</v>
      </c>
      <c r="BJ3471" t="s">
        <v>101</v>
      </c>
      <c r="BK3471" t="s">
        <v>184</v>
      </c>
      <c r="BL3471" t="s">
        <v>4871</v>
      </c>
      <c r="BM3471" t="s">
        <v>6867</v>
      </c>
      <c r="BN3471" t="s">
        <v>27621</v>
      </c>
    </row>
    <row r="3472" spans="1:66" x14ac:dyDescent="0.25">
      <c r="A3472" t="str">
        <f>HYPERLINK("https://elite.finviz.com/quote.ashx?t=NBN&amp;ty=c&amp;p=d&amp;b=1", "NBN")</f>
        <v>NBN</v>
      </c>
      <c r="B3472">
        <v>4</v>
      </c>
      <c r="C3472">
        <v>105.92</v>
      </c>
      <c r="D3472">
        <v>38.75</v>
      </c>
      <c r="E3472" t="s">
        <v>29209</v>
      </c>
      <c r="F3472" t="s">
        <v>67</v>
      </c>
      <c r="G3472" t="s">
        <v>550</v>
      </c>
      <c r="H3472" t="s">
        <v>697</v>
      </c>
      <c r="I3472" t="s">
        <v>70</v>
      </c>
      <c r="J3472" t="s">
        <v>321</v>
      </c>
      <c r="K3472">
        <v>820.39</v>
      </c>
      <c r="L3472">
        <v>102.83</v>
      </c>
      <c r="M3472" t="s">
        <v>124</v>
      </c>
      <c r="N3472">
        <v>12998</v>
      </c>
      <c r="O3472">
        <v>10.210000000000001</v>
      </c>
      <c r="P3472">
        <v>8.07</v>
      </c>
      <c r="R3472">
        <v>2.34</v>
      </c>
      <c r="S3472">
        <v>1.77</v>
      </c>
      <c r="T3472" t="s">
        <v>629</v>
      </c>
      <c r="U3472">
        <v>0.04</v>
      </c>
      <c r="V3472" t="s">
        <v>2651</v>
      </c>
      <c r="W3472" t="s">
        <v>164</v>
      </c>
      <c r="X3472" t="s">
        <v>164</v>
      </c>
      <c r="Y3472" t="s">
        <v>164</v>
      </c>
      <c r="Z3472" t="s">
        <v>2423</v>
      </c>
      <c r="AA3472">
        <v>10.07</v>
      </c>
      <c r="AB3472" t="s">
        <v>3899</v>
      </c>
      <c r="AC3472" t="s">
        <v>20722</v>
      </c>
      <c r="AE3472" t="s">
        <v>7772</v>
      </c>
      <c r="AF3472" t="s">
        <v>29210</v>
      </c>
      <c r="AG3472" t="s">
        <v>8442</v>
      </c>
      <c r="AH3472" t="s">
        <v>11489</v>
      </c>
      <c r="AI3472" t="s">
        <v>1205</v>
      </c>
      <c r="AK3472" t="s">
        <v>29211</v>
      </c>
      <c r="AL3472">
        <v>0.17</v>
      </c>
      <c r="AN3472">
        <v>0.69</v>
      </c>
      <c r="AP3472" t="s">
        <v>11694</v>
      </c>
      <c r="AQ3472" t="s">
        <v>8957</v>
      </c>
      <c r="AR3472" t="s">
        <v>2735</v>
      </c>
      <c r="AS3472" t="s">
        <v>4710</v>
      </c>
      <c r="AT3472" t="s">
        <v>5584</v>
      </c>
      <c r="AU3472" t="s">
        <v>3950</v>
      </c>
      <c r="AV3472" t="s">
        <v>2861</v>
      </c>
      <c r="AW3472" t="s">
        <v>17325</v>
      </c>
      <c r="AX3472" t="s">
        <v>293</v>
      </c>
      <c r="AY3472" t="s">
        <v>17325</v>
      </c>
      <c r="AZ3472" t="s">
        <v>15866</v>
      </c>
      <c r="BA3472">
        <v>2</v>
      </c>
      <c r="BB3472">
        <v>99.21</v>
      </c>
      <c r="BC3472">
        <v>0.46</v>
      </c>
      <c r="BD3472">
        <v>103.18</v>
      </c>
      <c r="BE3472">
        <v>107.14</v>
      </c>
      <c r="BF3472">
        <v>102.91</v>
      </c>
      <c r="BG3472" t="s">
        <v>29212</v>
      </c>
      <c r="BH3472" t="s">
        <v>17325</v>
      </c>
      <c r="BI3472" t="s">
        <v>29213</v>
      </c>
      <c r="BJ3472" t="s">
        <v>101</v>
      </c>
      <c r="BK3472" t="s">
        <v>4594</v>
      </c>
      <c r="BL3472" t="s">
        <v>7232</v>
      </c>
      <c r="BM3472" t="s">
        <v>20028</v>
      </c>
      <c r="BN3472" t="s">
        <v>27621</v>
      </c>
    </row>
    <row r="3473" spans="1:66" x14ac:dyDescent="0.25">
      <c r="A3473" t="str">
        <f>HYPERLINK("https://elite.finviz.com/quote.ashx?t=DIBS&amp;ty=c&amp;p=d&amp;b=1", "DIBS")</f>
        <v>DIBS</v>
      </c>
      <c r="B3473">
        <v>4</v>
      </c>
      <c r="C3473">
        <v>105.92</v>
      </c>
      <c r="D3473">
        <v>38.75</v>
      </c>
      <c r="E3473" t="s">
        <v>29214</v>
      </c>
      <c r="F3473" t="s">
        <v>107</v>
      </c>
      <c r="G3473" t="s">
        <v>813</v>
      </c>
      <c r="H3473" t="s">
        <v>4388</v>
      </c>
      <c r="I3473" t="s">
        <v>70</v>
      </c>
      <c r="J3473" t="s">
        <v>321</v>
      </c>
      <c r="K3473">
        <v>95.52</v>
      </c>
      <c r="L3473">
        <v>2.64</v>
      </c>
      <c r="M3473" t="s">
        <v>9022</v>
      </c>
      <c r="N3473">
        <v>6867</v>
      </c>
      <c r="R3473">
        <v>1.08</v>
      </c>
      <c r="S3473">
        <v>1.01</v>
      </c>
      <c r="AA3473">
        <v>-0.55000000000000004</v>
      </c>
      <c r="AB3473" t="s">
        <v>3921</v>
      </c>
      <c r="AC3473" t="s">
        <v>9497</v>
      </c>
      <c r="AE3473" t="s">
        <v>8013</v>
      </c>
      <c r="AF3473" t="s">
        <v>10703</v>
      </c>
      <c r="AG3473" t="s">
        <v>4052</v>
      </c>
      <c r="AH3473" t="s">
        <v>2203</v>
      </c>
      <c r="AI3473" t="s">
        <v>1785</v>
      </c>
      <c r="AJ3473" t="s">
        <v>2374</v>
      </c>
      <c r="AK3473" t="s">
        <v>16149</v>
      </c>
      <c r="AL3473">
        <v>3.87</v>
      </c>
      <c r="AM3473">
        <v>3.87</v>
      </c>
      <c r="AN3473">
        <v>0.22</v>
      </c>
      <c r="AO3473" t="s">
        <v>29215</v>
      </c>
      <c r="AP3473" t="s">
        <v>19926</v>
      </c>
      <c r="AQ3473" t="s">
        <v>12212</v>
      </c>
      <c r="AR3473" t="s">
        <v>648</v>
      </c>
      <c r="AS3473" t="s">
        <v>3670</v>
      </c>
      <c r="AT3473" t="s">
        <v>6354</v>
      </c>
      <c r="AU3473" t="s">
        <v>11402</v>
      </c>
      <c r="AV3473" t="s">
        <v>2988</v>
      </c>
      <c r="AW3473" t="s">
        <v>501</v>
      </c>
      <c r="AX3473" t="s">
        <v>4690</v>
      </c>
      <c r="AY3473" t="s">
        <v>29216</v>
      </c>
      <c r="AZ3473" t="s">
        <v>2722</v>
      </c>
      <c r="BA3473">
        <v>1</v>
      </c>
      <c r="BB3473">
        <v>106.22</v>
      </c>
      <c r="BC3473">
        <v>0.23</v>
      </c>
      <c r="BD3473">
        <v>2.72</v>
      </c>
      <c r="BE3473">
        <v>2.71</v>
      </c>
      <c r="BF3473">
        <v>2.64</v>
      </c>
      <c r="BG3473" t="s">
        <v>29217</v>
      </c>
      <c r="BH3473" t="s">
        <v>9177</v>
      </c>
      <c r="BI3473" t="s">
        <v>2722</v>
      </c>
      <c r="BJ3473" t="s">
        <v>101</v>
      </c>
      <c r="BK3473" t="s">
        <v>2665</v>
      </c>
      <c r="BL3473" t="s">
        <v>9632</v>
      </c>
      <c r="BM3473" t="s">
        <v>24714</v>
      </c>
      <c r="BN3473" t="s">
        <v>27621</v>
      </c>
    </row>
    <row r="3474" spans="1:66" x14ac:dyDescent="0.25">
      <c r="A3474" t="str">
        <f>HYPERLINK("https://elite.finviz.com/quote.ashx?t=AD&amp;ty=c&amp;p=d&amp;b=1", "AD")</f>
        <v>AD</v>
      </c>
      <c r="B3474">
        <v>4</v>
      </c>
      <c r="C3474">
        <v>105.92</v>
      </c>
      <c r="D3474">
        <v>38.78</v>
      </c>
      <c r="E3474" t="s">
        <v>29218</v>
      </c>
      <c r="F3474" t="s">
        <v>107</v>
      </c>
      <c r="G3474" t="s">
        <v>598</v>
      </c>
      <c r="H3474" t="s">
        <v>6147</v>
      </c>
      <c r="I3474" t="s">
        <v>70</v>
      </c>
      <c r="J3474" t="s">
        <v>71</v>
      </c>
      <c r="K3474">
        <v>4200.33</v>
      </c>
      <c r="L3474">
        <v>48.63</v>
      </c>
      <c r="M3474" t="s">
        <v>6118</v>
      </c>
      <c r="N3474">
        <v>110687</v>
      </c>
      <c r="P3474">
        <v>41.56</v>
      </c>
      <c r="R3474">
        <v>1.1399999999999999</v>
      </c>
      <c r="S3474">
        <v>0.91</v>
      </c>
      <c r="V3474" t="s">
        <v>5737</v>
      </c>
      <c r="AA3474">
        <v>-0.3</v>
      </c>
      <c r="AE3474" t="s">
        <v>405</v>
      </c>
      <c r="AF3474" t="s">
        <v>3640</v>
      </c>
      <c r="AG3474" t="s">
        <v>1783</v>
      </c>
      <c r="AH3474" t="s">
        <v>4879</v>
      </c>
      <c r="AI3474" t="s">
        <v>2146</v>
      </c>
      <c r="AJ3474" t="s">
        <v>1842</v>
      </c>
      <c r="AK3474" t="s">
        <v>2395</v>
      </c>
      <c r="AL3474">
        <v>1.87</v>
      </c>
      <c r="AM3474">
        <v>1.71</v>
      </c>
      <c r="AN3474">
        <v>0.83</v>
      </c>
      <c r="AO3474" t="s">
        <v>4560</v>
      </c>
      <c r="AP3474" t="s">
        <v>4916</v>
      </c>
      <c r="AQ3474" t="s">
        <v>2965</v>
      </c>
      <c r="AR3474" t="s">
        <v>2640</v>
      </c>
      <c r="AS3474" t="s">
        <v>2868</v>
      </c>
      <c r="AT3474" t="s">
        <v>1387</v>
      </c>
      <c r="AU3474" t="s">
        <v>6060</v>
      </c>
      <c r="AV3474" t="s">
        <v>4872</v>
      </c>
      <c r="AW3474" t="s">
        <v>16309</v>
      </c>
      <c r="AX3474" t="s">
        <v>6121</v>
      </c>
      <c r="AY3474" t="s">
        <v>16309</v>
      </c>
      <c r="AZ3474" t="s">
        <v>1813</v>
      </c>
      <c r="BA3474">
        <v>2</v>
      </c>
      <c r="BB3474">
        <v>444.42</v>
      </c>
      <c r="BC3474">
        <v>0.88</v>
      </c>
      <c r="BD3474">
        <v>47.22</v>
      </c>
      <c r="BE3474">
        <v>48.94</v>
      </c>
      <c r="BF3474">
        <v>47.06</v>
      </c>
      <c r="BG3474" t="s">
        <v>29219</v>
      </c>
      <c r="BH3474" t="s">
        <v>27887</v>
      </c>
      <c r="BI3474" t="s">
        <v>29220</v>
      </c>
      <c r="BJ3474" t="s">
        <v>101</v>
      </c>
      <c r="BK3474" t="s">
        <v>1492</v>
      </c>
      <c r="BL3474" t="s">
        <v>6871</v>
      </c>
      <c r="BM3474" t="s">
        <v>86</v>
      </c>
      <c r="BN3474" t="s">
        <v>27621</v>
      </c>
    </row>
    <row r="3475" spans="1:66" x14ac:dyDescent="0.25">
      <c r="A3475" t="str">
        <f>HYPERLINK("https://elite.finviz.com/quote.ashx?t=ECDA&amp;ty=c&amp;p=d&amp;b=1", "ECDA")</f>
        <v>ECDA</v>
      </c>
      <c r="B3475">
        <v>4</v>
      </c>
      <c r="C3475">
        <v>105.92</v>
      </c>
      <c r="D3475">
        <v>38.78</v>
      </c>
      <c r="E3475" t="s">
        <v>29221</v>
      </c>
      <c r="F3475" t="s">
        <v>107</v>
      </c>
      <c r="G3475" t="s">
        <v>813</v>
      </c>
      <c r="H3475" t="s">
        <v>890</v>
      </c>
      <c r="I3475" t="s">
        <v>70</v>
      </c>
      <c r="J3475" t="s">
        <v>321</v>
      </c>
      <c r="K3475">
        <v>5.44</v>
      </c>
      <c r="L3475">
        <v>3.75</v>
      </c>
      <c r="M3475" t="s">
        <v>747</v>
      </c>
      <c r="N3475">
        <v>22038</v>
      </c>
      <c r="R3475">
        <v>0.22</v>
      </c>
      <c r="AA3475">
        <v>-14.44</v>
      </c>
      <c r="AB3475" t="s">
        <v>29222</v>
      </c>
      <c r="AE3475" t="s">
        <v>27847</v>
      </c>
      <c r="AH3475" t="s">
        <v>19330</v>
      </c>
      <c r="AJ3475" t="s">
        <v>164</v>
      </c>
      <c r="AK3475" t="s">
        <v>273</v>
      </c>
      <c r="AL3475">
        <v>0.57999999999999996</v>
      </c>
      <c r="AM3475">
        <v>0.09</v>
      </c>
      <c r="AO3475" t="s">
        <v>12021</v>
      </c>
      <c r="AP3475" t="s">
        <v>6750</v>
      </c>
      <c r="AQ3475" t="s">
        <v>29223</v>
      </c>
      <c r="AR3475" t="s">
        <v>2715</v>
      </c>
      <c r="AS3475" t="s">
        <v>3058</v>
      </c>
      <c r="AT3475" t="s">
        <v>3977</v>
      </c>
      <c r="AU3475" t="s">
        <v>26954</v>
      </c>
      <c r="AV3475" t="s">
        <v>29224</v>
      </c>
      <c r="AW3475" t="s">
        <v>10080</v>
      </c>
      <c r="AX3475" t="s">
        <v>3305</v>
      </c>
      <c r="AY3475" t="s">
        <v>18656</v>
      </c>
      <c r="AZ3475" t="s">
        <v>3305</v>
      </c>
      <c r="BA3475">
        <v>1</v>
      </c>
      <c r="BB3475">
        <v>137.6</v>
      </c>
      <c r="BC3475">
        <v>0.56000000000000005</v>
      </c>
      <c r="BD3475">
        <v>3.72</v>
      </c>
      <c r="BE3475">
        <v>3.82</v>
      </c>
      <c r="BF3475">
        <v>3.71</v>
      </c>
      <c r="BG3475" t="s">
        <v>29225</v>
      </c>
      <c r="BH3475" t="s">
        <v>29226</v>
      </c>
      <c r="BI3475" t="s">
        <v>3305</v>
      </c>
      <c r="BJ3475" t="s">
        <v>101</v>
      </c>
      <c r="BK3475" t="s">
        <v>19654</v>
      </c>
      <c r="BL3475" t="s">
        <v>29227</v>
      </c>
      <c r="BM3475" t="s">
        <v>29228</v>
      </c>
      <c r="BN3475" t="s">
        <v>27621</v>
      </c>
    </row>
    <row r="3476" spans="1:66" x14ac:dyDescent="0.25">
      <c r="A3476" t="str">
        <f>HYPERLINK("https://elite.finviz.com/quote.ashx?t=ARKO&amp;ty=c&amp;p=d&amp;b=1", "ARKO")</f>
        <v>ARKO</v>
      </c>
      <c r="B3476">
        <v>4</v>
      </c>
      <c r="C3476">
        <v>105.92</v>
      </c>
      <c r="D3476">
        <v>38.799999999999997</v>
      </c>
      <c r="E3476" t="s">
        <v>29229</v>
      </c>
      <c r="F3476" t="s">
        <v>67</v>
      </c>
      <c r="G3476" t="s">
        <v>813</v>
      </c>
      <c r="H3476" t="s">
        <v>2262</v>
      </c>
      <c r="I3476" t="s">
        <v>70</v>
      </c>
      <c r="J3476" t="s">
        <v>321</v>
      </c>
      <c r="K3476">
        <v>515.91</v>
      </c>
      <c r="L3476">
        <v>4.58</v>
      </c>
      <c r="M3476" t="s">
        <v>5388</v>
      </c>
      <c r="N3476">
        <v>55213</v>
      </c>
      <c r="O3476">
        <v>58.97</v>
      </c>
      <c r="P3476">
        <v>80.75</v>
      </c>
      <c r="R3476">
        <v>0.06</v>
      </c>
      <c r="S3476">
        <v>1.96</v>
      </c>
      <c r="T3476" t="s">
        <v>2273</v>
      </c>
      <c r="U3476">
        <v>0.12</v>
      </c>
      <c r="V3476" t="s">
        <v>1440</v>
      </c>
      <c r="W3476" t="s">
        <v>164</v>
      </c>
      <c r="Z3476" t="s">
        <v>22794</v>
      </c>
      <c r="AA3476">
        <v>0.08</v>
      </c>
      <c r="AB3476" t="s">
        <v>17878</v>
      </c>
      <c r="AD3476" t="s">
        <v>7811</v>
      </c>
      <c r="AE3476" t="s">
        <v>18298</v>
      </c>
      <c r="AF3476" t="s">
        <v>3496</v>
      </c>
      <c r="AG3476" t="s">
        <v>6415</v>
      </c>
      <c r="AH3476" t="s">
        <v>22294</v>
      </c>
      <c r="AI3476" t="s">
        <v>7702</v>
      </c>
      <c r="AJ3476" t="s">
        <v>164</v>
      </c>
      <c r="AK3476" t="s">
        <v>29230</v>
      </c>
      <c r="AL3476">
        <v>1.55</v>
      </c>
      <c r="AM3476">
        <v>1.1100000000000001</v>
      </c>
      <c r="AN3476">
        <v>7.15</v>
      </c>
      <c r="AO3476" t="s">
        <v>3500</v>
      </c>
      <c r="AP3476" t="s">
        <v>5380</v>
      </c>
      <c r="AQ3476" t="s">
        <v>211</v>
      </c>
      <c r="AR3476" t="s">
        <v>5685</v>
      </c>
      <c r="AS3476" t="s">
        <v>5592</v>
      </c>
      <c r="AT3476" t="s">
        <v>4317</v>
      </c>
      <c r="AU3476" t="s">
        <v>15052</v>
      </c>
      <c r="AV3476" t="s">
        <v>18199</v>
      </c>
      <c r="AW3476" t="s">
        <v>998</v>
      </c>
      <c r="AX3476" t="s">
        <v>4944</v>
      </c>
      <c r="AY3476" t="s">
        <v>19656</v>
      </c>
      <c r="AZ3476" t="s">
        <v>1910</v>
      </c>
      <c r="BA3476">
        <v>2.25</v>
      </c>
      <c r="BB3476">
        <v>479.89</v>
      </c>
      <c r="BC3476">
        <v>0.41</v>
      </c>
      <c r="BD3476">
        <v>4.62</v>
      </c>
      <c r="BE3476">
        <v>4.63</v>
      </c>
      <c r="BF3476">
        <v>4.57</v>
      </c>
      <c r="BG3476" t="s">
        <v>29231</v>
      </c>
      <c r="BH3476" t="s">
        <v>21750</v>
      </c>
      <c r="BI3476" t="s">
        <v>1910</v>
      </c>
      <c r="BJ3476" t="s">
        <v>101</v>
      </c>
      <c r="BK3476" t="s">
        <v>7978</v>
      </c>
      <c r="BL3476" t="s">
        <v>7345</v>
      </c>
      <c r="BM3476" t="s">
        <v>29232</v>
      </c>
      <c r="BN3476" t="s">
        <v>27621</v>
      </c>
    </row>
    <row r="3477" spans="1:66" x14ac:dyDescent="0.25">
      <c r="A3477" t="str">
        <f>HYPERLINK("https://elite.finviz.com/quote.ashx?t=AMAL&amp;ty=c&amp;p=d&amp;b=1", "AMAL")</f>
        <v>AMAL</v>
      </c>
      <c r="B3477">
        <v>4</v>
      </c>
      <c r="C3477">
        <v>105.92</v>
      </c>
      <c r="D3477">
        <v>38.799999999999997</v>
      </c>
      <c r="E3477" t="s">
        <v>29233</v>
      </c>
      <c r="F3477" t="s">
        <v>67</v>
      </c>
      <c r="G3477" t="s">
        <v>550</v>
      </c>
      <c r="H3477" t="s">
        <v>697</v>
      </c>
      <c r="I3477" t="s">
        <v>70</v>
      </c>
      <c r="J3477" t="s">
        <v>321</v>
      </c>
      <c r="K3477">
        <v>826.2</v>
      </c>
      <c r="L3477">
        <v>27.44</v>
      </c>
      <c r="M3477" t="s">
        <v>580</v>
      </c>
      <c r="N3477">
        <v>11574</v>
      </c>
      <c r="O3477">
        <v>8.1999999999999993</v>
      </c>
      <c r="P3477">
        <v>6.62</v>
      </c>
      <c r="R3477">
        <v>1.87</v>
      </c>
      <c r="S3477">
        <v>1.1100000000000001</v>
      </c>
      <c r="T3477" t="s">
        <v>3832</v>
      </c>
      <c r="U3477">
        <v>0.54</v>
      </c>
      <c r="V3477" t="s">
        <v>6057</v>
      </c>
      <c r="W3477" t="s">
        <v>3270</v>
      </c>
      <c r="X3477" t="s">
        <v>9097</v>
      </c>
      <c r="Y3477" t="s">
        <v>9196</v>
      </c>
      <c r="Z3477" t="s">
        <v>18007</v>
      </c>
      <c r="AA3477">
        <v>3.35</v>
      </c>
      <c r="AB3477" t="s">
        <v>10392</v>
      </c>
      <c r="AC3477" t="s">
        <v>13661</v>
      </c>
      <c r="AE3477" t="s">
        <v>1955</v>
      </c>
      <c r="AF3477" t="s">
        <v>12397</v>
      </c>
      <c r="AG3477" t="s">
        <v>4074</v>
      </c>
      <c r="AH3477" t="s">
        <v>6975</v>
      </c>
      <c r="AI3477" t="s">
        <v>1488</v>
      </c>
      <c r="AJ3477" t="s">
        <v>2717</v>
      </c>
      <c r="AK3477" t="s">
        <v>8939</v>
      </c>
      <c r="AL3477">
        <v>0.04</v>
      </c>
      <c r="AN3477">
        <v>0.12</v>
      </c>
      <c r="AP3477" t="s">
        <v>5500</v>
      </c>
      <c r="AQ3477" t="s">
        <v>9562</v>
      </c>
      <c r="AR3477" t="s">
        <v>5929</v>
      </c>
      <c r="AS3477" t="s">
        <v>5121</v>
      </c>
      <c r="AT3477" t="s">
        <v>1175</v>
      </c>
      <c r="AU3477" t="s">
        <v>15594</v>
      </c>
      <c r="AV3477" t="s">
        <v>7307</v>
      </c>
      <c r="AW3477" t="s">
        <v>3516</v>
      </c>
      <c r="AX3477" t="s">
        <v>891</v>
      </c>
      <c r="AY3477" t="s">
        <v>16319</v>
      </c>
      <c r="AZ3477" t="s">
        <v>3230</v>
      </c>
      <c r="BA3477">
        <v>3</v>
      </c>
      <c r="BB3477">
        <v>182.08</v>
      </c>
      <c r="BC3477">
        <v>0.23</v>
      </c>
      <c r="BD3477">
        <v>27.42</v>
      </c>
      <c r="BE3477">
        <v>27.79</v>
      </c>
      <c r="BF3477">
        <v>27.41</v>
      </c>
      <c r="BG3477" t="s">
        <v>29234</v>
      </c>
      <c r="BH3477" t="s">
        <v>16319</v>
      </c>
      <c r="BI3477" t="s">
        <v>29235</v>
      </c>
      <c r="BJ3477" t="s">
        <v>101</v>
      </c>
      <c r="BK3477" t="s">
        <v>17257</v>
      </c>
      <c r="BL3477" t="s">
        <v>14915</v>
      </c>
      <c r="BM3477" t="s">
        <v>13837</v>
      </c>
      <c r="BN3477" t="s">
        <v>27621</v>
      </c>
    </row>
    <row r="3478" spans="1:66" x14ac:dyDescent="0.25">
      <c r="A3478" t="str">
        <f>HYPERLINK("https://elite.finviz.com/quote.ashx?t=ITGR&amp;ty=c&amp;p=d&amp;b=1", "ITGR")</f>
        <v>ITGR</v>
      </c>
      <c r="B3478">
        <v>4</v>
      </c>
      <c r="C3478">
        <v>105.92</v>
      </c>
      <c r="D3478">
        <v>38.82</v>
      </c>
      <c r="E3478" t="s">
        <v>29236</v>
      </c>
      <c r="F3478" t="s">
        <v>67</v>
      </c>
      <c r="G3478" t="s">
        <v>428</v>
      </c>
      <c r="H3478" t="s">
        <v>2051</v>
      </c>
      <c r="I3478" t="s">
        <v>70</v>
      </c>
      <c r="J3478" t="s">
        <v>71</v>
      </c>
      <c r="K3478">
        <v>3558.84</v>
      </c>
      <c r="L3478">
        <v>101.58</v>
      </c>
      <c r="M3478" t="s">
        <v>1648</v>
      </c>
      <c r="N3478">
        <v>37989</v>
      </c>
      <c r="O3478">
        <v>44.86</v>
      </c>
      <c r="P3478">
        <v>14.26</v>
      </c>
      <c r="Q3478">
        <v>3.29</v>
      </c>
      <c r="R3478">
        <v>1.99</v>
      </c>
      <c r="S3478">
        <v>2.09</v>
      </c>
      <c r="Z3478" t="s">
        <v>164</v>
      </c>
      <c r="AA3478">
        <v>2.2599999999999998</v>
      </c>
      <c r="AB3478" t="s">
        <v>3429</v>
      </c>
      <c r="AC3478" t="s">
        <v>4299</v>
      </c>
      <c r="AD3478" t="s">
        <v>6087</v>
      </c>
      <c r="AE3478" t="s">
        <v>1159</v>
      </c>
      <c r="AF3478" t="s">
        <v>13765</v>
      </c>
      <c r="AG3478" t="s">
        <v>8286</v>
      </c>
      <c r="AH3478" t="s">
        <v>5528</v>
      </c>
      <c r="AI3478" t="s">
        <v>580</v>
      </c>
      <c r="AJ3478" t="s">
        <v>29237</v>
      </c>
      <c r="AK3478" t="s">
        <v>12516</v>
      </c>
      <c r="AL3478">
        <v>3.41</v>
      </c>
      <c r="AM3478">
        <v>2.1800000000000002</v>
      </c>
      <c r="AN3478">
        <v>0.78</v>
      </c>
      <c r="AO3478" t="s">
        <v>10947</v>
      </c>
      <c r="AP3478" t="s">
        <v>3560</v>
      </c>
      <c r="AQ3478" t="s">
        <v>1872</v>
      </c>
      <c r="AR3478" t="s">
        <v>5968</v>
      </c>
      <c r="AS3478" t="s">
        <v>2868</v>
      </c>
      <c r="AT3478" t="s">
        <v>1690</v>
      </c>
      <c r="AU3478" t="s">
        <v>922</v>
      </c>
      <c r="AV3478" t="s">
        <v>6435</v>
      </c>
      <c r="AW3478" t="s">
        <v>15067</v>
      </c>
      <c r="AX3478" t="s">
        <v>2219</v>
      </c>
      <c r="AY3478" t="s">
        <v>8316</v>
      </c>
      <c r="AZ3478" t="s">
        <v>2219</v>
      </c>
      <c r="BA3478">
        <v>1.45</v>
      </c>
      <c r="BB3478">
        <v>429.01</v>
      </c>
      <c r="BC3478">
        <v>0.31</v>
      </c>
      <c r="BD3478">
        <v>101.77</v>
      </c>
      <c r="BE3478">
        <v>102.43</v>
      </c>
      <c r="BF3478">
        <v>101.61</v>
      </c>
      <c r="BG3478" t="s">
        <v>29238</v>
      </c>
      <c r="BH3478" t="s">
        <v>8316</v>
      </c>
      <c r="BI3478" t="s">
        <v>29239</v>
      </c>
      <c r="BJ3478" t="s">
        <v>101</v>
      </c>
      <c r="BK3478" t="s">
        <v>24819</v>
      </c>
      <c r="BL3478" t="s">
        <v>19248</v>
      </c>
      <c r="BM3478" t="s">
        <v>28512</v>
      </c>
      <c r="BN3478" t="s">
        <v>27621</v>
      </c>
    </row>
    <row r="3479" spans="1:66" x14ac:dyDescent="0.25">
      <c r="A3479" t="str">
        <f>HYPERLINK("https://elite.finviz.com/quote.ashx?t=OBK&amp;ty=c&amp;p=d&amp;b=1", "OBK")</f>
        <v>OBK</v>
      </c>
      <c r="B3479">
        <v>4</v>
      </c>
      <c r="C3479">
        <v>105.92</v>
      </c>
      <c r="D3479">
        <v>38.82</v>
      </c>
      <c r="E3479" t="s">
        <v>29240</v>
      </c>
      <c r="F3479" t="s">
        <v>67</v>
      </c>
      <c r="G3479" t="s">
        <v>550</v>
      </c>
      <c r="H3479" t="s">
        <v>697</v>
      </c>
      <c r="I3479" t="s">
        <v>70</v>
      </c>
      <c r="J3479" t="s">
        <v>71</v>
      </c>
      <c r="K3479">
        <v>1097.54</v>
      </c>
      <c r="L3479">
        <v>35.15</v>
      </c>
      <c r="M3479" t="s">
        <v>2203</v>
      </c>
      <c r="N3479">
        <v>14803</v>
      </c>
      <c r="O3479">
        <v>15.75</v>
      </c>
      <c r="P3479">
        <v>9.69</v>
      </c>
      <c r="R3479">
        <v>1.88</v>
      </c>
      <c r="S3479">
        <v>0.91</v>
      </c>
      <c r="T3479" t="s">
        <v>6493</v>
      </c>
      <c r="U3479">
        <v>0.6</v>
      </c>
      <c r="V3479" t="s">
        <v>3046</v>
      </c>
      <c r="W3479" t="s">
        <v>164</v>
      </c>
      <c r="X3479" t="s">
        <v>9751</v>
      </c>
      <c r="Y3479" t="s">
        <v>7001</v>
      </c>
      <c r="Z3479" t="s">
        <v>3623</v>
      </c>
      <c r="AA3479">
        <v>2.23</v>
      </c>
      <c r="AB3479" t="s">
        <v>9915</v>
      </c>
      <c r="AC3479" t="s">
        <v>4780</v>
      </c>
      <c r="AE3479" t="s">
        <v>9780</v>
      </c>
      <c r="AF3479" t="s">
        <v>603</v>
      </c>
      <c r="AG3479" t="s">
        <v>10638</v>
      </c>
      <c r="AH3479" t="s">
        <v>16215</v>
      </c>
      <c r="AI3479" t="s">
        <v>29241</v>
      </c>
      <c r="AJ3479" t="s">
        <v>164</v>
      </c>
      <c r="AK3479" t="s">
        <v>23792</v>
      </c>
      <c r="AL3479">
        <v>0.05</v>
      </c>
      <c r="AN3479">
        <v>0.18</v>
      </c>
      <c r="AP3479" t="s">
        <v>1601</v>
      </c>
      <c r="AQ3479" t="s">
        <v>14918</v>
      </c>
      <c r="AR3479" t="s">
        <v>2868</v>
      </c>
      <c r="AS3479" t="s">
        <v>4600</v>
      </c>
      <c r="AT3479" t="s">
        <v>13232</v>
      </c>
      <c r="AU3479" t="s">
        <v>10175</v>
      </c>
      <c r="AV3479" t="s">
        <v>4879</v>
      </c>
      <c r="AW3479" t="s">
        <v>7527</v>
      </c>
      <c r="AX3479" t="s">
        <v>4280</v>
      </c>
      <c r="AY3479" t="s">
        <v>12432</v>
      </c>
      <c r="AZ3479" t="s">
        <v>5050</v>
      </c>
      <c r="BA3479">
        <v>1.2</v>
      </c>
      <c r="BB3479">
        <v>156.38999999999999</v>
      </c>
      <c r="BC3479">
        <v>0.34</v>
      </c>
      <c r="BD3479">
        <v>35.31</v>
      </c>
      <c r="BE3479">
        <v>35.54</v>
      </c>
      <c r="BF3479">
        <v>35</v>
      </c>
      <c r="BG3479" t="s">
        <v>29242</v>
      </c>
      <c r="BH3479" t="s">
        <v>19678</v>
      </c>
      <c r="BI3479" t="s">
        <v>21417</v>
      </c>
      <c r="BJ3479" t="s">
        <v>101</v>
      </c>
      <c r="BK3479" t="s">
        <v>2372</v>
      </c>
      <c r="BL3479" t="s">
        <v>5365</v>
      </c>
      <c r="BM3479" t="s">
        <v>4089</v>
      </c>
      <c r="BN3479" t="s">
        <v>27621</v>
      </c>
    </row>
    <row r="3480" spans="1:66" x14ac:dyDescent="0.25">
      <c r="A3480" t="str">
        <f>HYPERLINK("https://elite.finviz.com/quote.ashx?t=UNB&amp;ty=c&amp;p=d&amp;b=1", "UNB")</f>
        <v>UNB</v>
      </c>
      <c r="B3480">
        <v>4</v>
      </c>
      <c r="C3480">
        <v>105.92</v>
      </c>
      <c r="D3480">
        <v>38.86</v>
      </c>
      <c r="E3480" t="s">
        <v>29243</v>
      </c>
      <c r="F3480" t="s">
        <v>67</v>
      </c>
      <c r="G3480" t="s">
        <v>550</v>
      </c>
      <c r="H3480" t="s">
        <v>697</v>
      </c>
      <c r="I3480" t="s">
        <v>70</v>
      </c>
      <c r="J3480" t="s">
        <v>321</v>
      </c>
      <c r="K3480">
        <v>114.76</v>
      </c>
      <c r="L3480">
        <v>25.21</v>
      </c>
      <c r="M3480" t="s">
        <v>2290</v>
      </c>
      <c r="N3480">
        <v>1218</v>
      </c>
      <c r="O3480">
        <v>12.47</v>
      </c>
      <c r="R3480">
        <v>1.4</v>
      </c>
      <c r="S3480">
        <v>1.61</v>
      </c>
      <c r="T3480" t="s">
        <v>2064</v>
      </c>
      <c r="U3480">
        <v>1.44</v>
      </c>
      <c r="V3480" t="s">
        <v>12255</v>
      </c>
      <c r="W3480" t="s">
        <v>164</v>
      </c>
      <c r="X3480" t="s">
        <v>4873</v>
      </c>
      <c r="Y3480" t="s">
        <v>2624</v>
      </c>
      <c r="Z3480" t="s">
        <v>29244</v>
      </c>
      <c r="AA3480">
        <v>2.02</v>
      </c>
      <c r="AB3480" t="s">
        <v>12843</v>
      </c>
      <c r="AC3480" t="s">
        <v>6074</v>
      </c>
      <c r="AE3480" t="s">
        <v>3003</v>
      </c>
      <c r="AF3480" t="s">
        <v>8564</v>
      </c>
      <c r="AG3480" t="s">
        <v>5788</v>
      </c>
      <c r="AH3480" t="s">
        <v>330</v>
      </c>
      <c r="AJ3480" t="s">
        <v>164</v>
      </c>
      <c r="AK3480" t="s">
        <v>9973</v>
      </c>
      <c r="AL3480">
        <v>0.17</v>
      </c>
      <c r="AN3480">
        <v>4.03</v>
      </c>
      <c r="AP3480" t="s">
        <v>3759</v>
      </c>
      <c r="AQ3480" t="s">
        <v>2517</v>
      </c>
      <c r="AR3480" t="s">
        <v>4946</v>
      </c>
      <c r="AS3480" t="s">
        <v>3550</v>
      </c>
      <c r="AT3480" t="s">
        <v>3031</v>
      </c>
      <c r="AU3480" t="s">
        <v>3998</v>
      </c>
      <c r="AV3480" t="s">
        <v>5718</v>
      </c>
      <c r="AW3480" t="s">
        <v>16239</v>
      </c>
      <c r="AX3480" t="s">
        <v>84</v>
      </c>
      <c r="AY3480" t="s">
        <v>21347</v>
      </c>
      <c r="AZ3480" t="s">
        <v>2273</v>
      </c>
      <c r="BA3480">
        <v>3</v>
      </c>
      <c r="BB3480">
        <v>14.98</v>
      </c>
      <c r="BC3480">
        <v>0.28999999999999998</v>
      </c>
      <c r="BD3480">
        <v>25.13</v>
      </c>
      <c r="BE3480">
        <v>25.23</v>
      </c>
      <c r="BF3480">
        <v>25.15</v>
      </c>
      <c r="BG3480" t="s">
        <v>29245</v>
      </c>
      <c r="BH3480" t="s">
        <v>18241</v>
      </c>
      <c r="BI3480" t="s">
        <v>29246</v>
      </c>
      <c r="BJ3480" t="s">
        <v>101</v>
      </c>
      <c r="BK3480" t="s">
        <v>11675</v>
      </c>
      <c r="BL3480" t="s">
        <v>19085</v>
      </c>
      <c r="BM3480" t="s">
        <v>4122</v>
      </c>
      <c r="BN3480" t="s">
        <v>27621</v>
      </c>
    </row>
    <row r="3481" spans="1:66" x14ac:dyDescent="0.25">
      <c r="A3481" t="str">
        <f>HYPERLINK("https://elite.finviz.com/quote.ashx?t=ASIX&amp;ty=c&amp;p=d&amp;b=1", "ASIX")</f>
        <v>ASIX</v>
      </c>
      <c r="B3481">
        <v>4</v>
      </c>
      <c r="C3481">
        <v>105.92</v>
      </c>
      <c r="D3481">
        <v>38.880000000000003</v>
      </c>
      <c r="E3481" t="s">
        <v>29247</v>
      </c>
      <c r="F3481" t="s">
        <v>67</v>
      </c>
      <c r="G3481" t="s">
        <v>355</v>
      </c>
      <c r="H3481" t="s">
        <v>5130</v>
      </c>
      <c r="I3481" t="s">
        <v>70</v>
      </c>
      <c r="J3481" t="s">
        <v>71</v>
      </c>
      <c r="K3481">
        <v>518.9</v>
      </c>
      <c r="L3481">
        <v>19.329999999999998</v>
      </c>
      <c r="M3481" t="s">
        <v>80</v>
      </c>
      <c r="N3481">
        <v>30134</v>
      </c>
      <c r="O3481">
        <v>6.81</v>
      </c>
      <c r="P3481">
        <v>5.0199999999999996</v>
      </c>
      <c r="R3481">
        <v>0.34</v>
      </c>
      <c r="S3481">
        <v>0.63</v>
      </c>
      <c r="T3481" t="s">
        <v>6770</v>
      </c>
      <c r="U3481">
        <v>0.64</v>
      </c>
      <c r="V3481" t="s">
        <v>7906</v>
      </c>
      <c r="W3481" t="s">
        <v>5102</v>
      </c>
      <c r="X3481" t="s">
        <v>10526</v>
      </c>
      <c r="Z3481" t="s">
        <v>16401</v>
      </c>
      <c r="AA3481">
        <v>2.84</v>
      </c>
      <c r="AB3481" t="s">
        <v>8503</v>
      </c>
      <c r="AC3481" t="s">
        <v>179</v>
      </c>
      <c r="AE3481" t="s">
        <v>1559</v>
      </c>
      <c r="AF3481" t="s">
        <v>12274</v>
      </c>
      <c r="AG3481" t="s">
        <v>4204</v>
      </c>
      <c r="AH3481" t="s">
        <v>9710</v>
      </c>
      <c r="AJ3481" t="s">
        <v>2374</v>
      </c>
      <c r="AK3481" t="s">
        <v>17631</v>
      </c>
      <c r="AL3481">
        <v>1.35</v>
      </c>
      <c r="AM3481">
        <v>0.66</v>
      </c>
      <c r="AN3481">
        <v>0.46</v>
      </c>
      <c r="AO3481" t="s">
        <v>8372</v>
      </c>
      <c r="AP3481" t="s">
        <v>7118</v>
      </c>
      <c r="AQ3481" t="s">
        <v>1104</v>
      </c>
      <c r="AR3481" t="s">
        <v>203</v>
      </c>
      <c r="AS3481" t="s">
        <v>1932</v>
      </c>
      <c r="AT3481" t="s">
        <v>4888</v>
      </c>
      <c r="AU3481" t="s">
        <v>12259</v>
      </c>
      <c r="AV3481" t="s">
        <v>16260</v>
      </c>
      <c r="AW3481" t="s">
        <v>19694</v>
      </c>
      <c r="AX3481" t="s">
        <v>2521</v>
      </c>
      <c r="AY3481" t="s">
        <v>29248</v>
      </c>
      <c r="AZ3481" t="s">
        <v>2521</v>
      </c>
      <c r="BA3481">
        <v>1</v>
      </c>
      <c r="BB3481">
        <v>228.28</v>
      </c>
      <c r="BC3481">
        <v>0.47</v>
      </c>
      <c r="BD3481">
        <v>19.09</v>
      </c>
      <c r="BE3481">
        <v>19.48</v>
      </c>
      <c r="BF3481">
        <v>19.239999999999998</v>
      </c>
      <c r="BG3481" t="s">
        <v>29249</v>
      </c>
      <c r="BH3481" t="s">
        <v>4003</v>
      </c>
      <c r="BI3481" t="s">
        <v>29250</v>
      </c>
      <c r="BJ3481" t="s">
        <v>101</v>
      </c>
      <c r="BK3481" t="s">
        <v>10141</v>
      </c>
      <c r="BL3481" t="s">
        <v>11994</v>
      </c>
      <c r="BM3481" t="s">
        <v>29251</v>
      </c>
      <c r="BN3481" t="s">
        <v>27621</v>
      </c>
    </row>
    <row r="3482" spans="1:66" x14ac:dyDescent="0.25">
      <c r="A3482" t="str">
        <f>HYPERLINK("https://elite.finviz.com/quote.ashx?t=SCL&amp;ty=c&amp;p=d&amp;b=1", "SCL")</f>
        <v>SCL</v>
      </c>
      <c r="B3482">
        <v>4</v>
      </c>
      <c r="C3482">
        <v>105.92</v>
      </c>
      <c r="D3482">
        <v>38.880000000000003</v>
      </c>
      <c r="E3482" t="s">
        <v>29252</v>
      </c>
      <c r="F3482" t="s">
        <v>67</v>
      </c>
      <c r="G3482" t="s">
        <v>355</v>
      </c>
      <c r="H3482" t="s">
        <v>1147</v>
      </c>
      <c r="I3482" t="s">
        <v>70</v>
      </c>
      <c r="J3482" t="s">
        <v>71</v>
      </c>
      <c r="K3482">
        <v>1058.45</v>
      </c>
      <c r="L3482">
        <v>46.8</v>
      </c>
      <c r="M3482" t="s">
        <v>3169</v>
      </c>
      <c r="N3482">
        <v>10642</v>
      </c>
      <c r="O3482">
        <v>18.48</v>
      </c>
      <c r="P3482">
        <v>11.69</v>
      </c>
      <c r="R3482">
        <v>0.47</v>
      </c>
      <c r="S3482">
        <v>0.85</v>
      </c>
      <c r="T3482" t="s">
        <v>5593</v>
      </c>
      <c r="U3482">
        <v>1.54</v>
      </c>
      <c r="V3482" t="s">
        <v>4882</v>
      </c>
      <c r="W3482" t="s">
        <v>901</v>
      </c>
      <c r="X3482" t="s">
        <v>2772</v>
      </c>
      <c r="Y3482" t="s">
        <v>1282</v>
      </c>
      <c r="Z3482" t="s">
        <v>29253</v>
      </c>
      <c r="AA3482">
        <v>2.5299999999999998</v>
      </c>
      <c r="AB3482" t="s">
        <v>1878</v>
      </c>
      <c r="AC3482" t="s">
        <v>779</v>
      </c>
      <c r="AE3482" t="s">
        <v>4154</v>
      </c>
      <c r="AF3482" t="s">
        <v>6137</v>
      </c>
      <c r="AG3482" t="s">
        <v>203</v>
      </c>
      <c r="AH3482" t="s">
        <v>2150</v>
      </c>
      <c r="AI3482" t="s">
        <v>6018</v>
      </c>
      <c r="AJ3482" t="s">
        <v>3950</v>
      </c>
      <c r="AK3482" t="s">
        <v>19589</v>
      </c>
      <c r="AL3482">
        <v>1.35</v>
      </c>
      <c r="AM3482">
        <v>0.86</v>
      </c>
      <c r="AN3482">
        <v>0.57999999999999996</v>
      </c>
      <c r="AO3482" t="s">
        <v>3857</v>
      </c>
      <c r="AP3482" t="s">
        <v>6150</v>
      </c>
      <c r="AQ3482" t="s">
        <v>248</v>
      </c>
      <c r="AR3482" t="s">
        <v>2080</v>
      </c>
      <c r="AS3482" t="s">
        <v>205</v>
      </c>
      <c r="AT3482" t="s">
        <v>4636</v>
      </c>
      <c r="AU3482" t="s">
        <v>11592</v>
      </c>
      <c r="AV3482" t="s">
        <v>23410</v>
      </c>
      <c r="AW3482" t="s">
        <v>29254</v>
      </c>
      <c r="AX3482" t="s">
        <v>2785</v>
      </c>
      <c r="AY3482" t="s">
        <v>29255</v>
      </c>
      <c r="AZ3482" t="s">
        <v>7210</v>
      </c>
      <c r="BA3482">
        <v>2.5</v>
      </c>
      <c r="BB3482">
        <v>145.35</v>
      </c>
      <c r="BC3482">
        <v>0.26</v>
      </c>
      <c r="BD3482">
        <v>46.44</v>
      </c>
      <c r="BE3482">
        <v>46.88</v>
      </c>
      <c r="BF3482">
        <v>46.62</v>
      </c>
      <c r="BG3482" t="s">
        <v>29256</v>
      </c>
      <c r="BH3482" t="s">
        <v>19654</v>
      </c>
      <c r="BI3482" t="s">
        <v>29257</v>
      </c>
      <c r="BJ3482" t="s">
        <v>101</v>
      </c>
      <c r="BK3482" t="s">
        <v>18077</v>
      </c>
      <c r="BL3482" t="s">
        <v>1174</v>
      </c>
      <c r="BM3482" t="s">
        <v>23575</v>
      </c>
      <c r="BN3482" t="s">
        <v>27621</v>
      </c>
    </row>
    <row r="3483" spans="1:66" x14ac:dyDescent="0.25">
      <c r="A3483" t="str">
        <f>HYPERLINK("https://elite.finviz.com/quote.ashx?t=XCUR&amp;ty=c&amp;p=d&amp;b=1", "XCUR")</f>
        <v>XCUR</v>
      </c>
      <c r="B3483">
        <v>4</v>
      </c>
      <c r="C3483">
        <v>105.92</v>
      </c>
      <c r="D3483">
        <v>38.9</v>
      </c>
      <c r="E3483" t="s">
        <v>29258</v>
      </c>
      <c r="F3483" t="s">
        <v>107</v>
      </c>
      <c r="G3483" t="s">
        <v>428</v>
      </c>
      <c r="H3483" t="s">
        <v>429</v>
      </c>
      <c r="I3483" t="s">
        <v>70</v>
      </c>
      <c r="J3483" t="s">
        <v>321</v>
      </c>
      <c r="K3483">
        <v>24.9</v>
      </c>
      <c r="L3483">
        <v>3.94</v>
      </c>
      <c r="M3483" t="s">
        <v>4849</v>
      </c>
      <c r="N3483">
        <v>3497</v>
      </c>
      <c r="S3483">
        <v>2.81</v>
      </c>
      <c r="AA3483">
        <v>-1.69</v>
      </c>
      <c r="AB3483" t="s">
        <v>29259</v>
      </c>
      <c r="AC3483" t="s">
        <v>21021</v>
      </c>
      <c r="AE3483" t="s">
        <v>579</v>
      </c>
      <c r="AG3483" t="s">
        <v>20057</v>
      </c>
      <c r="AJ3483" t="s">
        <v>29260</v>
      </c>
      <c r="AK3483" t="s">
        <v>2720</v>
      </c>
      <c r="AL3483">
        <v>1.89</v>
      </c>
      <c r="AM3483">
        <v>1.89</v>
      </c>
      <c r="AN3483">
        <v>0.05</v>
      </c>
      <c r="AR3483" t="s">
        <v>4450</v>
      </c>
      <c r="AS3483" t="s">
        <v>9123</v>
      </c>
      <c r="AT3483" t="s">
        <v>4174</v>
      </c>
      <c r="AU3483" t="s">
        <v>24028</v>
      </c>
      <c r="AV3483" t="s">
        <v>22340</v>
      </c>
      <c r="AW3483" t="s">
        <v>29261</v>
      </c>
      <c r="AX3483" t="s">
        <v>10659</v>
      </c>
      <c r="AY3483" t="s">
        <v>29262</v>
      </c>
      <c r="AZ3483" t="s">
        <v>10891</v>
      </c>
      <c r="BA3483">
        <v>3</v>
      </c>
      <c r="BB3483">
        <v>123.41</v>
      </c>
      <c r="BC3483">
        <v>0.1</v>
      </c>
      <c r="BD3483">
        <v>3.92</v>
      </c>
      <c r="BE3483">
        <v>4.03</v>
      </c>
      <c r="BF3483">
        <v>3.89</v>
      </c>
      <c r="BG3483" t="s">
        <v>29263</v>
      </c>
      <c r="BH3483" t="s">
        <v>14909</v>
      </c>
      <c r="BI3483" t="s">
        <v>29264</v>
      </c>
      <c r="BJ3483" t="s">
        <v>101</v>
      </c>
      <c r="BK3483" t="s">
        <v>7119</v>
      </c>
      <c r="BL3483" t="s">
        <v>29265</v>
      </c>
      <c r="BM3483" t="s">
        <v>10237</v>
      </c>
      <c r="BN3483" t="s">
        <v>27621</v>
      </c>
    </row>
    <row r="3484" spans="1:66" x14ac:dyDescent="0.25">
      <c r="A3484" t="str">
        <f>HYPERLINK("https://elite.finviz.com/quote.ashx?t=IQST&amp;ty=c&amp;p=d&amp;b=1", "IQST")</f>
        <v>IQST</v>
      </c>
      <c r="B3484">
        <v>4</v>
      </c>
      <c r="C3484">
        <v>105.92</v>
      </c>
      <c r="D3484">
        <v>38.909999999999997</v>
      </c>
      <c r="E3484" t="s">
        <v>29266</v>
      </c>
      <c r="F3484" t="s">
        <v>107</v>
      </c>
      <c r="G3484" t="s">
        <v>598</v>
      </c>
      <c r="H3484" t="s">
        <v>6147</v>
      </c>
      <c r="I3484" t="s">
        <v>70</v>
      </c>
      <c r="J3484" t="s">
        <v>321</v>
      </c>
      <c r="K3484">
        <v>21.98</v>
      </c>
      <c r="L3484">
        <v>6.09</v>
      </c>
      <c r="M3484" t="s">
        <v>344</v>
      </c>
      <c r="N3484">
        <v>27800</v>
      </c>
      <c r="R3484">
        <v>0.08</v>
      </c>
      <c r="S3484">
        <v>2.2400000000000002</v>
      </c>
      <c r="AA3484">
        <v>-2.5499999999999998</v>
      </c>
      <c r="AB3484" t="s">
        <v>6735</v>
      </c>
      <c r="AC3484" t="s">
        <v>5962</v>
      </c>
      <c r="AE3484" t="s">
        <v>3399</v>
      </c>
      <c r="AF3484" t="s">
        <v>29267</v>
      </c>
      <c r="AG3484" t="s">
        <v>28848</v>
      </c>
      <c r="AH3484" t="s">
        <v>5932</v>
      </c>
      <c r="AI3484" t="s">
        <v>29268</v>
      </c>
      <c r="AJ3484" t="s">
        <v>164</v>
      </c>
      <c r="AK3484" t="s">
        <v>4125</v>
      </c>
      <c r="AL3484">
        <v>0.97</v>
      </c>
      <c r="AM3484">
        <v>0.96</v>
      </c>
      <c r="AN3484">
        <v>0.72</v>
      </c>
      <c r="AO3484" t="s">
        <v>2743</v>
      </c>
      <c r="AP3484" t="s">
        <v>3896</v>
      </c>
      <c r="AQ3484" t="s">
        <v>91</v>
      </c>
      <c r="AR3484" t="s">
        <v>4824</v>
      </c>
      <c r="AS3484" t="s">
        <v>5611</v>
      </c>
      <c r="AT3484" t="s">
        <v>9498</v>
      </c>
      <c r="AU3484" t="s">
        <v>6649</v>
      </c>
      <c r="AV3484" t="s">
        <v>29269</v>
      </c>
      <c r="AW3484" t="s">
        <v>29270</v>
      </c>
      <c r="AX3484" t="s">
        <v>3601</v>
      </c>
      <c r="AY3484" t="s">
        <v>6717</v>
      </c>
      <c r="AZ3484" t="s">
        <v>4130</v>
      </c>
      <c r="BA3484">
        <v>1</v>
      </c>
      <c r="BB3484">
        <v>92.65</v>
      </c>
      <c r="BC3484">
        <v>1.07</v>
      </c>
      <c r="BD3484">
        <v>6.03</v>
      </c>
      <c r="BE3484">
        <v>6.19</v>
      </c>
      <c r="BF3484">
        <v>6.08</v>
      </c>
      <c r="BG3484" t="s">
        <v>29271</v>
      </c>
      <c r="BH3484" t="s">
        <v>579</v>
      </c>
      <c r="BI3484" t="s">
        <v>29272</v>
      </c>
      <c r="BJ3484" t="s">
        <v>101</v>
      </c>
      <c r="BK3484" t="s">
        <v>3211</v>
      </c>
      <c r="BL3484" t="s">
        <v>23364</v>
      </c>
      <c r="BM3484" t="s">
        <v>29273</v>
      </c>
      <c r="BN3484" t="s">
        <v>27621</v>
      </c>
    </row>
    <row r="3485" spans="1:66" x14ac:dyDescent="0.25">
      <c r="A3485" t="str">
        <f>HYPERLINK("https://elite.finviz.com/quote.ashx?t=KMPR&amp;ty=c&amp;p=d&amp;b=1", "KMPR")</f>
        <v>KMPR</v>
      </c>
      <c r="B3485">
        <v>4</v>
      </c>
      <c r="C3485">
        <v>105.92</v>
      </c>
      <c r="D3485">
        <v>38.92</v>
      </c>
      <c r="E3485" t="s">
        <v>29274</v>
      </c>
      <c r="F3485" t="s">
        <v>107</v>
      </c>
      <c r="G3485" t="s">
        <v>550</v>
      </c>
      <c r="H3485" t="s">
        <v>4407</v>
      </c>
      <c r="I3485" t="s">
        <v>70</v>
      </c>
      <c r="J3485" t="s">
        <v>71</v>
      </c>
      <c r="K3485">
        <v>3248.2</v>
      </c>
      <c r="L3485">
        <v>51.77</v>
      </c>
      <c r="M3485" t="s">
        <v>4901</v>
      </c>
      <c r="N3485">
        <v>92619</v>
      </c>
      <c r="O3485">
        <v>9.75</v>
      </c>
      <c r="P3485">
        <v>8.7899999999999991</v>
      </c>
      <c r="Q3485">
        <v>3.24</v>
      </c>
      <c r="R3485">
        <v>0.68</v>
      </c>
      <c r="S3485">
        <v>1.1100000000000001</v>
      </c>
      <c r="T3485" t="s">
        <v>6430</v>
      </c>
      <c r="U3485">
        <v>1.27</v>
      </c>
      <c r="V3485" t="s">
        <v>1440</v>
      </c>
      <c r="W3485" t="s">
        <v>164</v>
      </c>
      <c r="X3485" t="s">
        <v>164</v>
      </c>
      <c r="Y3485" t="s">
        <v>2108</v>
      </c>
      <c r="Z3485" t="s">
        <v>553</v>
      </c>
      <c r="AA3485">
        <v>5.31</v>
      </c>
      <c r="AC3485" t="s">
        <v>4478</v>
      </c>
      <c r="AD3485" t="s">
        <v>295</v>
      </c>
      <c r="AE3485" t="s">
        <v>2743</v>
      </c>
      <c r="AF3485" t="s">
        <v>4226</v>
      </c>
      <c r="AG3485" t="s">
        <v>5000</v>
      </c>
      <c r="AH3485" t="s">
        <v>2250</v>
      </c>
      <c r="AI3485" t="s">
        <v>19304</v>
      </c>
      <c r="AJ3485" t="s">
        <v>2202</v>
      </c>
      <c r="AK3485" t="s">
        <v>3056</v>
      </c>
      <c r="AL3485">
        <v>0.32</v>
      </c>
      <c r="AN3485">
        <v>0.34</v>
      </c>
      <c r="AP3485" t="s">
        <v>8650</v>
      </c>
      <c r="AQ3485" t="s">
        <v>3688</v>
      </c>
      <c r="AR3485" t="s">
        <v>6692</v>
      </c>
      <c r="AS3485" t="s">
        <v>2339</v>
      </c>
      <c r="AT3485" t="s">
        <v>9475</v>
      </c>
      <c r="AU3485" t="s">
        <v>4475</v>
      </c>
      <c r="AV3485" t="s">
        <v>8450</v>
      </c>
      <c r="AW3485" t="s">
        <v>4368</v>
      </c>
      <c r="AX3485" t="s">
        <v>1342</v>
      </c>
      <c r="AY3485" t="s">
        <v>29275</v>
      </c>
      <c r="AZ3485" t="s">
        <v>1342</v>
      </c>
      <c r="BA3485">
        <v>2.29</v>
      </c>
      <c r="BB3485">
        <v>887.94</v>
      </c>
      <c r="BC3485">
        <v>0.37</v>
      </c>
      <c r="BD3485">
        <v>51.49</v>
      </c>
      <c r="BE3485">
        <v>52.25</v>
      </c>
      <c r="BF3485">
        <v>51.62</v>
      </c>
      <c r="BG3485" t="s">
        <v>29276</v>
      </c>
      <c r="BH3485" t="s">
        <v>23847</v>
      </c>
      <c r="BI3485" t="s">
        <v>29277</v>
      </c>
      <c r="BJ3485" t="s">
        <v>101</v>
      </c>
      <c r="BK3485" t="s">
        <v>15442</v>
      </c>
      <c r="BL3485" t="s">
        <v>24184</v>
      </c>
      <c r="BM3485" t="s">
        <v>16302</v>
      </c>
      <c r="BN3485" t="s">
        <v>27621</v>
      </c>
    </row>
    <row r="3486" spans="1:66" x14ac:dyDescent="0.25">
      <c r="A3486" t="str">
        <f>HYPERLINK("https://elite.finviz.com/quote.ashx?t=PFIS&amp;ty=c&amp;p=d&amp;b=1", "PFIS")</f>
        <v>PFIS</v>
      </c>
      <c r="B3486">
        <v>4</v>
      </c>
      <c r="C3486">
        <v>105.92</v>
      </c>
      <c r="D3486">
        <v>38.96</v>
      </c>
      <c r="E3486" t="s">
        <v>29278</v>
      </c>
      <c r="F3486" t="s">
        <v>67</v>
      </c>
      <c r="G3486" t="s">
        <v>550</v>
      </c>
      <c r="H3486" t="s">
        <v>697</v>
      </c>
      <c r="I3486" t="s">
        <v>70</v>
      </c>
      <c r="J3486" t="s">
        <v>321</v>
      </c>
      <c r="K3486">
        <v>496.39</v>
      </c>
      <c r="L3486">
        <v>49.67</v>
      </c>
      <c r="M3486" t="s">
        <v>5777</v>
      </c>
      <c r="N3486">
        <v>13977</v>
      </c>
      <c r="O3486">
        <v>14.84</v>
      </c>
      <c r="P3486">
        <v>7.83</v>
      </c>
      <c r="R3486">
        <v>1.74</v>
      </c>
      <c r="S3486">
        <v>1</v>
      </c>
      <c r="T3486" t="s">
        <v>4824</v>
      </c>
      <c r="U3486">
        <v>2.4700000000000002</v>
      </c>
      <c r="V3486" t="s">
        <v>4882</v>
      </c>
      <c r="W3486" t="s">
        <v>18126</v>
      </c>
      <c r="X3486" t="s">
        <v>5865</v>
      </c>
      <c r="Y3486" t="s">
        <v>864</v>
      </c>
      <c r="Z3486" t="s">
        <v>29279</v>
      </c>
      <c r="AA3486">
        <v>3.35</v>
      </c>
      <c r="AB3486" t="s">
        <v>10019</v>
      </c>
      <c r="AC3486" t="s">
        <v>6788</v>
      </c>
      <c r="AE3486" t="s">
        <v>29280</v>
      </c>
      <c r="AF3486" t="s">
        <v>16517</v>
      </c>
      <c r="AG3486" t="s">
        <v>6415</v>
      </c>
      <c r="AH3486" t="s">
        <v>29281</v>
      </c>
      <c r="AI3486" t="s">
        <v>8837</v>
      </c>
      <c r="AJ3486" t="s">
        <v>4494</v>
      </c>
      <c r="AK3486" t="s">
        <v>4761</v>
      </c>
      <c r="AL3486">
        <v>0.05</v>
      </c>
      <c r="AN3486">
        <v>0.55000000000000004</v>
      </c>
      <c r="AP3486" t="s">
        <v>4832</v>
      </c>
      <c r="AQ3486" t="s">
        <v>2819</v>
      </c>
      <c r="AR3486" t="s">
        <v>3208</v>
      </c>
      <c r="AS3486" t="s">
        <v>2789</v>
      </c>
      <c r="AT3486" t="s">
        <v>2827</v>
      </c>
      <c r="AU3486" t="s">
        <v>4124</v>
      </c>
      <c r="AV3486" t="s">
        <v>2610</v>
      </c>
      <c r="AW3486" t="s">
        <v>5211</v>
      </c>
      <c r="AX3486" t="s">
        <v>4377</v>
      </c>
      <c r="AY3486" t="s">
        <v>16135</v>
      </c>
      <c r="AZ3486" t="s">
        <v>9081</v>
      </c>
      <c r="BA3486">
        <v>2</v>
      </c>
      <c r="BB3486">
        <v>36.409999999999997</v>
      </c>
      <c r="BC3486">
        <v>1.36</v>
      </c>
      <c r="BD3486">
        <v>49.92</v>
      </c>
      <c r="BE3486">
        <v>50.23</v>
      </c>
      <c r="BF3486">
        <v>48.51</v>
      </c>
      <c r="BG3486" t="s">
        <v>29282</v>
      </c>
      <c r="BH3486" t="s">
        <v>10408</v>
      </c>
      <c r="BI3486" t="s">
        <v>29283</v>
      </c>
      <c r="BJ3486" t="s">
        <v>101</v>
      </c>
      <c r="BK3486" t="s">
        <v>4494</v>
      </c>
      <c r="BL3486" t="s">
        <v>5864</v>
      </c>
      <c r="BM3486" t="s">
        <v>5944</v>
      </c>
      <c r="BN3486" t="s">
        <v>27621</v>
      </c>
    </row>
    <row r="3487" spans="1:66" x14ac:dyDescent="0.25">
      <c r="A3487" t="str">
        <f>HYPERLINK("https://elite.finviz.com/quote.ashx?t=ASIC&amp;ty=c&amp;p=d&amp;b=1", "ASIC")</f>
        <v>ASIC</v>
      </c>
      <c r="B3487">
        <v>4</v>
      </c>
      <c r="C3487">
        <v>105.92</v>
      </c>
      <c r="D3487">
        <v>38.96</v>
      </c>
      <c r="E3487" t="s">
        <v>29284</v>
      </c>
      <c r="F3487" t="s">
        <v>67</v>
      </c>
      <c r="G3487" t="s">
        <v>550</v>
      </c>
      <c r="H3487" t="s">
        <v>4407</v>
      </c>
      <c r="I3487" t="s">
        <v>70</v>
      </c>
      <c r="J3487" t="s">
        <v>71</v>
      </c>
      <c r="K3487">
        <v>941.21</v>
      </c>
      <c r="L3487">
        <v>19.579999999999998</v>
      </c>
      <c r="M3487" t="s">
        <v>4780</v>
      </c>
      <c r="N3487">
        <v>18512</v>
      </c>
      <c r="S3487">
        <v>1.68</v>
      </c>
      <c r="AI3487" t="s">
        <v>12527</v>
      </c>
      <c r="AJ3487" t="s">
        <v>193</v>
      </c>
      <c r="AK3487" t="s">
        <v>920</v>
      </c>
      <c r="AL3487">
        <v>1.1299999999999999</v>
      </c>
      <c r="AN3487">
        <v>0</v>
      </c>
      <c r="AR3487" t="s">
        <v>6527</v>
      </c>
      <c r="AS3487" t="s">
        <v>5685</v>
      </c>
      <c r="AT3487" t="s">
        <v>10431</v>
      </c>
      <c r="AU3487" t="s">
        <v>4282</v>
      </c>
      <c r="AV3487" t="s">
        <v>5480</v>
      </c>
      <c r="AW3487" t="s">
        <v>29285</v>
      </c>
      <c r="AX3487" t="s">
        <v>3733</v>
      </c>
      <c r="AY3487" t="s">
        <v>7997</v>
      </c>
      <c r="AZ3487" t="s">
        <v>3733</v>
      </c>
      <c r="BA3487">
        <v>1.2</v>
      </c>
      <c r="BB3487">
        <v>127.99</v>
      </c>
      <c r="BC3487">
        <v>0.51</v>
      </c>
      <c r="BD3487">
        <v>19.29</v>
      </c>
      <c r="BE3487">
        <v>20.059999999999999</v>
      </c>
      <c r="BF3487">
        <v>19.399999999999999</v>
      </c>
      <c r="BG3487" t="s">
        <v>29286</v>
      </c>
      <c r="BH3487" t="s">
        <v>7997</v>
      </c>
      <c r="BI3487" t="s">
        <v>3733</v>
      </c>
      <c r="BJ3487" t="s">
        <v>101</v>
      </c>
      <c r="BK3487" t="s">
        <v>3838</v>
      </c>
      <c r="BN3487" t="s">
        <v>27621</v>
      </c>
    </row>
    <row r="3488" spans="1:66" x14ac:dyDescent="0.25">
      <c r="A3488" t="str">
        <f>HYPERLINK("https://elite.finviz.com/quote.ashx?t=CARS&amp;ty=c&amp;p=d&amp;b=1", "CARS")</f>
        <v>CARS</v>
      </c>
      <c r="B3488">
        <v>4</v>
      </c>
      <c r="C3488">
        <v>105.92</v>
      </c>
      <c r="D3488">
        <v>38.97</v>
      </c>
      <c r="E3488" t="s">
        <v>29287</v>
      </c>
      <c r="F3488" t="s">
        <v>67</v>
      </c>
      <c r="G3488" t="s">
        <v>598</v>
      </c>
      <c r="H3488" t="s">
        <v>599</v>
      </c>
      <c r="I3488" t="s">
        <v>70</v>
      </c>
      <c r="J3488" t="s">
        <v>71</v>
      </c>
      <c r="K3488">
        <v>752.4</v>
      </c>
      <c r="L3488">
        <v>12.24</v>
      </c>
      <c r="M3488" t="s">
        <v>3169</v>
      </c>
      <c r="N3488">
        <v>81701</v>
      </c>
      <c r="O3488">
        <v>19.940000000000001</v>
      </c>
      <c r="P3488">
        <v>5.54</v>
      </c>
      <c r="Q3488">
        <v>2.1</v>
      </c>
      <c r="R3488">
        <v>1.05</v>
      </c>
      <c r="S3488">
        <v>1.57</v>
      </c>
      <c r="Z3488" t="s">
        <v>164</v>
      </c>
      <c r="AA3488">
        <v>0.61</v>
      </c>
      <c r="AB3488" t="s">
        <v>13858</v>
      </c>
      <c r="AD3488" t="s">
        <v>7945</v>
      </c>
      <c r="AE3488" t="s">
        <v>5253</v>
      </c>
      <c r="AF3488" t="s">
        <v>2035</v>
      </c>
      <c r="AG3488" t="s">
        <v>4394</v>
      </c>
      <c r="AH3488" t="s">
        <v>6192</v>
      </c>
      <c r="AI3488" t="s">
        <v>9075</v>
      </c>
      <c r="AJ3488" t="s">
        <v>430</v>
      </c>
      <c r="AK3488" t="s">
        <v>29288</v>
      </c>
      <c r="AL3488">
        <v>1.82</v>
      </c>
      <c r="AM3488">
        <v>1.82</v>
      </c>
      <c r="AN3488">
        <v>0.94</v>
      </c>
      <c r="AO3488" t="s">
        <v>26958</v>
      </c>
      <c r="AP3488" t="s">
        <v>4377</v>
      </c>
      <c r="AQ3488" t="s">
        <v>2064</v>
      </c>
      <c r="AR3488" t="s">
        <v>911</v>
      </c>
      <c r="AS3488" t="s">
        <v>1391</v>
      </c>
      <c r="AT3488" t="s">
        <v>15764</v>
      </c>
      <c r="AU3488" t="s">
        <v>9738</v>
      </c>
      <c r="AV3488" t="s">
        <v>4325</v>
      </c>
      <c r="AW3488" t="s">
        <v>3838</v>
      </c>
      <c r="AX3488" t="s">
        <v>7851</v>
      </c>
      <c r="AY3488" t="s">
        <v>24610</v>
      </c>
      <c r="AZ3488" t="s">
        <v>1813</v>
      </c>
      <c r="BA3488">
        <v>1.86</v>
      </c>
      <c r="BB3488">
        <v>818.19</v>
      </c>
      <c r="BC3488">
        <v>0.35</v>
      </c>
      <c r="BD3488">
        <v>12.15</v>
      </c>
      <c r="BE3488">
        <v>12.34</v>
      </c>
      <c r="BF3488">
        <v>12.15</v>
      </c>
      <c r="BG3488" t="s">
        <v>29289</v>
      </c>
      <c r="BH3488" t="s">
        <v>29290</v>
      </c>
      <c r="BI3488" t="s">
        <v>29291</v>
      </c>
      <c r="BJ3488" t="s">
        <v>101</v>
      </c>
      <c r="BK3488" t="s">
        <v>4189</v>
      </c>
      <c r="BL3488" t="s">
        <v>2170</v>
      </c>
      <c r="BM3488" t="s">
        <v>9613</v>
      </c>
      <c r="BN3488" t="s">
        <v>27621</v>
      </c>
    </row>
    <row r="3489" spans="1:66" x14ac:dyDescent="0.25">
      <c r="A3489" t="str">
        <f>HYPERLINK("https://elite.finviz.com/quote.ashx?t=COFS&amp;ty=c&amp;p=d&amp;b=1", "COFS")</f>
        <v>COFS</v>
      </c>
      <c r="B3489">
        <v>4</v>
      </c>
      <c r="C3489">
        <v>105.92</v>
      </c>
      <c r="D3489">
        <v>39.01</v>
      </c>
      <c r="E3489" t="s">
        <v>29292</v>
      </c>
      <c r="F3489" t="s">
        <v>67</v>
      </c>
      <c r="G3489" t="s">
        <v>550</v>
      </c>
      <c r="H3489" t="s">
        <v>697</v>
      </c>
      <c r="I3489" t="s">
        <v>70</v>
      </c>
      <c r="J3489" t="s">
        <v>321</v>
      </c>
      <c r="K3489">
        <v>440.54</v>
      </c>
      <c r="L3489">
        <v>29.34</v>
      </c>
      <c r="M3489" t="s">
        <v>9925</v>
      </c>
      <c r="N3489">
        <v>9164</v>
      </c>
      <c r="O3489">
        <v>23.65</v>
      </c>
      <c r="P3489">
        <v>8.48</v>
      </c>
      <c r="Q3489">
        <v>10.37</v>
      </c>
      <c r="R3489">
        <v>2.48</v>
      </c>
      <c r="S3489">
        <v>1.02</v>
      </c>
      <c r="T3489" t="s">
        <v>4324</v>
      </c>
      <c r="U3489">
        <v>1.1200000000000001</v>
      </c>
      <c r="V3489" t="s">
        <v>3833</v>
      </c>
      <c r="W3489" t="s">
        <v>2493</v>
      </c>
      <c r="X3489" t="s">
        <v>2744</v>
      </c>
      <c r="Y3489" t="s">
        <v>4476</v>
      </c>
      <c r="Z3489" t="s">
        <v>4000</v>
      </c>
      <c r="AA3489">
        <v>1.24</v>
      </c>
      <c r="AB3489" t="s">
        <v>8625</v>
      </c>
      <c r="AC3489" t="s">
        <v>913</v>
      </c>
      <c r="AD3489" t="s">
        <v>1438</v>
      </c>
      <c r="AE3489" t="s">
        <v>6901</v>
      </c>
      <c r="AF3489" t="s">
        <v>3068</v>
      </c>
      <c r="AG3489" t="s">
        <v>7713</v>
      </c>
      <c r="AH3489" t="s">
        <v>9318</v>
      </c>
      <c r="AI3489" t="s">
        <v>3059</v>
      </c>
      <c r="AJ3489" t="s">
        <v>164</v>
      </c>
      <c r="AK3489" t="s">
        <v>2188</v>
      </c>
      <c r="AL3489">
        <v>0.15</v>
      </c>
      <c r="AN3489">
        <v>0.56999999999999995</v>
      </c>
      <c r="AP3489" t="s">
        <v>5719</v>
      </c>
      <c r="AQ3489" t="s">
        <v>7854</v>
      </c>
      <c r="AR3489" t="s">
        <v>2175</v>
      </c>
      <c r="AS3489" t="s">
        <v>6336</v>
      </c>
      <c r="AT3489" t="s">
        <v>9085</v>
      </c>
      <c r="AU3489" t="s">
        <v>5765</v>
      </c>
      <c r="AV3489" t="s">
        <v>4673</v>
      </c>
      <c r="AW3489" t="s">
        <v>11444</v>
      </c>
      <c r="AX3489" t="s">
        <v>4499</v>
      </c>
      <c r="AY3489" t="s">
        <v>28753</v>
      </c>
      <c r="AZ3489" t="s">
        <v>6722</v>
      </c>
      <c r="BA3489">
        <v>1</v>
      </c>
      <c r="BB3489">
        <v>88.9</v>
      </c>
      <c r="BC3489">
        <v>0.37</v>
      </c>
      <c r="BD3489">
        <v>29.44</v>
      </c>
      <c r="BE3489">
        <v>29.74</v>
      </c>
      <c r="BF3489">
        <v>29.34</v>
      </c>
      <c r="BG3489" t="s">
        <v>29293</v>
      </c>
      <c r="BH3489" t="s">
        <v>28753</v>
      </c>
      <c r="BI3489" t="s">
        <v>29294</v>
      </c>
      <c r="BJ3489" t="s">
        <v>101</v>
      </c>
      <c r="BK3489" t="s">
        <v>3761</v>
      </c>
      <c r="BL3489" t="s">
        <v>914</v>
      </c>
      <c r="BM3489" t="s">
        <v>4665</v>
      </c>
      <c r="BN3489" t="s">
        <v>27621</v>
      </c>
    </row>
    <row r="3490" spans="1:66" x14ac:dyDescent="0.25">
      <c r="A3490" t="str">
        <f>HYPERLINK("https://elite.finviz.com/quote.ashx?t=SMID&amp;ty=c&amp;p=d&amp;b=1", "SMID")</f>
        <v>SMID</v>
      </c>
      <c r="B3490">
        <v>4</v>
      </c>
      <c r="C3490">
        <v>105.92</v>
      </c>
      <c r="D3490">
        <v>39.03</v>
      </c>
      <c r="E3490" t="s">
        <v>29295</v>
      </c>
      <c r="F3490" t="s">
        <v>67</v>
      </c>
      <c r="G3490" t="s">
        <v>355</v>
      </c>
      <c r="H3490" t="s">
        <v>7681</v>
      </c>
      <c r="I3490" t="s">
        <v>70</v>
      </c>
      <c r="J3490" t="s">
        <v>321</v>
      </c>
      <c r="K3490">
        <v>191.76</v>
      </c>
      <c r="L3490">
        <v>36.15</v>
      </c>
      <c r="M3490" t="s">
        <v>2560</v>
      </c>
      <c r="N3490">
        <v>2914</v>
      </c>
      <c r="O3490">
        <v>15.94</v>
      </c>
      <c r="R3490">
        <v>2.11</v>
      </c>
      <c r="S3490">
        <v>3.89</v>
      </c>
      <c r="V3490" t="s">
        <v>29296</v>
      </c>
      <c r="Z3490" t="s">
        <v>164</v>
      </c>
      <c r="AA3490">
        <v>2.27</v>
      </c>
      <c r="AB3490" t="s">
        <v>2757</v>
      </c>
      <c r="AC3490" t="s">
        <v>7196</v>
      </c>
      <c r="AE3490" t="s">
        <v>8653</v>
      </c>
      <c r="AF3490" t="s">
        <v>14195</v>
      </c>
      <c r="AG3490" t="s">
        <v>6587</v>
      </c>
      <c r="AH3490" t="s">
        <v>14472</v>
      </c>
      <c r="AJ3490" t="s">
        <v>6276</v>
      </c>
      <c r="AK3490" t="s">
        <v>29297</v>
      </c>
      <c r="AL3490">
        <v>2.88</v>
      </c>
      <c r="AM3490">
        <v>2.44</v>
      </c>
      <c r="AN3490">
        <v>0.1</v>
      </c>
      <c r="AO3490" t="s">
        <v>29298</v>
      </c>
      <c r="AP3490" t="s">
        <v>3272</v>
      </c>
      <c r="AQ3490" t="s">
        <v>5756</v>
      </c>
      <c r="AR3490" t="s">
        <v>11505</v>
      </c>
      <c r="AS3490" t="s">
        <v>4999</v>
      </c>
      <c r="AT3490" t="s">
        <v>7571</v>
      </c>
      <c r="AU3490" t="s">
        <v>6157</v>
      </c>
      <c r="AV3490" t="s">
        <v>406</v>
      </c>
      <c r="AW3490" t="s">
        <v>7444</v>
      </c>
      <c r="AX3490" t="s">
        <v>4378</v>
      </c>
      <c r="AY3490" t="s">
        <v>17278</v>
      </c>
      <c r="AZ3490" t="s">
        <v>14688</v>
      </c>
      <c r="BB3490">
        <v>13.91</v>
      </c>
      <c r="BC3490">
        <v>0.74</v>
      </c>
      <c r="BD3490">
        <v>36.090000000000003</v>
      </c>
      <c r="BE3490">
        <v>37.42</v>
      </c>
      <c r="BF3490">
        <v>35.4</v>
      </c>
      <c r="BG3490" t="s">
        <v>29299</v>
      </c>
      <c r="BH3490" t="s">
        <v>17278</v>
      </c>
      <c r="BI3490" t="s">
        <v>29300</v>
      </c>
      <c r="BJ3490" t="s">
        <v>101</v>
      </c>
      <c r="BK3490" t="s">
        <v>7854</v>
      </c>
      <c r="BL3490" t="s">
        <v>3456</v>
      </c>
      <c r="BM3490" t="s">
        <v>306</v>
      </c>
      <c r="BN3490" t="s">
        <v>27621</v>
      </c>
    </row>
    <row r="3491" spans="1:66" x14ac:dyDescent="0.25">
      <c r="A3491" t="str">
        <f>HYPERLINK("https://elite.finviz.com/quote.ashx?t=TTC&amp;ty=c&amp;p=d&amp;b=1", "TTC")</f>
        <v>TTC</v>
      </c>
      <c r="B3491">
        <v>4</v>
      </c>
      <c r="C3491">
        <v>105.92</v>
      </c>
      <c r="D3491">
        <v>39.03</v>
      </c>
      <c r="E3491" t="s">
        <v>29301</v>
      </c>
      <c r="F3491" t="s">
        <v>107</v>
      </c>
      <c r="G3491" t="s">
        <v>260</v>
      </c>
      <c r="H3491" t="s">
        <v>16076</v>
      </c>
      <c r="I3491" t="s">
        <v>70</v>
      </c>
      <c r="J3491" t="s">
        <v>71</v>
      </c>
      <c r="K3491">
        <v>7419.91</v>
      </c>
      <c r="L3491">
        <v>75.819999999999993</v>
      </c>
      <c r="M3491" t="s">
        <v>4794</v>
      </c>
      <c r="N3491">
        <v>52925</v>
      </c>
      <c r="O3491">
        <v>22.99</v>
      </c>
      <c r="P3491">
        <v>16.170000000000002</v>
      </c>
      <c r="Q3491">
        <v>3.15</v>
      </c>
      <c r="R3491">
        <v>1.64</v>
      </c>
      <c r="S3491">
        <v>5.26</v>
      </c>
      <c r="T3491" t="s">
        <v>1439</v>
      </c>
      <c r="U3491">
        <v>1.5</v>
      </c>
      <c r="V3491" t="s">
        <v>16780</v>
      </c>
      <c r="W3491" t="s">
        <v>4907</v>
      </c>
      <c r="X3491" t="s">
        <v>1935</v>
      </c>
      <c r="Z3491" t="s">
        <v>2442</v>
      </c>
      <c r="AA3491">
        <v>3.3</v>
      </c>
      <c r="AB3491" t="s">
        <v>6692</v>
      </c>
      <c r="AC3491" t="s">
        <v>22737</v>
      </c>
      <c r="AD3491" t="s">
        <v>5151</v>
      </c>
      <c r="AE3491" t="s">
        <v>3169</v>
      </c>
      <c r="AF3491" t="s">
        <v>2107</v>
      </c>
      <c r="AG3491" t="s">
        <v>20150</v>
      </c>
      <c r="AH3491" t="s">
        <v>5765</v>
      </c>
      <c r="AI3491" t="s">
        <v>617</v>
      </c>
      <c r="AJ3491" t="s">
        <v>8937</v>
      </c>
      <c r="AK3491" t="s">
        <v>16108</v>
      </c>
      <c r="AL3491">
        <v>1.88</v>
      </c>
      <c r="AM3491">
        <v>0.79</v>
      </c>
      <c r="AN3491">
        <v>0.81</v>
      </c>
      <c r="AO3491" t="s">
        <v>1610</v>
      </c>
      <c r="AP3491" t="s">
        <v>11641</v>
      </c>
      <c r="AQ3491" t="s">
        <v>5383</v>
      </c>
      <c r="AR3491" t="s">
        <v>3916</v>
      </c>
      <c r="AS3491" t="s">
        <v>2640</v>
      </c>
      <c r="AT3491" t="s">
        <v>15052</v>
      </c>
      <c r="AU3491" t="s">
        <v>7808</v>
      </c>
      <c r="AV3491" t="s">
        <v>2426</v>
      </c>
      <c r="AW3491" t="s">
        <v>10461</v>
      </c>
      <c r="AX3491" t="s">
        <v>2429</v>
      </c>
      <c r="AY3491" t="s">
        <v>7203</v>
      </c>
      <c r="AZ3491" t="s">
        <v>11368</v>
      </c>
      <c r="BA3491">
        <v>2</v>
      </c>
      <c r="BB3491">
        <v>747.16</v>
      </c>
      <c r="BC3491">
        <v>0.25</v>
      </c>
      <c r="BD3491">
        <v>75.680000000000007</v>
      </c>
      <c r="BE3491">
        <v>76.63</v>
      </c>
      <c r="BF3491">
        <v>75.569999999999993</v>
      </c>
      <c r="BG3491" t="s">
        <v>29302</v>
      </c>
      <c r="BH3491" t="s">
        <v>21004</v>
      </c>
      <c r="BI3491" t="s">
        <v>29303</v>
      </c>
      <c r="BJ3491" t="s">
        <v>101</v>
      </c>
      <c r="BK3491" t="s">
        <v>5122</v>
      </c>
      <c r="BL3491" t="s">
        <v>2509</v>
      </c>
      <c r="BM3491" t="s">
        <v>5596</v>
      </c>
      <c r="BN3491" t="s">
        <v>27621</v>
      </c>
    </row>
    <row r="3492" spans="1:66" x14ac:dyDescent="0.25">
      <c r="A3492" t="str">
        <f>HYPERLINK("https://elite.finviz.com/quote.ashx?t=WS&amp;ty=c&amp;p=d&amp;b=1", "WS")</f>
        <v>WS</v>
      </c>
      <c r="B3492">
        <v>4</v>
      </c>
      <c r="C3492">
        <v>105.92</v>
      </c>
      <c r="D3492">
        <v>39.03</v>
      </c>
      <c r="E3492" t="s">
        <v>29304</v>
      </c>
      <c r="F3492" t="s">
        <v>67</v>
      </c>
      <c r="G3492" t="s">
        <v>355</v>
      </c>
      <c r="H3492" t="s">
        <v>10220</v>
      </c>
      <c r="I3492" t="s">
        <v>70</v>
      </c>
      <c r="J3492" t="s">
        <v>71</v>
      </c>
      <c r="K3492">
        <v>1523.08</v>
      </c>
      <c r="L3492">
        <v>29.94</v>
      </c>
      <c r="M3492" t="s">
        <v>5780</v>
      </c>
      <c r="N3492">
        <v>74984</v>
      </c>
      <c r="O3492">
        <v>12.69</v>
      </c>
      <c r="P3492">
        <v>9.4700000000000006</v>
      </c>
      <c r="Q3492">
        <v>0.8</v>
      </c>
      <c r="R3492">
        <v>0.49</v>
      </c>
      <c r="S3492">
        <v>1.34</v>
      </c>
      <c r="T3492" t="s">
        <v>4891</v>
      </c>
      <c r="U3492">
        <v>0.64</v>
      </c>
      <c r="V3492" t="s">
        <v>10616</v>
      </c>
      <c r="W3492" t="s">
        <v>1647</v>
      </c>
      <c r="Z3492" t="s">
        <v>20141</v>
      </c>
      <c r="AA3492">
        <v>2.36</v>
      </c>
      <c r="AB3492" t="s">
        <v>6331</v>
      </c>
      <c r="AD3492" t="s">
        <v>6752</v>
      </c>
      <c r="AE3492" t="s">
        <v>2252</v>
      </c>
      <c r="AF3492" t="s">
        <v>7347</v>
      </c>
      <c r="AH3492" t="s">
        <v>3874</v>
      </c>
      <c r="AI3492" t="s">
        <v>3469</v>
      </c>
      <c r="AJ3492" t="s">
        <v>164</v>
      </c>
      <c r="AK3492" t="s">
        <v>29305</v>
      </c>
      <c r="AL3492">
        <v>1.66</v>
      </c>
      <c r="AM3492">
        <v>0.97</v>
      </c>
      <c r="AN3492">
        <v>0.3</v>
      </c>
      <c r="AO3492" t="s">
        <v>7883</v>
      </c>
      <c r="AP3492" t="s">
        <v>5611</v>
      </c>
      <c r="AQ3492" t="s">
        <v>1934</v>
      </c>
      <c r="AR3492" t="s">
        <v>2316</v>
      </c>
      <c r="AS3492" t="s">
        <v>3613</v>
      </c>
      <c r="AT3492" t="s">
        <v>5509</v>
      </c>
      <c r="AU3492" t="s">
        <v>5857</v>
      </c>
      <c r="AV3492" t="s">
        <v>206</v>
      </c>
      <c r="AW3492" t="s">
        <v>4214</v>
      </c>
      <c r="AX3492" t="s">
        <v>5122</v>
      </c>
      <c r="AY3492" t="s">
        <v>17408</v>
      </c>
      <c r="AZ3492" t="s">
        <v>17800</v>
      </c>
      <c r="BA3492">
        <v>2</v>
      </c>
      <c r="BB3492">
        <v>286.55</v>
      </c>
      <c r="BC3492">
        <v>0.92</v>
      </c>
      <c r="BD3492">
        <v>29.13</v>
      </c>
      <c r="BE3492">
        <v>29.83</v>
      </c>
      <c r="BF3492">
        <v>29.34</v>
      </c>
      <c r="BG3492" t="s">
        <v>29306</v>
      </c>
      <c r="BH3492" t="s">
        <v>17408</v>
      </c>
      <c r="BI3492" t="s">
        <v>29307</v>
      </c>
      <c r="BJ3492" t="s">
        <v>101</v>
      </c>
      <c r="BK3492" t="s">
        <v>4921</v>
      </c>
      <c r="BL3492" t="s">
        <v>2724</v>
      </c>
      <c r="BM3492" t="s">
        <v>9917</v>
      </c>
      <c r="BN3492" t="s">
        <v>27621</v>
      </c>
    </row>
    <row r="3493" spans="1:66" x14ac:dyDescent="0.25">
      <c r="A3493" t="str">
        <f>HYPERLINK("https://elite.finviz.com/quote.ashx?t=HTO&amp;ty=c&amp;p=d&amp;b=1", "HTO")</f>
        <v>HTO</v>
      </c>
      <c r="B3493">
        <v>4</v>
      </c>
      <c r="C3493">
        <v>105.92</v>
      </c>
      <c r="D3493">
        <v>39.07</v>
      </c>
      <c r="E3493" t="s">
        <v>29308</v>
      </c>
      <c r="F3493" t="s">
        <v>67</v>
      </c>
      <c r="G3493" t="s">
        <v>287</v>
      </c>
      <c r="H3493" t="s">
        <v>13133</v>
      </c>
      <c r="I3493" t="s">
        <v>70</v>
      </c>
      <c r="J3493" t="s">
        <v>321</v>
      </c>
      <c r="K3493">
        <v>1695.56</v>
      </c>
      <c r="L3493">
        <v>48.05</v>
      </c>
      <c r="M3493" t="s">
        <v>211</v>
      </c>
      <c r="N3493">
        <v>23230</v>
      </c>
      <c r="O3493">
        <v>15.74</v>
      </c>
      <c r="P3493">
        <v>15.59</v>
      </c>
      <c r="Q3493">
        <v>6.2</v>
      </c>
      <c r="R3493">
        <v>2.15</v>
      </c>
      <c r="S3493">
        <v>1.1599999999999999</v>
      </c>
      <c r="T3493" t="s">
        <v>4093</v>
      </c>
      <c r="U3493">
        <v>1.66</v>
      </c>
      <c r="V3493" t="s">
        <v>893</v>
      </c>
      <c r="W3493" t="s">
        <v>3981</v>
      </c>
      <c r="X3493" t="s">
        <v>4697</v>
      </c>
      <c r="Y3493" t="s">
        <v>351</v>
      </c>
      <c r="Z3493" t="s">
        <v>14924</v>
      </c>
      <c r="AA3493">
        <v>3.05</v>
      </c>
      <c r="AB3493" t="s">
        <v>709</v>
      </c>
      <c r="AC3493" t="s">
        <v>14969</v>
      </c>
      <c r="AD3493" t="s">
        <v>387</v>
      </c>
      <c r="AE3493" t="s">
        <v>7760</v>
      </c>
      <c r="AF3493" t="s">
        <v>5212</v>
      </c>
      <c r="AG3493" t="s">
        <v>2471</v>
      </c>
      <c r="AH3493" t="s">
        <v>3918</v>
      </c>
      <c r="AI3493" t="s">
        <v>6118</v>
      </c>
      <c r="AJ3493" t="s">
        <v>164</v>
      </c>
      <c r="AK3493" t="s">
        <v>16173</v>
      </c>
      <c r="AL3493">
        <v>0.64</v>
      </c>
      <c r="AM3493">
        <v>0.64</v>
      </c>
      <c r="AN3493">
        <v>1.28</v>
      </c>
      <c r="AO3493" t="s">
        <v>7073</v>
      </c>
      <c r="AP3493" t="s">
        <v>5041</v>
      </c>
      <c r="AQ3493" t="s">
        <v>6278</v>
      </c>
      <c r="AR3493" t="s">
        <v>2202</v>
      </c>
      <c r="AS3493" t="s">
        <v>910</v>
      </c>
      <c r="AT3493" t="s">
        <v>5444</v>
      </c>
      <c r="AU3493" t="s">
        <v>10774</v>
      </c>
      <c r="AV3493" t="s">
        <v>3085</v>
      </c>
      <c r="AW3493" t="s">
        <v>5480</v>
      </c>
      <c r="AX3493" t="s">
        <v>2610</v>
      </c>
      <c r="AY3493" t="s">
        <v>7274</v>
      </c>
      <c r="AZ3493" t="s">
        <v>1310</v>
      </c>
      <c r="BA3493">
        <v>1</v>
      </c>
      <c r="BB3493">
        <v>239.11</v>
      </c>
      <c r="BC3493">
        <v>0.35</v>
      </c>
      <c r="BD3493">
        <v>48</v>
      </c>
      <c r="BE3493">
        <v>48.63</v>
      </c>
      <c r="BF3493">
        <v>47.75</v>
      </c>
      <c r="BG3493" t="s">
        <v>29309</v>
      </c>
      <c r="BH3493" t="s">
        <v>29310</v>
      </c>
      <c r="BI3493" t="s">
        <v>29311</v>
      </c>
      <c r="BJ3493" t="s">
        <v>101</v>
      </c>
      <c r="BK3493" t="s">
        <v>184</v>
      </c>
      <c r="BL3493" t="s">
        <v>7996</v>
      </c>
      <c r="BM3493" t="s">
        <v>14415</v>
      </c>
      <c r="BN3493" t="s">
        <v>27621</v>
      </c>
    </row>
    <row r="3494" spans="1:66" x14ac:dyDescent="0.25">
      <c r="A3494" t="str">
        <f>HYPERLINK("https://elite.finviz.com/quote.ashx?t=DFH&amp;ty=c&amp;p=d&amp;b=1", "DFH")</f>
        <v>DFH</v>
      </c>
      <c r="B3494">
        <v>4</v>
      </c>
      <c r="C3494">
        <v>105.92</v>
      </c>
      <c r="D3494">
        <v>39.090000000000003</v>
      </c>
      <c r="E3494" t="s">
        <v>29312</v>
      </c>
      <c r="F3494" t="s">
        <v>67</v>
      </c>
      <c r="G3494" t="s">
        <v>813</v>
      </c>
      <c r="H3494" t="s">
        <v>5054</v>
      </c>
      <c r="I3494" t="s">
        <v>70</v>
      </c>
      <c r="J3494" t="s">
        <v>71</v>
      </c>
      <c r="K3494">
        <v>2417.3200000000002</v>
      </c>
      <c r="L3494">
        <v>26.03</v>
      </c>
      <c r="M3494" t="s">
        <v>3463</v>
      </c>
      <c r="N3494">
        <v>29539</v>
      </c>
      <c r="O3494">
        <v>8.82</v>
      </c>
      <c r="P3494">
        <v>10.74</v>
      </c>
      <c r="R3494">
        <v>0.51</v>
      </c>
      <c r="S3494">
        <v>1.82</v>
      </c>
      <c r="Z3494" t="s">
        <v>164</v>
      </c>
      <c r="AA3494">
        <v>2.95</v>
      </c>
      <c r="AB3494" t="s">
        <v>271</v>
      </c>
      <c r="AC3494" t="s">
        <v>29313</v>
      </c>
      <c r="AD3494" t="s">
        <v>3051</v>
      </c>
      <c r="AE3494" t="s">
        <v>9140</v>
      </c>
      <c r="AF3494" t="s">
        <v>9303</v>
      </c>
      <c r="AG3494" t="s">
        <v>10664</v>
      </c>
      <c r="AH3494" t="s">
        <v>7567</v>
      </c>
      <c r="AI3494" t="s">
        <v>6660</v>
      </c>
      <c r="AJ3494" t="s">
        <v>4086</v>
      </c>
      <c r="AK3494" t="s">
        <v>11934</v>
      </c>
      <c r="AL3494">
        <v>4.2300000000000004</v>
      </c>
      <c r="AM3494">
        <v>0.56000000000000005</v>
      </c>
      <c r="AN3494">
        <v>1.07</v>
      </c>
      <c r="AO3494" t="s">
        <v>9488</v>
      </c>
      <c r="AP3494" t="s">
        <v>6456</v>
      </c>
      <c r="AQ3494" t="s">
        <v>6684</v>
      </c>
      <c r="AR3494" t="s">
        <v>7117</v>
      </c>
      <c r="AS3494" t="s">
        <v>5497</v>
      </c>
      <c r="AT3494" t="s">
        <v>5722</v>
      </c>
      <c r="AU3494" t="s">
        <v>2677</v>
      </c>
      <c r="AV3494" t="s">
        <v>2932</v>
      </c>
      <c r="AW3494" t="s">
        <v>6924</v>
      </c>
      <c r="AX3494" t="s">
        <v>2967</v>
      </c>
      <c r="AY3494" t="s">
        <v>15919</v>
      </c>
      <c r="AZ3494" t="s">
        <v>14389</v>
      </c>
      <c r="BA3494">
        <v>3</v>
      </c>
      <c r="BB3494">
        <v>390.19</v>
      </c>
      <c r="BC3494">
        <v>0.27</v>
      </c>
      <c r="BD3494">
        <v>25.86</v>
      </c>
      <c r="BE3494">
        <v>26.18</v>
      </c>
      <c r="BF3494">
        <v>25.91</v>
      </c>
      <c r="BG3494" t="s">
        <v>29314</v>
      </c>
      <c r="BH3494" t="s">
        <v>9538</v>
      </c>
      <c r="BI3494" t="s">
        <v>29315</v>
      </c>
      <c r="BJ3494" t="s">
        <v>101</v>
      </c>
      <c r="BK3494" t="s">
        <v>4892</v>
      </c>
      <c r="BL3494" t="s">
        <v>3962</v>
      </c>
      <c r="BM3494" t="s">
        <v>11399</v>
      </c>
      <c r="BN3494" t="s">
        <v>27621</v>
      </c>
    </row>
    <row r="3495" spans="1:66" x14ac:dyDescent="0.25">
      <c r="A3495" t="str">
        <f>HYPERLINK("https://elite.finviz.com/quote.ashx?t=OTF&amp;ty=c&amp;p=d&amp;b=1", "OTF")</f>
        <v>OTF</v>
      </c>
      <c r="B3495">
        <v>4</v>
      </c>
      <c r="C3495">
        <v>105.92</v>
      </c>
      <c r="D3495">
        <v>39.090000000000003</v>
      </c>
      <c r="E3495" t="s">
        <v>29316</v>
      </c>
      <c r="F3495" t="s">
        <v>107</v>
      </c>
      <c r="G3495" t="s">
        <v>550</v>
      </c>
      <c r="H3495" t="s">
        <v>2597</v>
      </c>
      <c r="I3495" t="s">
        <v>70</v>
      </c>
      <c r="J3495" t="s">
        <v>71</v>
      </c>
      <c r="K3495">
        <v>6647.57</v>
      </c>
      <c r="L3495">
        <v>14.23</v>
      </c>
      <c r="M3495" t="s">
        <v>580</v>
      </c>
      <c r="N3495">
        <v>84632</v>
      </c>
      <c r="O3495">
        <v>7.86</v>
      </c>
      <c r="R3495">
        <v>8.89</v>
      </c>
      <c r="S3495">
        <v>0.83</v>
      </c>
      <c r="T3495" t="s">
        <v>5121</v>
      </c>
      <c r="U3495">
        <v>0.35</v>
      </c>
      <c r="V3495" t="s">
        <v>198</v>
      </c>
      <c r="AA3495">
        <v>1.81</v>
      </c>
      <c r="AB3495" t="s">
        <v>10281</v>
      </c>
      <c r="AC3495" t="s">
        <v>920</v>
      </c>
      <c r="AE3495" t="s">
        <v>4913</v>
      </c>
      <c r="AF3495" t="s">
        <v>3147</v>
      </c>
      <c r="AG3495" t="s">
        <v>17944</v>
      </c>
      <c r="AH3495" t="s">
        <v>29317</v>
      </c>
      <c r="AI3495" t="s">
        <v>7338</v>
      </c>
      <c r="AJ3495" t="s">
        <v>164</v>
      </c>
      <c r="AK3495" t="s">
        <v>5111</v>
      </c>
      <c r="AL3495">
        <v>0.85</v>
      </c>
      <c r="AM3495">
        <v>0.85</v>
      </c>
      <c r="AN3495">
        <v>0.6</v>
      </c>
      <c r="AO3495" t="s">
        <v>29318</v>
      </c>
      <c r="AP3495" t="s">
        <v>29319</v>
      </c>
      <c r="AQ3495" t="s">
        <v>16661</v>
      </c>
      <c r="AR3495" t="s">
        <v>3500</v>
      </c>
      <c r="AS3495" t="s">
        <v>2643</v>
      </c>
      <c r="AT3495" t="s">
        <v>10262</v>
      </c>
      <c r="AU3495" t="s">
        <v>4432</v>
      </c>
      <c r="AV3495" t="s">
        <v>8670</v>
      </c>
      <c r="AW3495" t="s">
        <v>3338</v>
      </c>
      <c r="AX3495" t="s">
        <v>1279</v>
      </c>
      <c r="AY3495" t="s">
        <v>25244</v>
      </c>
      <c r="AZ3495" t="s">
        <v>1279</v>
      </c>
      <c r="BA3495">
        <v>2.4300000000000002</v>
      </c>
      <c r="BB3495">
        <v>322.83</v>
      </c>
      <c r="BC3495">
        <v>0.93</v>
      </c>
      <c r="BD3495">
        <v>14.22</v>
      </c>
      <c r="BE3495">
        <v>14.35</v>
      </c>
      <c r="BF3495">
        <v>14.22</v>
      </c>
      <c r="BG3495" t="s">
        <v>29320</v>
      </c>
      <c r="BH3495" t="s">
        <v>25244</v>
      </c>
      <c r="BI3495" t="s">
        <v>1279</v>
      </c>
      <c r="BJ3495" t="s">
        <v>101</v>
      </c>
      <c r="BK3495" t="s">
        <v>7230</v>
      </c>
      <c r="BN3495" t="s">
        <v>27621</v>
      </c>
    </row>
    <row r="3496" spans="1:66" x14ac:dyDescent="0.25">
      <c r="A3496" t="str">
        <f>HYPERLINK("https://elite.finviz.com/quote.ashx?t=SUNE&amp;ty=c&amp;p=d&amp;b=1", "SUNE")</f>
        <v>SUNE</v>
      </c>
      <c r="B3496">
        <v>4</v>
      </c>
      <c r="C3496">
        <v>105.92</v>
      </c>
      <c r="D3496">
        <v>39.11</v>
      </c>
      <c r="E3496" t="s">
        <v>29321</v>
      </c>
      <c r="F3496" t="s">
        <v>107</v>
      </c>
      <c r="G3496" t="s">
        <v>108</v>
      </c>
      <c r="H3496" t="s">
        <v>2924</v>
      </c>
      <c r="I3496" t="s">
        <v>70</v>
      </c>
      <c r="J3496" t="s">
        <v>321</v>
      </c>
      <c r="K3496">
        <v>4.72</v>
      </c>
      <c r="L3496">
        <v>1.39</v>
      </c>
      <c r="M3496" t="s">
        <v>5000</v>
      </c>
      <c r="N3496">
        <v>15221</v>
      </c>
      <c r="R3496">
        <v>0.08</v>
      </c>
      <c r="S3496">
        <v>0.21</v>
      </c>
      <c r="AA3496">
        <v>-3193.57</v>
      </c>
      <c r="AE3496" t="s">
        <v>18777</v>
      </c>
      <c r="AF3496" t="s">
        <v>9584</v>
      </c>
      <c r="AG3496" t="s">
        <v>3842</v>
      </c>
      <c r="AH3496" t="s">
        <v>4927</v>
      </c>
      <c r="AI3496" t="s">
        <v>6395</v>
      </c>
      <c r="AJ3496" t="s">
        <v>164</v>
      </c>
      <c r="AK3496" t="s">
        <v>3818</v>
      </c>
      <c r="AL3496">
        <v>0.86</v>
      </c>
      <c r="AM3496">
        <v>0.67</v>
      </c>
      <c r="AN3496">
        <v>0.48</v>
      </c>
      <c r="AO3496" t="s">
        <v>10699</v>
      </c>
      <c r="AP3496" t="s">
        <v>15888</v>
      </c>
      <c r="AQ3496" t="s">
        <v>29322</v>
      </c>
      <c r="AR3496" t="s">
        <v>756</v>
      </c>
      <c r="AS3496" t="s">
        <v>4142</v>
      </c>
      <c r="AT3496" t="s">
        <v>9600</v>
      </c>
      <c r="AU3496" t="s">
        <v>14481</v>
      </c>
      <c r="AV3496" t="s">
        <v>21771</v>
      </c>
      <c r="AW3496" t="s">
        <v>23031</v>
      </c>
      <c r="AX3496" t="s">
        <v>2941</v>
      </c>
      <c r="AY3496" t="s">
        <v>446</v>
      </c>
      <c r="AZ3496" t="s">
        <v>2941</v>
      </c>
      <c r="BA3496">
        <v>3</v>
      </c>
      <c r="BB3496">
        <v>111.02</v>
      </c>
      <c r="BC3496">
        <v>0.49</v>
      </c>
      <c r="BD3496">
        <v>1.41</v>
      </c>
      <c r="BE3496">
        <v>1.4</v>
      </c>
      <c r="BF3496">
        <v>1.38</v>
      </c>
      <c r="BG3496" t="s">
        <v>29323</v>
      </c>
      <c r="BH3496" t="s">
        <v>579</v>
      </c>
      <c r="BI3496" t="s">
        <v>2941</v>
      </c>
      <c r="BJ3496" t="s">
        <v>101</v>
      </c>
      <c r="BK3496" t="s">
        <v>9095</v>
      </c>
      <c r="BL3496" t="s">
        <v>23013</v>
      </c>
      <c r="BM3496" t="s">
        <v>400</v>
      </c>
      <c r="BN3496" t="s">
        <v>27621</v>
      </c>
    </row>
    <row r="3497" spans="1:66" x14ac:dyDescent="0.25">
      <c r="A3497" t="str">
        <f>HYPERLINK("https://elite.finviz.com/quote.ashx?t=OBIO&amp;ty=c&amp;p=d&amp;b=1", "OBIO")</f>
        <v>OBIO</v>
      </c>
      <c r="B3497">
        <v>4</v>
      </c>
      <c r="C3497">
        <v>105.92</v>
      </c>
      <c r="D3497">
        <v>39.11</v>
      </c>
      <c r="E3497" t="s">
        <v>29324</v>
      </c>
      <c r="F3497" t="s">
        <v>107</v>
      </c>
      <c r="G3497" t="s">
        <v>428</v>
      </c>
      <c r="H3497" t="s">
        <v>429</v>
      </c>
      <c r="I3497" t="s">
        <v>70</v>
      </c>
      <c r="J3497" t="s">
        <v>321</v>
      </c>
      <c r="K3497">
        <v>129.65</v>
      </c>
      <c r="L3497">
        <v>2.4</v>
      </c>
      <c r="M3497" t="s">
        <v>3940</v>
      </c>
      <c r="N3497">
        <v>19346</v>
      </c>
      <c r="R3497">
        <v>44.1</v>
      </c>
      <c r="S3497">
        <v>314.94</v>
      </c>
      <c r="AA3497">
        <v>-1.83</v>
      </c>
      <c r="AB3497" t="s">
        <v>29325</v>
      </c>
      <c r="AC3497" t="s">
        <v>29326</v>
      </c>
      <c r="AD3497" t="s">
        <v>11867</v>
      </c>
      <c r="AE3497" t="s">
        <v>9343</v>
      </c>
      <c r="AH3497" t="s">
        <v>7236</v>
      </c>
      <c r="AI3497" t="s">
        <v>629</v>
      </c>
      <c r="AJ3497" t="s">
        <v>262</v>
      </c>
      <c r="AK3497" t="s">
        <v>29327</v>
      </c>
      <c r="AL3497">
        <v>2.1</v>
      </c>
      <c r="AM3497">
        <v>2.09</v>
      </c>
      <c r="AN3497">
        <v>56.38</v>
      </c>
      <c r="AO3497" t="s">
        <v>19573</v>
      </c>
      <c r="AP3497" t="s">
        <v>29328</v>
      </c>
      <c r="AQ3497" t="s">
        <v>29329</v>
      </c>
      <c r="AR3497" t="s">
        <v>4686</v>
      </c>
      <c r="AS3497" t="s">
        <v>3303</v>
      </c>
      <c r="AT3497" t="s">
        <v>134</v>
      </c>
      <c r="AU3497" t="s">
        <v>508</v>
      </c>
      <c r="AV3497" t="s">
        <v>17373</v>
      </c>
      <c r="AW3497" t="s">
        <v>1181</v>
      </c>
      <c r="AX3497" t="s">
        <v>2237</v>
      </c>
      <c r="AY3497" t="s">
        <v>20983</v>
      </c>
      <c r="AZ3497" t="s">
        <v>2237</v>
      </c>
      <c r="BA3497">
        <v>1.5</v>
      </c>
      <c r="BB3497">
        <v>332.22</v>
      </c>
      <c r="BC3497">
        <v>0.21</v>
      </c>
      <c r="BD3497">
        <v>2.4300000000000002</v>
      </c>
      <c r="BE3497">
        <v>2.44</v>
      </c>
      <c r="BF3497">
        <v>2.38</v>
      </c>
      <c r="BG3497" t="s">
        <v>29330</v>
      </c>
      <c r="BH3497" t="s">
        <v>29331</v>
      </c>
      <c r="BI3497" t="s">
        <v>2237</v>
      </c>
      <c r="BJ3497" t="s">
        <v>101</v>
      </c>
      <c r="BK3497" t="s">
        <v>23961</v>
      </c>
      <c r="BL3497" t="s">
        <v>29332</v>
      </c>
      <c r="BM3497" t="s">
        <v>8362</v>
      </c>
      <c r="BN3497" t="s">
        <v>27621</v>
      </c>
    </row>
    <row r="3498" spans="1:66" x14ac:dyDescent="0.25">
      <c r="A3498" t="str">
        <f>HYPERLINK("https://elite.finviz.com/quote.ashx?t=JANX&amp;ty=c&amp;p=d&amp;b=1", "JANX")</f>
        <v>JANX</v>
      </c>
      <c r="B3498">
        <v>4</v>
      </c>
      <c r="C3498">
        <v>105.92</v>
      </c>
      <c r="D3498">
        <v>39.130000000000003</v>
      </c>
      <c r="E3498" t="s">
        <v>29333</v>
      </c>
      <c r="F3498" t="s">
        <v>67</v>
      </c>
      <c r="G3498" t="s">
        <v>428</v>
      </c>
      <c r="H3498" t="s">
        <v>429</v>
      </c>
      <c r="I3498" t="s">
        <v>70</v>
      </c>
      <c r="J3498" t="s">
        <v>321</v>
      </c>
      <c r="K3498">
        <v>1322.97</v>
      </c>
      <c r="L3498">
        <v>22.02</v>
      </c>
      <c r="M3498" t="s">
        <v>273</v>
      </c>
      <c r="N3498">
        <v>93480</v>
      </c>
      <c r="R3498">
        <v>3006.76</v>
      </c>
      <c r="S3498">
        <v>1.32</v>
      </c>
      <c r="AA3498">
        <v>-1.8</v>
      </c>
      <c r="AB3498" t="s">
        <v>20279</v>
      </c>
      <c r="AC3498" t="s">
        <v>28583</v>
      </c>
      <c r="AE3498" t="s">
        <v>17919</v>
      </c>
      <c r="AF3498" t="s">
        <v>1985</v>
      </c>
      <c r="AH3498" t="s">
        <v>579</v>
      </c>
      <c r="AI3498" t="s">
        <v>11238</v>
      </c>
      <c r="AJ3498" t="s">
        <v>4699</v>
      </c>
      <c r="AK3498" t="s">
        <v>29334</v>
      </c>
      <c r="AL3498">
        <v>47.03</v>
      </c>
      <c r="AM3498">
        <v>47.03</v>
      </c>
      <c r="AN3498">
        <v>0.02</v>
      </c>
      <c r="AO3498" t="s">
        <v>29335</v>
      </c>
      <c r="AP3498" t="s">
        <v>29336</v>
      </c>
      <c r="AQ3498" t="s">
        <v>29337</v>
      </c>
      <c r="AR3498" t="s">
        <v>4659</v>
      </c>
      <c r="AS3498" t="s">
        <v>161</v>
      </c>
      <c r="AT3498" t="s">
        <v>7300</v>
      </c>
      <c r="AU3498" t="s">
        <v>2236</v>
      </c>
      <c r="AV3498" t="s">
        <v>9323</v>
      </c>
      <c r="AW3498" t="s">
        <v>4456</v>
      </c>
      <c r="AX3498" t="s">
        <v>1559</v>
      </c>
      <c r="AY3498" t="s">
        <v>28158</v>
      </c>
      <c r="AZ3498" t="s">
        <v>1559</v>
      </c>
      <c r="BA3498">
        <v>1.1100000000000001</v>
      </c>
      <c r="BB3498">
        <v>794.13</v>
      </c>
      <c r="BC3498">
        <v>0.41</v>
      </c>
      <c r="BD3498">
        <v>21.77</v>
      </c>
      <c r="BE3498">
        <v>22.26</v>
      </c>
      <c r="BF3498">
        <v>21.83</v>
      </c>
      <c r="BG3498" t="s">
        <v>29338</v>
      </c>
      <c r="BH3498" t="s">
        <v>28158</v>
      </c>
      <c r="BI3498" t="s">
        <v>29339</v>
      </c>
      <c r="BJ3498" t="s">
        <v>101</v>
      </c>
      <c r="BK3498" t="s">
        <v>309</v>
      </c>
      <c r="BL3498" t="s">
        <v>6177</v>
      </c>
      <c r="BM3498" t="s">
        <v>15829</v>
      </c>
      <c r="BN3498" t="s">
        <v>27621</v>
      </c>
    </row>
    <row r="3499" spans="1:66" x14ac:dyDescent="0.25">
      <c r="A3499" t="str">
        <f>HYPERLINK("https://elite.finviz.com/quote.ashx?t=PNBK&amp;ty=c&amp;p=d&amp;b=1", "PNBK")</f>
        <v>PNBK</v>
      </c>
      <c r="B3499">
        <v>4</v>
      </c>
      <c r="C3499">
        <v>105.92</v>
      </c>
      <c r="D3499">
        <v>39.14</v>
      </c>
      <c r="E3499" t="s">
        <v>29340</v>
      </c>
      <c r="F3499" t="s">
        <v>67</v>
      </c>
      <c r="G3499" t="s">
        <v>550</v>
      </c>
      <c r="H3499" t="s">
        <v>697</v>
      </c>
      <c r="I3499" t="s">
        <v>70</v>
      </c>
      <c r="J3499" t="s">
        <v>321</v>
      </c>
      <c r="K3499">
        <v>154.09</v>
      </c>
      <c r="L3499">
        <v>1.34</v>
      </c>
      <c r="M3499" t="s">
        <v>3349</v>
      </c>
      <c r="N3499">
        <v>44822</v>
      </c>
      <c r="R3499">
        <v>2.66</v>
      </c>
      <c r="S3499">
        <v>1.88</v>
      </c>
      <c r="V3499" t="s">
        <v>29341</v>
      </c>
      <c r="AA3499">
        <v>-9.44</v>
      </c>
      <c r="AC3499" t="s">
        <v>29342</v>
      </c>
      <c r="AE3499" t="s">
        <v>7200</v>
      </c>
      <c r="AF3499" t="s">
        <v>9344</v>
      </c>
      <c r="AG3499" t="s">
        <v>204</v>
      </c>
      <c r="AH3499" t="s">
        <v>10146</v>
      </c>
      <c r="AJ3499" t="s">
        <v>5011</v>
      </c>
      <c r="AK3499" t="s">
        <v>8533</v>
      </c>
      <c r="AL3499">
        <v>0.7</v>
      </c>
      <c r="AN3499">
        <v>0.34</v>
      </c>
      <c r="AP3499" t="s">
        <v>13673</v>
      </c>
      <c r="AQ3499" t="s">
        <v>27824</v>
      </c>
      <c r="AR3499" t="s">
        <v>2448</v>
      </c>
      <c r="AS3499" t="s">
        <v>2448</v>
      </c>
      <c r="AT3499" t="s">
        <v>8506</v>
      </c>
      <c r="AU3499" t="s">
        <v>12939</v>
      </c>
      <c r="AV3499" t="s">
        <v>20547</v>
      </c>
      <c r="AW3499" t="s">
        <v>25727</v>
      </c>
      <c r="AX3499" t="s">
        <v>5188</v>
      </c>
      <c r="AY3499" t="s">
        <v>12150</v>
      </c>
      <c r="AZ3499" t="s">
        <v>8766</v>
      </c>
      <c r="BA3499">
        <v>3</v>
      </c>
      <c r="BB3499">
        <v>475.28</v>
      </c>
      <c r="BC3499">
        <v>0.33</v>
      </c>
      <c r="BD3499">
        <v>1.32</v>
      </c>
      <c r="BE3499">
        <v>1.35</v>
      </c>
      <c r="BF3499">
        <v>1.34</v>
      </c>
      <c r="BG3499" t="s">
        <v>29343</v>
      </c>
      <c r="BH3499" t="s">
        <v>2691</v>
      </c>
      <c r="BI3499" t="s">
        <v>8766</v>
      </c>
      <c r="BJ3499" t="s">
        <v>101</v>
      </c>
      <c r="BK3499" t="s">
        <v>8763</v>
      </c>
      <c r="BL3499" t="s">
        <v>6572</v>
      </c>
      <c r="BM3499" t="s">
        <v>14657</v>
      </c>
      <c r="BN3499" t="s">
        <v>27621</v>
      </c>
    </row>
    <row r="3500" spans="1:66" x14ac:dyDescent="0.25">
      <c r="A3500" t="str">
        <f>HYPERLINK("https://elite.finviz.com/quote.ashx?t=TECX&amp;ty=c&amp;p=d&amp;b=1", "TECX")</f>
        <v>TECX</v>
      </c>
      <c r="B3500">
        <v>4</v>
      </c>
      <c r="C3500">
        <v>105.92</v>
      </c>
      <c r="D3500">
        <v>39.159999999999997</v>
      </c>
      <c r="E3500" t="s">
        <v>29344</v>
      </c>
      <c r="F3500" t="s">
        <v>67</v>
      </c>
      <c r="G3500" t="s">
        <v>428</v>
      </c>
      <c r="H3500" t="s">
        <v>429</v>
      </c>
      <c r="I3500" t="s">
        <v>70</v>
      </c>
      <c r="J3500" t="s">
        <v>321</v>
      </c>
      <c r="K3500">
        <v>291.5</v>
      </c>
      <c r="L3500">
        <v>15.58</v>
      </c>
      <c r="M3500" t="s">
        <v>4254</v>
      </c>
      <c r="N3500">
        <v>136921</v>
      </c>
      <c r="S3500">
        <v>1.03</v>
      </c>
      <c r="AA3500">
        <v>-4.04</v>
      </c>
      <c r="AB3500" t="s">
        <v>5105</v>
      </c>
      <c r="AC3500" t="s">
        <v>5346</v>
      </c>
      <c r="AD3500" t="s">
        <v>7541</v>
      </c>
      <c r="AI3500" t="s">
        <v>11013</v>
      </c>
      <c r="AJ3500" t="s">
        <v>1952</v>
      </c>
      <c r="AK3500" t="s">
        <v>7466</v>
      </c>
      <c r="AL3500">
        <v>25.6</v>
      </c>
      <c r="AM3500">
        <v>25.6</v>
      </c>
      <c r="AN3500">
        <v>0.01</v>
      </c>
      <c r="AR3500" t="s">
        <v>2386</v>
      </c>
      <c r="AS3500" t="s">
        <v>1927</v>
      </c>
      <c r="AT3500" t="s">
        <v>4622</v>
      </c>
      <c r="AU3500" t="s">
        <v>6658</v>
      </c>
      <c r="AV3500" t="s">
        <v>23738</v>
      </c>
      <c r="AW3500" t="s">
        <v>29345</v>
      </c>
      <c r="AX3500" t="s">
        <v>4128</v>
      </c>
      <c r="AY3500" t="s">
        <v>29346</v>
      </c>
      <c r="AZ3500" t="s">
        <v>4621</v>
      </c>
      <c r="BA3500">
        <v>1.1100000000000001</v>
      </c>
      <c r="BB3500">
        <v>362.01</v>
      </c>
      <c r="BC3500">
        <v>1.33</v>
      </c>
      <c r="BD3500">
        <v>14.71</v>
      </c>
      <c r="BE3500">
        <v>15.68</v>
      </c>
      <c r="BF3500">
        <v>14.73</v>
      </c>
      <c r="BG3500" t="s">
        <v>29347</v>
      </c>
      <c r="BH3500" t="s">
        <v>17304</v>
      </c>
      <c r="BI3500" t="s">
        <v>29348</v>
      </c>
      <c r="BJ3500" t="s">
        <v>101</v>
      </c>
      <c r="BK3500" t="s">
        <v>24272</v>
      </c>
      <c r="BL3500" t="s">
        <v>349</v>
      </c>
      <c r="BM3500" t="s">
        <v>29349</v>
      </c>
      <c r="BN3500" t="s">
        <v>27621</v>
      </c>
    </row>
    <row r="3501" spans="1:66" x14ac:dyDescent="0.25">
      <c r="A3501" t="str">
        <f>HYPERLINK("https://elite.finviz.com/quote.ashx?t=OSBC&amp;ty=c&amp;p=d&amp;b=1", "OSBC")</f>
        <v>OSBC</v>
      </c>
      <c r="B3501">
        <v>4</v>
      </c>
      <c r="C3501">
        <v>105.92</v>
      </c>
      <c r="D3501">
        <v>39.18</v>
      </c>
      <c r="E3501" t="s">
        <v>29350</v>
      </c>
      <c r="F3501" t="s">
        <v>67</v>
      </c>
      <c r="G3501" t="s">
        <v>550</v>
      </c>
      <c r="H3501" t="s">
        <v>697</v>
      </c>
      <c r="I3501" t="s">
        <v>70</v>
      </c>
      <c r="J3501" t="s">
        <v>321</v>
      </c>
      <c r="K3501">
        <v>918.57</v>
      </c>
      <c r="L3501">
        <v>17.45</v>
      </c>
      <c r="M3501" t="s">
        <v>1445</v>
      </c>
      <c r="N3501">
        <v>35639</v>
      </c>
      <c r="O3501">
        <v>9.5299999999999994</v>
      </c>
      <c r="P3501">
        <v>8.4499999999999993</v>
      </c>
      <c r="R3501">
        <v>2.69</v>
      </c>
      <c r="S3501">
        <v>1.0900000000000001</v>
      </c>
      <c r="T3501" t="s">
        <v>3551</v>
      </c>
      <c r="U3501">
        <v>0.24</v>
      </c>
      <c r="V3501" t="s">
        <v>12255</v>
      </c>
      <c r="W3501" t="s">
        <v>3450</v>
      </c>
      <c r="X3501" t="s">
        <v>7945</v>
      </c>
      <c r="Y3501" t="s">
        <v>7306</v>
      </c>
      <c r="Z3501" t="s">
        <v>3920</v>
      </c>
      <c r="AA3501">
        <v>1.83</v>
      </c>
      <c r="AB3501" t="s">
        <v>16055</v>
      </c>
      <c r="AC3501" t="s">
        <v>2521</v>
      </c>
      <c r="AE3501" t="s">
        <v>6692</v>
      </c>
      <c r="AF3501" t="s">
        <v>7465</v>
      </c>
      <c r="AG3501" t="s">
        <v>535</v>
      </c>
      <c r="AH3501" t="s">
        <v>2609</v>
      </c>
      <c r="AI3501" t="s">
        <v>5084</v>
      </c>
      <c r="AJ3501" t="s">
        <v>164</v>
      </c>
      <c r="AK3501" t="s">
        <v>29351</v>
      </c>
      <c r="AL3501">
        <v>0.05</v>
      </c>
      <c r="AN3501">
        <v>0.18</v>
      </c>
      <c r="AP3501" t="s">
        <v>13458</v>
      </c>
      <c r="AQ3501" t="s">
        <v>15950</v>
      </c>
      <c r="AR3501" t="s">
        <v>1129</v>
      </c>
      <c r="AS3501" t="s">
        <v>2087</v>
      </c>
      <c r="AT3501" t="s">
        <v>3005</v>
      </c>
      <c r="AU3501" t="s">
        <v>10568</v>
      </c>
      <c r="AV3501" t="s">
        <v>171</v>
      </c>
      <c r="AW3501" t="s">
        <v>2467</v>
      </c>
      <c r="AX3501" t="s">
        <v>7767</v>
      </c>
      <c r="AY3501" t="s">
        <v>601</v>
      </c>
      <c r="AZ3501" t="s">
        <v>16116</v>
      </c>
      <c r="BA3501">
        <v>1.33</v>
      </c>
      <c r="BB3501">
        <v>251.36</v>
      </c>
      <c r="BC3501">
        <v>0.5</v>
      </c>
      <c r="BD3501">
        <v>17.510000000000002</v>
      </c>
      <c r="BE3501">
        <v>17.68</v>
      </c>
      <c r="BF3501">
        <v>17.43</v>
      </c>
      <c r="BG3501" t="s">
        <v>29352</v>
      </c>
      <c r="BH3501" t="s">
        <v>29353</v>
      </c>
      <c r="BI3501" t="s">
        <v>29354</v>
      </c>
      <c r="BJ3501" t="s">
        <v>101</v>
      </c>
      <c r="BK3501" t="s">
        <v>3937</v>
      </c>
      <c r="BL3501" t="s">
        <v>1768</v>
      </c>
      <c r="BM3501" t="s">
        <v>297</v>
      </c>
      <c r="BN3501" t="s">
        <v>27621</v>
      </c>
    </row>
    <row r="3502" spans="1:66" x14ac:dyDescent="0.25">
      <c r="A3502" t="str">
        <f>HYPERLINK("https://elite.finviz.com/quote.ashx?t=TFX&amp;ty=c&amp;p=d&amp;b=1", "TFX")</f>
        <v>TFX</v>
      </c>
      <c r="B3502">
        <v>4</v>
      </c>
      <c r="C3502">
        <v>105.92</v>
      </c>
      <c r="D3502">
        <v>39.18</v>
      </c>
      <c r="E3502" t="s">
        <v>29355</v>
      </c>
      <c r="F3502" t="s">
        <v>107</v>
      </c>
      <c r="G3502" t="s">
        <v>428</v>
      </c>
      <c r="H3502" t="s">
        <v>2161</v>
      </c>
      <c r="I3502" t="s">
        <v>70</v>
      </c>
      <c r="J3502" t="s">
        <v>71</v>
      </c>
      <c r="K3502">
        <v>5258.95</v>
      </c>
      <c r="L3502">
        <v>119</v>
      </c>
      <c r="M3502" t="s">
        <v>6493</v>
      </c>
      <c r="N3502">
        <v>106243</v>
      </c>
      <c r="O3502">
        <v>28.01</v>
      </c>
      <c r="P3502">
        <v>7.85</v>
      </c>
      <c r="Q3502">
        <v>4.76</v>
      </c>
      <c r="R3502">
        <v>1.73</v>
      </c>
      <c r="S3502">
        <v>1.24</v>
      </c>
      <c r="T3502" t="s">
        <v>273</v>
      </c>
      <c r="U3502">
        <v>1.36</v>
      </c>
      <c r="V3502" t="s">
        <v>3046</v>
      </c>
      <c r="W3502" t="s">
        <v>164</v>
      </c>
      <c r="X3502" t="s">
        <v>164</v>
      </c>
      <c r="Y3502" t="s">
        <v>164</v>
      </c>
      <c r="Z3502" t="s">
        <v>14416</v>
      </c>
      <c r="AA3502">
        <v>4.25</v>
      </c>
      <c r="AB3502" t="s">
        <v>18827</v>
      </c>
      <c r="AC3502" t="s">
        <v>29356</v>
      </c>
      <c r="AD3502" t="s">
        <v>4907</v>
      </c>
      <c r="AE3502" t="s">
        <v>3018</v>
      </c>
      <c r="AF3502" t="s">
        <v>4658</v>
      </c>
      <c r="AG3502" t="s">
        <v>4499</v>
      </c>
      <c r="AH3502" t="s">
        <v>4690</v>
      </c>
      <c r="AI3502" t="s">
        <v>9108</v>
      </c>
      <c r="AJ3502" t="s">
        <v>2219</v>
      </c>
      <c r="AK3502" t="s">
        <v>29357</v>
      </c>
      <c r="AL3502">
        <v>2.41</v>
      </c>
      <c r="AM3502">
        <v>1.44</v>
      </c>
      <c r="AN3502">
        <v>0.47</v>
      </c>
      <c r="AO3502" t="s">
        <v>9367</v>
      </c>
      <c r="AP3502" t="s">
        <v>2381</v>
      </c>
      <c r="AQ3502" t="s">
        <v>3148</v>
      </c>
      <c r="AR3502" t="s">
        <v>1391</v>
      </c>
      <c r="AS3502" t="s">
        <v>2742</v>
      </c>
      <c r="AT3502" t="s">
        <v>8889</v>
      </c>
      <c r="AU3502" t="s">
        <v>2978</v>
      </c>
      <c r="AV3502" t="s">
        <v>8999</v>
      </c>
      <c r="AW3502" t="s">
        <v>3941</v>
      </c>
      <c r="AX3502" t="s">
        <v>5212</v>
      </c>
      <c r="AY3502" t="s">
        <v>29358</v>
      </c>
      <c r="AZ3502" t="s">
        <v>5212</v>
      </c>
      <c r="BA3502">
        <v>2.92</v>
      </c>
      <c r="BB3502">
        <v>598.33000000000004</v>
      </c>
      <c r="BC3502">
        <v>0.63</v>
      </c>
      <c r="BD3502">
        <v>117</v>
      </c>
      <c r="BE3502">
        <v>119.27</v>
      </c>
      <c r="BF3502">
        <v>117.56</v>
      </c>
      <c r="BG3502" t="s">
        <v>29359</v>
      </c>
      <c r="BH3502" t="s">
        <v>29360</v>
      </c>
      <c r="BI3502" t="s">
        <v>29361</v>
      </c>
      <c r="BJ3502" t="s">
        <v>101</v>
      </c>
      <c r="BK3502" t="s">
        <v>3388</v>
      </c>
      <c r="BL3502" t="s">
        <v>3473</v>
      </c>
      <c r="BM3502" t="s">
        <v>14838</v>
      </c>
      <c r="BN3502" t="s">
        <v>27621</v>
      </c>
    </row>
    <row r="3503" spans="1:66" x14ac:dyDescent="0.25">
      <c r="A3503" t="str">
        <f>HYPERLINK("https://elite.finviz.com/quote.ashx?t=RKDA&amp;ty=c&amp;p=d&amp;b=1", "RKDA")</f>
        <v>RKDA</v>
      </c>
      <c r="B3503">
        <v>4</v>
      </c>
      <c r="C3503">
        <v>105.92</v>
      </c>
      <c r="D3503">
        <v>39.229999999999997</v>
      </c>
      <c r="E3503" t="s">
        <v>29362</v>
      </c>
      <c r="F3503" t="s">
        <v>107</v>
      </c>
      <c r="G3503" t="s">
        <v>2244</v>
      </c>
      <c r="H3503" t="s">
        <v>3269</v>
      </c>
      <c r="I3503" t="s">
        <v>70</v>
      </c>
      <c r="J3503" t="s">
        <v>321</v>
      </c>
      <c r="K3503">
        <v>4.57</v>
      </c>
      <c r="L3503">
        <v>3.35</v>
      </c>
      <c r="M3503" t="s">
        <v>14635</v>
      </c>
      <c r="N3503">
        <v>2567</v>
      </c>
      <c r="R3503">
        <v>0.85</v>
      </c>
      <c r="S3503">
        <v>1.01</v>
      </c>
      <c r="AA3503">
        <v>-5.52</v>
      </c>
      <c r="AB3503" t="s">
        <v>22160</v>
      </c>
      <c r="AC3503" t="s">
        <v>19075</v>
      </c>
      <c r="AE3503" t="s">
        <v>4780</v>
      </c>
      <c r="AF3503" t="s">
        <v>11932</v>
      </c>
      <c r="AG3503" t="s">
        <v>14138</v>
      </c>
      <c r="AH3503" t="s">
        <v>3647</v>
      </c>
      <c r="AI3503" t="s">
        <v>29363</v>
      </c>
      <c r="AJ3503" t="s">
        <v>164</v>
      </c>
      <c r="AK3503" t="s">
        <v>5497</v>
      </c>
      <c r="AL3503">
        <v>4.12</v>
      </c>
      <c r="AM3503">
        <v>3.31</v>
      </c>
      <c r="AN3503">
        <v>0</v>
      </c>
      <c r="AO3503" t="s">
        <v>29364</v>
      </c>
      <c r="AP3503" t="s">
        <v>29365</v>
      </c>
      <c r="AQ3503" t="s">
        <v>29366</v>
      </c>
      <c r="AR3503" t="s">
        <v>1872</v>
      </c>
      <c r="AS3503" t="s">
        <v>2386</v>
      </c>
      <c r="AT3503" t="s">
        <v>9854</v>
      </c>
      <c r="AU3503" t="s">
        <v>7014</v>
      </c>
      <c r="AV3503" t="s">
        <v>19271</v>
      </c>
      <c r="AW3503" t="s">
        <v>6548</v>
      </c>
      <c r="AX3503" t="s">
        <v>1680</v>
      </c>
      <c r="AY3503" t="s">
        <v>29367</v>
      </c>
      <c r="AZ3503" t="s">
        <v>6763</v>
      </c>
      <c r="BA3503">
        <v>1</v>
      </c>
      <c r="BB3503">
        <v>10.73</v>
      </c>
      <c r="BC3503">
        <v>0.85</v>
      </c>
      <c r="BD3503">
        <v>3.51</v>
      </c>
      <c r="BE3503">
        <v>3.42</v>
      </c>
      <c r="BF3503">
        <v>3.4</v>
      </c>
      <c r="BG3503" t="s">
        <v>29368</v>
      </c>
      <c r="BH3503" t="s">
        <v>14593</v>
      </c>
      <c r="BI3503" t="s">
        <v>12321</v>
      </c>
      <c r="BJ3503" t="s">
        <v>101</v>
      </c>
      <c r="BK3503" t="s">
        <v>9868</v>
      </c>
      <c r="BL3503" t="s">
        <v>9075</v>
      </c>
      <c r="BM3503" t="s">
        <v>9344</v>
      </c>
      <c r="BN3503" t="s">
        <v>27621</v>
      </c>
    </row>
    <row r="3504" spans="1:66" x14ac:dyDescent="0.25">
      <c r="A3504" t="str">
        <f>HYPERLINK("https://elite.finviz.com/quote.ashx?t=PULM&amp;ty=c&amp;p=d&amp;b=1", "PULM")</f>
        <v>PULM</v>
      </c>
      <c r="B3504">
        <v>4</v>
      </c>
      <c r="C3504">
        <v>105.92</v>
      </c>
      <c r="D3504">
        <v>39.26</v>
      </c>
      <c r="E3504" t="s">
        <v>29369</v>
      </c>
      <c r="F3504" t="s">
        <v>107</v>
      </c>
      <c r="G3504" t="s">
        <v>428</v>
      </c>
      <c r="H3504" t="s">
        <v>429</v>
      </c>
      <c r="I3504" t="s">
        <v>70</v>
      </c>
      <c r="J3504" t="s">
        <v>321</v>
      </c>
      <c r="K3504">
        <v>16.53</v>
      </c>
      <c r="L3504">
        <v>4.53</v>
      </c>
      <c r="M3504" t="s">
        <v>451</v>
      </c>
      <c r="N3504">
        <v>1183</v>
      </c>
      <c r="R3504">
        <v>44.68</v>
      </c>
      <c r="S3504">
        <v>2.95</v>
      </c>
      <c r="AA3504">
        <v>-2.17</v>
      </c>
      <c r="AB3504" t="s">
        <v>7753</v>
      </c>
      <c r="AC3504" t="s">
        <v>29033</v>
      </c>
      <c r="AE3504" t="s">
        <v>29370</v>
      </c>
      <c r="AF3504" t="s">
        <v>6184</v>
      </c>
      <c r="AG3504" t="s">
        <v>2402</v>
      </c>
      <c r="AH3504" t="s">
        <v>579</v>
      </c>
      <c r="AK3504" t="s">
        <v>2559</v>
      </c>
      <c r="AL3504">
        <v>11.21</v>
      </c>
      <c r="AM3504">
        <v>11.21</v>
      </c>
      <c r="AN3504">
        <v>0</v>
      </c>
      <c r="AO3504" t="s">
        <v>29371</v>
      </c>
      <c r="AP3504" t="s">
        <v>29372</v>
      </c>
      <c r="AQ3504" t="s">
        <v>29373</v>
      </c>
      <c r="AR3504" t="s">
        <v>636</v>
      </c>
      <c r="AS3504" t="s">
        <v>2493</v>
      </c>
      <c r="AT3504" t="s">
        <v>4101</v>
      </c>
      <c r="AU3504" t="s">
        <v>626</v>
      </c>
      <c r="AV3504" t="s">
        <v>24157</v>
      </c>
      <c r="AW3504" t="s">
        <v>9378</v>
      </c>
      <c r="AX3504" t="s">
        <v>8229</v>
      </c>
      <c r="AY3504" t="s">
        <v>29374</v>
      </c>
      <c r="AZ3504" t="s">
        <v>29375</v>
      </c>
      <c r="BA3504">
        <v>1</v>
      </c>
      <c r="BB3504">
        <v>11.4</v>
      </c>
      <c r="BC3504">
        <v>0.37</v>
      </c>
      <c r="BD3504">
        <v>4.41</v>
      </c>
      <c r="BE3504">
        <v>4.54</v>
      </c>
      <c r="BF3504">
        <v>4.5</v>
      </c>
      <c r="BG3504" t="s">
        <v>29376</v>
      </c>
      <c r="BH3504" t="s">
        <v>17178</v>
      </c>
      <c r="BI3504" t="s">
        <v>29377</v>
      </c>
      <c r="BJ3504" t="s">
        <v>101</v>
      </c>
      <c r="BK3504" t="s">
        <v>29123</v>
      </c>
      <c r="BL3504" t="s">
        <v>29378</v>
      </c>
      <c r="BM3504" t="s">
        <v>17380</v>
      </c>
      <c r="BN3504" t="s">
        <v>27621</v>
      </c>
    </row>
    <row r="3505" spans="1:66" x14ac:dyDescent="0.25">
      <c r="A3505" t="str">
        <f>HYPERLINK("https://elite.finviz.com/quote.ashx?t=CRVO&amp;ty=c&amp;p=d&amp;b=1", "CRVO")</f>
        <v>CRVO</v>
      </c>
      <c r="B3505">
        <v>4</v>
      </c>
      <c r="C3505">
        <v>105.92</v>
      </c>
      <c r="D3505">
        <v>39.31</v>
      </c>
      <c r="E3505" t="s">
        <v>29379</v>
      </c>
      <c r="F3505" t="s">
        <v>107</v>
      </c>
      <c r="G3505" t="s">
        <v>428</v>
      </c>
      <c r="H3505" t="s">
        <v>429</v>
      </c>
      <c r="I3505" t="s">
        <v>70</v>
      </c>
      <c r="J3505" t="s">
        <v>321</v>
      </c>
      <c r="K3505">
        <v>73.33</v>
      </c>
      <c r="L3505">
        <v>7.93</v>
      </c>
      <c r="M3505" t="s">
        <v>2185</v>
      </c>
      <c r="N3505">
        <v>19516</v>
      </c>
      <c r="R3505">
        <v>9.43</v>
      </c>
      <c r="S3505">
        <v>2.19</v>
      </c>
      <c r="AA3505">
        <v>-2.61</v>
      </c>
      <c r="AB3505" t="s">
        <v>2664</v>
      </c>
      <c r="AC3505" t="s">
        <v>22233</v>
      </c>
      <c r="AD3505" t="s">
        <v>2274</v>
      </c>
      <c r="AE3505" t="s">
        <v>6445</v>
      </c>
      <c r="AH3505" t="s">
        <v>4447</v>
      </c>
      <c r="AI3505" t="s">
        <v>17856</v>
      </c>
      <c r="AJ3505" t="s">
        <v>4494</v>
      </c>
      <c r="AK3505" t="s">
        <v>3844</v>
      </c>
      <c r="AL3505">
        <v>8.16</v>
      </c>
      <c r="AM3505">
        <v>8.16</v>
      </c>
      <c r="AN3505">
        <v>0</v>
      </c>
      <c r="AP3505" t="s">
        <v>29380</v>
      </c>
      <c r="AQ3505" t="s">
        <v>29381</v>
      </c>
      <c r="AR3505" t="s">
        <v>4995</v>
      </c>
      <c r="AS3505" t="s">
        <v>3115</v>
      </c>
      <c r="AT3505" t="s">
        <v>612</v>
      </c>
      <c r="AU3505" t="s">
        <v>8162</v>
      </c>
      <c r="AV3505" t="s">
        <v>14050</v>
      </c>
      <c r="AW3505" t="s">
        <v>27745</v>
      </c>
      <c r="AX3505" t="s">
        <v>11505</v>
      </c>
      <c r="AY3505" t="s">
        <v>25779</v>
      </c>
      <c r="AZ3505" t="s">
        <v>29382</v>
      </c>
      <c r="BA3505">
        <v>1.29</v>
      </c>
      <c r="BB3505">
        <v>352.42</v>
      </c>
      <c r="BC3505">
        <v>0.2</v>
      </c>
      <c r="BD3505">
        <v>7.82</v>
      </c>
      <c r="BE3505">
        <v>8</v>
      </c>
      <c r="BF3505">
        <v>7.72</v>
      </c>
      <c r="BG3505" t="s">
        <v>29383</v>
      </c>
      <c r="BH3505" t="s">
        <v>579</v>
      </c>
      <c r="BI3505" t="s">
        <v>29382</v>
      </c>
      <c r="BJ3505" t="s">
        <v>101</v>
      </c>
      <c r="BK3505" t="s">
        <v>14099</v>
      </c>
      <c r="BL3505" t="s">
        <v>14915</v>
      </c>
      <c r="BM3505" t="s">
        <v>8269</v>
      </c>
      <c r="BN3505" t="s">
        <v>27621</v>
      </c>
    </row>
    <row r="3506" spans="1:66" x14ac:dyDescent="0.25">
      <c r="A3506" t="str">
        <f>HYPERLINK("https://elite.finviz.com/quote.ashx?t=AGYS&amp;ty=c&amp;p=d&amp;b=1", "AGYS")</f>
        <v>AGYS</v>
      </c>
      <c r="B3506">
        <v>4</v>
      </c>
      <c r="C3506">
        <v>105.92</v>
      </c>
      <c r="D3506">
        <v>39.31</v>
      </c>
      <c r="E3506" t="s">
        <v>29384</v>
      </c>
      <c r="F3506" t="s">
        <v>67</v>
      </c>
      <c r="G3506" t="s">
        <v>108</v>
      </c>
      <c r="H3506" t="s">
        <v>136</v>
      </c>
      <c r="I3506" t="s">
        <v>70</v>
      </c>
      <c r="J3506" t="s">
        <v>321</v>
      </c>
      <c r="K3506">
        <v>2897.94</v>
      </c>
      <c r="L3506">
        <v>103.34</v>
      </c>
      <c r="M3506" t="s">
        <v>4507</v>
      </c>
      <c r="N3506">
        <v>22977</v>
      </c>
      <c r="O3506">
        <v>208.68</v>
      </c>
      <c r="P3506">
        <v>49.68</v>
      </c>
      <c r="Q3506">
        <v>10.91</v>
      </c>
      <c r="R3506">
        <v>10.029999999999999</v>
      </c>
      <c r="S3506">
        <v>10.23</v>
      </c>
      <c r="V3506" t="s">
        <v>29385</v>
      </c>
      <c r="Z3506" t="s">
        <v>164</v>
      </c>
      <c r="AA3506">
        <v>0.5</v>
      </c>
      <c r="AB3506" t="s">
        <v>7066</v>
      </c>
      <c r="AD3506" t="s">
        <v>9557</v>
      </c>
      <c r="AE3506" t="s">
        <v>9350</v>
      </c>
      <c r="AF3506" t="s">
        <v>2067</v>
      </c>
      <c r="AG3506" t="s">
        <v>6923</v>
      </c>
      <c r="AH3506" t="s">
        <v>631</v>
      </c>
      <c r="AI3506" t="s">
        <v>5569</v>
      </c>
      <c r="AJ3506" t="s">
        <v>1547</v>
      </c>
      <c r="AK3506" t="s">
        <v>28832</v>
      </c>
      <c r="AL3506">
        <v>1.1100000000000001</v>
      </c>
      <c r="AM3506">
        <v>1.04</v>
      </c>
      <c r="AN3506">
        <v>0.12</v>
      </c>
      <c r="AO3506" t="s">
        <v>12459</v>
      </c>
      <c r="AP3506" t="s">
        <v>238</v>
      </c>
      <c r="AQ3506" t="s">
        <v>4872</v>
      </c>
      <c r="AR3506" t="s">
        <v>2868</v>
      </c>
      <c r="AS3506" t="s">
        <v>5256</v>
      </c>
      <c r="AT3506" t="s">
        <v>331</v>
      </c>
      <c r="AU3506" t="s">
        <v>5623</v>
      </c>
      <c r="AV3506" t="s">
        <v>5780</v>
      </c>
      <c r="AW3506" t="s">
        <v>27350</v>
      </c>
      <c r="AX3506" t="s">
        <v>247</v>
      </c>
      <c r="AY3506" t="s">
        <v>21292</v>
      </c>
      <c r="AZ3506" t="s">
        <v>13475</v>
      </c>
      <c r="BA3506">
        <v>1.29</v>
      </c>
      <c r="BB3506">
        <v>240.29</v>
      </c>
      <c r="BC3506">
        <v>0.34</v>
      </c>
      <c r="BD3506">
        <v>103.28</v>
      </c>
      <c r="BE3506">
        <v>104.36</v>
      </c>
      <c r="BF3506">
        <v>103.14</v>
      </c>
      <c r="BG3506" t="s">
        <v>29386</v>
      </c>
      <c r="BH3506" t="s">
        <v>21292</v>
      </c>
      <c r="BI3506" t="s">
        <v>29387</v>
      </c>
      <c r="BJ3506" t="s">
        <v>101</v>
      </c>
      <c r="BK3506" t="s">
        <v>5674</v>
      </c>
      <c r="BL3506" t="s">
        <v>29388</v>
      </c>
      <c r="BM3506" t="s">
        <v>11675</v>
      </c>
      <c r="BN3506" t="s">
        <v>27621</v>
      </c>
    </row>
    <row r="3507" spans="1:66" x14ac:dyDescent="0.25">
      <c r="A3507" t="str">
        <f>HYPERLINK("https://elite.finviz.com/quote.ashx?t=ARTW&amp;ty=c&amp;p=d&amp;b=1", "ARTW")</f>
        <v>ARTW</v>
      </c>
      <c r="B3507">
        <v>4</v>
      </c>
      <c r="C3507">
        <v>105.92</v>
      </c>
      <c r="D3507">
        <v>39.32</v>
      </c>
      <c r="E3507" t="s">
        <v>29389</v>
      </c>
      <c r="F3507" t="s">
        <v>107</v>
      </c>
      <c r="G3507" t="s">
        <v>260</v>
      </c>
      <c r="H3507" t="s">
        <v>320</v>
      </c>
      <c r="I3507" t="s">
        <v>70</v>
      </c>
      <c r="J3507" t="s">
        <v>321</v>
      </c>
      <c r="K3507">
        <v>13.28</v>
      </c>
      <c r="L3507">
        <v>2.6</v>
      </c>
      <c r="M3507" t="s">
        <v>7808</v>
      </c>
      <c r="N3507">
        <v>2469</v>
      </c>
      <c r="O3507">
        <v>8.5500000000000007</v>
      </c>
      <c r="R3507">
        <v>0.56000000000000005</v>
      </c>
      <c r="S3507">
        <v>0.97</v>
      </c>
      <c r="V3507" t="s">
        <v>29390</v>
      </c>
      <c r="AA3507">
        <v>0.3</v>
      </c>
      <c r="AC3507" t="s">
        <v>4311</v>
      </c>
      <c r="AE3507" t="s">
        <v>19619</v>
      </c>
      <c r="AF3507" t="s">
        <v>8374</v>
      </c>
      <c r="AG3507" t="s">
        <v>4856</v>
      </c>
      <c r="AH3507" t="s">
        <v>3292</v>
      </c>
      <c r="AJ3507" t="s">
        <v>1564</v>
      </c>
      <c r="AK3507" t="s">
        <v>8013</v>
      </c>
      <c r="AL3507">
        <v>2.72</v>
      </c>
      <c r="AM3507">
        <v>0.51</v>
      </c>
      <c r="AN3507">
        <v>0.28000000000000003</v>
      </c>
      <c r="AO3507" t="s">
        <v>15373</v>
      </c>
      <c r="AP3507" t="s">
        <v>2429</v>
      </c>
      <c r="AQ3507" t="s">
        <v>3429</v>
      </c>
      <c r="AR3507" t="s">
        <v>2774</v>
      </c>
      <c r="AS3507" t="s">
        <v>1021</v>
      </c>
      <c r="AT3507" t="s">
        <v>5596</v>
      </c>
      <c r="AU3507" t="s">
        <v>14841</v>
      </c>
      <c r="AV3507" t="s">
        <v>7294</v>
      </c>
      <c r="AW3507" t="s">
        <v>26642</v>
      </c>
      <c r="AX3507" t="s">
        <v>268</v>
      </c>
      <c r="AY3507" t="s">
        <v>26642</v>
      </c>
      <c r="AZ3507" t="s">
        <v>29391</v>
      </c>
      <c r="BA3507">
        <v>1</v>
      </c>
      <c r="BB3507">
        <v>61.88</v>
      </c>
      <c r="BC3507">
        <v>0.14000000000000001</v>
      </c>
      <c r="BD3507">
        <v>2.65</v>
      </c>
      <c r="BE3507">
        <v>2.63</v>
      </c>
      <c r="BF3507">
        <v>2.6</v>
      </c>
      <c r="BG3507" t="s">
        <v>29392</v>
      </c>
      <c r="BH3507" t="s">
        <v>29393</v>
      </c>
      <c r="BI3507" t="s">
        <v>29394</v>
      </c>
      <c r="BJ3507" t="s">
        <v>101</v>
      </c>
      <c r="BK3507" t="s">
        <v>11533</v>
      </c>
      <c r="BL3507" t="s">
        <v>29395</v>
      </c>
      <c r="BM3507" t="s">
        <v>8730</v>
      </c>
      <c r="BN3507" t="s">
        <v>27621</v>
      </c>
    </row>
    <row r="3508" spans="1:66" x14ac:dyDescent="0.25">
      <c r="A3508" t="str">
        <f>HYPERLINK("https://elite.finviz.com/quote.ashx?t=WENN&amp;ty=c&amp;p=d&amp;b=1", "WENN")</f>
        <v>WENN</v>
      </c>
      <c r="B3508">
        <v>4</v>
      </c>
      <c r="C3508">
        <v>105.92</v>
      </c>
      <c r="D3508">
        <v>39.33</v>
      </c>
      <c r="E3508" t="s">
        <v>29396</v>
      </c>
      <c r="F3508" t="s">
        <v>107</v>
      </c>
      <c r="G3508" t="s">
        <v>550</v>
      </c>
      <c r="H3508" t="s">
        <v>2120</v>
      </c>
      <c r="I3508" t="s">
        <v>70</v>
      </c>
      <c r="J3508" t="s">
        <v>321</v>
      </c>
      <c r="K3508">
        <v>379.33</v>
      </c>
      <c r="L3508">
        <v>10.11</v>
      </c>
      <c r="M3508" t="s">
        <v>164</v>
      </c>
      <c r="N3508">
        <v>0</v>
      </c>
      <c r="S3508">
        <v>1.32</v>
      </c>
      <c r="AJ3508" t="s">
        <v>164</v>
      </c>
      <c r="AK3508" t="s">
        <v>580</v>
      </c>
      <c r="AL3508">
        <v>9.86</v>
      </c>
      <c r="AM3508">
        <v>9.86</v>
      </c>
      <c r="AN3508">
        <v>0</v>
      </c>
      <c r="AR3508" t="s">
        <v>2290</v>
      </c>
      <c r="AS3508" t="s">
        <v>2646</v>
      </c>
      <c r="AT3508" t="s">
        <v>6871</v>
      </c>
      <c r="AU3508" t="s">
        <v>9084</v>
      </c>
      <c r="AV3508" t="s">
        <v>745</v>
      </c>
      <c r="AW3508" t="s">
        <v>91</v>
      </c>
      <c r="AX3508" t="s">
        <v>4104</v>
      </c>
      <c r="AY3508" t="s">
        <v>9854</v>
      </c>
      <c r="AZ3508" t="s">
        <v>4104</v>
      </c>
      <c r="BB3508">
        <v>121.4</v>
      </c>
      <c r="BC3508">
        <v>0</v>
      </c>
      <c r="BD3508">
        <v>10.11</v>
      </c>
      <c r="BE3508">
        <v>10.11</v>
      </c>
      <c r="BF3508">
        <v>10.11</v>
      </c>
      <c r="BG3508" t="s">
        <v>29397</v>
      </c>
      <c r="BH3508" t="s">
        <v>9854</v>
      </c>
      <c r="BI3508" t="s">
        <v>4104</v>
      </c>
      <c r="BJ3508" t="s">
        <v>101</v>
      </c>
      <c r="BN3508" t="s">
        <v>27621</v>
      </c>
    </row>
    <row r="3509" spans="1:66" x14ac:dyDescent="0.25">
      <c r="A3509" t="str">
        <f>HYPERLINK("https://elite.finviz.com/quote.ashx?t=AVO&amp;ty=c&amp;p=d&amp;b=1", "AVO")</f>
        <v>AVO</v>
      </c>
      <c r="B3509">
        <v>4</v>
      </c>
      <c r="C3509">
        <v>105.92</v>
      </c>
      <c r="D3509">
        <v>39.340000000000003</v>
      </c>
      <c r="E3509" t="s">
        <v>29398</v>
      </c>
      <c r="F3509" t="s">
        <v>67</v>
      </c>
      <c r="G3509" t="s">
        <v>2244</v>
      </c>
      <c r="H3509" t="s">
        <v>6825</v>
      </c>
      <c r="I3509" t="s">
        <v>70</v>
      </c>
      <c r="J3509" t="s">
        <v>321</v>
      </c>
      <c r="K3509">
        <v>843.26</v>
      </c>
      <c r="L3509">
        <v>11.94</v>
      </c>
      <c r="M3509" t="s">
        <v>5661</v>
      </c>
      <c r="N3509">
        <v>84554</v>
      </c>
      <c r="O3509">
        <v>21.77</v>
      </c>
      <c r="P3509">
        <v>18.37</v>
      </c>
      <c r="R3509">
        <v>0.59</v>
      </c>
      <c r="S3509">
        <v>1.48</v>
      </c>
      <c r="Z3509" t="s">
        <v>164</v>
      </c>
      <c r="AA3509">
        <v>0.55000000000000004</v>
      </c>
      <c r="AB3509" t="s">
        <v>798</v>
      </c>
      <c r="AC3509" t="s">
        <v>20037</v>
      </c>
      <c r="AE3509" t="s">
        <v>10971</v>
      </c>
      <c r="AF3509" t="s">
        <v>292</v>
      </c>
      <c r="AG3509" t="s">
        <v>1215</v>
      </c>
      <c r="AH3509" t="s">
        <v>702</v>
      </c>
      <c r="AI3509" t="s">
        <v>29045</v>
      </c>
      <c r="AJ3509" t="s">
        <v>1249</v>
      </c>
      <c r="AK3509" t="s">
        <v>15004</v>
      </c>
      <c r="AL3509">
        <v>2.04</v>
      </c>
      <c r="AM3509">
        <v>1.3</v>
      </c>
      <c r="AN3509">
        <v>0.41</v>
      </c>
      <c r="AO3509" t="s">
        <v>2740</v>
      </c>
      <c r="AP3509" t="s">
        <v>161</v>
      </c>
      <c r="AQ3509" t="s">
        <v>2361</v>
      </c>
      <c r="AR3509" t="s">
        <v>6975</v>
      </c>
      <c r="AS3509" t="s">
        <v>3454</v>
      </c>
      <c r="AT3509" t="s">
        <v>3780</v>
      </c>
      <c r="AU3509" t="s">
        <v>944</v>
      </c>
      <c r="AV3509" t="s">
        <v>2554</v>
      </c>
      <c r="AW3509" t="s">
        <v>13455</v>
      </c>
      <c r="AX3509" t="s">
        <v>4216</v>
      </c>
      <c r="AY3509" t="s">
        <v>15454</v>
      </c>
      <c r="AZ3509" t="s">
        <v>11646</v>
      </c>
      <c r="BA3509">
        <v>1</v>
      </c>
      <c r="BB3509">
        <v>381.24</v>
      </c>
      <c r="BC3509">
        <v>0.78</v>
      </c>
      <c r="BD3509">
        <v>12.23</v>
      </c>
      <c r="BE3509">
        <v>12.27</v>
      </c>
      <c r="BF3509">
        <v>11.92</v>
      </c>
      <c r="BG3509" t="s">
        <v>29399</v>
      </c>
      <c r="BH3509" t="s">
        <v>26722</v>
      </c>
      <c r="BI3509" t="s">
        <v>7073</v>
      </c>
      <c r="BJ3509" t="s">
        <v>101</v>
      </c>
      <c r="BK3509" t="s">
        <v>84</v>
      </c>
      <c r="BL3509" t="s">
        <v>16206</v>
      </c>
      <c r="BM3509" t="s">
        <v>2336</v>
      </c>
      <c r="BN3509" t="s">
        <v>27621</v>
      </c>
    </row>
    <row r="3510" spans="1:66" x14ac:dyDescent="0.25">
      <c r="A3510" t="str">
        <f>HYPERLINK("https://elite.finviz.com/quote.ashx?t=SPMC&amp;ty=c&amp;p=d&amp;b=1", "SPMC")</f>
        <v>SPMC</v>
      </c>
      <c r="B3510">
        <v>4</v>
      </c>
      <c r="C3510">
        <v>105.92</v>
      </c>
      <c r="D3510">
        <v>39.340000000000003</v>
      </c>
      <c r="E3510" t="s">
        <v>29400</v>
      </c>
      <c r="F3510" t="s">
        <v>107</v>
      </c>
      <c r="G3510" t="s">
        <v>550</v>
      </c>
      <c r="H3510" t="s">
        <v>2597</v>
      </c>
      <c r="I3510" t="s">
        <v>70</v>
      </c>
      <c r="J3510" t="s">
        <v>71</v>
      </c>
      <c r="K3510">
        <v>355.21</v>
      </c>
      <c r="L3510">
        <v>17.399999999999999</v>
      </c>
      <c r="M3510" t="s">
        <v>2418</v>
      </c>
      <c r="N3510">
        <v>2254</v>
      </c>
      <c r="O3510">
        <v>20.05</v>
      </c>
      <c r="P3510">
        <v>6.88</v>
      </c>
      <c r="Q3510">
        <v>3.71</v>
      </c>
      <c r="R3510">
        <v>6.18</v>
      </c>
      <c r="S3510">
        <v>0.93</v>
      </c>
      <c r="T3510" t="s">
        <v>2976</v>
      </c>
      <c r="U3510">
        <v>2.88</v>
      </c>
      <c r="V3510" t="s">
        <v>7373</v>
      </c>
      <c r="Z3510" t="s">
        <v>29401</v>
      </c>
      <c r="AA3510">
        <v>0.87</v>
      </c>
      <c r="AD3510" t="s">
        <v>3602</v>
      </c>
      <c r="AJ3510" t="s">
        <v>164</v>
      </c>
      <c r="AK3510" t="s">
        <v>20634</v>
      </c>
      <c r="AL3510">
        <v>0.13</v>
      </c>
      <c r="AM3510">
        <v>0.13</v>
      </c>
      <c r="AN3510">
        <v>0.18</v>
      </c>
      <c r="AO3510" t="s">
        <v>7660</v>
      </c>
      <c r="AP3510" t="s">
        <v>16444</v>
      </c>
      <c r="AQ3510" t="s">
        <v>20473</v>
      </c>
      <c r="AR3510" t="s">
        <v>4280</v>
      </c>
      <c r="AS3510" t="s">
        <v>1559</v>
      </c>
      <c r="AT3510" t="s">
        <v>9500</v>
      </c>
      <c r="AU3510" t="s">
        <v>6105</v>
      </c>
      <c r="AV3510" t="s">
        <v>10170</v>
      </c>
      <c r="AW3510" t="s">
        <v>798</v>
      </c>
      <c r="AX3510" t="s">
        <v>6829</v>
      </c>
      <c r="AY3510" t="s">
        <v>15822</v>
      </c>
      <c r="AZ3510" t="s">
        <v>7010</v>
      </c>
      <c r="BA3510">
        <v>1</v>
      </c>
      <c r="BB3510">
        <v>21.39</v>
      </c>
      <c r="BC3510">
        <v>0.37</v>
      </c>
      <c r="BD3510">
        <v>17.3</v>
      </c>
      <c r="BE3510">
        <v>17.399999999999999</v>
      </c>
      <c r="BF3510">
        <v>17.28</v>
      </c>
      <c r="BG3510" t="s">
        <v>29402</v>
      </c>
      <c r="BH3510" t="s">
        <v>15822</v>
      </c>
      <c r="BI3510" t="s">
        <v>7010</v>
      </c>
      <c r="BJ3510" t="s">
        <v>101</v>
      </c>
      <c r="BK3510" t="s">
        <v>10262</v>
      </c>
      <c r="BL3510" t="s">
        <v>11904</v>
      </c>
      <c r="BM3510" t="s">
        <v>2982</v>
      </c>
      <c r="BN3510" t="s">
        <v>27621</v>
      </c>
    </row>
    <row r="3511" spans="1:66" x14ac:dyDescent="0.25">
      <c r="A3511" t="str">
        <f>HYPERLINK("https://elite.finviz.com/quote.ashx?t=CIM&amp;ty=c&amp;p=d&amp;b=1", "CIM")</f>
        <v>CIM</v>
      </c>
      <c r="B3511">
        <v>4</v>
      </c>
      <c r="C3511">
        <v>105.92</v>
      </c>
      <c r="D3511">
        <v>39.36</v>
      </c>
      <c r="E3511" t="s">
        <v>29403</v>
      </c>
      <c r="F3511" t="s">
        <v>67</v>
      </c>
      <c r="G3511" t="s">
        <v>68</v>
      </c>
      <c r="H3511" t="s">
        <v>5566</v>
      </c>
      <c r="I3511" t="s">
        <v>70</v>
      </c>
      <c r="J3511" t="s">
        <v>71</v>
      </c>
      <c r="K3511">
        <v>1106.6500000000001</v>
      </c>
      <c r="L3511">
        <v>13.65</v>
      </c>
      <c r="M3511" t="s">
        <v>171</v>
      </c>
      <c r="N3511">
        <v>142777</v>
      </c>
      <c r="O3511">
        <v>10.92</v>
      </c>
      <c r="P3511">
        <v>6.98</v>
      </c>
      <c r="Q3511">
        <v>0.85</v>
      </c>
      <c r="R3511">
        <v>1.38</v>
      </c>
      <c r="S3511">
        <v>0.65</v>
      </c>
      <c r="T3511" t="s">
        <v>18151</v>
      </c>
      <c r="U3511">
        <v>1.48</v>
      </c>
      <c r="V3511" t="s">
        <v>198</v>
      </c>
      <c r="W3511" t="s">
        <v>9242</v>
      </c>
      <c r="X3511" t="s">
        <v>22018</v>
      </c>
      <c r="Y3511" t="s">
        <v>23323</v>
      </c>
      <c r="Z3511" t="s">
        <v>29404</v>
      </c>
      <c r="AA3511">
        <v>1.25</v>
      </c>
      <c r="AB3511" t="s">
        <v>29405</v>
      </c>
      <c r="AC3511" t="s">
        <v>29406</v>
      </c>
      <c r="AD3511" t="s">
        <v>1489</v>
      </c>
      <c r="AE3511" t="s">
        <v>3545</v>
      </c>
      <c r="AF3511" t="s">
        <v>5197</v>
      </c>
      <c r="AG3511" t="s">
        <v>18188</v>
      </c>
      <c r="AH3511" t="s">
        <v>3327</v>
      </c>
      <c r="AI3511" t="s">
        <v>25230</v>
      </c>
      <c r="AJ3511" t="s">
        <v>164</v>
      </c>
      <c r="AK3511" t="s">
        <v>18977</v>
      </c>
      <c r="AL3511">
        <v>0.06</v>
      </c>
      <c r="AM3511">
        <v>0.06</v>
      </c>
      <c r="AN3511">
        <v>4.47</v>
      </c>
      <c r="AO3511" t="s">
        <v>29407</v>
      </c>
      <c r="AP3511" t="s">
        <v>11827</v>
      </c>
      <c r="AQ3511" t="s">
        <v>6723</v>
      </c>
      <c r="AR3511" t="s">
        <v>1760</v>
      </c>
      <c r="AS3511" t="s">
        <v>2195</v>
      </c>
      <c r="AT3511" t="s">
        <v>17548</v>
      </c>
      <c r="AU3511" t="s">
        <v>4149</v>
      </c>
      <c r="AV3511" t="s">
        <v>171</v>
      </c>
      <c r="AW3511" t="s">
        <v>3431</v>
      </c>
      <c r="AX3511" t="s">
        <v>5642</v>
      </c>
      <c r="AY3511" t="s">
        <v>10941</v>
      </c>
      <c r="AZ3511" t="s">
        <v>5822</v>
      </c>
      <c r="BA3511">
        <v>2.33</v>
      </c>
      <c r="BB3511">
        <v>533.28</v>
      </c>
      <c r="BC3511">
        <v>0.94</v>
      </c>
      <c r="BD3511">
        <v>13.66</v>
      </c>
      <c r="BE3511">
        <v>13.74</v>
      </c>
      <c r="BF3511">
        <v>13.62</v>
      </c>
      <c r="BG3511" t="s">
        <v>29408</v>
      </c>
      <c r="BH3511" t="s">
        <v>29409</v>
      </c>
      <c r="BI3511" t="s">
        <v>5822</v>
      </c>
      <c r="BJ3511" t="s">
        <v>101</v>
      </c>
      <c r="BK3511" t="s">
        <v>7742</v>
      </c>
      <c r="BL3511" t="s">
        <v>2496</v>
      </c>
      <c r="BM3511" t="s">
        <v>2611</v>
      </c>
      <c r="BN3511" t="s">
        <v>27621</v>
      </c>
    </row>
    <row r="3512" spans="1:66" x14ac:dyDescent="0.25">
      <c r="A3512" t="str">
        <f>HYPERLINK("https://elite.finviz.com/quote.ashx?t=TTGT&amp;ty=c&amp;p=d&amp;b=1", "TTGT")</f>
        <v>TTGT</v>
      </c>
      <c r="B3512">
        <v>4</v>
      </c>
      <c r="C3512">
        <v>105.92</v>
      </c>
      <c r="D3512">
        <v>39.369999999999997</v>
      </c>
      <c r="E3512" t="s">
        <v>29410</v>
      </c>
      <c r="F3512" t="s">
        <v>67</v>
      </c>
      <c r="G3512" t="s">
        <v>108</v>
      </c>
      <c r="H3512" t="s">
        <v>1322</v>
      </c>
      <c r="I3512" t="s">
        <v>70</v>
      </c>
      <c r="J3512" t="s">
        <v>321</v>
      </c>
      <c r="K3512">
        <v>402.84</v>
      </c>
      <c r="L3512">
        <v>5.64</v>
      </c>
      <c r="M3512" t="s">
        <v>1444</v>
      </c>
      <c r="N3512">
        <v>143895</v>
      </c>
      <c r="R3512">
        <v>1.78</v>
      </c>
      <c r="S3512">
        <v>0.6</v>
      </c>
      <c r="AA3512">
        <v>-0.42</v>
      </c>
      <c r="AE3512" t="s">
        <v>14874</v>
      </c>
      <c r="AF3512" t="s">
        <v>213</v>
      </c>
      <c r="AG3512" t="s">
        <v>672</v>
      </c>
      <c r="AH3512" t="s">
        <v>9231</v>
      </c>
      <c r="AI3512" t="s">
        <v>29411</v>
      </c>
      <c r="AJ3512" t="s">
        <v>3598</v>
      </c>
      <c r="AK3512" t="s">
        <v>21575</v>
      </c>
      <c r="AL3512">
        <v>0.96</v>
      </c>
      <c r="AM3512">
        <v>0.96</v>
      </c>
      <c r="AN3512">
        <v>0.21</v>
      </c>
      <c r="AO3512" t="s">
        <v>9668</v>
      </c>
      <c r="AP3512" t="s">
        <v>1779</v>
      </c>
      <c r="AQ3512" t="s">
        <v>15684</v>
      </c>
      <c r="AR3512" t="s">
        <v>776</v>
      </c>
      <c r="AS3512" t="s">
        <v>5739</v>
      </c>
      <c r="AT3512" t="s">
        <v>2268</v>
      </c>
      <c r="AU3512" t="s">
        <v>13705</v>
      </c>
      <c r="AV3512" t="s">
        <v>21173</v>
      </c>
      <c r="AW3512" t="s">
        <v>24769</v>
      </c>
      <c r="AX3512" t="s">
        <v>4104</v>
      </c>
      <c r="AY3512" t="s">
        <v>29412</v>
      </c>
      <c r="AZ3512" t="s">
        <v>4104</v>
      </c>
      <c r="BA3512">
        <v>1</v>
      </c>
      <c r="BB3512">
        <v>671.75</v>
      </c>
      <c r="BC3512">
        <v>0.75</v>
      </c>
      <c r="BD3512">
        <v>5.75</v>
      </c>
      <c r="BE3512">
        <v>5.85</v>
      </c>
      <c r="BF3512">
        <v>5.59</v>
      </c>
      <c r="BG3512" t="s">
        <v>29413</v>
      </c>
      <c r="BH3512" t="s">
        <v>29412</v>
      </c>
      <c r="BI3512" t="s">
        <v>4104</v>
      </c>
      <c r="BJ3512" t="s">
        <v>101</v>
      </c>
      <c r="BK3512" t="s">
        <v>5828</v>
      </c>
      <c r="BL3512" t="s">
        <v>14338</v>
      </c>
      <c r="BN3512" t="s">
        <v>27621</v>
      </c>
    </row>
    <row r="3513" spans="1:66" x14ac:dyDescent="0.25">
      <c r="A3513" t="str">
        <f>HYPERLINK("https://elite.finviz.com/quote.ashx?t=LAMR&amp;ty=c&amp;p=d&amp;b=1", "LAMR")</f>
        <v>LAMR</v>
      </c>
      <c r="B3513">
        <v>4</v>
      </c>
      <c r="C3513">
        <v>105.92</v>
      </c>
      <c r="D3513">
        <v>39.380000000000003</v>
      </c>
      <c r="E3513" t="s">
        <v>29414</v>
      </c>
      <c r="F3513" t="s">
        <v>107</v>
      </c>
      <c r="G3513" t="s">
        <v>68</v>
      </c>
      <c r="H3513" t="s">
        <v>7227</v>
      </c>
      <c r="I3513" t="s">
        <v>70</v>
      </c>
      <c r="J3513" t="s">
        <v>321</v>
      </c>
      <c r="K3513">
        <v>12282.88</v>
      </c>
      <c r="L3513">
        <v>121.35</v>
      </c>
      <c r="M3513" t="s">
        <v>4308</v>
      </c>
      <c r="N3513">
        <v>34379</v>
      </c>
      <c r="O3513">
        <v>28.29</v>
      </c>
      <c r="P3513">
        <v>20.86</v>
      </c>
      <c r="Q3513">
        <v>1.32</v>
      </c>
      <c r="R3513">
        <v>5.51</v>
      </c>
      <c r="S3513">
        <v>13.57</v>
      </c>
      <c r="T3513" t="s">
        <v>2542</v>
      </c>
      <c r="U3513">
        <v>6.05</v>
      </c>
      <c r="V3513" t="s">
        <v>7552</v>
      </c>
      <c r="W3513" t="s">
        <v>238</v>
      </c>
      <c r="X3513" t="s">
        <v>1847</v>
      </c>
      <c r="Y3513" t="s">
        <v>2869</v>
      </c>
      <c r="Z3513" t="s">
        <v>29415</v>
      </c>
      <c r="AA3513">
        <v>4.29</v>
      </c>
      <c r="AB3513" t="s">
        <v>4316</v>
      </c>
      <c r="AC3513" t="s">
        <v>3999</v>
      </c>
      <c r="AD3513" t="s">
        <v>16012</v>
      </c>
      <c r="AE3513" t="s">
        <v>5188</v>
      </c>
      <c r="AF3513" t="s">
        <v>7970</v>
      </c>
      <c r="AG3513" t="s">
        <v>3343</v>
      </c>
      <c r="AH3513" t="s">
        <v>2333</v>
      </c>
      <c r="AI3513" t="s">
        <v>1452</v>
      </c>
      <c r="AJ3513" t="s">
        <v>1998</v>
      </c>
      <c r="AK3513" t="s">
        <v>9702</v>
      </c>
      <c r="AL3513">
        <v>0.59</v>
      </c>
      <c r="AM3513">
        <v>0.59</v>
      </c>
      <c r="AN3513">
        <v>5.27</v>
      </c>
      <c r="AO3513" t="s">
        <v>16889</v>
      </c>
      <c r="AP3513" t="s">
        <v>14652</v>
      </c>
      <c r="AQ3513" t="s">
        <v>14945</v>
      </c>
      <c r="AR3513" t="s">
        <v>6829</v>
      </c>
      <c r="AS3513" t="s">
        <v>2217</v>
      </c>
      <c r="AT3513" t="s">
        <v>4927</v>
      </c>
      <c r="AU3513" t="s">
        <v>5661</v>
      </c>
      <c r="AV3513" t="s">
        <v>6182</v>
      </c>
      <c r="AW3513" t="s">
        <v>7750</v>
      </c>
      <c r="AX3513" t="s">
        <v>954</v>
      </c>
      <c r="AY3513" t="s">
        <v>25776</v>
      </c>
      <c r="AZ3513" t="s">
        <v>3457</v>
      </c>
      <c r="BA3513">
        <v>2.4300000000000002</v>
      </c>
      <c r="BB3513">
        <v>600.53</v>
      </c>
      <c r="BC3513">
        <v>0.2</v>
      </c>
      <c r="BD3513">
        <v>120.6</v>
      </c>
      <c r="BE3513">
        <v>121.6</v>
      </c>
      <c r="BF3513">
        <v>120.89</v>
      </c>
      <c r="BG3513" t="s">
        <v>29416</v>
      </c>
      <c r="BH3513" t="s">
        <v>25776</v>
      </c>
      <c r="BI3513" t="s">
        <v>29417</v>
      </c>
      <c r="BJ3513" t="s">
        <v>101</v>
      </c>
      <c r="BK3513" t="s">
        <v>1765</v>
      </c>
      <c r="BL3513" t="s">
        <v>4437</v>
      </c>
      <c r="BM3513" t="s">
        <v>5773</v>
      </c>
      <c r="BN3513" t="s">
        <v>27621</v>
      </c>
    </row>
    <row r="3514" spans="1:66" x14ac:dyDescent="0.25">
      <c r="A3514" t="str">
        <f>HYPERLINK("https://elite.finviz.com/quote.ashx?t=PW&amp;ty=c&amp;p=d&amp;b=1", "PW")</f>
        <v>PW</v>
      </c>
      <c r="B3514">
        <v>4</v>
      </c>
      <c r="C3514">
        <v>105.92</v>
      </c>
      <c r="D3514">
        <v>39.380000000000003</v>
      </c>
      <c r="E3514" t="s">
        <v>29418</v>
      </c>
      <c r="F3514" t="s">
        <v>107</v>
      </c>
      <c r="G3514" t="s">
        <v>68</v>
      </c>
      <c r="H3514" t="s">
        <v>7227</v>
      </c>
      <c r="I3514" t="s">
        <v>70</v>
      </c>
      <c r="J3514" t="s">
        <v>383</v>
      </c>
      <c r="K3514">
        <v>3.18</v>
      </c>
      <c r="L3514">
        <v>0.94</v>
      </c>
      <c r="M3514" t="s">
        <v>1086</v>
      </c>
      <c r="N3514">
        <v>5326</v>
      </c>
      <c r="R3514">
        <v>1.06</v>
      </c>
      <c r="V3514" t="s">
        <v>29419</v>
      </c>
      <c r="AA3514">
        <v>-1.54</v>
      </c>
      <c r="AE3514" t="s">
        <v>20425</v>
      </c>
      <c r="AF3514" t="s">
        <v>23170</v>
      </c>
      <c r="AG3514" t="s">
        <v>1955</v>
      </c>
      <c r="AH3514" t="s">
        <v>5778</v>
      </c>
      <c r="AJ3514" t="s">
        <v>164</v>
      </c>
      <c r="AK3514" t="s">
        <v>9936</v>
      </c>
      <c r="AL3514">
        <v>3.81</v>
      </c>
      <c r="AM3514">
        <v>3.81</v>
      </c>
      <c r="AN3514">
        <v>3.43</v>
      </c>
      <c r="AO3514" t="s">
        <v>10895</v>
      </c>
      <c r="AP3514" t="s">
        <v>7155</v>
      </c>
      <c r="AQ3514" t="s">
        <v>29420</v>
      </c>
      <c r="AR3514" t="s">
        <v>1507</v>
      </c>
      <c r="AS3514" t="s">
        <v>10794</v>
      </c>
      <c r="AT3514" t="s">
        <v>3423</v>
      </c>
      <c r="AU3514" t="s">
        <v>14407</v>
      </c>
      <c r="AV3514" t="s">
        <v>10141</v>
      </c>
      <c r="AW3514" t="s">
        <v>29421</v>
      </c>
      <c r="AX3514" t="s">
        <v>6748</v>
      </c>
      <c r="AY3514" t="s">
        <v>12161</v>
      </c>
      <c r="AZ3514" t="s">
        <v>7018</v>
      </c>
      <c r="BB3514">
        <v>136.72999999999999</v>
      </c>
      <c r="BC3514">
        <v>0.14000000000000001</v>
      </c>
      <c r="BD3514">
        <v>0.94</v>
      </c>
      <c r="BE3514">
        <v>0.94</v>
      </c>
      <c r="BF3514">
        <v>0.91</v>
      </c>
      <c r="BG3514" t="s">
        <v>29422</v>
      </c>
      <c r="BH3514" t="s">
        <v>29423</v>
      </c>
      <c r="BI3514" t="s">
        <v>29424</v>
      </c>
      <c r="BJ3514" t="s">
        <v>101</v>
      </c>
      <c r="BK3514" t="s">
        <v>14819</v>
      </c>
      <c r="BL3514" t="s">
        <v>29425</v>
      </c>
      <c r="BM3514" t="s">
        <v>553</v>
      </c>
      <c r="BN3514" t="s">
        <v>27621</v>
      </c>
    </row>
    <row r="3515" spans="1:66" x14ac:dyDescent="0.25">
      <c r="A3515" t="str">
        <f>HYPERLINK("https://elite.finviz.com/quote.ashx?t=APRE&amp;ty=c&amp;p=d&amp;b=1", "APRE")</f>
        <v>APRE</v>
      </c>
      <c r="B3515">
        <v>4</v>
      </c>
      <c r="C3515">
        <v>105.92</v>
      </c>
      <c r="D3515">
        <v>39.380000000000003</v>
      </c>
      <c r="E3515" t="s">
        <v>29426</v>
      </c>
      <c r="F3515" t="s">
        <v>107</v>
      </c>
      <c r="G3515" t="s">
        <v>428</v>
      </c>
      <c r="H3515" t="s">
        <v>429</v>
      </c>
      <c r="I3515" t="s">
        <v>70</v>
      </c>
      <c r="J3515" t="s">
        <v>321</v>
      </c>
      <c r="K3515">
        <v>8.39</v>
      </c>
      <c r="L3515">
        <v>1.44</v>
      </c>
      <c r="M3515" t="s">
        <v>124</v>
      </c>
      <c r="N3515">
        <v>8401</v>
      </c>
      <c r="R3515">
        <v>9.99</v>
      </c>
      <c r="S3515">
        <v>0.62</v>
      </c>
      <c r="AA3515">
        <v>-2.31</v>
      </c>
      <c r="AB3515" t="s">
        <v>29427</v>
      </c>
      <c r="AC3515" t="s">
        <v>1073</v>
      </c>
      <c r="AD3515" t="s">
        <v>2282</v>
      </c>
      <c r="AE3515" t="s">
        <v>4630</v>
      </c>
      <c r="AH3515" t="s">
        <v>29428</v>
      </c>
      <c r="AI3515" t="s">
        <v>10798</v>
      </c>
      <c r="AJ3515" t="s">
        <v>1764</v>
      </c>
      <c r="AK3515" t="s">
        <v>11454</v>
      </c>
      <c r="AL3515">
        <v>5.34</v>
      </c>
      <c r="AM3515">
        <v>5.34</v>
      </c>
      <c r="AN3515">
        <v>0</v>
      </c>
      <c r="AO3515" t="s">
        <v>25238</v>
      </c>
      <c r="AP3515" t="s">
        <v>29429</v>
      </c>
      <c r="AQ3515" t="s">
        <v>29430</v>
      </c>
      <c r="AR3515" t="s">
        <v>2985</v>
      </c>
      <c r="AS3515" t="s">
        <v>5611</v>
      </c>
      <c r="AT3515" t="s">
        <v>3622</v>
      </c>
      <c r="AU3515" t="s">
        <v>75</v>
      </c>
      <c r="AV3515" t="s">
        <v>21004</v>
      </c>
      <c r="AW3515" t="s">
        <v>18719</v>
      </c>
      <c r="AX3515" t="s">
        <v>7453</v>
      </c>
      <c r="AY3515" t="s">
        <v>29431</v>
      </c>
      <c r="AZ3515" t="s">
        <v>7453</v>
      </c>
      <c r="BA3515">
        <v>1</v>
      </c>
      <c r="BB3515">
        <v>47.3</v>
      </c>
      <c r="BC3515">
        <v>0.63</v>
      </c>
      <c r="BD3515">
        <v>1.44</v>
      </c>
      <c r="BE3515">
        <v>1.48</v>
      </c>
      <c r="BF3515">
        <v>1.4</v>
      </c>
      <c r="BG3515" t="s">
        <v>29432</v>
      </c>
      <c r="BH3515" t="s">
        <v>3590</v>
      </c>
      <c r="BI3515" t="s">
        <v>7453</v>
      </c>
      <c r="BJ3515" t="s">
        <v>101</v>
      </c>
      <c r="BK3515" t="s">
        <v>18084</v>
      </c>
      <c r="BL3515" t="s">
        <v>19927</v>
      </c>
      <c r="BM3515" t="s">
        <v>4680</v>
      </c>
      <c r="BN3515" t="s">
        <v>27621</v>
      </c>
    </row>
    <row r="3516" spans="1:66" x14ac:dyDescent="0.25">
      <c r="A3516" t="str">
        <f>HYPERLINK("https://elite.finviz.com/quote.ashx?t=JCAP&amp;ty=c&amp;p=d&amp;b=1", "JCAP")</f>
        <v>JCAP</v>
      </c>
      <c r="B3516">
        <v>4</v>
      </c>
      <c r="C3516">
        <v>105.92</v>
      </c>
      <c r="D3516">
        <v>39.4</v>
      </c>
      <c r="E3516" t="s">
        <v>29433</v>
      </c>
      <c r="F3516" t="s">
        <v>67</v>
      </c>
      <c r="G3516" t="s">
        <v>550</v>
      </c>
      <c r="H3516" t="s">
        <v>3744</v>
      </c>
      <c r="I3516" t="s">
        <v>70</v>
      </c>
      <c r="J3516" t="s">
        <v>321</v>
      </c>
      <c r="K3516">
        <v>998.17</v>
      </c>
      <c r="L3516">
        <v>17.13</v>
      </c>
      <c r="M3516" t="s">
        <v>6245</v>
      </c>
      <c r="N3516">
        <v>23545</v>
      </c>
      <c r="S3516">
        <v>2.4300000000000002</v>
      </c>
      <c r="T3516" t="s">
        <v>7780</v>
      </c>
      <c r="U3516">
        <v>0.24</v>
      </c>
      <c r="V3516" t="s">
        <v>10943</v>
      </c>
      <c r="AI3516" t="s">
        <v>4150</v>
      </c>
      <c r="AJ3516" t="s">
        <v>19350</v>
      </c>
      <c r="AK3516" t="s">
        <v>10519</v>
      </c>
      <c r="AL3516">
        <v>0.71</v>
      </c>
      <c r="AM3516">
        <v>0.71</v>
      </c>
      <c r="AN3516">
        <v>2.89</v>
      </c>
      <c r="AR3516" t="s">
        <v>4294</v>
      </c>
      <c r="AS3516" t="s">
        <v>5672</v>
      </c>
      <c r="AT3516" t="s">
        <v>5301</v>
      </c>
      <c r="AU3516" t="s">
        <v>5368</v>
      </c>
      <c r="AV3516" t="s">
        <v>308</v>
      </c>
      <c r="AW3516" t="s">
        <v>19620</v>
      </c>
      <c r="AX3516" t="s">
        <v>1507</v>
      </c>
      <c r="AY3516" t="s">
        <v>19620</v>
      </c>
      <c r="AZ3516" t="s">
        <v>1507</v>
      </c>
      <c r="BA3516">
        <v>1.2</v>
      </c>
      <c r="BB3516">
        <v>273.01</v>
      </c>
      <c r="BC3516">
        <v>0.3</v>
      </c>
      <c r="BD3516">
        <v>17</v>
      </c>
      <c r="BE3516">
        <v>17.36</v>
      </c>
      <c r="BF3516">
        <v>17.05</v>
      </c>
      <c r="BG3516" t="s">
        <v>29434</v>
      </c>
      <c r="BH3516" t="s">
        <v>19620</v>
      </c>
      <c r="BI3516" t="s">
        <v>1507</v>
      </c>
      <c r="BJ3516" t="s">
        <v>101</v>
      </c>
      <c r="BK3516" t="s">
        <v>9955</v>
      </c>
      <c r="BN3516" t="s">
        <v>27621</v>
      </c>
    </row>
    <row r="3517" spans="1:66" x14ac:dyDescent="0.25">
      <c r="A3517" t="str">
        <f>HYPERLINK("https://elite.finviz.com/quote.ashx?t=CNXN&amp;ty=c&amp;p=d&amp;b=1", "CNXN")</f>
        <v>CNXN</v>
      </c>
      <c r="B3517">
        <v>4</v>
      </c>
      <c r="C3517">
        <v>105.92</v>
      </c>
      <c r="D3517">
        <v>39.4</v>
      </c>
      <c r="E3517" t="s">
        <v>29435</v>
      </c>
      <c r="F3517" t="s">
        <v>67</v>
      </c>
      <c r="G3517" t="s">
        <v>108</v>
      </c>
      <c r="H3517" t="s">
        <v>3661</v>
      </c>
      <c r="I3517" t="s">
        <v>70</v>
      </c>
      <c r="J3517" t="s">
        <v>321</v>
      </c>
      <c r="K3517">
        <v>1554.57</v>
      </c>
      <c r="L3517">
        <v>61.23</v>
      </c>
      <c r="M3517" t="s">
        <v>4237</v>
      </c>
      <c r="N3517">
        <v>6782</v>
      </c>
      <c r="O3517">
        <v>18.62</v>
      </c>
      <c r="P3517">
        <v>15.4</v>
      </c>
      <c r="R3517">
        <v>0.54</v>
      </c>
      <c r="S3517">
        <v>1.76</v>
      </c>
      <c r="T3517" t="s">
        <v>3493</v>
      </c>
      <c r="U3517">
        <v>0.55000000000000004</v>
      </c>
      <c r="V3517" t="s">
        <v>7906</v>
      </c>
      <c r="W3517" t="s">
        <v>2621</v>
      </c>
      <c r="Z3517" t="s">
        <v>239</v>
      </c>
      <c r="AA3517">
        <v>3.29</v>
      </c>
      <c r="AB3517" t="s">
        <v>2816</v>
      </c>
      <c r="AC3517" t="s">
        <v>102</v>
      </c>
      <c r="AE3517" t="s">
        <v>912</v>
      </c>
      <c r="AF3517" t="s">
        <v>2276</v>
      </c>
      <c r="AG3517" t="s">
        <v>1842</v>
      </c>
      <c r="AH3517" t="s">
        <v>5779</v>
      </c>
      <c r="AI3517" t="s">
        <v>3121</v>
      </c>
      <c r="AJ3517" t="s">
        <v>124</v>
      </c>
      <c r="AK3517" t="s">
        <v>5892</v>
      </c>
      <c r="AL3517">
        <v>3.09</v>
      </c>
      <c r="AM3517">
        <v>2.73</v>
      </c>
      <c r="AN3517">
        <v>0</v>
      </c>
      <c r="AO3517" t="s">
        <v>1550</v>
      </c>
      <c r="AP3517" t="s">
        <v>4093</v>
      </c>
      <c r="AQ3517" t="s">
        <v>2383</v>
      </c>
      <c r="AR3517" t="s">
        <v>3856</v>
      </c>
      <c r="AS3517" t="s">
        <v>2640</v>
      </c>
      <c r="AT3517" t="s">
        <v>5763</v>
      </c>
      <c r="AU3517" t="s">
        <v>7413</v>
      </c>
      <c r="AV3517" t="s">
        <v>2594</v>
      </c>
      <c r="AW3517" t="s">
        <v>3502</v>
      </c>
      <c r="AX3517" t="s">
        <v>2447</v>
      </c>
      <c r="AY3517" t="s">
        <v>26247</v>
      </c>
      <c r="AZ3517" t="s">
        <v>2447</v>
      </c>
      <c r="BA3517">
        <v>3</v>
      </c>
      <c r="BB3517">
        <v>79.099999999999994</v>
      </c>
      <c r="BC3517">
        <v>0.3</v>
      </c>
      <c r="BD3517">
        <v>61.2</v>
      </c>
      <c r="BE3517">
        <v>61.27</v>
      </c>
      <c r="BF3517">
        <v>60.88</v>
      </c>
      <c r="BG3517" t="s">
        <v>29436</v>
      </c>
      <c r="BH3517" t="s">
        <v>26247</v>
      </c>
      <c r="BI3517" t="s">
        <v>29437</v>
      </c>
      <c r="BJ3517" t="s">
        <v>101</v>
      </c>
      <c r="BK3517" t="s">
        <v>7230</v>
      </c>
      <c r="BL3517" t="s">
        <v>132</v>
      </c>
      <c r="BM3517" t="s">
        <v>6649</v>
      </c>
      <c r="BN3517" t="s">
        <v>27621</v>
      </c>
    </row>
    <row r="3518" spans="1:66" x14ac:dyDescent="0.25">
      <c r="A3518" t="str">
        <f>HYPERLINK("https://elite.finviz.com/quote.ashx?t=AVT&amp;ty=c&amp;p=d&amp;b=1", "AVT")</f>
        <v>AVT</v>
      </c>
      <c r="B3518">
        <v>4</v>
      </c>
      <c r="C3518">
        <v>105.92</v>
      </c>
      <c r="D3518">
        <v>39.4</v>
      </c>
      <c r="E3518" t="s">
        <v>29438</v>
      </c>
      <c r="F3518" t="s">
        <v>107</v>
      </c>
      <c r="G3518" t="s">
        <v>108</v>
      </c>
      <c r="H3518" t="s">
        <v>3661</v>
      </c>
      <c r="I3518" t="s">
        <v>70</v>
      </c>
      <c r="J3518" t="s">
        <v>321</v>
      </c>
      <c r="K3518">
        <v>4295.41</v>
      </c>
      <c r="L3518">
        <v>51.47</v>
      </c>
      <c r="M3518" t="s">
        <v>2213</v>
      </c>
      <c r="N3518">
        <v>73215</v>
      </c>
      <c r="O3518">
        <v>18.84</v>
      </c>
      <c r="P3518">
        <v>8.4</v>
      </c>
      <c r="R3518">
        <v>0.19</v>
      </c>
      <c r="S3518">
        <v>0.86</v>
      </c>
      <c r="T3518" t="s">
        <v>1933</v>
      </c>
      <c r="U3518">
        <v>1.34</v>
      </c>
      <c r="V3518" t="s">
        <v>5673</v>
      </c>
      <c r="W3518" t="s">
        <v>2232</v>
      </c>
      <c r="X3518" t="s">
        <v>2635</v>
      </c>
      <c r="Y3518" t="s">
        <v>8274</v>
      </c>
      <c r="Z3518" t="s">
        <v>515</v>
      </c>
      <c r="AA3518">
        <v>2.73</v>
      </c>
      <c r="AB3518" t="s">
        <v>7393</v>
      </c>
      <c r="AE3518" t="s">
        <v>16868</v>
      </c>
      <c r="AF3518" t="s">
        <v>997</v>
      </c>
      <c r="AG3518" t="s">
        <v>3343</v>
      </c>
      <c r="AH3518" t="s">
        <v>1338</v>
      </c>
      <c r="AI3518" t="s">
        <v>10132</v>
      </c>
      <c r="AJ3518" t="s">
        <v>1358</v>
      </c>
      <c r="AK3518" t="s">
        <v>29439</v>
      </c>
      <c r="AL3518">
        <v>2.4300000000000002</v>
      </c>
      <c r="AM3518">
        <v>1.1599999999999999</v>
      </c>
      <c r="AN3518">
        <v>0.56999999999999995</v>
      </c>
      <c r="AO3518" t="s">
        <v>6532</v>
      </c>
      <c r="AP3518" t="s">
        <v>3173</v>
      </c>
      <c r="AQ3518" t="s">
        <v>344</v>
      </c>
      <c r="AR3518" t="s">
        <v>908</v>
      </c>
      <c r="AS3518" t="s">
        <v>2609</v>
      </c>
      <c r="AT3518" t="s">
        <v>7907</v>
      </c>
      <c r="AU3518" t="s">
        <v>2893</v>
      </c>
      <c r="AV3518" t="s">
        <v>4955</v>
      </c>
      <c r="AW3518" t="s">
        <v>2587</v>
      </c>
      <c r="AX3518" t="s">
        <v>2622</v>
      </c>
      <c r="AY3518" t="s">
        <v>4464</v>
      </c>
      <c r="AZ3518" t="s">
        <v>15404</v>
      </c>
      <c r="BA3518">
        <v>3.43</v>
      </c>
      <c r="BB3518">
        <v>894.34</v>
      </c>
      <c r="BC3518">
        <v>0.28999999999999998</v>
      </c>
      <c r="BD3518">
        <v>51.57</v>
      </c>
      <c r="BE3518">
        <v>51.87</v>
      </c>
      <c r="BF3518">
        <v>51.2</v>
      </c>
      <c r="BG3518" t="s">
        <v>29440</v>
      </c>
      <c r="BH3518" t="s">
        <v>4464</v>
      </c>
      <c r="BI3518" t="s">
        <v>29441</v>
      </c>
      <c r="BJ3518" t="s">
        <v>101</v>
      </c>
      <c r="BK3518" t="s">
        <v>10568</v>
      </c>
      <c r="BL3518" t="s">
        <v>5319</v>
      </c>
      <c r="BM3518" t="s">
        <v>8216</v>
      </c>
      <c r="BN3518" t="s">
        <v>27621</v>
      </c>
    </row>
    <row r="3519" spans="1:66" x14ac:dyDescent="0.25">
      <c r="A3519" t="str">
        <f>HYPERLINK("https://elite.finviz.com/quote.ashx?t=MTSI&amp;ty=c&amp;p=d&amp;b=1", "MTSI")</f>
        <v>MTSI</v>
      </c>
      <c r="B3519">
        <v>4</v>
      </c>
      <c r="C3519">
        <v>105.92</v>
      </c>
      <c r="D3519">
        <v>39.409999999999997</v>
      </c>
      <c r="E3519" t="s">
        <v>29442</v>
      </c>
      <c r="F3519" t="s">
        <v>107</v>
      </c>
      <c r="G3519" t="s">
        <v>108</v>
      </c>
      <c r="H3519" t="s">
        <v>1808</v>
      </c>
      <c r="I3519" t="s">
        <v>70</v>
      </c>
      <c r="J3519" t="s">
        <v>321</v>
      </c>
      <c r="K3519">
        <v>9253.14</v>
      </c>
      <c r="L3519">
        <v>124.25</v>
      </c>
      <c r="M3519" t="s">
        <v>2641</v>
      </c>
      <c r="N3519">
        <v>233531</v>
      </c>
      <c r="P3519">
        <v>30.51</v>
      </c>
      <c r="R3519">
        <v>10.199999999999999</v>
      </c>
      <c r="S3519">
        <v>7.32</v>
      </c>
      <c r="Z3519" t="s">
        <v>164</v>
      </c>
      <c r="AA3519">
        <v>-1.01</v>
      </c>
      <c r="AB3519" t="s">
        <v>15766</v>
      </c>
      <c r="AD3519" t="s">
        <v>6154</v>
      </c>
      <c r="AE3519" t="s">
        <v>17755</v>
      </c>
      <c r="AF3519" t="s">
        <v>6684</v>
      </c>
      <c r="AG3519" t="s">
        <v>1090</v>
      </c>
      <c r="AH3519" t="s">
        <v>4449</v>
      </c>
      <c r="AI3519" t="s">
        <v>439</v>
      </c>
      <c r="AJ3519" t="s">
        <v>11904</v>
      </c>
      <c r="AK3519" t="s">
        <v>25327</v>
      </c>
      <c r="AL3519">
        <v>3.83</v>
      </c>
      <c r="AM3519">
        <v>3.1</v>
      </c>
      <c r="AN3519">
        <v>0.45</v>
      </c>
      <c r="AO3519" t="s">
        <v>3960</v>
      </c>
      <c r="AP3519" t="s">
        <v>7114</v>
      </c>
      <c r="AQ3519" t="s">
        <v>18212</v>
      </c>
      <c r="AR3519" t="s">
        <v>90</v>
      </c>
      <c r="AS3519" t="s">
        <v>6937</v>
      </c>
      <c r="AT3519" t="s">
        <v>3897</v>
      </c>
      <c r="AU3519" t="s">
        <v>8139</v>
      </c>
      <c r="AV3519" t="s">
        <v>2760</v>
      </c>
      <c r="AW3519" t="s">
        <v>19697</v>
      </c>
      <c r="AX3519" t="s">
        <v>6527</v>
      </c>
      <c r="AY3519" t="s">
        <v>15587</v>
      </c>
      <c r="AZ3519" t="s">
        <v>21617</v>
      </c>
      <c r="BA3519">
        <v>1.56</v>
      </c>
      <c r="BB3519">
        <v>833.22</v>
      </c>
      <c r="BC3519">
        <v>0.99</v>
      </c>
      <c r="BD3519">
        <v>123.88</v>
      </c>
      <c r="BE3519">
        <v>124.77</v>
      </c>
      <c r="BF3519">
        <v>123.22</v>
      </c>
      <c r="BG3519" t="s">
        <v>29443</v>
      </c>
      <c r="BH3519" t="s">
        <v>15587</v>
      </c>
      <c r="BI3519" t="s">
        <v>29444</v>
      </c>
      <c r="BJ3519" t="s">
        <v>101</v>
      </c>
      <c r="BK3519" t="s">
        <v>2545</v>
      </c>
      <c r="BL3519" t="s">
        <v>20432</v>
      </c>
      <c r="BM3519" t="s">
        <v>6815</v>
      </c>
      <c r="BN3519" t="s">
        <v>27621</v>
      </c>
    </row>
    <row r="3520" spans="1:66" x14ac:dyDescent="0.25">
      <c r="A3520" t="str">
        <f>HYPERLINK("https://elite.finviz.com/quote.ashx?t=SRI&amp;ty=c&amp;p=d&amp;b=1", "SRI")</f>
        <v>SRI</v>
      </c>
      <c r="B3520">
        <v>4</v>
      </c>
      <c r="C3520">
        <v>105.92</v>
      </c>
      <c r="D3520">
        <v>39.43</v>
      </c>
      <c r="E3520" t="s">
        <v>29445</v>
      </c>
      <c r="F3520" t="s">
        <v>107</v>
      </c>
      <c r="G3520" t="s">
        <v>813</v>
      </c>
      <c r="H3520" t="s">
        <v>814</v>
      </c>
      <c r="I3520" t="s">
        <v>70</v>
      </c>
      <c r="J3520" t="s">
        <v>71</v>
      </c>
      <c r="K3520">
        <v>214.72</v>
      </c>
      <c r="L3520">
        <v>7.67</v>
      </c>
      <c r="M3520" t="s">
        <v>4065</v>
      </c>
      <c r="N3520">
        <v>30987</v>
      </c>
      <c r="R3520">
        <v>0.24</v>
      </c>
      <c r="S3520">
        <v>0.82</v>
      </c>
      <c r="AA3520">
        <v>-1.07</v>
      </c>
      <c r="AE3520" t="s">
        <v>269</v>
      </c>
      <c r="AF3520" t="s">
        <v>7231</v>
      </c>
      <c r="AG3520" t="s">
        <v>6493</v>
      </c>
      <c r="AH3520" t="s">
        <v>308</v>
      </c>
      <c r="AI3520" t="s">
        <v>29446</v>
      </c>
      <c r="AJ3520" t="s">
        <v>164</v>
      </c>
      <c r="AK3520" t="s">
        <v>27966</v>
      </c>
      <c r="AL3520">
        <v>2.14</v>
      </c>
      <c r="AM3520">
        <v>1.35</v>
      </c>
      <c r="AN3520">
        <v>0.66</v>
      </c>
      <c r="AO3520" t="s">
        <v>13279</v>
      </c>
      <c r="AP3520" t="s">
        <v>7646</v>
      </c>
      <c r="AQ3520" t="s">
        <v>12575</v>
      </c>
      <c r="AR3520" t="s">
        <v>2384</v>
      </c>
      <c r="AS3520" t="s">
        <v>3670</v>
      </c>
      <c r="AT3520" t="s">
        <v>6985</v>
      </c>
      <c r="AU3520" t="s">
        <v>9780</v>
      </c>
      <c r="AV3520" t="s">
        <v>12397</v>
      </c>
      <c r="AW3520" t="s">
        <v>15888</v>
      </c>
      <c r="AX3520" t="s">
        <v>5706</v>
      </c>
      <c r="AY3520" t="s">
        <v>18719</v>
      </c>
      <c r="AZ3520" t="s">
        <v>16857</v>
      </c>
      <c r="BA3520">
        <v>1</v>
      </c>
      <c r="BB3520">
        <v>361.31</v>
      </c>
      <c r="BC3520">
        <v>0.3</v>
      </c>
      <c r="BD3520">
        <v>7.75</v>
      </c>
      <c r="BE3520">
        <v>7.77</v>
      </c>
      <c r="BF3520">
        <v>7.67</v>
      </c>
      <c r="BG3520" t="s">
        <v>29447</v>
      </c>
      <c r="BH3520" t="s">
        <v>29448</v>
      </c>
      <c r="BI3520" t="s">
        <v>29449</v>
      </c>
      <c r="BJ3520" t="s">
        <v>101</v>
      </c>
      <c r="BK3520" t="s">
        <v>6415</v>
      </c>
      <c r="BL3520" t="s">
        <v>29450</v>
      </c>
      <c r="BM3520" t="s">
        <v>10229</v>
      </c>
      <c r="BN3520" t="s">
        <v>27621</v>
      </c>
    </row>
    <row r="3521" spans="1:66" x14ac:dyDescent="0.25">
      <c r="A3521" t="str">
        <f>HYPERLINK("https://elite.finviz.com/quote.ashx?t=CODI&amp;ty=c&amp;p=d&amp;b=1", "CODI")</f>
        <v>CODI</v>
      </c>
      <c r="B3521">
        <v>4</v>
      </c>
      <c r="C3521">
        <v>105.92</v>
      </c>
      <c r="D3521">
        <v>39.44</v>
      </c>
      <c r="E3521" t="s">
        <v>29451</v>
      </c>
      <c r="F3521" t="s">
        <v>67</v>
      </c>
      <c r="G3521" t="s">
        <v>260</v>
      </c>
      <c r="H3521" t="s">
        <v>2508</v>
      </c>
      <c r="I3521" t="s">
        <v>70</v>
      </c>
      <c r="J3521" t="s">
        <v>71</v>
      </c>
      <c r="K3521">
        <v>505.22</v>
      </c>
      <c r="L3521">
        <v>6.72</v>
      </c>
      <c r="M3521" t="s">
        <v>1364</v>
      </c>
      <c r="N3521">
        <v>124340</v>
      </c>
      <c r="R3521">
        <v>0.23</v>
      </c>
      <c r="S3521">
        <v>0.57999999999999996</v>
      </c>
      <c r="T3521" t="s">
        <v>5459</v>
      </c>
      <c r="U3521">
        <v>0.75</v>
      </c>
      <c r="V3521" t="s">
        <v>29452</v>
      </c>
      <c r="W3521" t="s">
        <v>164</v>
      </c>
      <c r="X3521" t="s">
        <v>2537</v>
      </c>
      <c r="Y3521" t="s">
        <v>15209</v>
      </c>
      <c r="AA3521">
        <v>-1.39</v>
      </c>
      <c r="AB3521" t="s">
        <v>14227</v>
      </c>
      <c r="AC3521" t="s">
        <v>7010</v>
      </c>
      <c r="AE3521" t="s">
        <v>954</v>
      </c>
      <c r="AF3521" t="s">
        <v>5026</v>
      </c>
      <c r="AG3521" t="s">
        <v>2428</v>
      </c>
      <c r="AH3521" t="s">
        <v>7773</v>
      </c>
      <c r="AI3521" t="s">
        <v>5420</v>
      </c>
      <c r="AJ3521" t="s">
        <v>164</v>
      </c>
      <c r="AK3521" t="s">
        <v>532</v>
      </c>
      <c r="AL3521">
        <v>4.07</v>
      </c>
      <c r="AM3521">
        <v>1.57</v>
      </c>
      <c r="AN3521">
        <v>1.55</v>
      </c>
      <c r="AO3521" t="s">
        <v>3609</v>
      </c>
      <c r="AP3521" t="s">
        <v>1652</v>
      </c>
      <c r="AQ3521" t="s">
        <v>11628</v>
      </c>
      <c r="AR3521" t="s">
        <v>7284</v>
      </c>
      <c r="AS3521" t="s">
        <v>4323</v>
      </c>
      <c r="AT3521" t="s">
        <v>11702</v>
      </c>
      <c r="AU3521" t="s">
        <v>13232</v>
      </c>
      <c r="AV3521" t="s">
        <v>29453</v>
      </c>
      <c r="AW3521" t="s">
        <v>19779</v>
      </c>
      <c r="AX3521" t="s">
        <v>4248</v>
      </c>
      <c r="AY3521" t="s">
        <v>29454</v>
      </c>
      <c r="AZ3521" t="s">
        <v>10812</v>
      </c>
      <c r="BA3521">
        <v>3</v>
      </c>
      <c r="BB3521">
        <v>932.6</v>
      </c>
      <c r="BC3521">
        <v>0.47</v>
      </c>
      <c r="BD3521">
        <v>6.74</v>
      </c>
      <c r="BE3521">
        <v>6.77</v>
      </c>
      <c r="BF3521">
        <v>6.66</v>
      </c>
      <c r="BG3521" t="s">
        <v>29455</v>
      </c>
      <c r="BH3521" t="s">
        <v>3104</v>
      </c>
      <c r="BI3521" t="s">
        <v>10812</v>
      </c>
      <c r="BJ3521" t="s">
        <v>101</v>
      </c>
      <c r="BK3521" t="s">
        <v>1468</v>
      </c>
      <c r="BL3521" t="s">
        <v>21825</v>
      </c>
      <c r="BM3521" t="s">
        <v>24774</v>
      </c>
      <c r="BN3521" t="s">
        <v>27621</v>
      </c>
    </row>
    <row r="3522" spans="1:66" x14ac:dyDescent="0.25">
      <c r="A3522" t="str">
        <f>HYPERLINK("https://elite.finviz.com/quote.ashx?t=GHI&amp;ty=c&amp;p=d&amp;b=1", "GHI")</f>
        <v>GHI</v>
      </c>
      <c r="B3522">
        <v>4</v>
      </c>
      <c r="C3522">
        <v>105.92</v>
      </c>
      <c r="D3522">
        <v>39.450000000000003</v>
      </c>
      <c r="E3522" t="s">
        <v>29456</v>
      </c>
      <c r="F3522" t="s">
        <v>107</v>
      </c>
      <c r="G3522" t="s">
        <v>550</v>
      </c>
      <c r="H3522" t="s">
        <v>3699</v>
      </c>
      <c r="I3522" t="s">
        <v>70</v>
      </c>
      <c r="J3522" t="s">
        <v>71</v>
      </c>
      <c r="K3522">
        <v>247.04</v>
      </c>
      <c r="L3522">
        <v>10.48</v>
      </c>
      <c r="M3522" t="s">
        <v>183</v>
      </c>
      <c r="N3522">
        <v>4626</v>
      </c>
      <c r="P3522">
        <v>7.13</v>
      </c>
      <c r="R3522">
        <v>2.41</v>
      </c>
      <c r="S3522">
        <v>0.89</v>
      </c>
      <c r="T3522" t="s">
        <v>4390</v>
      </c>
      <c r="U3522">
        <v>1.41</v>
      </c>
      <c r="V3522" t="s">
        <v>198</v>
      </c>
      <c r="W3522" t="s">
        <v>4856</v>
      </c>
      <c r="X3522" t="s">
        <v>1955</v>
      </c>
      <c r="Y3522" t="s">
        <v>2418</v>
      </c>
      <c r="Z3522" t="s">
        <v>29457</v>
      </c>
      <c r="AA3522">
        <v>-0.08</v>
      </c>
      <c r="AB3522" t="s">
        <v>18462</v>
      </c>
      <c r="AC3522" t="s">
        <v>1137</v>
      </c>
      <c r="AE3522" t="s">
        <v>6436</v>
      </c>
      <c r="AF3522" t="s">
        <v>7542</v>
      </c>
      <c r="AG3522" t="s">
        <v>2542</v>
      </c>
      <c r="AH3522" t="s">
        <v>6659</v>
      </c>
      <c r="AI3522" t="s">
        <v>23834</v>
      </c>
      <c r="AJ3522" t="s">
        <v>164</v>
      </c>
      <c r="AK3522" t="s">
        <v>863</v>
      </c>
      <c r="AL3522">
        <v>0.24</v>
      </c>
      <c r="AM3522">
        <v>0.24</v>
      </c>
      <c r="AN3522">
        <v>2.85</v>
      </c>
      <c r="AO3522" t="s">
        <v>29458</v>
      </c>
      <c r="AP3522" t="s">
        <v>7755</v>
      </c>
      <c r="AQ3522" t="s">
        <v>9618</v>
      </c>
      <c r="AR3522" t="s">
        <v>9136</v>
      </c>
      <c r="AS3522" t="s">
        <v>2339</v>
      </c>
      <c r="AT3522" t="s">
        <v>8763</v>
      </c>
      <c r="AU3522" t="s">
        <v>4698</v>
      </c>
      <c r="AV3522" t="s">
        <v>8382</v>
      </c>
      <c r="AW3522" t="s">
        <v>5964</v>
      </c>
      <c r="AX3522" t="s">
        <v>8013</v>
      </c>
      <c r="AY3522" t="s">
        <v>9269</v>
      </c>
      <c r="AZ3522" t="s">
        <v>1926</v>
      </c>
      <c r="BA3522">
        <v>1</v>
      </c>
      <c r="BB3522">
        <v>48.53</v>
      </c>
      <c r="BC3522">
        <v>0.34</v>
      </c>
      <c r="BD3522">
        <v>10.46</v>
      </c>
      <c r="BE3522">
        <v>10.48</v>
      </c>
      <c r="BF3522">
        <v>10.44</v>
      </c>
      <c r="BG3522" t="s">
        <v>29459</v>
      </c>
      <c r="BH3522" t="s">
        <v>25747</v>
      </c>
      <c r="BI3522" t="s">
        <v>351</v>
      </c>
      <c r="BJ3522" t="s">
        <v>101</v>
      </c>
      <c r="BK3522" t="s">
        <v>23695</v>
      </c>
      <c r="BL3522" t="s">
        <v>7065</v>
      </c>
      <c r="BM3522" t="s">
        <v>14395</v>
      </c>
      <c r="BN3522" t="s">
        <v>27621</v>
      </c>
    </row>
    <row r="3523" spans="1:66" x14ac:dyDescent="0.25">
      <c r="A3523" t="str">
        <f>HYPERLINK("https://elite.finviz.com/quote.ashx?t=EPAM&amp;ty=c&amp;p=d&amp;b=1", "EPAM")</f>
        <v>EPAM</v>
      </c>
      <c r="B3523">
        <v>4</v>
      </c>
      <c r="C3523">
        <v>105.92</v>
      </c>
      <c r="D3523">
        <v>39.47</v>
      </c>
      <c r="E3523" t="s">
        <v>29460</v>
      </c>
      <c r="F3523" t="s">
        <v>195</v>
      </c>
      <c r="G3523" t="s">
        <v>108</v>
      </c>
      <c r="H3523" t="s">
        <v>1322</v>
      </c>
      <c r="I3523" t="s">
        <v>70</v>
      </c>
      <c r="J3523" t="s">
        <v>71</v>
      </c>
      <c r="K3523">
        <v>8460.92</v>
      </c>
      <c r="L3523">
        <v>151.91</v>
      </c>
      <c r="M3523" t="s">
        <v>5158</v>
      </c>
      <c r="N3523">
        <v>152237</v>
      </c>
      <c r="O3523">
        <v>21.66</v>
      </c>
      <c r="P3523">
        <v>12.46</v>
      </c>
      <c r="Q3523">
        <v>2.75</v>
      </c>
      <c r="R3523">
        <v>1.67</v>
      </c>
      <c r="S3523">
        <v>2.31</v>
      </c>
      <c r="Z3523" t="s">
        <v>164</v>
      </c>
      <c r="AA3523">
        <v>7.01</v>
      </c>
      <c r="AB3523" t="s">
        <v>2176</v>
      </c>
      <c r="AC3523" t="s">
        <v>5446</v>
      </c>
      <c r="AD3523" t="s">
        <v>1114</v>
      </c>
      <c r="AE3523" t="s">
        <v>2400</v>
      </c>
      <c r="AF3523" t="s">
        <v>2447</v>
      </c>
      <c r="AG3523" t="s">
        <v>328</v>
      </c>
      <c r="AH3523" t="s">
        <v>1843</v>
      </c>
      <c r="AI3523" t="s">
        <v>4077</v>
      </c>
      <c r="AJ3523" t="s">
        <v>5777</v>
      </c>
      <c r="AK3523" t="s">
        <v>13839</v>
      </c>
      <c r="AL3523">
        <v>3.17</v>
      </c>
      <c r="AM3523">
        <v>3.17</v>
      </c>
      <c r="AN3523">
        <v>0.04</v>
      </c>
      <c r="AO3523" t="s">
        <v>12178</v>
      </c>
      <c r="AP3523" t="s">
        <v>4067</v>
      </c>
      <c r="AQ3523" t="s">
        <v>3687</v>
      </c>
      <c r="AR3523" t="s">
        <v>5187</v>
      </c>
      <c r="AS3523" t="s">
        <v>5593</v>
      </c>
      <c r="AT3523" t="s">
        <v>6822</v>
      </c>
      <c r="AU3523" t="s">
        <v>5488</v>
      </c>
      <c r="AV3523" t="s">
        <v>4740</v>
      </c>
      <c r="AW3523" t="s">
        <v>8138</v>
      </c>
      <c r="AX3523" t="s">
        <v>5592</v>
      </c>
      <c r="AY3523" t="s">
        <v>27103</v>
      </c>
      <c r="AZ3523" t="s">
        <v>1064</v>
      </c>
      <c r="BA3523">
        <v>1.58</v>
      </c>
      <c r="BB3523">
        <v>765.91</v>
      </c>
      <c r="BC3523">
        <v>0.7</v>
      </c>
      <c r="BD3523">
        <v>149.99</v>
      </c>
      <c r="BE3523">
        <v>152.19999999999999</v>
      </c>
      <c r="BF3523">
        <v>149.49</v>
      </c>
      <c r="BG3523" t="s">
        <v>29461</v>
      </c>
      <c r="BH3523" t="s">
        <v>11281</v>
      </c>
      <c r="BI3523" t="s">
        <v>29462</v>
      </c>
      <c r="BJ3523" t="s">
        <v>101</v>
      </c>
      <c r="BK3523" t="s">
        <v>2982</v>
      </c>
      <c r="BL3523" t="s">
        <v>817</v>
      </c>
      <c r="BM3523" t="s">
        <v>805</v>
      </c>
      <c r="BN3523" t="s">
        <v>27621</v>
      </c>
    </row>
    <row r="3524" spans="1:66" x14ac:dyDescent="0.25">
      <c r="A3524" t="str">
        <f>HYPERLINK("https://elite.finviz.com/quote.ashx?t=WGS&amp;ty=c&amp;p=d&amp;b=1", "WGS")</f>
        <v>WGS</v>
      </c>
      <c r="B3524">
        <v>4</v>
      </c>
      <c r="C3524">
        <v>105.92</v>
      </c>
      <c r="D3524">
        <v>39.520000000000003</v>
      </c>
      <c r="E3524" t="s">
        <v>29463</v>
      </c>
      <c r="F3524" t="s">
        <v>67</v>
      </c>
      <c r="G3524" t="s">
        <v>428</v>
      </c>
      <c r="H3524" t="s">
        <v>4202</v>
      </c>
      <c r="I3524" t="s">
        <v>70</v>
      </c>
      <c r="J3524" t="s">
        <v>321</v>
      </c>
      <c r="K3524">
        <v>3246.64</v>
      </c>
      <c r="L3524">
        <v>113.02</v>
      </c>
      <c r="M3524" t="s">
        <v>4237</v>
      </c>
      <c r="N3524">
        <v>95590</v>
      </c>
      <c r="O3524">
        <v>6043.85</v>
      </c>
      <c r="P3524">
        <v>45.6</v>
      </c>
      <c r="Q3524">
        <v>43.15</v>
      </c>
      <c r="R3524">
        <v>8.9600000000000009</v>
      </c>
      <c r="S3524">
        <v>11.71</v>
      </c>
      <c r="AA3524">
        <v>0.02</v>
      </c>
      <c r="AB3524" t="s">
        <v>24156</v>
      </c>
      <c r="AC3524" t="s">
        <v>24803</v>
      </c>
      <c r="AD3524" t="s">
        <v>29464</v>
      </c>
      <c r="AE3524" t="s">
        <v>4491</v>
      </c>
      <c r="AF3524" t="s">
        <v>1116</v>
      </c>
      <c r="AG3524" t="s">
        <v>8437</v>
      </c>
      <c r="AH3524" t="s">
        <v>13535</v>
      </c>
      <c r="AI3524" t="s">
        <v>29465</v>
      </c>
      <c r="AJ3524" t="s">
        <v>6991</v>
      </c>
      <c r="AK3524" t="s">
        <v>29466</v>
      </c>
      <c r="AL3524">
        <v>2.87</v>
      </c>
      <c r="AM3524">
        <v>2.7</v>
      </c>
      <c r="AN3524">
        <v>0.42</v>
      </c>
      <c r="AO3524" t="s">
        <v>17912</v>
      </c>
      <c r="AP3524" t="s">
        <v>2219</v>
      </c>
      <c r="AQ3524" t="s">
        <v>6719</v>
      </c>
      <c r="AR3524" t="s">
        <v>5027</v>
      </c>
      <c r="AS3524" t="s">
        <v>371</v>
      </c>
      <c r="AT3524" t="s">
        <v>119</v>
      </c>
      <c r="AU3524" t="s">
        <v>655</v>
      </c>
      <c r="AV3524" t="s">
        <v>11052</v>
      </c>
      <c r="AW3524" t="s">
        <v>10304</v>
      </c>
      <c r="AX3524" t="s">
        <v>832</v>
      </c>
      <c r="AY3524" t="s">
        <v>10304</v>
      </c>
      <c r="AZ3524" t="s">
        <v>29467</v>
      </c>
      <c r="BA3524">
        <v>1.25</v>
      </c>
      <c r="BB3524">
        <v>751.45</v>
      </c>
      <c r="BC3524">
        <v>0.45</v>
      </c>
      <c r="BD3524">
        <v>112.96</v>
      </c>
      <c r="BE3524">
        <v>113.58</v>
      </c>
      <c r="BF3524">
        <v>111.54</v>
      </c>
      <c r="BG3524" t="s">
        <v>29468</v>
      </c>
      <c r="BH3524" t="s">
        <v>29469</v>
      </c>
      <c r="BI3524" t="s">
        <v>29470</v>
      </c>
      <c r="BJ3524" t="s">
        <v>101</v>
      </c>
      <c r="BK3524" t="s">
        <v>21465</v>
      </c>
      <c r="BL3524" t="s">
        <v>18702</v>
      </c>
      <c r="BM3524" t="s">
        <v>29471</v>
      </c>
      <c r="BN3524" t="s">
        <v>27621</v>
      </c>
    </row>
    <row r="3525" spans="1:66" x14ac:dyDescent="0.25">
      <c r="A3525" t="str">
        <f>HYPERLINK("https://elite.finviz.com/quote.ashx?t=SPRO&amp;ty=c&amp;p=d&amp;b=1", "SPRO")</f>
        <v>SPRO</v>
      </c>
      <c r="B3525">
        <v>4</v>
      </c>
      <c r="C3525">
        <v>105.92</v>
      </c>
      <c r="D3525">
        <v>39.54</v>
      </c>
      <c r="E3525" t="s">
        <v>29472</v>
      </c>
      <c r="F3525" t="s">
        <v>107</v>
      </c>
      <c r="G3525" t="s">
        <v>428</v>
      </c>
      <c r="H3525" t="s">
        <v>429</v>
      </c>
      <c r="I3525" t="s">
        <v>70</v>
      </c>
      <c r="J3525" t="s">
        <v>321</v>
      </c>
      <c r="K3525">
        <v>105.79</v>
      </c>
      <c r="L3525">
        <v>1.88</v>
      </c>
      <c r="M3525" t="s">
        <v>10262</v>
      </c>
      <c r="N3525">
        <v>175218</v>
      </c>
      <c r="R3525">
        <v>3.1</v>
      </c>
      <c r="S3525">
        <v>3.22</v>
      </c>
      <c r="AA3525">
        <v>-0.98</v>
      </c>
      <c r="AB3525" t="s">
        <v>4285</v>
      </c>
      <c r="AC3525" t="s">
        <v>535</v>
      </c>
      <c r="AD3525" t="s">
        <v>8837</v>
      </c>
      <c r="AE3525" t="s">
        <v>29473</v>
      </c>
      <c r="AF3525" t="s">
        <v>29474</v>
      </c>
      <c r="AG3525" t="s">
        <v>7616</v>
      </c>
      <c r="AH3525" t="s">
        <v>17531</v>
      </c>
      <c r="AI3525" t="s">
        <v>13523</v>
      </c>
      <c r="AJ3525" t="s">
        <v>3752</v>
      </c>
      <c r="AK3525" t="s">
        <v>7301</v>
      </c>
      <c r="AL3525">
        <v>3.97</v>
      </c>
      <c r="AM3525">
        <v>3.97</v>
      </c>
      <c r="AN3525">
        <v>0.11</v>
      </c>
      <c r="AP3525" t="s">
        <v>29475</v>
      </c>
      <c r="AQ3525" t="s">
        <v>29476</v>
      </c>
      <c r="AR3525" t="s">
        <v>8818</v>
      </c>
      <c r="AS3525" t="s">
        <v>454</v>
      </c>
      <c r="AT3525" t="s">
        <v>8004</v>
      </c>
      <c r="AU3525" t="s">
        <v>7439</v>
      </c>
      <c r="AV3525" t="s">
        <v>10087</v>
      </c>
      <c r="AW3525" t="s">
        <v>7766</v>
      </c>
      <c r="AX3525" t="s">
        <v>2810</v>
      </c>
      <c r="AY3525" t="s">
        <v>24723</v>
      </c>
      <c r="AZ3525" t="s">
        <v>29477</v>
      </c>
      <c r="BA3525">
        <v>3</v>
      </c>
      <c r="BB3525">
        <v>646.57000000000005</v>
      </c>
      <c r="BC3525">
        <v>0.95</v>
      </c>
      <c r="BD3525">
        <v>1.94</v>
      </c>
      <c r="BE3525">
        <v>1.96</v>
      </c>
      <c r="BF3525">
        <v>1.87</v>
      </c>
      <c r="BG3525" t="s">
        <v>29478</v>
      </c>
      <c r="BH3525" t="s">
        <v>29479</v>
      </c>
      <c r="BI3525" t="s">
        <v>29477</v>
      </c>
      <c r="BJ3525" t="s">
        <v>101</v>
      </c>
      <c r="BK3525" t="s">
        <v>10827</v>
      </c>
      <c r="BL3525" t="s">
        <v>29480</v>
      </c>
      <c r="BM3525" t="s">
        <v>17551</v>
      </c>
      <c r="BN3525" t="s">
        <v>27621</v>
      </c>
    </row>
    <row r="3526" spans="1:66" x14ac:dyDescent="0.25">
      <c r="A3526" t="str">
        <f>HYPERLINK("https://elite.finviz.com/quote.ashx?t=RS&amp;ty=c&amp;p=d&amp;b=1", "RS")</f>
        <v>RS</v>
      </c>
      <c r="B3526">
        <v>4</v>
      </c>
      <c r="C3526">
        <v>105.92</v>
      </c>
      <c r="D3526">
        <v>39.57</v>
      </c>
      <c r="E3526" t="s">
        <v>29481</v>
      </c>
      <c r="F3526" t="s">
        <v>107</v>
      </c>
      <c r="G3526" t="s">
        <v>355</v>
      </c>
      <c r="H3526" t="s">
        <v>10220</v>
      </c>
      <c r="I3526" t="s">
        <v>70</v>
      </c>
      <c r="J3526" t="s">
        <v>71</v>
      </c>
      <c r="K3526">
        <v>14887.61</v>
      </c>
      <c r="L3526">
        <v>283.07</v>
      </c>
      <c r="M3526" t="s">
        <v>2125</v>
      </c>
      <c r="N3526">
        <v>21195</v>
      </c>
      <c r="O3526">
        <v>20.67</v>
      </c>
      <c r="P3526">
        <v>14.93</v>
      </c>
      <c r="Q3526">
        <v>4.04</v>
      </c>
      <c r="R3526">
        <v>1.0900000000000001</v>
      </c>
      <c r="S3526">
        <v>2.06</v>
      </c>
      <c r="T3526" t="s">
        <v>908</v>
      </c>
      <c r="U3526">
        <v>4.7</v>
      </c>
      <c r="V3526" t="s">
        <v>3046</v>
      </c>
      <c r="W3526" t="s">
        <v>3962</v>
      </c>
      <c r="X3526" t="s">
        <v>87</v>
      </c>
      <c r="Y3526" t="s">
        <v>1561</v>
      </c>
      <c r="Z3526" t="s">
        <v>14986</v>
      </c>
      <c r="AA3526">
        <v>13.7</v>
      </c>
      <c r="AB3526" t="s">
        <v>16226</v>
      </c>
      <c r="AC3526" t="s">
        <v>11639</v>
      </c>
      <c r="AD3526" t="s">
        <v>1063</v>
      </c>
      <c r="AE3526" t="s">
        <v>6739</v>
      </c>
      <c r="AF3526" t="s">
        <v>1202</v>
      </c>
      <c r="AG3526" t="s">
        <v>215</v>
      </c>
      <c r="AH3526" t="s">
        <v>914</v>
      </c>
      <c r="AI3526" t="s">
        <v>6345</v>
      </c>
      <c r="AJ3526" t="s">
        <v>164</v>
      </c>
      <c r="AK3526" t="s">
        <v>29482</v>
      </c>
      <c r="AL3526">
        <v>3.18</v>
      </c>
      <c r="AM3526">
        <v>1.51</v>
      </c>
      <c r="AN3526">
        <v>0.24</v>
      </c>
      <c r="AO3526" t="s">
        <v>877</v>
      </c>
      <c r="AP3526" t="s">
        <v>5847</v>
      </c>
      <c r="AQ3526" t="s">
        <v>896</v>
      </c>
      <c r="AR3526" t="s">
        <v>679</v>
      </c>
      <c r="AS3526" t="s">
        <v>6975</v>
      </c>
      <c r="AT3526" t="s">
        <v>6162</v>
      </c>
      <c r="AU3526" t="s">
        <v>7689</v>
      </c>
      <c r="AV3526" t="s">
        <v>12274</v>
      </c>
      <c r="AW3526" t="s">
        <v>9578</v>
      </c>
      <c r="AX3526" t="s">
        <v>102</v>
      </c>
      <c r="AY3526" t="s">
        <v>9578</v>
      </c>
      <c r="AZ3526" t="s">
        <v>3077</v>
      </c>
      <c r="BA3526">
        <v>2.27</v>
      </c>
      <c r="BB3526">
        <v>362.66</v>
      </c>
      <c r="BC3526">
        <v>0.21</v>
      </c>
      <c r="BD3526">
        <v>280.58</v>
      </c>
      <c r="BE3526">
        <v>284.2</v>
      </c>
      <c r="BF3526">
        <v>282.95999999999998</v>
      </c>
      <c r="BG3526" t="s">
        <v>29483</v>
      </c>
      <c r="BH3526" t="s">
        <v>9578</v>
      </c>
      <c r="BI3526" t="s">
        <v>29484</v>
      </c>
      <c r="BJ3526" t="s">
        <v>101</v>
      </c>
      <c r="BK3526" t="s">
        <v>3941</v>
      </c>
      <c r="BL3526" t="s">
        <v>331</v>
      </c>
      <c r="BM3526" t="s">
        <v>8763</v>
      </c>
      <c r="BN3526" t="s">
        <v>27621</v>
      </c>
    </row>
    <row r="3527" spans="1:66" x14ac:dyDescent="0.25">
      <c r="A3527" t="str">
        <f>HYPERLINK("https://elite.finviz.com/quote.ashx?t=AMPH&amp;ty=c&amp;p=d&amp;b=1", "AMPH")</f>
        <v>AMPH</v>
      </c>
      <c r="B3527">
        <v>4</v>
      </c>
      <c r="C3527">
        <v>105.92</v>
      </c>
      <c r="D3527">
        <v>39.58</v>
      </c>
      <c r="E3527" t="s">
        <v>29485</v>
      </c>
      <c r="F3527" t="s">
        <v>67</v>
      </c>
      <c r="G3527" t="s">
        <v>428</v>
      </c>
      <c r="H3527" t="s">
        <v>1296</v>
      </c>
      <c r="I3527" t="s">
        <v>70</v>
      </c>
      <c r="J3527" t="s">
        <v>321</v>
      </c>
      <c r="K3527">
        <v>1230.26</v>
      </c>
      <c r="L3527">
        <v>26.46</v>
      </c>
      <c r="M3527" t="s">
        <v>3226</v>
      </c>
      <c r="N3527">
        <v>48736</v>
      </c>
      <c r="O3527">
        <v>9.91</v>
      </c>
      <c r="P3527">
        <v>6.98</v>
      </c>
      <c r="Q3527">
        <v>4.6100000000000003</v>
      </c>
      <c r="R3527">
        <v>1.7</v>
      </c>
      <c r="S3527">
        <v>1.62</v>
      </c>
      <c r="Z3527" t="s">
        <v>164</v>
      </c>
      <c r="AA3527">
        <v>2.67</v>
      </c>
      <c r="AB3527" t="s">
        <v>29327</v>
      </c>
      <c r="AC3527" t="s">
        <v>18905</v>
      </c>
      <c r="AD3527" t="s">
        <v>2430</v>
      </c>
      <c r="AE3527" t="s">
        <v>4856</v>
      </c>
      <c r="AF3527" t="s">
        <v>6081</v>
      </c>
      <c r="AG3527" t="s">
        <v>1325</v>
      </c>
      <c r="AH3527" t="s">
        <v>4528</v>
      </c>
      <c r="AI3527" t="s">
        <v>5775</v>
      </c>
      <c r="AJ3527" t="s">
        <v>7709</v>
      </c>
      <c r="AK3527" t="s">
        <v>29486</v>
      </c>
      <c r="AL3527">
        <v>3.29</v>
      </c>
      <c r="AM3527">
        <v>2.21</v>
      </c>
      <c r="AN3527">
        <v>0.87</v>
      </c>
      <c r="AO3527" t="s">
        <v>24034</v>
      </c>
      <c r="AP3527" t="s">
        <v>6792</v>
      </c>
      <c r="AQ3527" t="s">
        <v>8922</v>
      </c>
      <c r="AR3527" t="s">
        <v>4294</v>
      </c>
      <c r="AS3527" t="s">
        <v>3500</v>
      </c>
      <c r="AT3527" t="s">
        <v>6755</v>
      </c>
      <c r="AU3527" t="s">
        <v>1086</v>
      </c>
      <c r="AV3527" t="s">
        <v>1153</v>
      </c>
      <c r="AW3527" t="s">
        <v>18033</v>
      </c>
      <c r="AX3527" t="s">
        <v>6996</v>
      </c>
      <c r="AY3527" t="s">
        <v>29487</v>
      </c>
      <c r="AZ3527" t="s">
        <v>6996</v>
      </c>
      <c r="BA3527">
        <v>2</v>
      </c>
      <c r="BB3527">
        <v>539.1</v>
      </c>
      <c r="BC3527">
        <v>0.32</v>
      </c>
      <c r="BD3527">
        <v>26.36</v>
      </c>
      <c r="BE3527">
        <v>26.62</v>
      </c>
      <c r="BF3527">
        <v>26.33</v>
      </c>
      <c r="BG3527" t="s">
        <v>29488</v>
      </c>
      <c r="BH3527" t="s">
        <v>20378</v>
      </c>
      <c r="BI3527" t="s">
        <v>29489</v>
      </c>
      <c r="BJ3527" t="s">
        <v>101</v>
      </c>
      <c r="BK3527" t="s">
        <v>1511</v>
      </c>
      <c r="BL3527" t="s">
        <v>4226</v>
      </c>
      <c r="BM3527" t="s">
        <v>29216</v>
      </c>
      <c r="BN3527" t="s">
        <v>27621</v>
      </c>
    </row>
    <row r="3528" spans="1:66" x14ac:dyDescent="0.25">
      <c r="A3528" t="str">
        <f>HYPERLINK("https://elite.finviz.com/quote.ashx?t=NAVI&amp;ty=c&amp;p=d&amp;b=1", "NAVI")</f>
        <v>NAVI</v>
      </c>
      <c r="B3528">
        <v>4</v>
      </c>
      <c r="C3528">
        <v>105.92</v>
      </c>
      <c r="D3528">
        <v>39.61</v>
      </c>
      <c r="E3528" t="s">
        <v>29490</v>
      </c>
      <c r="F3528" t="s">
        <v>67</v>
      </c>
      <c r="G3528" t="s">
        <v>550</v>
      </c>
      <c r="H3528" t="s">
        <v>3744</v>
      </c>
      <c r="I3528" t="s">
        <v>70</v>
      </c>
      <c r="J3528" t="s">
        <v>321</v>
      </c>
      <c r="K3528">
        <v>1268.74</v>
      </c>
      <c r="L3528">
        <v>12.76</v>
      </c>
      <c r="M3528" t="s">
        <v>2197</v>
      </c>
      <c r="N3528">
        <v>169699</v>
      </c>
      <c r="O3528">
        <v>39.29</v>
      </c>
      <c r="P3528">
        <v>9.82</v>
      </c>
      <c r="R3528">
        <v>0.35</v>
      </c>
      <c r="S3528">
        <v>0.49</v>
      </c>
      <c r="T3528" t="s">
        <v>754</v>
      </c>
      <c r="U3528">
        <v>0.64</v>
      </c>
      <c r="V3528" t="s">
        <v>4548</v>
      </c>
      <c r="W3528" t="s">
        <v>164</v>
      </c>
      <c r="X3528" t="s">
        <v>164</v>
      </c>
      <c r="Y3528" t="s">
        <v>164</v>
      </c>
      <c r="Z3528" t="s">
        <v>29491</v>
      </c>
      <c r="AA3528">
        <v>0.32</v>
      </c>
      <c r="AB3528" t="s">
        <v>23822</v>
      </c>
      <c r="AC3528" t="s">
        <v>4521</v>
      </c>
      <c r="AD3528" t="s">
        <v>5445</v>
      </c>
      <c r="AE3528" t="s">
        <v>17413</v>
      </c>
      <c r="AF3528" t="s">
        <v>6075</v>
      </c>
      <c r="AG3528" t="s">
        <v>1465</v>
      </c>
      <c r="AH3528" t="s">
        <v>12198</v>
      </c>
      <c r="AI3528" t="s">
        <v>14360</v>
      </c>
      <c r="AJ3528" t="s">
        <v>164</v>
      </c>
      <c r="AK3528" t="s">
        <v>29492</v>
      </c>
      <c r="AL3528">
        <v>0.79</v>
      </c>
      <c r="AM3528">
        <v>0.79</v>
      </c>
      <c r="AN3528">
        <v>18.37</v>
      </c>
      <c r="AO3528" t="s">
        <v>13625</v>
      </c>
      <c r="AP3528" t="s">
        <v>2490</v>
      </c>
      <c r="AQ3528" t="s">
        <v>2759</v>
      </c>
      <c r="AR3528" t="s">
        <v>1438</v>
      </c>
      <c r="AS3528" t="s">
        <v>4216</v>
      </c>
      <c r="AT3528" t="s">
        <v>13981</v>
      </c>
      <c r="AU3528" t="s">
        <v>1904</v>
      </c>
      <c r="AV3528" t="s">
        <v>4126</v>
      </c>
      <c r="AW3528" t="s">
        <v>18389</v>
      </c>
      <c r="AX3528" t="s">
        <v>4908</v>
      </c>
      <c r="AY3528" t="s">
        <v>27697</v>
      </c>
      <c r="AZ3528" t="s">
        <v>4847</v>
      </c>
      <c r="BA3528">
        <v>3.3</v>
      </c>
      <c r="BB3528">
        <v>932.6</v>
      </c>
      <c r="BC3528">
        <v>0.64</v>
      </c>
      <c r="BD3528">
        <v>12.85</v>
      </c>
      <c r="BE3528">
        <v>12.89</v>
      </c>
      <c r="BF3528">
        <v>12.73</v>
      </c>
      <c r="BG3528" t="s">
        <v>29493</v>
      </c>
      <c r="BH3528" t="s">
        <v>21067</v>
      </c>
      <c r="BI3528" t="s">
        <v>29494</v>
      </c>
      <c r="BJ3528" t="s">
        <v>101</v>
      </c>
      <c r="BK3528" t="s">
        <v>17451</v>
      </c>
      <c r="BL3528" t="s">
        <v>2136</v>
      </c>
      <c r="BM3528" t="s">
        <v>12344</v>
      </c>
      <c r="BN3528" t="s">
        <v>27621</v>
      </c>
    </row>
    <row r="3529" spans="1:66" x14ac:dyDescent="0.25">
      <c r="A3529" t="str">
        <f>HYPERLINK("https://elite.finviz.com/quote.ashx?t=AKA&amp;ty=c&amp;p=d&amp;b=1", "AKA")</f>
        <v>AKA</v>
      </c>
      <c r="B3529">
        <v>4</v>
      </c>
      <c r="C3529">
        <v>105.92</v>
      </c>
      <c r="D3529">
        <v>39.61</v>
      </c>
      <c r="E3529" t="s">
        <v>29495</v>
      </c>
      <c r="F3529" t="s">
        <v>107</v>
      </c>
      <c r="G3529" t="s">
        <v>813</v>
      </c>
      <c r="H3529" t="s">
        <v>4488</v>
      </c>
      <c r="I3529" t="s">
        <v>70</v>
      </c>
      <c r="J3529" t="s">
        <v>71</v>
      </c>
      <c r="K3529">
        <v>105.22</v>
      </c>
      <c r="L3529">
        <v>9.6999999999999993</v>
      </c>
      <c r="M3529" t="s">
        <v>4711</v>
      </c>
      <c r="N3529">
        <v>2114</v>
      </c>
      <c r="R3529">
        <v>0.18</v>
      </c>
      <c r="S3529">
        <v>0.91</v>
      </c>
      <c r="AA3529">
        <v>-2.5099999999999998</v>
      </c>
      <c r="AB3529" t="s">
        <v>22972</v>
      </c>
      <c r="AE3529" t="s">
        <v>327</v>
      </c>
      <c r="AF3529" t="s">
        <v>1764</v>
      </c>
      <c r="AG3529" t="s">
        <v>3472</v>
      </c>
      <c r="AH3529" t="s">
        <v>5122</v>
      </c>
      <c r="AI3529" t="s">
        <v>9742</v>
      </c>
      <c r="AJ3529" t="s">
        <v>3598</v>
      </c>
      <c r="AK3529" t="s">
        <v>2642</v>
      </c>
      <c r="AL3529">
        <v>1.32</v>
      </c>
      <c r="AM3529">
        <v>0.52</v>
      </c>
      <c r="AN3529">
        <v>1.71</v>
      </c>
      <c r="AO3529" t="s">
        <v>7331</v>
      </c>
      <c r="AP3529" t="s">
        <v>5895</v>
      </c>
      <c r="AQ3529" t="s">
        <v>9780</v>
      </c>
      <c r="AR3529" t="s">
        <v>8164</v>
      </c>
      <c r="AS3529" t="s">
        <v>754</v>
      </c>
      <c r="AT3529" t="s">
        <v>6757</v>
      </c>
      <c r="AU3529" t="s">
        <v>618</v>
      </c>
      <c r="AV3529" t="s">
        <v>8145</v>
      </c>
      <c r="AW3529" t="s">
        <v>17643</v>
      </c>
      <c r="AX3529" t="s">
        <v>2418</v>
      </c>
      <c r="AY3529" t="s">
        <v>25686</v>
      </c>
      <c r="AZ3529" t="s">
        <v>18861</v>
      </c>
      <c r="BA3529">
        <v>2.2000000000000002</v>
      </c>
      <c r="BB3529">
        <v>4.41</v>
      </c>
      <c r="BC3529">
        <v>1.7</v>
      </c>
      <c r="BD3529">
        <v>9.98</v>
      </c>
      <c r="BE3529">
        <v>10.15</v>
      </c>
      <c r="BF3529">
        <v>9.7100000000000009</v>
      </c>
      <c r="BG3529" t="s">
        <v>29496</v>
      </c>
      <c r="BH3529" t="s">
        <v>29497</v>
      </c>
      <c r="BI3529" t="s">
        <v>29498</v>
      </c>
      <c r="BJ3529" t="s">
        <v>101</v>
      </c>
      <c r="BK3529" t="s">
        <v>3239</v>
      </c>
      <c r="BL3529" t="s">
        <v>17116</v>
      </c>
      <c r="BM3529" t="s">
        <v>29499</v>
      </c>
      <c r="BN3529" t="s">
        <v>27621</v>
      </c>
    </row>
    <row r="3530" spans="1:66" x14ac:dyDescent="0.25">
      <c r="A3530" t="str">
        <f>HYPERLINK("https://elite.finviz.com/quote.ashx?t=AB&amp;ty=c&amp;p=d&amp;b=1", "AB")</f>
        <v>AB</v>
      </c>
      <c r="B3530">
        <v>4</v>
      </c>
      <c r="C3530">
        <v>105.92</v>
      </c>
      <c r="D3530">
        <v>39.630000000000003</v>
      </c>
      <c r="E3530" t="s">
        <v>29500</v>
      </c>
      <c r="F3530" t="s">
        <v>107</v>
      </c>
      <c r="G3530" t="s">
        <v>550</v>
      </c>
      <c r="H3530" t="s">
        <v>2597</v>
      </c>
      <c r="I3530" t="s">
        <v>70</v>
      </c>
      <c r="J3530" t="s">
        <v>71</v>
      </c>
      <c r="K3530">
        <v>4200.8999999999996</v>
      </c>
      <c r="L3530">
        <v>37.97</v>
      </c>
      <c r="M3530" t="s">
        <v>2402</v>
      </c>
      <c r="N3530">
        <v>36467</v>
      </c>
      <c r="O3530">
        <v>11.32</v>
      </c>
      <c r="P3530">
        <v>10.31</v>
      </c>
      <c r="Q3530">
        <v>1.36</v>
      </c>
      <c r="S3530">
        <v>2.12</v>
      </c>
      <c r="T3530" t="s">
        <v>346</v>
      </c>
      <c r="U3530">
        <v>3.38</v>
      </c>
      <c r="V3530" t="s">
        <v>4827</v>
      </c>
      <c r="W3530" t="s">
        <v>14309</v>
      </c>
      <c r="X3530" t="s">
        <v>4446</v>
      </c>
      <c r="Y3530" t="s">
        <v>6404</v>
      </c>
      <c r="Z3530" t="s">
        <v>22561</v>
      </c>
      <c r="AA3530">
        <v>3.36</v>
      </c>
      <c r="AB3530" t="s">
        <v>298</v>
      </c>
      <c r="AC3530" t="s">
        <v>10132</v>
      </c>
      <c r="AD3530" t="s">
        <v>10132</v>
      </c>
      <c r="AI3530" t="s">
        <v>2826</v>
      </c>
      <c r="AK3530" t="s">
        <v>3492</v>
      </c>
      <c r="AN3530">
        <v>0</v>
      </c>
      <c r="AR3530" t="s">
        <v>192</v>
      </c>
      <c r="AS3530" t="s">
        <v>1760</v>
      </c>
      <c r="AT3530" t="s">
        <v>3937</v>
      </c>
      <c r="AU3530" t="s">
        <v>9814</v>
      </c>
      <c r="AV3530" t="s">
        <v>1313</v>
      </c>
      <c r="AW3530" t="s">
        <v>10227</v>
      </c>
      <c r="AX3530" t="s">
        <v>2610</v>
      </c>
      <c r="AY3530" t="s">
        <v>10227</v>
      </c>
      <c r="AZ3530" t="s">
        <v>7406</v>
      </c>
      <c r="BA3530">
        <v>2.62</v>
      </c>
      <c r="BB3530">
        <v>174.63</v>
      </c>
      <c r="BC3530">
        <v>0.74</v>
      </c>
      <c r="BD3530">
        <v>38.07</v>
      </c>
      <c r="BE3530">
        <v>38.15</v>
      </c>
      <c r="BF3530">
        <v>37.75</v>
      </c>
      <c r="BG3530" t="s">
        <v>29501</v>
      </c>
      <c r="BH3530" t="s">
        <v>29502</v>
      </c>
      <c r="BI3530" t="s">
        <v>29503</v>
      </c>
      <c r="BJ3530" t="s">
        <v>101</v>
      </c>
      <c r="BK3530" t="s">
        <v>5359</v>
      </c>
      <c r="BL3530" t="s">
        <v>7568</v>
      </c>
      <c r="BM3530" t="s">
        <v>1370</v>
      </c>
      <c r="BN3530" t="s">
        <v>27621</v>
      </c>
    </row>
    <row r="3531" spans="1:66" x14ac:dyDescent="0.25">
      <c r="A3531" t="str">
        <f>HYPERLINK("https://elite.finviz.com/quote.ashx?t=NECB&amp;ty=c&amp;p=d&amp;b=1", "NECB")</f>
        <v>NECB</v>
      </c>
      <c r="B3531">
        <v>4</v>
      </c>
      <c r="C3531">
        <v>105.92</v>
      </c>
      <c r="D3531">
        <v>39.65</v>
      </c>
      <c r="E3531" t="s">
        <v>29504</v>
      </c>
      <c r="F3531" t="s">
        <v>67</v>
      </c>
      <c r="G3531" t="s">
        <v>550</v>
      </c>
      <c r="H3531" t="s">
        <v>697</v>
      </c>
      <c r="I3531" t="s">
        <v>70</v>
      </c>
      <c r="J3531" t="s">
        <v>321</v>
      </c>
      <c r="K3531">
        <v>288.58999999999997</v>
      </c>
      <c r="L3531">
        <v>20.58</v>
      </c>
      <c r="M3531" t="s">
        <v>4759</v>
      </c>
      <c r="N3531">
        <v>7800</v>
      </c>
      <c r="O3531">
        <v>6.14</v>
      </c>
      <c r="P3531">
        <v>6.41</v>
      </c>
      <c r="R3531">
        <v>1.8</v>
      </c>
      <c r="S3531">
        <v>0.82</v>
      </c>
      <c r="T3531" t="s">
        <v>891</v>
      </c>
      <c r="U3531">
        <v>0.69</v>
      </c>
      <c r="V3531" t="s">
        <v>4105</v>
      </c>
      <c r="W3531" t="s">
        <v>12871</v>
      </c>
      <c r="X3531" t="s">
        <v>7495</v>
      </c>
      <c r="Y3531" t="s">
        <v>15701</v>
      </c>
      <c r="Z3531" t="s">
        <v>3420</v>
      </c>
      <c r="AA3531">
        <v>3.35</v>
      </c>
      <c r="AB3531" t="s">
        <v>29505</v>
      </c>
      <c r="AC3531" t="s">
        <v>21262</v>
      </c>
      <c r="AE3531" t="s">
        <v>289</v>
      </c>
      <c r="AF3531" t="s">
        <v>22217</v>
      </c>
      <c r="AG3531" t="s">
        <v>3899</v>
      </c>
      <c r="AH3531" t="s">
        <v>2562</v>
      </c>
      <c r="AI3531" t="s">
        <v>756</v>
      </c>
      <c r="AJ3531" t="s">
        <v>2950</v>
      </c>
      <c r="AK3531" t="s">
        <v>13135</v>
      </c>
      <c r="AL3531">
        <v>0.25</v>
      </c>
      <c r="AN3531">
        <v>0.42</v>
      </c>
      <c r="AP3531" t="s">
        <v>21744</v>
      </c>
      <c r="AQ3531" t="s">
        <v>6877</v>
      </c>
      <c r="AR3531" t="s">
        <v>6104</v>
      </c>
      <c r="AS3531" t="s">
        <v>5256</v>
      </c>
      <c r="AT3531" t="s">
        <v>2893</v>
      </c>
      <c r="AU3531" t="s">
        <v>9672</v>
      </c>
      <c r="AV3531" t="s">
        <v>2752</v>
      </c>
      <c r="AW3531" t="s">
        <v>8048</v>
      </c>
      <c r="AX3531" t="s">
        <v>5026</v>
      </c>
      <c r="AY3531" t="s">
        <v>19927</v>
      </c>
      <c r="AZ3531" t="s">
        <v>6404</v>
      </c>
      <c r="BA3531">
        <v>3</v>
      </c>
      <c r="BB3531">
        <v>46.76</v>
      </c>
      <c r="BC3531">
        <v>0.59</v>
      </c>
      <c r="BD3531">
        <v>20.38</v>
      </c>
      <c r="BE3531">
        <v>20.59</v>
      </c>
      <c r="BF3531">
        <v>20.39</v>
      </c>
      <c r="BG3531" t="s">
        <v>29506</v>
      </c>
      <c r="BH3531" t="s">
        <v>19927</v>
      </c>
      <c r="BI3531" t="s">
        <v>29507</v>
      </c>
      <c r="BJ3531" t="s">
        <v>101</v>
      </c>
      <c r="BK3531" t="s">
        <v>16883</v>
      </c>
      <c r="BL3531" t="s">
        <v>11638</v>
      </c>
      <c r="BM3531" t="s">
        <v>3898</v>
      </c>
      <c r="BN3531" t="s">
        <v>27621</v>
      </c>
    </row>
    <row r="3532" spans="1:66" x14ac:dyDescent="0.25">
      <c r="A3532" t="str">
        <f>HYPERLINK("https://elite.finviz.com/quote.ashx?t=OC&amp;ty=c&amp;p=d&amp;b=1", "OC")</f>
        <v>OC</v>
      </c>
      <c r="B3532">
        <v>4</v>
      </c>
      <c r="C3532">
        <v>105.92</v>
      </c>
      <c r="D3532">
        <v>39.659999999999997</v>
      </c>
      <c r="E3532" t="s">
        <v>29508</v>
      </c>
      <c r="F3532" t="s">
        <v>107</v>
      </c>
      <c r="G3532" t="s">
        <v>260</v>
      </c>
      <c r="H3532" t="s">
        <v>3225</v>
      </c>
      <c r="I3532" t="s">
        <v>70</v>
      </c>
      <c r="J3532" t="s">
        <v>71</v>
      </c>
      <c r="K3532">
        <v>11791.49</v>
      </c>
      <c r="L3532">
        <v>141</v>
      </c>
      <c r="M3532" t="s">
        <v>1764</v>
      </c>
      <c r="N3532">
        <v>210841</v>
      </c>
      <c r="O3532">
        <v>37.18</v>
      </c>
      <c r="P3532">
        <v>9.8000000000000007</v>
      </c>
      <c r="Q3532">
        <v>66.39</v>
      </c>
      <c r="R3532">
        <v>1.06</v>
      </c>
      <c r="S3532">
        <v>2.2799999999999998</v>
      </c>
      <c r="T3532" t="s">
        <v>1129</v>
      </c>
      <c r="U3532">
        <v>2.67</v>
      </c>
      <c r="V3532" t="s">
        <v>29509</v>
      </c>
      <c r="W3532" t="s">
        <v>1224</v>
      </c>
      <c r="X3532" t="s">
        <v>7939</v>
      </c>
      <c r="Y3532" t="s">
        <v>2397</v>
      </c>
      <c r="Z3532" t="s">
        <v>2379</v>
      </c>
      <c r="AA3532">
        <v>3.79</v>
      </c>
      <c r="AB3532" t="s">
        <v>9741</v>
      </c>
      <c r="AC3532" t="s">
        <v>5897</v>
      </c>
      <c r="AD3532" t="s">
        <v>6842</v>
      </c>
      <c r="AE3532" t="s">
        <v>4258</v>
      </c>
      <c r="AF3532" t="s">
        <v>4718</v>
      </c>
      <c r="AG3532" t="s">
        <v>5460</v>
      </c>
      <c r="AH3532" t="s">
        <v>6257</v>
      </c>
      <c r="AI3532" t="s">
        <v>4288</v>
      </c>
      <c r="AJ3532" t="s">
        <v>2468</v>
      </c>
      <c r="AK3532" t="s">
        <v>17531</v>
      </c>
      <c r="AL3532">
        <v>1.52</v>
      </c>
      <c r="AM3532">
        <v>0.95</v>
      </c>
      <c r="AN3532">
        <v>1.1599999999999999</v>
      </c>
      <c r="AO3532" t="s">
        <v>3043</v>
      </c>
      <c r="AP3532" t="s">
        <v>6917</v>
      </c>
      <c r="AQ3532" t="s">
        <v>304</v>
      </c>
      <c r="AR3532" t="s">
        <v>8016</v>
      </c>
      <c r="AS3532" t="s">
        <v>4976</v>
      </c>
      <c r="AT3532" t="s">
        <v>786</v>
      </c>
      <c r="AU3532" t="s">
        <v>6989</v>
      </c>
      <c r="AV3532" t="s">
        <v>10518</v>
      </c>
      <c r="AW3532" t="s">
        <v>1450</v>
      </c>
      <c r="AX3532" t="s">
        <v>3020</v>
      </c>
      <c r="AY3532" t="s">
        <v>26742</v>
      </c>
      <c r="AZ3532" t="s">
        <v>1716</v>
      </c>
      <c r="BA3532">
        <v>1.9</v>
      </c>
      <c r="BB3532">
        <v>881.82</v>
      </c>
      <c r="BC3532">
        <v>0.84</v>
      </c>
      <c r="BD3532">
        <v>139.97</v>
      </c>
      <c r="BE3532">
        <v>141.25</v>
      </c>
      <c r="BF3532">
        <v>140.35</v>
      </c>
      <c r="BG3532" t="s">
        <v>29510</v>
      </c>
      <c r="BH3532" t="s">
        <v>26742</v>
      </c>
      <c r="BI3532" t="s">
        <v>29511</v>
      </c>
      <c r="BJ3532" t="s">
        <v>101</v>
      </c>
      <c r="BK3532" t="s">
        <v>714</v>
      </c>
      <c r="BL3532" t="s">
        <v>6080</v>
      </c>
      <c r="BM3532" t="s">
        <v>22995</v>
      </c>
      <c r="BN3532" t="s">
        <v>27621</v>
      </c>
    </row>
    <row r="3533" spans="1:66" x14ac:dyDescent="0.25">
      <c r="A3533" t="str">
        <f>HYPERLINK("https://elite.finviz.com/quote.ashx?t=BXC&amp;ty=c&amp;p=d&amp;b=1", "BXC")</f>
        <v>BXC</v>
      </c>
      <c r="B3533">
        <v>4</v>
      </c>
      <c r="C3533">
        <v>105.92</v>
      </c>
      <c r="D3533">
        <v>39.659999999999997</v>
      </c>
      <c r="E3533" t="s">
        <v>29512</v>
      </c>
      <c r="F3533" t="s">
        <v>67</v>
      </c>
      <c r="G3533" t="s">
        <v>260</v>
      </c>
      <c r="H3533" t="s">
        <v>8107</v>
      </c>
      <c r="I3533" t="s">
        <v>70</v>
      </c>
      <c r="J3533" t="s">
        <v>71</v>
      </c>
      <c r="K3533">
        <v>580.96</v>
      </c>
      <c r="L3533">
        <v>73.61</v>
      </c>
      <c r="M3533" t="s">
        <v>2864</v>
      </c>
      <c r="N3533">
        <v>3044</v>
      </c>
      <c r="O3533">
        <v>21.78</v>
      </c>
      <c r="P3533">
        <v>21.62</v>
      </c>
      <c r="R3533">
        <v>0.2</v>
      </c>
      <c r="S3533">
        <v>0.93</v>
      </c>
      <c r="V3533" t="s">
        <v>15887</v>
      </c>
      <c r="Z3533" t="s">
        <v>164</v>
      </c>
      <c r="AA3533">
        <v>3.38</v>
      </c>
      <c r="AB3533" t="s">
        <v>29513</v>
      </c>
      <c r="AE3533" t="s">
        <v>7176</v>
      </c>
      <c r="AF3533" t="s">
        <v>9826</v>
      </c>
      <c r="AG3533" t="s">
        <v>1438</v>
      </c>
      <c r="AH3533" t="s">
        <v>6056</v>
      </c>
      <c r="AI3533" t="s">
        <v>14823</v>
      </c>
      <c r="AJ3533" t="s">
        <v>164</v>
      </c>
      <c r="AK3533" t="s">
        <v>29514</v>
      </c>
      <c r="AL3533">
        <v>4.55</v>
      </c>
      <c r="AM3533">
        <v>2.94</v>
      </c>
      <c r="AN3533">
        <v>1.07</v>
      </c>
      <c r="AO3533" t="s">
        <v>1511</v>
      </c>
      <c r="AP3533" t="s">
        <v>1129</v>
      </c>
      <c r="AQ3533" t="s">
        <v>4759</v>
      </c>
      <c r="AR3533" t="s">
        <v>3613</v>
      </c>
      <c r="AS3533" t="s">
        <v>3170</v>
      </c>
      <c r="AT3533" t="s">
        <v>13822</v>
      </c>
      <c r="AU3533" t="s">
        <v>15594</v>
      </c>
      <c r="AV3533" t="s">
        <v>10687</v>
      </c>
      <c r="AW3533" t="s">
        <v>7844</v>
      </c>
      <c r="AX3533" t="s">
        <v>4760</v>
      </c>
      <c r="AY3533" t="s">
        <v>29515</v>
      </c>
      <c r="AZ3533" t="s">
        <v>10485</v>
      </c>
      <c r="BA3533">
        <v>1.5</v>
      </c>
      <c r="BB3533">
        <v>118.46</v>
      </c>
      <c r="BC3533">
        <v>0.09</v>
      </c>
      <c r="BD3533">
        <v>72.94</v>
      </c>
      <c r="BE3533">
        <v>73.319999999999993</v>
      </c>
      <c r="BF3533">
        <v>73.319999999999993</v>
      </c>
      <c r="BG3533" t="s">
        <v>29516</v>
      </c>
      <c r="BH3533" t="s">
        <v>29517</v>
      </c>
      <c r="BI3533" t="s">
        <v>29518</v>
      </c>
      <c r="BJ3533" t="s">
        <v>101</v>
      </c>
      <c r="BK3533" t="s">
        <v>2694</v>
      </c>
      <c r="BL3533" t="s">
        <v>8562</v>
      </c>
      <c r="BM3533" t="s">
        <v>8316</v>
      </c>
      <c r="BN3533" t="s">
        <v>27621</v>
      </c>
    </row>
    <row r="3534" spans="1:66" x14ac:dyDescent="0.25">
      <c r="A3534" t="str">
        <f>HYPERLINK("https://elite.finviz.com/quote.ashx?t=RPAY&amp;ty=c&amp;p=d&amp;b=1", "RPAY")</f>
        <v>RPAY</v>
      </c>
      <c r="B3534">
        <v>4</v>
      </c>
      <c r="C3534">
        <v>105.92</v>
      </c>
      <c r="D3534">
        <v>39.68</v>
      </c>
      <c r="E3534" t="s">
        <v>29519</v>
      </c>
      <c r="F3534" t="s">
        <v>67</v>
      </c>
      <c r="G3534" t="s">
        <v>108</v>
      </c>
      <c r="H3534" t="s">
        <v>109</v>
      </c>
      <c r="I3534" t="s">
        <v>70</v>
      </c>
      <c r="J3534" t="s">
        <v>321</v>
      </c>
      <c r="K3534">
        <v>448.08</v>
      </c>
      <c r="L3534">
        <v>5.16</v>
      </c>
      <c r="M3534" t="s">
        <v>3169</v>
      </c>
      <c r="N3534">
        <v>102431</v>
      </c>
      <c r="P3534">
        <v>5.33</v>
      </c>
      <c r="R3534">
        <v>1.44</v>
      </c>
      <c r="S3534">
        <v>0.69</v>
      </c>
      <c r="AA3534">
        <v>-1.26</v>
      </c>
      <c r="AB3534" t="s">
        <v>26000</v>
      </c>
      <c r="AC3534" t="s">
        <v>7763</v>
      </c>
      <c r="AD3534" t="s">
        <v>2735</v>
      </c>
      <c r="AE3534" t="s">
        <v>907</v>
      </c>
      <c r="AF3534" t="s">
        <v>14731</v>
      </c>
      <c r="AG3534" t="s">
        <v>15950</v>
      </c>
      <c r="AH3534" t="s">
        <v>4759</v>
      </c>
      <c r="AI3534" t="s">
        <v>2202</v>
      </c>
      <c r="AJ3534" t="s">
        <v>715</v>
      </c>
      <c r="AK3534" t="s">
        <v>16921</v>
      </c>
      <c r="AL3534">
        <v>0.85</v>
      </c>
      <c r="AM3534">
        <v>0.85</v>
      </c>
      <c r="AN3534">
        <v>0.8</v>
      </c>
      <c r="AO3534" t="s">
        <v>4030</v>
      </c>
      <c r="AP3534" t="s">
        <v>5779</v>
      </c>
      <c r="AQ3534" t="s">
        <v>7395</v>
      </c>
      <c r="AR3534" t="s">
        <v>4254</v>
      </c>
      <c r="AS3534" t="s">
        <v>1302</v>
      </c>
      <c r="AT3534" t="s">
        <v>5741</v>
      </c>
      <c r="AU3534" t="s">
        <v>8190</v>
      </c>
      <c r="AV3534" t="s">
        <v>4802</v>
      </c>
      <c r="AW3534" t="s">
        <v>8999</v>
      </c>
      <c r="AX3534" t="s">
        <v>2363</v>
      </c>
      <c r="AY3534" t="s">
        <v>24020</v>
      </c>
      <c r="AZ3534" t="s">
        <v>21264</v>
      </c>
      <c r="BA3534">
        <v>1.57</v>
      </c>
      <c r="BB3534">
        <v>966.07</v>
      </c>
      <c r="BC3534">
        <v>0.37</v>
      </c>
      <c r="BD3534">
        <v>5.12</v>
      </c>
      <c r="BE3534">
        <v>5.2</v>
      </c>
      <c r="BF3534">
        <v>5.08</v>
      </c>
      <c r="BG3534" t="s">
        <v>29520</v>
      </c>
      <c r="BH3534" t="s">
        <v>29521</v>
      </c>
      <c r="BI3534" t="s">
        <v>21264</v>
      </c>
      <c r="BJ3534" t="s">
        <v>101</v>
      </c>
      <c r="BK3534" t="s">
        <v>1252</v>
      </c>
      <c r="BL3534" t="s">
        <v>1024</v>
      </c>
      <c r="BM3534" t="s">
        <v>17566</v>
      </c>
      <c r="BN3534" t="s">
        <v>27621</v>
      </c>
    </row>
    <row r="3535" spans="1:66" x14ac:dyDescent="0.25">
      <c r="A3535" t="str">
        <f>HYPERLINK("https://elite.finviz.com/quote.ashx?t=OBLG&amp;ty=c&amp;p=d&amp;b=1", "OBLG")</f>
        <v>OBLG</v>
      </c>
      <c r="B3535">
        <v>4</v>
      </c>
      <c r="C3535">
        <v>105.92</v>
      </c>
      <c r="D3535">
        <v>39.68</v>
      </c>
      <c r="E3535" t="s">
        <v>29522</v>
      </c>
      <c r="F3535" t="s">
        <v>107</v>
      </c>
      <c r="G3535" t="s">
        <v>108</v>
      </c>
      <c r="H3535" t="s">
        <v>136</v>
      </c>
      <c r="I3535" t="s">
        <v>70</v>
      </c>
      <c r="J3535" t="s">
        <v>321</v>
      </c>
      <c r="K3535">
        <v>6.05</v>
      </c>
      <c r="L3535">
        <v>2.57</v>
      </c>
      <c r="M3535" t="s">
        <v>2677</v>
      </c>
      <c r="N3535">
        <v>43180</v>
      </c>
      <c r="R3535">
        <v>2.58</v>
      </c>
      <c r="S3535">
        <v>0.36</v>
      </c>
      <c r="AA3535">
        <v>-13.01</v>
      </c>
      <c r="AB3535" t="s">
        <v>18915</v>
      </c>
      <c r="AC3535" t="s">
        <v>2072</v>
      </c>
      <c r="AE3535" t="s">
        <v>15325</v>
      </c>
      <c r="AF3535" t="s">
        <v>8226</v>
      </c>
      <c r="AG3535" t="s">
        <v>1429</v>
      </c>
      <c r="AH3535" t="s">
        <v>9022</v>
      </c>
      <c r="AJ3535" t="s">
        <v>2385</v>
      </c>
      <c r="AK3535" t="s">
        <v>6478</v>
      </c>
      <c r="AL3535">
        <v>7.21</v>
      </c>
      <c r="AM3535">
        <v>7.21</v>
      </c>
      <c r="AN3535">
        <v>0</v>
      </c>
      <c r="AO3535" t="s">
        <v>2966</v>
      </c>
      <c r="AP3535" t="s">
        <v>29523</v>
      </c>
      <c r="AQ3535" t="s">
        <v>29524</v>
      </c>
      <c r="AR3535" t="s">
        <v>1495</v>
      </c>
      <c r="AS3535" t="s">
        <v>5248</v>
      </c>
      <c r="AT3535" t="s">
        <v>5197</v>
      </c>
      <c r="AU3535" t="s">
        <v>2013</v>
      </c>
      <c r="AV3535" t="s">
        <v>15932</v>
      </c>
      <c r="AW3535" t="s">
        <v>29525</v>
      </c>
      <c r="AX3535" t="s">
        <v>5926</v>
      </c>
      <c r="AY3535" t="s">
        <v>29525</v>
      </c>
      <c r="AZ3535" t="s">
        <v>6325</v>
      </c>
      <c r="BB3535">
        <v>104.51</v>
      </c>
      <c r="BC3535">
        <v>1.46</v>
      </c>
      <c r="BD3535">
        <v>2.73</v>
      </c>
      <c r="BE3535">
        <v>2.82</v>
      </c>
      <c r="BF3535">
        <v>2.46</v>
      </c>
      <c r="BG3535" t="s">
        <v>29526</v>
      </c>
      <c r="BH3535" t="s">
        <v>579</v>
      </c>
      <c r="BI3535" t="s">
        <v>6325</v>
      </c>
      <c r="BJ3535" t="s">
        <v>101</v>
      </c>
      <c r="BK3535" t="s">
        <v>2480</v>
      </c>
      <c r="BL3535" t="s">
        <v>29527</v>
      </c>
      <c r="BM3535" t="s">
        <v>16581</v>
      </c>
      <c r="BN3535" t="s">
        <v>27621</v>
      </c>
    </row>
    <row r="3536" spans="1:66" x14ac:dyDescent="0.25">
      <c r="A3536" t="str">
        <f>HYPERLINK("https://elite.finviz.com/quote.ashx?t=HCAT&amp;ty=c&amp;p=d&amp;b=1", "HCAT")</f>
        <v>HCAT</v>
      </c>
      <c r="B3536">
        <v>4</v>
      </c>
      <c r="C3536">
        <v>105.92</v>
      </c>
      <c r="D3536">
        <v>39.69</v>
      </c>
      <c r="E3536" t="s">
        <v>29528</v>
      </c>
      <c r="F3536" t="s">
        <v>67</v>
      </c>
      <c r="G3536" t="s">
        <v>428</v>
      </c>
      <c r="H3536" t="s">
        <v>2075</v>
      </c>
      <c r="I3536" t="s">
        <v>70</v>
      </c>
      <c r="J3536" t="s">
        <v>321</v>
      </c>
      <c r="K3536">
        <v>200.56</v>
      </c>
      <c r="L3536">
        <v>2.85</v>
      </c>
      <c r="M3536" t="s">
        <v>3019</v>
      </c>
      <c r="N3536">
        <v>183134</v>
      </c>
      <c r="P3536">
        <v>6.76</v>
      </c>
      <c r="R3536">
        <v>0.63</v>
      </c>
      <c r="S3536">
        <v>0.57999999999999996</v>
      </c>
      <c r="AA3536">
        <v>-1.51</v>
      </c>
      <c r="AB3536" t="s">
        <v>5708</v>
      </c>
      <c r="AC3536" t="s">
        <v>16723</v>
      </c>
      <c r="AD3536" t="s">
        <v>18909</v>
      </c>
      <c r="AE3536" t="s">
        <v>4403</v>
      </c>
      <c r="AF3536" t="s">
        <v>2848</v>
      </c>
      <c r="AG3536" t="s">
        <v>11140</v>
      </c>
      <c r="AH3536" t="s">
        <v>713</v>
      </c>
      <c r="AI3536" t="s">
        <v>13932</v>
      </c>
      <c r="AJ3536" t="s">
        <v>7270</v>
      </c>
      <c r="AK3536" t="s">
        <v>29529</v>
      </c>
      <c r="AL3536">
        <v>1.81</v>
      </c>
      <c r="AM3536">
        <v>1.81</v>
      </c>
      <c r="AN3536">
        <v>0.5</v>
      </c>
      <c r="AO3536" t="s">
        <v>5967</v>
      </c>
      <c r="AP3536" t="s">
        <v>6435</v>
      </c>
      <c r="AQ3536" t="s">
        <v>29530</v>
      </c>
      <c r="AR3536" t="s">
        <v>7453</v>
      </c>
      <c r="AS3536" t="s">
        <v>2581</v>
      </c>
      <c r="AT3536" t="s">
        <v>5176</v>
      </c>
      <c r="AU3536" t="s">
        <v>10666</v>
      </c>
      <c r="AV3536" t="s">
        <v>27554</v>
      </c>
      <c r="AW3536" t="s">
        <v>29531</v>
      </c>
      <c r="AX3536" t="s">
        <v>3186</v>
      </c>
      <c r="AY3536" t="s">
        <v>19036</v>
      </c>
      <c r="AZ3536" t="s">
        <v>3186</v>
      </c>
      <c r="BA3536">
        <v>2.33</v>
      </c>
      <c r="BB3536">
        <v>761.77</v>
      </c>
      <c r="BC3536">
        <v>0.85</v>
      </c>
      <c r="BD3536">
        <v>2.81</v>
      </c>
      <c r="BE3536">
        <v>2.86</v>
      </c>
      <c r="BF3536">
        <v>2.78</v>
      </c>
      <c r="BG3536" t="s">
        <v>29532</v>
      </c>
      <c r="BH3536" t="s">
        <v>25435</v>
      </c>
      <c r="BI3536" t="s">
        <v>3186</v>
      </c>
      <c r="BJ3536" t="s">
        <v>101</v>
      </c>
      <c r="BK3536" t="s">
        <v>26205</v>
      </c>
      <c r="BL3536" t="s">
        <v>8493</v>
      </c>
      <c r="BM3536" t="s">
        <v>15921</v>
      </c>
      <c r="BN3536" t="s">
        <v>27621</v>
      </c>
    </row>
    <row r="3537" spans="1:66" x14ac:dyDescent="0.25">
      <c r="A3537" t="str">
        <f>HYPERLINK("https://elite.finviz.com/quote.ashx?t=RICK&amp;ty=c&amp;p=d&amp;b=1", "RICK")</f>
        <v>RICK</v>
      </c>
      <c r="B3537">
        <v>4</v>
      </c>
      <c r="C3537">
        <v>105.92</v>
      </c>
      <c r="D3537">
        <v>39.69</v>
      </c>
      <c r="E3537" t="s">
        <v>29533</v>
      </c>
      <c r="F3537" t="s">
        <v>67</v>
      </c>
      <c r="G3537" t="s">
        <v>813</v>
      </c>
      <c r="H3537" t="s">
        <v>2285</v>
      </c>
      <c r="I3537" t="s">
        <v>70</v>
      </c>
      <c r="J3537" t="s">
        <v>321</v>
      </c>
      <c r="K3537">
        <v>258.22000000000003</v>
      </c>
      <c r="L3537">
        <v>29.61</v>
      </c>
      <c r="M3537" t="s">
        <v>600</v>
      </c>
      <c r="N3537">
        <v>45508</v>
      </c>
      <c r="O3537">
        <v>15.88</v>
      </c>
      <c r="R3537">
        <v>0.92</v>
      </c>
      <c r="S3537">
        <v>0.96</v>
      </c>
      <c r="T3537" t="s">
        <v>2881</v>
      </c>
      <c r="U3537">
        <v>0.28000000000000003</v>
      </c>
      <c r="V3537" t="s">
        <v>5925</v>
      </c>
      <c r="W3537" t="s">
        <v>9159</v>
      </c>
      <c r="X3537" t="s">
        <v>325</v>
      </c>
      <c r="Y3537" t="s">
        <v>1161</v>
      </c>
      <c r="Z3537" t="s">
        <v>19523</v>
      </c>
      <c r="AA3537">
        <v>1.86</v>
      </c>
      <c r="AB3537" t="s">
        <v>14604</v>
      </c>
      <c r="AC3537" t="s">
        <v>13307</v>
      </c>
      <c r="AE3537" t="s">
        <v>15684</v>
      </c>
      <c r="AF3537" t="s">
        <v>10794</v>
      </c>
      <c r="AG3537" t="s">
        <v>2579</v>
      </c>
      <c r="AH3537" t="s">
        <v>4622</v>
      </c>
      <c r="AJ3537" t="s">
        <v>2290</v>
      </c>
      <c r="AK3537" t="s">
        <v>13414</v>
      </c>
      <c r="AL3537">
        <v>0.92</v>
      </c>
      <c r="AM3537">
        <v>0.83</v>
      </c>
      <c r="AN3537">
        <v>1.01</v>
      </c>
      <c r="AO3537" t="s">
        <v>3709</v>
      </c>
      <c r="AP3537" t="s">
        <v>830</v>
      </c>
      <c r="AQ3537" t="s">
        <v>4907</v>
      </c>
      <c r="AR3537" t="s">
        <v>5859</v>
      </c>
      <c r="AS3537" t="s">
        <v>2370</v>
      </c>
      <c r="AT3537" t="s">
        <v>14481</v>
      </c>
      <c r="AU3537" t="s">
        <v>11481</v>
      </c>
      <c r="AV3537" t="s">
        <v>8074</v>
      </c>
      <c r="AW3537" t="s">
        <v>21993</v>
      </c>
      <c r="AX3537" t="s">
        <v>7321</v>
      </c>
      <c r="AY3537" t="s">
        <v>25125</v>
      </c>
      <c r="AZ3537" t="s">
        <v>7321</v>
      </c>
      <c r="BA3537">
        <v>1</v>
      </c>
      <c r="BB3537">
        <v>153.79</v>
      </c>
      <c r="BC3537">
        <v>1.05</v>
      </c>
      <c r="BD3537">
        <v>30.06</v>
      </c>
      <c r="BE3537">
        <v>30.28</v>
      </c>
      <c r="BF3537">
        <v>29.77</v>
      </c>
      <c r="BG3537" t="s">
        <v>29534</v>
      </c>
      <c r="BH3537" t="s">
        <v>29535</v>
      </c>
      <c r="BI3537" t="s">
        <v>29536</v>
      </c>
      <c r="BJ3537" t="s">
        <v>101</v>
      </c>
      <c r="BK3537" t="s">
        <v>6958</v>
      </c>
      <c r="BL3537" t="s">
        <v>22914</v>
      </c>
      <c r="BM3537" t="s">
        <v>25328</v>
      </c>
      <c r="BN3537" t="s">
        <v>27621</v>
      </c>
    </row>
    <row r="3538" spans="1:66" x14ac:dyDescent="0.25">
      <c r="A3538" t="str">
        <f>HYPERLINK("https://elite.finviz.com/quote.ashx?t=QRHC&amp;ty=c&amp;p=d&amp;b=1", "QRHC")</f>
        <v>QRHC</v>
      </c>
      <c r="B3538">
        <v>4</v>
      </c>
      <c r="C3538">
        <v>105.92</v>
      </c>
      <c r="D3538">
        <v>39.82</v>
      </c>
      <c r="E3538" t="s">
        <v>29537</v>
      </c>
      <c r="F3538" t="s">
        <v>107</v>
      </c>
      <c r="G3538" t="s">
        <v>260</v>
      </c>
      <c r="H3538" t="s">
        <v>1573</v>
      </c>
      <c r="I3538" t="s">
        <v>70</v>
      </c>
      <c r="J3538" t="s">
        <v>321</v>
      </c>
      <c r="K3538">
        <v>32.1</v>
      </c>
      <c r="L3538">
        <v>1.55</v>
      </c>
      <c r="M3538" t="s">
        <v>4963</v>
      </c>
      <c r="N3538">
        <v>3969</v>
      </c>
      <c r="P3538">
        <v>10</v>
      </c>
      <c r="R3538">
        <v>0.12</v>
      </c>
      <c r="S3538">
        <v>0.75</v>
      </c>
      <c r="AA3538">
        <v>-1.21</v>
      </c>
      <c r="AC3538" t="s">
        <v>29538</v>
      </c>
      <c r="AE3538" t="s">
        <v>6060</v>
      </c>
      <c r="AF3538" t="s">
        <v>2769</v>
      </c>
      <c r="AG3538" t="s">
        <v>2567</v>
      </c>
      <c r="AH3538" t="s">
        <v>14006</v>
      </c>
      <c r="AI3538" t="s">
        <v>29539</v>
      </c>
      <c r="AJ3538" t="s">
        <v>2734</v>
      </c>
      <c r="AK3538" t="s">
        <v>11806</v>
      </c>
      <c r="AL3538">
        <v>1.42</v>
      </c>
      <c r="AM3538">
        <v>1.42</v>
      </c>
      <c r="AN3538">
        <v>1.68</v>
      </c>
      <c r="AO3538" t="s">
        <v>7727</v>
      </c>
      <c r="AP3538" t="s">
        <v>7243</v>
      </c>
      <c r="AQ3538" t="s">
        <v>11663</v>
      </c>
      <c r="AR3538" t="s">
        <v>2107</v>
      </c>
      <c r="AS3538" t="s">
        <v>1886</v>
      </c>
      <c r="AT3538" t="s">
        <v>677</v>
      </c>
      <c r="AU3538" t="s">
        <v>24341</v>
      </c>
      <c r="AV3538" t="s">
        <v>22976</v>
      </c>
      <c r="AW3538" t="s">
        <v>11741</v>
      </c>
      <c r="AX3538" t="s">
        <v>1491</v>
      </c>
      <c r="AY3538" t="s">
        <v>26501</v>
      </c>
      <c r="AZ3538" t="s">
        <v>1491</v>
      </c>
      <c r="BA3538">
        <v>1.67</v>
      </c>
      <c r="BB3538">
        <v>108.82</v>
      </c>
      <c r="BC3538">
        <v>0.13</v>
      </c>
      <c r="BD3538">
        <v>1.56</v>
      </c>
      <c r="BE3538">
        <v>1.57</v>
      </c>
      <c r="BF3538">
        <v>1.54</v>
      </c>
      <c r="BG3538" t="s">
        <v>29540</v>
      </c>
      <c r="BH3538" t="s">
        <v>26639</v>
      </c>
      <c r="BI3538" t="s">
        <v>12472</v>
      </c>
      <c r="BJ3538" t="s">
        <v>101</v>
      </c>
      <c r="BK3538" t="s">
        <v>19926</v>
      </c>
      <c r="BL3538" t="s">
        <v>26928</v>
      </c>
      <c r="BM3538" t="s">
        <v>29541</v>
      </c>
      <c r="BN3538" t="s">
        <v>27621</v>
      </c>
    </row>
    <row r="3539" spans="1:66" x14ac:dyDescent="0.25">
      <c r="A3539" t="str">
        <f>HYPERLINK("https://elite.finviz.com/quote.ashx?t=AVBP&amp;ty=c&amp;p=d&amp;b=1", "AVBP")</f>
        <v>AVBP</v>
      </c>
      <c r="B3539">
        <v>4</v>
      </c>
      <c r="C3539">
        <v>105.92</v>
      </c>
      <c r="D3539">
        <v>39.83</v>
      </c>
      <c r="E3539" t="s">
        <v>29542</v>
      </c>
      <c r="F3539" t="s">
        <v>67</v>
      </c>
      <c r="G3539" t="s">
        <v>428</v>
      </c>
      <c r="H3539" t="s">
        <v>429</v>
      </c>
      <c r="I3539" t="s">
        <v>70</v>
      </c>
      <c r="J3539" t="s">
        <v>321</v>
      </c>
      <c r="K3539">
        <v>700.63</v>
      </c>
      <c r="L3539">
        <v>17.27</v>
      </c>
      <c r="M3539" t="s">
        <v>2571</v>
      </c>
      <c r="N3539">
        <v>47241</v>
      </c>
      <c r="S3539">
        <v>2.59</v>
      </c>
      <c r="AA3539">
        <v>-4.01</v>
      </c>
      <c r="AB3539" t="s">
        <v>11593</v>
      </c>
      <c r="AD3539" t="s">
        <v>1981</v>
      </c>
      <c r="AI3539" t="s">
        <v>12074</v>
      </c>
      <c r="AJ3539" t="s">
        <v>164</v>
      </c>
      <c r="AK3539" t="s">
        <v>29543</v>
      </c>
      <c r="AL3539">
        <v>12.74</v>
      </c>
      <c r="AM3539">
        <v>12.74</v>
      </c>
      <c r="AN3539">
        <v>0</v>
      </c>
      <c r="AR3539" t="s">
        <v>2542</v>
      </c>
      <c r="AS3539" t="s">
        <v>7210</v>
      </c>
      <c r="AT3539" t="s">
        <v>8251</v>
      </c>
      <c r="AU3539" t="s">
        <v>12091</v>
      </c>
      <c r="AV3539" t="s">
        <v>18759</v>
      </c>
      <c r="AW3539" t="s">
        <v>19678</v>
      </c>
      <c r="AX3539" t="s">
        <v>296</v>
      </c>
      <c r="AY3539" t="s">
        <v>3411</v>
      </c>
      <c r="AZ3539" t="s">
        <v>2595</v>
      </c>
      <c r="BA3539">
        <v>1</v>
      </c>
      <c r="BB3539">
        <v>320.58999999999997</v>
      </c>
      <c r="BC3539">
        <v>0.52</v>
      </c>
      <c r="BD3539">
        <v>17.170000000000002</v>
      </c>
      <c r="BE3539">
        <v>17.52</v>
      </c>
      <c r="BF3539">
        <v>17.16</v>
      </c>
      <c r="BG3539" t="s">
        <v>29544</v>
      </c>
      <c r="BH3539" t="s">
        <v>3411</v>
      </c>
      <c r="BI3539" t="s">
        <v>11965</v>
      </c>
      <c r="BJ3539" t="s">
        <v>101</v>
      </c>
      <c r="BK3539" t="s">
        <v>24956</v>
      </c>
      <c r="BL3539" t="s">
        <v>15013</v>
      </c>
      <c r="BM3539" t="s">
        <v>29545</v>
      </c>
      <c r="BN3539" t="s">
        <v>27621</v>
      </c>
    </row>
    <row r="3540" spans="1:66" x14ac:dyDescent="0.25">
      <c r="A3540" t="str">
        <f>HYPERLINK("https://elite.finviz.com/quote.ashx?t=UNF&amp;ty=c&amp;p=d&amp;b=1", "UNF")</f>
        <v>UNF</v>
      </c>
      <c r="B3540">
        <v>4</v>
      </c>
      <c r="C3540">
        <v>105.92</v>
      </c>
      <c r="D3540">
        <v>39.840000000000003</v>
      </c>
      <c r="E3540" t="s">
        <v>29546</v>
      </c>
      <c r="F3540" t="s">
        <v>67</v>
      </c>
      <c r="G3540" t="s">
        <v>260</v>
      </c>
      <c r="H3540" t="s">
        <v>1077</v>
      </c>
      <c r="I3540" t="s">
        <v>70</v>
      </c>
      <c r="J3540" t="s">
        <v>71</v>
      </c>
      <c r="K3540">
        <v>2970.67</v>
      </c>
      <c r="L3540">
        <v>166.57</v>
      </c>
      <c r="M3540" t="s">
        <v>6463</v>
      </c>
      <c r="N3540">
        <v>13651</v>
      </c>
      <c r="O3540">
        <v>20.46</v>
      </c>
      <c r="P3540">
        <v>19.13</v>
      </c>
      <c r="Q3540">
        <v>4.6100000000000003</v>
      </c>
      <c r="R3540">
        <v>1.21</v>
      </c>
      <c r="S3540">
        <v>1.36</v>
      </c>
      <c r="T3540" t="s">
        <v>2785</v>
      </c>
      <c r="U3540">
        <v>1.4</v>
      </c>
      <c r="V3540" t="s">
        <v>4548</v>
      </c>
      <c r="W3540" t="s">
        <v>2232</v>
      </c>
      <c r="X3540" t="s">
        <v>2635</v>
      </c>
      <c r="Y3540" t="s">
        <v>2714</v>
      </c>
      <c r="Z3540" t="s">
        <v>13470</v>
      </c>
      <c r="AA3540">
        <v>8.14</v>
      </c>
      <c r="AB3540" t="s">
        <v>4203</v>
      </c>
      <c r="AC3540" t="s">
        <v>1727</v>
      </c>
      <c r="AD3540" t="s">
        <v>2810</v>
      </c>
      <c r="AE3540" t="s">
        <v>5467</v>
      </c>
      <c r="AF3540" t="s">
        <v>10273</v>
      </c>
      <c r="AG3540" t="s">
        <v>8460</v>
      </c>
      <c r="AH3540" t="s">
        <v>80</v>
      </c>
      <c r="AI3540" t="s">
        <v>4495</v>
      </c>
      <c r="AJ3540" t="s">
        <v>164</v>
      </c>
      <c r="AK3540" t="s">
        <v>29547</v>
      </c>
      <c r="AL3540">
        <v>3.44</v>
      </c>
      <c r="AM3540">
        <v>2.0299999999999998</v>
      </c>
      <c r="AN3540">
        <v>0.03</v>
      </c>
      <c r="AO3540" t="s">
        <v>10782</v>
      </c>
      <c r="AP3540" t="s">
        <v>2698</v>
      </c>
      <c r="AQ3540" t="s">
        <v>2839</v>
      </c>
      <c r="AR3540" t="s">
        <v>4154</v>
      </c>
      <c r="AS3540" t="s">
        <v>3916</v>
      </c>
      <c r="AT3540" t="s">
        <v>3322</v>
      </c>
      <c r="AU3540" t="s">
        <v>6739</v>
      </c>
      <c r="AV3540" t="s">
        <v>12057</v>
      </c>
      <c r="AW3540" t="s">
        <v>9635</v>
      </c>
      <c r="AX3540" t="s">
        <v>1025</v>
      </c>
      <c r="AY3540" t="s">
        <v>25189</v>
      </c>
      <c r="AZ3540" t="s">
        <v>9186</v>
      </c>
      <c r="BA3540">
        <v>3.67</v>
      </c>
      <c r="BB3540">
        <v>119.8</v>
      </c>
      <c r="BC3540">
        <v>0.4</v>
      </c>
      <c r="BD3540">
        <v>165.27</v>
      </c>
      <c r="BE3540">
        <v>167.22</v>
      </c>
      <c r="BF3540">
        <v>164.23</v>
      </c>
      <c r="BG3540" t="s">
        <v>29548</v>
      </c>
      <c r="BH3540" t="s">
        <v>25976</v>
      </c>
      <c r="BI3540" t="s">
        <v>29549</v>
      </c>
      <c r="BJ3540" t="s">
        <v>101</v>
      </c>
      <c r="BK3540" t="s">
        <v>8416</v>
      </c>
      <c r="BL3540" t="s">
        <v>7008</v>
      </c>
      <c r="BM3540" t="s">
        <v>8792</v>
      </c>
      <c r="BN3540" t="s">
        <v>27621</v>
      </c>
    </row>
    <row r="3541" spans="1:66" x14ac:dyDescent="0.25">
      <c r="A3541" t="str">
        <f>HYPERLINK("https://elite.finviz.com/quote.ashx?t=OPHC&amp;ty=c&amp;p=d&amp;b=1", "OPHC")</f>
        <v>OPHC</v>
      </c>
      <c r="B3541">
        <v>4</v>
      </c>
      <c r="C3541">
        <v>105.92</v>
      </c>
      <c r="D3541">
        <v>39.85</v>
      </c>
      <c r="E3541" t="s">
        <v>29550</v>
      </c>
      <c r="F3541" t="s">
        <v>107</v>
      </c>
      <c r="G3541" t="s">
        <v>550</v>
      </c>
      <c r="H3541" t="s">
        <v>697</v>
      </c>
      <c r="I3541" t="s">
        <v>70</v>
      </c>
      <c r="J3541" t="s">
        <v>383</v>
      </c>
      <c r="K3541">
        <v>48.47</v>
      </c>
      <c r="L3541">
        <v>4.12</v>
      </c>
      <c r="M3541" t="s">
        <v>2275</v>
      </c>
      <c r="N3541">
        <v>7068</v>
      </c>
      <c r="O3541">
        <v>3.21</v>
      </c>
      <c r="R3541">
        <v>0.73</v>
      </c>
      <c r="S3541">
        <v>0.44</v>
      </c>
      <c r="Z3541" t="s">
        <v>164</v>
      </c>
      <c r="AA3541">
        <v>1.28</v>
      </c>
      <c r="AB3541" t="s">
        <v>120</v>
      </c>
      <c r="AE3541" t="s">
        <v>12158</v>
      </c>
      <c r="AF3541" t="s">
        <v>9781</v>
      </c>
      <c r="AG3541" t="s">
        <v>4166</v>
      </c>
      <c r="AH3541" t="s">
        <v>2386</v>
      </c>
      <c r="AI3541" t="s">
        <v>20022</v>
      </c>
      <c r="AJ3541" t="s">
        <v>4507</v>
      </c>
      <c r="AK3541" t="s">
        <v>9208</v>
      </c>
      <c r="AL3541">
        <v>0.71</v>
      </c>
      <c r="AN3541">
        <v>0.02</v>
      </c>
      <c r="AP3541" t="s">
        <v>7006</v>
      </c>
      <c r="AQ3541" t="s">
        <v>482</v>
      </c>
      <c r="AR3541" t="s">
        <v>5258</v>
      </c>
      <c r="AS3541" t="s">
        <v>4856</v>
      </c>
      <c r="AT3541" t="s">
        <v>1444</v>
      </c>
      <c r="AU3541" t="s">
        <v>5264</v>
      </c>
      <c r="AV3541" t="s">
        <v>8262</v>
      </c>
      <c r="AW3541" t="s">
        <v>8487</v>
      </c>
      <c r="AX3541" t="s">
        <v>4267</v>
      </c>
      <c r="AY3541" t="s">
        <v>21822</v>
      </c>
      <c r="AZ3541" t="s">
        <v>10519</v>
      </c>
      <c r="BA3541">
        <v>3</v>
      </c>
      <c r="BB3541">
        <v>17.38</v>
      </c>
      <c r="BC3541">
        <v>1.45</v>
      </c>
      <c r="BD3541">
        <v>4.12</v>
      </c>
      <c r="BE3541">
        <v>4.13</v>
      </c>
      <c r="BF3541">
        <v>4.12</v>
      </c>
      <c r="BG3541" t="s">
        <v>29551</v>
      </c>
      <c r="BH3541" t="s">
        <v>1969</v>
      </c>
      <c r="BI3541" t="s">
        <v>17904</v>
      </c>
      <c r="BJ3541" t="s">
        <v>101</v>
      </c>
      <c r="BK3541" t="s">
        <v>8659</v>
      </c>
      <c r="BL3541" t="s">
        <v>5424</v>
      </c>
      <c r="BM3541" t="s">
        <v>14955</v>
      </c>
      <c r="BN3541" t="s">
        <v>27621</v>
      </c>
    </row>
    <row r="3542" spans="1:66" x14ac:dyDescent="0.25">
      <c r="A3542" t="str">
        <f>HYPERLINK("https://elite.finviz.com/quote.ashx?t=PRPL&amp;ty=c&amp;p=d&amp;b=1", "PRPL")</f>
        <v>PRPL</v>
      </c>
      <c r="B3542">
        <v>4</v>
      </c>
      <c r="C3542">
        <v>105.92</v>
      </c>
      <c r="D3542">
        <v>39.880000000000003</v>
      </c>
      <c r="E3542" t="s">
        <v>29552</v>
      </c>
      <c r="F3542" t="s">
        <v>107</v>
      </c>
      <c r="G3542" t="s">
        <v>813</v>
      </c>
      <c r="H3542" t="s">
        <v>3866</v>
      </c>
      <c r="I3542" t="s">
        <v>70</v>
      </c>
      <c r="J3542" t="s">
        <v>321</v>
      </c>
      <c r="K3542">
        <v>102.1</v>
      </c>
      <c r="L3542">
        <v>0.94</v>
      </c>
      <c r="M3542" t="s">
        <v>2003</v>
      </c>
      <c r="N3542">
        <v>69589</v>
      </c>
      <c r="R3542">
        <v>0.22</v>
      </c>
      <c r="AA3542">
        <v>-0.78</v>
      </c>
      <c r="AB3542" t="s">
        <v>28837</v>
      </c>
      <c r="AC3542" t="s">
        <v>6860</v>
      </c>
      <c r="AD3542" t="s">
        <v>9061</v>
      </c>
      <c r="AE3542" t="s">
        <v>12167</v>
      </c>
      <c r="AF3542" t="s">
        <v>14774</v>
      </c>
      <c r="AG3542" t="s">
        <v>4154</v>
      </c>
      <c r="AH3542" t="s">
        <v>9667</v>
      </c>
      <c r="AI3542" t="s">
        <v>4646</v>
      </c>
      <c r="AJ3542" t="s">
        <v>164</v>
      </c>
      <c r="AK3542" t="s">
        <v>21909</v>
      </c>
      <c r="AL3542">
        <v>1.49</v>
      </c>
      <c r="AM3542">
        <v>0.77</v>
      </c>
      <c r="AO3542" t="s">
        <v>5448</v>
      </c>
      <c r="AP3542" t="s">
        <v>12282</v>
      </c>
      <c r="AQ3542" t="s">
        <v>529</v>
      </c>
      <c r="AR3542" t="s">
        <v>2697</v>
      </c>
      <c r="AS3542" t="s">
        <v>3723</v>
      </c>
      <c r="AT3542" t="s">
        <v>1828</v>
      </c>
      <c r="AU3542" t="s">
        <v>922</v>
      </c>
      <c r="AV3542" t="s">
        <v>7616</v>
      </c>
      <c r="AW3542" t="s">
        <v>7109</v>
      </c>
      <c r="AX3542" t="s">
        <v>1172</v>
      </c>
      <c r="AY3542" t="s">
        <v>14196</v>
      </c>
      <c r="AZ3542" t="s">
        <v>29553</v>
      </c>
      <c r="BA3542">
        <v>2.2000000000000002</v>
      </c>
      <c r="BB3542">
        <v>798.61</v>
      </c>
      <c r="BC3542">
        <v>0.31</v>
      </c>
      <c r="BD3542">
        <v>0.94</v>
      </c>
      <c r="BE3542">
        <v>0.96</v>
      </c>
      <c r="BF3542">
        <v>0.9</v>
      </c>
      <c r="BG3542" t="s">
        <v>29554</v>
      </c>
      <c r="BH3542" t="s">
        <v>29555</v>
      </c>
      <c r="BI3542" t="s">
        <v>2048</v>
      </c>
      <c r="BJ3542" t="s">
        <v>101</v>
      </c>
      <c r="BK3542" t="s">
        <v>8682</v>
      </c>
      <c r="BL3542" t="s">
        <v>16555</v>
      </c>
      <c r="BM3542" t="s">
        <v>12912</v>
      </c>
      <c r="BN3542" t="s">
        <v>27621</v>
      </c>
    </row>
    <row r="3543" spans="1:66" x14ac:dyDescent="0.25">
      <c r="A3543" t="str">
        <f>HYPERLINK("https://elite.finviz.com/quote.ashx?t=GAIN&amp;ty=c&amp;p=d&amp;b=1", "GAIN")</f>
        <v>GAIN</v>
      </c>
      <c r="B3543">
        <v>4</v>
      </c>
      <c r="C3543">
        <v>105.92</v>
      </c>
      <c r="D3543">
        <v>39.89</v>
      </c>
      <c r="E3543" t="s">
        <v>29556</v>
      </c>
      <c r="F3543" t="s">
        <v>107</v>
      </c>
      <c r="G3543" t="s">
        <v>550</v>
      </c>
      <c r="H3543" t="s">
        <v>2597</v>
      </c>
      <c r="I3543" t="s">
        <v>70</v>
      </c>
      <c r="J3543" t="s">
        <v>321</v>
      </c>
      <c r="K3543">
        <v>529.34</v>
      </c>
      <c r="L3543">
        <v>13.85</v>
      </c>
      <c r="M3543" t="s">
        <v>3358</v>
      </c>
      <c r="N3543">
        <v>46360</v>
      </c>
      <c r="O3543">
        <v>6.38</v>
      </c>
      <c r="P3543">
        <v>15.02</v>
      </c>
      <c r="R3543">
        <v>5.57</v>
      </c>
      <c r="S3543">
        <v>1.07</v>
      </c>
      <c r="T3543" t="s">
        <v>4966</v>
      </c>
      <c r="U3543">
        <v>0.94</v>
      </c>
      <c r="V3543" t="s">
        <v>4676</v>
      </c>
      <c r="W3543" t="s">
        <v>1491</v>
      </c>
      <c r="X3543" t="s">
        <v>8274</v>
      </c>
      <c r="Y3543" t="s">
        <v>906</v>
      </c>
      <c r="Z3543" t="s">
        <v>29557</v>
      </c>
      <c r="AA3543">
        <v>2.17</v>
      </c>
      <c r="AH3543" t="s">
        <v>2777</v>
      </c>
      <c r="AI3543" t="s">
        <v>6388</v>
      </c>
      <c r="AJ3543" t="s">
        <v>164</v>
      </c>
      <c r="AK3543" t="s">
        <v>4640</v>
      </c>
      <c r="AR3543" t="s">
        <v>1417</v>
      </c>
      <c r="AS3543" t="s">
        <v>1488</v>
      </c>
      <c r="AT3543" t="s">
        <v>3967</v>
      </c>
      <c r="AU3543" t="s">
        <v>9511</v>
      </c>
      <c r="AV3543" t="s">
        <v>248</v>
      </c>
      <c r="AW3543" t="s">
        <v>10703</v>
      </c>
      <c r="AX3543" t="s">
        <v>5058</v>
      </c>
      <c r="AY3543" t="s">
        <v>677</v>
      </c>
      <c r="AZ3543" t="s">
        <v>6672</v>
      </c>
      <c r="BA3543">
        <v>2.2000000000000002</v>
      </c>
      <c r="BB3543">
        <v>151.13999999999999</v>
      </c>
      <c r="BC3543">
        <v>1.08</v>
      </c>
      <c r="BD3543">
        <v>13.83</v>
      </c>
      <c r="BE3543">
        <v>13.93</v>
      </c>
      <c r="BF3543">
        <v>13.85</v>
      </c>
      <c r="BG3543" t="s">
        <v>29558</v>
      </c>
      <c r="BH3543" t="s">
        <v>677</v>
      </c>
      <c r="BI3543" t="s">
        <v>29559</v>
      </c>
      <c r="BJ3543" t="s">
        <v>101</v>
      </c>
      <c r="BK3543" t="s">
        <v>9511</v>
      </c>
      <c r="BL3543" t="s">
        <v>2123</v>
      </c>
      <c r="BM3543" t="s">
        <v>2093</v>
      </c>
      <c r="BN3543" t="s">
        <v>27621</v>
      </c>
    </row>
    <row r="3544" spans="1:66" x14ac:dyDescent="0.25">
      <c r="A3544" t="str">
        <f>HYPERLINK("https://elite.finviz.com/quote.ashx?t=HRI&amp;ty=c&amp;p=d&amp;b=1", "HRI")</f>
        <v>HRI</v>
      </c>
      <c r="B3544">
        <v>4</v>
      </c>
      <c r="C3544">
        <v>105.92</v>
      </c>
      <c r="D3544">
        <v>39.909999999999997</v>
      </c>
      <c r="E3544" t="s">
        <v>29560</v>
      </c>
      <c r="F3544" t="s">
        <v>67</v>
      </c>
      <c r="G3544" t="s">
        <v>260</v>
      </c>
      <c r="H3544" t="s">
        <v>7905</v>
      </c>
      <c r="I3544" t="s">
        <v>70</v>
      </c>
      <c r="J3544" t="s">
        <v>71</v>
      </c>
      <c r="K3544">
        <v>3911.95</v>
      </c>
      <c r="L3544">
        <v>117.7</v>
      </c>
      <c r="M3544" t="s">
        <v>5070</v>
      </c>
      <c r="N3544">
        <v>44157</v>
      </c>
      <c r="O3544">
        <v>136.43</v>
      </c>
      <c r="P3544">
        <v>10.72</v>
      </c>
      <c r="Q3544">
        <v>79.319999999999993</v>
      </c>
      <c r="R3544">
        <v>1.04</v>
      </c>
      <c r="S3544">
        <v>2.04</v>
      </c>
      <c r="T3544" t="s">
        <v>4839</v>
      </c>
      <c r="U3544">
        <v>2.76</v>
      </c>
      <c r="V3544" t="s">
        <v>4186</v>
      </c>
      <c r="W3544" t="s">
        <v>2316</v>
      </c>
      <c r="X3544" t="s">
        <v>4141</v>
      </c>
      <c r="Z3544" t="s">
        <v>5156</v>
      </c>
      <c r="AA3544">
        <v>0.86</v>
      </c>
      <c r="AB3544" t="s">
        <v>3358</v>
      </c>
      <c r="AC3544" t="s">
        <v>16242</v>
      </c>
      <c r="AD3544" t="s">
        <v>3257</v>
      </c>
      <c r="AE3544" t="s">
        <v>3647</v>
      </c>
      <c r="AF3544" t="s">
        <v>8627</v>
      </c>
      <c r="AG3544" t="s">
        <v>10812</v>
      </c>
      <c r="AH3544" t="s">
        <v>2738</v>
      </c>
      <c r="AI3544" t="s">
        <v>5294</v>
      </c>
      <c r="AJ3544" t="s">
        <v>164</v>
      </c>
      <c r="AK3544" t="s">
        <v>16486</v>
      </c>
      <c r="AL3544">
        <v>1.1499999999999999</v>
      </c>
      <c r="AM3544">
        <v>1.1499999999999999</v>
      </c>
      <c r="AN3544">
        <v>5.17</v>
      </c>
      <c r="AO3544" t="s">
        <v>15224</v>
      </c>
      <c r="AP3544" t="s">
        <v>13652</v>
      </c>
      <c r="AQ3544" t="s">
        <v>306</v>
      </c>
      <c r="AR3544" t="s">
        <v>3524</v>
      </c>
      <c r="AS3544" t="s">
        <v>3343</v>
      </c>
      <c r="AT3544" t="s">
        <v>7954</v>
      </c>
      <c r="AU3544" t="s">
        <v>3408</v>
      </c>
      <c r="AV3544" t="s">
        <v>23235</v>
      </c>
      <c r="AW3544" t="s">
        <v>2106</v>
      </c>
      <c r="AX3544" t="s">
        <v>3818</v>
      </c>
      <c r="AY3544" t="s">
        <v>22303</v>
      </c>
      <c r="AZ3544" t="s">
        <v>2825</v>
      </c>
      <c r="BA3544">
        <v>2.2200000000000002</v>
      </c>
      <c r="BB3544">
        <v>524.41999999999996</v>
      </c>
      <c r="BC3544">
        <v>0.3</v>
      </c>
      <c r="BD3544">
        <v>119.56</v>
      </c>
      <c r="BE3544">
        <v>122</v>
      </c>
      <c r="BF3544">
        <v>117.66</v>
      </c>
      <c r="BG3544" t="s">
        <v>29561</v>
      </c>
      <c r="BH3544" t="s">
        <v>22303</v>
      </c>
      <c r="BI3544" t="s">
        <v>29562</v>
      </c>
      <c r="BJ3544" t="s">
        <v>101</v>
      </c>
      <c r="BK3544" t="s">
        <v>5853</v>
      </c>
      <c r="BL3544" t="s">
        <v>5133</v>
      </c>
      <c r="BM3544" t="s">
        <v>3724</v>
      </c>
      <c r="BN3544" t="s">
        <v>27621</v>
      </c>
    </row>
    <row r="3545" spans="1:66" x14ac:dyDescent="0.25">
      <c r="A3545" t="str">
        <f>HYPERLINK("https://elite.finviz.com/quote.ashx?t=TFSL&amp;ty=c&amp;p=d&amp;b=1", "TFSL")</f>
        <v>TFSL</v>
      </c>
      <c r="B3545">
        <v>4</v>
      </c>
      <c r="C3545">
        <v>105.92</v>
      </c>
      <c r="D3545">
        <v>39.94</v>
      </c>
      <c r="E3545" t="s">
        <v>29563</v>
      </c>
      <c r="F3545" t="s">
        <v>107</v>
      </c>
      <c r="G3545" t="s">
        <v>550</v>
      </c>
      <c r="H3545" t="s">
        <v>697</v>
      </c>
      <c r="I3545" t="s">
        <v>70</v>
      </c>
      <c r="J3545" t="s">
        <v>321</v>
      </c>
      <c r="K3545">
        <v>3658.77</v>
      </c>
      <c r="L3545">
        <v>13.03</v>
      </c>
      <c r="M3545" t="s">
        <v>3896</v>
      </c>
      <c r="N3545">
        <v>75419</v>
      </c>
      <c r="O3545">
        <v>44.58</v>
      </c>
      <c r="P3545">
        <v>39.5</v>
      </c>
      <c r="Q3545">
        <v>5.77</v>
      </c>
      <c r="R3545">
        <v>4.6900000000000004</v>
      </c>
      <c r="S3545">
        <v>1.94</v>
      </c>
      <c r="T3545" t="s">
        <v>2428</v>
      </c>
      <c r="U3545">
        <v>1.1299999999999999</v>
      </c>
      <c r="V3545" t="s">
        <v>5717</v>
      </c>
      <c r="W3545" t="s">
        <v>164</v>
      </c>
      <c r="X3545" t="s">
        <v>2641</v>
      </c>
      <c r="Y3545" t="s">
        <v>4276</v>
      </c>
      <c r="Z3545" t="s">
        <v>29564</v>
      </c>
      <c r="AA3545">
        <v>0.28999999999999998</v>
      </c>
      <c r="AB3545" t="s">
        <v>1202</v>
      </c>
      <c r="AC3545" t="s">
        <v>8425</v>
      </c>
      <c r="AD3545" t="s">
        <v>4512</v>
      </c>
      <c r="AE3545" t="s">
        <v>5527</v>
      </c>
      <c r="AF3545" t="s">
        <v>4515</v>
      </c>
      <c r="AG3545" t="s">
        <v>6607</v>
      </c>
      <c r="AH3545" t="s">
        <v>323</v>
      </c>
      <c r="AI3545" t="s">
        <v>164</v>
      </c>
      <c r="AJ3545" t="s">
        <v>869</v>
      </c>
      <c r="AK3545" t="s">
        <v>7361</v>
      </c>
      <c r="AL3545">
        <v>0.21</v>
      </c>
      <c r="AN3545">
        <v>2.58</v>
      </c>
      <c r="AP3545" t="s">
        <v>9614</v>
      </c>
      <c r="AQ3545" t="s">
        <v>7106</v>
      </c>
      <c r="AR3545" t="s">
        <v>2201</v>
      </c>
      <c r="AS3545" t="s">
        <v>3757</v>
      </c>
      <c r="AT3545" t="s">
        <v>5686</v>
      </c>
      <c r="AU3545" t="s">
        <v>3286</v>
      </c>
      <c r="AV3545" t="s">
        <v>3336</v>
      </c>
      <c r="AW3545" t="s">
        <v>843</v>
      </c>
      <c r="AX3545" t="s">
        <v>4765</v>
      </c>
      <c r="AY3545" t="s">
        <v>25776</v>
      </c>
      <c r="AZ3545" t="s">
        <v>7843</v>
      </c>
      <c r="BA3545">
        <v>3</v>
      </c>
      <c r="BB3545">
        <v>381.44</v>
      </c>
      <c r="BC3545">
        <v>0.7</v>
      </c>
      <c r="BD3545">
        <v>13.11</v>
      </c>
      <c r="BE3545">
        <v>13.18</v>
      </c>
      <c r="BF3545">
        <v>13.03</v>
      </c>
      <c r="BG3545" t="s">
        <v>29565</v>
      </c>
      <c r="BH3545" t="s">
        <v>24514</v>
      </c>
      <c r="BI3545" t="s">
        <v>29566</v>
      </c>
      <c r="BJ3545" t="s">
        <v>101</v>
      </c>
      <c r="BK3545" t="s">
        <v>747</v>
      </c>
      <c r="BL3545" t="s">
        <v>2429</v>
      </c>
      <c r="BM3545" t="s">
        <v>2059</v>
      </c>
      <c r="BN3545" t="s">
        <v>27621</v>
      </c>
    </row>
    <row r="3546" spans="1:66" x14ac:dyDescent="0.25">
      <c r="A3546" t="str">
        <f>HYPERLINK("https://elite.finviz.com/quote.ashx?t=PLOW&amp;ty=c&amp;p=d&amp;b=1", "PLOW")</f>
        <v>PLOW</v>
      </c>
      <c r="B3546">
        <v>4</v>
      </c>
      <c r="C3546">
        <v>105.92</v>
      </c>
      <c r="D3546">
        <v>39.96</v>
      </c>
      <c r="E3546" t="s">
        <v>29567</v>
      </c>
      <c r="F3546" t="s">
        <v>67</v>
      </c>
      <c r="G3546" t="s">
        <v>813</v>
      </c>
      <c r="H3546" t="s">
        <v>814</v>
      </c>
      <c r="I3546" t="s">
        <v>70</v>
      </c>
      <c r="J3546" t="s">
        <v>71</v>
      </c>
      <c r="K3546">
        <v>721.03</v>
      </c>
      <c r="L3546">
        <v>31.29</v>
      </c>
      <c r="M3546" t="s">
        <v>629</v>
      </c>
      <c r="N3546">
        <v>12086</v>
      </c>
      <c r="O3546">
        <v>11.33</v>
      </c>
      <c r="P3546">
        <v>12.98</v>
      </c>
      <c r="R3546">
        <v>1.24</v>
      </c>
      <c r="S3546">
        <v>2.64</v>
      </c>
      <c r="T3546" t="s">
        <v>1100</v>
      </c>
      <c r="U3546">
        <v>1.18</v>
      </c>
      <c r="V3546" t="s">
        <v>5925</v>
      </c>
      <c r="W3546" t="s">
        <v>164</v>
      </c>
      <c r="X3546" t="s">
        <v>5166</v>
      </c>
      <c r="Y3546" t="s">
        <v>1760</v>
      </c>
      <c r="Z3546" t="s">
        <v>14131</v>
      </c>
      <c r="AA3546">
        <v>2.76</v>
      </c>
      <c r="AB3546" t="s">
        <v>11368</v>
      </c>
      <c r="AC3546" t="s">
        <v>4891</v>
      </c>
      <c r="AE3546" t="s">
        <v>5610</v>
      </c>
      <c r="AF3546" t="s">
        <v>3487</v>
      </c>
      <c r="AG3546" t="s">
        <v>4699</v>
      </c>
      <c r="AH3546" t="s">
        <v>9854</v>
      </c>
      <c r="AI3546" t="s">
        <v>14730</v>
      </c>
      <c r="AJ3546" t="s">
        <v>708</v>
      </c>
      <c r="AK3546" t="s">
        <v>29568</v>
      </c>
      <c r="AL3546">
        <v>2.11</v>
      </c>
      <c r="AM3546">
        <v>0.99</v>
      </c>
      <c r="AN3546">
        <v>1.01</v>
      </c>
      <c r="AO3546" t="s">
        <v>12534</v>
      </c>
      <c r="AP3546" t="s">
        <v>1809</v>
      </c>
      <c r="AQ3546" t="s">
        <v>8691</v>
      </c>
      <c r="AR3546" t="s">
        <v>633</v>
      </c>
      <c r="AS3546" t="s">
        <v>5420</v>
      </c>
      <c r="AT3546" t="s">
        <v>3897</v>
      </c>
      <c r="AU3546" t="s">
        <v>1226</v>
      </c>
      <c r="AV3546" t="s">
        <v>4315</v>
      </c>
      <c r="AW3546" t="s">
        <v>5741</v>
      </c>
      <c r="AX3546" t="s">
        <v>5680</v>
      </c>
      <c r="AY3546" t="s">
        <v>5741</v>
      </c>
      <c r="AZ3546" t="s">
        <v>15341</v>
      </c>
      <c r="BA3546">
        <v>2</v>
      </c>
      <c r="BB3546">
        <v>178.29</v>
      </c>
      <c r="BC3546">
        <v>0.24</v>
      </c>
      <c r="BD3546">
        <v>31.28</v>
      </c>
      <c r="BE3546">
        <v>31.83</v>
      </c>
      <c r="BF3546">
        <v>31.18</v>
      </c>
      <c r="BG3546" t="s">
        <v>29569</v>
      </c>
      <c r="BH3546" t="s">
        <v>28837</v>
      </c>
      <c r="BI3546" t="s">
        <v>29570</v>
      </c>
      <c r="BJ3546" t="s">
        <v>101</v>
      </c>
      <c r="BK3546" t="s">
        <v>3687</v>
      </c>
      <c r="BL3546" t="s">
        <v>14099</v>
      </c>
      <c r="BM3546" t="s">
        <v>5387</v>
      </c>
      <c r="BN3546" t="s">
        <v>27621</v>
      </c>
    </row>
    <row r="3547" spans="1:66" x14ac:dyDescent="0.25">
      <c r="A3547" t="str">
        <f>HYPERLINK("https://elite.finviz.com/quote.ashx?t=XBIT&amp;ty=c&amp;p=d&amp;b=1", "XBIT")</f>
        <v>XBIT</v>
      </c>
      <c r="B3547">
        <v>4</v>
      </c>
      <c r="C3547">
        <v>105.92</v>
      </c>
      <c r="D3547">
        <v>40.020000000000003</v>
      </c>
      <c r="E3547" t="s">
        <v>29571</v>
      </c>
      <c r="F3547" t="s">
        <v>107</v>
      </c>
      <c r="G3547" t="s">
        <v>428</v>
      </c>
      <c r="H3547" t="s">
        <v>429</v>
      </c>
      <c r="I3547" t="s">
        <v>70</v>
      </c>
      <c r="J3547" t="s">
        <v>321</v>
      </c>
      <c r="K3547">
        <v>82.01</v>
      </c>
      <c r="L3547">
        <v>2.69</v>
      </c>
      <c r="M3547" t="s">
        <v>164</v>
      </c>
      <c r="N3547">
        <v>12108</v>
      </c>
      <c r="S3547">
        <v>0.47</v>
      </c>
      <c r="V3547" t="s">
        <v>29572</v>
      </c>
      <c r="AA3547">
        <v>-0.92</v>
      </c>
      <c r="AB3547" t="s">
        <v>29573</v>
      </c>
      <c r="AE3547" t="s">
        <v>579</v>
      </c>
      <c r="AJ3547" t="s">
        <v>164</v>
      </c>
      <c r="AK3547" t="s">
        <v>483</v>
      </c>
      <c r="AL3547">
        <v>40.159999999999997</v>
      </c>
      <c r="AM3547">
        <v>40.159999999999997</v>
      </c>
      <c r="AN3547">
        <v>0</v>
      </c>
      <c r="AR3547" t="s">
        <v>265</v>
      </c>
      <c r="AS3547" t="s">
        <v>1886</v>
      </c>
      <c r="AT3547" t="s">
        <v>1580</v>
      </c>
      <c r="AU3547" t="s">
        <v>2364</v>
      </c>
      <c r="AV3547" t="s">
        <v>14980</v>
      </c>
      <c r="AW3547" t="s">
        <v>4769</v>
      </c>
      <c r="AX3547" t="s">
        <v>7117</v>
      </c>
      <c r="AY3547" t="s">
        <v>29473</v>
      </c>
      <c r="AZ3547" t="s">
        <v>929</v>
      </c>
      <c r="BA3547">
        <v>3</v>
      </c>
      <c r="BB3547">
        <v>90.84</v>
      </c>
      <c r="BC3547">
        <v>0.47</v>
      </c>
      <c r="BD3547">
        <v>2.69</v>
      </c>
      <c r="BE3547">
        <v>2.75</v>
      </c>
      <c r="BF3547">
        <v>2.64</v>
      </c>
      <c r="BG3547" t="s">
        <v>29574</v>
      </c>
      <c r="BH3547" t="s">
        <v>1754</v>
      </c>
      <c r="BI3547" t="s">
        <v>12797</v>
      </c>
      <c r="BJ3547" t="s">
        <v>101</v>
      </c>
      <c r="BK3547" t="s">
        <v>12014</v>
      </c>
      <c r="BL3547" t="s">
        <v>19857</v>
      </c>
      <c r="BM3547" t="s">
        <v>17700</v>
      </c>
      <c r="BN3547" t="s">
        <v>27621</v>
      </c>
    </row>
    <row r="3548" spans="1:66" x14ac:dyDescent="0.25">
      <c r="A3548" t="str">
        <f>HYPERLINK("https://elite.finviz.com/quote.ashx?t=HUBB&amp;ty=c&amp;p=d&amp;b=1", "HUBB")</f>
        <v>HUBB</v>
      </c>
      <c r="B3548">
        <v>4</v>
      </c>
      <c r="C3548">
        <v>105.92</v>
      </c>
      <c r="D3548">
        <v>40.03</v>
      </c>
      <c r="E3548" t="s">
        <v>29575</v>
      </c>
      <c r="F3548" t="s">
        <v>195</v>
      </c>
      <c r="G3548" t="s">
        <v>260</v>
      </c>
      <c r="H3548" t="s">
        <v>1128</v>
      </c>
      <c r="I3548" t="s">
        <v>70</v>
      </c>
      <c r="J3548" t="s">
        <v>71</v>
      </c>
      <c r="K3548">
        <v>22411.79</v>
      </c>
      <c r="L3548">
        <v>421.75</v>
      </c>
      <c r="M3548" t="s">
        <v>698</v>
      </c>
      <c r="N3548">
        <v>109127</v>
      </c>
      <c r="O3548">
        <v>27.38</v>
      </c>
      <c r="P3548">
        <v>21.75</v>
      </c>
      <c r="Q3548">
        <v>3.47</v>
      </c>
      <c r="R3548">
        <v>3.98</v>
      </c>
      <c r="S3548">
        <v>6.43</v>
      </c>
      <c r="T3548" t="s">
        <v>80</v>
      </c>
      <c r="U3548">
        <v>5.28</v>
      </c>
      <c r="V3548" t="s">
        <v>4882</v>
      </c>
      <c r="W3548" t="s">
        <v>7858</v>
      </c>
      <c r="X3548" t="s">
        <v>327</v>
      </c>
      <c r="Y3548" t="s">
        <v>3507</v>
      </c>
      <c r="Z3548" t="s">
        <v>3684</v>
      </c>
      <c r="AA3548">
        <v>15.4</v>
      </c>
      <c r="AB3548" t="s">
        <v>18909</v>
      </c>
      <c r="AC3548" t="s">
        <v>5901</v>
      </c>
      <c r="AD3548" t="s">
        <v>2678</v>
      </c>
      <c r="AE3548" t="s">
        <v>2881</v>
      </c>
      <c r="AF3548" t="s">
        <v>2579</v>
      </c>
      <c r="AG3548" t="s">
        <v>4690</v>
      </c>
      <c r="AH3548" t="s">
        <v>633</v>
      </c>
      <c r="AI3548" t="s">
        <v>5656</v>
      </c>
      <c r="AJ3548" t="s">
        <v>9279</v>
      </c>
      <c r="AK3548" t="s">
        <v>12374</v>
      </c>
      <c r="AL3548">
        <v>1.3</v>
      </c>
      <c r="AM3548">
        <v>0.76</v>
      </c>
      <c r="AN3548">
        <v>0.56999999999999995</v>
      </c>
      <c r="AO3548" t="s">
        <v>9898</v>
      </c>
      <c r="AP3548" t="s">
        <v>6166</v>
      </c>
      <c r="AQ3548" t="s">
        <v>6184</v>
      </c>
      <c r="AR3548" t="s">
        <v>212</v>
      </c>
      <c r="AS3548" t="s">
        <v>1761</v>
      </c>
      <c r="AT3548" t="s">
        <v>6161</v>
      </c>
      <c r="AU3548" t="s">
        <v>2968</v>
      </c>
      <c r="AV3548" t="s">
        <v>3057</v>
      </c>
      <c r="AW3548" t="s">
        <v>17624</v>
      </c>
      <c r="AX3548" t="s">
        <v>3550</v>
      </c>
      <c r="AY3548" t="s">
        <v>6918</v>
      </c>
      <c r="AZ3548" t="s">
        <v>5051</v>
      </c>
      <c r="BA3548">
        <v>2.27</v>
      </c>
      <c r="BB3548">
        <v>517.65</v>
      </c>
      <c r="BC3548">
        <v>0.74</v>
      </c>
      <c r="BD3548">
        <v>420.44</v>
      </c>
      <c r="BE3548">
        <v>422.45</v>
      </c>
      <c r="BF3548">
        <v>416.83</v>
      </c>
      <c r="BG3548" t="s">
        <v>29576</v>
      </c>
      <c r="BH3548" t="s">
        <v>6918</v>
      </c>
      <c r="BI3548" t="s">
        <v>29577</v>
      </c>
      <c r="BJ3548" t="s">
        <v>101</v>
      </c>
      <c r="BK3548" t="s">
        <v>1050</v>
      </c>
      <c r="BL3548" t="s">
        <v>1340</v>
      </c>
      <c r="BM3548" t="s">
        <v>9084</v>
      </c>
      <c r="BN3548" t="s">
        <v>27621</v>
      </c>
    </row>
    <row r="3549" spans="1:66" x14ac:dyDescent="0.25">
      <c r="A3549" t="str">
        <f>HYPERLINK("https://elite.finviz.com/quote.ashx?t=ACTU&amp;ty=c&amp;p=d&amp;b=1", "ACTU")</f>
        <v>ACTU</v>
      </c>
      <c r="B3549">
        <v>4</v>
      </c>
      <c r="C3549">
        <v>105.92</v>
      </c>
      <c r="D3549">
        <v>40.03</v>
      </c>
      <c r="E3549" t="s">
        <v>29578</v>
      </c>
      <c r="F3549" t="s">
        <v>67</v>
      </c>
      <c r="G3549" t="s">
        <v>428</v>
      </c>
      <c r="H3549" t="s">
        <v>429</v>
      </c>
      <c r="I3549" t="s">
        <v>70</v>
      </c>
      <c r="J3549" t="s">
        <v>321</v>
      </c>
      <c r="K3549">
        <v>153.41</v>
      </c>
      <c r="L3549">
        <v>6.6</v>
      </c>
      <c r="M3549" t="s">
        <v>240</v>
      </c>
      <c r="N3549">
        <v>3208</v>
      </c>
      <c r="AA3549">
        <v>-1.26</v>
      </c>
      <c r="AB3549" t="s">
        <v>19439</v>
      </c>
      <c r="AD3549" t="s">
        <v>245</v>
      </c>
      <c r="AI3549" t="s">
        <v>164</v>
      </c>
      <c r="AJ3549" t="s">
        <v>2185</v>
      </c>
      <c r="AK3549" t="s">
        <v>896</v>
      </c>
      <c r="AL3549">
        <v>0.73</v>
      </c>
      <c r="AM3549">
        <v>0.73</v>
      </c>
      <c r="AR3549" t="s">
        <v>614</v>
      </c>
      <c r="AS3549" t="s">
        <v>12450</v>
      </c>
      <c r="AT3549" t="s">
        <v>16883</v>
      </c>
      <c r="AU3549" t="s">
        <v>15423</v>
      </c>
      <c r="AV3549" t="s">
        <v>2778</v>
      </c>
      <c r="AW3549" t="s">
        <v>11300</v>
      </c>
      <c r="AX3549" t="s">
        <v>14815</v>
      </c>
      <c r="AY3549" t="s">
        <v>860</v>
      </c>
      <c r="AZ3549" t="s">
        <v>14815</v>
      </c>
      <c r="BA3549">
        <v>1</v>
      </c>
      <c r="BB3549">
        <v>104.74</v>
      </c>
      <c r="BC3549">
        <v>0.11</v>
      </c>
      <c r="BD3549">
        <v>6.65</v>
      </c>
      <c r="BE3549">
        <v>6.63</v>
      </c>
      <c r="BF3549">
        <v>6.54</v>
      </c>
      <c r="BG3549" t="s">
        <v>29579</v>
      </c>
      <c r="BH3549" t="s">
        <v>860</v>
      </c>
      <c r="BI3549" t="s">
        <v>14815</v>
      </c>
      <c r="BJ3549" t="s">
        <v>101</v>
      </c>
      <c r="BK3549" t="s">
        <v>6532</v>
      </c>
      <c r="BL3549" t="s">
        <v>9202</v>
      </c>
      <c r="BM3549" t="s">
        <v>343</v>
      </c>
      <c r="BN3549" t="s">
        <v>27621</v>
      </c>
    </row>
    <row r="3550" spans="1:66" x14ac:dyDescent="0.25">
      <c r="A3550" t="str">
        <f>HYPERLINK("https://elite.finviz.com/quote.ashx?t=WNC&amp;ty=c&amp;p=d&amp;b=1", "WNC")</f>
        <v>WNC</v>
      </c>
      <c r="B3550">
        <v>4</v>
      </c>
      <c r="C3550">
        <v>105.92</v>
      </c>
      <c r="D3550">
        <v>40.049999999999997</v>
      </c>
      <c r="E3550" t="s">
        <v>29580</v>
      </c>
      <c r="F3550" t="s">
        <v>67</v>
      </c>
      <c r="G3550" t="s">
        <v>260</v>
      </c>
      <c r="H3550" t="s">
        <v>320</v>
      </c>
      <c r="I3550" t="s">
        <v>70</v>
      </c>
      <c r="J3550" t="s">
        <v>71</v>
      </c>
      <c r="K3550">
        <v>418.18</v>
      </c>
      <c r="L3550">
        <v>10.220000000000001</v>
      </c>
      <c r="M3550" t="s">
        <v>2759</v>
      </c>
      <c r="N3550">
        <v>22506</v>
      </c>
      <c r="P3550">
        <v>13.61</v>
      </c>
      <c r="R3550">
        <v>0.24</v>
      </c>
      <c r="S3550">
        <v>1.0900000000000001</v>
      </c>
      <c r="T3550" t="s">
        <v>7088</v>
      </c>
      <c r="U3550">
        <v>0.32</v>
      </c>
      <c r="V3550" t="s">
        <v>5149</v>
      </c>
      <c r="W3550" t="s">
        <v>164</v>
      </c>
      <c r="X3550" t="s">
        <v>164</v>
      </c>
      <c r="Y3550" t="s">
        <v>164</v>
      </c>
      <c r="AA3550">
        <v>-2.4300000000000002</v>
      </c>
      <c r="AE3550" t="s">
        <v>24376</v>
      </c>
      <c r="AF3550" t="s">
        <v>2619</v>
      </c>
      <c r="AG3550" t="s">
        <v>9087</v>
      </c>
      <c r="AH3550" t="s">
        <v>8084</v>
      </c>
      <c r="AI3550" t="s">
        <v>25344</v>
      </c>
      <c r="AJ3550" t="s">
        <v>164</v>
      </c>
      <c r="AK3550" t="s">
        <v>8723</v>
      </c>
      <c r="AL3550">
        <v>1.68</v>
      </c>
      <c r="AM3550">
        <v>1</v>
      </c>
      <c r="AN3550">
        <v>1.22</v>
      </c>
      <c r="AO3550" t="s">
        <v>848</v>
      </c>
      <c r="AP3550" t="s">
        <v>12921</v>
      </c>
      <c r="AQ3550" t="s">
        <v>4888</v>
      </c>
      <c r="AR3550" t="s">
        <v>10226</v>
      </c>
      <c r="AS3550" t="s">
        <v>1050</v>
      </c>
      <c r="AT3550" t="s">
        <v>478</v>
      </c>
      <c r="AU3550" t="s">
        <v>4187</v>
      </c>
      <c r="AV3550" t="s">
        <v>20524</v>
      </c>
      <c r="AW3550" t="s">
        <v>13907</v>
      </c>
      <c r="AX3550" t="s">
        <v>3664</v>
      </c>
      <c r="AY3550" t="s">
        <v>29581</v>
      </c>
      <c r="AZ3550" t="s">
        <v>11763</v>
      </c>
      <c r="BA3550">
        <v>2</v>
      </c>
      <c r="BB3550">
        <v>666.62</v>
      </c>
      <c r="BC3550">
        <v>0.12</v>
      </c>
      <c r="BD3550">
        <v>10.119999999999999</v>
      </c>
      <c r="BE3550">
        <v>10.28</v>
      </c>
      <c r="BF3550">
        <v>10.19</v>
      </c>
      <c r="BG3550" t="s">
        <v>29582</v>
      </c>
      <c r="BH3550" t="s">
        <v>24422</v>
      </c>
      <c r="BI3550" t="s">
        <v>29583</v>
      </c>
      <c r="BJ3550" t="s">
        <v>101</v>
      </c>
      <c r="BK3550" t="s">
        <v>2845</v>
      </c>
      <c r="BL3550" t="s">
        <v>5718</v>
      </c>
      <c r="BM3550" t="s">
        <v>29584</v>
      </c>
      <c r="BN3550" t="s">
        <v>27621</v>
      </c>
    </row>
    <row r="3551" spans="1:66" x14ac:dyDescent="0.25">
      <c r="A3551" t="str">
        <f>HYPERLINK("https://elite.finviz.com/quote.ashx?t=BFS&amp;ty=c&amp;p=d&amp;b=1", "BFS")</f>
        <v>BFS</v>
      </c>
      <c r="B3551">
        <v>4</v>
      </c>
      <c r="C3551">
        <v>105.92</v>
      </c>
      <c r="D3551">
        <v>40.06</v>
      </c>
      <c r="E3551" t="s">
        <v>29585</v>
      </c>
      <c r="F3551" t="s">
        <v>67</v>
      </c>
      <c r="G3551" t="s">
        <v>68</v>
      </c>
      <c r="H3551" t="s">
        <v>160</v>
      </c>
      <c r="I3551" t="s">
        <v>70</v>
      </c>
      <c r="J3551" t="s">
        <v>71</v>
      </c>
      <c r="K3551">
        <v>773.65</v>
      </c>
      <c r="L3551">
        <v>31.75</v>
      </c>
      <c r="M3551" t="s">
        <v>4266</v>
      </c>
      <c r="N3551">
        <v>6790</v>
      </c>
      <c r="O3551">
        <v>24.09</v>
      </c>
      <c r="P3551">
        <v>39.200000000000003</v>
      </c>
      <c r="R3551">
        <v>2.77</v>
      </c>
      <c r="S3551">
        <v>5.66</v>
      </c>
      <c r="T3551" t="s">
        <v>661</v>
      </c>
      <c r="U3551">
        <v>2.36</v>
      </c>
      <c r="V3551" t="s">
        <v>7373</v>
      </c>
      <c r="W3551" t="s">
        <v>164</v>
      </c>
      <c r="X3551" t="s">
        <v>4600</v>
      </c>
      <c r="Y3551" t="s">
        <v>3916</v>
      </c>
      <c r="Z3551" t="s">
        <v>29586</v>
      </c>
      <c r="AA3551">
        <v>1.32</v>
      </c>
      <c r="AB3551" t="s">
        <v>1559</v>
      </c>
      <c r="AC3551" t="s">
        <v>84</v>
      </c>
      <c r="AD3551" t="s">
        <v>15468</v>
      </c>
      <c r="AE3551" t="s">
        <v>4393</v>
      </c>
      <c r="AF3551" t="s">
        <v>4690</v>
      </c>
      <c r="AG3551" t="s">
        <v>2383</v>
      </c>
      <c r="AH3551" t="s">
        <v>2408</v>
      </c>
      <c r="AJ3551" t="s">
        <v>2757</v>
      </c>
      <c r="AK3551" t="s">
        <v>2666</v>
      </c>
      <c r="AL3551">
        <v>2.4500000000000002</v>
      </c>
      <c r="AM3551">
        <v>2.4500000000000002</v>
      </c>
      <c r="AN3551">
        <v>4.8600000000000003</v>
      </c>
      <c r="AO3551" t="s">
        <v>11886</v>
      </c>
      <c r="AP3551" t="s">
        <v>11131</v>
      </c>
      <c r="AQ3551" t="s">
        <v>15543</v>
      </c>
      <c r="AR3551" t="s">
        <v>3757</v>
      </c>
      <c r="AS3551" t="s">
        <v>1303</v>
      </c>
      <c r="AT3551" t="s">
        <v>133</v>
      </c>
      <c r="AU3551" t="s">
        <v>10469</v>
      </c>
      <c r="AV3551" t="s">
        <v>16666</v>
      </c>
      <c r="AW3551" t="s">
        <v>2616</v>
      </c>
      <c r="AX3551" t="s">
        <v>3832</v>
      </c>
      <c r="AY3551" t="s">
        <v>26495</v>
      </c>
      <c r="AZ3551" t="s">
        <v>3832</v>
      </c>
      <c r="BA3551">
        <v>1</v>
      </c>
      <c r="BB3551">
        <v>66.099999999999994</v>
      </c>
      <c r="BC3551">
        <v>0.37</v>
      </c>
      <c r="BD3551">
        <v>31.67</v>
      </c>
      <c r="BE3551">
        <v>31.9</v>
      </c>
      <c r="BF3551">
        <v>31.68</v>
      </c>
      <c r="BG3551" t="s">
        <v>29587</v>
      </c>
      <c r="BH3551" t="s">
        <v>23670</v>
      </c>
      <c r="BI3551" t="s">
        <v>29588</v>
      </c>
      <c r="BJ3551" t="s">
        <v>101</v>
      </c>
      <c r="BK3551" t="s">
        <v>10533</v>
      </c>
      <c r="BL3551" t="s">
        <v>9198</v>
      </c>
      <c r="BM3551" t="s">
        <v>16884</v>
      </c>
      <c r="BN3551" t="s">
        <v>27621</v>
      </c>
    </row>
    <row r="3552" spans="1:66" x14ac:dyDescent="0.25">
      <c r="A3552" t="str">
        <f>HYPERLINK("https://elite.finviz.com/quote.ashx?t=CSAI&amp;ty=c&amp;p=d&amp;b=1", "CSAI")</f>
        <v>CSAI</v>
      </c>
      <c r="B3552">
        <v>4</v>
      </c>
      <c r="C3552">
        <v>105.92</v>
      </c>
      <c r="D3552">
        <v>40.07</v>
      </c>
      <c r="E3552" t="s">
        <v>29589</v>
      </c>
      <c r="F3552" t="s">
        <v>107</v>
      </c>
      <c r="G3552" t="s">
        <v>108</v>
      </c>
      <c r="H3552" t="s">
        <v>109</v>
      </c>
      <c r="I3552" t="s">
        <v>70</v>
      </c>
      <c r="J3552" t="s">
        <v>321</v>
      </c>
      <c r="K3552">
        <v>24.86</v>
      </c>
      <c r="L3552">
        <v>1.34</v>
      </c>
      <c r="M3552" t="s">
        <v>8763</v>
      </c>
      <c r="N3552">
        <v>69829</v>
      </c>
      <c r="R3552">
        <v>9.35</v>
      </c>
      <c r="S3552">
        <v>2.92</v>
      </c>
      <c r="AA3552">
        <v>-0.48</v>
      </c>
      <c r="AB3552" t="s">
        <v>5459</v>
      </c>
      <c r="AC3552" t="s">
        <v>21875</v>
      </c>
      <c r="AF3552" t="s">
        <v>6311</v>
      </c>
      <c r="AG3552" t="s">
        <v>5523</v>
      </c>
      <c r="AH3552" t="s">
        <v>29590</v>
      </c>
      <c r="AI3552" t="s">
        <v>4760</v>
      </c>
      <c r="AJ3552" t="s">
        <v>4814</v>
      </c>
      <c r="AK3552" t="s">
        <v>3832</v>
      </c>
      <c r="AL3552">
        <v>8.85</v>
      </c>
      <c r="AM3552">
        <v>8.4600000000000009</v>
      </c>
      <c r="AN3552">
        <v>0</v>
      </c>
      <c r="AO3552" t="s">
        <v>9533</v>
      </c>
      <c r="AP3552" t="s">
        <v>29591</v>
      </c>
      <c r="AQ3552" t="s">
        <v>29592</v>
      </c>
      <c r="AR3552" t="s">
        <v>9841</v>
      </c>
      <c r="AS3552" t="s">
        <v>2376</v>
      </c>
      <c r="AT3552" t="s">
        <v>17451</v>
      </c>
      <c r="AU3552" t="s">
        <v>20981</v>
      </c>
      <c r="AV3552" t="s">
        <v>29593</v>
      </c>
      <c r="AW3552" t="s">
        <v>29594</v>
      </c>
      <c r="AX3552" t="s">
        <v>12975</v>
      </c>
      <c r="AY3552" t="s">
        <v>29595</v>
      </c>
      <c r="AZ3552" t="s">
        <v>12975</v>
      </c>
      <c r="BA3552">
        <v>1</v>
      </c>
      <c r="BB3552">
        <v>357.41</v>
      </c>
      <c r="BC3552">
        <v>0.69</v>
      </c>
      <c r="BD3552">
        <v>1.37</v>
      </c>
      <c r="BE3552">
        <v>1.4</v>
      </c>
      <c r="BF3552">
        <v>1.32</v>
      </c>
      <c r="BG3552" t="s">
        <v>29596</v>
      </c>
      <c r="BH3552" t="s">
        <v>29595</v>
      </c>
      <c r="BI3552" t="s">
        <v>12975</v>
      </c>
      <c r="BJ3552" t="s">
        <v>101</v>
      </c>
      <c r="BK3552" t="s">
        <v>23709</v>
      </c>
      <c r="BL3552" t="s">
        <v>29597</v>
      </c>
      <c r="BN3552" t="s">
        <v>27621</v>
      </c>
    </row>
    <row r="3553" spans="1:66" x14ac:dyDescent="0.25">
      <c r="A3553" t="str">
        <f>HYPERLINK("https://elite.finviz.com/quote.ashx?t=TAOX&amp;ty=c&amp;p=d&amp;b=1", "TAOX")</f>
        <v>TAOX</v>
      </c>
      <c r="B3553">
        <v>4</v>
      </c>
      <c r="C3553">
        <v>105.92</v>
      </c>
      <c r="D3553">
        <v>40.07</v>
      </c>
      <c r="E3553" t="s">
        <v>29598</v>
      </c>
      <c r="F3553" t="s">
        <v>107</v>
      </c>
      <c r="G3553" t="s">
        <v>108</v>
      </c>
      <c r="H3553" t="s">
        <v>109</v>
      </c>
      <c r="I3553" t="s">
        <v>70</v>
      </c>
      <c r="J3553" t="s">
        <v>321</v>
      </c>
      <c r="K3553">
        <v>18.97</v>
      </c>
      <c r="L3553">
        <v>5.44</v>
      </c>
      <c r="M3553" t="s">
        <v>1714</v>
      </c>
      <c r="N3553">
        <v>39234</v>
      </c>
      <c r="S3553">
        <v>0.79</v>
      </c>
      <c r="AA3553">
        <v>-19.97</v>
      </c>
      <c r="AB3553" t="s">
        <v>5222</v>
      </c>
      <c r="AC3553" t="s">
        <v>21334</v>
      </c>
      <c r="AJ3553" t="s">
        <v>164</v>
      </c>
      <c r="AK3553" t="s">
        <v>2582</v>
      </c>
      <c r="AL3553">
        <v>20.51</v>
      </c>
      <c r="AM3553">
        <v>20.51</v>
      </c>
      <c r="AN3553">
        <v>0</v>
      </c>
      <c r="AO3553" t="s">
        <v>29599</v>
      </c>
      <c r="AP3553" t="s">
        <v>29600</v>
      </c>
      <c r="AQ3553" t="s">
        <v>29601</v>
      </c>
      <c r="AR3553" t="s">
        <v>12048</v>
      </c>
      <c r="AS3553" t="s">
        <v>11159</v>
      </c>
      <c r="AT3553" t="s">
        <v>2753</v>
      </c>
      <c r="AU3553" t="s">
        <v>12589</v>
      </c>
      <c r="AV3553" t="s">
        <v>4798</v>
      </c>
      <c r="AW3553" t="s">
        <v>29602</v>
      </c>
      <c r="AX3553" t="s">
        <v>5071</v>
      </c>
      <c r="AY3553" t="s">
        <v>29602</v>
      </c>
      <c r="AZ3553" t="s">
        <v>29603</v>
      </c>
      <c r="BA3553">
        <v>1</v>
      </c>
      <c r="BB3553">
        <v>314.64999999999998</v>
      </c>
      <c r="BC3553">
        <v>0.44</v>
      </c>
      <c r="BD3553">
        <v>5.47</v>
      </c>
      <c r="BE3553">
        <v>5.74</v>
      </c>
      <c r="BF3553">
        <v>5.27</v>
      </c>
      <c r="BG3553" t="s">
        <v>29604</v>
      </c>
      <c r="BH3553" t="s">
        <v>13925</v>
      </c>
      <c r="BI3553" t="s">
        <v>29603</v>
      </c>
      <c r="BJ3553" t="s">
        <v>101</v>
      </c>
      <c r="BK3553" t="s">
        <v>8921</v>
      </c>
      <c r="BL3553" t="s">
        <v>26194</v>
      </c>
      <c r="BM3553" t="s">
        <v>20518</v>
      </c>
      <c r="BN3553" t="s">
        <v>27621</v>
      </c>
    </row>
    <row r="3554" spans="1:66" x14ac:dyDescent="0.25">
      <c r="A3554" t="str">
        <f>HYPERLINK("https://elite.finviz.com/quote.ashx?t=RLI&amp;ty=c&amp;p=d&amp;b=1", "RLI")</f>
        <v>RLI</v>
      </c>
      <c r="B3554">
        <v>4</v>
      </c>
      <c r="C3554">
        <v>105.92</v>
      </c>
      <c r="D3554">
        <v>40.1</v>
      </c>
      <c r="E3554" t="s">
        <v>29605</v>
      </c>
      <c r="F3554" t="s">
        <v>107</v>
      </c>
      <c r="G3554" t="s">
        <v>550</v>
      </c>
      <c r="H3554" t="s">
        <v>4407</v>
      </c>
      <c r="I3554" t="s">
        <v>70</v>
      </c>
      <c r="J3554" t="s">
        <v>71</v>
      </c>
      <c r="K3554">
        <v>5953.31</v>
      </c>
      <c r="L3554">
        <v>64.83</v>
      </c>
      <c r="M3554" t="s">
        <v>2144</v>
      </c>
      <c r="N3554">
        <v>36534</v>
      </c>
      <c r="O3554">
        <v>18.55</v>
      </c>
      <c r="P3554">
        <v>20.6</v>
      </c>
      <c r="Q3554">
        <v>6.79</v>
      </c>
      <c r="R3554">
        <v>3.32</v>
      </c>
      <c r="S3554">
        <v>3.43</v>
      </c>
      <c r="T3554" t="s">
        <v>8016</v>
      </c>
      <c r="U3554">
        <v>0.61</v>
      </c>
      <c r="V3554" t="s">
        <v>4882</v>
      </c>
      <c r="W3554" t="s">
        <v>892</v>
      </c>
      <c r="X3554" t="s">
        <v>4393</v>
      </c>
      <c r="Y3554" t="s">
        <v>3020</v>
      </c>
      <c r="Z3554" t="s">
        <v>2415</v>
      </c>
      <c r="AA3554">
        <v>3.5</v>
      </c>
      <c r="AB3554" t="s">
        <v>12450</v>
      </c>
      <c r="AC3554" t="s">
        <v>953</v>
      </c>
      <c r="AD3554" t="s">
        <v>2361</v>
      </c>
      <c r="AE3554" t="s">
        <v>2627</v>
      </c>
      <c r="AF3554" t="s">
        <v>5901</v>
      </c>
      <c r="AG3554" t="s">
        <v>1603</v>
      </c>
      <c r="AH3554" t="s">
        <v>5795</v>
      </c>
      <c r="AI3554" t="s">
        <v>4999</v>
      </c>
      <c r="AJ3554" t="s">
        <v>5549</v>
      </c>
      <c r="AK3554" t="s">
        <v>16041</v>
      </c>
      <c r="AL3554">
        <v>0.28999999999999998</v>
      </c>
      <c r="AN3554">
        <v>7.0000000000000007E-2</v>
      </c>
      <c r="AP3554" t="s">
        <v>233</v>
      </c>
      <c r="AQ3554" t="s">
        <v>5063</v>
      </c>
      <c r="AR3554" t="s">
        <v>907</v>
      </c>
      <c r="AS3554" t="s">
        <v>2572</v>
      </c>
      <c r="AT3554" t="s">
        <v>4431</v>
      </c>
      <c r="AU3554" t="s">
        <v>3554</v>
      </c>
      <c r="AV3554" t="s">
        <v>384</v>
      </c>
      <c r="AW3554" t="s">
        <v>16256</v>
      </c>
      <c r="AX3554" t="s">
        <v>3019</v>
      </c>
      <c r="AY3554" t="s">
        <v>29606</v>
      </c>
      <c r="AZ3554" t="s">
        <v>3019</v>
      </c>
      <c r="BA3554">
        <v>2.88</v>
      </c>
      <c r="BB3554">
        <v>641.85</v>
      </c>
      <c r="BC3554">
        <v>0.2</v>
      </c>
      <c r="BD3554">
        <v>64.17</v>
      </c>
      <c r="BE3554">
        <v>65.16</v>
      </c>
      <c r="BF3554">
        <v>64.459999999999994</v>
      </c>
      <c r="BG3554" t="s">
        <v>29607</v>
      </c>
      <c r="BH3554" t="s">
        <v>29606</v>
      </c>
      <c r="BI3554" t="s">
        <v>29608</v>
      </c>
      <c r="BJ3554" t="s">
        <v>101</v>
      </c>
      <c r="BK3554" t="s">
        <v>9889</v>
      </c>
      <c r="BL3554" t="s">
        <v>3516</v>
      </c>
      <c r="BM3554" t="s">
        <v>10010</v>
      </c>
      <c r="BN3554" t="s">
        <v>27621</v>
      </c>
    </row>
    <row r="3555" spans="1:66" x14ac:dyDescent="0.25">
      <c r="A3555" t="str">
        <f>HYPERLINK("https://elite.finviz.com/quote.ashx?t=BOF&amp;ty=c&amp;p=d&amp;b=1", "BOF")</f>
        <v>BOF</v>
      </c>
      <c r="B3555">
        <v>4</v>
      </c>
      <c r="C3555">
        <v>105.92</v>
      </c>
      <c r="D3555">
        <v>40.159999999999997</v>
      </c>
      <c r="E3555" t="s">
        <v>29609</v>
      </c>
      <c r="F3555" t="s">
        <v>107</v>
      </c>
      <c r="G3555" t="s">
        <v>2244</v>
      </c>
      <c r="H3555" t="s">
        <v>3269</v>
      </c>
      <c r="I3555" t="s">
        <v>70</v>
      </c>
      <c r="J3555" t="s">
        <v>321</v>
      </c>
      <c r="K3555">
        <v>25.21</v>
      </c>
      <c r="L3555">
        <v>2.14</v>
      </c>
      <c r="M3555" t="s">
        <v>2426</v>
      </c>
      <c r="N3555">
        <v>2311</v>
      </c>
      <c r="R3555">
        <v>2.48</v>
      </c>
      <c r="S3555">
        <v>6.48</v>
      </c>
      <c r="AA3555">
        <v>-0.65</v>
      </c>
      <c r="AB3555" t="s">
        <v>29610</v>
      </c>
      <c r="AE3555" t="s">
        <v>27900</v>
      </c>
      <c r="AF3555" t="s">
        <v>27388</v>
      </c>
      <c r="AH3555" t="s">
        <v>29611</v>
      </c>
      <c r="AJ3555" t="s">
        <v>406</v>
      </c>
      <c r="AK3555" t="s">
        <v>1768</v>
      </c>
      <c r="AL3555">
        <v>1.1499999999999999</v>
      </c>
      <c r="AM3555">
        <v>0.68</v>
      </c>
      <c r="AN3555">
        <v>2.0499999999999998</v>
      </c>
      <c r="AO3555" t="s">
        <v>6343</v>
      </c>
      <c r="AP3555" t="s">
        <v>29612</v>
      </c>
      <c r="AQ3555" t="s">
        <v>29613</v>
      </c>
      <c r="AR3555" t="s">
        <v>2493</v>
      </c>
      <c r="AS3555" t="s">
        <v>749</v>
      </c>
      <c r="AT3555" t="s">
        <v>2076</v>
      </c>
      <c r="AU3555" t="s">
        <v>4888</v>
      </c>
      <c r="AV3555" t="s">
        <v>6155</v>
      </c>
      <c r="AW3555" t="s">
        <v>16962</v>
      </c>
      <c r="AX3555" t="s">
        <v>755</v>
      </c>
      <c r="AY3555" t="s">
        <v>16962</v>
      </c>
      <c r="AZ3555" t="s">
        <v>20014</v>
      </c>
      <c r="BB3555">
        <v>220.53</v>
      </c>
      <c r="BC3555">
        <v>0.04</v>
      </c>
      <c r="BD3555">
        <v>2.15</v>
      </c>
      <c r="BE3555">
        <v>2.16</v>
      </c>
      <c r="BF3555">
        <v>2.13</v>
      </c>
      <c r="BG3555" t="s">
        <v>29614</v>
      </c>
      <c r="BH3555" t="s">
        <v>29615</v>
      </c>
      <c r="BI3555" t="s">
        <v>29616</v>
      </c>
      <c r="BJ3555" t="s">
        <v>101</v>
      </c>
      <c r="BK3555" t="s">
        <v>4929</v>
      </c>
      <c r="BL3555" t="s">
        <v>27010</v>
      </c>
      <c r="BM3555" t="s">
        <v>164</v>
      </c>
      <c r="BN3555" t="s">
        <v>27621</v>
      </c>
    </row>
    <row r="3556" spans="1:66" x14ac:dyDescent="0.25">
      <c r="A3556" t="str">
        <f>HYPERLINK("https://elite.finviz.com/quote.ashx?t=COHN&amp;ty=c&amp;p=d&amp;b=1", "COHN")</f>
        <v>COHN</v>
      </c>
      <c r="B3556">
        <v>4</v>
      </c>
      <c r="C3556">
        <v>105.92</v>
      </c>
      <c r="D3556">
        <v>40.18</v>
      </c>
      <c r="E3556" t="s">
        <v>29617</v>
      </c>
      <c r="F3556" t="s">
        <v>107</v>
      </c>
      <c r="G3556" t="s">
        <v>550</v>
      </c>
      <c r="H3556" t="s">
        <v>551</v>
      </c>
      <c r="I3556" t="s">
        <v>70</v>
      </c>
      <c r="J3556" t="s">
        <v>383</v>
      </c>
      <c r="K3556">
        <v>22.57</v>
      </c>
      <c r="L3556">
        <v>11.09</v>
      </c>
      <c r="M3556" t="s">
        <v>4191</v>
      </c>
      <c r="N3556">
        <v>438</v>
      </c>
      <c r="O3556">
        <v>9.98</v>
      </c>
      <c r="R3556">
        <v>0.11</v>
      </c>
      <c r="S3556">
        <v>0.52</v>
      </c>
      <c r="T3556" t="s">
        <v>3648</v>
      </c>
      <c r="U3556">
        <v>1</v>
      </c>
      <c r="V3556" t="s">
        <v>3046</v>
      </c>
      <c r="W3556" t="s">
        <v>164</v>
      </c>
      <c r="X3556" t="s">
        <v>3397</v>
      </c>
      <c r="Y3556" t="s">
        <v>2710</v>
      </c>
      <c r="AA3556">
        <v>1.1100000000000001</v>
      </c>
      <c r="AC3556" t="s">
        <v>5171</v>
      </c>
      <c r="AE3556" t="s">
        <v>7927</v>
      </c>
      <c r="AF3556" t="s">
        <v>3112</v>
      </c>
      <c r="AG3556" t="s">
        <v>4226</v>
      </c>
      <c r="AH3556" t="s">
        <v>29618</v>
      </c>
      <c r="AJ3556" t="s">
        <v>6335</v>
      </c>
      <c r="AK3556" t="s">
        <v>4891</v>
      </c>
      <c r="AL3556">
        <v>1.05</v>
      </c>
      <c r="AM3556">
        <v>1.05</v>
      </c>
      <c r="AN3556">
        <v>19.95</v>
      </c>
      <c r="AO3556" t="s">
        <v>15236</v>
      </c>
      <c r="AP3556" t="s">
        <v>8093</v>
      </c>
      <c r="AQ3556" t="s">
        <v>4759</v>
      </c>
      <c r="AR3556" t="s">
        <v>4499</v>
      </c>
      <c r="AS3556" t="s">
        <v>3670</v>
      </c>
      <c r="AT3556" t="s">
        <v>552</v>
      </c>
      <c r="AU3556" t="s">
        <v>2934</v>
      </c>
      <c r="AV3556" t="s">
        <v>5609</v>
      </c>
      <c r="AW3556" t="s">
        <v>16729</v>
      </c>
      <c r="AX3556" t="s">
        <v>6859</v>
      </c>
      <c r="AY3556" t="s">
        <v>16729</v>
      </c>
      <c r="AZ3556" t="s">
        <v>22824</v>
      </c>
      <c r="BB3556">
        <v>7.46</v>
      </c>
      <c r="BC3556">
        <v>0.21</v>
      </c>
      <c r="BD3556">
        <v>11.11</v>
      </c>
      <c r="BE3556">
        <v>11.19</v>
      </c>
      <c r="BF3556">
        <v>11.19</v>
      </c>
      <c r="BG3556" t="s">
        <v>29619</v>
      </c>
      <c r="BH3556" t="s">
        <v>23407</v>
      </c>
      <c r="BI3556" t="s">
        <v>29620</v>
      </c>
      <c r="BJ3556" t="s">
        <v>101</v>
      </c>
      <c r="BK3556" t="s">
        <v>511</v>
      </c>
      <c r="BL3556" t="s">
        <v>9305</v>
      </c>
      <c r="BM3556" t="s">
        <v>9877</v>
      </c>
      <c r="BN3556" t="s">
        <v>27621</v>
      </c>
    </row>
    <row r="3557" spans="1:66" x14ac:dyDescent="0.25">
      <c r="A3557" t="str">
        <f>HYPERLINK("https://elite.finviz.com/quote.ashx?t=AMTB&amp;ty=c&amp;p=d&amp;b=1", "AMTB")</f>
        <v>AMTB</v>
      </c>
      <c r="B3557">
        <v>4</v>
      </c>
      <c r="C3557">
        <v>105.92</v>
      </c>
      <c r="D3557">
        <v>40.19</v>
      </c>
      <c r="E3557" t="s">
        <v>29621</v>
      </c>
      <c r="F3557" t="s">
        <v>67</v>
      </c>
      <c r="G3557" t="s">
        <v>550</v>
      </c>
      <c r="H3557" t="s">
        <v>697</v>
      </c>
      <c r="I3557" t="s">
        <v>70</v>
      </c>
      <c r="J3557" t="s">
        <v>71</v>
      </c>
      <c r="K3557">
        <v>833.52</v>
      </c>
      <c r="L3557">
        <v>19.97</v>
      </c>
      <c r="M3557" t="s">
        <v>3495</v>
      </c>
      <c r="N3557">
        <v>14722</v>
      </c>
      <c r="P3557">
        <v>8.7200000000000006</v>
      </c>
      <c r="R3557">
        <v>1.41</v>
      </c>
      <c r="S3557">
        <v>0.9</v>
      </c>
      <c r="T3557" t="s">
        <v>7338</v>
      </c>
      <c r="U3557">
        <v>0.36</v>
      </c>
      <c r="V3557" t="s">
        <v>3046</v>
      </c>
      <c r="W3557" t="s">
        <v>164</v>
      </c>
      <c r="X3557" t="s">
        <v>29622</v>
      </c>
      <c r="AA3557">
        <v>-0.19</v>
      </c>
      <c r="AE3557" t="s">
        <v>7782</v>
      </c>
      <c r="AF3557" t="s">
        <v>10128</v>
      </c>
      <c r="AG3557" t="s">
        <v>2886</v>
      </c>
      <c r="AH3557" t="s">
        <v>2317</v>
      </c>
      <c r="AI3557" t="s">
        <v>14879</v>
      </c>
      <c r="AJ3557" t="s">
        <v>2757</v>
      </c>
      <c r="AK3557" t="s">
        <v>9394</v>
      </c>
      <c r="AL3557">
        <v>0.2</v>
      </c>
      <c r="AN3557">
        <v>1.05</v>
      </c>
      <c r="AP3557" t="s">
        <v>4840</v>
      </c>
      <c r="AQ3557" t="s">
        <v>4308</v>
      </c>
      <c r="AR3557" t="s">
        <v>353</v>
      </c>
      <c r="AS3557" t="s">
        <v>213</v>
      </c>
      <c r="AT3557" t="s">
        <v>8534</v>
      </c>
      <c r="AU3557" t="s">
        <v>6359</v>
      </c>
      <c r="AV3557" t="s">
        <v>9511</v>
      </c>
      <c r="AW3557" t="s">
        <v>12939</v>
      </c>
      <c r="AX3557" t="s">
        <v>8274</v>
      </c>
      <c r="AY3557" t="s">
        <v>16968</v>
      </c>
      <c r="AZ3557" t="s">
        <v>9722</v>
      </c>
      <c r="BA3557">
        <v>2.2000000000000002</v>
      </c>
      <c r="BB3557">
        <v>196.93</v>
      </c>
      <c r="BC3557">
        <v>0.26</v>
      </c>
      <c r="BD3557">
        <v>20.100000000000001</v>
      </c>
      <c r="BE3557">
        <v>20.190000000000001</v>
      </c>
      <c r="BF3557">
        <v>19.96</v>
      </c>
      <c r="BG3557" t="s">
        <v>29623</v>
      </c>
      <c r="BH3557" t="s">
        <v>11861</v>
      </c>
      <c r="BI3557" t="s">
        <v>29624</v>
      </c>
      <c r="BJ3557" t="s">
        <v>101</v>
      </c>
      <c r="BK3557" t="s">
        <v>2555</v>
      </c>
      <c r="BL3557" t="s">
        <v>6985</v>
      </c>
      <c r="BM3557" t="s">
        <v>625</v>
      </c>
      <c r="BN3557" t="s">
        <v>27621</v>
      </c>
    </row>
    <row r="3558" spans="1:66" x14ac:dyDescent="0.25">
      <c r="A3558" t="str">
        <f>HYPERLINK("https://elite.finviz.com/quote.ashx?t=IRIX&amp;ty=c&amp;p=d&amp;b=1", "IRIX")</f>
        <v>IRIX</v>
      </c>
      <c r="B3558">
        <v>4</v>
      </c>
      <c r="C3558">
        <v>105.92</v>
      </c>
      <c r="D3558">
        <v>40.21</v>
      </c>
      <c r="E3558" t="s">
        <v>29625</v>
      </c>
      <c r="F3558" t="s">
        <v>107</v>
      </c>
      <c r="G3558" t="s">
        <v>428</v>
      </c>
      <c r="H3558" t="s">
        <v>2051</v>
      </c>
      <c r="I3558" t="s">
        <v>70</v>
      </c>
      <c r="J3558" t="s">
        <v>321</v>
      </c>
      <c r="K3558">
        <v>19.48</v>
      </c>
      <c r="L3558">
        <v>1.1499999999999999</v>
      </c>
      <c r="M3558" t="s">
        <v>6770</v>
      </c>
      <c r="N3558">
        <v>15781</v>
      </c>
      <c r="R3558">
        <v>0.39</v>
      </c>
      <c r="S3558">
        <v>326.7</v>
      </c>
      <c r="AA3558">
        <v>-0.33</v>
      </c>
      <c r="AB3558" t="s">
        <v>6138</v>
      </c>
      <c r="AC3558" t="s">
        <v>3542</v>
      </c>
      <c r="AE3558" t="s">
        <v>1324</v>
      </c>
      <c r="AF3558" t="s">
        <v>5356</v>
      </c>
      <c r="AG3558" t="s">
        <v>7322</v>
      </c>
      <c r="AH3558" t="s">
        <v>3746</v>
      </c>
      <c r="AJ3558" t="s">
        <v>5554</v>
      </c>
      <c r="AK3558" t="s">
        <v>15941</v>
      </c>
      <c r="AL3558">
        <v>1.96</v>
      </c>
      <c r="AM3558">
        <v>1.34</v>
      </c>
      <c r="AN3558">
        <v>0.84</v>
      </c>
      <c r="AO3558" t="s">
        <v>8028</v>
      </c>
      <c r="AP3558" t="s">
        <v>9704</v>
      </c>
      <c r="AQ3558" t="s">
        <v>9631</v>
      </c>
      <c r="AR3558" t="s">
        <v>7407</v>
      </c>
      <c r="AS3558" t="s">
        <v>6008</v>
      </c>
      <c r="AT3558" t="s">
        <v>7543</v>
      </c>
      <c r="AU3558" t="s">
        <v>16186</v>
      </c>
      <c r="AV3558" t="s">
        <v>6227</v>
      </c>
      <c r="AW3558" t="s">
        <v>6236</v>
      </c>
      <c r="AX3558" t="s">
        <v>3688</v>
      </c>
      <c r="AY3558" t="s">
        <v>7840</v>
      </c>
      <c r="AZ3558" t="s">
        <v>5483</v>
      </c>
      <c r="BA3558">
        <v>3</v>
      </c>
      <c r="BB3558">
        <v>121.86</v>
      </c>
      <c r="BC3558">
        <v>0.46</v>
      </c>
      <c r="BD3558">
        <v>1.1100000000000001</v>
      </c>
      <c r="BE3558">
        <v>1.2</v>
      </c>
      <c r="BF3558">
        <v>1.1200000000000001</v>
      </c>
      <c r="BG3558" t="s">
        <v>29626</v>
      </c>
      <c r="BH3558" t="s">
        <v>29627</v>
      </c>
      <c r="BI3558" t="s">
        <v>29628</v>
      </c>
      <c r="BJ3558" t="s">
        <v>101</v>
      </c>
      <c r="BK3558" t="s">
        <v>294</v>
      </c>
      <c r="BL3558" t="s">
        <v>14888</v>
      </c>
      <c r="BM3558" t="s">
        <v>8887</v>
      </c>
      <c r="BN3558" t="s">
        <v>27621</v>
      </c>
    </row>
    <row r="3559" spans="1:66" x14ac:dyDescent="0.25">
      <c r="A3559" t="str">
        <f>HYPERLINK("https://elite.finviz.com/quote.ashx?t=FA&amp;ty=c&amp;p=d&amp;b=1", "FA")</f>
        <v>FA</v>
      </c>
      <c r="B3559">
        <v>4</v>
      </c>
      <c r="C3559">
        <v>105.92</v>
      </c>
      <c r="D3559">
        <v>40.21</v>
      </c>
      <c r="E3559" t="s">
        <v>29629</v>
      </c>
      <c r="F3559" t="s">
        <v>67</v>
      </c>
      <c r="G3559" t="s">
        <v>260</v>
      </c>
      <c r="H3559" t="s">
        <v>1077</v>
      </c>
      <c r="I3559" t="s">
        <v>70</v>
      </c>
      <c r="J3559" t="s">
        <v>321</v>
      </c>
      <c r="K3559">
        <v>2631.16</v>
      </c>
      <c r="L3559">
        <v>15.12</v>
      </c>
      <c r="M3559" t="s">
        <v>7423</v>
      </c>
      <c r="N3559">
        <v>242936</v>
      </c>
      <c r="P3559">
        <v>12.81</v>
      </c>
      <c r="R3559">
        <v>2.1</v>
      </c>
      <c r="S3559">
        <v>2.02</v>
      </c>
      <c r="V3559" t="s">
        <v>26866</v>
      </c>
      <c r="AA3559">
        <v>-0.91</v>
      </c>
      <c r="AD3559" t="s">
        <v>3663</v>
      </c>
      <c r="AE3559" t="s">
        <v>29630</v>
      </c>
      <c r="AF3559" t="s">
        <v>10237</v>
      </c>
      <c r="AG3559" t="s">
        <v>10812</v>
      </c>
      <c r="AH3559" t="s">
        <v>29631</v>
      </c>
      <c r="AI3559" t="s">
        <v>5390</v>
      </c>
      <c r="AJ3559" t="s">
        <v>2745</v>
      </c>
      <c r="AK3559" t="s">
        <v>11321</v>
      </c>
      <c r="AL3559">
        <v>1.98</v>
      </c>
      <c r="AM3559">
        <v>1.98</v>
      </c>
      <c r="AN3559">
        <v>1.65</v>
      </c>
      <c r="AO3559" t="s">
        <v>19396</v>
      </c>
      <c r="AP3559" t="s">
        <v>4999</v>
      </c>
      <c r="AQ3559" t="s">
        <v>6340</v>
      </c>
      <c r="AR3559" t="s">
        <v>756</v>
      </c>
      <c r="AS3559" t="s">
        <v>2662</v>
      </c>
      <c r="AT3559" t="s">
        <v>2149</v>
      </c>
      <c r="AU3559" t="s">
        <v>2332</v>
      </c>
      <c r="AV3559" t="s">
        <v>119</v>
      </c>
      <c r="AW3559" t="s">
        <v>9435</v>
      </c>
      <c r="AX3559" t="s">
        <v>2809</v>
      </c>
      <c r="AY3559" t="s">
        <v>29606</v>
      </c>
      <c r="AZ3559" t="s">
        <v>112</v>
      </c>
      <c r="BA3559">
        <v>2.2000000000000002</v>
      </c>
      <c r="BB3559">
        <v>908.28</v>
      </c>
      <c r="BC3559">
        <v>0.94</v>
      </c>
      <c r="BD3559">
        <v>14.88</v>
      </c>
      <c r="BE3559">
        <v>15.15</v>
      </c>
      <c r="BF3559">
        <v>14.78</v>
      </c>
      <c r="BG3559" t="s">
        <v>29632</v>
      </c>
      <c r="BH3559" t="s">
        <v>17892</v>
      </c>
      <c r="BI3559" t="s">
        <v>24891</v>
      </c>
      <c r="BJ3559" t="s">
        <v>101</v>
      </c>
      <c r="BK3559" t="s">
        <v>10842</v>
      </c>
      <c r="BL3559" t="s">
        <v>713</v>
      </c>
      <c r="BM3559" t="s">
        <v>4456</v>
      </c>
      <c r="BN3559" t="s">
        <v>27621</v>
      </c>
    </row>
    <row r="3560" spans="1:66" x14ac:dyDescent="0.25">
      <c r="A3560" t="str">
        <f>HYPERLINK("https://elite.finviz.com/quote.ashx?t=UONE&amp;ty=c&amp;p=d&amp;b=1", "UONE")</f>
        <v>UONE</v>
      </c>
      <c r="B3560">
        <v>4</v>
      </c>
      <c r="C3560">
        <v>105.92</v>
      </c>
      <c r="D3560">
        <v>40.24</v>
      </c>
      <c r="E3560" t="s">
        <v>29633</v>
      </c>
      <c r="F3560" t="s">
        <v>107</v>
      </c>
      <c r="G3560" t="s">
        <v>598</v>
      </c>
      <c r="H3560" t="s">
        <v>4546</v>
      </c>
      <c r="I3560" t="s">
        <v>70</v>
      </c>
      <c r="J3560" t="s">
        <v>321</v>
      </c>
      <c r="K3560">
        <v>39.25</v>
      </c>
      <c r="L3560">
        <v>1.43</v>
      </c>
      <c r="M3560" t="s">
        <v>6298</v>
      </c>
      <c r="N3560">
        <v>2024</v>
      </c>
      <c r="R3560">
        <v>0.1</v>
      </c>
      <c r="S3560">
        <v>0.79</v>
      </c>
      <c r="AA3560">
        <v>-3.46</v>
      </c>
      <c r="AE3560" t="s">
        <v>411</v>
      </c>
      <c r="AF3560" t="s">
        <v>4865</v>
      </c>
      <c r="AG3560" t="s">
        <v>2571</v>
      </c>
      <c r="AH3560" t="s">
        <v>23123</v>
      </c>
      <c r="AJ3560" t="s">
        <v>2374</v>
      </c>
      <c r="AK3560" t="s">
        <v>4659</v>
      </c>
      <c r="AL3560">
        <v>2.64</v>
      </c>
      <c r="AM3560">
        <v>2.64</v>
      </c>
      <c r="AN3560">
        <v>6.35</v>
      </c>
      <c r="AO3560" t="s">
        <v>4931</v>
      </c>
      <c r="AP3560" t="s">
        <v>3798</v>
      </c>
      <c r="AQ3560" t="s">
        <v>26180</v>
      </c>
      <c r="AR3560" t="s">
        <v>3020</v>
      </c>
      <c r="AS3560" t="s">
        <v>3688</v>
      </c>
      <c r="AT3560" t="s">
        <v>11801</v>
      </c>
      <c r="AU3560" t="s">
        <v>16522</v>
      </c>
      <c r="AV3560" t="s">
        <v>11795</v>
      </c>
      <c r="AW3560" t="s">
        <v>27618</v>
      </c>
      <c r="AX3560" t="s">
        <v>3020</v>
      </c>
      <c r="AY3560" t="s">
        <v>17413</v>
      </c>
      <c r="AZ3560" t="s">
        <v>8273</v>
      </c>
      <c r="BA3560">
        <v>1</v>
      </c>
      <c r="BB3560">
        <v>22.92</v>
      </c>
      <c r="BC3560">
        <v>0.31</v>
      </c>
      <c r="BD3560">
        <v>1.44</v>
      </c>
      <c r="BE3560">
        <v>1.45</v>
      </c>
      <c r="BF3560">
        <v>1.43</v>
      </c>
      <c r="BG3560" t="s">
        <v>29634</v>
      </c>
      <c r="BH3560" t="s">
        <v>29635</v>
      </c>
      <c r="BI3560" t="s">
        <v>29636</v>
      </c>
      <c r="BJ3560" t="s">
        <v>101</v>
      </c>
      <c r="BK3560" t="s">
        <v>2248</v>
      </c>
      <c r="BL3560" t="s">
        <v>2968</v>
      </c>
      <c r="BM3560" t="s">
        <v>14463</v>
      </c>
      <c r="BN3560" t="s">
        <v>27621</v>
      </c>
    </row>
    <row r="3561" spans="1:66" x14ac:dyDescent="0.25">
      <c r="A3561" t="str">
        <f>HYPERLINK("https://elite.finviz.com/quote.ashx?t=CLDT&amp;ty=c&amp;p=d&amp;b=1", "CLDT")</f>
        <v>CLDT</v>
      </c>
      <c r="B3561">
        <v>4</v>
      </c>
      <c r="C3561">
        <v>105.92</v>
      </c>
      <c r="D3561">
        <v>40.26</v>
      </c>
      <c r="E3561" t="s">
        <v>29637</v>
      </c>
      <c r="F3561" t="s">
        <v>67</v>
      </c>
      <c r="G3561" t="s">
        <v>68</v>
      </c>
      <c r="H3561" t="s">
        <v>4145</v>
      </c>
      <c r="I3561" t="s">
        <v>70</v>
      </c>
      <c r="J3561" t="s">
        <v>71</v>
      </c>
      <c r="K3561">
        <v>340.89</v>
      </c>
      <c r="L3561">
        <v>6.96</v>
      </c>
      <c r="M3561" t="s">
        <v>2646</v>
      </c>
      <c r="N3561">
        <v>42884</v>
      </c>
      <c r="O3561">
        <v>262.64</v>
      </c>
      <c r="R3561">
        <v>1.1000000000000001</v>
      </c>
      <c r="S3561">
        <v>0.45</v>
      </c>
      <c r="T3561" t="s">
        <v>3855</v>
      </c>
      <c r="U3561">
        <v>0.32</v>
      </c>
      <c r="V3561" t="s">
        <v>198</v>
      </c>
      <c r="W3561" t="s">
        <v>164</v>
      </c>
      <c r="Y3561" t="s">
        <v>1442</v>
      </c>
      <c r="AA3561">
        <v>0.03</v>
      </c>
      <c r="AB3561" t="s">
        <v>6713</v>
      </c>
      <c r="AE3561" t="s">
        <v>2899</v>
      </c>
      <c r="AF3561" t="s">
        <v>11086</v>
      </c>
      <c r="AG3561" t="s">
        <v>6298</v>
      </c>
      <c r="AH3561" t="s">
        <v>4635</v>
      </c>
      <c r="AI3561" t="s">
        <v>1001</v>
      </c>
      <c r="AJ3561" t="s">
        <v>164</v>
      </c>
      <c r="AK3561" t="s">
        <v>29638</v>
      </c>
      <c r="AL3561">
        <v>0.85</v>
      </c>
      <c r="AM3561">
        <v>0.85</v>
      </c>
      <c r="AN3561">
        <v>0.52</v>
      </c>
      <c r="AO3561" t="s">
        <v>16827</v>
      </c>
      <c r="AP3561" t="s">
        <v>2210</v>
      </c>
      <c r="AQ3561" t="s">
        <v>7464</v>
      </c>
      <c r="AR3561" t="s">
        <v>7423</v>
      </c>
      <c r="AS3561" t="s">
        <v>5263</v>
      </c>
      <c r="AT3561" t="s">
        <v>345</v>
      </c>
      <c r="AU3561" t="s">
        <v>4316</v>
      </c>
      <c r="AV3561" t="s">
        <v>5409</v>
      </c>
      <c r="AW3561" t="s">
        <v>24165</v>
      </c>
      <c r="AX3561" t="s">
        <v>204</v>
      </c>
      <c r="AY3561" t="s">
        <v>21523</v>
      </c>
      <c r="AZ3561" t="s">
        <v>8212</v>
      </c>
      <c r="BA3561">
        <v>2</v>
      </c>
      <c r="BB3561">
        <v>255.6</v>
      </c>
      <c r="BC3561">
        <v>0.59</v>
      </c>
      <c r="BD3561">
        <v>6.94</v>
      </c>
      <c r="BE3561">
        <v>7.03</v>
      </c>
      <c r="BF3561">
        <v>6.9</v>
      </c>
      <c r="BG3561" t="s">
        <v>29639</v>
      </c>
      <c r="BH3561" t="s">
        <v>29640</v>
      </c>
      <c r="BI3561" t="s">
        <v>29641</v>
      </c>
      <c r="BJ3561" t="s">
        <v>101</v>
      </c>
      <c r="BK3561" t="s">
        <v>3640</v>
      </c>
      <c r="BL3561" t="s">
        <v>2431</v>
      </c>
      <c r="BM3561" t="s">
        <v>6788</v>
      </c>
      <c r="BN3561" t="s">
        <v>27621</v>
      </c>
    </row>
    <row r="3562" spans="1:66" x14ac:dyDescent="0.25">
      <c r="A3562" t="str">
        <f>HYPERLINK("https://elite.finviz.com/quote.ashx?t=MTRX&amp;ty=c&amp;p=d&amp;b=1", "MTRX")</f>
        <v>MTRX</v>
      </c>
      <c r="B3562">
        <v>4</v>
      </c>
      <c r="C3562">
        <v>105.92</v>
      </c>
      <c r="D3562">
        <v>40.270000000000003</v>
      </c>
      <c r="E3562" t="s">
        <v>29642</v>
      </c>
      <c r="F3562" t="s">
        <v>67</v>
      </c>
      <c r="G3562" t="s">
        <v>260</v>
      </c>
      <c r="H3562" t="s">
        <v>2944</v>
      </c>
      <c r="I3562" t="s">
        <v>70</v>
      </c>
      <c r="J3562" t="s">
        <v>321</v>
      </c>
      <c r="K3562">
        <v>361.52</v>
      </c>
      <c r="L3562">
        <v>12.88</v>
      </c>
      <c r="M3562" t="s">
        <v>2007</v>
      </c>
      <c r="N3562">
        <v>50321</v>
      </c>
      <c r="P3562">
        <v>14</v>
      </c>
      <c r="R3562">
        <v>0.47</v>
      </c>
      <c r="S3562">
        <v>2.4900000000000002</v>
      </c>
      <c r="AA3562">
        <v>-1.06</v>
      </c>
      <c r="AB3562" t="s">
        <v>2465</v>
      </c>
      <c r="AC3562" t="s">
        <v>3500</v>
      </c>
      <c r="AE3562" t="s">
        <v>7231</v>
      </c>
      <c r="AF3562" t="s">
        <v>465</v>
      </c>
      <c r="AG3562" t="s">
        <v>10533</v>
      </c>
      <c r="AH3562" t="s">
        <v>9700</v>
      </c>
      <c r="AI3562" t="s">
        <v>29643</v>
      </c>
      <c r="AJ3562" t="s">
        <v>4494</v>
      </c>
      <c r="AK3562" t="s">
        <v>29644</v>
      </c>
      <c r="AL3562">
        <v>0.96</v>
      </c>
      <c r="AM3562">
        <v>0.95</v>
      </c>
      <c r="AN3562">
        <v>0.15</v>
      </c>
      <c r="AO3562" t="s">
        <v>322</v>
      </c>
      <c r="AP3562" t="s">
        <v>2288</v>
      </c>
      <c r="AQ3562" t="s">
        <v>2870</v>
      </c>
      <c r="AR3562" t="s">
        <v>2647</v>
      </c>
      <c r="AS3562" t="s">
        <v>3524</v>
      </c>
      <c r="AT3562" t="s">
        <v>77</v>
      </c>
      <c r="AU3562" t="s">
        <v>6687</v>
      </c>
      <c r="AV3562" t="s">
        <v>3811</v>
      </c>
      <c r="AW3562" t="s">
        <v>10324</v>
      </c>
      <c r="AX3562" t="s">
        <v>4850</v>
      </c>
      <c r="AY3562" t="s">
        <v>10324</v>
      </c>
      <c r="AZ3562" t="s">
        <v>13579</v>
      </c>
      <c r="BA3562">
        <v>1</v>
      </c>
      <c r="BB3562">
        <v>204.16</v>
      </c>
      <c r="BC3562">
        <v>0.87</v>
      </c>
      <c r="BD3562">
        <v>13.04</v>
      </c>
      <c r="BE3562">
        <v>13.06</v>
      </c>
      <c r="BF3562">
        <v>12.57</v>
      </c>
      <c r="BG3562" t="s">
        <v>29645</v>
      </c>
      <c r="BH3562" t="s">
        <v>29646</v>
      </c>
      <c r="BI3562" t="s">
        <v>29647</v>
      </c>
      <c r="BJ3562" t="s">
        <v>101</v>
      </c>
      <c r="BK3562" t="s">
        <v>5573</v>
      </c>
      <c r="BL3562" t="s">
        <v>372</v>
      </c>
      <c r="BM3562" t="s">
        <v>3003</v>
      </c>
      <c r="BN3562" t="s">
        <v>27621</v>
      </c>
    </row>
    <row r="3563" spans="1:66" x14ac:dyDescent="0.25">
      <c r="A3563" t="str">
        <f>HYPERLINK("https://elite.finviz.com/quote.ashx?t=ICFI&amp;ty=c&amp;p=d&amp;b=1", "ICFI")</f>
        <v>ICFI</v>
      </c>
      <c r="B3563">
        <v>4</v>
      </c>
      <c r="C3563">
        <v>105.92</v>
      </c>
      <c r="D3563">
        <v>40.31</v>
      </c>
      <c r="E3563" t="s">
        <v>29648</v>
      </c>
      <c r="F3563" t="s">
        <v>67</v>
      </c>
      <c r="G3563" t="s">
        <v>260</v>
      </c>
      <c r="H3563" t="s">
        <v>2879</v>
      </c>
      <c r="I3563" t="s">
        <v>70</v>
      </c>
      <c r="J3563" t="s">
        <v>321</v>
      </c>
      <c r="K3563">
        <v>1699.73</v>
      </c>
      <c r="L3563">
        <v>92.23</v>
      </c>
      <c r="M3563" t="s">
        <v>4237</v>
      </c>
      <c r="N3563">
        <v>11667</v>
      </c>
      <c r="O3563">
        <v>16.03</v>
      </c>
      <c r="P3563">
        <v>12.63</v>
      </c>
      <c r="R3563">
        <v>0.86</v>
      </c>
      <c r="S3563">
        <v>1.7</v>
      </c>
      <c r="T3563" t="s">
        <v>306</v>
      </c>
      <c r="U3563">
        <v>0.56000000000000005</v>
      </c>
      <c r="V3563" t="s">
        <v>4548</v>
      </c>
      <c r="W3563" t="s">
        <v>164</v>
      </c>
      <c r="X3563" t="s">
        <v>164</v>
      </c>
      <c r="Y3563" t="s">
        <v>164</v>
      </c>
      <c r="Z3563" t="s">
        <v>7209</v>
      </c>
      <c r="AA3563">
        <v>5.75</v>
      </c>
      <c r="AB3563" t="s">
        <v>11384</v>
      </c>
      <c r="AC3563" t="s">
        <v>1575</v>
      </c>
      <c r="AE3563" t="s">
        <v>2426</v>
      </c>
      <c r="AF3563" t="s">
        <v>5557</v>
      </c>
      <c r="AG3563" t="s">
        <v>1474</v>
      </c>
      <c r="AH3563" t="s">
        <v>3091</v>
      </c>
      <c r="AI3563" t="s">
        <v>334</v>
      </c>
      <c r="AJ3563" t="s">
        <v>8979</v>
      </c>
      <c r="AK3563" t="s">
        <v>14682</v>
      </c>
      <c r="AL3563">
        <v>1.29</v>
      </c>
      <c r="AM3563">
        <v>1.29</v>
      </c>
      <c r="AN3563">
        <v>0.64</v>
      </c>
      <c r="AO3563" t="s">
        <v>18906</v>
      </c>
      <c r="AP3563" t="s">
        <v>224</v>
      </c>
      <c r="AQ3563" t="s">
        <v>3435</v>
      </c>
      <c r="AR3563" t="s">
        <v>8818</v>
      </c>
      <c r="AS3563" t="s">
        <v>7484</v>
      </c>
      <c r="AT3563" t="s">
        <v>6976</v>
      </c>
      <c r="AU3563" t="s">
        <v>5257</v>
      </c>
      <c r="AV3563" t="s">
        <v>842</v>
      </c>
      <c r="AW3563" t="s">
        <v>6094</v>
      </c>
      <c r="AX3563" t="s">
        <v>7068</v>
      </c>
      <c r="AY3563" t="s">
        <v>12236</v>
      </c>
      <c r="AZ3563" t="s">
        <v>1990</v>
      </c>
      <c r="BA3563">
        <v>1.8</v>
      </c>
      <c r="BB3563">
        <v>187.04</v>
      </c>
      <c r="BC3563">
        <v>0.22</v>
      </c>
      <c r="BD3563">
        <v>92.19</v>
      </c>
      <c r="BE3563">
        <v>93.18</v>
      </c>
      <c r="BF3563">
        <v>92.09</v>
      </c>
      <c r="BG3563" t="s">
        <v>29649</v>
      </c>
      <c r="BH3563" t="s">
        <v>12236</v>
      </c>
      <c r="BI3563" t="s">
        <v>29650</v>
      </c>
      <c r="BJ3563" t="s">
        <v>101</v>
      </c>
      <c r="BK3563" t="s">
        <v>8274</v>
      </c>
      <c r="BL3563" t="s">
        <v>4819</v>
      </c>
      <c r="BM3563" t="s">
        <v>29515</v>
      </c>
      <c r="BN3563" t="s">
        <v>27621</v>
      </c>
    </row>
    <row r="3564" spans="1:66" x14ac:dyDescent="0.25">
      <c r="A3564" t="str">
        <f>HYPERLINK("https://elite.finviz.com/quote.ashx?t=FDP&amp;ty=c&amp;p=d&amp;b=1", "FDP")</f>
        <v>FDP</v>
      </c>
      <c r="B3564">
        <v>4</v>
      </c>
      <c r="C3564">
        <v>105.92</v>
      </c>
      <c r="D3564">
        <v>40.32</v>
      </c>
      <c r="E3564" t="s">
        <v>29651</v>
      </c>
      <c r="F3564" t="s">
        <v>67</v>
      </c>
      <c r="G3564" t="s">
        <v>2244</v>
      </c>
      <c r="H3564" t="s">
        <v>5735</v>
      </c>
      <c r="I3564" t="s">
        <v>70</v>
      </c>
      <c r="J3564" t="s">
        <v>71</v>
      </c>
      <c r="K3564">
        <v>1658.5</v>
      </c>
      <c r="L3564">
        <v>34.57</v>
      </c>
      <c r="M3564" t="s">
        <v>3463</v>
      </c>
      <c r="N3564">
        <v>26271</v>
      </c>
      <c r="O3564">
        <v>11.07</v>
      </c>
      <c r="P3564">
        <v>11.26</v>
      </c>
      <c r="R3564">
        <v>0.38</v>
      </c>
      <c r="S3564">
        <v>0.8</v>
      </c>
      <c r="T3564" t="s">
        <v>4189</v>
      </c>
      <c r="U3564">
        <v>1.1499999999999999</v>
      </c>
      <c r="V3564" t="s">
        <v>8649</v>
      </c>
      <c r="W3564" t="s">
        <v>10378</v>
      </c>
      <c r="X3564" t="s">
        <v>3397</v>
      </c>
      <c r="Y3564" t="s">
        <v>12360</v>
      </c>
      <c r="Z3564" t="s">
        <v>6042</v>
      </c>
      <c r="AA3564">
        <v>3.12</v>
      </c>
      <c r="AB3564" t="s">
        <v>9003</v>
      </c>
      <c r="AC3564" t="s">
        <v>10485</v>
      </c>
      <c r="AE3564" t="s">
        <v>2554</v>
      </c>
      <c r="AF3564" t="s">
        <v>822</v>
      </c>
      <c r="AG3564" t="s">
        <v>3950</v>
      </c>
      <c r="AH3564" t="s">
        <v>2647</v>
      </c>
      <c r="AI3564" t="s">
        <v>5251</v>
      </c>
      <c r="AJ3564" t="s">
        <v>6533</v>
      </c>
      <c r="AK3564" t="s">
        <v>17988</v>
      </c>
      <c r="AL3564">
        <v>2.08</v>
      </c>
      <c r="AM3564">
        <v>1.1100000000000001</v>
      </c>
      <c r="AN3564">
        <v>0.18</v>
      </c>
      <c r="AO3564" t="s">
        <v>607</v>
      </c>
      <c r="AP3564" t="s">
        <v>3521</v>
      </c>
      <c r="AQ3564" t="s">
        <v>4093</v>
      </c>
      <c r="AR3564" t="s">
        <v>90</v>
      </c>
      <c r="AS3564" t="s">
        <v>3916</v>
      </c>
      <c r="AT3564" t="s">
        <v>4646</v>
      </c>
      <c r="AU3564" t="s">
        <v>4704</v>
      </c>
      <c r="AV3564" t="s">
        <v>169</v>
      </c>
      <c r="AW3564" t="s">
        <v>7362</v>
      </c>
      <c r="AX3564" t="s">
        <v>3613</v>
      </c>
      <c r="AY3564" t="s">
        <v>7362</v>
      </c>
      <c r="AZ3564" t="s">
        <v>20728</v>
      </c>
      <c r="BA3564">
        <v>1</v>
      </c>
      <c r="BB3564">
        <v>341.99</v>
      </c>
      <c r="BC3564">
        <v>0.27</v>
      </c>
      <c r="BD3564">
        <v>34.35</v>
      </c>
      <c r="BE3564">
        <v>34.68</v>
      </c>
      <c r="BF3564">
        <v>34.35</v>
      </c>
      <c r="BG3564" t="s">
        <v>29652</v>
      </c>
      <c r="BH3564" t="s">
        <v>8756</v>
      </c>
      <c r="BI3564" t="s">
        <v>29653</v>
      </c>
      <c r="BJ3564" t="s">
        <v>101</v>
      </c>
      <c r="BK3564" t="s">
        <v>7566</v>
      </c>
      <c r="BL3564" t="s">
        <v>562</v>
      </c>
      <c r="BM3564" t="s">
        <v>10638</v>
      </c>
      <c r="BN3564" t="s">
        <v>27621</v>
      </c>
    </row>
    <row r="3565" spans="1:66" x14ac:dyDescent="0.25">
      <c r="A3565" t="str">
        <f>HYPERLINK("https://elite.finviz.com/quote.ashx?t=SGHT&amp;ty=c&amp;p=d&amp;b=1", "SGHT")</f>
        <v>SGHT</v>
      </c>
      <c r="B3565">
        <v>4</v>
      </c>
      <c r="C3565">
        <v>105.92</v>
      </c>
      <c r="D3565">
        <v>40.32</v>
      </c>
      <c r="E3565" t="s">
        <v>29654</v>
      </c>
      <c r="F3565" t="s">
        <v>67</v>
      </c>
      <c r="G3565" t="s">
        <v>428</v>
      </c>
      <c r="H3565" t="s">
        <v>2051</v>
      </c>
      <c r="I3565" t="s">
        <v>70</v>
      </c>
      <c r="J3565" t="s">
        <v>321</v>
      </c>
      <c r="K3565">
        <v>180.14</v>
      </c>
      <c r="L3565">
        <v>3.44</v>
      </c>
      <c r="M3565" t="s">
        <v>2646</v>
      </c>
      <c r="N3565">
        <v>18889</v>
      </c>
      <c r="R3565">
        <v>2.36</v>
      </c>
      <c r="S3565">
        <v>2.56</v>
      </c>
      <c r="AA3565">
        <v>-0.96</v>
      </c>
      <c r="AB3565" t="s">
        <v>15964</v>
      </c>
      <c r="AC3565" t="s">
        <v>25533</v>
      </c>
      <c r="AD3565" t="s">
        <v>485</v>
      </c>
      <c r="AE3565" t="s">
        <v>2162</v>
      </c>
      <c r="AF3565" t="s">
        <v>5627</v>
      </c>
      <c r="AG3565" t="s">
        <v>10623</v>
      </c>
      <c r="AH3565" t="s">
        <v>6303</v>
      </c>
      <c r="AI3565" t="s">
        <v>11867</v>
      </c>
      <c r="AJ3565" t="s">
        <v>3871</v>
      </c>
      <c r="AK3565" t="s">
        <v>10435</v>
      </c>
      <c r="AL3565">
        <v>10.01</v>
      </c>
      <c r="AM3565">
        <v>9.49</v>
      </c>
      <c r="AN3565">
        <v>0.57999999999999996</v>
      </c>
      <c r="AO3565" t="s">
        <v>8644</v>
      </c>
      <c r="AP3565" t="s">
        <v>29655</v>
      </c>
      <c r="AQ3565" t="s">
        <v>680</v>
      </c>
      <c r="AR3565" t="s">
        <v>2233</v>
      </c>
      <c r="AS3565" t="s">
        <v>2235</v>
      </c>
      <c r="AT3565" t="s">
        <v>4430</v>
      </c>
      <c r="AU3565" t="s">
        <v>5480</v>
      </c>
      <c r="AV3565" t="s">
        <v>6121</v>
      </c>
      <c r="AW3565" t="s">
        <v>20079</v>
      </c>
      <c r="AX3565" t="s">
        <v>5227</v>
      </c>
      <c r="AY3565" t="s">
        <v>8796</v>
      </c>
      <c r="AZ3565" t="s">
        <v>29656</v>
      </c>
      <c r="BA3565">
        <v>2.14</v>
      </c>
      <c r="BB3565">
        <v>129.16999999999999</v>
      </c>
      <c r="BC3565">
        <v>0.52</v>
      </c>
      <c r="BD3565">
        <v>3.43</v>
      </c>
      <c r="BE3565">
        <v>3.49</v>
      </c>
      <c r="BF3565">
        <v>3.43</v>
      </c>
      <c r="BG3565" t="s">
        <v>29657</v>
      </c>
      <c r="BH3565" t="s">
        <v>29228</v>
      </c>
      <c r="BI3565" t="s">
        <v>29658</v>
      </c>
      <c r="BJ3565" t="s">
        <v>101</v>
      </c>
      <c r="BK3565" t="s">
        <v>2914</v>
      </c>
      <c r="BL3565" t="s">
        <v>5926</v>
      </c>
      <c r="BM3565" t="s">
        <v>15838</v>
      </c>
      <c r="BN3565" t="s">
        <v>27621</v>
      </c>
    </row>
    <row r="3566" spans="1:66" x14ac:dyDescent="0.25">
      <c r="A3566" t="str">
        <f>HYPERLINK("https://elite.finviz.com/quote.ashx?t=ZG&amp;ty=c&amp;p=d&amp;b=1", "ZG")</f>
        <v>ZG</v>
      </c>
      <c r="B3566">
        <v>4</v>
      </c>
      <c r="C3566">
        <v>105.92</v>
      </c>
      <c r="D3566">
        <v>40.380000000000003</v>
      </c>
      <c r="E3566" t="s">
        <v>25087</v>
      </c>
      <c r="F3566" t="s">
        <v>107</v>
      </c>
      <c r="G3566" t="s">
        <v>598</v>
      </c>
      <c r="H3566" t="s">
        <v>599</v>
      </c>
      <c r="I3566" t="s">
        <v>70</v>
      </c>
      <c r="J3566" t="s">
        <v>321</v>
      </c>
      <c r="K3566">
        <v>18995.349999999999</v>
      </c>
      <c r="L3566">
        <v>76.569999999999993</v>
      </c>
      <c r="M3566" t="s">
        <v>3024</v>
      </c>
      <c r="N3566">
        <v>263390</v>
      </c>
      <c r="P3566">
        <v>34.31</v>
      </c>
      <c r="R3566">
        <v>7.95</v>
      </c>
      <c r="S3566">
        <v>3.89</v>
      </c>
      <c r="AA3566">
        <v>-0.27</v>
      </c>
      <c r="AB3566" t="s">
        <v>412</v>
      </c>
      <c r="AC3566" t="s">
        <v>12922</v>
      </c>
      <c r="AD3566" t="s">
        <v>15710</v>
      </c>
      <c r="AE3566" t="s">
        <v>6387</v>
      </c>
      <c r="AF3566" t="s">
        <v>1760</v>
      </c>
      <c r="AG3566" t="s">
        <v>2998</v>
      </c>
      <c r="AH3566" t="s">
        <v>5901</v>
      </c>
      <c r="AI3566" t="s">
        <v>4553</v>
      </c>
      <c r="AJ3566" t="s">
        <v>3896</v>
      </c>
      <c r="AK3566" t="s">
        <v>1422</v>
      </c>
      <c r="AL3566">
        <v>3.34</v>
      </c>
      <c r="AM3566">
        <v>3.34</v>
      </c>
      <c r="AN3566">
        <v>7.0000000000000007E-2</v>
      </c>
      <c r="AO3566" t="s">
        <v>3489</v>
      </c>
      <c r="AP3566" t="s">
        <v>8190</v>
      </c>
      <c r="AQ3566" t="s">
        <v>91</v>
      </c>
      <c r="AR3566" t="s">
        <v>3613</v>
      </c>
      <c r="AS3566" t="s">
        <v>1932</v>
      </c>
      <c r="AT3566" t="s">
        <v>16868</v>
      </c>
      <c r="AU3566" t="s">
        <v>706</v>
      </c>
      <c r="AV3566" t="s">
        <v>5370</v>
      </c>
      <c r="AW3566" t="s">
        <v>9632</v>
      </c>
      <c r="AX3566" t="s">
        <v>4323</v>
      </c>
      <c r="AY3566" t="s">
        <v>9632</v>
      </c>
      <c r="AZ3566" t="s">
        <v>13940</v>
      </c>
      <c r="BA3566">
        <v>2.19</v>
      </c>
      <c r="BB3566">
        <v>596.16</v>
      </c>
      <c r="BC3566">
        <v>1.56</v>
      </c>
      <c r="BD3566">
        <v>75.47</v>
      </c>
      <c r="BE3566">
        <v>76.83</v>
      </c>
      <c r="BF3566">
        <v>75.430000000000007</v>
      </c>
      <c r="BG3566" t="s">
        <v>29659</v>
      </c>
      <c r="BH3566" t="s">
        <v>29660</v>
      </c>
      <c r="BI3566" t="s">
        <v>29661</v>
      </c>
      <c r="BJ3566" t="s">
        <v>101</v>
      </c>
      <c r="BK3566" t="s">
        <v>2392</v>
      </c>
      <c r="BL3566" t="s">
        <v>2517</v>
      </c>
      <c r="BM3566" t="s">
        <v>7618</v>
      </c>
      <c r="BN3566" t="s">
        <v>27621</v>
      </c>
    </row>
    <row r="3567" spans="1:66" x14ac:dyDescent="0.25">
      <c r="A3567" t="str">
        <f>HYPERLINK("https://elite.finviz.com/quote.ashx?t=IDT&amp;ty=c&amp;p=d&amp;b=1", "IDT")</f>
        <v>IDT</v>
      </c>
      <c r="B3567">
        <v>4</v>
      </c>
      <c r="C3567">
        <v>105.92</v>
      </c>
      <c r="D3567">
        <v>40.43</v>
      </c>
      <c r="E3567" t="s">
        <v>29662</v>
      </c>
      <c r="F3567" t="s">
        <v>67</v>
      </c>
      <c r="G3567" t="s">
        <v>598</v>
      </c>
      <c r="H3567" t="s">
        <v>6147</v>
      </c>
      <c r="I3567" t="s">
        <v>70</v>
      </c>
      <c r="J3567" t="s">
        <v>71</v>
      </c>
      <c r="K3567">
        <v>1563.6</v>
      </c>
      <c r="L3567">
        <v>61.97</v>
      </c>
      <c r="M3567" t="s">
        <v>2642</v>
      </c>
      <c r="N3567">
        <v>29781</v>
      </c>
      <c r="O3567">
        <v>16.36</v>
      </c>
      <c r="P3567">
        <v>16.7</v>
      </c>
      <c r="Q3567">
        <v>0.56999999999999995</v>
      </c>
      <c r="R3567">
        <v>1.28</v>
      </c>
      <c r="S3567">
        <v>5.46</v>
      </c>
      <c r="T3567" t="s">
        <v>141</v>
      </c>
      <c r="U3567">
        <v>0.22</v>
      </c>
      <c r="V3567" t="s">
        <v>198</v>
      </c>
      <c r="Z3567" t="s">
        <v>4125</v>
      </c>
      <c r="AA3567">
        <v>3.79</v>
      </c>
      <c r="AB3567" t="s">
        <v>25135</v>
      </c>
      <c r="AC3567" t="s">
        <v>29663</v>
      </c>
      <c r="AD3567" t="s">
        <v>1257</v>
      </c>
      <c r="AE3567" t="s">
        <v>909</v>
      </c>
      <c r="AF3567" t="s">
        <v>1200</v>
      </c>
      <c r="AG3567" t="s">
        <v>7429</v>
      </c>
      <c r="AH3567" t="s">
        <v>3169</v>
      </c>
      <c r="AJ3567" t="s">
        <v>7709</v>
      </c>
      <c r="AK3567" t="s">
        <v>1447</v>
      </c>
      <c r="AL3567">
        <v>1.71</v>
      </c>
      <c r="AM3567">
        <v>1.71</v>
      </c>
      <c r="AN3567">
        <v>0.01</v>
      </c>
      <c r="AO3567" t="s">
        <v>12023</v>
      </c>
      <c r="AP3567" t="s">
        <v>15964</v>
      </c>
      <c r="AQ3567" t="s">
        <v>4416</v>
      </c>
      <c r="AR3567" t="s">
        <v>8625</v>
      </c>
      <c r="AS3567" t="s">
        <v>295</v>
      </c>
      <c r="AT3567" t="s">
        <v>1465</v>
      </c>
      <c r="AU3567" t="s">
        <v>1445</v>
      </c>
      <c r="AV3567" t="s">
        <v>9387</v>
      </c>
      <c r="AW3567" t="s">
        <v>24973</v>
      </c>
      <c r="AX3567" t="s">
        <v>3600</v>
      </c>
      <c r="AY3567" t="s">
        <v>15316</v>
      </c>
      <c r="AZ3567" t="s">
        <v>24548</v>
      </c>
      <c r="BA3567">
        <v>1</v>
      </c>
      <c r="BB3567">
        <v>178.84</v>
      </c>
      <c r="BC3567">
        <v>0.59</v>
      </c>
      <c r="BD3567">
        <v>61.75</v>
      </c>
      <c r="BE3567">
        <v>62.7</v>
      </c>
      <c r="BF3567">
        <v>61.95</v>
      </c>
      <c r="BG3567" t="s">
        <v>29664</v>
      </c>
      <c r="BH3567" t="s">
        <v>15316</v>
      </c>
      <c r="BI3567" t="s">
        <v>29665</v>
      </c>
      <c r="BJ3567" t="s">
        <v>101</v>
      </c>
      <c r="BK3567" t="s">
        <v>11385</v>
      </c>
      <c r="BL3567" t="s">
        <v>672</v>
      </c>
      <c r="BM3567" t="s">
        <v>19938</v>
      </c>
      <c r="BN3567" t="s">
        <v>27621</v>
      </c>
    </row>
    <row r="3568" spans="1:66" x14ac:dyDescent="0.25">
      <c r="A3568" t="str">
        <f>HYPERLINK("https://elite.finviz.com/quote.ashx?t=AP&amp;ty=c&amp;p=d&amp;b=1", "AP")</f>
        <v>AP</v>
      </c>
      <c r="B3568">
        <v>4</v>
      </c>
      <c r="C3568">
        <v>105.92</v>
      </c>
      <c r="D3568">
        <v>40.46</v>
      </c>
      <c r="E3568" t="s">
        <v>29666</v>
      </c>
      <c r="F3568" t="s">
        <v>107</v>
      </c>
      <c r="G3568" t="s">
        <v>260</v>
      </c>
      <c r="H3568" t="s">
        <v>2223</v>
      </c>
      <c r="I3568" t="s">
        <v>70</v>
      </c>
      <c r="J3568" t="s">
        <v>71</v>
      </c>
      <c r="K3568">
        <v>48.86</v>
      </c>
      <c r="L3568">
        <v>2.4</v>
      </c>
      <c r="M3568" t="s">
        <v>82</v>
      </c>
      <c r="N3568">
        <v>13341</v>
      </c>
      <c r="R3568">
        <v>0.12</v>
      </c>
      <c r="S3568">
        <v>0.78</v>
      </c>
      <c r="V3568" t="s">
        <v>29667</v>
      </c>
      <c r="Z3568" t="s">
        <v>164</v>
      </c>
      <c r="AA3568">
        <v>-0.25</v>
      </c>
      <c r="AE3568" t="s">
        <v>944</v>
      </c>
      <c r="AF3568" t="s">
        <v>521</v>
      </c>
      <c r="AG3568" t="s">
        <v>4689</v>
      </c>
      <c r="AH3568" t="s">
        <v>909</v>
      </c>
      <c r="AJ3568" t="s">
        <v>4539</v>
      </c>
      <c r="AK3568" t="s">
        <v>17353</v>
      </c>
      <c r="AL3568">
        <v>1.8</v>
      </c>
      <c r="AM3568">
        <v>0.91</v>
      </c>
      <c r="AN3568">
        <v>2.23</v>
      </c>
      <c r="AO3568" t="s">
        <v>6747</v>
      </c>
      <c r="AP3568" t="s">
        <v>1761</v>
      </c>
      <c r="AQ3568" t="s">
        <v>1864</v>
      </c>
      <c r="AR3568" t="s">
        <v>12974</v>
      </c>
      <c r="AS3568" t="s">
        <v>2064</v>
      </c>
      <c r="AT3568" t="s">
        <v>9704</v>
      </c>
      <c r="AU3568" t="s">
        <v>26911</v>
      </c>
      <c r="AV3568" t="s">
        <v>15100</v>
      </c>
      <c r="AW3568" t="s">
        <v>11093</v>
      </c>
      <c r="AX3568" t="s">
        <v>5656</v>
      </c>
      <c r="AY3568" t="s">
        <v>11093</v>
      </c>
      <c r="AZ3568" t="s">
        <v>29116</v>
      </c>
      <c r="BA3568">
        <v>3</v>
      </c>
      <c r="BB3568">
        <v>60.19</v>
      </c>
      <c r="BC3568">
        <v>0.79</v>
      </c>
      <c r="BD3568">
        <v>2.5</v>
      </c>
      <c r="BE3568">
        <v>2.5</v>
      </c>
      <c r="BF3568">
        <v>2.4</v>
      </c>
      <c r="BG3568" t="s">
        <v>29668</v>
      </c>
      <c r="BH3568" t="s">
        <v>29669</v>
      </c>
      <c r="BI3568" t="s">
        <v>29670</v>
      </c>
      <c r="BJ3568" t="s">
        <v>101</v>
      </c>
      <c r="BK3568" t="s">
        <v>17172</v>
      </c>
      <c r="BL3568" t="s">
        <v>3857</v>
      </c>
      <c r="BM3568" t="s">
        <v>9031</v>
      </c>
      <c r="BN3568" t="s">
        <v>27621</v>
      </c>
    </row>
    <row r="3569" spans="1:66" x14ac:dyDescent="0.25">
      <c r="A3569" t="str">
        <f>HYPERLINK("https://elite.finviz.com/quote.ashx?t=SLAB&amp;ty=c&amp;p=d&amp;b=1", "SLAB")</f>
        <v>SLAB</v>
      </c>
      <c r="B3569">
        <v>4</v>
      </c>
      <c r="C3569">
        <v>105.92</v>
      </c>
      <c r="D3569">
        <v>40.46</v>
      </c>
      <c r="E3569" t="s">
        <v>29671</v>
      </c>
      <c r="F3569" t="s">
        <v>67</v>
      </c>
      <c r="G3569" t="s">
        <v>108</v>
      </c>
      <c r="H3569" t="s">
        <v>1808</v>
      </c>
      <c r="I3569" t="s">
        <v>70</v>
      </c>
      <c r="J3569" t="s">
        <v>321</v>
      </c>
      <c r="K3569">
        <v>4232.1899999999996</v>
      </c>
      <c r="L3569">
        <v>128.97</v>
      </c>
      <c r="M3569" t="s">
        <v>5424</v>
      </c>
      <c r="N3569">
        <v>23072</v>
      </c>
      <c r="P3569">
        <v>52.06</v>
      </c>
      <c r="R3569">
        <v>6.02</v>
      </c>
      <c r="S3569">
        <v>3.99</v>
      </c>
      <c r="AA3569">
        <v>-3.22</v>
      </c>
      <c r="AB3569" t="s">
        <v>5152</v>
      </c>
      <c r="AE3569" t="s">
        <v>3043</v>
      </c>
      <c r="AF3569" t="s">
        <v>14915</v>
      </c>
      <c r="AG3569" t="s">
        <v>12921</v>
      </c>
      <c r="AH3569" t="s">
        <v>11060</v>
      </c>
      <c r="AI3569" t="s">
        <v>8694</v>
      </c>
      <c r="AJ3569" t="s">
        <v>6541</v>
      </c>
      <c r="AK3569" t="s">
        <v>15603</v>
      </c>
      <c r="AL3569">
        <v>5.12</v>
      </c>
      <c r="AM3569">
        <v>4.45</v>
      </c>
      <c r="AN3569">
        <v>0</v>
      </c>
      <c r="AO3569" t="s">
        <v>16567</v>
      </c>
      <c r="AP3569" t="s">
        <v>13921</v>
      </c>
      <c r="AQ3569" t="s">
        <v>19919</v>
      </c>
      <c r="AR3569" t="s">
        <v>2742</v>
      </c>
      <c r="AS3569" t="s">
        <v>2496</v>
      </c>
      <c r="AT3569" t="s">
        <v>11253</v>
      </c>
      <c r="AU3569" t="s">
        <v>2969</v>
      </c>
      <c r="AV3569" t="s">
        <v>4273</v>
      </c>
      <c r="AW3569" t="s">
        <v>5266</v>
      </c>
      <c r="AX3569" t="s">
        <v>10610</v>
      </c>
      <c r="AY3569" t="s">
        <v>9845</v>
      </c>
      <c r="AZ3569" t="s">
        <v>13701</v>
      </c>
      <c r="BA3569">
        <v>2.1800000000000002</v>
      </c>
      <c r="BB3569">
        <v>357.94</v>
      </c>
      <c r="BC3569">
        <v>0.23</v>
      </c>
      <c r="BD3569">
        <v>130.06</v>
      </c>
      <c r="BE3569">
        <v>130.13999999999999</v>
      </c>
      <c r="BF3569">
        <v>128.69999999999999</v>
      </c>
      <c r="BG3569" t="s">
        <v>29672</v>
      </c>
      <c r="BH3569" t="s">
        <v>21288</v>
      </c>
      <c r="BI3569" t="s">
        <v>29673</v>
      </c>
      <c r="BJ3569" t="s">
        <v>101</v>
      </c>
      <c r="BK3569" t="s">
        <v>20527</v>
      </c>
      <c r="BL3569" t="s">
        <v>1090</v>
      </c>
      <c r="BM3569" t="s">
        <v>4747</v>
      </c>
      <c r="BN3569" t="s">
        <v>27621</v>
      </c>
    </row>
    <row r="3570" spans="1:66" x14ac:dyDescent="0.25">
      <c r="A3570" t="str">
        <f>HYPERLINK("https://elite.finviz.com/quote.ashx?t=OMF&amp;ty=c&amp;p=d&amp;b=1", "OMF")</f>
        <v>OMF</v>
      </c>
      <c r="B3570">
        <v>4</v>
      </c>
      <c r="C3570">
        <v>105.92</v>
      </c>
      <c r="D3570">
        <v>40.47</v>
      </c>
      <c r="E3570" t="s">
        <v>29674</v>
      </c>
      <c r="F3570" t="s">
        <v>107</v>
      </c>
      <c r="G3570" t="s">
        <v>550</v>
      </c>
      <c r="H3570" t="s">
        <v>3744</v>
      </c>
      <c r="I3570" t="s">
        <v>70</v>
      </c>
      <c r="J3570" t="s">
        <v>71</v>
      </c>
      <c r="K3570">
        <v>6953.92</v>
      </c>
      <c r="L3570">
        <v>58.5</v>
      </c>
      <c r="M3570" t="s">
        <v>4886</v>
      </c>
      <c r="N3570">
        <v>134857</v>
      </c>
      <c r="O3570">
        <v>10.57</v>
      </c>
      <c r="P3570">
        <v>7.25</v>
      </c>
      <c r="Q3570">
        <v>0.4</v>
      </c>
      <c r="R3570">
        <v>1.1599999999999999</v>
      </c>
      <c r="S3570">
        <v>2.09</v>
      </c>
      <c r="T3570" t="s">
        <v>274</v>
      </c>
      <c r="U3570">
        <v>4.16</v>
      </c>
      <c r="V3570" t="s">
        <v>4827</v>
      </c>
      <c r="W3570" t="s">
        <v>305</v>
      </c>
      <c r="X3570" t="s">
        <v>15409</v>
      </c>
      <c r="Y3570" t="s">
        <v>13458</v>
      </c>
      <c r="Z3570" t="s">
        <v>6724</v>
      </c>
      <c r="AA3570">
        <v>5.53</v>
      </c>
      <c r="AB3570" t="s">
        <v>12405</v>
      </c>
      <c r="AC3570" t="s">
        <v>1164</v>
      </c>
      <c r="AD3570" t="s">
        <v>5207</v>
      </c>
      <c r="AE3570" t="s">
        <v>3147</v>
      </c>
      <c r="AF3570" t="s">
        <v>1749</v>
      </c>
      <c r="AG3570" t="s">
        <v>891</v>
      </c>
      <c r="AH3570" t="s">
        <v>6945</v>
      </c>
      <c r="AI3570" t="s">
        <v>15417</v>
      </c>
      <c r="AJ3570" t="s">
        <v>4820</v>
      </c>
      <c r="AK3570" t="s">
        <v>29675</v>
      </c>
      <c r="AN3570">
        <v>6.63</v>
      </c>
      <c r="AO3570" t="s">
        <v>25265</v>
      </c>
      <c r="AP3570" t="s">
        <v>3947</v>
      </c>
      <c r="AQ3570" t="s">
        <v>3600</v>
      </c>
      <c r="AR3570" t="s">
        <v>4493</v>
      </c>
      <c r="AS3570" t="s">
        <v>5968</v>
      </c>
      <c r="AT3570" t="s">
        <v>2162</v>
      </c>
      <c r="AU3570" t="s">
        <v>8402</v>
      </c>
      <c r="AV3570" t="s">
        <v>1252</v>
      </c>
      <c r="AW3570" t="s">
        <v>5271</v>
      </c>
      <c r="AX3570" t="s">
        <v>1496</v>
      </c>
      <c r="AY3570" t="s">
        <v>5271</v>
      </c>
      <c r="AZ3570" t="s">
        <v>20544</v>
      </c>
      <c r="BA3570">
        <v>1.62</v>
      </c>
      <c r="BB3570">
        <v>967.23</v>
      </c>
      <c r="BC3570">
        <v>0.49</v>
      </c>
      <c r="BD3570">
        <v>58.78</v>
      </c>
      <c r="BE3570">
        <v>59.44</v>
      </c>
      <c r="BF3570">
        <v>58.23</v>
      </c>
      <c r="BG3570" t="s">
        <v>29676</v>
      </c>
      <c r="BH3570" t="s">
        <v>5271</v>
      </c>
      <c r="BI3570" t="s">
        <v>29677</v>
      </c>
      <c r="BJ3570" t="s">
        <v>101</v>
      </c>
      <c r="BK3570" t="s">
        <v>2317</v>
      </c>
      <c r="BL3570" t="s">
        <v>11086</v>
      </c>
      <c r="BM3570" t="s">
        <v>3580</v>
      </c>
      <c r="BN3570" t="s">
        <v>27621</v>
      </c>
    </row>
    <row r="3571" spans="1:66" x14ac:dyDescent="0.25">
      <c r="A3571" t="str">
        <f>HYPERLINK("https://elite.finviz.com/quote.ashx?t=PLBY&amp;ty=c&amp;p=d&amp;b=1", "PLBY")</f>
        <v>PLBY</v>
      </c>
      <c r="B3571">
        <v>4</v>
      </c>
      <c r="C3571">
        <v>105.92</v>
      </c>
      <c r="D3571">
        <v>40.47</v>
      </c>
      <c r="E3571" t="s">
        <v>29678</v>
      </c>
      <c r="F3571" t="s">
        <v>107</v>
      </c>
      <c r="G3571" t="s">
        <v>813</v>
      </c>
      <c r="H3571" t="s">
        <v>5941</v>
      </c>
      <c r="I3571" t="s">
        <v>70</v>
      </c>
      <c r="J3571" t="s">
        <v>321</v>
      </c>
      <c r="K3571">
        <v>166.72</v>
      </c>
      <c r="L3571">
        <v>1.55</v>
      </c>
      <c r="M3571" t="s">
        <v>1022</v>
      </c>
      <c r="N3571">
        <v>90255</v>
      </c>
      <c r="P3571">
        <v>155.02000000000001</v>
      </c>
      <c r="R3571">
        <v>1.0900000000000001</v>
      </c>
      <c r="AA3571">
        <v>-0.78</v>
      </c>
      <c r="AB3571" t="s">
        <v>8239</v>
      </c>
      <c r="AC3571" t="s">
        <v>29679</v>
      </c>
      <c r="AE3571" t="s">
        <v>11563</v>
      </c>
      <c r="AF3571" t="s">
        <v>6686</v>
      </c>
      <c r="AH3571" t="s">
        <v>2947</v>
      </c>
      <c r="AI3571" t="s">
        <v>579</v>
      </c>
      <c r="AJ3571" t="s">
        <v>4191</v>
      </c>
      <c r="AK3571" t="s">
        <v>236</v>
      </c>
      <c r="AL3571">
        <v>0.75</v>
      </c>
      <c r="AM3571">
        <v>0.62</v>
      </c>
      <c r="AN3571">
        <v>122.39</v>
      </c>
      <c r="AO3571" t="s">
        <v>29680</v>
      </c>
      <c r="AP3571" t="s">
        <v>12945</v>
      </c>
      <c r="AQ3571" t="s">
        <v>11056</v>
      </c>
      <c r="AR3571" t="s">
        <v>6460</v>
      </c>
      <c r="AS3571" t="s">
        <v>892</v>
      </c>
      <c r="AT3571" t="s">
        <v>9738</v>
      </c>
      <c r="AU3571" t="s">
        <v>12163</v>
      </c>
      <c r="AV3571" t="s">
        <v>2650</v>
      </c>
      <c r="AW3571" t="s">
        <v>28295</v>
      </c>
      <c r="AX3571" t="s">
        <v>89</v>
      </c>
      <c r="AY3571" t="s">
        <v>18885</v>
      </c>
      <c r="AZ3571" t="s">
        <v>29681</v>
      </c>
      <c r="BA3571">
        <v>1.67</v>
      </c>
      <c r="BB3571">
        <v>363.67</v>
      </c>
      <c r="BC3571">
        <v>0.88</v>
      </c>
      <c r="BD3571">
        <v>1.54</v>
      </c>
      <c r="BE3571">
        <v>1.58</v>
      </c>
      <c r="BF3571">
        <v>1.53</v>
      </c>
      <c r="BG3571" t="s">
        <v>29682</v>
      </c>
      <c r="BH3571" t="s">
        <v>27891</v>
      </c>
      <c r="BI3571" t="s">
        <v>29683</v>
      </c>
      <c r="BJ3571" t="s">
        <v>101</v>
      </c>
      <c r="BK3571" t="s">
        <v>4622</v>
      </c>
      <c r="BL3571" t="s">
        <v>8890</v>
      </c>
      <c r="BM3571" t="s">
        <v>29684</v>
      </c>
      <c r="BN3571" t="s">
        <v>27621</v>
      </c>
    </row>
    <row r="3572" spans="1:66" x14ac:dyDescent="0.25">
      <c r="A3572" t="str">
        <f>HYPERLINK("https://elite.finviz.com/quote.ashx?t=RWAY&amp;ty=c&amp;p=d&amp;b=1", "RWAY")</f>
        <v>RWAY</v>
      </c>
      <c r="B3572">
        <v>4</v>
      </c>
      <c r="C3572">
        <v>105.92</v>
      </c>
      <c r="D3572">
        <v>40.479999999999997</v>
      </c>
      <c r="E3572" t="s">
        <v>29685</v>
      </c>
      <c r="F3572" t="s">
        <v>107</v>
      </c>
      <c r="G3572" t="s">
        <v>550</v>
      </c>
      <c r="H3572" t="s">
        <v>2597</v>
      </c>
      <c r="I3572" t="s">
        <v>70</v>
      </c>
      <c r="J3572" t="s">
        <v>321</v>
      </c>
      <c r="K3572">
        <v>372.13</v>
      </c>
      <c r="L3572">
        <v>10.27</v>
      </c>
      <c r="M3572" t="s">
        <v>3486</v>
      </c>
      <c r="N3572">
        <v>27195</v>
      </c>
      <c r="O3572">
        <v>5.38</v>
      </c>
      <c r="P3572">
        <v>6.75</v>
      </c>
      <c r="R3572">
        <v>2.61</v>
      </c>
      <c r="S3572">
        <v>0.75</v>
      </c>
      <c r="T3572" t="s">
        <v>4450</v>
      </c>
      <c r="U3572">
        <v>1.38</v>
      </c>
      <c r="V3572" t="s">
        <v>1440</v>
      </c>
      <c r="W3572" t="s">
        <v>2768</v>
      </c>
      <c r="X3572" t="s">
        <v>29686</v>
      </c>
      <c r="Z3572" t="s">
        <v>20534</v>
      </c>
      <c r="AA3572">
        <v>1.91</v>
      </c>
      <c r="AB3572" t="s">
        <v>5063</v>
      </c>
      <c r="AC3572" t="s">
        <v>2439</v>
      </c>
      <c r="AD3572" t="s">
        <v>4528</v>
      </c>
      <c r="AE3572" t="s">
        <v>4267</v>
      </c>
      <c r="AF3572" t="s">
        <v>9341</v>
      </c>
      <c r="AG3572" t="s">
        <v>2871</v>
      </c>
      <c r="AH3572" t="s">
        <v>9511</v>
      </c>
      <c r="AI3572" t="s">
        <v>4501</v>
      </c>
      <c r="AJ3572" t="s">
        <v>29687</v>
      </c>
      <c r="AK3572" t="s">
        <v>13426</v>
      </c>
      <c r="AL3572">
        <v>0.59</v>
      </c>
      <c r="AM3572">
        <v>0.59</v>
      </c>
      <c r="AN3572">
        <v>1.03</v>
      </c>
      <c r="AO3572" t="s">
        <v>29688</v>
      </c>
      <c r="AP3572" t="s">
        <v>29689</v>
      </c>
      <c r="AQ3572" t="s">
        <v>4465</v>
      </c>
      <c r="AR3572" t="s">
        <v>2333</v>
      </c>
      <c r="AS3572" t="s">
        <v>3757</v>
      </c>
      <c r="AT3572" t="s">
        <v>1180</v>
      </c>
      <c r="AU3572" t="s">
        <v>2162</v>
      </c>
      <c r="AV3572" t="s">
        <v>2723</v>
      </c>
      <c r="AW3572" t="s">
        <v>20749</v>
      </c>
      <c r="AX3572" t="s">
        <v>4856</v>
      </c>
      <c r="AY3572" t="s">
        <v>13837</v>
      </c>
      <c r="AZ3572" t="s">
        <v>23897</v>
      </c>
      <c r="BA3572">
        <v>2.27</v>
      </c>
      <c r="BB3572">
        <v>278.8</v>
      </c>
      <c r="BC3572">
        <v>0.34</v>
      </c>
      <c r="BD3572">
        <v>10.32</v>
      </c>
      <c r="BE3572">
        <v>10.35</v>
      </c>
      <c r="BF3572">
        <v>10.28</v>
      </c>
      <c r="BG3572" t="s">
        <v>29690</v>
      </c>
      <c r="BH3572" t="s">
        <v>27719</v>
      </c>
      <c r="BI3572" t="s">
        <v>23897</v>
      </c>
      <c r="BJ3572" t="s">
        <v>101</v>
      </c>
      <c r="BK3572" t="s">
        <v>72</v>
      </c>
      <c r="BL3572" t="s">
        <v>5189</v>
      </c>
      <c r="BM3572" t="s">
        <v>1439</v>
      </c>
      <c r="BN3572" t="s">
        <v>27621</v>
      </c>
    </row>
    <row r="3573" spans="1:66" x14ac:dyDescent="0.25">
      <c r="A3573" t="str">
        <f>HYPERLINK("https://elite.finviz.com/quote.ashx?t=AOUT&amp;ty=c&amp;p=d&amp;b=1", "AOUT")</f>
        <v>AOUT</v>
      </c>
      <c r="B3573">
        <v>4</v>
      </c>
      <c r="C3573">
        <v>105.92</v>
      </c>
      <c r="D3573">
        <v>40.479999999999997</v>
      </c>
      <c r="E3573" t="s">
        <v>29691</v>
      </c>
      <c r="F3573" t="s">
        <v>67</v>
      </c>
      <c r="G3573" t="s">
        <v>813</v>
      </c>
      <c r="H3573" t="s">
        <v>5941</v>
      </c>
      <c r="I3573" t="s">
        <v>70</v>
      </c>
      <c r="J3573" t="s">
        <v>321</v>
      </c>
      <c r="K3573">
        <v>108.91</v>
      </c>
      <c r="L3573">
        <v>8.6</v>
      </c>
      <c r="M3573" t="s">
        <v>193</v>
      </c>
      <c r="N3573">
        <v>3704</v>
      </c>
      <c r="P3573">
        <v>20.25</v>
      </c>
      <c r="R3573">
        <v>0.52</v>
      </c>
      <c r="S3573">
        <v>0.65</v>
      </c>
      <c r="AA3573">
        <v>-0.37</v>
      </c>
      <c r="AB3573" t="s">
        <v>29692</v>
      </c>
      <c r="AC3573" t="s">
        <v>12027</v>
      </c>
      <c r="AE3573" t="s">
        <v>892</v>
      </c>
      <c r="AF3573" t="s">
        <v>9254</v>
      </c>
      <c r="AG3573" t="s">
        <v>3733</v>
      </c>
      <c r="AH3573" t="s">
        <v>23846</v>
      </c>
      <c r="AI3573" t="s">
        <v>2998</v>
      </c>
      <c r="AJ3573" t="s">
        <v>3871</v>
      </c>
      <c r="AK3573" t="s">
        <v>15498</v>
      </c>
      <c r="AL3573">
        <v>4.0199999999999996</v>
      </c>
      <c r="AM3573">
        <v>1.03</v>
      </c>
      <c r="AN3573">
        <v>0.2</v>
      </c>
      <c r="AO3573" t="s">
        <v>7080</v>
      </c>
      <c r="AP3573" t="s">
        <v>6838</v>
      </c>
      <c r="AQ3573" t="s">
        <v>3753</v>
      </c>
      <c r="AR3573" t="s">
        <v>1302</v>
      </c>
      <c r="AS3573" t="s">
        <v>3521</v>
      </c>
      <c r="AT3573" t="s">
        <v>3622</v>
      </c>
      <c r="AU3573" t="s">
        <v>5674</v>
      </c>
      <c r="AV3573" t="s">
        <v>14237</v>
      </c>
      <c r="AW3573" t="s">
        <v>26577</v>
      </c>
      <c r="AX3573" t="s">
        <v>216</v>
      </c>
      <c r="AY3573" t="s">
        <v>23477</v>
      </c>
      <c r="AZ3573" t="s">
        <v>216</v>
      </c>
      <c r="BA3573">
        <v>1</v>
      </c>
      <c r="BB3573">
        <v>121.63</v>
      </c>
      <c r="BC3573">
        <v>0.11</v>
      </c>
      <c r="BD3573">
        <v>8.58</v>
      </c>
      <c r="BE3573">
        <v>8.61</v>
      </c>
      <c r="BF3573">
        <v>8.58</v>
      </c>
      <c r="BG3573" t="s">
        <v>29693</v>
      </c>
      <c r="BH3573" t="s">
        <v>29694</v>
      </c>
      <c r="BI3573" t="s">
        <v>8521</v>
      </c>
      <c r="BJ3573" t="s">
        <v>101</v>
      </c>
      <c r="BK3573" t="s">
        <v>6649</v>
      </c>
      <c r="BL3573" t="s">
        <v>25856</v>
      </c>
      <c r="BM3573" t="s">
        <v>3625</v>
      </c>
      <c r="BN3573" t="s">
        <v>27621</v>
      </c>
    </row>
    <row r="3574" spans="1:66" x14ac:dyDescent="0.25">
      <c r="A3574" t="str">
        <f>HYPERLINK("https://elite.finviz.com/quote.ashx?t=ACOG&amp;ty=c&amp;p=d&amp;b=1", "ACOG")</f>
        <v>ACOG</v>
      </c>
      <c r="B3574">
        <v>4</v>
      </c>
      <c r="C3574">
        <v>105.92</v>
      </c>
      <c r="D3574">
        <v>40.51</v>
      </c>
      <c r="E3574" t="s">
        <v>29695</v>
      </c>
      <c r="F3574" t="s">
        <v>107</v>
      </c>
      <c r="G3574" t="s">
        <v>428</v>
      </c>
      <c r="H3574" t="s">
        <v>429</v>
      </c>
      <c r="I3574" t="s">
        <v>70</v>
      </c>
      <c r="J3574" t="s">
        <v>321</v>
      </c>
      <c r="K3574">
        <v>127.99</v>
      </c>
      <c r="L3574">
        <v>7.92</v>
      </c>
      <c r="M3574" t="s">
        <v>90</v>
      </c>
      <c r="N3574">
        <v>5767</v>
      </c>
      <c r="R3574">
        <v>27.88</v>
      </c>
      <c r="S3574">
        <v>3.98</v>
      </c>
      <c r="AA3574">
        <v>-1.59</v>
      </c>
      <c r="AB3574" t="s">
        <v>14739</v>
      </c>
      <c r="AC3574" t="s">
        <v>29696</v>
      </c>
      <c r="AI3574" t="s">
        <v>3130</v>
      </c>
      <c r="AJ3574" t="s">
        <v>149</v>
      </c>
      <c r="AK3574" t="s">
        <v>7500</v>
      </c>
      <c r="AL3574">
        <v>14.69</v>
      </c>
      <c r="AM3574">
        <v>14.4</v>
      </c>
      <c r="AN3574">
        <v>0</v>
      </c>
      <c r="AO3574" t="s">
        <v>27165</v>
      </c>
      <c r="AP3574" t="s">
        <v>29697</v>
      </c>
      <c r="AQ3574" t="s">
        <v>29698</v>
      </c>
      <c r="AR3574" t="s">
        <v>5700</v>
      </c>
      <c r="AS3574" t="s">
        <v>1691</v>
      </c>
      <c r="AT3574" t="s">
        <v>5677</v>
      </c>
      <c r="AU3574" t="s">
        <v>17277</v>
      </c>
      <c r="AV3574" t="s">
        <v>6456</v>
      </c>
      <c r="AW3574" t="s">
        <v>15646</v>
      </c>
      <c r="AX3574" t="s">
        <v>848</v>
      </c>
      <c r="AY3574" t="s">
        <v>18689</v>
      </c>
      <c r="AZ3574" t="s">
        <v>29699</v>
      </c>
      <c r="BA3574">
        <v>1</v>
      </c>
      <c r="BB3574">
        <v>64.83</v>
      </c>
      <c r="BC3574">
        <v>0.32</v>
      </c>
      <c r="BD3574">
        <v>7.72</v>
      </c>
      <c r="BE3574">
        <v>8</v>
      </c>
      <c r="BF3574">
        <v>7.55</v>
      </c>
      <c r="BG3574" t="s">
        <v>29700</v>
      </c>
      <c r="BH3574" t="s">
        <v>29701</v>
      </c>
      <c r="BI3574" t="s">
        <v>11477</v>
      </c>
      <c r="BJ3574" t="s">
        <v>101</v>
      </c>
      <c r="BK3574" t="s">
        <v>10885</v>
      </c>
      <c r="BL3574" t="s">
        <v>6553</v>
      </c>
      <c r="BM3574" t="s">
        <v>15231</v>
      </c>
      <c r="BN3574" t="s">
        <v>27621</v>
      </c>
    </row>
    <row r="3575" spans="1:66" x14ac:dyDescent="0.25">
      <c r="A3575" t="str">
        <f>HYPERLINK("https://elite.finviz.com/quote.ashx?t=KRO&amp;ty=c&amp;p=d&amp;b=1", "KRO")</f>
        <v>KRO</v>
      </c>
      <c r="B3575">
        <v>4</v>
      </c>
      <c r="C3575">
        <v>105.92</v>
      </c>
      <c r="D3575">
        <v>40.520000000000003</v>
      </c>
      <c r="E3575" t="s">
        <v>29702</v>
      </c>
      <c r="F3575" t="s">
        <v>67</v>
      </c>
      <c r="G3575" t="s">
        <v>355</v>
      </c>
      <c r="H3575" t="s">
        <v>1147</v>
      </c>
      <c r="I3575" t="s">
        <v>70</v>
      </c>
      <c r="J3575" t="s">
        <v>71</v>
      </c>
      <c r="K3575">
        <v>651.78</v>
      </c>
      <c r="L3575">
        <v>5.66</v>
      </c>
      <c r="M3575" t="s">
        <v>3349</v>
      </c>
      <c r="N3575">
        <v>106111</v>
      </c>
      <c r="O3575">
        <v>9.65</v>
      </c>
      <c r="P3575">
        <v>9.2899999999999991</v>
      </c>
      <c r="Q3575">
        <v>0.81</v>
      </c>
      <c r="R3575">
        <v>0.34</v>
      </c>
      <c r="S3575">
        <v>0.77</v>
      </c>
      <c r="T3575" t="s">
        <v>2822</v>
      </c>
      <c r="U3575">
        <v>0.2</v>
      </c>
      <c r="V3575" t="s">
        <v>4548</v>
      </c>
      <c r="W3575" t="s">
        <v>15752</v>
      </c>
      <c r="X3575" t="s">
        <v>15466</v>
      </c>
      <c r="Y3575" t="s">
        <v>7449</v>
      </c>
      <c r="Z3575" t="s">
        <v>18047</v>
      </c>
      <c r="AA3575">
        <v>0.59</v>
      </c>
      <c r="AB3575" t="s">
        <v>5354</v>
      </c>
      <c r="AC3575" t="s">
        <v>171</v>
      </c>
      <c r="AD3575" t="s">
        <v>4079</v>
      </c>
      <c r="AE3575" t="s">
        <v>291</v>
      </c>
      <c r="AF3575" t="s">
        <v>2374</v>
      </c>
      <c r="AG3575" t="s">
        <v>2195</v>
      </c>
      <c r="AH3575" t="s">
        <v>1864</v>
      </c>
      <c r="AI3575" t="s">
        <v>29703</v>
      </c>
      <c r="AJ3575" t="s">
        <v>629</v>
      </c>
      <c r="AK3575" t="s">
        <v>1038</v>
      </c>
      <c r="AL3575">
        <v>2.79</v>
      </c>
      <c r="AM3575">
        <v>1.04</v>
      </c>
      <c r="AN3575">
        <v>0.72</v>
      </c>
      <c r="AO3575" t="s">
        <v>758</v>
      </c>
      <c r="AP3575" t="s">
        <v>3530</v>
      </c>
      <c r="AQ3575" t="s">
        <v>975</v>
      </c>
      <c r="AR3575" t="s">
        <v>9651</v>
      </c>
      <c r="AS3575" t="s">
        <v>2484</v>
      </c>
      <c r="AT3575" t="s">
        <v>440</v>
      </c>
      <c r="AU3575" t="s">
        <v>7165</v>
      </c>
      <c r="AV3575" t="s">
        <v>24107</v>
      </c>
      <c r="AW3575" t="s">
        <v>17752</v>
      </c>
      <c r="AX3575" t="s">
        <v>10006</v>
      </c>
      <c r="AY3575" t="s">
        <v>29704</v>
      </c>
      <c r="AZ3575" t="s">
        <v>10006</v>
      </c>
      <c r="BA3575">
        <v>1</v>
      </c>
      <c r="BB3575">
        <v>347.94</v>
      </c>
      <c r="BC3575">
        <v>1.07</v>
      </c>
      <c r="BD3575">
        <v>5.58</v>
      </c>
      <c r="BE3575">
        <v>5.75</v>
      </c>
      <c r="BF3575">
        <v>5.63</v>
      </c>
      <c r="BG3575" t="s">
        <v>29705</v>
      </c>
      <c r="BH3575" t="s">
        <v>29706</v>
      </c>
      <c r="BI3575" t="s">
        <v>29707</v>
      </c>
      <c r="BJ3575" t="s">
        <v>101</v>
      </c>
      <c r="BK3575" t="s">
        <v>6798</v>
      </c>
      <c r="BL3575" t="s">
        <v>4785</v>
      </c>
      <c r="BM3575" t="s">
        <v>15614</v>
      </c>
      <c r="BN3575" t="s">
        <v>27621</v>
      </c>
    </row>
    <row r="3576" spans="1:66" x14ac:dyDescent="0.25">
      <c r="A3576" t="str">
        <f>HYPERLINK("https://elite.finviz.com/quote.ashx?t=TIVC&amp;ty=c&amp;p=d&amp;b=1", "TIVC")</f>
        <v>TIVC</v>
      </c>
      <c r="B3576">
        <v>4</v>
      </c>
      <c r="C3576">
        <v>105.92</v>
      </c>
      <c r="D3576">
        <v>40.520000000000003</v>
      </c>
      <c r="E3576" t="s">
        <v>29708</v>
      </c>
      <c r="F3576" t="s">
        <v>107</v>
      </c>
      <c r="G3576" t="s">
        <v>428</v>
      </c>
      <c r="H3576" t="s">
        <v>2051</v>
      </c>
      <c r="I3576" t="s">
        <v>70</v>
      </c>
      <c r="J3576" t="s">
        <v>321</v>
      </c>
      <c r="K3576">
        <v>4.6900000000000004</v>
      </c>
      <c r="L3576">
        <v>2.97</v>
      </c>
      <c r="M3576" t="s">
        <v>5777</v>
      </c>
      <c r="N3576">
        <v>16900</v>
      </c>
      <c r="R3576">
        <v>10.19</v>
      </c>
      <c r="S3576">
        <v>0.78</v>
      </c>
      <c r="AA3576">
        <v>-11.29</v>
      </c>
      <c r="AB3576" t="s">
        <v>8827</v>
      </c>
      <c r="AC3576" t="s">
        <v>29709</v>
      </c>
      <c r="AE3576" t="s">
        <v>17745</v>
      </c>
      <c r="AF3576" t="s">
        <v>9853</v>
      </c>
      <c r="AG3576" t="s">
        <v>604</v>
      </c>
      <c r="AH3576" t="s">
        <v>16187</v>
      </c>
      <c r="AJ3576" t="s">
        <v>164</v>
      </c>
      <c r="AK3576" t="s">
        <v>2146</v>
      </c>
      <c r="AL3576">
        <v>2.2400000000000002</v>
      </c>
      <c r="AM3576">
        <v>1.9</v>
      </c>
      <c r="AN3576">
        <v>0</v>
      </c>
      <c r="AO3576" t="s">
        <v>844</v>
      </c>
      <c r="AP3576" t="s">
        <v>29710</v>
      </c>
      <c r="AQ3576" t="s">
        <v>29711</v>
      </c>
      <c r="AR3576" t="s">
        <v>5331</v>
      </c>
      <c r="AS3576" t="s">
        <v>8625</v>
      </c>
      <c r="AT3576" t="s">
        <v>9498</v>
      </c>
      <c r="AU3576" t="s">
        <v>16226</v>
      </c>
      <c r="AV3576" t="s">
        <v>8503</v>
      </c>
      <c r="AW3576" t="s">
        <v>18239</v>
      </c>
      <c r="AX3576" t="s">
        <v>2408</v>
      </c>
      <c r="AY3576" t="s">
        <v>28886</v>
      </c>
      <c r="AZ3576" t="s">
        <v>3537</v>
      </c>
      <c r="BB3576">
        <v>997.82</v>
      </c>
      <c r="BC3576">
        <v>0.06</v>
      </c>
      <c r="BD3576">
        <v>2.99</v>
      </c>
      <c r="BE3576">
        <v>2.99</v>
      </c>
      <c r="BF3576">
        <v>2.93</v>
      </c>
      <c r="BG3576" t="s">
        <v>29712</v>
      </c>
      <c r="BH3576" t="s">
        <v>5233</v>
      </c>
      <c r="BI3576" t="s">
        <v>3537</v>
      </c>
      <c r="BJ3576" t="s">
        <v>101</v>
      </c>
      <c r="BK3576" t="s">
        <v>29713</v>
      </c>
      <c r="BL3576" t="s">
        <v>910</v>
      </c>
      <c r="BM3576" t="s">
        <v>5202</v>
      </c>
      <c r="BN3576" t="s">
        <v>27621</v>
      </c>
    </row>
    <row r="3577" spans="1:66" x14ac:dyDescent="0.25">
      <c r="A3577" t="str">
        <f>HYPERLINK("https://elite.finviz.com/quote.ashx?t=CBLL&amp;ty=c&amp;p=d&amp;b=1", "CBLL")</f>
        <v>CBLL</v>
      </c>
      <c r="B3577">
        <v>4</v>
      </c>
      <c r="C3577">
        <v>105.92</v>
      </c>
      <c r="D3577">
        <v>40.53</v>
      </c>
      <c r="E3577" t="s">
        <v>29714</v>
      </c>
      <c r="F3577" t="s">
        <v>67</v>
      </c>
      <c r="G3577" t="s">
        <v>428</v>
      </c>
      <c r="H3577" t="s">
        <v>2051</v>
      </c>
      <c r="I3577" t="s">
        <v>70</v>
      </c>
      <c r="J3577" t="s">
        <v>321</v>
      </c>
      <c r="K3577">
        <v>415.95</v>
      </c>
      <c r="L3577">
        <v>11.35</v>
      </c>
      <c r="M3577" t="s">
        <v>2423</v>
      </c>
      <c r="N3577">
        <v>41411</v>
      </c>
      <c r="R3577">
        <v>5.37</v>
      </c>
      <c r="S3577">
        <v>2.41</v>
      </c>
      <c r="AA3577">
        <v>-1.37</v>
      </c>
      <c r="AB3577" t="s">
        <v>9511</v>
      </c>
      <c r="AD3577" t="s">
        <v>3069</v>
      </c>
      <c r="AF3577" t="s">
        <v>6239</v>
      </c>
      <c r="AI3577" t="s">
        <v>1449</v>
      </c>
      <c r="AJ3577" t="s">
        <v>3634</v>
      </c>
      <c r="AK3577" t="s">
        <v>11257</v>
      </c>
      <c r="AL3577">
        <v>13.17</v>
      </c>
      <c r="AM3577">
        <v>12.77</v>
      </c>
      <c r="AN3577">
        <v>0.13</v>
      </c>
      <c r="AO3577" t="s">
        <v>9605</v>
      </c>
      <c r="AP3577" t="s">
        <v>21365</v>
      </c>
      <c r="AQ3577" t="s">
        <v>27341</v>
      </c>
      <c r="AR3577" t="s">
        <v>1749</v>
      </c>
      <c r="AS3577" t="s">
        <v>4908</v>
      </c>
      <c r="AT3577" t="s">
        <v>2814</v>
      </c>
      <c r="AU3577" t="s">
        <v>5491</v>
      </c>
      <c r="AV3577" t="s">
        <v>19908</v>
      </c>
      <c r="AW3577" t="s">
        <v>2327</v>
      </c>
      <c r="AX3577" t="s">
        <v>3349</v>
      </c>
      <c r="AY3577" t="s">
        <v>8312</v>
      </c>
      <c r="AZ3577" t="s">
        <v>3924</v>
      </c>
      <c r="BA3577">
        <v>1</v>
      </c>
      <c r="BB3577">
        <v>318.87</v>
      </c>
      <c r="BC3577">
        <v>0.46</v>
      </c>
      <c r="BD3577">
        <v>11.3</v>
      </c>
      <c r="BE3577">
        <v>11.35</v>
      </c>
      <c r="BF3577">
        <v>11.16</v>
      </c>
      <c r="BG3577" t="s">
        <v>29715</v>
      </c>
      <c r="BH3577" t="s">
        <v>8312</v>
      </c>
      <c r="BI3577" t="s">
        <v>3924</v>
      </c>
      <c r="BJ3577" t="s">
        <v>101</v>
      </c>
      <c r="BK3577" t="s">
        <v>14522</v>
      </c>
      <c r="BL3577" t="s">
        <v>23142</v>
      </c>
      <c r="BN3577" t="s">
        <v>27621</v>
      </c>
    </row>
    <row r="3578" spans="1:66" x14ac:dyDescent="0.25">
      <c r="A3578" t="str">
        <f>HYPERLINK("https://elite.finviz.com/quote.ashx?t=BURL&amp;ty=c&amp;p=d&amp;b=1", "BURL")</f>
        <v>BURL</v>
      </c>
      <c r="B3578">
        <v>4</v>
      </c>
      <c r="C3578">
        <v>105.92</v>
      </c>
      <c r="D3578">
        <v>40.56</v>
      </c>
      <c r="E3578" t="s">
        <v>29716</v>
      </c>
      <c r="F3578" t="s">
        <v>107</v>
      </c>
      <c r="G3578" t="s">
        <v>813</v>
      </c>
      <c r="H3578" t="s">
        <v>4488</v>
      </c>
      <c r="I3578" t="s">
        <v>70</v>
      </c>
      <c r="J3578" t="s">
        <v>71</v>
      </c>
      <c r="K3578">
        <v>16508.87</v>
      </c>
      <c r="L3578">
        <v>261.89999999999998</v>
      </c>
      <c r="M3578" t="s">
        <v>4538</v>
      </c>
      <c r="N3578">
        <v>65083</v>
      </c>
      <c r="O3578">
        <v>30.9</v>
      </c>
      <c r="P3578">
        <v>23.28</v>
      </c>
      <c r="Q3578">
        <v>1.69</v>
      </c>
      <c r="R3578">
        <v>1.5</v>
      </c>
      <c r="S3578">
        <v>11.41</v>
      </c>
      <c r="Z3578" t="s">
        <v>164</v>
      </c>
      <c r="AA3578">
        <v>8.4700000000000006</v>
      </c>
      <c r="AB3578" t="s">
        <v>416</v>
      </c>
      <c r="AC3578" t="s">
        <v>4800</v>
      </c>
      <c r="AD3578" t="s">
        <v>7776</v>
      </c>
      <c r="AE3578" t="s">
        <v>2796</v>
      </c>
      <c r="AF3578" t="s">
        <v>2842</v>
      </c>
      <c r="AG3578" t="s">
        <v>4437</v>
      </c>
      <c r="AH3578" t="s">
        <v>3581</v>
      </c>
      <c r="AI3578" t="s">
        <v>16667</v>
      </c>
      <c r="AJ3578" t="s">
        <v>5153</v>
      </c>
      <c r="AK3578" t="s">
        <v>1222</v>
      </c>
      <c r="AL3578">
        <v>1.23</v>
      </c>
      <c r="AM3578">
        <v>0.55000000000000004</v>
      </c>
      <c r="AN3578">
        <v>4.04</v>
      </c>
      <c r="AO3578" t="s">
        <v>8557</v>
      </c>
      <c r="AP3578" t="s">
        <v>1243</v>
      </c>
      <c r="AQ3578" t="s">
        <v>4678</v>
      </c>
      <c r="AR3578" t="s">
        <v>6003</v>
      </c>
      <c r="AS3578" t="s">
        <v>5780</v>
      </c>
      <c r="AT3578" t="s">
        <v>4665</v>
      </c>
      <c r="AU3578" t="s">
        <v>7380</v>
      </c>
      <c r="AV3578" t="s">
        <v>102</v>
      </c>
      <c r="AW3578" t="s">
        <v>9585</v>
      </c>
      <c r="AX3578" t="s">
        <v>903</v>
      </c>
      <c r="AY3578" t="s">
        <v>9585</v>
      </c>
      <c r="AZ3578" t="s">
        <v>3161</v>
      </c>
      <c r="BA3578">
        <v>1.33</v>
      </c>
      <c r="BB3578">
        <v>994.26</v>
      </c>
      <c r="BC3578">
        <v>0.23</v>
      </c>
      <c r="BD3578">
        <v>262.56</v>
      </c>
      <c r="BE3578">
        <v>263.45999999999998</v>
      </c>
      <c r="BF3578">
        <v>261.66000000000003</v>
      </c>
      <c r="BG3578" t="s">
        <v>29717</v>
      </c>
      <c r="BH3578" t="s">
        <v>17250</v>
      </c>
      <c r="BI3578" t="s">
        <v>29718</v>
      </c>
      <c r="BJ3578" t="s">
        <v>101</v>
      </c>
      <c r="BK3578" t="s">
        <v>9164</v>
      </c>
      <c r="BL3578" t="s">
        <v>521</v>
      </c>
      <c r="BM3578" t="s">
        <v>2304</v>
      </c>
      <c r="BN3578" t="s">
        <v>27621</v>
      </c>
    </row>
    <row r="3579" spans="1:66" x14ac:dyDescent="0.25">
      <c r="A3579" t="str">
        <f>HYPERLINK("https://elite.finviz.com/quote.ashx?t=BIO&amp;ty=c&amp;p=d&amp;b=1", "BIO")</f>
        <v>BIO</v>
      </c>
      <c r="B3579">
        <v>4</v>
      </c>
      <c r="C3579">
        <v>105.92</v>
      </c>
      <c r="D3579">
        <v>40.56</v>
      </c>
      <c r="E3579" t="s">
        <v>29719</v>
      </c>
      <c r="F3579" t="s">
        <v>107</v>
      </c>
      <c r="G3579" t="s">
        <v>428</v>
      </c>
      <c r="H3579" t="s">
        <v>2051</v>
      </c>
      <c r="I3579" t="s">
        <v>70</v>
      </c>
      <c r="J3579" t="s">
        <v>71</v>
      </c>
      <c r="K3579">
        <v>7330.99</v>
      </c>
      <c r="L3579">
        <v>270.85000000000002</v>
      </c>
      <c r="M3579" t="s">
        <v>6156</v>
      </c>
      <c r="N3579">
        <v>47145</v>
      </c>
      <c r="O3579">
        <v>23.08</v>
      </c>
      <c r="P3579">
        <v>25.04</v>
      </c>
      <c r="Q3579">
        <v>4.53</v>
      </c>
      <c r="R3579">
        <v>2.87</v>
      </c>
      <c r="S3579">
        <v>1.03</v>
      </c>
      <c r="AA3579">
        <v>11.73</v>
      </c>
      <c r="AD3579" t="s">
        <v>6419</v>
      </c>
      <c r="AE3579" t="s">
        <v>124</v>
      </c>
      <c r="AF3579" t="s">
        <v>11675</v>
      </c>
      <c r="AG3579" t="s">
        <v>206</v>
      </c>
      <c r="AH3579" t="s">
        <v>5263</v>
      </c>
      <c r="AI3579" t="s">
        <v>11074</v>
      </c>
      <c r="AJ3579" t="s">
        <v>164</v>
      </c>
      <c r="AK3579" t="s">
        <v>22694</v>
      </c>
      <c r="AL3579">
        <v>5.12</v>
      </c>
      <c r="AM3579">
        <v>3.67</v>
      </c>
      <c r="AN3579">
        <v>0.2</v>
      </c>
      <c r="AO3579" t="s">
        <v>641</v>
      </c>
      <c r="AP3579" t="s">
        <v>11924</v>
      </c>
      <c r="AQ3579" t="s">
        <v>6206</v>
      </c>
      <c r="AR3579" t="s">
        <v>179</v>
      </c>
      <c r="AS3579" t="s">
        <v>1768</v>
      </c>
      <c r="AT3579" t="s">
        <v>9070</v>
      </c>
      <c r="AU3579" t="s">
        <v>6640</v>
      </c>
      <c r="AV3579" t="s">
        <v>1787</v>
      </c>
      <c r="AW3579" t="s">
        <v>7365</v>
      </c>
      <c r="AX3579" t="s">
        <v>4747</v>
      </c>
      <c r="AY3579" t="s">
        <v>24157</v>
      </c>
      <c r="AZ3579" t="s">
        <v>10924</v>
      </c>
      <c r="BA3579">
        <v>1.78</v>
      </c>
      <c r="BB3579">
        <v>266.07</v>
      </c>
      <c r="BC3579">
        <v>0.62</v>
      </c>
      <c r="BD3579">
        <v>270.41000000000003</v>
      </c>
      <c r="BE3579">
        <v>273.95</v>
      </c>
      <c r="BF3579">
        <v>268.39</v>
      </c>
      <c r="BG3579" t="s">
        <v>29720</v>
      </c>
      <c r="BH3579" t="s">
        <v>29721</v>
      </c>
      <c r="BI3579" t="s">
        <v>29722</v>
      </c>
      <c r="BJ3579" t="s">
        <v>101</v>
      </c>
      <c r="BK3579" t="s">
        <v>2513</v>
      </c>
      <c r="BL3579" t="s">
        <v>2605</v>
      </c>
      <c r="BM3579" t="s">
        <v>12430</v>
      </c>
      <c r="BN3579" t="s">
        <v>27621</v>
      </c>
    </row>
    <row r="3580" spans="1:66" x14ac:dyDescent="0.25">
      <c r="A3580" t="str">
        <f>HYPERLINK("https://elite.finviz.com/quote.ashx?t=ASGN&amp;ty=c&amp;p=d&amp;b=1", "ASGN")</f>
        <v>ASGN</v>
      </c>
      <c r="B3580">
        <v>4</v>
      </c>
      <c r="C3580">
        <v>105.92</v>
      </c>
      <c r="D3580">
        <v>40.57</v>
      </c>
      <c r="E3580" t="s">
        <v>29723</v>
      </c>
      <c r="F3580" t="s">
        <v>67</v>
      </c>
      <c r="G3580" t="s">
        <v>108</v>
      </c>
      <c r="H3580" t="s">
        <v>1322</v>
      </c>
      <c r="I3580" t="s">
        <v>70</v>
      </c>
      <c r="J3580" t="s">
        <v>71</v>
      </c>
      <c r="K3580">
        <v>2101.3000000000002</v>
      </c>
      <c r="L3580">
        <v>47.97</v>
      </c>
      <c r="M3580" t="s">
        <v>4280</v>
      </c>
      <c r="N3580">
        <v>73347</v>
      </c>
      <c r="O3580">
        <v>15.23</v>
      </c>
      <c r="P3580">
        <v>9.56</v>
      </c>
      <c r="Q3580">
        <v>4.2</v>
      </c>
      <c r="R3580">
        <v>0.52</v>
      </c>
      <c r="S3580">
        <v>1.1499999999999999</v>
      </c>
      <c r="Z3580" t="s">
        <v>164</v>
      </c>
      <c r="AA3580">
        <v>3.15</v>
      </c>
      <c r="AB3580" t="s">
        <v>9004</v>
      </c>
      <c r="AC3580" t="s">
        <v>4294</v>
      </c>
      <c r="AD3580" t="s">
        <v>3613</v>
      </c>
      <c r="AE3580" t="s">
        <v>12466</v>
      </c>
      <c r="AF3580" t="s">
        <v>1764</v>
      </c>
      <c r="AG3580" t="s">
        <v>458</v>
      </c>
      <c r="AH3580" t="s">
        <v>5153</v>
      </c>
      <c r="AI3580" t="s">
        <v>1282</v>
      </c>
      <c r="AJ3580" t="s">
        <v>164</v>
      </c>
      <c r="AK3580" t="s">
        <v>12124</v>
      </c>
      <c r="AL3580">
        <v>2.11</v>
      </c>
      <c r="AM3580">
        <v>2.11</v>
      </c>
      <c r="AN3580">
        <v>0.7</v>
      </c>
      <c r="AO3580" t="s">
        <v>7578</v>
      </c>
      <c r="AP3580" t="s">
        <v>1160</v>
      </c>
      <c r="AQ3580" t="s">
        <v>2700</v>
      </c>
      <c r="AR3580" t="s">
        <v>4125</v>
      </c>
      <c r="AS3580" t="s">
        <v>2736</v>
      </c>
      <c r="AT3580" t="s">
        <v>4101</v>
      </c>
      <c r="AU3580" t="s">
        <v>10586</v>
      </c>
      <c r="AV3580" t="s">
        <v>2388</v>
      </c>
      <c r="AW3580" t="s">
        <v>21682</v>
      </c>
      <c r="AX3580" t="s">
        <v>4256</v>
      </c>
      <c r="AY3580" t="s">
        <v>24717</v>
      </c>
      <c r="AZ3580" t="s">
        <v>862</v>
      </c>
      <c r="BA3580">
        <v>2.71</v>
      </c>
      <c r="BB3580">
        <v>605.65</v>
      </c>
      <c r="BC3580">
        <v>0.43</v>
      </c>
      <c r="BD3580">
        <v>47.33</v>
      </c>
      <c r="BE3580">
        <v>48</v>
      </c>
      <c r="BF3580">
        <v>47.4</v>
      </c>
      <c r="BG3580" t="s">
        <v>29724</v>
      </c>
      <c r="BH3580" t="s">
        <v>18609</v>
      </c>
      <c r="BI3580" t="s">
        <v>29725</v>
      </c>
      <c r="BJ3580" t="s">
        <v>101</v>
      </c>
      <c r="BK3580" t="s">
        <v>6976</v>
      </c>
      <c r="BL3580" t="s">
        <v>5360</v>
      </c>
      <c r="BM3580" t="s">
        <v>9980</v>
      </c>
      <c r="BN3580" t="s">
        <v>27621</v>
      </c>
    </row>
    <row r="3581" spans="1:66" x14ac:dyDescent="0.25">
      <c r="A3581" t="str">
        <f>HYPERLINK("https://elite.finviz.com/quote.ashx?t=KELYA&amp;ty=c&amp;p=d&amp;b=1", "KELYA")</f>
        <v>KELYA</v>
      </c>
      <c r="B3581">
        <v>4</v>
      </c>
      <c r="C3581">
        <v>105.92</v>
      </c>
      <c r="D3581">
        <v>40.58</v>
      </c>
      <c r="E3581" t="s">
        <v>29726</v>
      </c>
      <c r="F3581" t="s">
        <v>67</v>
      </c>
      <c r="G3581" t="s">
        <v>260</v>
      </c>
      <c r="H3581" t="s">
        <v>8693</v>
      </c>
      <c r="I3581" t="s">
        <v>70</v>
      </c>
      <c r="J3581" t="s">
        <v>321</v>
      </c>
      <c r="K3581">
        <v>462.97</v>
      </c>
      <c r="L3581">
        <v>12.98</v>
      </c>
      <c r="M3581" t="s">
        <v>2125</v>
      </c>
      <c r="N3581">
        <v>55148</v>
      </c>
      <c r="P3581">
        <v>4.6900000000000004</v>
      </c>
      <c r="R3581">
        <v>0.1</v>
      </c>
      <c r="S3581">
        <v>0.36</v>
      </c>
      <c r="T3581" t="s">
        <v>4255</v>
      </c>
      <c r="U3581">
        <v>0.3</v>
      </c>
      <c r="V3581" t="s">
        <v>5737</v>
      </c>
      <c r="W3581" t="s">
        <v>164</v>
      </c>
      <c r="X3581" t="s">
        <v>10635</v>
      </c>
      <c r="Y3581" t="s">
        <v>164</v>
      </c>
      <c r="AA3581">
        <v>-0.18</v>
      </c>
      <c r="AE3581" t="s">
        <v>2630</v>
      </c>
      <c r="AF3581" t="s">
        <v>2288</v>
      </c>
      <c r="AG3581" t="s">
        <v>15052</v>
      </c>
      <c r="AH3581" t="s">
        <v>2721</v>
      </c>
      <c r="AI3581" t="s">
        <v>3027</v>
      </c>
      <c r="AJ3581" t="s">
        <v>3999</v>
      </c>
      <c r="AK3581" t="s">
        <v>29727</v>
      </c>
      <c r="AL3581">
        <v>1.52</v>
      </c>
      <c r="AM3581">
        <v>1.52</v>
      </c>
      <c r="AN3581">
        <v>0.11</v>
      </c>
      <c r="AO3581" t="s">
        <v>20158</v>
      </c>
      <c r="AP3581" t="s">
        <v>6990</v>
      </c>
      <c r="AQ3581" t="s">
        <v>770</v>
      </c>
      <c r="AR3581" t="s">
        <v>2384</v>
      </c>
      <c r="AS3581" t="s">
        <v>2736</v>
      </c>
      <c r="AT3581" t="s">
        <v>1465</v>
      </c>
      <c r="AU3581" t="s">
        <v>2814</v>
      </c>
      <c r="AV3581" t="s">
        <v>4539</v>
      </c>
      <c r="AW3581" t="s">
        <v>8048</v>
      </c>
      <c r="AX3581" t="s">
        <v>605</v>
      </c>
      <c r="AY3581" t="s">
        <v>29728</v>
      </c>
      <c r="AZ3581" t="s">
        <v>8365</v>
      </c>
      <c r="BA3581">
        <v>1.67</v>
      </c>
      <c r="BB3581">
        <v>319.99</v>
      </c>
      <c r="BC3581">
        <v>0.61</v>
      </c>
      <c r="BD3581">
        <v>12.87</v>
      </c>
      <c r="BE3581">
        <v>13.01</v>
      </c>
      <c r="BF3581">
        <v>12.8</v>
      </c>
      <c r="BG3581" t="s">
        <v>29729</v>
      </c>
      <c r="BH3581" t="s">
        <v>23024</v>
      </c>
      <c r="BI3581" t="s">
        <v>29730</v>
      </c>
      <c r="BJ3581" t="s">
        <v>101</v>
      </c>
      <c r="BK3581" t="s">
        <v>2471</v>
      </c>
      <c r="BL3581" t="s">
        <v>3444</v>
      </c>
      <c r="BM3581" t="s">
        <v>25667</v>
      </c>
      <c r="BN3581" t="s">
        <v>27621</v>
      </c>
    </row>
    <row r="3582" spans="1:66" x14ac:dyDescent="0.25">
      <c r="A3582" t="str">
        <f>HYPERLINK("https://elite.finviz.com/quote.ashx?t=BMI&amp;ty=c&amp;p=d&amp;b=1", "BMI")</f>
        <v>BMI</v>
      </c>
      <c r="B3582">
        <v>4</v>
      </c>
      <c r="C3582">
        <v>105.92</v>
      </c>
      <c r="D3582">
        <v>40.590000000000003</v>
      </c>
      <c r="E3582" t="s">
        <v>29731</v>
      </c>
      <c r="F3582" t="s">
        <v>67</v>
      </c>
      <c r="G3582" t="s">
        <v>108</v>
      </c>
      <c r="H3582" t="s">
        <v>9222</v>
      </c>
      <c r="I3582" t="s">
        <v>70</v>
      </c>
      <c r="J3582" t="s">
        <v>71</v>
      </c>
      <c r="K3582">
        <v>5170.2299999999996</v>
      </c>
      <c r="L3582">
        <v>175.45</v>
      </c>
      <c r="M3582" t="s">
        <v>193</v>
      </c>
      <c r="N3582">
        <v>29639</v>
      </c>
      <c r="O3582">
        <v>38.21</v>
      </c>
      <c r="P3582">
        <v>32.65</v>
      </c>
      <c r="Q3582">
        <v>3.82</v>
      </c>
      <c r="R3582">
        <v>5.92</v>
      </c>
      <c r="S3582">
        <v>7.63</v>
      </c>
      <c r="T3582" t="s">
        <v>969</v>
      </c>
      <c r="U3582">
        <v>1.42</v>
      </c>
      <c r="V3582" t="s">
        <v>4186</v>
      </c>
      <c r="W3582" t="s">
        <v>4541</v>
      </c>
      <c r="X3582" t="s">
        <v>2866</v>
      </c>
      <c r="Y3582" t="s">
        <v>7033</v>
      </c>
      <c r="Z3582" t="s">
        <v>20863</v>
      </c>
      <c r="AA3582">
        <v>4.59</v>
      </c>
      <c r="AB3582" t="s">
        <v>277</v>
      </c>
      <c r="AC3582" t="s">
        <v>315</v>
      </c>
      <c r="AD3582" t="s">
        <v>3962</v>
      </c>
      <c r="AE3582" t="s">
        <v>662</v>
      </c>
      <c r="AF3582" t="s">
        <v>7663</v>
      </c>
      <c r="AG3582" t="s">
        <v>15187</v>
      </c>
      <c r="AH3582" t="s">
        <v>4728</v>
      </c>
      <c r="AI3582" t="s">
        <v>19459</v>
      </c>
      <c r="AJ3582" t="s">
        <v>164</v>
      </c>
      <c r="AK3582" t="s">
        <v>29732</v>
      </c>
      <c r="AL3582">
        <v>3.23</v>
      </c>
      <c r="AM3582">
        <v>2.17</v>
      </c>
      <c r="AN3582">
        <v>0</v>
      </c>
      <c r="AO3582" t="s">
        <v>3235</v>
      </c>
      <c r="AP3582" t="s">
        <v>8241</v>
      </c>
      <c r="AQ3582" t="s">
        <v>913</v>
      </c>
      <c r="AR3582" t="s">
        <v>179</v>
      </c>
      <c r="AS3582" t="s">
        <v>4216</v>
      </c>
      <c r="AT3582" t="s">
        <v>196</v>
      </c>
      <c r="AU3582" t="s">
        <v>6741</v>
      </c>
      <c r="AV3582" t="s">
        <v>251</v>
      </c>
      <c r="AW3582" t="s">
        <v>1416</v>
      </c>
      <c r="AX3582" t="s">
        <v>901</v>
      </c>
      <c r="AY3582" t="s">
        <v>29356</v>
      </c>
      <c r="AZ3582" t="s">
        <v>3672</v>
      </c>
      <c r="BA3582">
        <v>2.08</v>
      </c>
      <c r="BB3582">
        <v>380.85</v>
      </c>
      <c r="BC3582">
        <v>0.27</v>
      </c>
      <c r="BD3582">
        <v>174.96</v>
      </c>
      <c r="BE3582">
        <v>175.97</v>
      </c>
      <c r="BF3582">
        <v>174.2</v>
      </c>
      <c r="BG3582" t="s">
        <v>29733</v>
      </c>
      <c r="BH3582" t="s">
        <v>29356</v>
      </c>
      <c r="BI3582" t="s">
        <v>29734</v>
      </c>
      <c r="BJ3582" t="s">
        <v>101</v>
      </c>
      <c r="BK3582" t="s">
        <v>19614</v>
      </c>
      <c r="BL3582" t="s">
        <v>10972</v>
      </c>
      <c r="BM3582" t="s">
        <v>4389</v>
      </c>
      <c r="BN3582" t="s">
        <v>27621</v>
      </c>
    </row>
    <row r="3583" spans="1:66" x14ac:dyDescent="0.25">
      <c r="A3583" t="str">
        <f>HYPERLINK("https://elite.finviz.com/quote.ashx?t=TMCI&amp;ty=c&amp;p=d&amp;b=1", "TMCI")</f>
        <v>TMCI</v>
      </c>
      <c r="B3583">
        <v>4</v>
      </c>
      <c r="C3583">
        <v>105.92</v>
      </c>
      <c r="D3583">
        <v>40.6</v>
      </c>
      <c r="E3583" t="s">
        <v>29735</v>
      </c>
      <c r="F3583" t="s">
        <v>67</v>
      </c>
      <c r="G3583" t="s">
        <v>428</v>
      </c>
      <c r="H3583" t="s">
        <v>2051</v>
      </c>
      <c r="I3583" t="s">
        <v>70</v>
      </c>
      <c r="J3583" t="s">
        <v>321</v>
      </c>
      <c r="K3583">
        <v>417.26</v>
      </c>
      <c r="L3583">
        <v>6.61</v>
      </c>
      <c r="M3583" t="s">
        <v>4328</v>
      </c>
      <c r="N3583">
        <v>21138</v>
      </c>
      <c r="R3583">
        <v>1.95</v>
      </c>
      <c r="S3583">
        <v>4.2699999999999996</v>
      </c>
      <c r="AA3583">
        <v>-0.79</v>
      </c>
      <c r="AB3583" t="s">
        <v>14292</v>
      </c>
      <c r="AC3583" t="s">
        <v>6555</v>
      </c>
      <c r="AD3583" t="s">
        <v>2653</v>
      </c>
      <c r="AE3583" t="s">
        <v>327</v>
      </c>
      <c r="AF3583" t="s">
        <v>15373</v>
      </c>
      <c r="AG3583" t="s">
        <v>11672</v>
      </c>
      <c r="AH3583" t="s">
        <v>1254</v>
      </c>
      <c r="AI3583" t="s">
        <v>4892</v>
      </c>
      <c r="AJ3583" t="s">
        <v>164</v>
      </c>
      <c r="AK3583" t="s">
        <v>29736</v>
      </c>
      <c r="AL3583">
        <v>3.52</v>
      </c>
      <c r="AM3583">
        <v>2.5099999999999998</v>
      </c>
      <c r="AN3583">
        <v>0.72</v>
      </c>
      <c r="AO3583" t="s">
        <v>29737</v>
      </c>
      <c r="AP3583" t="s">
        <v>14418</v>
      </c>
      <c r="AQ3583" t="s">
        <v>15096</v>
      </c>
      <c r="AR3583" t="s">
        <v>6525</v>
      </c>
      <c r="AS3583" t="s">
        <v>2732</v>
      </c>
      <c r="AT3583" t="s">
        <v>4622</v>
      </c>
      <c r="AU3583" t="s">
        <v>1714</v>
      </c>
      <c r="AV3583" t="s">
        <v>1884</v>
      </c>
      <c r="AW3583" t="s">
        <v>7509</v>
      </c>
      <c r="AX3583" t="s">
        <v>2525</v>
      </c>
      <c r="AY3583" t="s">
        <v>2079</v>
      </c>
      <c r="AZ3583" t="s">
        <v>10964</v>
      </c>
      <c r="BA3583">
        <v>2.33</v>
      </c>
      <c r="BB3583">
        <v>331.56</v>
      </c>
      <c r="BC3583">
        <v>0.22</v>
      </c>
      <c r="BD3583">
        <v>6.68</v>
      </c>
      <c r="BE3583">
        <v>6.7</v>
      </c>
      <c r="BF3583">
        <v>6.6</v>
      </c>
      <c r="BG3583" t="s">
        <v>29738</v>
      </c>
      <c r="BH3583" t="s">
        <v>14556</v>
      </c>
      <c r="BI3583" t="s">
        <v>19799</v>
      </c>
      <c r="BJ3583" t="s">
        <v>101</v>
      </c>
      <c r="BK3583" t="s">
        <v>1561</v>
      </c>
      <c r="BL3583" t="s">
        <v>24566</v>
      </c>
      <c r="BM3583" t="s">
        <v>16007</v>
      </c>
      <c r="BN3583" t="s">
        <v>27621</v>
      </c>
    </row>
    <row r="3584" spans="1:66" x14ac:dyDescent="0.25">
      <c r="A3584" t="str">
        <f>HYPERLINK("https://elite.finviz.com/quote.ashx?t=OSS&amp;ty=c&amp;p=d&amp;b=1", "OSS")</f>
        <v>OSS</v>
      </c>
      <c r="B3584">
        <v>4</v>
      </c>
      <c r="C3584">
        <v>105.92</v>
      </c>
      <c r="D3584">
        <v>40.64</v>
      </c>
      <c r="E3584" t="s">
        <v>29739</v>
      </c>
      <c r="F3584" t="s">
        <v>107</v>
      </c>
      <c r="G3584" t="s">
        <v>108</v>
      </c>
      <c r="H3584" t="s">
        <v>496</v>
      </c>
      <c r="I3584" t="s">
        <v>70</v>
      </c>
      <c r="J3584" t="s">
        <v>321</v>
      </c>
      <c r="K3584">
        <v>117.67</v>
      </c>
      <c r="L3584">
        <v>5.37</v>
      </c>
      <c r="M3584" t="s">
        <v>4396</v>
      </c>
      <c r="N3584">
        <v>297203</v>
      </c>
      <c r="P3584">
        <v>230.05</v>
      </c>
      <c r="R3584">
        <v>2.13</v>
      </c>
      <c r="S3584">
        <v>4.49</v>
      </c>
      <c r="AA3584">
        <v>-0.66</v>
      </c>
      <c r="AC3584" t="s">
        <v>29740</v>
      </c>
      <c r="AE3584" t="s">
        <v>2809</v>
      </c>
      <c r="AF3584" t="s">
        <v>4078</v>
      </c>
      <c r="AG3584" t="s">
        <v>3484</v>
      </c>
      <c r="AH3584" t="s">
        <v>3566</v>
      </c>
      <c r="AI3584" t="s">
        <v>164</v>
      </c>
      <c r="AJ3584" t="s">
        <v>164</v>
      </c>
      <c r="AK3584" t="s">
        <v>6495</v>
      </c>
      <c r="AL3584">
        <v>3.51</v>
      </c>
      <c r="AM3584">
        <v>1.93</v>
      </c>
      <c r="AN3584">
        <v>0.21</v>
      </c>
      <c r="AO3584" t="s">
        <v>15021</v>
      </c>
      <c r="AP3584" t="s">
        <v>26762</v>
      </c>
      <c r="AQ3584" t="s">
        <v>3081</v>
      </c>
      <c r="AR3584" t="s">
        <v>3181</v>
      </c>
      <c r="AS3584" t="s">
        <v>3121</v>
      </c>
      <c r="AT3584" t="s">
        <v>601</v>
      </c>
      <c r="AU3584" t="s">
        <v>1052</v>
      </c>
      <c r="AV3584" t="s">
        <v>9724</v>
      </c>
      <c r="AW3584" t="s">
        <v>18847</v>
      </c>
      <c r="AX3584" t="s">
        <v>2291</v>
      </c>
      <c r="AY3584" t="s">
        <v>18847</v>
      </c>
      <c r="AZ3584" t="s">
        <v>29741</v>
      </c>
      <c r="BA3584">
        <v>1</v>
      </c>
      <c r="BB3584">
        <v>604.27</v>
      </c>
      <c r="BC3584">
        <v>1.73</v>
      </c>
      <c r="BD3584">
        <v>5.62</v>
      </c>
      <c r="BE3584">
        <v>5.72</v>
      </c>
      <c r="BF3584">
        <v>5.33</v>
      </c>
      <c r="BG3584" t="s">
        <v>29742</v>
      </c>
      <c r="BH3584" t="s">
        <v>1922</v>
      </c>
      <c r="BI3584" t="s">
        <v>29743</v>
      </c>
      <c r="BJ3584" t="s">
        <v>101</v>
      </c>
      <c r="BK3584" t="s">
        <v>5508</v>
      </c>
      <c r="BL3584" t="s">
        <v>29744</v>
      </c>
      <c r="BM3584" t="s">
        <v>29745</v>
      </c>
      <c r="BN3584" t="s">
        <v>27621</v>
      </c>
    </row>
    <row r="3585" spans="1:66" x14ac:dyDescent="0.25">
      <c r="A3585" t="str">
        <f>HYPERLINK("https://elite.finviz.com/quote.ashx?t=CCS&amp;ty=c&amp;p=d&amp;b=1", "CCS")</f>
        <v>CCS</v>
      </c>
      <c r="B3585">
        <v>4</v>
      </c>
      <c r="C3585">
        <v>105.92</v>
      </c>
      <c r="D3585">
        <v>40.64</v>
      </c>
      <c r="E3585" t="s">
        <v>29746</v>
      </c>
      <c r="F3585" t="s">
        <v>67</v>
      </c>
      <c r="G3585" t="s">
        <v>68</v>
      </c>
      <c r="H3585" t="s">
        <v>11109</v>
      </c>
      <c r="I3585" t="s">
        <v>70</v>
      </c>
      <c r="J3585" t="s">
        <v>71</v>
      </c>
      <c r="K3585">
        <v>1853.41</v>
      </c>
      <c r="L3585">
        <v>62.45</v>
      </c>
      <c r="M3585" t="s">
        <v>458</v>
      </c>
      <c r="N3585">
        <v>33625</v>
      </c>
      <c r="O3585">
        <v>7.62</v>
      </c>
      <c r="P3585">
        <v>9.07</v>
      </c>
      <c r="R3585">
        <v>0.44</v>
      </c>
      <c r="S3585">
        <v>0.72</v>
      </c>
      <c r="T3585" t="s">
        <v>3925</v>
      </c>
      <c r="U3585">
        <v>1.1299999999999999</v>
      </c>
      <c r="V3585" t="s">
        <v>7842</v>
      </c>
      <c r="W3585" t="s">
        <v>1470</v>
      </c>
      <c r="X3585" t="s">
        <v>13995</v>
      </c>
      <c r="Z3585" t="s">
        <v>3962</v>
      </c>
      <c r="AA3585">
        <v>8.19</v>
      </c>
      <c r="AB3585" t="s">
        <v>23263</v>
      </c>
      <c r="AC3585" t="s">
        <v>2117</v>
      </c>
      <c r="AE3585" t="s">
        <v>3670</v>
      </c>
      <c r="AF3585" t="s">
        <v>4759</v>
      </c>
      <c r="AG3585" t="s">
        <v>2661</v>
      </c>
      <c r="AH3585" t="s">
        <v>2677</v>
      </c>
      <c r="AI3585" t="s">
        <v>2556</v>
      </c>
      <c r="AJ3585" t="s">
        <v>580</v>
      </c>
      <c r="AK3585" t="s">
        <v>29747</v>
      </c>
      <c r="AL3585">
        <v>4.9400000000000004</v>
      </c>
      <c r="AM3585">
        <v>0.26</v>
      </c>
      <c r="AN3585">
        <v>0.62</v>
      </c>
      <c r="AO3585" t="s">
        <v>9006</v>
      </c>
      <c r="AP3585" t="s">
        <v>351</v>
      </c>
      <c r="AQ3585" t="s">
        <v>3530</v>
      </c>
      <c r="AR3585" t="s">
        <v>1769</v>
      </c>
      <c r="AS3585" t="s">
        <v>5779</v>
      </c>
      <c r="AT3585" t="s">
        <v>5584</v>
      </c>
      <c r="AU3585" t="s">
        <v>1313</v>
      </c>
      <c r="AV3585" t="s">
        <v>308</v>
      </c>
      <c r="AW3585" t="s">
        <v>8729</v>
      </c>
      <c r="AX3585" t="s">
        <v>13765</v>
      </c>
      <c r="AY3585" t="s">
        <v>14409</v>
      </c>
      <c r="AZ3585" t="s">
        <v>10008</v>
      </c>
      <c r="BA3585">
        <v>2</v>
      </c>
      <c r="BB3585">
        <v>372.4</v>
      </c>
      <c r="BC3585">
        <v>0.32</v>
      </c>
      <c r="BD3585">
        <v>61.9</v>
      </c>
      <c r="BE3585">
        <v>62.77</v>
      </c>
      <c r="BF3585">
        <v>62.08</v>
      </c>
      <c r="BG3585" t="s">
        <v>29748</v>
      </c>
      <c r="BH3585" t="s">
        <v>21399</v>
      </c>
      <c r="BI3585" t="s">
        <v>29749</v>
      </c>
      <c r="BJ3585" t="s">
        <v>101</v>
      </c>
      <c r="BK3585" t="s">
        <v>6528</v>
      </c>
      <c r="BL3585" t="s">
        <v>6798</v>
      </c>
      <c r="BM3585" t="s">
        <v>29750</v>
      </c>
      <c r="BN3585" t="s">
        <v>27621</v>
      </c>
    </row>
    <row r="3586" spans="1:66" x14ac:dyDescent="0.25">
      <c r="A3586" t="str">
        <f>HYPERLINK("https://elite.finviz.com/quote.ashx?t=FLL&amp;ty=c&amp;p=d&amp;b=1", "FLL")</f>
        <v>FLL</v>
      </c>
      <c r="B3586">
        <v>4</v>
      </c>
      <c r="C3586">
        <v>105.92</v>
      </c>
      <c r="D3586">
        <v>40.64</v>
      </c>
      <c r="E3586" t="s">
        <v>29751</v>
      </c>
      <c r="F3586" t="s">
        <v>107</v>
      </c>
      <c r="G3586" t="s">
        <v>813</v>
      </c>
      <c r="H3586" t="s">
        <v>2763</v>
      </c>
      <c r="I3586" t="s">
        <v>70</v>
      </c>
      <c r="J3586" t="s">
        <v>321</v>
      </c>
      <c r="K3586">
        <v>120.61</v>
      </c>
      <c r="L3586">
        <v>3.34</v>
      </c>
      <c r="M3586" t="s">
        <v>3344</v>
      </c>
      <c r="N3586">
        <v>19729</v>
      </c>
      <c r="R3586">
        <v>0.41</v>
      </c>
      <c r="S3586">
        <v>5.69</v>
      </c>
      <c r="AA3586">
        <v>-1.1499999999999999</v>
      </c>
      <c r="AC3586" t="s">
        <v>25471</v>
      </c>
      <c r="AD3586" t="s">
        <v>1575</v>
      </c>
      <c r="AE3586" t="s">
        <v>3100</v>
      </c>
      <c r="AF3586" t="s">
        <v>7866</v>
      </c>
      <c r="AG3586" t="s">
        <v>13322</v>
      </c>
      <c r="AH3586" t="s">
        <v>4308</v>
      </c>
      <c r="AI3586" t="s">
        <v>29752</v>
      </c>
      <c r="AJ3586" t="s">
        <v>7216</v>
      </c>
      <c r="AK3586" t="s">
        <v>25039</v>
      </c>
      <c r="AL3586">
        <v>0.63</v>
      </c>
      <c r="AM3586">
        <v>0.6</v>
      </c>
      <c r="AN3586">
        <v>24.74</v>
      </c>
      <c r="AO3586" t="s">
        <v>7344</v>
      </c>
      <c r="AP3586" t="s">
        <v>2880</v>
      </c>
      <c r="AQ3586" t="s">
        <v>7857</v>
      </c>
      <c r="AR3586" t="s">
        <v>1981</v>
      </c>
      <c r="AS3586" t="s">
        <v>454</v>
      </c>
      <c r="AT3586" t="s">
        <v>14569</v>
      </c>
      <c r="AU3586" t="s">
        <v>4899</v>
      </c>
      <c r="AV3586" t="s">
        <v>4743</v>
      </c>
      <c r="AW3586" t="s">
        <v>16750</v>
      </c>
      <c r="AX3586" t="s">
        <v>4891</v>
      </c>
      <c r="AY3586" t="s">
        <v>25767</v>
      </c>
      <c r="AZ3586" t="s">
        <v>7629</v>
      </c>
      <c r="BA3586">
        <v>1.4</v>
      </c>
      <c r="BB3586">
        <v>246.87</v>
      </c>
      <c r="BC3586">
        <v>0.28000000000000003</v>
      </c>
      <c r="BD3586">
        <v>3.31</v>
      </c>
      <c r="BE3586">
        <v>3.38</v>
      </c>
      <c r="BF3586">
        <v>3.27</v>
      </c>
      <c r="BG3586" t="s">
        <v>29753</v>
      </c>
      <c r="BH3586" t="s">
        <v>29754</v>
      </c>
      <c r="BI3586" t="s">
        <v>29755</v>
      </c>
      <c r="BJ3586" t="s">
        <v>101</v>
      </c>
      <c r="BK3586" t="s">
        <v>7341</v>
      </c>
      <c r="BL3586" t="s">
        <v>5330</v>
      </c>
      <c r="BM3586" t="s">
        <v>9509</v>
      </c>
      <c r="BN3586" t="s">
        <v>27621</v>
      </c>
    </row>
    <row r="3587" spans="1:66" x14ac:dyDescent="0.25">
      <c r="A3587" t="str">
        <f>HYPERLINK("https://elite.finviz.com/quote.ashx?t=OXM&amp;ty=c&amp;p=d&amp;b=1", "OXM")</f>
        <v>OXM</v>
      </c>
      <c r="B3587">
        <v>4</v>
      </c>
      <c r="C3587">
        <v>105.92</v>
      </c>
      <c r="D3587">
        <v>40.659999999999997</v>
      </c>
      <c r="E3587" t="s">
        <v>29756</v>
      </c>
      <c r="F3587" t="s">
        <v>67</v>
      </c>
      <c r="G3587" t="s">
        <v>813</v>
      </c>
      <c r="H3587" t="s">
        <v>7446</v>
      </c>
      <c r="I3587" t="s">
        <v>70</v>
      </c>
      <c r="J3587" t="s">
        <v>71</v>
      </c>
      <c r="K3587">
        <v>604.79</v>
      </c>
      <c r="L3587">
        <v>40.68</v>
      </c>
      <c r="M3587" t="s">
        <v>2757</v>
      </c>
      <c r="N3587">
        <v>52483</v>
      </c>
      <c r="O3587">
        <v>11.01</v>
      </c>
      <c r="P3587">
        <v>11.31</v>
      </c>
      <c r="R3587">
        <v>0.4</v>
      </c>
      <c r="S3587">
        <v>1.01</v>
      </c>
      <c r="T3587" t="s">
        <v>7566</v>
      </c>
      <c r="U3587">
        <v>2.72</v>
      </c>
      <c r="V3587" t="s">
        <v>3662</v>
      </c>
      <c r="W3587" t="s">
        <v>4084</v>
      </c>
      <c r="X3587" t="s">
        <v>23895</v>
      </c>
      <c r="Y3587" t="s">
        <v>4549</v>
      </c>
      <c r="Z3587" t="s">
        <v>22720</v>
      </c>
      <c r="AA3587">
        <v>3.7</v>
      </c>
      <c r="AB3587" t="s">
        <v>16810</v>
      </c>
      <c r="AC3587" t="s">
        <v>4512</v>
      </c>
      <c r="AD3587" t="s">
        <v>10222</v>
      </c>
      <c r="AE3587" t="s">
        <v>9254</v>
      </c>
      <c r="AF3587" t="s">
        <v>230</v>
      </c>
      <c r="AG3587" t="s">
        <v>2777</v>
      </c>
      <c r="AH3587" t="s">
        <v>552</v>
      </c>
      <c r="AI3587" t="s">
        <v>5025</v>
      </c>
      <c r="AJ3587" t="s">
        <v>5084</v>
      </c>
      <c r="AK3587" t="s">
        <v>29757</v>
      </c>
      <c r="AL3587">
        <v>1.18</v>
      </c>
      <c r="AM3587">
        <v>0.51</v>
      </c>
      <c r="AN3587">
        <v>0.86</v>
      </c>
      <c r="AO3587" t="s">
        <v>2427</v>
      </c>
      <c r="AP3587" t="s">
        <v>2384</v>
      </c>
      <c r="AQ3587" t="s">
        <v>756</v>
      </c>
      <c r="AR3587" t="s">
        <v>1453</v>
      </c>
      <c r="AS3587" t="s">
        <v>995</v>
      </c>
      <c r="AT3587" t="s">
        <v>9091</v>
      </c>
      <c r="AU3587" t="s">
        <v>7289</v>
      </c>
      <c r="AV3587" t="s">
        <v>12015</v>
      </c>
      <c r="AW3587" t="s">
        <v>619</v>
      </c>
      <c r="AX3587" t="s">
        <v>2471</v>
      </c>
      <c r="AY3587" t="s">
        <v>29758</v>
      </c>
      <c r="AZ3587" t="s">
        <v>2471</v>
      </c>
      <c r="BA3587">
        <v>3.33</v>
      </c>
      <c r="BB3587">
        <v>454.68</v>
      </c>
      <c r="BC3587">
        <v>0.41</v>
      </c>
      <c r="BD3587">
        <v>40.64</v>
      </c>
      <c r="BE3587">
        <v>40.98</v>
      </c>
      <c r="BF3587">
        <v>40.44</v>
      </c>
      <c r="BG3587" t="s">
        <v>29759</v>
      </c>
      <c r="BH3587" t="s">
        <v>26281</v>
      </c>
      <c r="BI3587" t="s">
        <v>29760</v>
      </c>
      <c r="BJ3587" t="s">
        <v>101</v>
      </c>
      <c r="BK3587" t="s">
        <v>1761</v>
      </c>
      <c r="BL3587" t="s">
        <v>29761</v>
      </c>
      <c r="BM3587" t="s">
        <v>25356</v>
      </c>
      <c r="BN3587" t="s">
        <v>27621</v>
      </c>
    </row>
    <row r="3588" spans="1:66" x14ac:dyDescent="0.25">
      <c r="A3588" t="str">
        <f>HYPERLINK("https://elite.finviz.com/quote.ashx?t=FRST&amp;ty=c&amp;p=d&amp;b=1", "FRST")</f>
        <v>FRST</v>
      </c>
      <c r="B3588">
        <v>4</v>
      </c>
      <c r="C3588">
        <v>105.92</v>
      </c>
      <c r="D3588">
        <v>40.68</v>
      </c>
      <c r="E3588" t="s">
        <v>29762</v>
      </c>
      <c r="F3588" t="s">
        <v>67</v>
      </c>
      <c r="G3588" t="s">
        <v>550</v>
      </c>
      <c r="H3588" t="s">
        <v>697</v>
      </c>
      <c r="I3588" t="s">
        <v>70</v>
      </c>
      <c r="J3588" t="s">
        <v>321</v>
      </c>
      <c r="K3588">
        <v>261.70999999999998</v>
      </c>
      <c r="L3588">
        <v>10.62</v>
      </c>
      <c r="M3588" t="s">
        <v>5424</v>
      </c>
      <c r="N3588">
        <v>12888</v>
      </c>
      <c r="O3588">
        <v>88.5</v>
      </c>
      <c r="P3588">
        <v>6.85</v>
      </c>
      <c r="R3588">
        <v>1.04</v>
      </c>
      <c r="S3588">
        <v>0.7</v>
      </c>
      <c r="T3588" t="s">
        <v>1100</v>
      </c>
      <c r="U3588">
        <v>0.4</v>
      </c>
      <c r="V3588" t="s">
        <v>1762</v>
      </c>
      <c r="W3588" t="s">
        <v>164</v>
      </c>
      <c r="X3588" t="s">
        <v>164</v>
      </c>
      <c r="Y3588" t="s">
        <v>212</v>
      </c>
      <c r="AA3588">
        <v>0.12</v>
      </c>
      <c r="AE3588" t="s">
        <v>372</v>
      </c>
      <c r="AF3588" t="s">
        <v>9539</v>
      </c>
      <c r="AG3588" t="s">
        <v>1455</v>
      </c>
      <c r="AH3588" t="s">
        <v>4299</v>
      </c>
      <c r="AI3588" t="s">
        <v>18792</v>
      </c>
      <c r="AJ3588" t="s">
        <v>211</v>
      </c>
      <c r="AK3588" t="s">
        <v>29763</v>
      </c>
      <c r="AL3588">
        <v>0.05</v>
      </c>
      <c r="AN3588">
        <v>0.34</v>
      </c>
      <c r="AP3588" t="s">
        <v>3838</v>
      </c>
      <c r="AQ3588" t="s">
        <v>102</v>
      </c>
      <c r="AR3588" t="s">
        <v>5420</v>
      </c>
      <c r="AS3588" t="s">
        <v>714</v>
      </c>
      <c r="AT3588" t="s">
        <v>10774</v>
      </c>
      <c r="AU3588" t="s">
        <v>4121</v>
      </c>
      <c r="AV3588" t="s">
        <v>4280</v>
      </c>
      <c r="AW3588" t="s">
        <v>6939</v>
      </c>
      <c r="AX3588" t="s">
        <v>1279</v>
      </c>
      <c r="AY3588" t="s">
        <v>421</v>
      </c>
      <c r="AZ3588" t="s">
        <v>11408</v>
      </c>
      <c r="BA3588">
        <v>1</v>
      </c>
      <c r="BB3588">
        <v>95.58</v>
      </c>
      <c r="BC3588">
        <v>0.48</v>
      </c>
      <c r="BD3588">
        <v>10.71</v>
      </c>
      <c r="BE3588">
        <v>10.8</v>
      </c>
      <c r="BF3588">
        <v>10.6</v>
      </c>
      <c r="BG3588" t="s">
        <v>29764</v>
      </c>
      <c r="BH3588" t="s">
        <v>29765</v>
      </c>
      <c r="BI3588" t="s">
        <v>29766</v>
      </c>
      <c r="BJ3588" t="s">
        <v>101</v>
      </c>
      <c r="BK3588" t="s">
        <v>2518</v>
      </c>
      <c r="BL3588" t="s">
        <v>2945</v>
      </c>
      <c r="BM3588" t="s">
        <v>6939</v>
      </c>
      <c r="BN3588" t="s">
        <v>27621</v>
      </c>
    </row>
    <row r="3589" spans="1:66" x14ac:dyDescent="0.25">
      <c r="A3589" t="str">
        <f>HYPERLINK("https://elite.finviz.com/quote.ashx?t=ARI&amp;ty=c&amp;p=d&amp;b=1", "ARI")</f>
        <v>ARI</v>
      </c>
      <c r="B3589">
        <v>4</v>
      </c>
      <c r="C3589">
        <v>105.92</v>
      </c>
      <c r="D3589">
        <v>40.69</v>
      </c>
      <c r="E3589" t="s">
        <v>29767</v>
      </c>
      <c r="F3589" t="s">
        <v>67</v>
      </c>
      <c r="G3589" t="s">
        <v>68</v>
      </c>
      <c r="H3589" t="s">
        <v>5566</v>
      </c>
      <c r="I3589" t="s">
        <v>70</v>
      </c>
      <c r="J3589" t="s">
        <v>71</v>
      </c>
      <c r="K3589">
        <v>1427.65</v>
      </c>
      <c r="L3589">
        <v>10.27</v>
      </c>
      <c r="M3589" t="s">
        <v>3752</v>
      </c>
      <c r="N3589">
        <v>68958</v>
      </c>
      <c r="P3589">
        <v>10.119999999999999</v>
      </c>
      <c r="R3589">
        <v>2.2599999999999998</v>
      </c>
      <c r="S3589">
        <v>0.77</v>
      </c>
      <c r="T3589" t="s">
        <v>2400</v>
      </c>
      <c r="U3589">
        <v>0.86</v>
      </c>
      <c r="V3589" t="s">
        <v>198</v>
      </c>
      <c r="W3589" t="s">
        <v>8795</v>
      </c>
      <c r="X3589" t="s">
        <v>4215</v>
      </c>
      <c r="Y3589" t="s">
        <v>647</v>
      </c>
      <c r="AA3589">
        <v>-0.14000000000000001</v>
      </c>
      <c r="AD3589" t="s">
        <v>29768</v>
      </c>
      <c r="AE3589" t="s">
        <v>23574</v>
      </c>
      <c r="AF3589" t="s">
        <v>1227</v>
      </c>
      <c r="AG3589" t="s">
        <v>1283</v>
      </c>
      <c r="AH3589" t="s">
        <v>16620</v>
      </c>
      <c r="AI3589" t="s">
        <v>323</v>
      </c>
      <c r="AJ3589" t="s">
        <v>9704</v>
      </c>
      <c r="AK3589" t="s">
        <v>29769</v>
      </c>
      <c r="AL3589">
        <v>0.13</v>
      </c>
      <c r="AM3589">
        <v>0.13</v>
      </c>
      <c r="AN3589">
        <v>4.2300000000000004</v>
      </c>
      <c r="AO3589" t="s">
        <v>29770</v>
      </c>
      <c r="AP3589" t="s">
        <v>29771</v>
      </c>
      <c r="AQ3589" t="s">
        <v>6541</v>
      </c>
      <c r="AR3589" t="s">
        <v>3349</v>
      </c>
      <c r="AS3589" t="s">
        <v>2186</v>
      </c>
      <c r="AT3589" t="s">
        <v>2109</v>
      </c>
      <c r="AU3589" t="s">
        <v>211</v>
      </c>
      <c r="AV3589" t="s">
        <v>2066</v>
      </c>
      <c r="AW3589" t="s">
        <v>5138</v>
      </c>
      <c r="AX3589" t="s">
        <v>578</v>
      </c>
      <c r="AY3589" t="s">
        <v>5138</v>
      </c>
      <c r="AZ3589" t="s">
        <v>29772</v>
      </c>
      <c r="BA3589">
        <v>2.5</v>
      </c>
      <c r="BB3589">
        <v>983.14</v>
      </c>
      <c r="BC3589">
        <v>0.25</v>
      </c>
      <c r="BD3589">
        <v>10.28</v>
      </c>
      <c r="BE3589">
        <v>10.36</v>
      </c>
      <c r="BF3589">
        <v>10.27</v>
      </c>
      <c r="BG3589" t="s">
        <v>29773</v>
      </c>
      <c r="BH3589" t="s">
        <v>29774</v>
      </c>
      <c r="BI3589" t="s">
        <v>29775</v>
      </c>
      <c r="BJ3589" t="s">
        <v>101</v>
      </c>
      <c r="BK3589" t="s">
        <v>215</v>
      </c>
      <c r="BL3589" t="s">
        <v>3119</v>
      </c>
      <c r="BM3589" t="s">
        <v>4114</v>
      </c>
      <c r="BN3589" t="s">
        <v>27621</v>
      </c>
    </row>
    <row r="3590" spans="1:66" x14ac:dyDescent="0.25">
      <c r="A3590" t="str">
        <f>HYPERLINK("https://elite.finviz.com/quote.ashx?t=SEIC&amp;ty=c&amp;p=d&amp;b=1", "SEIC")</f>
        <v>SEIC</v>
      </c>
      <c r="B3590">
        <v>4</v>
      </c>
      <c r="C3590">
        <v>105.92</v>
      </c>
      <c r="D3590">
        <v>40.69</v>
      </c>
      <c r="E3590" t="s">
        <v>29776</v>
      </c>
      <c r="F3590" t="s">
        <v>107</v>
      </c>
      <c r="G3590" t="s">
        <v>550</v>
      </c>
      <c r="H3590" t="s">
        <v>2597</v>
      </c>
      <c r="I3590" t="s">
        <v>70</v>
      </c>
      <c r="J3590" t="s">
        <v>321</v>
      </c>
      <c r="K3590">
        <v>10582.3</v>
      </c>
      <c r="L3590">
        <v>85.6</v>
      </c>
      <c r="M3590" t="s">
        <v>4623</v>
      </c>
      <c r="N3590">
        <v>49274</v>
      </c>
      <c r="O3590">
        <v>16.07</v>
      </c>
      <c r="P3590">
        <v>15.65</v>
      </c>
      <c r="Q3590">
        <v>1.46</v>
      </c>
      <c r="R3590">
        <v>4.8</v>
      </c>
      <c r="S3590">
        <v>4.53</v>
      </c>
      <c r="T3590" t="s">
        <v>1279</v>
      </c>
      <c r="U3590">
        <v>0.98</v>
      </c>
      <c r="V3590" t="s">
        <v>28957</v>
      </c>
      <c r="W3590" t="s">
        <v>2823</v>
      </c>
      <c r="X3590" t="s">
        <v>578</v>
      </c>
      <c r="Y3590" t="s">
        <v>4999</v>
      </c>
      <c r="Z3590" t="s">
        <v>5769</v>
      </c>
      <c r="AA3590">
        <v>5.33</v>
      </c>
      <c r="AB3590" t="s">
        <v>4824</v>
      </c>
      <c r="AC3590" t="s">
        <v>3053</v>
      </c>
      <c r="AD3590" t="s">
        <v>8188</v>
      </c>
      <c r="AE3590" t="s">
        <v>3071</v>
      </c>
      <c r="AF3590" t="s">
        <v>2495</v>
      </c>
      <c r="AG3590" t="s">
        <v>5395</v>
      </c>
      <c r="AH3590" t="s">
        <v>4512</v>
      </c>
      <c r="AI3590" t="s">
        <v>6842</v>
      </c>
      <c r="AJ3590" t="s">
        <v>1787</v>
      </c>
      <c r="AK3590" t="s">
        <v>2639</v>
      </c>
      <c r="AL3590">
        <v>6.18</v>
      </c>
      <c r="AM3590">
        <v>6.18</v>
      </c>
      <c r="AN3590">
        <v>0.01</v>
      </c>
      <c r="AO3590" t="s">
        <v>29777</v>
      </c>
      <c r="AP3590" t="s">
        <v>10659</v>
      </c>
      <c r="AQ3590" t="s">
        <v>10781</v>
      </c>
      <c r="AR3590" t="s">
        <v>2175</v>
      </c>
      <c r="AS3590" t="s">
        <v>2274</v>
      </c>
      <c r="AT3590" t="s">
        <v>5070</v>
      </c>
      <c r="AU3590" t="s">
        <v>7391</v>
      </c>
      <c r="AV3590" t="s">
        <v>2643</v>
      </c>
      <c r="AW3590" t="s">
        <v>9417</v>
      </c>
      <c r="AX3590" t="s">
        <v>3761</v>
      </c>
      <c r="AY3590" t="s">
        <v>9417</v>
      </c>
      <c r="AZ3590" t="s">
        <v>11098</v>
      </c>
      <c r="BA3590">
        <v>2.4300000000000002</v>
      </c>
      <c r="BB3590">
        <v>815.23</v>
      </c>
      <c r="BC3590">
        <v>0.21</v>
      </c>
      <c r="BD3590">
        <v>85.1</v>
      </c>
      <c r="BE3590">
        <v>85.88</v>
      </c>
      <c r="BF3590">
        <v>85.36</v>
      </c>
      <c r="BG3590" t="s">
        <v>29778</v>
      </c>
      <c r="BH3590" t="s">
        <v>9417</v>
      </c>
      <c r="BI3590" t="s">
        <v>29779</v>
      </c>
      <c r="BJ3590" t="s">
        <v>101</v>
      </c>
      <c r="BK3590" t="s">
        <v>2827</v>
      </c>
      <c r="BL3590" t="s">
        <v>9515</v>
      </c>
      <c r="BM3590" t="s">
        <v>8539</v>
      </c>
      <c r="BN3590" t="s">
        <v>27621</v>
      </c>
    </row>
    <row r="3591" spans="1:66" x14ac:dyDescent="0.25">
      <c r="A3591" t="str">
        <f>HYPERLINK("https://elite.finviz.com/quote.ashx?t=PFX&amp;ty=c&amp;p=d&amp;b=1", "PFX")</f>
        <v>PFX</v>
      </c>
      <c r="B3591">
        <v>4</v>
      </c>
      <c r="C3591">
        <v>105.92</v>
      </c>
      <c r="D3591">
        <v>40.72</v>
      </c>
      <c r="E3591" t="s">
        <v>29780</v>
      </c>
      <c r="F3591" t="s">
        <v>107</v>
      </c>
      <c r="G3591" t="s">
        <v>550</v>
      </c>
      <c r="H3591" t="s">
        <v>2597</v>
      </c>
      <c r="I3591" t="s">
        <v>70</v>
      </c>
      <c r="J3591" t="s">
        <v>321</v>
      </c>
      <c r="K3591">
        <v>95.82</v>
      </c>
      <c r="L3591">
        <v>47.76</v>
      </c>
      <c r="M3591" t="s">
        <v>4203</v>
      </c>
      <c r="N3591">
        <v>263</v>
      </c>
      <c r="O3591">
        <v>15.66</v>
      </c>
      <c r="P3591">
        <v>26.68</v>
      </c>
      <c r="R3591">
        <v>4</v>
      </c>
      <c r="S3591">
        <v>0.61</v>
      </c>
      <c r="V3591" t="s">
        <v>29781</v>
      </c>
      <c r="AA3591">
        <v>3.05</v>
      </c>
      <c r="AH3591" t="s">
        <v>4953</v>
      </c>
      <c r="AI3591" t="s">
        <v>8843</v>
      </c>
      <c r="AJ3591" t="s">
        <v>2125</v>
      </c>
      <c r="AK3591" t="s">
        <v>1813</v>
      </c>
      <c r="AR3591" t="s">
        <v>6182</v>
      </c>
      <c r="AS3591" t="s">
        <v>5036</v>
      </c>
      <c r="AT3591" t="s">
        <v>7598</v>
      </c>
      <c r="AU3591" t="s">
        <v>81</v>
      </c>
      <c r="AV3591" t="s">
        <v>2741</v>
      </c>
      <c r="AW3591" t="s">
        <v>17277</v>
      </c>
      <c r="AX3591" t="s">
        <v>3551</v>
      </c>
      <c r="AY3591" t="s">
        <v>20993</v>
      </c>
      <c r="AZ3591" t="s">
        <v>702</v>
      </c>
      <c r="BB3591">
        <v>1.1499999999999999</v>
      </c>
      <c r="BC3591">
        <v>0.82</v>
      </c>
      <c r="BD3591">
        <v>48.1</v>
      </c>
      <c r="BE3591">
        <v>47.85</v>
      </c>
      <c r="BF3591">
        <v>47.85</v>
      </c>
      <c r="BG3591" t="s">
        <v>29782</v>
      </c>
      <c r="BH3591" t="s">
        <v>29783</v>
      </c>
      <c r="BI3591" t="s">
        <v>29784</v>
      </c>
      <c r="BJ3591" t="s">
        <v>101</v>
      </c>
      <c r="BK3591" t="s">
        <v>11402</v>
      </c>
      <c r="BL3591" t="s">
        <v>4699</v>
      </c>
      <c r="BM3591" t="s">
        <v>1822</v>
      </c>
      <c r="BN3591" t="s">
        <v>27621</v>
      </c>
    </row>
    <row r="3592" spans="1:66" x14ac:dyDescent="0.25">
      <c r="A3592" t="str">
        <f>HYPERLINK("https://elite.finviz.com/quote.ashx?t=KLTR&amp;ty=c&amp;p=d&amp;b=1", "KLTR")</f>
        <v>KLTR</v>
      </c>
      <c r="B3592">
        <v>4</v>
      </c>
      <c r="C3592">
        <v>105.92</v>
      </c>
      <c r="D3592">
        <v>40.729999999999997</v>
      </c>
      <c r="E3592" t="s">
        <v>29785</v>
      </c>
      <c r="F3592" t="s">
        <v>67</v>
      </c>
      <c r="G3592" t="s">
        <v>108</v>
      </c>
      <c r="H3592" t="s">
        <v>136</v>
      </c>
      <c r="I3592" t="s">
        <v>70</v>
      </c>
      <c r="J3592" t="s">
        <v>321</v>
      </c>
      <c r="K3592">
        <v>236.38</v>
      </c>
      <c r="L3592">
        <v>1.53</v>
      </c>
      <c r="M3592" t="s">
        <v>6058</v>
      </c>
      <c r="N3592">
        <v>33187</v>
      </c>
      <c r="P3592">
        <v>24.68</v>
      </c>
      <c r="R3592">
        <v>1.3</v>
      </c>
      <c r="S3592">
        <v>13.86</v>
      </c>
      <c r="AA3592">
        <v>-0.13</v>
      </c>
      <c r="AB3592" t="s">
        <v>9101</v>
      </c>
      <c r="AC3592" t="s">
        <v>2536</v>
      </c>
      <c r="AE3592" t="s">
        <v>1933</v>
      </c>
      <c r="AF3592" t="s">
        <v>1768</v>
      </c>
      <c r="AG3592" t="s">
        <v>12316</v>
      </c>
      <c r="AH3592" t="s">
        <v>5055</v>
      </c>
      <c r="AI3592" t="s">
        <v>29786</v>
      </c>
      <c r="AJ3592" t="s">
        <v>1998</v>
      </c>
      <c r="AK3592" t="s">
        <v>7696</v>
      </c>
      <c r="AL3592">
        <v>1.07</v>
      </c>
      <c r="AM3592">
        <v>1.07</v>
      </c>
      <c r="AN3592">
        <v>2.88</v>
      </c>
      <c r="AO3592" t="s">
        <v>22698</v>
      </c>
      <c r="AP3592" t="s">
        <v>76</v>
      </c>
      <c r="AQ3592" t="s">
        <v>626</v>
      </c>
      <c r="AR3592" t="s">
        <v>7231</v>
      </c>
      <c r="AS3592" t="s">
        <v>3088</v>
      </c>
      <c r="AT3592" t="s">
        <v>14635</v>
      </c>
      <c r="AU3592" t="s">
        <v>3408</v>
      </c>
      <c r="AV3592" t="s">
        <v>29135</v>
      </c>
      <c r="AW3592" t="s">
        <v>16531</v>
      </c>
      <c r="AX3592" t="s">
        <v>7777</v>
      </c>
      <c r="AY3592" t="s">
        <v>29787</v>
      </c>
      <c r="AZ3592" t="s">
        <v>5464</v>
      </c>
      <c r="BA3592">
        <v>2.2000000000000002</v>
      </c>
      <c r="BB3592">
        <v>308.55</v>
      </c>
      <c r="BC3592">
        <v>0.38</v>
      </c>
      <c r="BD3592">
        <v>1.58</v>
      </c>
      <c r="BE3592">
        <v>1.57</v>
      </c>
      <c r="BF3592">
        <v>1.53</v>
      </c>
      <c r="BG3592" t="s">
        <v>29788</v>
      </c>
      <c r="BH3592" t="s">
        <v>24223</v>
      </c>
      <c r="BI3592" t="s">
        <v>8723</v>
      </c>
      <c r="BJ3592" t="s">
        <v>101</v>
      </c>
      <c r="BK3592" t="s">
        <v>2497</v>
      </c>
      <c r="BL3592" t="s">
        <v>26485</v>
      </c>
      <c r="BM3592" t="s">
        <v>8530</v>
      </c>
      <c r="BN3592" t="s">
        <v>27621</v>
      </c>
    </row>
    <row r="3593" spans="1:66" x14ac:dyDescent="0.25">
      <c r="A3593" t="str">
        <f>HYPERLINK("https://elite.finviz.com/quote.ashx?t=CDXS&amp;ty=c&amp;p=d&amp;b=1", "CDXS")</f>
        <v>CDXS</v>
      </c>
      <c r="B3593">
        <v>4</v>
      </c>
      <c r="C3593">
        <v>105.92</v>
      </c>
      <c r="D3593">
        <v>40.770000000000003</v>
      </c>
      <c r="E3593" t="s">
        <v>29789</v>
      </c>
      <c r="F3593" t="s">
        <v>67</v>
      </c>
      <c r="G3593" t="s">
        <v>428</v>
      </c>
      <c r="H3593" t="s">
        <v>429</v>
      </c>
      <c r="I3593" t="s">
        <v>70</v>
      </c>
      <c r="J3593" t="s">
        <v>321</v>
      </c>
      <c r="K3593">
        <v>216.19</v>
      </c>
      <c r="L3593">
        <v>2.39</v>
      </c>
      <c r="M3593" t="s">
        <v>2468</v>
      </c>
      <c r="N3593">
        <v>328532</v>
      </c>
      <c r="R3593">
        <v>3.78</v>
      </c>
      <c r="S3593">
        <v>3.89</v>
      </c>
      <c r="AA3593">
        <v>-0.82</v>
      </c>
      <c r="AB3593" t="s">
        <v>27816</v>
      </c>
      <c r="AC3593" t="s">
        <v>24028</v>
      </c>
      <c r="AD3593" t="s">
        <v>263</v>
      </c>
      <c r="AE3593" t="s">
        <v>2538</v>
      </c>
      <c r="AF3593" t="s">
        <v>26138</v>
      </c>
      <c r="AG3593" t="s">
        <v>4113</v>
      </c>
      <c r="AH3593" t="s">
        <v>17631</v>
      </c>
      <c r="AI3593" t="s">
        <v>8456</v>
      </c>
      <c r="AJ3593" t="s">
        <v>29790</v>
      </c>
      <c r="AK3593" t="s">
        <v>29791</v>
      </c>
      <c r="AL3593">
        <v>5.82</v>
      </c>
      <c r="AM3593">
        <v>5.7</v>
      </c>
      <c r="AN3593">
        <v>1.24</v>
      </c>
      <c r="AO3593" t="s">
        <v>22820</v>
      </c>
      <c r="AP3593" t="s">
        <v>29792</v>
      </c>
      <c r="AQ3593" t="s">
        <v>29793</v>
      </c>
      <c r="AR3593" t="s">
        <v>371</v>
      </c>
      <c r="AS3593" t="s">
        <v>1749</v>
      </c>
      <c r="AT3593" t="s">
        <v>4367</v>
      </c>
      <c r="AU3593" t="s">
        <v>2248</v>
      </c>
      <c r="AV3593" t="s">
        <v>14628</v>
      </c>
      <c r="AW3593" t="s">
        <v>2577</v>
      </c>
      <c r="AX3593" t="s">
        <v>4908</v>
      </c>
      <c r="AY3593" t="s">
        <v>24448</v>
      </c>
      <c r="AZ3593" t="s">
        <v>9310</v>
      </c>
      <c r="BA3593">
        <v>1.57</v>
      </c>
      <c r="BB3593">
        <v>998.5</v>
      </c>
      <c r="BC3593">
        <v>1.1599999999999999</v>
      </c>
      <c r="BD3593">
        <v>2.4</v>
      </c>
      <c r="BE3593">
        <v>2.46</v>
      </c>
      <c r="BF3593">
        <v>2.38</v>
      </c>
      <c r="BG3593" t="s">
        <v>29794</v>
      </c>
      <c r="BH3593" t="s">
        <v>9680</v>
      </c>
      <c r="BI3593" t="s">
        <v>17961</v>
      </c>
      <c r="BJ3593" t="s">
        <v>101</v>
      </c>
      <c r="BK3593" t="s">
        <v>497</v>
      </c>
      <c r="BL3593" t="s">
        <v>421</v>
      </c>
      <c r="BM3593" t="s">
        <v>4368</v>
      </c>
      <c r="BN3593" t="s">
        <v>27621</v>
      </c>
    </row>
    <row r="3594" spans="1:66" x14ac:dyDescent="0.25">
      <c r="A3594" t="str">
        <f>HYPERLINK("https://elite.finviz.com/quote.ashx?t=CPSS&amp;ty=c&amp;p=d&amp;b=1", "CPSS")</f>
        <v>CPSS</v>
      </c>
      <c r="B3594">
        <v>4</v>
      </c>
      <c r="C3594">
        <v>105.92</v>
      </c>
      <c r="D3594">
        <v>40.770000000000003</v>
      </c>
      <c r="E3594" t="s">
        <v>29795</v>
      </c>
      <c r="F3594" t="s">
        <v>67</v>
      </c>
      <c r="G3594" t="s">
        <v>550</v>
      </c>
      <c r="H3594" t="s">
        <v>3744</v>
      </c>
      <c r="I3594" t="s">
        <v>70</v>
      </c>
      <c r="J3594" t="s">
        <v>321</v>
      </c>
      <c r="K3594">
        <v>171.35</v>
      </c>
      <c r="L3594">
        <v>7.71</v>
      </c>
      <c r="M3594" t="s">
        <v>164</v>
      </c>
      <c r="N3594">
        <v>3249</v>
      </c>
      <c r="O3594">
        <v>9.61</v>
      </c>
      <c r="R3594">
        <v>0.42</v>
      </c>
      <c r="S3594">
        <v>0.56999999999999995</v>
      </c>
      <c r="Z3594" t="s">
        <v>164</v>
      </c>
      <c r="AA3594">
        <v>0.8</v>
      </c>
      <c r="AB3594" t="s">
        <v>29796</v>
      </c>
      <c r="AC3594" t="s">
        <v>4668</v>
      </c>
      <c r="AE3594" t="s">
        <v>14962</v>
      </c>
      <c r="AF3594" t="s">
        <v>847</v>
      </c>
      <c r="AG3594" t="s">
        <v>4780</v>
      </c>
      <c r="AH3594" t="s">
        <v>10695</v>
      </c>
      <c r="AI3594" t="s">
        <v>19508</v>
      </c>
      <c r="AJ3594" t="s">
        <v>8425</v>
      </c>
      <c r="AK3594" t="s">
        <v>5039</v>
      </c>
      <c r="AL3594">
        <v>3.44</v>
      </c>
      <c r="AM3594">
        <v>3.44</v>
      </c>
      <c r="AN3594">
        <v>11.27</v>
      </c>
      <c r="AO3594" t="s">
        <v>29797</v>
      </c>
      <c r="AP3594" t="s">
        <v>8472</v>
      </c>
      <c r="AQ3594" t="s">
        <v>1749</v>
      </c>
      <c r="AR3594" t="s">
        <v>1826</v>
      </c>
      <c r="AS3594" t="s">
        <v>7210</v>
      </c>
      <c r="AT3594" t="s">
        <v>2814</v>
      </c>
      <c r="AU3594" t="s">
        <v>8262</v>
      </c>
      <c r="AV3594" t="s">
        <v>18613</v>
      </c>
      <c r="AW3594" t="s">
        <v>1210</v>
      </c>
      <c r="AX3594" t="s">
        <v>9175</v>
      </c>
      <c r="AY3594" t="s">
        <v>12114</v>
      </c>
      <c r="AZ3594" t="s">
        <v>9175</v>
      </c>
      <c r="BA3594">
        <v>1</v>
      </c>
      <c r="BB3594">
        <v>19.02</v>
      </c>
      <c r="BC3594">
        <v>0.61</v>
      </c>
      <c r="BD3594">
        <v>7.71</v>
      </c>
      <c r="BE3594">
        <v>7.76</v>
      </c>
      <c r="BF3594">
        <v>7.4</v>
      </c>
      <c r="BG3594" t="s">
        <v>29798</v>
      </c>
      <c r="BH3594" t="s">
        <v>29799</v>
      </c>
      <c r="BI3594" t="s">
        <v>29800</v>
      </c>
      <c r="BJ3594" t="s">
        <v>101</v>
      </c>
      <c r="BK3594" t="s">
        <v>9245</v>
      </c>
      <c r="BL3594" t="s">
        <v>3473</v>
      </c>
      <c r="BM3594" t="s">
        <v>18112</v>
      </c>
      <c r="BN3594" t="s">
        <v>27621</v>
      </c>
    </row>
    <row r="3595" spans="1:66" x14ac:dyDescent="0.25">
      <c r="A3595" t="str">
        <f>HYPERLINK("https://elite.finviz.com/quote.ashx?t=POOL&amp;ty=c&amp;p=d&amp;b=1", "POOL")</f>
        <v>POOL</v>
      </c>
      <c r="B3595">
        <v>4</v>
      </c>
      <c r="C3595">
        <v>105.92</v>
      </c>
      <c r="D3595">
        <v>40.79</v>
      </c>
      <c r="E3595" t="s">
        <v>29801</v>
      </c>
      <c r="F3595" t="s">
        <v>195</v>
      </c>
      <c r="G3595" t="s">
        <v>260</v>
      </c>
      <c r="H3595" t="s">
        <v>8107</v>
      </c>
      <c r="I3595" t="s">
        <v>70</v>
      </c>
      <c r="J3595" t="s">
        <v>321</v>
      </c>
      <c r="K3595">
        <v>11406.25</v>
      </c>
      <c r="L3595">
        <v>305.64999999999998</v>
      </c>
      <c r="M3595" t="s">
        <v>2880</v>
      </c>
      <c r="N3595">
        <v>55185</v>
      </c>
      <c r="O3595">
        <v>28.2</v>
      </c>
      <c r="P3595">
        <v>25.96</v>
      </c>
      <c r="Q3595">
        <v>5.5</v>
      </c>
      <c r="R3595">
        <v>2.16</v>
      </c>
      <c r="S3595">
        <v>8.7799999999999994</v>
      </c>
      <c r="T3595" t="s">
        <v>5380</v>
      </c>
      <c r="U3595">
        <v>4.9000000000000004</v>
      </c>
      <c r="V3595" t="s">
        <v>2708</v>
      </c>
      <c r="W3595" t="s">
        <v>2363</v>
      </c>
      <c r="X3595" t="s">
        <v>2589</v>
      </c>
      <c r="Y3595" t="s">
        <v>5003</v>
      </c>
      <c r="Z3595" t="s">
        <v>2962</v>
      </c>
      <c r="AA3595">
        <v>10.84</v>
      </c>
      <c r="AB3595" t="s">
        <v>17277</v>
      </c>
      <c r="AC3595" t="s">
        <v>13322</v>
      </c>
      <c r="AD3595" t="s">
        <v>6404</v>
      </c>
      <c r="AE3595" t="s">
        <v>2372</v>
      </c>
      <c r="AF3595" t="s">
        <v>2757</v>
      </c>
      <c r="AG3595" t="s">
        <v>531</v>
      </c>
      <c r="AH3595" t="s">
        <v>2734</v>
      </c>
      <c r="AI3595" t="s">
        <v>2339</v>
      </c>
      <c r="AJ3595" t="s">
        <v>4699</v>
      </c>
      <c r="AK3595" t="s">
        <v>13851</v>
      </c>
      <c r="AL3595">
        <v>2.52</v>
      </c>
      <c r="AM3595">
        <v>0.87</v>
      </c>
      <c r="AN3595">
        <v>1.2</v>
      </c>
      <c r="AO3595" t="s">
        <v>4609</v>
      </c>
      <c r="AP3595" t="s">
        <v>8691</v>
      </c>
      <c r="AQ3595" t="s">
        <v>7622</v>
      </c>
      <c r="AR3595" t="s">
        <v>5420</v>
      </c>
      <c r="AS3595" t="s">
        <v>179</v>
      </c>
      <c r="AT3595" t="s">
        <v>13745</v>
      </c>
      <c r="AU3595" t="s">
        <v>12575</v>
      </c>
      <c r="AV3595" t="s">
        <v>5246</v>
      </c>
      <c r="AW3595" t="s">
        <v>7101</v>
      </c>
      <c r="AX3595" t="s">
        <v>4299</v>
      </c>
      <c r="AY3595" t="s">
        <v>7149</v>
      </c>
      <c r="AZ3595" t="s">
        <v>6421</v>
      </c>
      <c r="BA3595">
        <v>2.36</v>
      </c>
      <c r="BB3595">
        <v>585.22</v>
      </c>
      <c r="BC3595">
        <v>0.33</v>
      </c>
      <c r="BD3595">
        <v>305.08</v>
      </c>
      <c r="BE3595">
        <v>307.22000000000003</v>
      </c>
      <c r="BF3595">
        <v>304.61</v>
      </c>
      <c r="BG3595" t="s">
        <v>29802</v>
      </c>
      <c r="BH3595" t="s">
        <v>20380</v>
      </c>
      <c r="BI3595" t="s">
        <v>29803</v>
      </c>
      <c r="BJ3595" t="s">
        <v>101</v>
      </c>
      <c r="BK3595" t="s">
        <v>615</v>
      </c>
      <c r="BL3595" t="s">
        <v>2677</v>
      </c>
      <c r="BM3595" t="s">
        <v>219</v>
      </c>
      <c r="BN3595" t="s">
        <v>27621</v>
      </c>
    </row>
    <row r="3596" spans="1:66" x14ac:dyDescent="0.25">
      <c r="A3596" t="str">
        <f>HYPERLINK("https://elite.finviz.com/quote.ashx?t=PCH&amp;ty=c&amp;p=d&amp;b=1", "PCH")</f>
        <v>PCH</v>
      </c>
      <c r="B3596">
        <v>4</v>
      </c>
      <c r="C3596">
        <v>105.92</v>
      </c>
      <c r="D3596">
        <v>40.79</v>
      </c>
      <c r="E3596" t="s">
        <v>29804</v>
      </c>
      <c r="F3596" t="s">
        <v>67</v>
      </c>
      <c r="G3596" t="s">
        <v>68</v>
      </c>
      <c r="H3596" t="s">
        <v>7227</v>
      </c>
      <c r="I3596" t="s">
        <v>70</v>
      </c>
      <c r="J3596" t="s">
        <v>321</v>
      </c>
      <c r="K3596">
        <v>3071.37</v>
      </c>
      <c r="L3596">
        <v>39.74</v>
      </c>
      <c r="M3596" t="s">
        <v>5577</v>
      </c>
      <c r="N3596">
        <v>68015</v>
      </c>
      <c r="O3596">
        <v>75.34</v>
      </c>
      <c r="P3596">
        <v>37.33</v>
      </c>
      <c r="Q3596">
        <v>1.1000000000000001</v>
      </c>
      <c r="R3596">
        <v>2.91</v>
      </c>
      <c r="S3596">
        <v>1.6</v>
      </c>
      <c r="T3596" t="s">
        <v>169</v>
      </c>
      <c r="U3596">
        <v>1.35</v>
      </c>
      <c r="V3596" t="s">
        <v>3833</v>
      </c>
      <c r="W3596" t="s">
        <v>164</v>
      </c>
      <c r="X3596" t="s">
        <v>1776</v>
      </c>
      <c r="Y3596" t="s">
        <v>4839</v>
      </c>
      <c r="Z3596" t="s">
        <v>29805</v>
      </c>
      <c r="AA3596">
        <v>0.53</v>
      </c>
      <c r="AB3596" t="s">
        <v>25686</v>
      </c>
      <c r="AC3596" t="s">
        <v>2578</v>
      </c>
      <c r="AD3596" t="s">
        <v>11708</v>
      </c>
      <c r="AE3596" t="s">
        <v>4312</v>
      </c>
      <c r="AF3596" t="s">
        <v>7347</v>
      </c>
      <c r="AG3596" t="s">
        <v>6404</v>
      </c>
      <c r="AH3596" t="s">
        <v>8252</v>
      </c>
      <c r="AI3596" t="s">
        <v>14529</v>
      </c>
      <c r="AJ3596" t="s">
        <v>164</v>
      </c>
      <c r="AK3596" t="s">
        <v>29806</v>
      </c>
      <c r="AL3596">
        <v>1.1299999999999999</v>
      </c>
      <c r="AM3596">
        <v>0.75</v>
      </c>
      <c r="AN3596">
        <v>0.55000000000000004</v>
      </c>
      <c r="AO3596" t="s">
        <v>5743</v>
      </c>
      <c r="AP3596" t="s">
        <v>4254</v>
      </c>
      <c r="AQ3596" t="s">
        <v>4125</v>
      </c>
      <c r="AR3596" t="s">
        <v>2876</v>
      </c>
      <c r="AS3596" t="s">
        <v>4839</v>
      </c>
      <c r="AT3596" t="s">
        <v>6130</v>
      </c>
      <c r="AU3596" t="s">
        <v>4404</v>
      </c>
      <c r="AV3596" t="s">
        <v>5101</v>
      </c>
      <c r="AW3596" t="s">
        <v>17719</v>
      </c>
      <c r="AX3596" t="s">
        <v>3494</v>
      </c>
      <c r="AY3596" t="s">
        <v>3515</v>
      </c>
      <c r="AZ3596" t="s">
        <v>3837</v>
      </c>
      <c r="BA3596">
        <v>1.1200000000000001</v>
      </c>
      <c r="BB3596">
        <v>559.48</v>
      </c>
      <c r="BC3596">
        <v>0.43</v>
      </c>
      <c r="BD3596">
        <v>39.340000000000003</v>
      </c>
      <c r="BE3596">
        <v>39.76</v>
      </c>
      <c r="BF3596">
        <v>39.31</v>
      </c>
      <c r="BG3596" t="s">
        <v>29807</v>
      </c>
      <c r="BH3596" t="s">
        <v>1878</v>
      </c>
      <c r="BI3596" t="s">
        <v>29808</v>
      </c>
      <c r="BJ3596" t="s">
        <v>101</v>
      </c>
      <c r="BK3596" t="s">
        <v>633</v>
      </c>
      <c r="BL3596" t="s">
        <v>2248</v>
      </c>
      <c r="BM3596" t="s">
        <v>10726</v>
      </c>
      <c r="BN3596" t="s">
        <v>27621</v>
      </c>
    </row>
    <row r="3597" spans="1:66" x14ac:dyDescent="0.25">
      <c r="A3597" t="str">
        <f>HYPERLINK("https://elite.finviz.com/quote.ashx?t=BATRA&amp;ty=c&amp;p=d&amp;b=1", "BATRA")</f>
        <v>BATRA</v>
      </c>
      <c r="B3597">
        <v>4</v>
      </c>
      <c r="C3597">
        <v>105.92</v>
      </c>
      <c r="D3597">
        <v>40.79</v>
      </c>
      <c r="E3597" t="s">
        <v>27944</v>
      </c>
      <c r="F3597" t="s">
        <v>67</v>
      </c>
      <c r="G3597" t="s">
        <v>598</v>
      </c>
      <c r="H3597" t="s">
        <v>4247</v>
      </c>
      <c r="I3597" t="s">
        <v>70</v>
      </c>
      <c r="J3597" t="s">
        <v>321</v>
      </c>
      <c r="K3597">
        <v>2568.88</v>
      </c>
      <c r="L3597">
        <v>45.27</v>
      </c>
      <c r="M3597" t="s">
        <v>6194</v>
      </c>
      <c r="N3597">
        <v>6773</v>
      </c>
      <c r="R3597">
        <v>3.66</v>
      </c>
      <c r="S3597">
        <v>5.43</v>
      </c>
      <c r="AA3597">
        <v>-0.34</v>
      </c>
      <c r="AB3597" t="s">
        <v>23970</v>
      </c>
      <c r="AD3597" t="s">
        <v>12857</v>
      </c>
      <c r="AE3597" t="s">
        <v>291</v>
      </c>
      <c r="AF3597" t="s">
        <v>1871</v>
      </c>
      <c r="AH3597" t="s">
        <v>1110</v>
      </c>
      <c r="AI3597" t="s">
        <v>7220</v>
      </c>
      <c r="AJ3597" t="s">
        <v>3388</v>
      </c>
      <c r="AK3597" t="s">
        <v>7760</v>
      </c>
      <c r="AL3597">
        <v>0.64</v>
      </c>
      <c r="AM3597">
        <v>0.64</v>
      </c>
      <c r="AN3597">
        <v>1.54</v>
      </c>
      <c r="AO3597" t="s">
        <v>10359</v>
      </c>
      <c r="AP3597" t="s">
        <v>2723</v>
      </c>
      <c r="AQ3597" t="s">
        <v>900</v>
      </c>
      <c r="AR3597" t="s">
        <v>9136</v>
      </c>
      <c r="AS3597" t="s">
        <v>7338</v>
      </c>
      <c r="AT3597" t="s">
        <v>4828</v>
      </c>
      <c r="AU3597" t="s">
        <v>608</v>
      </c>
      <c r="AV3597" t="s">
        <v>909</v>
      </c>
      <c r="AW3597" t="s">
        <v>7956</v>
      </c>
      <c r="AX3597" t="s">
        <v>3463</v>
      </c>
      <c r="AY3597" t="s">
        <v>3975</v>
      </c>
      <c r="AZ3597" t="s">
        <v>10763</v>
      </c>
      <c r="BA3597">
        <v>1.5</v>
      </c>
      <c r="BB3597">
        <v>49.99</v>
      </c>
      <c r="BC3597">
        <v>0.48</v>
      </c>
      <c r="BD3597">
        <v>45.51</v>
      </c>
      <c r="BE3597">
        <v>45.6</v>
      </c>
      <c r="BF3597">
        <v>45.3</v>
      </c>
      <c r="BG3597" t="s">
        <v>29809</v>
      </c>
      <c r="BH3597" t="s">
        <v>4654</v>
      </c>
      <c r="BI3597" t="s">
        <v>18230</v>
      </c>
      <c r="BJ3597" t="s">
        <v>101</v>
      </c>
      <c r="BK3597" t="s">
        <v>13780</v>
      </c>
      <c r="BL3597" t="s">
        <v>4865</v>
      </c>
      <c r="BM3597" t="s">
        <v>7090</v>
      </c>
      <c r="BN3597" t="s">
        <v>27621</v>
      </c>
    </row>
    <row r="3598" spans="1:66" x14ac:dyDescent="0.25">
      <c r="A3598" t="str">
        <f>HYPERLINK("https://elite.finviz.com/quote.ashx?t=CLH&amp;ty=c&amp;p=d&amp;b=1", "CLH")</f>
        <v>CLH</v>
      </c>
      <c r="B3598">
        <v>4</v>
      </c>
      <c r="C3598">
        <v>105.92</v>
      </c>
      <c r="D3598">
        <v>40.82</v>
      </c>
      <c r="E3598" t="s">
        <v>29810</v>
      </c>
      <c r="F3598" t="s">
        <v>107</v>
      </c>
      <c r="G3598" t="s">
        <v>260</v>
      </c>
      <c r="H3598" t="s">
        <v>1573</v>
      </c>
      <c r="I3598" t="s">
        <v>70</v>
      </c>
      <c r="J3598" t="s">
        <v>71</v>
      </c>
      <c r="K3598">
        <v>12450.07</v>
      </c>
      <c r="L3598">
        <v>232.14</v>
      </c>
      <c r="M3598" t="s">
        <v>183</v>
      </c>
      <c r="N3598">
        <v>56616</v>
      </c>
      <c r="O3598">
        <v>32.6</v>
      </c>
      <c r="P3598">
        <v>25.73</v>
      </c>
      <c r="Q3598">
        <v>2.23</v>
      </c>
      <c r="R3598">
        <v>2.1</v>
      </c>
      <c r="S3598">
        <v>4.59</v>
      </c>
      <c r="Z3598" t="s">
        <v>164</v>
      </c>
      <c r="AA3598">
        <v>7.12</v>
      </c>
      <c r="AB3598" t="s">
        <v>3397</v>
      </c>
      <c r="AC3598" t="s">
        <v>7409</v>
      </c>
      <c r="AD3598" t="s">
        <v>11140</v>
      </c>
      <c r="AE3598" t="s">
        <v>5859</v>
      </c>
      <c r="AF3598" t="s">
        <v>15391</v>
      </c>
      <c r="AG3598" t="s">
        <v>7510</v>
      </c>
      <c r="AH3598" t="s">
        <v>2906</v>
      </c>
      <c r="AI3598" t="s">
        <v>8402</v>
      </c>
      <c r="AJ3598" t="s">
        <v>5913</v>
      </c>
      <c r="AK3598" t="s">
        <v>11154</v>
      </c>
      <c r="AL3598">
        <v>2.4500000000000002</v>
      </c>
      <c r="AM3598">
        <v>2.0699999999999998</v>
      </c>
      <c r="AN3598">
        <v>1.1200000000000001</v>
      </c>
      <c r="AO3598" t="s">
        <v>24527</v>
      </c>
      <c r="AP3598" t="s">
        <v>602</v>
      </c>
      <c r="AQ3598" t="s">
        <v>2398</v>
      </c>
      <c r="AR3598" t="s">
        <v>3257</v>
      </c>
      <c r="AS3598" t="s">
        <v>910</v>
      </c>
      <c r="AT3598" t="s">
        <v>1444</v>
      </c>
      <c r="AU3598" t="s">
        <v>7193</v>
      </c>
      <c r="AV3598" t="s">
        <v>2743</v>
      </c>
      <c r="AW3598" t="s">
        <v>6436</v>
      </c>
      <c r="AX3598" t="s">
        <v>3506</v>
      </c>
      <c r="AY3598" t="s">
        <v>8048</v>
      </c>
      <c r="AZ3598" t="s">
        <v>12682</v>
      </c>
      <c r="BA3598">
        <v>1.69</v>
      </c>
      <c r="BB3598">
        <v>378.08</v>
      </c>
      <c r="BC3598">
        <v>0.53</v>
      </c>
      <c r="BD3598">
        <v>231.78</v>
      </c>
      <c r="BE3598">
        <v>233.99</v>
      </c>
      <c r="BF3598">
        <v>231.31</v>
      </c>
      <c r="BG3598" t="s">
        <v>29811</v>
      </c>
      <c r="BH3598" t="s">
        <v>8048</v>
      </c>
      <c r="BI3598" t="s">
        <v>29812</v>
      </c>
      <c r="BJ3598" t="s">
        <v>101</v>
      </c>
      <c r="BK3598" t="s">
        <v>149</v>
      </c>
      <c r="BL3598" t="s">
        <v>2589</v>
      </c>
      <c r="BM3598" t="s">
        <v>4921</v>
      </c>
      <c r="BN3598" t="s">
        <v>27621</v>
      </c>
    </row>
    <row r="3599" spans="1:66" x14ac:dyDescent="0.25">
      <c r="A3599" t="str">
        <f>HYPERLINK("https://elite.finviz.com/quote.ashx?t=ALSN&amp;ty=c&amp;p=d&amp;b=1", "ALSN")</f>
        <v>ALSN</v>
      </c>
      <c r="B3599">
        <v>4</v>
      </c>
      <c r="C3599">
        <v>105.92</v>
      </c>
      <c r="D3599">
        <v>40.83</v>
      </c>
      <c r="E3599" t="s">
        <v>29813</v>
      </c>
      <c r="F3599" t="s">
        <v>107</v>
      </c>
      <c r="G3599" t="s">
        <v>813</v>
      </c>
      <c r="H3599" t="s">
        <v>814</v>
      </c>
      <c r="I3599" t="s">
        <v>70</v>
      </c>
      <c r="J3599" t="s">
        <v>71</v>
      </c>
      <c r="K3599">
        <v>7181.85</v>
      </c>
      <c r="L3599">
        <v>85.89</v>
      </c>
      <c r="M3599" t="s">
        <v>1022</v>
      </c>
      <c r="N3599">
        <v>148417</v>
      </c>
      <c r="O3599">
        <v>9.75</v>
      </c>
      <c r="P3599">
        <v>9.35</v>
      </c>
      <c r="Q3599">
        <v>0.93</v>
      </c>
      <c r="R3599">
        <v>2.2400000000000002</v>
      </c>
      <c r="S3599">
        <v>4.0999999999999996</v>
      </c>
      <c r="T3599" t="s">
        <v>3350</v>
      </c>
      <c r="U3599">
        <v>1.06</v>
      </c>
      <c r="V3599" t="s">
        <v>5737</v>
      </c>
      <c r="W3599" t="s">
        <v>9159</v>
      </c>
      <c r="X3599" t="s">
        <v>2605</v>
      </c>
      <c r="Y3599" t="s">
        <v>10073</v>
      </c>
      <c r="Z3599" t="s">
        <v>13322</v>
      </c>
      <c r="AA3599">
        <v>8.81</v>
      </c>
      <c r="AB3599" t="s">
        <v>6439</v>
      </c>
      <c r="AC3599" t="s">
        <v>1395</v>
      </c>
      <c r="AD3599" t="s">
        <v>3368</v>
      </c>
      <c r="AE3599" t="s">
        <v>648</v>
      </c>
      <c r="AF3599" t="s">
        <v>3526</v>
      </c>
      <c r="AG3599" t="s">
        <v>3613</v>
      </c>
      <c r="AH3599" t="s">
        <v>4538</v>
      </c>
      <c r="AI3599" t="s">
        <v>4324</v>
      </c>
      <c r="AJ3599" t="s">
        <v>6127</v>
      </c>
      <c r="AK3599" t="s">
        <v>22103</v>
      </c>
      <c r="AL3599">
        <v>3.36</v>
      </c>
      <c r="AM3599">
        <v>2.64</v>
      </c>
      <c r="AN3599">
        <v>1.38</v>
      </c>
      <c r="AO3599" t="s">
        <v>18986</v>
      </c>
      <c r="AP3599" t="s">
        <v>8883</v>
      </c>
      <c r="AQ3599" t="s">
        <v>1472</v>
      </c>
      <c r="AR3599" t="s">
        <v>1129</v>
      </c>
      <c r="AS3599" t="s">
        <v>212</v>
      </c>
      <c r="AT3599" t="s">
        <v>17603</v>
      </c>
      <c r="AU3599" t="s">
        <v>2978</v>
      </c>
      <c r="AV3599" t="s">
        <v>15304</v>
      </c>
      <c r="AW3599" t="s">
        <v>1892</v>
      </c>
      <c r="AX3599" t="s">
        <v>2619</v>
      </c>
      <c r="AY3599" t="s">
        <v>16200</v>
      </c>
      <c r="AZ3599" t="s">
        <v>5025</v>
      </c>
      <c r="BA3599">
        <v>2.5</v>
      </c>
      <c r="BB3599">
        <v>954.65</v>
      </c>
      <c r="BC3599">
        <v>0.55000000000000004</v>
      </c>
      <c r="BD3599">
        <v>85.33</v>
      </c>
      <c r="BE3599">
        <v>86.37</v>
      </c>
      <c r="BF3599">
        <v>85.71</v>
      </c>
      <c r="BG3599" t="s">
        <v>29814</v>
      </c>
      <c r="BH3599" t="s">
        <v>16200</v>
      </c>
      <c r="BI3599" t="s">
        <v>29815</v>
      </c>
      <c r="BJ3599" t="s">
        <v>101</v>
      </c>
      <c r="BK3599" t="s">
        <v>7439</v>
      </c>
      <c r="BL3599" t="s">
        <v>3700</v>
      </c>
      <c r="BM3599" t="s">
        <v>15221</v>
      </c>
      <c r="BN3599" t="s">
        <v>27621</v>
      </c>
    </row>
    <row r="3600" spans="1:66" x14ac:dyDescent="0.25">
      <c r="A3600" t="str">
        <f>HYPERLINK("https://elite.finviz.com/quote.ashx?t=CON&amp;ty=c&amp;p=d&amp;b=1", "CON")</f>
        <v>CON</v>
      </c>
      <c r="B3600">
        <v>4</v>
      </c>
      <c r="C3600">
        <v>105.92</v>
      </c>
      <c r="D3600">
        <v>40.83</v>
      </c>
      <c r="E3600" t="s">
        <v>29816</v>
      </c>
      <c r="F3600" t="s">
        <v>67</v>
      </c>
      <c r="G3600" t="s">
        <v>428</v>
      </c>
      <c r="H3600" t="s">
        <v>3160</v>
      </c>
      <c r="I3600" t="s">
        <v>70</v>
      </c>
      <c r="J3600" t="s">
        <v>71</v>
      </c>
      <c r="K3600">
        <v>2676.21</v>
      </c>
      <c r="L3600">
        <v>20.88</v>
      </c>
      <c r="M3600" t="s">
        <v>3024</v>
      </c>
      <c r="N3600">
        <v>196507</v>
      </c>
      <c r="O3600">
        <v>17.899999999999999</v>
      </c>
      <c r="P3600">
        <v>13.43</v>
      </c>
      <c r="Q3600">
        <v>2.85</v>
      </c>
      <c r="R3600">
        <v>1.33</v>
      </c>
      <c r="S3600">
        <v>7.81</v>
      </c>
      <c r="T3600" t="s">
        <v>3493</v>
      </c>
      <c r="U3600">
        <v>0.25</v>
      </c>
      <c r="V3600" t="s">
        <v>5037</v>
      </c>
      <c r="Z3600" t="s">
        <v>121</v>
      </c>
      <c r="AA3600">
        <v>1.17</v>
      </c>
      <c r="AB3600" t="s">
        <v>11153</v>
      </c>
      <c r="AD3600" t="s">
        <v>336</v>
      </c>
      <c r="AF3600" t="s">
        <v>911</v>
      </c>
      <c r="AH3600" t="s">
        <v>4640</v>
      </c>
      <c r="AI3600" t="s">
        <v>2086</v>
      </c>
      <c r="AJ3600" t="s">
        <v>164</v>
      </c>
      <c r="AK3600" t="s">
        <v>23486</v>
      </c>
      <c r="AL3600">
        <v>1.18</v>
      </c>
      <c r="AM3600">
        <v>1.18</v>
      </c>
      <c r="AN3600">
        <v>6.36</v>
      </c>
      <c r="AO3600" t="s">
        <v>5727</v>
      </c>
      <c r="AP3600" t="s">
        <v>2883</v>
      </c>
      <c r="AQ3600" t="s">
        <v>699</v>
      </c>
      <c r="AR3600" t="s">
        <v>1768</v>
      </c>
      <c r="AS3600" t="s">
        <v>2892</v>
      </c>
      <c r="AT3600" t="s">
        <v>4274</v>
      </c>
      <c r="AU3600" t="s">
        <v>5356</v>
      </c>
      <c r="AV3600" t="s">
        <v>4316</v>
      </c>
      <c r="AW3600" t="s">
        <v>5507</v>
      </c>
      <c r="AX3600" t="s">
        <v>6348</v>
      </c>
      <c r="AY3600" t="s">
        <v>27350</v>
      </c>
      <c r="AZ3600" t="s">
        <v>11544</v>
      </c>
      <c r="BA3600">
        <v>1</v>
      </c>
      <c r="BB3600">
        <v>982.86</v>
      </c>
      <c r="BC3600">
        <v>0.7</v>
      </c>
      <c r="BD3600">
        <v>20.58</v>
      </c>
      <c r="BE3600">
        <v>20.88</v>
      </c>
      <c r="BF3600">
        <v>20.59</v>
      </c>
      <c r="BG3600" t="s">
        <v>29817</v>
      </c>
      <c r="BH3600" t="s">
        <v>12607</v>
      </c>
      <c r="BI3600" t="s">
        <v>11544</v>
      </c>
      <c r="BJ3600" t="s">
        <v>101</v>
      </c>
      <c r="BK3600" t="s">
        <v>6449</v>
      </c>
      <c r="BL3600" t="s">
        <v>2304</v>
      </c>
      <c r="BM3600" t="s">
        <v>9955</v>
      </c>
      <c r="BN3600" t="s">
        <v>27621</v>
      </c>
    </row>
    <row r="3601" spans="1:66" x14ac:dyDescent="0.25">
      <c r="A3601" t="str">
        <f>HYPERLINK("https://elite.finviz.com/quote.ashx?t=LOVE&amp;ty=c&amp;p=d&amp;b=1", "LOVE")</f>
        <v>LOVE</v>
      </c>
      <c r="B3601">
        <v>4</v>
      </c>
      <c r="C3601">
        <v>105.92</v>
      </c>
      <c r="D3601">
        <v>40.869999999999997</v>
      </c>
      <c r="E3601" t="s">
        <v>29818</v>
      </c>
      <c r="F3601" t="s">
        <v>67</v>
      </c>
      <c r="G3601" t="s">
        <v>813</v>
      </c>
      <c r="H3601" t="s">
        <v>3866</v>
      </c>
      <c r="I3601" t="s">
        <v>70</v>
      </c>
      <c r="J3601" t="s">
        <v>321</v>
      </c>
      <c r="K3601">
        <v>252.61</v>
      </c>
      <c r="L3601">
        <v>17.29</v>
      </c>
      <c r="M3601" t="s">
        <v>8789</v>
      </c>
      <c r="N3601">
        <v>83138</v>
      </c>
      <c r="O3601">
        <v>27.74</v>
      </c>
      <c r="P3601">
        <v>14.47</v>
      </c>
      <c r="Q3601">
        <v>0.8</v>
      </c>
      <c r="R3601">
        <v>0.37</v>
      </c>
      <c r="S3601">
        <v>1.28</v>
      </c>
      <c r="Z3601" t="s">
        <v>164</v>
      </c>
      <c r="AA3601">
        <v>0.62</v>
      </c>
      <c r="AB3601" t="s">
        <v>29819</v>
      </c>
      <c r="AD3601" t="s">
        <v>9898</v>
      </c>
      <c r="AE3601" t="s">
        <v>5777</v>
      </c>
      <c r="AF3601" t="s">
        <v>602</v>
      </c>
      <c r="AG3601" t="s">
        <v>13432</v>
      </c>
      <c r="AH3601" t="s">
        <v>715</v>
      </c>
      <c r="AI3601" t="s">
        <v>7763</v>
      </c>
      <c r="AJ3601" t="s">
        <v>2560</v>
      </c>
      <c r="AK3601" t="s">
        <v>17174</v>
      </c>
      <c r="AL3601">
        <v>1.52</v>
      </c>
      <c r="AM3601">
        <v>0.53</v>
      </c>
      <c r="AN3601">
        <v>0.98</v>
      </c>
      <c r="AO3601" t="s">
        <v>5644</v>
      </c>
      <c r="AP3601" t="s">
        <v>1560</v>
      </c>
      <c r="AQ3601" t="s">
        <v>5071</v>
      </c>
      <c r="AR3601" t="s">
        <v>4658</v>
      </c>
      <c r="AS3601" t="s">
        <v>247</v>
      </c>
      <c r="AT3601" t="s">
        <v>5857</v>
      </c>
      <c r="AU3601" t="s">
        <v>2335</v>
      </c>
      <c r="AV3601" t="s">
        <v>20586</v>
      </c>
      <c r="AW3601" t="s">
        <v>6649</v>
      </c>
      <c r="AX3601" t="s">
        <v>316</v>
      </c>
      <c r="AY3601" t="s">
        <v>27627</v>
      </c>
      <c r="AZ3601" t="s">
        <v>23493</v>
      </c>
      <c r="BA3601">
        <v>1</v>
      </c>
      <c r="BB3601">
        <v>323.16000000000003</v>
      </c>
      <c r="BC3601">
        <v>0.91</v>
      </c>
      <c r="BD3601">
        <v>17.53</v>
      </c>
      <c r="BE3601">
        <v>17.72</v>
      </c>
      <c r="BF3601">
        <v>17.21</v>
      </c>
      <c r="BG3601" t="s">
        <v>29820</v>
      </c>
      <c r="BH3601" t="s">
        <v>29821</v>
      </c>
      <c r="BI3601" t="s">
        <v>29822</v>
      </c>
      <c r="BJ3601" t="s">
        <v>101</v>
      </c>
      <c r="BK3601" t="s">
        <v>6157</v>
      </c>
      <c r="BL3601" t="s">
        <v>5573</v>
      </c>
      <c r="BM3601" t="s">
        <v>29378</v>
      </c>
      <c r="BN3601" t="s">
        <v>27621</v>
      </c>
    </row>
    <row r="3602" spans="1:66" x14ac:dyDescent="0.25">
      <c r="A3602" t="str">
        <f>HYPERLINK("https://elite.finviz.com/quote.ashx?t=MAGN&amp;ty=c&amp;p=d&amp;b=1", "MAGN")</f>
        <v>MAGN</v>
      </c>
      <c r="B3602">
        <v>4</v>
      </c>
      <c r="C3602">
        <v>105.92</v>
      </c>
      <c r="D3602">
        <v>40.89</v>
      </c>
      <c r="E3602" t="s">
        <v>29823</v>
      </c>
      <c r="F3602" t="s">
        <v>67</v>
      </c>
      <c r="G3602" t="s">
        <v>355</v>
      </c>
      <c r="H3602" t="s">
        <v>29824</v>
      </c>
      <c r="I3602" t="s">
        <v>70</v>
      </c>
      <c r="J3602" t="s">
        <v>71</v>
      </c>
      <c r="K3602">
        <v>390</v>
      </c>
      <c r="L3602">
        <v>10.95</v>
      </c>
      <c r="M3602" t="s">
        <v>3545</v>
      </c>
      <c r="N3602">
        <v>143680</v>
      </c>
      <c r="R3602">
        <v>0.3</v>
      </c>
      <c r="S3602">
        <v>0.34</v>
      </c>
      <c r="AA3602">
        <v>-19.11</v>
      </c>
      <c r="AC3602" t="s">
        <v>9110</v>
      </c>
      <c r="AE3602" t="s">
        <v>16335</v>
      </c>
      <c r="AF3602" t="s">
        <v>7724</v>
      </c>
      <c r="AG3602" t="s">
        <v>2877</v>
      </c>
      <c r="AH3602" t="s">
        <v>8108</v>
      </c>
      <c r="AI3602" t="s">
        <v>29825</v>
      </c>
      <c r="AJ3602" t="s">
        <v>6573</v>
      </c>
      <c r="AK3602" t="s">
        <v>22164</v>
      </c>
      <c r="AL3602">
        <v>2.54</v>
      </c>
      <c r="AM3602">
        <v>1.62</v>
      </c>
      <c r="AN3602">
        <v>1.83</v>
      </c>
      <c r="AO3602" t="s">
        <v>11544</v>
      </c>
      <c r="AP3602" t="s">
        <v>307</v>
      </c>
      <c r="AQ3602" t="s">
        <v>7165</v>
      </c>
      <c r="AR3602" t="s">
        <v>5467</v>
      </c>
      <c r="AS3602" t="s">
        <v>6475</v>
      </c>
      <c r="AT3602" t="s">
        <v>308</v>
      </c>
      <c r="AU3602" t="s">
        <v>21990</v>
      </c>
      <c r="AV3602" t="s">
        <v>8742</v>
      </c>
      <c r="AW3602" t="s">
        <v>29713</v>
      </c>
      <c r="AX3602" t="s">
        <v>8460</v>
      </c>
      <c r="AY3602" t="s">
        <v>23187</v>
      </c>
      <c r="AZ3602" t="s">
        <v>8460</v>
      </c>
      <c r="BA3602">
        <v>3</v>
      </c>
      <c r="BB3602">
        <v>713.31</v>
      </c>
      <c r="BC3602">
        <v>0.71</v>
      </c>
      <c r="BD3602">
        <v>10.45</v>
      </c>
      <c r="BE3602">
        <v>10.96</v>
      </c>
      <c r="BF3602">
        <v>10.51</v>
      </c>
      <c r="BG3602" t="s">
        <v>29826</v>
      </c>
      <c r="BH3602" t="s">
        <v>29827</v>
      </c>
      <c r="BI3602" t="s">
        <v>8460</v>
      </c>
      <c r="BJ3602" t="s">
        <v>101</v>
      </c>
      <c r="BK3602" t="s">
        <v>4464</v>
      </c>
      <c r="BL3602" t="s">
        <v>21399</v>
      </c>
      <c r="BM3602" t="s">
        <v>14299</v>
      </c>
      <c r="BN3602" t="s">
        <v>27621</v>
      </c>
    </row>
    <row r="3603" spans="1:66" x14ac:dyDescent="0.25">
      <c r="A3603" t="str">
        <f>HYPERLINK("https://elite.finviz.com/quote.ashx?t=FINS&amp;ty=c&amp;p=d&amp;b=1", "FINS")</f>
        <v>FINS</v>
      </c>
      <c r="B3603">
        <v>4</v>
      </c>
      <c r="C3603">
        <v>105.92</v>
      </c>
      <c r="D3603">
        <v>40.909999999999997</v>
      </c>
      <c r="E3603" t="s">
        <v>29828</v>
      </c>
      <c r="F3603" t="s">
        <v>107</v>
      </c>
      <c r="G3603" t="s">
        <v>550</v>
      </c>
      <c r="H3603" t="s">
        <v>2597</v>
      </c>
      <c r="I3603" t="s">
        <v>70</v>
      </c>
      <c r="J3603" t="s">
        <v>71</v>
      </c>
      <c r="K3603">
        <v>436.48</v>
      </c>
      <c r="L3603">
        <v>13.06</v>
      </c>
      <c r="M3603" t="s">
        <v>2745</v>
      </c>
      <c r="N3603">
        <v>3283</v>
      </c>
      <c r="O3603">
        <v>8.27</v>
      </c>
      <c r="R3603">
        <v>13.73</v>
      </c>
      <c r="S3603">
        <v>0.93</v>
      </c>
      <c r="T3603" t="s">
        <v>5404</v>
      </c>
      <c r="U3603">
        <v>1.32</v>
      </c>
      <c r="V3603" t="s">
        <v>5925</v>
      </c>
      <c r="W3603" t="s">
        <v>8365</v>
      </c>
      <c r="X3603" t="s">
        <v>698</v>
      </c>
      <c r="Y3603" t="s">
        <v>3186</v>
      </c>
      <c r="AA3603">
        <v>1.58</v>
      </c>
      <c r="AH3603" t="s">
        <v>600</v>
      </c>
      <c r="AJ3603" t="s">
        <v>2424</v>
      </c>
      <c r="AK3603" t="s">
        <v>8868</v>
      </c>
      <c r="AR3603" t="s">
        <v>3552</v>
      </c>
      <c r="AS3603" t="s">
        <v>5577</v>
      </c>
      <c r="AT3603" t="s">
        <v>8789</v>
      </c>
      <c r="AU3603" t="s">
        <v>4086</v>
      </c>
      <c r="AV3603" t="s">
        <v>1714</v>
      </c>
      <c r="AW3603" t="s">
        <v>1727</v>
      </c>
      <c r="AX3603" t="s">
        <v>2720</v>
      </c>
      <c r="AY3603" t="s">
        <v>11675</v>
      </c>
      <c r="AZ3603" t="s">
        <v>12450</v>
      </c>
      <c r="BB3603">
        <v>54.63</v>
      </c>
      <c r="BC3603">
        <v>0.21</v>
      </c>
      <c r="BD3603">
        <v>13.07</v>
      </c>
      <c r="BE3603">
        <v>13.11</v>
      </c>
      <c r="BF3603">
        <v>13.06</v>
      </c>
      <c r="BG3603" t="s">
        <v>29829</v>
      </c>
      <c r="BH3603" t="s">
        <v>25471</v>
      </c>
      <c r="BI3603" t="s">
        <v>2337</v>
      </c>
      <c r="BJ3603" t="s">
        <v>101</v>
      </c>
      <c r="BK3603" t="s">
        <v>4801</v>
      </c>
      <c r="BL3603" t="s">
        <v>1727</v>
      </c>
      <c r="BM3603" t="s">
        <v>2856</v>
      </c>
      <c r="BN3603" t="s">
        <v>27621</v>
      </c>
    </row>
    <row r="3604" spans="1:66" x14ac:dyDescent="0.25">
      <c r="A3604" t="str">
        <f>HYPERLINK("https://elite.finviz.com/quote.ashx?t=WKSP&amp;ty=c&amp;p=d&amp;b=1", "WKSP")</f>
        <v>WKSP</v>
      </c>
      <c r="B3604">
        <v>4</v>
      </c>
      <c r="C3604">
        <v>105.92</v>
      </c>
      <c r="D3604">
        <v>40.93</v>
      </c>
      <c r="E3604" t="s">
        <v>29830</v>
      </c>
      <c r="F3604" t="s">
        <v>107</v>
      </c>
      <c r="G3604" t="s">
        <v>813</v>
      </c>
      <c r="H3604" t="s">
        <v>814</v>
      </c>
      <c r="I3604" t="s">
        <v>70</v>
      </c>
      <c r="J3604" t="s">
        <v>321</v>
      </c>
      <c r="K3604">
        <v>20.29</v>
      </c>
      <c r="L3604">
        <v>3.06</v>
      </c>
      <c r="M3604" t="s">
        <v>4828</v>
      </c>
      <c r="N3604">
        <v>142236</v>
      </c>
      <c r="R3604">
        <v>1.64</v>
      </c>
      <c r="S3604">
        <v>0.97</v>
      </c>
      <c r="AA3604">
        <v>-4.3499999999999996</v>
      </c>
      <c r="AB3604" t="s">
        <v>3981</v>
      </c>
      <c r="AC3604" t="s">
        <v>18686</v>
      </c>
      <c r="AE3604" t="s">
        <v>29831</v>
      </c>
      <c r="AF3604" t="s">
        <v>29832</v>
      </c>
      <c r="AG3604" t="s">
        <v>13231</v>
      </c>
      <c r="AH3604" t="s">
        <v>17315</v>
      </c>
      <c r="AI3604" t="s">
        <v>3734</v>
      </c>
      <c r="AJ3604" t="s">
        <v>164</v>
      </c>
      <c r="AK3604" t="s">
        <v>3601</v>
      </c>
      <c r="AL3604">
        <v>2.27</v>
      </c>
      <c r="AM3604">
        <v>0.7</v>
      </c>
      <c r="AN3604">
        <v>0.18</v>
      </c>
      <c r="AO3604" t="s">
        <v>949</v>
      </c>
      <c r="AP3604" t="s">
        <v>29833</v>
      </c>
      <c r="AQ3604" t="s">
        <v>29834</v>
      </c>
      <c r="AR3604" t="s">
        <v>10132</v>
      </c>
      <c r="AS3604" t="s">
        <v>9841</v>
      </c>
      <c r="AT3604" t="s">
        <v>1851</v>
      </c>
      <c r="AU3604" t="s">
        <v>8910</v>
      </c>
      <c r="AV3604" t="s">
        <v>14957</v>
      </c>
      <c r="AW3604" t="s">
        <v>4102</v>
      </c>
      <c r="AX3604" t="s">
        <v>9300</v>
      </c>
      <c r="AY3604" t="s">
        <v>27362</v>
      </c>
      <c r="AZ3604" t="s">
        <v>5754</v>
      </c>
      <c r="BA3604">
        <v>1</v>
      </c>
      <c r="BB3604">
        <v>417.42</v>
      </c>
      <c r="BC3604">
        <v>1.2</v>
      </c>
      <c r="BD3604">
        <v>3.09</v>
      </c>
      <c r="BE3604">
        <v>3.15</v>
      </c>
      <c r="BF3604">
        <v>3.05</v>
      </c>
      <c r="BG3604" t="s">
        <v>29835</v>
      </c>
      <c r="BH3604" t="s">
        <v>446</v>
      </c>
      <c r="BI3604" t="s">
        <v>29836</v>
      </c>
      <c r="BJ3604" t="s">
        <v>101</v>
      </c>
      <c r="BK3604" t="s">
        <v>2146</v>
      </c>
      <c r="BL3604" t="s">
        <v>6227</v>
      </c>
      <c r="BM3604" t="s">
        <v>28210</v>
      </c>
      <c r="BN3604" t="s">
        <v>27621</v>
      </c>
    </row>
    <row r="3605" spans="1:66" x14ac:dyDescent="0.25">
      <c r="A3605" t="str">
        <f>HYPERLINK("https://elite.finviz.com/quote.ashx?t=AHT&amp;ty=c&amp;p=d&amp;b=1", "AHT")</f>
        <v>AHT</v>
      </c>
      <c r="B3605">
        <v>4</v>
      </c>
      <c r="C3605">
        <v>105.92</v>
      </c>
      <c r="D3605">
        <v>40.950000000000003</v>
      </c>
      <c r="E3605" t="s">
        <v>29837</v>
      </c>
      <c r="F3605" t="s">
        <v>107</v>
      </c>
      <c r="G3605" t="s">
        <v>68</v>
      </c>
      <c r="H3605" t="s">
        <v>4145</v>
      </c>
      <c r="I3605" t="s">
        <v>70</v>
      </c>
      <c r="J3605" t="s">
        <v>71</v>
      </c>
      <c r="K3605">
        <v>36</v>
      </c>
      <c r="L3605">
        <v>5.87</v>
      </c>
      <c r="M3605" t="s">
        <v>2144</v>
      </c>
      <c r="N3605">
        <v>7253</v>
      </c>
      <c r="R3605">
        <v>0.03</v>
      </c>
      <c r="V3605" t="s">
        <v>20461</v>
      </c>
      <c r="AA3605">
        <v>-48.02</v>
      </c>
      <c r="AB3605" t="s">
        <v>6941</v>
      </c>
      <c r="AC3605" t="s">
        <v>29838</v>
      </c>
      <c r="AE3605" t="s">
        <v>25135</v>
      </c>
      <c r="AF3605" t="s">
        <v>485</v>
      </c>
      <c r="AG3605" t="s">
        <v>18188</v>
      </c>
      <c r="AH3605" t="s">
        <v>706</v>
      </c>
      <c r="AI3605" t="s">
        <v>8125</v>
      </c>
      <c r="AJ3605" t="s">
        <v>164</v>
      </c>
      <c r="AK3605" t="s">
        <v>13016</v>
      </c>
      <c r="AL3605">
        <v>0.55000000000000004</v>
      </c>
      <c r="AM3605">
        <v>0.55000000000000004</v>
      </c>
      <c r="AO3605" t="s">
        <v>3923</v>
      </c>
      <c r="AP3605" t="s">
        <v>911</v>
      </c>
      <c r="AQ3605" t="s">
        <v>4805</v>
      </c>
      <c r="AR3605" t="s">
        <v>2941</v>
      </c>
      <c r="AS3605" t="s">
        <v>3454</v>
      </c>
      <c r="AT3605" t="s">
        <v>72</v>
      </c>
      <c r="AU3605" t="s">
        <v>4073</v>
      </c>
      <c r="AV3605" t="s">
        <v>8785</v>
      </c>
      <c r="AW3605" t="s">
        <v>3988</v>
      </c>
      <c r="AX3605" t="s">
        <v>3671</v>
      </c>
      <c r="AY3605" t="s">
        <v>29839</v>
      </c>
      <c r="AZ3605" t="s">
        <v>3798</v>
      </c>
      <c r="BA3605">
        <v>3</v>
      </c>
      <c r="BB3605">
        <v>33.53</v>
      </c>
      <c r="BC3605">
        <v>0.77</v>
      </c>
      <c r="BD3605">
        <v>5.81</v>
      </c>
      <c r="BE3605">
        <v>5.91</v>
      </c>
      <c r="BF3605">
        <v>5.81</v>
      </c>
      <c r="BG3605" t="s">
        <v>29840</v>
      </c>
      <c r="BH3605" t="s">
        <v>446</v>
      </c>
      <c r="BI3605" t="s">
        <v>3798</v>
      </c>
      <c r="BJ3605" t="s">
        <v>101</v>
      </c>
      <c r="BK3605" t="s">
        <v>1444</v>
      </c>
      <c r="BL3605" t="s">
        <v>29841</v>
      </c>
      <c r="BM3605" t="s">
        <v>29842</v>
      </c>
      <c r="BN3605" t="s">
        <v>27621</v>
      </c>
    </row>
    <row r="3606" spans="1:66" x14ac:dyDescent="0.25">
      <c r="A3606" t="str">
        <f>HYPERLINK("https://elite.finviz.com/quote.ashx?t=AZTA&amp;ty=c&amp;p=d&amp;b=1", "AZTA")</f>
        <v>AZTA</v>
      </c>
      <c r="B3606">
        <v>4</v>
      </c>
      <c r="C3606">
        <v>105.92</v>
      </c>
      <c r="D3606">
        <v>40.97</v>
      </c>
      <c r="E3606" t="s">
        <v>29843</v>
      </c>
      <c r="F3606" t="s">
        <v>67</v>
      </c>
      <c r="G3606" t="s">
        <v>428</v>
      </c>
      <c r="H3606" t="s">
        <v>2161</v>
      </c>
      <c r="I3606" t="s">
        <v>70</v>
      </c>
      <c r="J3606" t="s">
        <v>321</v>
      </c>
      <c r="K3606">
        <v>1316.51</v>
      </c>
      <c r="L3606">
        <v>28.72</v>
      </c>
      <c r="M3606" t="s">
        <v>2638</v>
      </c>
      <c r="N3606">
        <v>81213</v>
      </c>
      <c r="P3606">
        <v>37.17</v>
      </c>
      <c r="R3606">
        <v>2.1800000000000002</v>
      </c>
      <c r="S3606">
        <v>0.79</v>
      </c>
      <c r="V3606" t="s">
        <v>29844</v>
      </c>
      <c r="AA3606">
        <v>-2.4300000000000002</v>
      </c>
      <c r="AD3606" t="s">
        <v>18906</v>
      </c>
      <c r="AE3606" t="s">
        <v>3376</v>
      </c>
      <c r="AF3606" t="s">
        <v>1736</v>
      </c>
      <c r="AG3606" t="s">
        <v>17548</v>
      </c>
      <c r="AH3606" t="s">
        <v>12026</v>
      </c>
      <c r="AI3606" t="s">
        <v>8399</v>
      </c>
      <c r="AJ3606" t="s">
        <v>822</v>
      </c>
      <c r="AK3606" t="s">
        <v>8519</v>
      </c>
      <c r="AL3606">
        <v>2.76</v>
      </c>
      <c r="AM3606">
        <v>2.44</v>
      </c>
      <c r="AN3606">
        <v>0.03</v>
      </c>
      <c r="AO3606" t="s">
        <v>13111</v>
      </c>
      <c r="AP3606" t="s">
        <v>4078</v>
      </c>
      <c r="AQ3606" t="s">
        <v>15230</v>
      </c>
      <c r="AR3606" t="s">
        <v>2662</v>
      </c>
      <c r="AS3606" t="s">
        <v>3325</v>
      </c>
      <c r="AT3606" t="s">
        <v>2827</v>
      </c>
      <c r="AU3606" t="s">
        <v>10208</v>
      </c>
      <c r="AV3606" t="s">
        <v>11946</v>
      </c>
      <c r="AW3606" t="s">
        <v>19815</v>
      </c>
      <c r="AX3606" t="s">
        <v>5607</v>
      </c>
      <c r="AY3606" t="s">
        <v>27238</v>
      </c>
      <c r="AZ3606" t="s">
        <v>3663</v>
      </c>
      <c r="BA3606">
        <v>2.88</v>
      </c>
      <c r="BB3606">
        <v>752.77</v>
      </c>
      <c r="BC3606">
        <v>0.38</v>
      </c>
      <c r="BD3606">
        <v>28.75</v>
      </c>
      <c r="BE3606">
        <v>28.98</v>
      </c>
      <c r="BF3606">
        <v>28.55</v>
      </c>
      <c r="BG3606" t="s">
        <v>29845</v>
      </c>
      <c r="BH3606" t="s">
        <v>15302</v>
      </c>
      <c r="BI3606" t="s">
        <v>29846</v>
      </c>
      <c r="BJ3606" t="s">
        <v>101</v>
      </c>
      <c r="BK3606" t="s">
        <v>5748</v>
      </c>
      <c r="BL3606" t="s">
        <v>7100</v>
      </c>
      <c r="BM3606" t="s">
        <v>9538</v>
      </c>
      <c r="BN3606" t="s">
        <v>27621</v>
      </c>
    </row>
    <row r="3607" spans="1:66" x14ac:dyDescent="0.25">
      <c r="A3607" t="str">
        <f>HYPERLINK("https://elite.finviz.com/quote.ashx?t=CAC&amp;ty=c&amp;p=d&amp;b=1", "CAC")</f>
        <v>CAC</v>
      </c>
      <c r="B3607">
        <v>4</v>
      </c>
      <c r="C3607">
        <v>105.92</v>
      </c>
      <c r="D3607">
        <v>40.99</v>
      </c>
      <c r="E3607" t="s">
        <v>29847</v>
      </c>
      <c r="F3607" t="s">
        <v>67</v>
      </c>
      <c r="G3607" t="s">
        <v>550</v>
      </c>
      <c r="H3607" t="s">
        <v>697</v>
      </c>
      <c r="I3607" t="s">
        <v>70</v>
      </c>
      <c r="J3607" t="s">
        <v>321</v>
      </c>
      <c r="K3607">
        <v>656.65</v>
      </c>
      <c r="L3607">
        <v>38.81</v>
      </c>
      <c r="M3607" t="s">
        <v>337</v>
      </c>
      <c r="N3607">
        <v>6212</v>
      </c>
      <c r="O3607">
        <v>12.3</v>
      </c>
      <c r="P3607">
        <v>7.6</v>
      </c>
      <c r="R3607">
        <v>1.98</v>
      </c>
      <c r="S3607">
        <v>1.01</v>
      </c>
      <c r="T3607" t="s">
        <v>5497</v>
      </c>
      <c r="U3607">
        <v>1.68</v>
      </c>
      <c r="V3607" t="s">
        <v>7944</v>
      </c>
      <c r="W3607" t="s">
        <v>164</v>
      </c>
      <c r="X3607" t="s">
        <v>3443</v>
      </c>
      <c r="Y3607" t="s">
        <v>8286</v>
      </c>
      <c r="Z3607" t="s">
        <v>9882</v>
      </c>
      <c r="AA3607">
        <v>3.15</v>
      </c>
      <c r="AB3607" t="s">
        <v>468</v>
      </c>
      <c r="AC3607" t="s">
        <v>2486</v>
      </c>
      <c r="AE3607" t="s">
        <v>9501</v>
      </c>
      <c r="AF3607" t="s">
        <v>6748</v>
      </c>
      <c r="AG3607" t="s">
        <v>3127</v>
      </c>
      <c r="AH3607" t="s">
        <v>3980</v>
      </c>
      <c r="AI3607" t="s">
        <v>15379</v>
      </c>
      <c r="AJ3607" t="s">
        <v>5549</v>
      </c>
      <c r="AK3607" t="s">
        <v>29848</v>
      </c>
      <c r="AL3607">
        <v>0.04</v>
      </c>
      <c r="AN3607">
        <v>1.05</v>
      </c>
      <c r="AP3607" t="s">
        <v>4554</v>
      </c>
      <c r="AQ3607" t="s">
        <v>5307</v>
      </c>
      <c r="AR3607" t="s">
        <v>2643</v>
      </c>
      <c r="AS3607" t="s">
        <v>4255</v>
      </c>
      <c r="AT3607" t="s">
        <v>2136</v>
      </c>
      <c r="AU3607" t="s">
        <v>2723</v>
      </c>
      <c r="AV3607" t="s">
        <v>15949</v>
      </c>
      <c r="AW3607" t="s">
        <v>9710</v>
      </c>
      <c r="AX3607" t="s">
        <v>2150</v>
      </c>
      <c r="AY3607" t="s">
        <v>10844</v>
      </c>
      <c r="AZ3607" t="s">
        <v>3243</v>
      </c>
      <c r="BA3607">
        <v>2.25</v>
      </c>
      <c r="BB3607">
        <v>70.47</v>
      </c>
      <c r="BC3607">
        <v>0.31</v>
      </c>
      <c r="BD3607">
        <v>38.97</v>
      </c>
      <c r="BE3607">
        <v>39.44</v>
      </c>
      <c r="BF3607">
        <v>39.19</v>
      </c>
      <c r="BG3607" t="s">
        <v>29849</v>
      </c>
      <c r="BH3607" t="s">
        <v>14360</v>
      </c>
      <c r="BI3607" t="s">
        <v>29850</v>
      </c>
      <c r="BJ3607" t="s">
        <v>101</v>
      </c>
      <c r="BK3607" t="s">
        <v>5742</v>
      </c>
      <c r="BL3607" t="s">
        <v>657</v>
      </c>
      <c r="BM3607" t="s">
        <v>1180</v>
      </c>
      <c r="BN3607" t="s">
        <v>27621</v>
      </c>
    </row>
    <row r="3608" spans="1:66" x14ac:dyDescent="0.25">
      <c r="A3608" t="str">
        <f>HYPERLINK("https://elite.finviz.com/quote.ashx?t=VIRC&amp;ty=c&amp;p=d&amp;b=1", "VIRC")</f>
        <v>VIRC</v>
      </c>
      <c r="B3608">
        <v>4</v>
      </c>
      <c r="C3608">
        <v>105.92</v>
      </c>
      <c r="D3608">
        <v>40.99</v>
      </c>
      <c r="E3608" t="s">
        <v>29851</v>
      </c>
      <c r="F3608" t="s">
        <v>67</v>
      </c>
      <c r="G3608" t="s">
        <v>813</v>
      </c>
      <c r="H3608" t="s">
        <v>3866</v>
      </c>
      <c r="I3608" t="s">
        <v>70</v>
      </c>
      <c r="J3608" t="s">
        <v>321</v>
      </c>
      <c r="K3608">
        <v>123.09</v>
      </c>
      <c r="L3608">
        <v>7.81</v>
      </c>
      <c r="M3608" t="s">
        <v>6719</v>
      </c>
      <c r="N3608">
        <v>9868</v>
      </c>
      <c r="O3608">
        <v>9.16</v>
      </c>
      <c r="P3608">
        <v>6.8</v>
      </c>
      <c r="R3608">
        <v>0.52</v>
      </c>
      <c r="S3608">
        <v>1.07</v>
      </c>
      <c r="T3608" t="s">
        <v>5158</v>
      </c>
      <c r="U3608">
        <v>0.1</v>
      </c>
      <c r="V3608" t="s">
        <v>7552</v>
      </c>
      <c r="W3608" t="s">
        <v>18620</v>
      </c>
      <c r="Z3608" t="s">
        <v>5642</v>
      </c>
      <c r="AA3608">
        <v>0.85</v>
      </c>
      <c r="AC3608" t="s">
        <v>24181</v>
      </c>
      <c r="AE3608" t="s">
        <v>19710</v>
      </c>
      <c r="AF3608" t="s">
        <v>12293</v>
      </c>
      <c r="AG3608" t="s">
        <v>6584</v>
      </c>
      <c r="AH3608" t="s">
        <v>4336</v>
      </c>
      <c r="AI3608" t="s">
        <v>16501</v>
      </c>
      <c r="AJ3608" t="s">
        <v>580</v>
      </c>
      <c r="AK3608" t="s">
        <v>16252</v>
      </c>
      <c r="AL3608">
        <v>2.96</v>
      </c>
      <c r="AM3608">
        <v>1.38</v>
      </c>
      <c r="AN3608">
        <v>0.36</v>
      </c>
      <c r="AO3608" t="s">
        <v>19638</v>
      </c>
      <c r="AP3608" t="s">
        <v>8155</v>
      </c>
      <c r="AQ3608" t="s">
        <v>3088</v>
      </c>
      <c r="AR3608" t="s">
        <v>4800</v>
      </c>
      <c r="AS3608" t="s">
        <v>5188</v>
      </c>
      <c r="AT3608" t="s">
        <v>6074</v>
      </c>
      <c r="AU3608" t="s">
        <v>8534</v>
      </c>
      <c r="AV3608" t="s">
        <v>29852</v>
      </c>
      <c r="AW3608" t="s">
        <v>18084</v>
      </c>
      <c r="AX3608" t="s">
        <v>4659</v>
      </c>
      <c r="AY3608" t="s">
        <v>14408</v>
      </c>
      <c r="AZ3608" t="s">
        <v>4659</v>
      </c>
      <c r="BA3608">
        <v>1</v>
      </c>
      <c r="BB3608">
        <v>71.66</v>
      </c>
      <c r="BC3608">
        <v>0.49</v>
      </c>
      <c r="BD3608">
        <v>7.78</v>
      </c>
      <c r="BE3608">
        <v>7.86</v>
      </c>
      <c r="BF3608">
        <v>7.8</v>
      </c>
      <c r="BG3608" t="s">
        <v>29853</v>
      </c>
      <c r="BH3608" t="s">
        <v>29854</v>
      </c>
      <c r="BI3608" t="s">
        <v>29855</v>
      </c>
      <c r="BJ3608" t="s">
        <v>101</v>
      </c>
      <c r="BK3608" t="s">
        <v>2649</v>
      </c>
      <c r="BL3608" t="s">
        <v>29856</v>
      </c>
      <c r="BM3608" t="s">
        <v>23623</v>
      </c>
      <c r="BN3608" t="s">
        <v>27621</v>
      </c>
    </row>
    <row r="3609" spans="1:66" x14ac:dyDescent="0.25">
      <c r="A3609" t="str">
        <f>HYPERLINK("https://elite.finviz.com/quote.ashx?t=NXRT&amp;ty=c&amp;p=d&amp;b=1", "NXRT")</f>
        <v>NXRT</v>
      </c>
      <c r="B3609">
        <v>4</v>
      </c>
      <c r="C3609">
        <v>105.92</v>
      </c>
      <c r="D3609">
        <v>41</v>
      </c>
      <c r="E3609" t="s">
        <v>29857</v>
      </c>
      <c r="F3609" t="s">
        <v>67</v>
      </c>
      <c r="G3609" t="s">
        <v>68</v>
      </c>
      <c r="H3609" t="s">
        <v>5671</v>
      </c>
      <c r="I3609" t="s">
        <v>70</v>
      </c>
      <c r="J3609" t="s">
        <v>71</v>
      </c>
      <c r="K3609">
        <v>809.23</v>
      </c>
      <c r="L3609">
        <v>31.77</v>
      </c>
      <c r="M3609" t="s">
        <v>7464</v>
      </c>
      <c r="N3609">
        <v>13402</v>
      </c>
      <c r="R3609">
        <v>3.18</v>
      </c>
      <c r="S3609">
        <v>2.3199999999999998</v>
      </c>
      <c r="T3609" t="s">
        <v>1474</v>
      </c>
      <c r="U3609">
        <v>1.53</v>
      </c>
      <c r="V3609" t="s">
        <v>3833</v>
      </c>
      <c r="W3609" t="s">
        <v>3368</v>
      </c>
      <c r="X3609" t="s">
        <v>5841</v>
      </c>
      <c r="Y3609" t="s">
        <v>10073</v>
      </c>
      <c r="Z3609" t="s">
        <v>29858</v>
      </c>
      <c r="AA3609">
        <v>-1.96</v>
      </c>
      <c r="AB3609" t="s">
        <v>17100</v>
      </c>
      <c r="AC3609" t="s">
        <v>6845</v>
      </c>
      <c r="AE3609" t="s">
        <v>5880</v>
      </c>
      <c r="AF3609" t="s">
        <v>7210</v>
      </c>
      <c r="AG3609" t="s">
        <v>1283</v>
      </c>
      <c r="AH3609" t="s">
        <v>1413</v>
      </c>
      <c r="AI3609" t="s">
        <v>20499</v>
      </c>
      <c r="AJ3609" t="s">
        <v>211</v>
      </c>
      <c r="AK3609" t="s">
        <v>11031</v>
      </c>
      <c r="AL3609">
        <v>1.89</v>
      </c>
      <c r="AM3609">
        <v>1.89</v>
      </c>
      <c r="AN3609">
        <v>4.22</v>
      </c>
      <c r="AO3609" t="s">
        <v>264</v>
      </c>
      <c r="AP3609" t="s">
        <v>4903</v>
      </c>
      <c r="AQ3609" t="s">
        <v>19432</v>
      </c>
      <c r="AR3609" t="s">
        <v>6003</v>
      </c>
      <c r="AS3609" t="s">
        <v>2876</v>
      </c>
      <c r="AT3609" t="s">
        <v>11675</v>
      </c>
      <c r="AU3609" t="s">
        <v>3845</v>
      </c>
      <c r="AV3609" t="s">
        <v>17257</v>
      </c>
      <c r="AW3609" t="s">
        <v>19565</v>
      </c>
      <c r="AX3609" t="s">
        <v>7090</v>
      </c>
      <c r="AY3609" t="s">
        <v>29859</v>
      </c>
      <c r="AZ3609" t="s">
        <v>7090</v>
      </c>
      <c r="BA3609">
        <v>2.78</v>
      </c>
      <c r="BB3609">
        <v>181.87</v>
      </c>
      <c r="BC3609">
        <v>0.26</v>
      </c>
      <c r="BD3609">
        <v>31.64</v>
      </c>
      <c r="BE3609">
        <v>32.1</v>
      </c>
      <c r="BF3609">
        <v>31.6</v>
      </c>
      <c r="BG3609" t="s">
        <v>29860</v>
      </c>
      <c r="BH3609" t="s">
        <v>23785</v>
      </c>
      <c r="BI3609" t="s">
        <v>29861</v>
      </c>
      <c r="BJ3609" t="s">
        <v>101</v>
      </c>
      <c r="BK3609" t="s">
        <v>818</v>
      </c>
      <c r="BL3609" t="s">
        <v>21011</v>
      </c>
      <c r="BM3609" t="s">
        <v>2505</v>
      </c>
      <c r="BN3609" t="s">
        <v>27621</v>
      </c>
    </row>
    <row r="3610" spans="1:66" x14ac:dyDescent="0.25">
      <c r="A3610" t="str">
        <f>HYPERLINK("https://elite.finviz.com/quote.ashx?t=SPSC&amp;ty=c&amp;p=d&amp;b=1", "SPSC")</f>
        <v>SPSC</v>
      </c>
      <c r="B3610">
        <v>4</v>
      </c>
      <c r="C3610">
        <v>105.92</v>
      </c>
      <c r="D3610">
        <v>41</v>
      </c>
      <c r="E3610" t="s">
        <v>29862</v>
      </c>
      <c r="F3610" t="s">
        <v>67</v>
      </c>
      <c r="G3610" t="s">
        <v>108</v>
      </c>
      <c r="H3610" t="s">
        <v>136</v>
      </c>
      <c r="I3610" t="s">
        <v>70</v>
      </c>
      <c r="J3610" t="s">
        <v>321</v>
      </c>
      <c r="K3610">
        <v>4000.51</v>
      </c>
      <c r="L3610">
        <v>105.53</v>
      </c>
      <c r="M3610" t="s">
        <v>2418</v>
      </c>
      <c r="N3610">
        <v>47840</v>
      </c>
      <c r="O3610">
        <v>48.47</v>
      </c>
      <c r="P3610">
        <v>22.99</v>
      </c>
      <c r="Q3610">
        <v>3.07</v>
      </c>
      <c r="R3610">
        <v>5.69</v>
      </c>
      <c r="S3610">
        <v>4.21</v>
      </c>
      <c r="Z3610" t="s">
        <v>164</v>
      </c>
      <c r="AA3610">
        <v>2.1800000000000002</v>
      </c>
      <c r="AB3610" t="s">
        <v>6393</v>
      </c>
      <c r="AC3610" t="s">
        <v>16032</v>
      </c>
      <c r="AD3610" t="s">
        <v>10541</v>
      </c>
      <c r="AE3610" t="s">
        <v>2871</v>
      </c>
      <c r="AF3610" t="s">
        <v>5394</v>
      </c>
      <c r="AG3610" t="s">
        <v>4855</v>
      </c>
      <c r="AH3610" t="s">
        <v>4398</v>
      </c>
      <c r="AI3610" t="s">
        <v>10247</v>
      </c>
      <c r="AJ3610" t="s">
        <v>164</v>
      </c>
      <c r="AK3610" t="s">
        <v>29863</v>
      </c>
      <c r="AL3610">
        <v>1.37</v>
      </c>
      <c r="AM3610">
        <v>1.37</v>
      </c>
      <c r="AN3610">
        <v>0.01</v>
      </c>
      <c r="AO3610" t="s">
        <v>13850</v>
      </c>
      <c r="AP3610" t="s">
        <v>5775</v>
      </c>
      <c r="AQ3610" t="s">
        <v>2820</v>
      </c>
      <c r="AR3610" t="s">
        <v>2146</v>
      </c>
      <c r="AS3610" t="s">
        <v>2624</v>
      </c>
      <c r="AT3610" t="s">
        <v>2617</v>
      </c>
      <c r="AU3610" t="s">
        <v>7996</v>
      </c>
      <c r="AV3610" t="s">
        <v>23622</v>
      </c>
      <c r="AW3610" t="s">
        <v>23018</v>
      </c>
      <c r="AX3610" t="s">
        <v>4495</v>
      </c>
      <c r="AY3610" t="s">
        <v>20380</v>
      </c>
      <c r="AZ3610" t="s">
        <v>4495</v>
      </c>
      <c r="BA3610">
        <v>1.77</v>
      </c>
      <c r="BB3610">
        <v>441.15</v>
      </c>
      <c r="BC3610">
        <v>0.38</v>
      </c>
      <c r="BD3610">
        <v>104.95</v>
      </c>
      <c r="BE3610">
        <v>105.53</v>
      </c>
      <c r="BF3610">
        <v>104.58</v>
      </c>
      <c r="BG3610" t="s">
        <v>29864</v>
      </c>
      <c r="BH3610" t="s">
        <v>29865</v>
      </c>
      <c r="BI3610" t="s">
        <v>29866</v>
      </c>
      <c r="BJ3610" t="s">
        <v>101</v>
      </c>
      <c r="BK3610" t="s">
        <v>4695</v>
      </c>
      <c r="BL3610" t="s">
        <v>5177</v>
      </c>
      <c r="BM3610" t="s">
        <v>23049</v>
      </c>
      <c r="BN3610" t="s">
        <v>27621</v>
      </c>
    </row>
    <row r="3611" spans="1:66" x14ac:dyDescent="0.25">
      <c r="A3611" t="str">
        <f>HYPERLINK("https://elite.finviz.com/quote.ashx?t=FUL&amp;ty=c&amp;p=d&amp;b=1", "FUL")</f>
        <v>FUL</v>
      </c>
      <c r="B3611">
        <v>4</v>
      </c>
      <c r="C3611">
        <v>105.92</v>
      </c>
      <c r="D3611">
        <v>41.01</v>
      </c>
      <c r="E3611" t="s">
        <v>29867</v>
      </c>
      <c r="F3611" t="s">
        <v>67</v>
      </c>
      <c r="G3611" t="s">
        <v>355</v>
      </c>
      <c r="H3611" t="s">
        <v>1147</v>
      </c>
      <c r="I3611" t="s">
        <v>70</v>
      </c>
      <c r="J3611" t="s">
        <v>71</v>
      </c>
      <c r="K3611">
        <v>3125.26</v>
      </c>
      <c r="L3611">
        <v>57.91</v>
      </c>
      <c r="M3611" t="s">
        <v>3494</v>
      </c>
      <c r="N3611">
        <v>85888</v>
      </c>
      <c r="O3611">
        <v>27.82</v>
      </c>
      <c r="P3611">
        <v>12.51</v>
      </c>
      <c r="Q3611">
        <v>2.6</v>
      </c>
      <c r="R3611">
        <v>0.89</v>
      </c>
      <c r="S3611">
        <v>1.6</v>
      </c>
      <c r="T3611" t="s">
        <v>4275</v>
      </c>
      <c r="U3611">
        <v>0.91</v>
      </c>
      <c r="V3611" t="s">
        <v>5604</v>
      </c>
      <c r="W3611" t="s">
        <v>2816</v>
      </c>
      <c r="X3611" t="s">
        <v>9623</v>
      </c>
      <c r="Y3611" t="s">
        <v>6684</v>
      </c>
      <c r="Z3611" t="s">
        <v>29868</v>
      </c>
      <c r="AA3611">
        <v>2.08</v>
      </c>
      <c r="AB3611" t="s">
        <v>5509</v>
      </c>
      <c r="AC3611" t="s">
        <v>6659</v>
      </c>
      <c r="AD3611" t="s">
        <v>5838</v>
      </c>
      <c r="AE3611" t="s">
        <v>4953</v>
      </c>
      <c r="AF3611" t="s">
        <v>862</v>
      </c>
      <c r="AG3611" t="s">
        <v>165</v>
      </c>
      <c r="AH3611" t="s">
        <v>4113</v>
      </c>
      <c r="AI3611" t="s">
        <v>1025</v>
      </c>
      <c r="AJ3611" t="s">
        <v>2136</v>
      </c>
      <c r="AK3611" t="s">
        <v>13009</v>
      </c>
      <c r="AL3611">
        <v>1.93</v>
      </c>
      <c r="AM3611">
        <v>1.18</v>
      </c>
      <c r="AN3611">
        <v>1.06</v>
      </c>
      <c r="AO3611" t="s">
        <v>7196</v>
      </c>
      <c r="AP3611" t="s">
        <v>7232</v>
      </c>
      <c r="AQ3611" t="s">
        <v>7284</v>
      </c>
      <c r="AR3611" t="s">
        <v>5929</v>
      </c>
      <c r="AS3611" t="s">
        <v>1776</v>
      </c>
      <c r="AT3611" t="s">
        <v>5294</v>
      </c>
      <c r="AU3611" t="s">
        <v>7948</v>
      </c>
      <c r="AV3611" t="s">
        <v>3559</v>
      </c>
      <c r="AW3611" t="s">
        <v>4229</v>
      </c>
      <c r="AX3611" t="s">
        <v>6183</v>
      </c>
      <c r="AY3611" t="s">
        <v>29573</v>
      </c>
      <c r="AZ3611" t="s">
        <v>25067</v>
      </c>
      <c r="BA3611">
        <v>2.5</v>
      </c>
      <c r="BB3611">
        <v>473.04</v>
      </c>
      <c r="BC3611">
        <v>0.64</v>
      </c>
      <c r="BD3611">
        <v>56.97</v>
      </c>
      <c r="BE3611">
        <v>58.9</v>
      </c>
      <c r="BF3611">
        <v>57.77</v>
      </c>
      <c r="BG3611" t="s">
        <v>29869</v>
      </c>
      <c r="BH3611" t="s">
        <v>13673</v>
      </c>
      <c r="BI3611" t="s">
        <v>29870</v>
      </c>
      <c r="BJ3611" t="s">
        <v>101</v>
      </c>
      <c r="BK3611" t="s">
        <v>6775</v>
      </c>
      <c r="BL3611" t="s">
        <v>2362</v>
      </c>
      <c r="BM3611" t="s">
        <v>26450</v>
      </c>
      <c r="BN3611" t="s">
        <v>27621</v>
      </c>
    </row>
    <row r="3612" spans="1:66" x14ac:dyDescent="0.25">
      <c r="A3612" t="str">
        <f>HYPERLINK("https://elite.finviz.com/quote.ashx?t=MSBI&amp;ty=c&amp;p=d&amp;b=1", "MSBI")</f>
        <v>MSBI</v>
      </c>
      <c r="B3612">
        <v>4</v>
      </c>
      <c r="C3612">
        <v>105.92</v>
      </c>
      <c r="D3612">
        <v>41.01</v>
      </c>
      <c r="E3612" t="s">
        <v>29871</v>
      </c>
      <c r="F3612" t="s">
        <v>67</v>
      </c>
      <c r="G3612" t="s">
        <v>550</v>
      </c>
      <c r="H3612" t="s">
        <v>697</v>
      </c>
      <c r="I3612" t="s">
        <v>70</v>
      </c>
      <c r="J3612" t="s">
        <v>321</v>
      </c>
      <c r="K3612">
        <v>373.67</v>
      </c>
      <c r="L3612">
        <v>17.34</v>
      </c>
      <c r="M3612" t="s">
        <v>1938</v>
      </c>
      <c r="N3612">
        <v>16568</v>
      </c>
      <c r="P3612">
        <v>6.54</v>
      </c>
      <c r="R3612">
        <v>0.67</v>
      </c>
      <c r="S3612">
        <v>0.81</v>
      </c>
      <c r="T3612" t="s">
        <v>3121</v>
      </c>
      <c r="U3612">
        <v>1.25</v>
      </c>
      <c r="V3612" t="s">
        <v>3046</v>
      </c>
      <c r="W3612" t="s">
        <v>4189</v>
      </c>
      <c r="X3612" t="s">
        <v>6150</v>
      </c>
      <c r="Y3612" t="s">
        <v>5620</v>
      </c>
      <c r="Z3612" t="s">
        <v>29872</v>
      </c>
      <c r="AA3612">
        <v>-5.55</v>
      </c>
      <c r="AB3612" t="s">
        <v>5768</v>
      </c>
      <c r="AC3612" t="s">
        <v>12128</v>
      </c>
      <c r="AE3612" t="s">
        <v>2230</v>
      </c>
      <c r="AF3612" t="s">
        <v>7726</v>
      </c>
      <c r="AG3612" t="s">
        <v>3532</v>
      </c>
      <c r="AH3612" t="s">
        <v>3336</v>
      </c>
      <c r="AI3612" t="s">
        <v>4926</v>
      </c>
      <c r="AJ3612" t="s">
        <v>164</v>
      </c>
      <c r="AK3612" t="s">
        <v>18034</v>
      </c>
      <c r="AL3612">
        <v>0.04</v>
      </c>
      <c r="AN3612">
        <v>0.86</v>
      </c>
      <c r="AP3612" t="s">
        <v>9280</v>
      </c>
      <c r="AQ3612" t="s">
        <v>23989</v>
      </c>
      <c r="AR3612" t="s">
        <v>1933</v>
      </c>
      <c r="AS3612" t="s">
        <v>1776</v>
      </c>
      <c r="AT3612" t="s">
        <v>2893</v>
      </c>
      <c r="AU3612" t="s">
        <v>5245</v>
      </c>
      <c r="AV3612" t="s">
        <v>5176</v>
      </c>
      <c r="AW3612" t="s">
        <v>5509</v>
      </c>
      <c r="AX3612" t="s">
        <v>3115</v>
      </c>
      <c r="AY3612" t="s">
        <v>29873</v>
      </c>
      <c r="AZ3612" t="s">
        <v>1626</v>
      </c>
      <c r="BA3612">
        <v>3</v>
      </c>
      <c r="BB3612">
        <v>125.91</v>
      </c>
      <c r="BC3612">
        <v>0.46</v>
      </c>
      <c r="BD3612">
        <v>17.440000000000001</v>
      </c>
      <c r="BE3612">
        <v>17.63</v>
      </c>
      <c r="BF3612">
        <v>17.37</v>
      </c>
      <c r="BG3612" t="s">
        <v>29874</v>
      </c>
      <c r="BH3612" t="s">
        <v>7447</v>
      </c>
      <c r="BI3612" t="s">
        <v>10598</v>
      </c>
      <c r="BJ3612" t="s">
        <v>101</v>
      </c>
      <c r="BK3612" t="s">
        <v>13522</v>
      </c>
      <c r="BL3612" t="s">
        <v>5000</v>
      </c>
      <c r="BM3612" t="s">
        <v>25505</v>
      </c>
      <c r="BN3612" t="s">
        <v>27621</v>
      </c>
    </row>
    <row r="3613" spans="1:66" x14ac:dyDescent="0.25">
      <c r="A3613" t="str">
        <f>HYPERLINK("https://elite.finviz.com/quote.ashx?t=SBLX&amp;ty=c&amp;p=d&amp;b=1", "SBLX")</f>
        <v>SBLX</v>
      </c>
      <c r="B3613">
        <v>4</v>
      </c>
      <c r="C3613">
        <v>105.92</v>
      </c>
      <c r="D3613">
        <v>41.03</v>
      </c>
      <c r="E3613" t="s">
        <v>29875</v>
      </c>
      <c r="F3613" t="s">
        <v>107</v>
      </c>
      <c r="G3613" t="s">
        <v>813</v>
      </c>
      <c r="H3613" t="s">
        <v>890</v>
      </c>
      <c r="I3613" t="s">
        <v>70</v>
      </c>
      <c r="J3613" t="s">
        <v>321</v>
      </c>
      <c r="K3613">
        <v>4.46</v>
      </c>
      <c r="L3613">
        <v>5.0199999999999996</v>
      </c>
      <c r="M3613" t="s">
        <v>1119</v>
      </c>
      <c r="N3613">
        <v>13594</v>
      </c>
      <c r="R3613">
        <v>446.11</v>
      </c>
      <c r="AA3613">
        <v>-51.8</v>
      </c>
      <c r="AB3613" t="s">
        <v>13049</v>
      </c>
      <c r="AC3613" t="s">
        <v>11780</v>
      </c>
      <c r="AE3613" t="s">
        <v>20561</v>
      </c>
      <c r="AF3613" t="s">
        <v>28114</v>
      </c>
      <c r="AG3613" t="s">
        <v>26145</v>
      </c>
      <c r="AI3613" t="s">
        <v>26051</v>
      </c>
      <c r="AJ3613" t="s">
        <v>164</v>
      </c>
      <c r="AK3613" t="s">
        <v>862</v>
      </c>
      <c r="AL3613">
        <v>1.1599999999999999</v>
      </c>
      <c r="AM3613">
        <v>1.1599999999999999</v>
      </c>
      <c r="AO3613" t="s">
        <v>29876</v>
      </c>
      <c r="AP3613" t="s">
        <v>29877</v>
      </c>
      <c r="AQ3613" t="s">
        <v>29878</v>
      </c>
      <c r="AR3613" t="s">
        <v>661</v>
      </c>
      <c r="AS3613" t="s">
        <v>3128</v>
      </c>
      <c r="AT3613" t="s">
        <v>10375</v>
      </c>
      <c r="AU3613" t="s">
        <v>12766</v>
      </c>
      <c r="AV3613" t="s">
        <v>621</v>
      </c>
      <c r="AW3613" t="s">
        <v>29879</v>
      </c>
      <c r="AX3613" t="s">
        <v>10797</v>
      </c>
      <c r="AY3613" t="s">
        <v>25529</v>
      </c>
      <c r="AZ3613" t="s">
        <v>10797</v>
      </c>
      <c r="BA3613">
        <v>1</v>
      </c>
      <c r="BB3613">
        <v>277.72000000000003</v>
      </c>
      <c r="BC3613">
        <v>0.17</v>
      </c>
      <c r="BD3613">
        <v>5.12</v>
      </c>
      <c r="BE3613">
        <v>5.26</v>
      </c>
      <c r="BF3613">
        <v>5.01</v>
      </c>
      <c r="BG3613" t="s">
        <v>29880</v>
      </c>
      <c r="BH3613" t="s">
        <v>579</v>
      </c>
      <c r="BI3613" t="s">
        <v>10797</v>
      </c>
      <c r="BJ3613" t="s">
        <v>101</v>
      </c>
      <c r="BK3613" t="s">
        <v>29881</v>
      </c>
      <c r="BL3613" t="s">
        <v>29882</v>
      </c>
      <c r="BM3613" t="s">
        <v>29499</v>
      </c>
      <c r="BN3613" t="s">
        <v>27621</v>
      </c>
    </row>
    <row r="3614" spans="1:66" x14ac:dyDescent="0.25">
      <c r="A3614" t="str">
        <f>HYPERLINK("https://elite.finviz.com/quote.ashx?t=TOVX&amp;ty=c&amp;p=d&amp;b=1", "TOVX")</f>
        <v>TOVX</v>
      </c>
      <c r="B3614">
        <v>4</v>
      </c>
      <c r="C3614">
        <v>105.92</v>
      </c>
      <c r="D3614">
        <v>41.05</v>
      </c>
      <c r="E3614" t="s">
        <v>29883</v>
      </c>
      <c r="F3614" t="s">
        <v>107</v>
      </c>
      <c r="G3614" t="s">
        <v>428</v>
      </c>
      <c r="H3614" t="s">
        <v>429</v>
      </c>
      <c r="I3614" t="s">
        <v>70</v>
      </c>
      <c r="J3614" t="s">
        <v>383</v>
      </c>
      <c r="K3614">
        <v>3.74</v>
      </c>
      <c r="L3614">
        <v>0.39</v>
      </c>
      <c r="M3614" t="s">
        <v>3598</v>
      </c>
      <c r="N3614">
        <v>35098</v>
      </c>
      <c r="S3614">
        <v>0.33</v>
      </c>
      <c r="V3614" t="s">
        <v>29884</v>
      </c>
      <c r="AA3614">
        <v>-11.9</v>
      </c>
      <c r="AB3614" t="s">
        <v>7433</v>
      </c>
      <c r="AC3614" t="s">
        <v>20400</v>
      </c>
      <c r="AI3614" t="s">
        <v>29885</v>
      </c>
      <c r="AJ3614" t="s">
        <v>164</v>
      </c>
      <c r="AK3614" t="s">
        <v>223</v>
      </c>
      <c r="AL3614">
        <v>1.19</v>
      </c>
      <c r="AM3614">
        <v>1.19</v>
      </c>
      <c r="AN3614">
        <v>0.27</v>
      </c>
      <c r="AR3614" t="s">
        <v>2580</v>
      </c>
      <c r="AS3614" t="s">
        <v>636</v>
      </c>
      <c r="AT3614" t="s">
        <v>2870</v>
      </c>
      <c r="AU3614" t="s">
        <v>5205</v>
      </c>
      <c r="AV3614" t="s">
        <v>29886</v>
      </c>
      <c r="AW3614" t="s">
        <v>11516</v>
      </c>
      <c r="AX3614" t="s">
        <v>1254</v>
      </c>
      <c r="AY3614" t="s">
        <v>29887</v>
      </c>
      <c r="AZ3614" t="s">
        <v>1254</v>
      </c>
      <c r="BA3614">
        <v>1</v>
      </c>
      <c r="BB3614">
        <v>532.12</v>
      </c>
      <c r="BC3614">
        <v>0.23</v>
      </c>
      <c r="BD3614">
        <v>0.39</v>
      </c>
      <c r="BE3614">
        <v>0.39</v>
      </c>
      <c r="BF3614">
        <v>0.39</v>
      </c>
      <c r="BG3614" t="s">
        <v>29888</v>
      </c>
      <c r="BH3614" t="s">
        <v>579</v>
      </c>
      <c r="BI3614" t="s">
        <v>1254</v>
      </c>
      <c r="BJ3614" t="s">
        <v>101</v>
      </c>
      <c r="BK3614" t="s">
        <v>19565</v>
      </c>
      <c r="BL3614" t="s">
        <v>28293</v>
      </c>
      <c r="BM3614" t="s">
        <v>14385</v>
      </c>
      <c r="BN3614" t="s">
        <v>27621</v>
      </c>
    </row>
    <row r="3615" spans="1:66" x14ac:dyDescent="0.25">
      <c r="A3615" t="str">
        <f>HYPERLINK("https://elite.finviz.com/quote.ashx?t=PFBC&amp;ty=c&amp;p=d&amp;b=1", "PFBC")</f>
        <v>PFBC</v>
      </c>
      <c r="B3615">
        <v>4</v>
      </c>
      <c r="C3615">
        <v>105.92</v>
      </c>
      <c r="D3615">
        <v>41.07</v>
      </c>
      <c r="E3615" t="s">
        <v>29889</v>
      </c>
      <c r="F3615" t="s">
        <v>67</v>
      </c>
      <c r="G3615" t="s">
        <v>550</v>
      </c>
      <c r="H3615" t="s">
        <v>697</v>
      </c>
      <c r="I3615" t="s">
        <v>70</v>
      </c>
      <c r="J3615" t="s">
        <v>321</v>
      </c>
      <c r="K3615">
        <v>1220.3900000000001</v>
      </c>
      <c r="L3615">
        <v>91.12</v>
      </c>
      <c r="M3615" t="s">
        <v>1358</v>
      </c>
      <c r="N3615">
        <v>11519</v>
      </c>
      <c r="O3615">
        <v>9.58</v>
      </c>
      <c r="P3615">
        <v>9.17</v>
      </c>
      <c r="R3615">
        <v>2.44</v>
      </c>
      <c r="S3615">
        <v>1.51</v>
      </c>
      <c r="T3615" t="s">
        <v>5593</v>
      </c>
      <c r="U3615">
        <v>2.95</v>
      </c>
      <c r="V3615" t="s">
        <v>16780</v>
      </c>
      <c r="W3615" t="s">
        <v>11674</v>
      </c>
      <c r="X3615" t="s">
        <v>15060</v>
      </c>
      <c r="Y3615" t="s">
        <v>816</v>
      </c>
      <c r="Z3615" t="s">
        <v>29890</v>
      </c>
      <c r="AA3615">
        <v>9.52</v>
      </c>
      <c r="AB3615" t="s">
        <v>5775</v>
      </c>
      <c r="AC3615" t="s">
        <v>3186</v>
      </c>
      <c r="AE3615" t="s">
        <v>6105</v>
      </c>
      <c r="AF3615" t="s">
        <v>14634</v>
      </c>
      <c r="AG3615" t="s">
        <v>512</v>
      </c>
      <c r="AH3615" t="s">
        <v>9412</v>
      </c>
      <c r="AI3615" t="s">
        <v>4765</v>
      </c>
      <c r="AK3615" t="s">
        <v>24660</v>
      </c>
      <c r="AL3615">
        <v>0.32</v>
      </c>
      <c r="AN3615">
        <v>0.5</v>
      </c>
      <c r="AP3615" t="s">
        <v>8832</v>
      </c>
      <c r="AQ3615" t="s">
        <v>5068</v>
      </c>
      <c r="AR3615" t="s">
        <v>3757</v>
      </c>
      <c r="AS3615" t="s">
        <v>3856</v>
      </c>
      <c r="AT3615" t="s">
        <v>91</v>
      </c>
      <c r="AU3615" t="s">
        <v>2723</v>
      </c>
      <c r="AV3615" t="s">
        <v>3521</v>
      </c>
      <c r="AW3615" t="s">
        <v>1219</v>
      </c>
      <c r="AX3615" t="s">
        <v>8229</v>
      </c>
      <c r="AY3615" t="s">
        <v>15541</v>
      </c>
      <c r="AZ3615" t="s">
        <v>6477</v>
      </c>
      <c r="BA3615">
        <v>2.2000000000000002</v>
      </c>
      <c r="BB3615">
        <v>86.93</v>
      </c>
      <c r="BC3615">
        <v>0.47</v>
      </c>
      <c r="BD3615">
        <v>91.54</v>
      </c>
      <c r="BE3615">
        <v>92.49</v>
      </c>
      <c r="BF3615">
        <v>91.01</v>
      </c>
      <c r="BG3615" t="s">
        <v>29891</v>
      </c>
      <c r="BH3615" t="s">
        <v>11770</v>
      </c>
      <c r="BI3615" t="s">
        <v>29892</v>
      </c>
      <c r="BJ3615" t="s">
        <v>101</v>
      </c>
      <c r="BK3615" t="s">
        <v>2370</v>
      </c>
      <c r="BL3615" t="s">
        <v>8593</v>
      </c>
      <c r="BM3615" t="s">
        <v>5901</v>
      </c>
      <c r="BN3615" t="s">
        <v>27621</v>
      </c>
    </row>
    <row r="3616" spans="1:66" x14ac:dyDescent="0.25">
      <c r="A3616" t="str">
        <f>HYPERLINK("https://elite.finviz.com/quote.ashx?t=TRUP&amp;ty=c&amp;p=d&amp;b=1", "TRUP")</f>
        <v>TRUP</v>
      </c>
      <c r="B3616">
        <v>4</v>
      </c>
      <c r="C3616">
        <v>105.92</v>
      </c>
      <c r="D3616">
        <v>41.11</v>
      </c>
      <c r="E3616" t="s">
        <v>29893</v>
      </c>
      <c r="F3616" t="s">
        <v>67</v>
      </c>
      <c r="G3616" t="s">
        <v>550</v>
      </c>
      <c r="H3616" t="s">
        <v>4407</v>
      </c>
      <c r="I3616" t="s">
        <v>70</v>
      </c>
      <c r="J3616" t="s">
        <v>321</v>
      </c>
      <c r="K3616">
        <v>1871.99</v>
      </c>
      <c r="L3616">
        <v>43.54</v>
      </c>
      <c r="M3616" t="s">
        <v>7780</v>
      </c>
      <c r="N3616">
        <v>63039</v>
      </c>
      <c r="O3616">
        <v>170.81</v>
      </c>
      <c r="P3616">
        <v>122.29</v>
      </c>
      <c r="R3616">
        <v>1.38</v>
      </c>
      <c r="S3616">
        <v>5.27</v>
      </c>
      <c r="AA3616">
        <v>0.25</v>
      </c>
      <c r="AB3616" t="s">
        <v>6259</v>
      </c>
      <c r="AC3616" t="s">
        <v>23719</v>
      </c>
      <c r="AE3616" t="s">
        <v>2947</v>
      </c>
      <c r="AF3616" t="s">
        <v>16013</v>
      </c>
      <c r="AG3616" t="s">
        <v>2520</v>
      </c>
      <c r="AH3616" t="s">
        <v>7655</v>
      </c>
      <c r="AI3616" t="s">
        <v>29894</v>
      </c>
      <c r="AJ3616" t="s">
        <v>8374</v>
      </c>
      <c r="AK3616" t="s">
        <v>21122</v>
      </c>
      <c r="AL3616">
        <v>1.69</v>
      </c>
      <c r="AN3616">
        <v>0.32</v>
      </c>
      <c r="AP3616" t="s">
        <v>4840</v>
      </c>
      <c r="AQ3616" t="s">
        <v>747</v>
      </c>
      <c r="AR3616" t="s">
        <v>1934</v>
      </c>
      <c r="AS3616" t="s">
        <v>2624</v>
      </c>
      <c r="AT3616" t="s">
        <v>1787</v>
      </c>
      <c r="AU3616" t="s">
        <v>14672</v>
      </c>
      <c r="AV3616" t="s">
        <v>608</v>
      </c>
      <c r="AW3616" t="s">
        <v>23921</v>
      </c>
      <c r="AX3616" t="s">
        <v>204</v>
      </c>
      <c r="AY3616" t="s">
        <v>10967</v>
      </c>
      <c r="AZ3616" t="s">
        <v>23351</v>
      </c>
      <c r="BA3616">
        <v>1.86</v>
      </c>
      <c r="BB3616">
        <v>533.63</v>
      </c>
      <c r="BC3616">
        <v>0.42</v>
      </c>
      <c r="BD3616">
        <v>42.94</v>
      </c>
      <c r="BE3616">
        <v>43.55</v>
      </c>
      <c r="BF3616">
        <v>42.68</v>
      </c>
      <c r="BG3616" t="s">
        <v>29895</v>
      </c>
      <c r="BH3616" t="s">
        <v>8495</v>
      </c>
      <c r="BI3616" t="s">
        <v>29896</v>
      </c>
      <c r="BJ3616" t="s">
        <v>101</v>
      </c>
      <c r="BK3616" t="s">
        <v>24249</v>
      </c>
      <c r="BL3616" t="s">
        <v>7079</v>
      </c>
      <c r="BM3616" t="s">
        <v>5929</v>
      </c>
      <c r="BN3616" t="s">
        <v>27621</v>
      </c>
    </row>
    <row r="3617" spans="1:66" x14ac:dyDescent="0.25">
      <c r="A3617" t="str">
        <f>HYPERLINK("https://elite.finviz.com/quote.ashx?t=UPBD&amp;ty=c&amp;p=d&amp;b=1", "UPBD")</f>
        <v>UPBD</v>
      </c>
      <c r="B3617">
        <v>4</v>
      </c>
      <c r="C3617">
        <v>105.92</v>
      </c>
      <c r="D3617">
        <v>41.12</v>
      </c>
      <c r="E3617" t="s">
        <v>29897</v>
      </c>
      <c r="F3617" t="s">
        <v>67</v>
      </c>
      <c r="G3617" t="s">
        <v>108</v>
      </c>
      <c r="H3617" t="s">
        <v>136</v>
      </c>
      <c r="I3617" t="s">
        <v>70</v>
      </c>
      <c r="J3617" t="s">
        <v>321</v>
      </c>
      <c r="K3617">
        <v>1389.79</v>
      </c>
      <c r="L3617">
        <v>24</v>
      </c>
      <c r="M3617" t="s">
        <v>4494</v>
      </c>
      <c r="N3617">
        <v>85531</v>
      </c>
      <c r="O3617">
        <v>13.39</v>
      </c>
      <c r="P3617">
        <v>4.6399999999999997</v>
      </c>
      <c r="Q3617">
        <v>0.72</v>
      </c>
      <c r="R3617">
        <v>0.31</v>
      </c>
      <c r="S3617">
        <v>2.0299999999999998</v>
      </c>
      <c r="T3617" t="s">
        <v>6008</v>
      </c>
      <c r="U3617">
        <v>1.54</v>
      </c>
      <c r="V3617" t="s">
        <v>198</v>
      </c>
      <c r="W3617" t="s">
        <v>3687</v>
      </c>
      <c r="X3617" t="s">
        <v>2064</v>
      </c>
      <c r="Y3617" t="s">
        <v>4988</v>
      </c>
      <c r="Z3617" t="s">
        <v>9152</v>
      </c>
      <c r="AA3617">
        <v>1.79</v>
      </c>
      <c r="AB3617" t="s">
        <v>2543</v>
      </c>
      <c r="AC3617" t="s">
        <v>137</v>
      </c>
      <c r="AD3617" t="s">
        <v>731</v>
      </c>
      <c r="AE3617" t="s">
        <v>2193</v>
      </c>
      <c r="AF3617" t="s">
        <v>1119</v>
      </c>
      <c r="AG3617" t="s">
        <v>5404</v>
      </c>
      <c r="AH3617" t="s">
        <v>6392</v>
      </c>
      <c r="AI3617" t="s">
        <v>322</v>
      </c>
      <c r="AJ3617" t="s">
        <v>182</v>
      </c>
      <c r="AK3617" t="s">
        <v>29898</v>
      </c>
      <c r="AL3617">
        <v>3.01</v>
      </c>
      <c r="AM3617">
        <v>0.72</v>
      </c>
      <c r="AN3617">
        <v>2.7</v>
      </c>
      <c r="AO3617" t="s">
        <v>1398</v>
      </c>
      <c r="AP3617" t="s">
        <v>7566</v>
      </c>
      <c r="AQ3617" t="s">
        <v>1438</v>
      </c>
      <c r="AR3617" t="s">
        <v>6726</v>
      </c>
      <c r="AS3617" t="s">
        <v>2473</v>
      </c>
      <c r="AT3617" t="s">
        <v>5880</v>
      </c>
      <c r="AU3617" t="s">
        <v>5746</v>
      </c>
      <c r="AV3617" t="s">
        <v>5857</v>
      </c>
      <c r="AW3617" t="s">
        <v>2178</v>
      </c>
      <c r="AX3617" t="s">
        <v>20822</v>
      </c>
      <c r="AY3617" t="s">
        <v>18450</v>
      </c>
      <c r="AZ3617" t="s">
        <v>20822</v>
      </c>
      <c r="BA3617">
        <v>1.38</v>
      </c>
      <c r="BB3617">
        <v>724.73</v>
      </c>
      <c r="BC3617">
        <v>0.42</v>
      </c>
      <c r="BD3617">
        <v>23.98</v>
      </c>
      <c r="BE3617">
        <v>24.2</v>
      </c>
      <c r="BF3617">
        <v>23.92</v>
      </c>
      <c r="BG3617" t="s">
        <v>29899</v>
      </c>
      <c r="BH3617" t="s">
        <v>29900</v>
      </c>
      <c r="BI3617" t="s">
        <v>29901</v>
      </c>
      <c r="BJ3617" t="s">
        <v>101</v>
      </c>
      <c r="BK3617" t="s">
        <v>2934</v>
      </c>
      <c r="BL3617" t="s">
        <v>1413</v>
      </c>
      <c r="BM3617" t="s">
        <v>19069</v>
      </c>
      <c r="BN3617" t="s">
        <v>27621</v>
      </c>
    </row>
    <row r="3618" spans="1:66" x14ac:dyDescent="0.25">
      <c r="A3618" t="str">
        <f>HYPERLINK("https://elite.finviz.com/quote.ashx?t=CLW&amp;ty=c&amp;p=d&amp;b=1", "CLW")</f>
        <v>CLW</v>
      </c>
      <c r="B3618">
        <v>4</v>
      </c>
      <c r="C3618">
        <v>105.92</v>
      </c>
      <c r="D3618">
        <v>41.12</v>
      </c>
      <c r="E3618" t="s">
        <v>29902</v>
      </c>
      <c r="F3618" t="s">
        <v>67</v>
      </c>
      <c r="G3618" t="s">
        <v>355</v>
      </c>
      <c r="H3618" t="s">
        <v>29824</v>
      </c>
      <c r="I3618" t="s">
        <v>70</v>
      </c>
      <c r="J3618" t="s">
        <v>71</v>
      </c>
      <c r="K3618">
        <v>334.96</v>
      </c>
      <c r="L3618">
        <v>20.8</v>
      </c>
      <c r="M3618" t="s">
        <v>2880</v>
      </c>
      <c r="N3618">
        <v>25835</v>
      </c>
      <c r="P3618">
        <v>20.8</v>
      </c>
      <c r="R3618">
        <v>0.22</v>
      </c>
      <c r="S3618">
        <v>0.4</v>
      </c>
      <c r="AA3618">
        <v>-6.28</v>
      </c>
      <c r="AB3618" t="s">
        <v>14615</v>
      </c>
      <c r="AC3618" t="s">
        <v>15136</v>
      </c>
      <c r="AE3618" t="s">
        <v>17250</v>
      </c>
      <c r="AF3618" t="s">
        <v>4235</v>
      </c>
      <c r="AG3618" t="s">
        <v>3625</v>
      </c>
      <c r="AH3618" t="s">
        <v>20917</v>
      </c>
      <c r="AI3618" t="s">
        <v>29903</v>
      </c>
      <c r="AJ3618" t="s">
        <v>164</v>
      </c>
      <c r="AK3618" t="s">
        <v>4337</v>
      </c>
      <c r="AL3618">
        <v>1.97</v>
      </c>
      <c r="AM3618">
        <v>0.87</v>
      </c>
      <c r="AN3618">
        <v>0.41</v>
      </c>
      <c r="AO3618" t="s">
        <v>8727</v>
      </c>
      <c r="AP3618" t="s">
        <v>2216</v>
      </c>
      <c r="AQ3618" t="s">
        <v>9471</v>
      </c>
      <c r="AR3618" t="s">
        <v>6460</v>
      </c>
      <c r="AS3618" t="s">
        <v>1391</v>
      </c>
      <c r="AT3618" t="s">
        <v>5574</v>
      </c>
      <c r="AU3618" t="s">
        <v>2301</v>
      </c>
      <c r="AV3618" t="s">
        <v>24504</v>
      </c>
      <c r="AW3618" t="s">
        <v>29904</v>
      </c>
      <c r="AX3618" t="s">
        <v>4840</v>
      </c>
      <c r="AY3618" t="s">
        <v>28958</v>
      </c>
      <c r="AZ3618" t="s">
        <v>4840</v>
      </c>
      <c r="BA3618">
        <v>1</v>
      </c>
      <c r="BB3618">
        <v>224</v>
      </c>
      <c r="BC3618">
        <v>0.41</v>
      </c>
      <c r="BD3618">
        <v>20.76</v>
      </c>
      <c r="BE3618">
        <v>21.05</v>
      </c>
      <c r="BF3618">
        <v>20.69</v>
      </c>
      <c r="BG3618" t="s">
        <v>29905</v>
      </c>
      <c r="BH3618" t="s">
        <v>29906</v>
      </c>
      <c r="BI3618" t="s">
        <v>29907</v>
      </c>
      <c r="BJ3618" t="s">
        <v>101</v>
      </c>
      <c r="BK3618" t="s">
        <v>6254</v>
      </c>
      <c r="BL3618" t="s">
        <v>19242</v>
      </c>
      <c r="BM3618" t="s">
        <v>25220</v>
      </c>
      <c r="BN3618" t="s">
        <v>27621</v>
      </c>
    </row>
    <row r="3619" spans="1:66" x14ac:dyDescent="0.25">
      <c r="A3619" t="str">
        <f>HYPERLINK("https://elite.finviz.com/quote.ashx?t=SSII&amp;ty=c&amp;p=d&amp;b=1", "SSII")</f>
        <v>SSII</v>
      </c>
      <c r="B3619">
        <v>4</v>
      </c>
      <c r="C3619">
        <v>105.92</v>
      </c>
      <c r="D3619">
        <v>41.15</v>
      </c>
      <c r="E3619" t="s">
        <v>29908</v>
      </c>
      <c r="F3619" t="s">
        <v>107</v>
      </c>
      <c r="G3619" t="s">
        <v>428</v>
      </c>
      <c r="H3619" t="s">
        <v>2051</v>
      </c>
      <c r="I3619" t="s">
        <v>70</v>
      </c>
      <c r="J3619" t="s">
        <v>321</v>
      </c>
      <c r="K3619">
        <v>1066.67</v>
      </c>
      <c r="L3619">
        <v>5.51</v>
      </c>
      <c r="M3619" t="s">
        <v>5195</v>
      </c>
      <c r="N3619">
        <v>8071</v>
      </c>
      <c r="R3619">
        <v>38.72</v>
      </c>
      <c r="S3619">
        <v>25.38</v>
      </c>
      <c r="AA3619">
        <v>-0.06</v>
      </c>
      <c r="AB3619" t="s">
        <v>7720</v>
      </c>
      <c r="AC3619" t="s">
        <v>28805</v>
      </c>
      <c r="AE3619" t="s">
        <v>22521</v>
      </c>
      <c r="AH3619" t="s">
        <v>806</v>
      </c>
      <c r="AJ3619" t="s">
        <v>164</v>
      </c>
      <c r="AK3619" t="s">
        <v>4494</v>
      </c>
      <c r="AL3619">
        <v>2.59</v>
      </c>
      <c r="AM3619">
        <v>1.66</v>
      </c>
      <c r="AN3619">
        <v>0.23</v>
      </c>
      <c r="AO3619" t="s">
        <v>9603</v>
      </c>
      <c r="AP3619" t="s">
        <v>18274</v>
      </c>
      <c r="AQ3619" t="s">
        <v>14409</v>
      </c>
      <c r="AR3619" t="s">
        <v>5700</v>
      </c>
      <c r="AS3619" t="s">
        <v>2886</v>
      </c>
      <c r="AT3619" t="s">
        <v>14960</v>
      </c>
      <c r="AU3619" t="s">
        <v>8900</v>
      </c>
      <c r="AV3619" t="s">
        <v>29909</v>
      </c>
      <c r="AW3619" t="s">
        <v>1909</v>
      </c>
      <c r="AX3619" t="s">
        <v>1496</v>
      </c>
      <c r="AY3619" t="s">
        <v>5008</v>
      </c>
      <c r="AZ3619" t="s">
        <v>2382</v>
      </c>
      <c r="BB3619">
        <v>89.07</v>
      </c>
      <c r="BC3619">
        <v>0.32</v>
      </c>
      <c r="BD3619">
        <v>5.65</v>
      </c>
      <c r="BE3619">
        <v>5.57</v>
      </c>
      <c r="BF3619">
        <v>5.5</v>
      </c>
      <c r="BG3619" t="s">
        <v>29910</v>
      </c>
      <c r="BH3619" t="s">
        <v>29911</v>
      </c>
      <c r="BJ3619" t="s">
        <v>101</v>
      </c>
      <c r="BK3619" t="s">
        <v>1580</v>
      </c>
      <c r="BL3619" t="s">
        <v>29912</v>
      </c>
      <c r="BM3619" t="s">
        <v>6364</v>
      </c>
      <c r="BN3619" t="s">
        <v>27621</v>
      </c>
    </row>
    <row r="3620" spans="1:66" x14ac:dyDescent="0.25">
      <c r="A3620" t="str">
        <f>HYPERLINK("https://elite.finviz.com/quote.ashx?t=SGC&amp;ty=c&amp;p=d&amp;b=1", "SGC")</f>
        <v>SGC</v>
      </c>
      <c r="B3620">
        <v>4</v>
      </c>
      <c r="C3620">
        <v>105.92</v>
      </c>
      <c r="D3620">
        <v>41.21</v>
      </c>
      <c r="E3620" t="s">
        <v>29913</v>
      </c>
      <c r="F3620" t="s">
        <v>67</v>
      </c>
      <c r="G3620" t="s">
        <v>813</v>
      </c>
      <c r="H3620" t="s">
        <v>7446</v>
      </c>
      <c r="I3620" t="s">
        <v>70</v>
      </c>
      <c r="J3620" t="s">
        <v>321</v>
      </c>
      <c r="K3620">
        <v>174.69</v>
      </c>
      <c r="L3620">
        <v>10.94</v>
      </c>
      <c r="M3620" t="s">
        <v>8228</v>
      </c>
      <c r="N3620">
        <v>4431</v>
      </c>
      <c r="O3620">
        <v>21.48</v>
      </c>
      <c r="P3620">
        <v>12.83</v>
      </c>
      <c r="Q3620">
        <v>1.71</v>
      </c>
      <c r="R3620">
        <v>0.3</v>
      </c>
      <c r="S3620">
        <v>0.91</v>
      </c>
      <c r="T3620" t="s">
        <v>1063</v>
      </c>
      <c r="U3620">
        <v>0.56000000000000005</v>
      </c>
      <c r="V3620" t="s">
        <v>1440</v>
      </c>
      <c r="W3620" t="s">
        <v>164</v>
      </c>
      <c r="X3620" t="s">
        <v>11629</v>
      </c>
      <c r="Y3620" t="s">
        <v>9936</v>
      </c>
      <c r="Z3620" t="s">
        <v>29914</v>
      </c>
      <c r="AA3620">
        <v>0.51</v>
      </c>
      <c r="AB3620" t="s">
        <v>8145</v>
      </c>
      <c r="AC3620" t="s">
        <v>14607</v>
      </c>
      <c r="AD3620" t="s">
        <v>14731</v>
      </c>
      <c r="AE3620" t="s">
        <v>289</v>
      </c>
      <c r="AF3620" t="s">
        <v>4946</v>
      </c>
      <c r="AG3620" t="s">
        <v>3455</v>
      </c>
      <c r="AH3620" t="s">
        <v>9789</v>
      </c>
      <c r="AI3620" t="s">
        <v>5784</v>
      </c>
      <c r="AJ3620" t="s">
        <v>4191</v>
      </c>
      <c r="AK3620" t="s">
        <v>14806</v>
      </c>
      <c r="AL3620">
        <v>2.71</v>
      </c>
      <c r="AM3620">
        <v>1.7</v>
      </c>
      <c r="AN3620">
        <v>0.59</v>
      </c>
      <c r="AO3620" t="s">
        <v>11743</v>
      </c>
      <c r="AP3620" t="s">
        <v>4154</v>
      </c>
      <c r="AQ3620" t="s">
        <v>3551</v>
      </c>
      <c r="AR3620" t="s">
        <v>995</v>
      </c>
      <c r="AS3620" t="s">
        <v>5045</v>
      </c>
      <c r="AT3620" t="s">
        <v>3300</v>
      </c>
      <c r="AU3620" t="s">
        <v>15649</v>
      </c>
      <c r="AV3620" t="s">
        <v>12495</v>
      </c>
      <c r="AW3620" t="s">
        <v>9004</v>
      </c>
      <c r="AX3620" t="s">
        <v>5438</v>
      </c>
      <c r="AY3620" t="s">
        <v>29915</v>
      </c>
      <c r="AZ3620" t="s">
        <v>12771</v>
      </c>
      <c r="BA3620">
        <v>1</v>
      </c>
      <c r="BB3620">
        <v>47</v>
      </c>
      <c r="BC3620">
        <v>0.34</v>
      </c>
      <c r="BD3620">
        <v>10.89</v>
      </c>
      <c r="BE3620">
        <v>11.04</v>
      </c>
      <c r="BF3620">
        <v>10.83</v>
      </c>
      <c r="BG3620" t="s">
        <v>29916</v>
      </c>
      <c r="BH3620" t="s">
        <v>14478</v>
      </c>
      <c r="BI3620" t="s">
        <v>29917</v>
      </c>
      <c r="BJ3620" t="s">
        <v>101</v>
      </c>
      <c r="BK3620" t="s">
        <v>3229</v>
      </c>
      <c r="BL3620" t="s">
        <v>3172</v>
      </c>
      <c r="BM3620" t="s">
        <v>27776</v>
      </c>
      <c r="BN3620" t="s">
        <v>27621</v>
      </c>
    </row>
    <row r="3621" spans="1:66" x14ac:dyDescent="0.25">
      <c r="A3621" t="str">
        <f>HYPERLINK("https://elite.finviz.com/quote.ashx?t=SDHY&amp;ty=c&amp;p=d&amp;b=1", "SDHY")</f>
        <v>SDHY</v>
      </c>
      <c r="B3621">
        <v>4</v>
      </c>
      <c r="C3621">
        <v>105.92</v>
      </c>
      <c r="D3621">
        <v>41.21</v>
      </c>
      <c r="E3621" t="s">
        <v>29918</v>
      </c>
      <c r="F3621" t="s">
        <v>107</v>
      </c>
      <c r="G3621" t="s">
        <v>550</v>
      </c>
      <c r="H3621" t="s">
        <v>2597</v>
      </c>
      <c r="I3621" t="s">
        <v>70</v>
      </c>
      <c r="J3621" t="s">
        <v>71</v>
      </c>
      <c r="K3621">
        <v>413.33</v>
      </c>
      <c r="L3621">
        <v>16.75</v>
      </c>
      <c r="M3621" t="s">
        <v>7464</v>
      </c>
      <c r="N3621">
        <v>16826</v>
      </c>
      <c r="O3621">
        <v>10.34</v>
      </c>
      <c r="T3621" t="s">
        <v>3507</v>
      </c>
      <c r="U3621">
        <v>1.3</v>
      </c>
      <c r="V3621" t="s">
        <v>3518</v>
      </c>
      <c r="W3621" t="s">
        <v>164</v>
      </c>
      <c r="X3621" t="s">
        <v>2617</v>
      </c>
      <c r="Z3621" t="s">
        <v>21871</v>
      </c>
      <c r="AA3621">
        <v>1.62</v>
      </c>
      <c r="AJ3621" t="s">
        <v>2210</v>
      </c>
      <c r="AK3621" t="s">
        <v>2659</v>
      </c>
      <c r="AR3621" t="s">
        <v>1457</v>
      </c>
      <c r="AS3621" t="s">
        <v>5036</v>
      </c>
      <c r="AT3621" t="s">
        <v>4634</v>
      </c>
      <c r="AU3621" t="s">
        <v>1714</v>
      </c>
      <c r="AV3621" t="s">
        <v>6493</v>
      </c>
      <c r="AW3621" t="s">
        <v>2978</v>
      </c>
      <c r="AX3621" t="s">
        <v>7780</v>
      </c>
      <c r="AY3621" t="s">
        <v>2978</v>
      </c>
      <c r="AZ3621" t="s">
        <v>5446</v>
      </c>
      <c r="BB3621">
        <v>57.77</v>
      </c>
      <c r="BC3621">
        <v>1.03</v>
      </c>
      <c r="BD3621">
        <v>16.68</v>
      </c>
      <c r="BE3621">
        <v>16.75</v>
      </c>
      <c r="BF3621">
        <v>16.7</v>
      </c>
      <c r="BG3621" t="s">
        <v>29919</v>
      </c>
      <c r="BH3621" t="s">
        <v>4209</v>
      </c>
      <c r="BI3621" t="s">
        <v>233</v>
      </c>
      <c r="BJ3621" t="s">
        <v>101</v>
      </c>
      <c r="BK3621" t="s">
        <v>698</v>
      </c>
      <c r="BL3621" t="s">
        <v>7780</v>
      </c>
      <c r="BM3621" t="s">
        <v>6056</v>
      </c>
      <c r="BN3621" t="s">
        <v>27621</v>
      </c>
    </row>
    <row r="3622" spans="1:66" x14ac:dyDescent="0.25">
      <c r="A3622" t="str">
        <f>HYPERLINK("https://elite.finviz.com/quote.ashx?t=PRAA&amp;ty=c&amp;p=d&amp;b=1", "PRAA")</f>
        <v>PRAA</v>
      </c>
      <c r="B3622">
        <v>4</v>
      </c>
      <c r="C3622">
        <v>105.92</v>
      </c>
      <c r="D3622">
        <v>41.22</v>
      </c>
      <c r="E3622" t="s">
        <v>29920</v>
      </c>
      <c r="F3622" t="s">
        <v>67</v>
      </c>
      <c r="G3622" t="s">
        <v>550</v>
      </c>
      <c r="H3622" t="s">
        <v>3744</v>
      </c>
      <c r="I3622" t="s">
        <v>70</v>
      </c>
      <c r="J3622" t="s">
        <v>321</v>
      </c>
      <c r="K3622">
        <v>622.04999999999995</v>
      </c>
      <c r="L3622">
        <v>15.92</v>
      </c>
      <c r="M3622" t="s">
        <v>4494</v>
      </c>
      <c r="N3622">
        <v>30140</v>
      </c>
      <c r="O3622">
        <v>6.86</v>
      </c>
      <c r="P3622">
        <v>7.59</v>
      </c>
      <c r="R3622">
        <v>0.52</v>
      </c>
      <c r="S3622">
        <v>0.47</v>
      </c>
      <c r="V3622" t="s">
        <v>29921</v>
      </c>
      <c r="Z3622" t="s">
        <v>164</v>
      </c>
      <c r="AA3622">
        <v>2.3199999999999998</v>
      </c>
      <c r="AB3622" t="s">
        <v>9109</v>
      </c>
      <c r="AC3622" t="s">
        <v>5789</v>
      </c>
      <c r="AE3622" t="s">
        <v>5970</v>
      </c>
      <c r="AF3622" t="s">
        <v>6990</v>
      </c>
      <c r="AG3622" t="s">
        <v>6003</v>
      </c>
      <c r="AH3622" t="s">
        <v>5390</v>
      </c>
      <c r="AI3622" t="s">
        <v>29922</v>
      </c>
      <c r="AJ3622" t="s">
        <v>679</v>
      </c>
      <c r="AK3622" t="s">
        <v>29923</v>
      </c>
      <c r="AL3622">
        <v>27.92</v>
      </c>
      <c r="AM3622">
        <v>27.92</v>
      </c>
      <c r="AN3622">
        <v>2.85</v>
      </c>
      <c r="AO3622" t="s">
        <v>9739</v>
      </c>
      <c r="AP3622" t="s">
        <v>15970</v>
      </c>
      <c r="AQ3622" t="s">
        <v>4512</v>
      </c>
      <c r="AR3622" t="s">
        <v>7117</v>
      </c>
      <c r="AS3622" t="s">
        <v>1769</v>
      </c>
      <c r="AT3622" t="s">
        <v>2329</v>
      </c>
      <c r="AU3622" t="s">
        <v>6464</v>
      </c>
      <c r="AV3622" t="s">
        <v>4722</v>
      </c>
      <c r="AW3622" t="s">
        <v>15010</v>
      </c>
      <c r="AX3622" t="s">
        <v>10557</v>
      </c>
      <c r="AY3622" t="s">
        <v>10628</v>
      </c>
      <c r="AZ3622" t="s">
        <v>1340</v>
      </c>
      <c r="BA3622">
        <v>2</v>
      </c>
      <c r="BB3622">
        <v>310.54000000000002</v>
      </c>
      <c r="BC3622">
        <v>0.34</v>
      </c>
      <c r="BD3622">
        <v>15.9</v>
      </c>
      <c r="BE3622">
        <v>16.010000000000002</v>
      </c>
      <c r="BF3622">
        <v>15.82</v>
      </c>
      <c r="BG3622" t="s">
        <v>29924</v>
      </c>
      <c r="BH3622" t="s">
        <v>26092</v>
      </c>
      <c r="BI3622" t="s">
        <v>29925</v>
      </c>
      <c r="BJ3622" t="s">
        <v>101</v>
      </c>
      <c r="BK3622" t="s">
        <v>2370</v>
      </c>
      <c r="BL3622" t="s">
        <v>17058</v>
      </c>
      <c r="BM3622" t="s">
        <v>5339</v>
      </c>
      <c r="BN3622" t="s">
        <v>27621</v>
      </c>
    </row>
    <row r="3623" spans="1:66" x14ac:dyDescent="0.25">
      <c r="A3623" t="str">
        <f>HYPERLINK("https://elite.finviz.com/quote.ashx?t=AIRG&amp;ty=c&amp;p=d&amp;b=1", "AIRG")</f>
        <v>AIRG</v>
      </c>
      <c r="B3623">
        <v>4</v>
      </c>
      <c r="C3623">
        <v>105.92</v>
      </c>
      <c r="D3623">
        <v>41.23</v>
      </c>
      <c r="E3623" t="s">
        <v>29926</v>
      </c>
      <c r="F3623" t="s">
        <v>107</v>
      </c>
      <c r="G3623" t="s">
        <v>108</v>
      </c>
      <c r="H3623" t="s">
        <v>1921</v>
      </c>
      <c r="I3623" t="s">
        <v>70</v>
      </c>
      <c r="J3623" t="s">
        <v>321</v>
      </c>
      <c r="K3623">
        <v>48.69</v>
      </c>
      <c r="L3623">
        <v>4.09</v>
      </c>
      <c r="M3623" t="s">
        <v>1866</v>
      </c>
      <c r="N3623">
        <v>2200</v>
      </c>
      <c r="P3623">
        <v>17.78</v>
      </c>
      <c r="R3623">
        <v>0.86</v>
      </c>
      <c r="S3623">
        <v>1.63</v>
      </c>
      <c r="AA3623">
        <v>-0.59</v>
      </c>
      <c r="AB3623" t="s">
        <v>635</v>
      </c>
      <c r="AE3623" t="s">
        <v>5025</v>
      </c>
      <c r="AF3623" t="s">
        <v>214</v>
      </c>
      <c r="AG3623" t="s">
        <v>2274</v>
      </c>
      <c r="AH3623" t="s">
        <v>9330</v>
      </c>
      <c r="AI3623" t="s">
        <v>10378</v>
      </c>
      <c r="AJ3623" t="s">
        <v>2768</v>
      </c>
      <c r="AK3623" t="s">
        <v>26362</v>
      </c>
      <c r="AL3623">
        <v>2.08</v>
      </c>
      <c r="AM3623">
        <v>1.77</v>
      </c>
      <c r="AN3623">
        <v>0.15</v>
      </c>
      <c r="AO3623" t="s">
        <v>8422</v>
      </c>
      <c r="AP3623" t="s">
        <v>4580</v>
      </c>
      <c r="AQ3623" t="s">
        <v>2266</v>
      </c>
      <c r="AR3623" t="s">
        <v>4189</v>
      </c>
      <c r="AS3623" t="s">
        <v>615</v>
      </c>
      <c r="AT3623" t="s">
        <v>14948</v>
      </c>
      <c r="AU3623" t="s">
        <v>2587</v>
      </c>
      <c r="AV3623" t="s">
        <v>8135</v>
      </c>
      <c r="AW3623" t="s">
        <v>14078</v>
      </c>
      <c r="AX3623" t="s">
        <v>3550</v>
      </c>
      <c r="AY3623" t="s">
        <v>29927</v>
      </c>
      <c r="AZ3623" t="s">
        <v>29928</v>
      </c>
      <c r="BA3623">
        <v>1</v>
      </c>
      <c r="BB3623">
        <v>31.78</v>
      </c>
      <c r="BC3623">
        <v>0.25</v>
      </c>
      <c r="BD3623">
        <v>4.17</v>
      </c>
      <c r="BE3623">
        <v>4.18</v>
      </c>
      <c r="BF3623">
        <v>4.07</v>
      </c>
      <c r="BG3623" t="s">
        <v>29929</v>
      </c>
      <c r="BH3623" t="s">
        <v>29930</v>
      </c>
      <c r="BI3623" t="s">
        <v>29931</v>
      </c>
      <c r="BJ3623" t="s">
        <v>101</v>
      </c>
      <c r="BK3623" t="s">
        <v>9475</v>
      </c>
      <c r="BL3623" t="s">
        <v>7284</v>
      </c>
      <c r="BM3623" t="s">
        <v>18239</v>
      </c>
      <c r="BN3623" t="s">
        <v>27621</v>
      </c>
    </row>
    <row r="3624" spans="1:66" x14ac:dyDescent="0.25">
      <c r="A3624" t="str">
        <f>HYPERLINK("https://elite.finviz.com/quote.ashx?t=BHE&amp;ty=c&amp;p=d&amp;b=1", "BHE")</f>
        <v>BHE</v>
      </c>
      <c r="B3624">
        <v>4</v>
      </c>
      <c r="C3624">
        <v>105.92</v>
      </c>
      <c r="D3624">
        <v>41.25</v>
      </c>
      <c r="E3624" t="s">
        <v>29932</v>
      </c>
      <c r="F3624" t="s">
        <v>67</v>
      </c>
      <c r="G3624" t="s">
        <v>108</v>
      </c>
      <c r="H3624" t="s">
        <v>3346</v>
      </c>
      <c r="I3624" t="s">
        <v>70</v>
      </c>
      <c r="J3624" t="s">
        <v>71</v>
      </c>
      <c r="K3624">
        <v>1375.56</v>
      </c>
      <c r="L3624">
        <v>38.31</v>
      </c>
      <c r="M3624" t="s">
        <v>8425</v>
      </c>
      <c r="N3624">
        <v>14960</v>
      </c>
      <c r="O3624">
        <v>36.53</v>
      </c>
      <c r="P3624">
        <v>15.07</v>
      </c>
      <c r="R3624">
        <v>0.53</v>
      </c>
      <c r="S3624">
        <v>1.24</v>
      </c>
      <c r="T3624" t="s">
        <v>1952</v>
      </c>
      <c r="U3624">
        <v>0.68</v>
      </c>
      <c r="V3624" t="s">
        <v>198</v>
      </c>
      <c r="W3624" t="s">
        <v>3349</v>
      </c>
      <c r="X3624" t="s">
        <v>3336</v>
      </c>
      <c r="Y3624" t="s">
        <v>2868</v>
      </c>
      <c r="Z3624" t="s">
        <v>1131</v>
      </c>
      <c r="AA3624">
        <v>1.05</v>
      </c>
      <c r="AB3624" t="s">
        <v>6953</v>
      </c>
      <c r="AC3624" t="s">
        <v>8462</v>
      </c>
      <c r="AE3624" t="s">
        <v>8929</v>
      </c>
      <c r="AF3624" t="s">
        <v>334</v>
      </c>
      <c r="AG3624" t="s">
        <v>8013</v>
      </c>
      <c r="AH3624" t="s">
        <v>8542</v>
      </c>
      <c r="AI3624" t="s">
        <v>1025</v>
      </c>
      <c r="AJ3624" t="s">
        <v>1820</v>
      </c>
      <c r="AK3624" t="s">
        <v>18910</v>
      </c>
      <c r="AL3624">
        <v>2.36</v>
      </c>
      <c r="AM3624">
        <v>1.46</v>
      </c>
      <c r="AN3624">
        <v>0.3</v>
      </c>
      <c r="AO3624" t="s">
        <v>1064</v>
      </c>
      <c r="AP3624" t="s">
        <v>4795</v>
      </c>
      <c r="AQ3624" t="s">
        <v>5116</v>
      </c>
      <c r="AR3624" t="s">
        <v>2582</v>
      </c>
      <c r="AS3624" t="s">
        <v>352</v>
      </c>
      <c r="AT3624" t="s">
        <v>4439</v>
      </c>
      <c r="AU3624" t="s">
        <v>9098</v>
      </c>
      <c r="AV3624" t="s">
        <v>8225</v>
      </c>
      <c r="AW3624" t="s">
        <v>14985</v>
      </c>
      <c r="AX3624" t="s">
        <v>2740</v>
      </c>
      <c r="AY3624" t="s">
        <v>16244</v>
      </c>
      <c r="AZ3624" t="s">
        <v>25369</v>
      </c>
      <c r="BA3624">
        <v>1.5</v>
      </c>
      <c r="BB3624">
        <v>269.95</v>
      </c>
      <c r="BC3624">
        <v>0.2</v>
      </c>
      <c r="BD3624">
        <v>38.409999999999997</v>
      </c>
      <c r="BE3624">
        <v>38.64</v>
      </c>
      <c r="BF3624">
        <v>38.130000000000003</v>
      </c>
      <c r="BG3624" t="s">
        <v>29933</v>
      </c>
      <c r="BH3624" t="s">
        <v>16244</v>
      </c>
      <c r="BI3624" t="s">
        <v>29934</v>
      </c>
      <c r="BJ3624" t="s">
        <v>101</v>
      </c>
      <c r="BK3624" t="s">
        <v>5195</v>
      </c>
      <c r="BL3624" t="s">
        <v>7582</v>
      </c>
      <c r="BM3624" t="s">
        <v>18956</v>
      </c>
      <c r="BN3624" t="s">
        <v>27621</v>
      </c>
    </row>
    <row r="3625" spans="1:66" x14ac:dyDescent="0.25">
      <c r="A3625" t="str">
        <f>HYPERLINK("https://elite.finviz.com/quote.ashx?t=IKT&amp;ty=c&amp;p=d&amp;b=1", "IKT")</f>
        <v>IKT</v>
      </c>
      <c r="B3625">
        <v>4</v>
      </c>
      <c r="C3625">
        <v>105.92</v>
      </c>
      <c r="D3625">
        <v>41.27</v>
      </c>
      <c r="E3625" t="s">
        <v>29935</v>
      </c>
      <c r="F3625" t="s">
        <v>67</v>
      </c>
      <c r="G3625" t="s">
        <v>428</v>
      </c>
      <c r="H3625" t="s">
        <v>429</v>
      </c>
      <c r="I3625" t="s">
        <v>70</v>
      </c>
      <c r="J3625" t="s">
        <v>321</v>
      </c>
      <c r="K3625">
        <v>111.03</v>
      </c>
      <c r="L3625">
        <v>1.49</v>
      </c>
      <c r="M3625" t="s">
        <v>11253</v>
      </c>
      <c r="N3625">
        <v>39521</v>
      </c>
      <c r="S3625">
        <v>1.39</v>
      </c>
      <c r="AA3625">
        <v>-1.0900000000000001</v>
      </c>
      <c r="AB3625" t="s">
        <v>6901</v>
      </c>
      <c r="AC3625" t="s">
        <v>4599</v>
      </c>
      <c r="AD3625" t="s">
        <v>3078</v>
      </c>
      <c r="AE3625" t="s">
        <v>579</v>
      </c>
      <c r="AI3625" t="s">
        <v>11041</v>
      </c>
      <c r="AJ3625" t="s">
        <v>164</v>
      </c>
      <c r="AK3625" t="s">
        <v>10253</v>
      </c>
      <c r="AL3625">
        <v>10.06</v>
      </c>
      <c r="AM3625">
        <v>10.06</v>
      </c>
      <c r="AN3625">
        <v>0</v>
      </c>
      <c r="AR3625" t="s">
        <v>7898</v>
      </c>
      <c r="AS3625" t="s">
        <v>2697</v>
      </c>
      <c r="AT3625" t="s">
        <v>16742</v>
      </c>
      <c r="AU3625" t="s">
        <v>6340</v>
      </c>
      <c r="AV3625" t="s">
        <v>10458</v>
      </c>
      <c r="AW3625" t="s">
        <v>20410</v>
      </c>
      <c r="AX3625" t="s">
        <v>4172</v>
      </c>
      <c r="AY3625" t="s">
        <v>18919</v>
      </c>
      <c r="AZ3625" t="s">
        <v>20722</v>
      </c>
      <c r="BA3625">
        <v>1</v>
      </c>
      <c r="BB3625">
        <v>241.43</v>
      </c>
      <c r="BC3625">
        <v>0.57999999999999996</v>
      </c>
      <c r="BD3625">
        <v>1.55</v>
      </c>
      <c r="BE3625">
        <v>1.59</v>
      </c>
      <c r="BF3625">
        <v>1.5</v>
      </c>
      <c r="BG3625" t="s">
        <v>29936</v>
      </c>
      <c r="BH3625" t="s">
        <v>24128</v>
      </c>
      <c r="BI3625" t="s">
        <v>29937</v>
      </c>
      <c r="BJ3625" t="s">
        <v>101</v>
      </c>
      <c r="BK3625" t="s">
        <v>6195</v>
      </c>
      <c r="BL3625" t="s">
        <v>25470</v>
      </c>
      <c r="BM3625" t="s">
        <v>11323</v>
      </c>
      <c r="BN3625" t="s">
        <v>27621</v>
      </c>
    </row>
    <row r="3626" spans="1:66" x14ac:dyDescent="0.25">
      <c r="A3626" t="str">
        <f>HYPERLINK("https://elite.finviz.com/quote.ashx?t=APDN&amp;ty=c&amp;p=d&amp;b=1", "APDN")</f>
        <v>APDN</v>
      </c>
      <c r="B3626">
        <v>4</v>
      </c>
      <c r="C3626">
        <v>105.92</v>
      </c>
      <c r="D3626">
        <v>41.27</v>
      </c>
      <c r="E3626" t="s">
        <v>29938</v>
      </c>
      <c r="F3626" t="s">
        <v>107</v>
      </c>
      <c r="G3626" t="s">
        <v>428</v>
      </c>
      <c r="H3626" t="s">
        <v>4202</v>
      </c>
      <c r="I3626" t="s">
        <v>70</v>
      </c>
      <c r="J3626" t="s">
        <v>321</v>
      </c>
      <c r="K3626">
        <v>3.75</v>
      </c>
      <c r="L3626">
        <v>2.9</v>
      </c>
      <c r="M3626" t="s">
        <v>9925</v>
      </c>
      <c r="N3626">
        <v>9408</v>
      </c>
      <c r="R3626">
        <v>1.1399999999999999</v>
      </c>
      <c r="S3626">
        <v>0.36</v>
      </c>
      <c r="AA3626">
        <v>-921.84</v>
      </c>
      <c r="AB3626" t="s">
        <v>9688</v>
      </c>
      <c r="AC3626" t="s">
        <v>13979</v>
      </c>
      <c r="AE3626" t="s">
        <v>6105</v>
      </c>
      <c r="AF3626" t="s">
        <v>29939</v>
      </c>
      <c r="AG3626" t="s">
        <v>5741</v>
      </c>
      <c r="AH3626" t="s">
        <v>29940</v>
      </c>
      <c r="AJ3626" t="s">
        <v>164</v>
      </c>
      <c r="AK3626" t="s">
        <v>5114</v>
      </c>
      <c r="AL3626">
        <v>2.76</v>
      </c>
      <c r="AM3626">
        <v>2.6</v>
      </c>
      <c r="AN3626">
        <v>0.05</v>
      </c>
      <c r="AO3626" t="s">
        <v>18458</v>
      </c>
      <c r="AP3626" t="s">
        <v>29941</v>
      </c>
      <c r="AQ3626" t="s">
        <v>29942</v>
      </c>
      <c r="AR3626" t="s">
        <v>334</v>
      </c>
      <c r="AS3626" t="s">
        <v>4852</v>
      </c>
      <c r="AT3626" t="s">
        <v>4569</v>
      </c>
      <c r="AU3626" t="s">
        <v>28047</v>
      </c>
      <c r="AV3626" t="s">
        <v>25428</v>
      </c>
      <c r="AW3626" t="s">
        <v>24159</v>
      </c>
      <c r="AX3626" t="s">
        <v>27166</v>
      </c>
      <c r="AY3626" t="s">
        <v>22880</v>
      </c>
      <c r="AZ3626" t="s">
        <v>27166</v>
      </c>
      <c r="BA3626">
        <v>3</v>
      </c>
      <c r="BB3626">
        <v>179.95</v>
      </c>
      <c r="BC3626">
        <v>0.19</v>
      </c>
      <c r="BD3626">
        <v>2.91</v>
      </c>
      <c r="BE3626">
        <v>2.91</v>
      </c>
      <c r="BF3626">
        <v>2.88</v>
      </c>
      <c r="BG3626" t="s">
        <v>29943</v>
      </c>
      <c r="BH3626" t="s">
        <v>579</v>
      </c>
      <c r="BI3626" t="s">
        <v>27166</v>
      </c>
      <c r="BJ3626" t="s">
        <v>101</v>
      </c>
      <c r="BK3626" t="s">
        <v>4348</v>
      </c>
      <c r="BL3626" t="s">
        <v>29944</v>
      </c>
      <c r="BM3626" t="s">
        <v>14909</v>
      </c>
      <c r="BN3626" t="s">
        <v>27621</v>
      </c>
    </row>
    <row r="3627" spans="1:66" x14ac:dyDescent="0.25">
      <c r="A3627" t="str">
        <f>HYPERLINK("https://elite.finviz.com/quote.ashx?t=ABG&amp;ty=c&amp;p=d&amp;b=1", "ABG")</f>
        <v>ABG</v>
      </c>
      <c r="B3627">
        <v>4</v>
      </c>
      <c r="C3627">
        <v>105.92</v>
      </c>
      <c r="D3627">
        <v>41.27</v>
      </c>
      <c r="E3627" t="s">
        <v>29945</v>
      </c>
      <c r="F3627" t="s">
        <v>67</v>
      </c>
      <c r="G3627" t="s">
        <v>813</v>
      </c>
      <c r="H3627" t="s">
        <v>5888</v>
      </c>
      <c r="I3627" t="s">
        <v>70</v>
      </c>
      <c r="J3627" t="s">
        <v>71</v>
      </c>
      <c r="K3627">
        <v>4663.21</v>
      </c>
      <c r="L3627">
        <v>237.18</v>
      </c>
      <c r="M3627" t="s">
        <v>3000</v>
      </c>
      <c r="N3627">
        <v>9724</v>
      </c>
      <c r="O3627">
        <v>8.66</v>
      </c>
      <c r="P3627">
        <v>8.56</v>
      </c>
      <c r="Q3627">
        <v>2.16</v>
      </c>
      <c r="R3627">
        <v>0.27</v>
      </c>
      <c r="S3627">
        <v>1.23</v>
      </c>
      <c r="V3627" t="s">
        <v>29946</v>
      </c>
      <c r="Z3627" t="s">
        <v>164</v>
      </c>
      <c r="AA3627">
        <v>27.38</v>
      </c>
      <c r="AB3627" t="s">
        <v>134</v>
      </c>
      <c r="AC3627" t="s">
        <v>7406</v>
      </c>
      <c r="AD3627" t="s">
        <v>2821</v>
      </c>
      <c r="AE3627" t="s">
        <v>224</v>
      </c>
      <c r="AF3627" t="s">
        <v>6166</v>
      </c>
      <c r="AG3627" t="s">
        <v>8982</v>
      </c>
      <c r="AH3627" t="s">
        <v>305</v>
      </c>
      <c r="AI3627" t="s">
        <v>7511</v>
      </c>
      <c r="AJ3627" t="s">
        <v>13149</v>
      </c>
      <c r="AK3627" t="s">
        <v>29947</v>
      </c>
      <c r="AL3627">
        <v>1.3</v>
      </c>
      <c r="AM3627">
        <v>0.49</v>
      </c>
      <c r="AN3627">
        <v>1.21</v>
      </c>
      <c r="AO3627" t="s">
        <v>3374</v>
      </c>
      <c r="AP3627" t="s">
        <v>1026</v>
      </c>
      <c r="AQ3627" t="s">
        <v>7088</v>
      </c>
      <c r="AR3627" t="s">
        <v>2361</v>
      </c>
      <c r="AS3627" t="s">
        <v>2743</v>
      </c>
      <c r="AT3627" t="s">
        <v>552</v>
      </c>
      <c r="AU3627" t="s">
        <v>4953</v>
      </c>
      <c r="AV3627" t="s">
        <v>4408</v>
      </c>
      <c r="AW3627" t="s">
        <v>11990</v>
      </c>
      <c r="AX3627" t="s">
        <v>6331</v>
      </c>
      <c r="AY3627" t="s">
        <v>15845</v>
      </c>
      <c r="AZ3627" t="s">
        <v>3117</v>
      </c>
      <c r="BA3627">
        <v>2.73</v>
      </c>
      <c r="BB3627">
        <v>177.38</v>
      </c>
      <c r="BC3627">
        <v>0.19</v>
      </c>
      <c r="BD3627">
        <v>236.31</v>
      </c>
      <c r="BE3627">
        <v>238.52</v>
      </c>
      <c r="BF3627">
        <v>237.28</v>
      </c>
      <c r="BG3627" t="s">
        <v>29948</v>
      </c>
      <c r="BH3627" t="s">
        <v>15845</v>
      </c>
      <c r="BI3627" t="s">
        <v>29949</v>
      </c>
      <c r="BJ3627" t="s">
        <v>101</v>
      </c>
      <c r="BK3627" t="s">
        <v>4257</v>
      </c>
      <c r="BL3627" t="s">
        <v>5100</v>
      </c>
      <c r="BM3627" t="s">
        <v>2543</v>
      </c>
      <c r="BN3627" t="s">
        <v>27621</v>
      </c>
    </row>
    <row r="3628" spans="1:66" x14ac:dyDescent="0.25">
      <c r="A3628" t="str">
        <f>HYPERLINK("https://elite.finviz.com/quote.ashx?t=TLF&amp;ty=c&amp;p=d&amp;b=1", "TLF")</f>
        <v>TLF</v>
      </c>
      <c r="B3628">
        <v>4</v>
      </c>
      <c r="C3628">
        <v>105.92</v>
      </c>
      <c r="D3628">
        <v>41.29</v>
      </c>
      <c r="E3628" t="s">
        <v>29950</v>
      </c>
      <c r="F3628" t="s">
        <v>107</v>
      </c>
      <c r="G3628" t="s">
        <v>813</v>
      </c>
      <c r="H3628" t="s">
        <v>2262</v>
      </c>
      <c r="I3628" t="s">
        <v>70</v>
      </c>
      <c r="J3628" t="s">
        <v>321</v>
      </c>
      <c r="K3628">
        <v>24.52</v>
      </c>
      <c r="L3628">
        <v>3.04</v>
      </c>
      <c r="M3628" t="s">
        <v>2290</v>
      </c>
      <c r="N3628">
        <v>1408</v>
      </c>
      <c r="O3628">
        <v>2.06</v>
      </c>
      <c r="R3628">
        <v>0.33</v>
      </c>
      <c r="S3628">
        <v>0.45</v>
      </c>
      <c r="V3628" t="s">
        <v>29951</v>
      </c>
      <c r="Z3628" t="s">
        <v>164</v>
      </c>
      <c r="AA3628">
        <v>1.47</v>
      </c>
      <c r="AB3628" t="s">
        <v>14819</v>
      </c>
      <c r="AE3628" t="s">
        <v>337</v>
      </c>
      <c r="AF3628" t="s">
        <v>1779</v>
      </c>
      <c r="AG3628" t="s">
        <v>770</v>
      </c>
      <c r="AH3628" t="s">
        <v>465</v>
      </c>
      <c r="AJ3628" t="s">
        <v>164</v>
      </c>
      <c r="AK3628" t="s">
        <v>29952</v>
      </c>
      <c r="AL3628">
        <v>4.8899999999999997</v>
      </c>
      <c r="AM3628">
        <v>1.64</v>
      </c>
      <c r="AN3628">
        <v>0.2</v>
      </c>
      <c r="AO3628" t="s">
        <v>14035</v>
      </c>
      <c r="AP3628" t="s">
        <v>2290</v>
      </c>
      <c r="AQ3628" t="s">
        <v>10252</v>
      </c>
      <c r="AR3628" t="s">
        <v>3925</v>
      </c>
      <c r="AS3628" t="s">
        <v>4154</v>
      </c>
      <c r="AT3628" t="s">
        <v>4703</v>
      </c>
      <c r="AU3628" t="s">
        <v>4174</v>
      </c>
      <c r="AV3628" t="s">
        <v>2431</v>
      </c>
      <c r="AW3628" t="s">
        <v>5064</v>
      </c>
      <c r="AX3628" t="s">
        <v>1438</v>
      </c>
      <c r="AY3628" t="s">
        <v>16708</v>
      </c>
      <c r="AZ3628" t="s">
        <v>3560</v>
      </c>
      <c r="BA3628">
        <v>1</v>
      </c>
      <c r="BB3628">
        <v>15.25</v>
      </c>
      <c r="BC3628">
        <v>0.33</v>
      </c>
      <c r="BD3628">
        <v>3.03</v>
      </c>
      <c r="BE3628">
        <v>3.04</v>
      </c>
      <c r="BF3628">
        <v>3.02</v>
      </c>
      <c r="BG3628" t="s">
        <v>29953</v>
      </c>
      <c r="BH3628" t="s">
        <v>29954</v>
      </c>
      <c r="BI3628" t="s">
        <v>29955</v>
      </c>
      <c r="BJ3628" t="s">
        <v>101</v>
      </c>
      <c r="BK3628" t="s">
        <v>4953</v>
      </c>
      <c r="BL3628" t="s">
        <v>124</v>
      </c>
      <c r="BM3628" t="s">
        <v>454</v>
      </c>
      <c r="BN3628" t="s">
        <v>27621</v>
      </c>
    </row>
    <row r="3629" spans="1:66" x14ac:dyDescent="0.25">
      <c r="A3629" t="str">
        <f>HYPERLINK("https://elite.finviz.com/quote.ashx?t=AMSF&amp;ty=c&amp;p=d&amp;b=1", "AMSF")</f>
        <v>AMSF</v>
      </c>
      <c r="B3629">
        <v>4</v>
      </c>
      <c r="C3629">
        <v>105.92</v>
      </c>
      <c r="D3629">
        <v>41.29</v>
      </c>
      <c r="E3629" t="s">
        <v>29956</v>
      </c>
      <c r="F3629" t="s">
        <v>67</v>
      </c>
      <c r="G3629" t="s">
        <v>550</v>
      </c>
      <c r="H3629" t="s">
        <v>4675</v>
      </c>
      <c r="I3629" t="s">
        <v>70</v>
      </c>
      <c r="J3629" t="s">
        <v>321</v>
      </c>
      <c r="K3629">
        <v>825.72</v>
      </c>
      <c r="L3629">
        <v>43.48</v>
      </c>
      <c r="M3629" t="s">
        <v>458</v>
      </c>
      <c r="N3629">
        <v>14224</v>
      </c>
      <c r="O3629">
        <v>16.489999999999998</v>
      </c>
      <c r="P3629">
        <v>19.43</v>
      </c>
      <c r="R3629">
        <v>2.69</v>
      </c>
      <c r="S3629">
        <v>3.11</v>
      </c>
      <c r="T3629" t="s">
        <v>4956</v>
      </c>
      <c r="U3629">
        <v>1.54</v>
      </c>
      <c r="V3629" t="s">
        <v>2620</v>
      </c>
      <c r="W3629" t="s">
        <v>1822</v>
      </c>
      <c r="X3629" t="s">
        <v>4378</v>
      </c>
      <c r="Y3629" t="s">
        <v>1282</v>
      </c>
      <c r="Z3629" t="s">
        <v>18969</v>
      </c>
      <c r="AA3629">
        <v>2.64</v>
      </c>
      <c r="AB3629" t="s">
        <v>4540</v>
      </c>
      <c r="AC3629" t="s">
        <v>10517</v>
      </c>
      <c r="AD3629" t="s">
        <v>5880</v>
      </c>
      <c r="AE3629" t="s">
        <v>5693</v>
      </c>
      <c r="AF3629" t="s">
        <v>9084</v>
      </c>
      <c r="AG3629" t="s">
        <v>7582</v>
      </c>
      <c r="AH3629" t="s">
        <v>1215</v>
      </c>
      <c r="AI3629" t="s">
        <v>1866</v>
      </c>
      <c r="AJ3629" t="s">
        <v>3388</v>
      </c>
      <c r="AK3629" t="s">
        <v>20970</v>
      </c>
      <c r="AL3629">
        <v>0.62</v>
      </c>
      <c r="AN3629">
        <v>0</v>
      </c>
      <c r="AP3629" t="s">
        <v>4607</v>
      </c>
      <c r="AQ3629" t="s">
        <v>4594</v>
      </c>
      <c r="AR3629" t="s">
        <v>3925</v>
      </c>
      <c r="AS3629" t="s">
        <v>714</v>
      </c>
      <c r="AT3629" t="s">
        <v>4698</v>
      </c>
      <c r="AU3629" t="s">
        <v>9254</v>
      </c>
      <c r="AV3629" t="s">
        <v>2753</v>
      </c>
      <c r="AW3629" t="s">
        <v>1851</v>
      </c>
      <c r="AX3629" t="s">
        <v>2307</v>
      </c>
      <c r="AY3629" t="s">
        <v>27618</v>
      </c>
      <c r="AZ3629" t="s">
        <v>342</v>
      </c>
      <c r="BA3629">
        <v>2.5</v>
      </c>
      <c r="BB3629">
        <v>122.15</v>
      </c>
      <c r="BC3629">
        <v>0.41</v>
      </c>
      <c r="BD3629">
        <v>43.1</v>
      </c>
      <c r="BE3629">
        <v>43.49</v>
      </c>
      <c r="BF3629">
        <v>43.09</v>
      </c>
      <c r="BG3629" t="s">
        <v>29957</v>
      </c>
      <c r="BH3629" t="s">
        <v>15027</v>
      </c>
      <c r="BI3629" t="s">
        <v>29958</v>
      </c>
      <c r="BJ3629" t="s">
        <v>101</v>
      </c>
      <c r="BK3629" t="s">
        <v>745</v>
      </c>
      <c r="BL3629" t="s">
        <v>16736</v>
      </c>
      <c r="BM3629" t="s">
        <v>2814</v>
      </c>
      <c r="BN3629" t="s">
        <v>27621</v>
      </c>
    </row>
    <row r="3630" spans="1:66" x14ac:dyDescent="0.25">
      <c r="A3630" t="str">
        <f>HYPERLINK("https://elite.finviz.com/quote.ashx?t=KTTA&amp;ty=c&amp;p=d&amp;b=1", "KTTA")</f>
        <v>KTTA</v>
      </c>
      <c r="B3630">
        <v>4</v>
      </c>
      <c r="C3630">
        <v>105.92</v>
      </c>
      <c r="D3630">
        <v>41.3</v>
      </c>
      <c r="E3630" t="s">
        <v>29959</v>
      </c>
      <c r="F3630" t="s">
        <v>107</v>
      </c>
      <c r="G3630" t="s">
        <v>428</v>
      </c>
      <c r="H3630" t="s">
        <v>429</v>
      </c>
      <c r="I3630" t="s">
        <v>70</v>
      </c>
      <c r="J3630" t="s">
        <v>321</v>
      </c>
      <c r="K3630">
        <v>5.25</v>
      </c>
      <c r="L3630">
        <v>0.71</v>
      </c>
      <c r="M3630" t="s">
        <v>148</v>
      </c>
      <c r="N3630">
        <v>38209</v>
      </c>
      <c r="S3630">
        <v>0.35</v>
      </c>
      <c r="AA3630">
        <v>-7.55</v>
      </c>
      <c r="AB3630" t="s">
        <v>23501</v>
      </c>
      <c r="AC3630" t="s">
        <v>29960</v>
      </c>
      <c r="AE3630" t="s">
        <v>579</v>
      </c>
      <c r="AI3630" t="s">
        <v>11702</v>
      </c>
      <c r="AJ3630" t="s">
        <v>4955</v>
      </c>
      <c r="AK3630" t="s">
        <v>4795</v>
      </c>
      <c r="AL3630">
        <v>4.97</v>
      </c>
      <c r="AM3630">
        <v>4.97</v>
      </c>
      <c r="AN3630">
        <v>0.01</v>
      </c>
      <c r="AR3630" t="s">
        <v>122</v>
      </c>
      <c r="AS3630" t="s">
        <v>506</v>
      </c>
      <c r="AT3630" t="s">
        <v>6246</v>
      </c>
      <c r="AU3630" t="s">
        <v>2288</v>
      </c>
      <c r="AV3630" t="s">
        <v>3074</v>
      </c>
      <c r="AW3630" t="s">
        <v>1335</v>
      </c>
      <c r="AX3630" t="s">
        <v>1341</v>
      </c>
      <c r="AY3630" t="s">
        <v>472</v>
      </c>
      <c r="AZ3630" t="s">
        <v>1341</v>
      </c>
      <c r="BA3630">
        <v>1</v>
      </c>
      <c r="BB3630">
        <v>131.69</v>
      </c>
      <c r="BC3630">
        <v>1.03</v>
      </c>
      <c r="BD3630">
        <v>0.71</v>
      </c>
      <c r="BE3630">
        <v>0.73</v>
      </c>
      <c r="BF3630">
        <v>0.7</v>
      </c>
      <c r="BG3630" t="s">
        <v>29961</v>
      </c>
      <c r="BH3630" t="s">
        <v>884</v>
      </c>
      <c r="BI3630" t="s">
        <v>1341</v>
      </c>
      <c r="BJ3630" t="s">
        <v>101</v>
      </c>
      <c r="BK3630" t="s">
        <v>4243</v>
      </c>
      <c r="BL3630" t="s">
        <v>29962</v>
      </c>
      <c r="BM3630" t="s">
        <v>29963</v>
      </c>
      <c r="BN3630" t="s">
        <v>27621</v>
      </c>
    </row>
    <row r="3631" spans="1:66" x14ac:dyDescent="0.25">
      <c r="A3631" t="str">
        <f>HYPERLINK("https://elite.finviz.com/quote.ashx?t=UHT&amp;ty=c&amp;p=d&amp;b=1", "UHT")</f>
        <v>UHT</v>
      </c>
      <c r="B3631">
        <v>4</v>
      </c>
      <c r="C3631">
        <v>105.92</v>
      </c>
      <c r="D3631">
        <v>41.3</v>
      </c>
      <c r="E3631" t="s">
        <v>29964</v>
      </c>
      <c r="F3631" t="s">
        <v>67</v>
      </c>
      <c r="G3631" t="s">
        <v>68</v>
      </c>
      <c r="H3631" t="s">
        <v>6072</v>
      </c>
      <c r="I3631" t="s">
        <v>70</v>
      </c>
      <c r="J3631" t="s">
        <v>71</v>
      </c>
      <c r="K3631">
        <v>542.20000000000005</v>
      </c>
      <c r="L3631">
        <v>39.08</v>
      </c>
      <c r="M3631" t="s">
        <v>497</v>
      </c>
      <c r="N3631">
        <v>6434</v>
      </c>
      <c r="O3631">
        <v>30.2</v>
      </c>
      <c r="R3631">
        <v>5.5</v>
      </c>
      <c r="S3631">
        <v>3.28</v>
      </c>
      <c r="T3631" t="s">
        <v>2922</v>
      </c>
      <c r="U3631">
        <v>2.95</v>
      </c>
      <c r="V3631" t="s">
        <v>4676</v>
      </c>
      <c r="W3631" t="s">
        <v>5058</v>
      </c>
      <c r="X3631" t="s">
        <v>2554</v>
      </c>
      <c r="Y3631" t="s">
        <v>6829</v>
      </c>
      <c r="Z3631" t="s">
        <v>29965</v>
      </c>
      <c r="AA3631">
        <v>1.29</v>
      </c>
      <c r="AB3631" t="s">
        <v>12185</v>
      </c>
      <c r="AC3631" t="s">
        <v>6156</v>
      </c>
      <c r="AE3631" t="s">
        <v>3358</v>
      </c>
      <c r="AF3631" t="s">
        <v>4403</v>
      </c>
      <c r="AG3631" t="s">
        <v>7453</v>
      </c>
      <c r="AH3631" t="s">
        <v>4901</v>
      </c>
      <c r="AJ3631" t="s">
        <v>164</v>
      </c>
      <c r="AK3631" t="s">
        <v>21902</v>
      </c>
      <c r="AL3631">
        <v>8.4600000000000009</v>
      </c>
      <c r="AM3631">
        <v>8.4600000000000009</v>
      </c>
      <c r="AN3631">
        <v>2.33</v>
      </c>
      <c r="AO3631" t="s">
        <v>27166</v>
      </c>
      <c r="AP3631" t="s">
        <v>5385</v>
      </c>
      <c r="AQ3631" t="s">
        <v>10042</v>
      </c>
      <c r="AR3631" t="s">
        <v>465</v>
      </c>
      <c r="AS3631" t="s">
        <v>1439</v>
      </c>
      <c r="AT3631" t="s">
        <v>552</v>
      </c>
      <c r="AU3631" t="s">
        <v>4367</v>
      </c>
      <c r="AV3631" t="s">
        <v>4828</v>
      </c>
      <c r="AW3631" t="s">
        <v>357</v>
      </c>
      <c r="AX3631" t="s">
        <v>1050</v>
      </c>
      <c r="AY3631" t="s">
        <v>18510</v>
      </c>
      <c r="AZ3631" t="s">
        <v>4258</v>
      </c>
      <c r="BA3631">
        <v>3</v>
      </c>
      <c r="BB3631">
        <v>69.48</v>
      </c>
      <c r="BC3631">
        <v>0.33</v>
      </c>
      <c r="BD3631">
        <v>39</v>
      </c>
      <c r="BE3631">
        <v>39.36</v>
      </c>
      <c r="BF3631">
        <v>38.94</v>
      </c>
      <c r="BG3631" t="s">
        <v>29966</v>
      </c>
      <c r="BH3631" t="s">
        <v>3219</v>
      </c>
      <c r="BI3631" t="s">
        <v>29967</v>
      </c>
      <c r="BJ3631" t="s">
        <v>101</v>
      </c>
      <c r="BK3631" t="s">
        <v>3811</v>
      </c>
      <c r="BL3631" t="s">
        <v>9085</v>
      </c>
      <c r="BM3631" t="s">
        <v>4238</v>
      </c>
      <c r="BN3631" t="s">
        <v>27621</v>
      </c>
    </row>
    <row r="3632" spans="1:66" x14ac:dyDescent="0.25">
      <c r="A3632" t="str">
        <f>HYPERLINK("https://elite.finviz.com/quote.ashx?t=REBN&amp;ty=c&amp;p=d&amp;b=1", "REBN")</f>
        <v>REBN</v>
      </c>
      <c r="B3632">
        <v>4</v>
      </c>
      <c r="C3632">
        <v>105.92</v>
      </c>
      <c r="D3632">
        <v>41.31</v>
      </c>
      <c r="E3632" t="s">
        <v>29968</v>
      </c>
      <c r="F3632" t="s">
        <v>107</v>
      </c>
      <c r="G3632" t="s">
        <v>813</v>
      </c>
      <c r="H3632" t="s">
        <v>2285</v>
      </c>
      <c r="I3632" t="s">
        <v>70</v>
      </c>
      <c r="J3632" t="s">
        <v>321</v>
      </c>
      <c r="K3632">
        <v>13.17</v>
      </c>
      <c r="L3632">
        <v>2.4300000000000002</v>
      </c>
      <c r="M3632" t="s">
        <v>7089</v>
      </c>
      <c r="N3632">
        <v>9065</v>
      </c>
      <c r="R3632">
        <v>2</v>
      </c>
      <c r="AA3632">
        <v>-2.34</v>
      </c>
      <c r="AB3632" t="s">
        <v>29969</v>
      </c>
      <c r="AC3632" t="s">
        <v>29970</v>
      </c>
      <c r="AE3632" t="s">
        <v>6413</v>
      </c>
      <c r="AF3632" t="s">
        <v>23895</v>
      </c>
      <c r="AG3632" t="s">
        <v>22127</v>
      </c>
      <c r="AH3632" t="s">
        <v>7409</v>
      </c>
      <c r="AJ3632" t="s">
        <v>164</v>
      </c>
      <c r="AK3632" t="s">
        <v>821</v>
      </c>
      <c r="AL3632">
        <v>0.14000000000000001</v>
      </c>
      <c r="AM3632">
        <v>0.11</v>
      </c>
      <c r="AO3632" t="s">
        <v>29971</v>
      </c>
      <c r="AP3632" t="s">
        <v>29972</v>
      </c>
      <c r="AQ3632" t="s">
        <v>29973</v>
      </c>
      <c r="AR3632" t="s">
        <v>4104</v>
      </c>
      <c r="AS3632" t="s">
        <v>8593</v>
      </c>
      <c r="AT3632" t="s">
        <v>4316</v>
      </c>
      <c r="AU3632" t="s">
        <v>7190</v>
      </c>
      <c r="AV3632" t="s">
        <v>2128</v>
      </c>
      <c r="AW3632" t="s">
        <v>15425</v>
      </c>
      <c r="AX3632" t="s">
        <v>3602</v>
      </c>
      <c r="AY3632" t="s">
        <v>29974</v>
      </c>
      <c r="AZ3632" t="s">
        <v>22640</v>
      </c>
      <c r="BA3632">
        <v>1</v>
      </c>
      <c r="BB3632">
        <v>88.15</v>
      </c>
      <c r="BC3632">
        <v>0.37</v>
      </c>
      <c r="BD3632">
        <v>2.4700000000000002</v>
      </c>
      <c r="BE3632">
        <v>2.4700000000000002</v>
      </c>
      <c r="BF3632">
        <v>2.4</v>
      </c>
      <c r="BG3632" t="s">
        <v>29975</v>
      </c>
      <c r="BH3632" t="s">
        <v>29976</v>
      </c>
      <c r="BI3632" t="s">
        <v>29977</v>
      </c>
      <c r="BJ3632" t="s">
        <v>101</v>
      </c>
      <c r="BK3632" t="s">
        <v>16782</v>
      </c>
      <c r="BL3632" t="s">
        <v>23869</v>
      </c>
      <c r="BM3632" t="s">
        <v>13684</v>
      </c>
      <c r="BN3632" t="s">
        <v>27621</v>
      </c>
    </row>
    <row r="3633" spans="1:66" x14ac:dyDescent="0.25">
      <c r="A3633" t="str">
        <f>HYPERLINK("https://elite.finviz.com/quote.ashx?t=RNST&amp;ty=c&amp;p=d&amp;b=1", "RNST")</f>
        <v>RNST</v>
      </c>
      <c r="B3633">
        <v>4</v>
      </c>
      <c r="C3633">
        <v>105.92</v>
      </c>
      <c r="D3633">
        <v>41.33</v>
      </c>
      <c r="E3633" t="s">
        <v>29978</v>
      </c>
      <c r="F3633" t="s">
        <v>67</v>
      </c>
      <c r="G3633" t="s">
        <v>550</v>
      </c>
      <c r="H3633" t="s">
        <v>697</v>
      </c>
      <c r="I3633" t="s">
        <v>70</v>
      </c>
      <c r="J3633" t="s">
        <v>71</v>
      </c>
      <c r="K3633">
        <v>3514.77</v>
      </c>
      <c r="L3633">
        <v>36.99</v>
      </c>
      <c r="M3633" t="s">
        <v>2103</v>
      </c>
      <c r="N3633">
        <v>58822</v>
      </c>
      <c r="O3633">
        <v>14.6</v>
      </c>
      <c r="P3633">
        <v>10.81</v>
      </c>
      <c r="R3633">
        <v>2.86</v>
      </c>
      <c r="S3633">
        <v>0.93</v>
      </c>
      <c r="T3633" t="s">
        <v>744</v>
      </c>
      <c r="U3633">
        <v>0.88</v>
      </c>
      <c r="V3633" t="s">
        <v>5925</v>
      </c>
      <c r="W3633" t="s">
        <v>164</v>
      </c>
      <c r="X3633" t="s">
        <v>164</v>
      </c>
      <c r="Y3633" t="s">
        <v>822</v>
      </c>
      <c r="Z3633" t="s">
        <v>10168</v>
      </c>
      <c r="AA3633">
        <v>2.5299999999999998</v>
      </c>
      <c r="AB3633" t="s">
        <v>2186</v>
      </c>
      <c r="AC3633" t="s">
        <v>90</v>
      </c>
      <c r="AE3633" t="s">
        <v>12627</v>
      </c>
      <c r="AF3633" t="s">
        <v>7079</v>
      </c>
      <c r="AG3633" t="s">
        <v>8050</v>
      </c>
      <c r="AH3633" t="s">
        <v>29979</v>
      </c>
      <c r="AI3633" t="s">
        <v>3881</v>
      </c>
      <c r="AJ3633" t="s">
        <v>211</v>
      </c>
      <c r="AK3633" t="s">
        <v>29980</v>
      </c>
      <c r="AL3633">
        <v>0.25</v>
      </c>
      <c r="AN3633">
        <v>0.25</v>
      </c>
      <c r="AP3633" t="s">
        <v>14659</v>
      </c>
      <c r="AQ3633" t="s">
        <v>2463</v>
      </c>
      <c r="AR3633" t="s">
        <v>5258</v>
      </c>
      <c r="AS3633" t="s">
        <v>5660</v>
      </c>
      <c r="AT3633" t="s">
        <v>5763</v>
      </c>
      <c r="AU3633" t="s">
        <v>2190</v>
      </c>
      <c r="AV3633" t="s">
        <v>3636</v>
      </c>
      <c r="AW3633" t="s">
        <v>6660</v>
      </c>
      <c r="AX3633" t="s">
        <v>3054</v>
      </c>
      <c r="AY3633" t="s">
        <v>6660</v>
      </c>
      <c r="AZ3633" t="s">
        <v>6379</v>
      </c>
      <c r="BA3633">
        <v>1.57</v>
      </c>
      <c r="BB3633">
        <v>568.59</v>
      </c>
      <c r="BC3633">
        <v>0.36</v>
      </c>
      <c r="BD3633">
        <v>37.200000000000003</v>
      </c>
      <c r="BE3633">
        <v>37.6</v>
      </c>
      <c r="BF3633">
        <v>36.97</v>
      </c>
      <c r="BG3633" t="s">
        <v>29981</v>
      </c>
      <c r="BH3633" t="s">
        <v>12530</v>
      </c>
      <c r="BI3633" t="s">
        <v>29982</v>
      </c>
      <c r="BJ3633" t="s">
        <v>101</v>
      </c>
      <c r="BK3633" t="s">
        <v>451</v>
      </c>
      <c r="BL3633" t="s">
        <v>334</v>
      </c>
      <c r="BM3633" t="s">
        <v>7116</v>
      </c>
      <c r="BN3633" t="s">
        <v>27621</v>
      </c>
    </row>
    <row r="3634" spans="1:66" x14ac:dyDescent="0.25">
      <c r="A3634" t="str">
        <f>HYPERLINK("https://elite.finviz.com/quote.ashx?t=AOMR&amp;ty=c&amp;p=d&amp;b=1", "AOMR")</f>
        <v>AOMR</v>
      </c>
      <c r="B3634">
        <v>4</v>
      </c>
      <c r="C3634">
        <v>105.92</v>
      </c>
      <c r="D3634">
        <v>41.33</v>
      </c>
      <c r="E3634" t="s">
        <v>29983</v>
      </c>
      <c r="F3634" t="s">
        <v>67</v>
      </c>
      <c r="G3634" t="s">
        <v>68</v>
      </c>
      <c r="H3634" t="s">
        <v>5566</v>
      </c>
      <c r="I3634" t="s">
        <v>70</v>
      </c>
      <c r="J3634" t="s">
        <v>71</v>
      </c>
      <c r="K3634">
        <v>224.12</v>
      </c>
      <c r="L3634">
        <v>9.43</v>
      </c>
      <c r="M3634" t="s">
        <v>15000</v>
      </c>
      <c r="N3634">
        <v>12303</v>
      </c>
      <c r="O3634">
        <v>6.1</v>
      </c>
      <c r="P3634">
        <v>6.79</v>
      </c>
      <c r="Q3634">
        <v>0.08</v>
      </c>
      <c r="R3634">
        <v>1.86</v>
      </c>
      <c r="S3634">
        <v>0.91</v>
      </c>
      <c r="T3634" t="s">
        <v>7116</v>
      </c>
      <c r="U3634">
        <v>1.1000000000000001</v>
      </c>
      <c r="V3634" t="s">
        <v>4186</v>
      </c>
      <c r="W3634" t="s">
        <v>164</v>
      </c>
      <c r="X3634" t="s">
        <v>2238</v>
      </c>
      <c r="Z3634" t="s">
        <v>29984</v>
      </c>
      <c r="AA3634">
        <v>1.55</v>
      </c>
      <c r="AB3634" t="s">
        <v>2891</v>
      </c>
      <c r="AC3634" t="s">
        <v>5961</v>
      </c>
      <c r="AD3634" t="s">
        <v>29985</v>
      </c>
      <c r="AE3634" t="s">
        <v>29986</v>
      </c>
      <c r="AF3634" t="s">
        <v>10829</v>
      </c>
      <c r="AG3634" t="s">
        <v>10230</v>
      </c>
      <c r="AH3634" t="s">
        <v>23965</v>
      </c>
      <c r="AI3634" t="s">
        <v>29987</v>
      </c>
      <c r="AJ3634" t="s">
        <v>17450</v>
      </c>
      <c r="AK3634" t="s">
        <v>15704</v>
      </c>
      <c r="AL3634">
        <v>0.12</v>
      </c>
      <c r="AM3634">
        <v>0.12</v>
      </c>
      <c r="AN3634">
        <v>8.2899999999999991</v>
      </c>
      <c r="AO3634" t="s">
        <v>21337</v>
      </c>
      <c r="AP3634" t="s">
        <v>29988</v>
      </c>
      <c r="AQ3634" t="s">
        <v>15195</v>
      </c>
      <c r="AR3634" t="s">
        <v>2449</v>
      </c>
      <c r="AS3634" t="s">
        <v>909</v>
      </c>
      <c r="AT3634" t="s">
        <v>6058</v>
      </c>
      <c r="AU3634" t="s">
        <v>5070</v>
      </c>
      <c r="AV3634" t="s">
        <v>5693</v>
      </c>
      <c r="AW3634" t="s">
        <v>3091</v>
      </c>
      <c r="AX3634" t="s">
        <v>7512</v>
      </c>
      <c r="AY3634" t="s">
        <v>19351</v>
      </c>
      <c r="AZ3634" t="s">
        <v>2525</v>
      </c>
      <c r="BA3634">
        <v>1.67</v>
      </c>
      <c r="BB3634">
        <v>142.36000000000001</v>
      </c>
      <c r="BC3634">
        <v>0.3</v>
      </c>
      <c r="BD3634">
        <v>9.4700000000000006</v>
      </c>
      <c r="BE3634">
        <v>9.57</v>
      </c>
      <c r="BF3634">
        <v>9.43</v>
      </c>
      <c r="BG3634" t="s">
        <v>29989</v>
      </c>
      <c r="BH3634" t="s">
        <v>8876</v>
      </c>
      <c r="BI3634" t="s">
        <v>29588</v>
      </c>
      <c r="BJ3634" t="s">
        <v>101</v>
      </c>
      <c r="BK3634" t="s">
        <v>7464</v>
      </c>
      <c r="BL3634" t="s">
        <v>7193</v>
      </c>
      <c r="BM3634" t="s">
        <v>10411</v>
      </c>
      <c r="BN3634" t="s">
        <v>27621</v>
      </c>
    </row>
    <row r="3635" spans="1:66" x14ac:dyDescent="0.25">
      <c r="A3635" t="str">
        <f>HYPERLINK("https://elite.finviz.com/quote.ashx?t=HBB&amp;ty=c&amp;p=d&amp;b=1", "HBB")</f>
        <v>HBB</v>
      </c>
      <c r="B3635">
        <v>4</v>
      </c>
      <c r="C3635">
        <v>105.92</v>
      </c>
      <c r="D3635">
        <v>41.33</v>
      </c>
      <c r="E3635" t="s">
        <v>29990</v>
      </c>
      <c r="F3635" t="s">
        <v>67</v>
      </c>
      <c r="G3635" t="s">
        <v>813</v>
      </c>
      <c r="H3635" t="s">
        <v>3866</v>
      </c>
      <c r="I3635" t="s">
        <v>70</v>
      </c>
      <c r="J3635" t="s">
        <v>71</v>
      </c>
      <c r="K3635">
        <v>185.03</v>
      </c>
      <c r="L3635">
        <v>13.73</v>
      </c>
      <c r="M3635" t="s">
        <v>9075</v>
      </c>
      <c r="N3635">
        <v>1662</v>
      </c>
      <c r="O3635">
        <v>5.83</v>
      </c>
      <c r="R3635">
        <v>0.28999999999999998</v>
      </c>
      <c r="S3635">
        <v>1.1299999999999999</v>
      </c>
      <c r="T3635" t="s">
        <v>5369</v>
      </c>
      <c r="U3635">
        <v>0.47</v>
      </c>
      <c r="V3635" t="s">
        <v>2187</v>
      </c>
      <c r="W3635" t="s">
        <v>9751</v>
      </c>
      <c r="X3635" t="s">
        <v>161</v>
      </c>
      <c r="Y3635" t="s">
        <v>3949</v>
      </c>
      <c r="Z3635" t="s">
        <v>15283</v>
      </c>
      <c r="AA3635">
        <v>2.35</v>
      </c>
      <c r="AB3635" t="s">
        <v>9545</v>
      </c>
      <c r="AE3635" t="s">
        <v>6838</v>
      </c>
      <c r="AF3635" t="s">
        <v>1648</v>
      </c>
      <c r="AG3635" t="s">
        <v>4280</v>
      </c>
      <c r="AH3635" t="s">
        <v>16798</v>
      </c>
      <c r="AJ3635" t="s">
        <v>164</v>
      </c>
      <c r="AK3635" t="s">
        <v>10113</v>
      </c>
      <c r="AL3635">
        <v>2.4700000000000002</v>
      </c>
      <c r="AM3635">
        <v>0.95</v>
      </c>
      <c r="AN3635">
        <v>0.57999999999999996</v>
      </c>
      <c r="AO3635" t="s">
        <v>6703</v>
      </c>
      <c r="AP3635" t="s">
        <v>3566</v>
      </c>
      <c r="AQ3635" t="s">
        <v>1104</v>
      </c>
      <c r="AR3635" t="s">
        <v>1871</v>
      </c>
      <c r="AS3635" t="s">
        <v>2647</v>
      </c>
      <c r="AT3635" t="s">
        <v>7256</v>
      </c>
      <c r="AU3635" t="s">
        <v>14732</v>
      </c>
      <c r="AV3635" t="s">
        <v>9825</v>
      </c>
      <c r="AW3635" t="s">
        <v>8713</v>
      </c>
      <c r="AX3635" t="s">
        <v>223</v>
      </c>
      <c r="AY3635" t="s">
        <v>22909</v>
      </c>
      <c r="AZ3635" t="s">
        <v>223</v>
      </c>
      <c r="BA3635">
        <v>3</v>
      </c>
      <c r="BB3635">
        <v>32.630000000000003</v>
      </c>
      <c r="BC3635">
        <v>0.18</v>
      </c>
      <c r="BD3635">
        <v>13.93</v>
      </c>
      <c r="BE3635">
        <v>13.73</v>
      </c>
      <c r="BF3635">
        <v>13.73</v>
      </c>
      <c r="BG3635" t="s">
        <v>29991</v>
      </c>
      <c r="BH3635" t="s">
        <v>29992</v>
      </c>
      <c r="BI3635" t="s">
        <v>29993</v>
      </c>
      <c r="BJ3635" t="s">
        <v>101</v>
      </c>
      <c r="BK3635" t="s">
        <v>11193</v>
      </c>
      <c r="BL3635" t="s">
        <v>5125</v>
      </c>
      <c r="BM3635" t="s">
        <v>26065</v>
      </c>
      <c r="BN3635" t="s">
        <v>27621</v>
      </c>
    </row>
    <row r="3636" spans="1:66" x14ac:dyDescent="0.25">
      <c r="A3636" t="str">
        <f>HYPERLINK("https://elite.finviz.com/quote.ashx?t=BDC&amp;ty=c&amp;p=d&amp;b=1", "BDC")</f>
        <v>BDC</v>
      </c>
      <c r="B3636">
        <v>4</v>
      </c>
      <c r="C3636">
        <v>105.92</v>
      </c>
      <c r="D3636">
        <v>41.34</v>
      </c>
      <c r="E3636" t="s">
        <v>29994</v>
      </c>
      <c r="F3636" t="s">
        <v>67</v>
      </c>
      <c r="G3636" t="s">
        <v>108</v>
      </c>
      <c r="H3636" t="s">
        <v>1921</v>
      </c>
      <c r="I3636" t="s">
        <v>70</v>
      </c>
      <c r="J3636" t="s">
        <v>71</v>
      </c>
      <c r="K3636">
        <v>4901.88</v>
      </c>
      <c r="L3636">
        <v>123.72</v>
      </c>
      <c r="M3636" t="s">
        <v>8932</v>
      </c>
      <c r="N3636">
        <v>22453</v>
      </c>
      <c r="O3636">
        <v>22.44</v>
      </c>
      <c r="P3636">
        <v>15.91</v>
      </c>
      <c r="Q3636">
        <v>2.4900000000000002</v>
      </c>
      <c r="R3636">
        <v>1.87</v>
      </c>
      <c r="S3636">
        <v>3.96</v>
      </c>
      <c r="T3636" t="s">
        <v>6156</v>
      </c>
      <c r="U3636">
        <v>0.2</v>
      </c>
      <c r="V3636" t="s">
        <v>7788</v>
      </c>
      <c r="W3636" t="s">
        <v>164</v>
      </c>
      <c r="X3636" t="s">
        <v>164</v>
      </c>
      <c r="Y3636" t="s">
        <v>164</v>
      </c>
      <c r="Z3636" t="s">
        <v>4690</v>
      </c>
      <c r="AA3636">
        <v>5.51</v>
      </c>
      <c r="AB3636" t="s">
        <v>29995</v>
      </c>
      <c r="AD3636" t="s">
        <v>2887</v>
      </c>
      <c r="AE3636" t="s">
        <v>9545</v>
      </c>
      <c r="AF3636" t="s">
        <v>1599</v>
      </c>
      <c r="AG3636" t="s">
        <v>6937</v>
      </c>
      <c r="AH3636" t="s">
        <v>6293</v>
      </c>
      <c r="AI3636" t="s">
        <v>438</v>
      </c>
      <c r="AJ3636" t="s">
        <v>14331</v>
      </c>
      <c r="AK3636" t="s">
        <v>28977</v>
      </c>
      <c r="AL3636">
        <v>1.99</v>
      </c>
      <c r="AM3636">
        <v>1.35</v>
      </c>
      <c r="AN3636">
        <v>1.1299999999999999</v>
      </c>
      <c r="AO3636" t="s">
        <v>4484</v>
      </c>
      <c r="AP3636" t="s">
        <v>5127</v>
      </c>
      <c r="AQ3636" t="s">
        <v>7436</v>
      </c>
      <c r="AR3636" t="s">
        <v>180</v>
      </c>
      <c r="AS3636" t="s">
        <v>679</v>
      </c>
      <c r="AT3636" t="s">
        <v>2814</v>
      </c>
      <c r="AU3636" t="s">
        <v>4124</v>
      </c>
      <c r="AV3636" t="s">
        <v>9204</v>
      </c>
      <c r="AW3636" t="s">
        <v>14732</v>
      </c>
      <c r="AX3636" t="s">
        <v>710</v>
      </c>
      <c r="AY3636" t="s">
        <v>14732</v>
      </c>
      <c r="AZ3636" t="s">
        <v>23795</v>
      </c>
      <c r="BA3636">
        <v>1.57</v>
      </c>
      <c r="BB3636">
        <v>301.37</v>
      </c>
      <c r="BC3636">
        <v>0.26</v>
      </c>
      <c r="BD3636">
        <v>124.49</v>
      </c>
      <c r="BE3636">
        <v>125.08</v>
      </c>
      <c r="BF3636">
        <v>123.45</v>
      </c>
      <c r="BG3636" t="s">
        <v>29996</v>
      </c>
      <c r="BH3636" t="s">
        <v>14732</v>
      </c>
      <c r="BI3636" t="s">
        <v>29997</v>
      </c>
      <c r="BJ3636" t="s">
        <v>101</v>
      </c>
      <c r="BK3636" t="s">
        <v>414</v>
      </c>
      <c r="BL3636" t="s">
        <v>1085</v>
      </c>
      <c r="BM3636" t="s">
        <v>4686</v>
      </c>
      <c r="BN3636" t="s">
        <v>27621</v>
      </c>
    </row>
    <row r="3637" spans="1:66" x14ac:dyDescent="0.25">
      <c r="A3637" t="str">
        <f>HYPERLINK("https://elite.finviz.com/quote.ashx?t=ANGI&amp;ty=c&amp;p=d&amp;b=1", "ANGI")</f>
        <v>ANGI</v>
      </c>
      <c r="B3637">
        <v>4</v>
      </c>
      <c r="C3637">
        <v>105.92</v>
      </c>
      <c r="D3637">
        <v>41.35</v>
      </c>
      <c r="E3637" t="s">
        <v>29998</v>
      </c>
      <c r="F3637" t="s">
        <v>67</v>
      </c>
      <c r="G3637" t="s">
        <v>598</v>
      </c>
      <c r="H3637" t="s">
        <v>599</v>
      </c>
      <c r="I3637" t="s">
        <v>70</v>
      </c>
      <c r="J3637" t="s">
        <v>321</v>
      </c>
      <c r="K3637">
        <v>736.08</v>
      </c>
      <c r="L3637">
        <v>16.600000000000001</v>
      </c>
      <c r="M3637" t="s">
        <v>3890</v>
      </c>
      <c r="N3637">
        <v>76686</v>
      </c>
      <c r="O3637">
        <v>13.86</v>
      </c>
      <c r="P3637">
        <v>10.82</v>
      </c>
      <c r="Q3637">
        <v>0.39</v>
      </c>
      <c r="R3637">
        <v>0.68</v>
      </c>
      <c r="S3637">
        <v>0.75</v>
      </c>
      <c r="Z3637" t="s">
        <v>164</v>
      </c>
      <c r="AA3637">
        <v>1.2</v>
      </c>
      <c r="AC3637" t="s">
        <v>3018</v>
      </c>
      <c r="AD3637" t="s">
        <v>27553</v>
      </c>
      <c r="AE3637" t="s">
        <v>3728</v>
      </c>
      <c r="AF3637" t="s">
        <v>528</v>
      </c>
      <c r="AG3637" t="s">
        <v>5444</v>
      </c>
      <c r="AH3637" t="s">
        <v>3239</v>
      </c>
      <c r="AI3637" t="s">
        <v>5596</v>
      </c>
      <c r="AJ3637" t="s">
        <v>164</v>
      </c>
      <c r="AK3637" t="s">
        <v>8391</v>
      </c>
      <c r="AL3637">
        <v>1.79</v>
      </c>
      <c r="AM3637">
        <v>1.79</v>
      </c>
      <c r="AN3637">
        <v>0.5</v>
      </c>
      <c r="AO3637" t="s">
        <v>10260</v>
      </c>
      <c r="AP3637" t="s">
        <v>3020</v>
      </c>
      <c r="AQ3637" t="s">
        <v>2370</v>
      </c>
      <c r="AR3637" t="s">
        <v>891</v>
      </c>
      <c r="AS3637" t="s">
        <v>2234</v>
      </c>
      <c r="AT3637" t="s">
        <v>11445</v>
      </c>
      <c r="AU3637" t="s">
        <v>8607</v>
      </c>
      <c r="AV3637" t="s">
        <v>4493</v>
      </c>
      <c r="AW3637" t="s">
        <v>19304</v>
      </c>
      <c r="AX3637" t="s">
        <v>15964</v>
      </c>
      <c r="AY3637" t="s">
        <v>21288</v>
      </c>
      <c r="AZ3637" t="s">
        <v>10850</v>
      </c>
      <c r="BA3637">
        <v>2.33</v>
      </c>
      <c r="BB3637">
        <v>899.88</v>
      </c>
      <c r="BC3637">
        <v>0.3</v>
      </c>
      <c r="BD3637">
        <v>16.649999999999999</v>
      </c>
      <c r="BE3637">
        <v>16.670000000000002</v>
      </c>
      <c r="BF3637">
        <v>16.440000000000001</v>
      </c>
      <c r="BG3637" t="s">
        <v>29999</v>
      </c>
      <c r="BH3637" t="s">
        <v>1593</v>
      </c>
      <c r="BI3637" t="s">
        <v>10850</v>
      </c>
      <c r="BJ3637" t="s">
        <v>101</v>
      </c>
      <c r="BK3637" t="s">
        <v>3066</v>
      </c>
      <c r="BL3637" t="s">
        <v>3328</v>
      </c>
      <c r="BM3637" t="s">
        <v>17540</v>
      </c>
      <c r="BN3637" t="s">
        <v>27621</v>
      </c>
    </row>
    <row r="3638" spans="1:66" x14ac:dyDescent="0.25">
      <c r="A3638" t="str">
        <f>HYPERLINK("https://elite.finviz.com/quote.ashx?t=FSP&amp;ty=c&amp;p=d&amp;b=1", "FSP")</f>
        <v>FSP</v>
      </c>
      <c r="B3638">
        <v>4</v>
      </c>
      <c r="C3638">
        <v>105.92</v>
      </c>
      <c r="D3638">
        <v>41.36</v>
      </c>
      <c r="E3638" t="s">
        <v>30000</v>
      </c>
      <c r="F3638" t="s">
        <v>67</v>
      </c>
      <c r="G3638" t="s">
        <v>68</v>
      </c>
      <c r="H3638" t="s">
        <v>69</v>
      </c>
      <c r="I3638" t="s">
        <v>70</v>
      </c>
      <c r="J3638" t="s">
        <v>383</v>
      </c>
      <c r="K3638">
        <v>166.42</v>
      </c>
      <c r="L3638">
        <v>1.61</v>
      </c>
      <c r="M3638" t="s">
        <v>698</v>
      </c>
      <c r="N3638">
        <v>38429</v>
      </c>
      <c r="R3638">
        <v>1.49</v>
      </c>
      <c r="S3638">
        <v>0.27</v>
      </c>
      <c r="T3638" t="s">
        <v>5071</v>
      </c>
      <c r="U3638">
        <v>0.03</v>
      </c>
      <c r="V3638" t="s">
        <v>12255</v>
      </c>
      <c r="W3638" t="s">
        <v>164</v>
      </c>
      <c r="X3638" t="s">
        <v>23318</v>
      </c>
      <c r="Y3638" t="s">
        <v>30001</v>
      </c>
      <c r="AA3638">
        <v>-0.52</v>
      </c>
      <c r="AD3638" t="s">
        <v>5012</v>
      </c>
      <c r="AE3638" t="s">
        <v>1817</v>
      </c>
      <c r="AF3638" t="s">
        <v>29852</v>
      </c>
      <c r="AG3638" t="s">
        <v>7362</v>
      </c>
      <c r="AH3638" t="s">
        <v>5714</v>
      </c>
      <c r="AI3638" t="s">
        <v>164</v>
      </c>
      <c r="AJ3638" t="s">
        <v>164</v>
      </c>
      <c r="AK3638" t="s">
        <v>30002</v>
      </c>
      <c r="AL3638">
        <v>2.31</v>
      </c>
      <c r="AM3638">
        <v>2.31</v>
      </c>
      <c r="AN3638">
        <v>0.4</v>
      </c>
      <c r="AO3638" t="s">
        <v>4956</v>
      </c>
      <c r="AP3638" t="s">
        <v>8073</v>
      </c>
      <c r="AQ3638" t="s">
        <v>29096</v>
      </c>
      <c r="AR3638" t="s">
        <v>387</v>
      </c>
      <c r="AS3638" t="s">
        <v>8013</v>
      </c>
      <c r="AT3638" t="s">
        <v>7429</v>
      </c>
      <c r="AU3638" t="s">
        <v>17603</v>
      </c>
      <c r="AV3638" t="s">
        <v>6757</v>
      </c>
      <c r="AW3638" t="s">
        <v>10726</v>
      </c>
      <c r="AX3638" t="s">
        <v>2234</v>
      </c>
      <c r="AY3638" t="s">
        <v>4681</v>
      </c>
      <c r="AZ3638" t="s">
        <v>1643</v>
      </c>
      <c r="BA3638">
        <v>3</v>
      </c>
      <c r="BB3638">
        <v>387.55</v>
      </c>
      <c r="BC3638">
        <v>0.35</v>
      </c>
      <c r="BD3638">
        <v>1.6</v>
      </c>
      <c r="BE3638">
        <v>1.63</v>
      </c>
      <c r="BF3638">
        <v>1.6</v>
      </c>
      <c r="BG3638" t="s">
        <v>30003</v>
      </c>
      <c r="BH3638" t="s">
        <v>30004</v>
      </c>
      <c r="BI3638" t="s">
        <v>27128</v>
      </c>
      <c r="BJ3638" t="s">
        <v>101</v>
      </c>
      <c r="BK3638" t="s">
        <v>701</v>
      </c>
      <c r="BL3638" t="s">
        <v>4791</v>
      </c>
      <c r="BM3638" t="s">
        <v>134</v>
      </c>
      <c r="BN3638" t="s">
        <v>27621</v>
      </c>
    </row>
    <row r="3639" spans="1:66" x14ac:dyDescent="0.25">
      <c r="A3639" t="str">
        <f>HYPERLINK("https://elite.finviz.com/quote.ashx?t=MTW&amp;ty=c&amp;p=d&amp;b=1", "MTW")</f>
        <v>MTW</v>
      </c>
      <c r="B3639">
        <v>4</v>
      </c>
      <c r="C3639">
        <v>105.92</v>
      </c>
      <c r="D3639">
        <v>41.36</v>
      </c>
      <c r="E3639" t="s">
        <v>30005</v>
      </c>
      <c r="F3639" t="s">
        <v>67</v>
      </c>
      <c r="G3639" t="s">
        <v>260</v>
      </c>
      <c r="H3639" t="s">
        <v>320</v>
      </c>
      <c r="I3639" t="s">
        <v>70</v>
      </c>
      <c r="J3639" t="s">
        <v>71</v>
      </c>
      <c r="K3639">
        <v>348.74</v>
      </c>
      <c r="L3639">
        <v>9.84</v>
      </c>
      <c r="M3639" t="s">
        <v>344</v>
      </c>
      <c r="N3639">
        <v>37729</v>
      </c>
      <c r="O3639">
        <v>7.82</v>
      </c>
      <c r="P3639">
        <v>13.58</v>
      </c>
      <c r="Q3639">
        <v>0.18</v>
      </c>
      <c r="R3639">
        <v>0.16</v>
      </c>
      <c r="S3639">
        <v>0.51</v>
      </c>
      <c r="V3639" t="s">
        <v>30006</v>
      </c>
      <c r="Z3639" t="s">
        <v>164</v>
      </c>
      <c r="AA3639">
        <v>1.26</v>
      </c>
      <c r="AB3639" t="s">
        <v>18693</v>
      </c>
      <c r="AC3639" t="s">
        <v>3613</v>
      </c>
      <c r="AD3639" t="s">
        <v>6950</v>
      </c>
      <c r="AE3639" t="s">
        <v>1225</v>
      </c>
      <c r="AF3639" t="s">
        <v>2492</v>
      </c>
      <c r="AG3639" t="s">
        <v>2700</v>
      </c>
      <c r="AH3639" t="s">
        <v>1373</v>
      </c>
      <c r="AI3639" t="s">
        <v>14537</v>
      </c>
      <c r="AJ3639" t="s">
        <v>2641</v>
      </c>
      <c r="AK3639" t="s">
        <v>15085</v>
      </c>
      <c r="AL3639">
        <v>2.0699999999999998</v>
      </c>
      <c r="AM3639">
        <v>0.68</v>
      </c>
      <c r="AN3639">
        <v>0.77</v>
      </c>
      <c r="AO3639" t="s">
        <v>10441</v>
      </c>
      <c r="AP3639" t="s">
        <v>6003</v>
      </c>
      <c r="AQ3639" t="s">
        <v>206</v>
      </c>
      <c r="AR3639" t="s">
        <v>4873</v>
      </c>
      <c r="AS3639" t="s">
        <v>1902</v>
      </c>
      <c r="AT3639" t="s">
        <v>5824</v>
      </c>
      <c r="AU3639" t="s">
        <v>11693</v>
      </c>
      <c r="AV3639" t="s">
        <v>2218</v>
      </c>
      <c r="AW3639" t="s">
        <v>14196</v>
      </c>
      <c r="AX3639" t="s">
        <v>2861</v>
      </c>
      <c r="AY3639" t="s">
        <v>15485</v>
      </c>
      <c r="AZ3639" t="s">
        <v>7697</v>
      </c>
      <c r="BA3639">
        <v>3</v>
      </c>
      <c r="BB3639">
        <v>304.48</v>
      </c>
      <c r="BC3639">
        <v>0.44</v>
      </c>
      <c r="BD3639">
        <v>9.73</v>
      </c>
      <c r="BE3639">
        <v>9.94</v>
      </c>
      <c r="BF3639">
        <v>9.75</v>
      </c>
      <c r="BG3639" t="s">
        <v>30007</v>
      </c>
      <c r="BH3639" t="s">
        <v>21278</v>
      </c>
      <c r="BI3639" t="s">
        <v>30008</v>
      </c>
      <c r="BJ3639" t="s">
        <v>101</v>
      </c>
      <c r="BK3639" t="s">
        <v>23267</v>
      </c>
      <c r="BL3639" t="s">
        <v>5672</v>
      </c>
      <c r="BM3639" t="s">
        <v>170</v>
      </c>
      <c r="BN3639" t="s">
        <v>27621</v>
      </c>
    </row>
    <row r="3640" spans="1:66" x14ac:dyDescent="0.25">
      <c r="A3640" t="str">
        <f>HYPERLINK("https://elite.finviz.com/quote.ashx?t=LPA&amp;ty=c&amp;p=d&amp;b=1", "LPA")</f>
        <v>LPA</v>
      </c>
      <c r="B3640">
        <v>4</v>
      </c>
      <c r="C3640">
        <v>105.92</v>
      </c>
      <c r="D3640">
        <v>41.36</v>
      </c>
      <c r="E3640" t="s">
        <v>30009</v>
      </c>
      <c r="F3640" t="s">
        <v>67</v>
      </c>
      <c r="G3640" t="s">
        <v>68</v>
      </c>
      <c r="H3640" t="s">
        <v>11109</v>
      </c>
      <c r="I3640" t="s">
        <v>70</v>
      </c>
      <c r="J3640" t="s">
        <v>383</v>
      </c>
      <c r="K3640">
        <v>187.52</v>
      </c>
      <c r="L3640">
        <v>5.93</v>
      </c>
      <c r="M3640" t="s">
        <v>124</v>
      </c>
      <c r="N3640">
        <v>4492</v>
      </c>
      <c r="O3640">
        <v>27.43</v>
      </c>
      <c r="R3640">
        <v>4.08</v>
      </c>
      <c r="S3640">
        <v>0.8</v>
      </c>
      <c r="AA3640">
        <v>0.22</v>
      </c>
      <c r="AB3640" t="s">
        <v>30010</v>
      </c>
      <c r="AE3640" t="s">
        <v>25717</v>
      </c>
      <c r="AH3640" t="s">
        <v>4742</v>
      </c>
      <c r="AJ3640" t="s">
        <v>164</v>
      </c>
      <c r="AK3640" t="s">
        <v>969</v>
      </c>
      <c r="AL3640">
        <v>1.45</v>
      </c>
      <c r="AM3640">
        <v>1.45</v>
      </c>
      <c r="AN3640">
        <v>1.24</v>
      </c>
      <c r="AO3640" t="s">
        <v>30011</v>
      </c>
      <c r="AP3640" t="s">
        <v>22125</v>
      </c>
      <c r="AQ3640" t="s">
        <v>6201</v>
      </c>
      <c r="AR3640" t="s">
        <v>4600</v>
      </c>
      <c r="AS3640" t="s">
        <v>2494</v>
      </c>
      <c r="AT3640" t="s">
        <v>8690</v>
      </c>
      <c r="AU3640" t="s">
        <v>6345</v>
      </c>
      <c r="AV3640" t="s">
        <v>23899</v>
      </c>
      <c r="AW3640" t="s">
        <v>18918</v>
      </c>
      <c r="AX3640" t="s">
        <v>4324</v>
      </c>
      <c r="AY3640" t="s">
        <v>10807</v>
      </c>
      <c r="AZ3640" t="s">
        <v>4324</v>
      </c>
      <c r="BB3640">
        <v>16.260000000000002</v>
      </c>
      <c r="BC3640">
        <v>0.98</v>
      </c>
      <c r="BD3640">
        <v>5.95</v>
      </c>
      <c r="BE3640">
        <v>6.02</v>
      </c>
      <c r="BF3640">
        <v>6</v>
      </c>
      <c r="BG3640" t="s">
        <v>30012</v>
      </c>
      <c r="BH3640" t="s">
        <v>8552</v>
      </c>
      <c r="BI3640" t="s">
        <v>1204</v>
      </c>
      <c r="BJ3640" t="s">
        <v>101</v>
      </c>
      <c r="BK3640" t="s">
        <v>25533</v>
      </c>
      <c r="BL3640" t="s">
        <v>22706</v>
      </c>
      <c r="BM3640" t="s">
        <v>18889</v>
      </c>
      <c r="BN3640" t="s">
        <v>27621</v>
      </c>
    </row>
    <row r="3641" spans="1:66" x14ac:dyDescent="0.25">
      <c r="A3641" t="str">
        <f>HYPERLINK("https://elite.finviz.com/quote.ashx?t=TOON&amp;ty=c&amp;p=d&amp;b=1", "TOON")</f>
        <v>TOON</v>
      </c>
      <c r="B3641">
        <v>4</v>
      </c>
      <c r="C3641">
        <v>105.92</v>
      </c>
      <c r="D3641">
        <v>41.37</v>
      </c>
      <c r="E3641" t="s">
        <v>30013</v>
      </c>
      <c r="F3641" t="s">
        <v>107</v>
      </c>
      <c r="G3641" t="s">
        <v>598</v>
      </c>
      <c r="H3641" t="s">
        <v>4247</v>
      </c>
      <c r="I3641" t="s">
        <v>70</v>
      </c>
      <c r="J3641" t="s">
        <v>383</v>
      </c>
      <c r="K3641">
        <v>35.79</v>
      </c>
      <c r="L3641">
        <v>0.75</v>
      </c>
      <c r="M3641" t="s">
        <v>5153</v>
      </c>
      <c r="N3641">
        <v>69989</v>
      </c>
      <c r="R3641">
        <v>0.94</v>
      </c>
      <c r="S3641">
        <v>1.26</v>
      </c>
      <c r="AA3641">
        <v>-0.46</v>
      </c>
      <c r="AB3641" t="s">
        <v>14035</v>
      </c>
      <c r="AC3641" t="s">
        <v>5483</v>
      </c>
      <c r="AE3641" t="s">
        <v>7688</v>
      </c>
      <c r="AF3641" t="s">
        <v>30014</v>
      </c>
      <c r="AG3641" t="s">
        <v>20904</v>
      </c>
      <c r="AH3641" t="s">
        <v>3858</v>
      </c>
      <c r="AJ3641" t="s">
        <v>1763</v>
      </c>
      <c r="AK3641" t="s">
        <v>2867</v>
      </c>
      <c r="AL3641">
        <v>0.84</v>
      </c>
      <c r="AM3641">
        <v>0.84</v>
      </c>
      <c r="AN3641">
        <v>0.61</v>
      </c>
      <c r="AO3641" t="s">
        <v>5886</v>
      </c>
      <c r="AP3641" t="s">
        <v>1075</v>
      </c>
      <c r="AQ3641" t="s">
        <v>1831</v>
      </c>
      <c r="AR3641" t="s">
        <v>5100</v>
      </c>
      <c r="AS3641" t="s">
        <v>3025</v>
      </c>
      <c r="AT3641" t="s">
        <v>4147</v>
      </c>
      <c r="AU3641" t="s">
        <v>7568</v>
      </c>
      <c r="AV3641" t="s">
        <v>9196</v>
      </c>
      <c r="AW3641" t="s">
        <v>7634</v>
      </c>
      <c r="AX3641" t="s">
        <v>5082</v>
      </c>
      <c r="AY3641" t="s">
        <v>7009</v>
      </c>
      <c r="AZ3641" t="s">
        <v>28974</v>
      </c>
      <c r="BA3641">
        <v>1</v>
      </c>
      <c r="BB3641">
        <v>204.56</v>
      </c>
      <c r="BC3641">
        <v>1.21</v>
      </c>
      <c r="BD3641">
        <v>0.76</v>
      </c>
      <c r="BE3641">
        <v>0.76</v>
      </c>
      <c r="BF3641">
        <v>0.74</v>
      </c>
      <c r="BG3641" t="s">
        <v>30015</v>
      </c>
      <c r="BH3641" t="s">
        <v>5233</v>
      </c>
      <c r="BI3641" t="s">
        <v>28974</v>
      </c>
      <c r="BJ3641" t="s">
        <v>101</v>
      </c>
      <c r="BK3641" t="s">
        <v>84</v>
      </c>
      <c r="BL3641" t="s">
        <v>12482</v>
      </c>
      <c r="BM3641" t="s">
        <v>8450</v>
      </c>
      <c r="BN3641" t="s">
        <v>27621</v>
      </c>
    </row>
    <row r="3642" spans="1:66" x14ac:dyDescent="0.25">
      <c r="A3642" t="str">
        <f>HYPERLINK("https://elite.finviz.com/quote.ashx?t=PPIH&amp;ty=c&amp;p=d&amp;b=1", "PPIH")</f>
        <v>PPIH</v>
      </c>
      <c r="B3642">
        <v>4</v>
      </c>
      <c r="C3642">
        <v>105.92</v>
      </c>
      <c r="D3642">
        <v>41.38</v>
      </c>
      <c r="E3642" t="s">
        <v>30016</v>
      </c>
      <c r="F3642" t="s">
        <v>107</v>
      </c>
      <c r="G3642" t="s">
        <v>260</v>
      </c>
      <c r="H3642" t="s">
        <v>3225</v>
      </c>
      <c r="I3642" t="s">
        <v>70</v>
      </c>
      <c r="J3642" t="s">
        <v>321</v>
      </c>
      <c r="K3642">
        <v>191.59</v>
      </c>
      <c r="L3642">
        <v>23.67</v>
      </c>
      <c r="M3642" t="s">
        <v>2317</v>
      </c>
      <c r="N3642">
        <v>34541</v>
      </c>
      <c r="O3642">
        <v>19.010000000000002</v>
      </c>
      <c r="R3642">
        <v>1.06</v>
      </c>
      <c r="S3642">
        <v>2.37</v>
      </c>
      <c r="Z3642" t="s">
        <v>164</v>
      </c>
      <c r="AA3642">
        <v>1.24</v>
      </c>
      <c r="AB3642" t="s">
        <v>6633</v>
      </c>
      <c r="AC3642" t="s">
        <v>4424</v>
      </c>
      <c r="AE3642" t="s">
        <v>1231</v>
      </c>
      <c r="AF3642" t="s">
        <v>371</v>
      </c>
      <c r="AG3642" t="s">
        <v>7699</v>
      </c>
      <c r="AH3642" t="s">
        <v>9081</v>
      </c>
      <c r="AJ3642" t="s">
        <v>164</v>
      </c>
      <c r="AK3642" t="s">
        <v>12960</v>
      </c>
      <c r="AL3642">
        <v>1.88</v>
      </c>
      <c r="AM3642">
        <v>1.64</v>
      </c>
      <c r="AN3642">
        <v>0.55000000000000004</v>
      </c>
      <c r="AO3642" t="s">
        <v>14472</v>
      </c>
      <c r="AP3642" t="s">
        <v>563</v>
      </c>
      <c r="AQ3642" t="s">
        <v>4403</v>
      </c>
      <c r="AR3642" t="s">
        <v>9159</v>
      </c>
      <c r="AS3642" t="s">
        <v>2492</v>
      </c>
      <c r="AT3642" t="s">
        <v>17752</v>
      </c>
      <c r="AU3642" t="s">
        <v>7746</v>
      </c>
      <c r="AV3642" t="s">
        <v>3762</v>
      </c>
      <c r="AW3642" t="s">
        <v>8948</v>
      </c>
      <c r="AX3642" t="s">
        <v>9864</v>
      </c>
      <c r="AY3642" t="s">
        <v>8948</v>
      </c>
      <c r="AZ3642" t="s">
        <v>24760</v>
      </c>
      <c r="BB3642">
        <v>134.07</v>
      </c>
      <c r="BC3642">
        <v>0.91</v>
      </c>
      <c r="BD3642">
        <v>22.92</v>
      </c>
      <c r="BE3642">
        <v>23.98</v>
      </c>
      <c r="BF3642">
        <v>22.91</v>
      </c>
      <c r="BG3642" t="s">
        <v>30017</v>
      </c>
      <c r="BH3642" t="s">
        <v>8948</v>
      </c>
      <c r="BI3642" t="s">
        <v>30018</v>
      </c>
      <c r="BJ3642" t="s">
        <v>101</v>
      </c>
      <c r="BK3642" t="s">
        <v>305</v>
      </c>
      <c r="BL3642" t="s">
        <v>6637</v>
      </c>
      <c r="BM3642" t="s">
        <v>11099</v>
      </c>
      <c r="BN3642" t="s">
        <v>27621</v>
      </c>
    </row>
    <row r="3643" spans="1:66" x14ac:dyDescent="0.25">
      <c r="A3643" t="str">
        <f>HYPERLINK("https://elite.finviz.com/quote.ashx?t=VNRX&amp;ty=c&amp;p=d&amp;b=1", "VNRX")</f>
        <v>VNRX</v>
      </c>
      <c r="B3643">
        <v>4</v>
      </c>
      <c r="C3643">
        <v>105.92</v>
      </c>
      <c r="D3643">
        <v>41.38</v>
      </c>
      <c r="E3643" t="s">
        <v>30019</v>
      </c>
      <c r="F3643" t="s">
        <v>107</v>
      </c>
      <c r="G3643" t="s">
        <v>428</v>
      </c>
      <c r="H3643" t="s">
        <v>2051</v>
      </c>
      <c r="I3643" t="s">
        <v>70</v>
      </c>
      <c r="J3643" t="s">
        <v>383</v>
      </c>
      <c r="K3643">
        <v>63.7</v>
      </c>
      <c r="L3643">
        <v>0.59</v>
      </c>
      <c r="M3643" t="s">
        <v>1787</v>
      </c>
      <c r="N3643">
        <v>52790</v>
      </c>
      <c r="R3643">
        <v>48.26</v>
      </c>
      <c r="AA3643">
        <v>-0.24</v>
      </c>
      <c r="AB3643" t="s">
        <v>3875</v>
      </c>
      <c r="AC3643" t="s">
        <v>2580</v>
      </c>
      <c r="AE3643" t="s">
        <v>13427</v>
      </c>
      <c r="AF3643" t="s">
        <v>30020</v>
      </c>
      <c r="AG3643" t="s">
        <v>30021</v>
      </c>
      <c r="AH3643" t="s">
        <v>2743</v>
      </c>
      <c r="AI3643" t="s">
        <v>8543</v>
      </c>
      <c r="AJ3643" t="s">
        <v>6003</v>
      </c>
      <c r="AK3643" t="s">
        <v>12761</v>
      </c>
      <c r="AL3643">
        <v>0.35</v>
      </c>
      <c r="AM3643">
        <v>0.35</v>
      </c>
      <c r="AO3643" t="s">
        <v>2496</v>
      </c>
      <c r="AP3643" t="s">
        <v>30022</v>
      </c>
      <c r="AQ3643" t="s">
        <v>30023</v>
      </c>
      <c r="AR3643" t="s">
        <v>8276</v>
      </c>
      <c r="AS3643" t="s">
        <v>5319</v>
      </c>
      <c r="AT3643" t="s">
        <v>4101</v>
      </c>
      <c r="AU3643" t="s">
        <v>4048</v>
      </c>
      <c r="AV3643" t="s">
        <v>9475</v>
      </c>
      <c r="AW3643" t="s">
        <v>25102</v>
      </c>
      <c r="AX3643" t="s">
        <v>3325</v>
      </c>
      <c r="AY3643" t="s">
        <v>16308</v>
      </c>
      <c r="AZ3643" t="s">
        <v>6509</v>
      </c>
      <c r="BA3643">
        <v>1.5</v>
      </c>
      <c r="BB3643">
        <v>177.1</v>
      </c>
      <c r="BC3643">
        <v>1.06</v>
      </c>
      <c r="BD3643">
        <v>0.6</v>
      </c>
      <c r="BE3643">
        <v>0.61</v>
      </c>
      <c r="BF3643">
        <v>0.59</v>
      </c>
      <c r="BG3643" t="s">
        <v>30024</v>
      </c>
      <c r="BH3643" t="s">
        <v>16111</v>
      </c>
      <c r="BI3643" t="s">
        <v>30025</v>
      </c>
      <c r="BJ3643" t="s">
        <v>101</v>
      </c>
      <c r="BK3643" t="s">
        <v>5422</v>
      </c>
      <c r="BL3643" t="s">
        <v>709</v>
      </c>
      <c r="BM3643" t="s">
        <v>10469</v>
      </c>
      <c r="BN3643" t="s">
        <v>27621</v>
      </c>
    </row>
    <row r="3644" spans="1:66" x14ac:dyDescent="0.25">
      <c r="A3644" t="str">
        <f>HYPERLINK("https://elite.finviz.com/quote.ashx?t=OMCL&amp;ty=c&amp;p=d&amp;b=1", "OMCL")</f>
        <v>OMCL</v>
      </c>
      <c r="B3644">
        <v>4</v>
      </c>
      <c r="C3644">
        <v>105.92</v>
      </c>
      <c r="D3644">
        <v>41.4</v>
      </c>
      <c r="E3644" t="s">
        <v>30026</v>
      </c>
      <c r="F3644" t="s">
        <v>67</v>
      </c>
      <c r="G3644" t="s">
        <v>428</v>
      </c>
      <c r="H3644" t="s">
        <v>2075</v>
      </c>
      <c r="I3644" t="s">
        <v>70</v>
      </c>
      <c r="J3644" t="s">
        <v>321</v>
      </c>
      <c r="K3644">
        <v>1397.54</v>
      </c>
      <c r="L3644">
        <v>30.42</v>
      </c>
      <c r="M3644" t="s">
        <v>4538</v>
      </c>
      <c r="N3644">
        <v>36310</v>
      </c>
      <c r="O3644">
        <v>61.68</v>
      </c>
      <c r="P3644">
        <v>17.96</v>
      </c>
      <c r="Q3644">
        <v>10.92</v>
      </c>
      <c r="R3644">
        <v>1.22</v>
      </c>
      <c r="S3644">
        <v>1.1200000000000001</v>
      </c>
      <c r="Z3644" t="s">
        <v>164</v>
      </c>
      <c r="AA3644">
        <v>0.49</v>
      </c>
      <c r="AB3644" t="s">
        <v>860</v>
      </c>
      <c r="AC3644" t="s">
        <v>30027</v>
      </c>
      <c r="AD3644" t="s">
        <v>204</v>
      </c>
      <c r="AE3644" t="s">
        <v>3053</v>
      </c>
      <c r="AF3644" t="s">
        <v>8979</v>
      </c>
      <c r="AG3644" t="s">
        <v>5026</v>
      </c>
      <c r="AH3644" t="s">
        <v>4824</v>
      </c>
      <c r="AI3644" t="s">
        <v>1057</v>
      </c>
      <c r="AJ3644" t="s">
        <v>4538</v>
      </c>
      <c r="AK3644" t="s">
        <v>30028</v>
      </c>
      <c r="AL3644">
        <v>1.4</v>
      </c>
      <c r="AM3644">
        <v>1.22</v>
      </c>
      <c r="AN3644">
        <v>0.3</v>
      </c>
      <c r="AO3644" t="s">
        <v>30029</v>
      </c>
      <c r="AP3644" t="s">
        <v>3349</v>
      </c>
      <c r="AQ3644" t="s">
        <v>2307</v>
      </c>
      <c r="AR3644" t="s">
        <v>6937</v>
      </c>
      <c r="AS3644" t="s">
        <v>2383</v>
      </c>
      <c r="AT3644" t="s">
        <v>4559</v>
      </c>
      <c r="AU3644" t="s">
        <v>6137</v>
      </c>
      <c r="AV3644" t="s">
        <v>5247</v>
      </c>
      <c r="AW3644" t="s">
        <v>7798</v>
      </c>
      <c r="AX3644" t="s">
        <v>3924</v>
      </c>
      <c r="AY3644" t="s">
        <v>23867</v>
      </c>
      <c r="AZ3644" t="s">
        <v>16681</v>
      </c>
      <c r="BA3644">
        <v>1.75</v>
      </c>
      <c r="BB3644">
        <v>536.95000000000005</v>
      </c>
      <c r="BC3644">
        <v>0.24</v>
      </c>
      <c r="BD3644">
        <v>30.5</v>
      </c>
      <c r="BE3644">
        <v>30.69</v>
      </c>
      <c r="BF3644">
        <v>30.42</v>
      </c>
      <c r="BG3644" t="s">
        <v>30030</v>
      </c>
      <c r="BH3644" t="s">
        <v>14551</v>
      </c>
      <c r="BI3644" t="s">
        <v>30031</v>
      </c>
      <c r="BJ3644" t="s">
        <v>101</v>
      </c>
      <c r="BK3644" t="s">
        <v>6726</v>
      </c>
      <c r="BL3644" t="s">
        <v>9071</v>
      </c>
      <c r="BM3644" t="s">
        <v>6282</v>
      </c>
      <c r="BN3644" t="s">
        <v>27621</v>
      </c>
    </row>
    <row r="3645" spans="1:66" x14ac:dyDescent="0.25">
      <c r="A3645" t="str">
        <f>HYPERLINK("https://elite.finviz.com/quote.ashx?t=CPIX&amp;ty=c&amp;p=d&amp;b=1", "CPIX")</f>
        <v>CPIX</v>
      </c>
      <c r="B3645">
        <v>4</v>
      </c>
      <c r="C3645">
        <v>105.92</v>
      </c>
      <c r="D3645">
        <v>41.44</v>
      </c>
      <c r="E3645" t="s">
        <v>30032</v>
      </c>
      <c r="F3645" t="s">
        <v>107</v>
      </c>
      <c r="G3645" t="s">
        <v>428</v>
      </c>
      <c r="H3645" t="s">
        <v>1296</v>
      </c>
      <c r="I3645" t="s">
        <v>70</v>
      </c>
      <c r="J3645" t="s">
        <v>321</v>
      </c>
      <c r="K3645">
        <v>45.77</v>
      </c>
      <c r="L3645">
        <v>3.06</v>
      </c>
      <c r="M3645" t="s">
        <v>5166</v>
      </c>
      <c r="N3645">
        <v>6013</v>
      </c>
      <c r="R3645">
        <v>1.0900000000000001</v>
      </c>
      <c r="S3645">
        <v>1.64</v>
      </c>
      <c r="AA3645">
        <v>-0.21</v>
      </c>
      <c r="AB3645" t="s">
        <v>12461</v>
      </c>
      <c r="AC3645" t="s">
        <v>2504</v>
      </c>
      <c r="AE3645" t="s">
        <v>2661</v>
      </c>
      <c r="AF3645" t="s">
        <v>6493</v>
      </c>
      <c r="AG3645" t="s">
        <v>2087</v>
      </c>
      <c r="AH3645" t="s">
        <v>6876</v>
      </c>
      <c r="AJ3645" t="s">
        <v>164</v>
      </c>
      <c r="AK3645" t="s">
        <v>2970</v>
      </c>
      <c r="AL3645">
        <v>1.3</v>
      </c>
      <c r="AM3645">
        <v>1.17</v>
      </c>
      <c r="AN3645">
        <v>0.37</v>
      </c>
      <c r="AO3645" t="s">
        <v>14887</v>
      </c>
      <c r="AP3645" t="s">
        <v>11163</v>
      </c>
      <c r="AQ3645" t="s">
        <v>4236</v>
      </c>
      <c r="AR3645" t="s">
        <v>9636</v>
      </c>
      <c r="AS3645" t="s">
        <v>2065</v>
      </c>
      <c r="AT3645" t="s">
        <v>5963</v>
      </c>
      <c r="AU3645" t="s">
        <v>357</v>
      </c>
      <c r="AV3645" t="s">
        <v>13815</v>
      </c>
      <c r="AW3645" t="s">
        <v>21761</v>
      </c>
      <c r="AX3645" t="s">
        <v>3190</v>
      </c>
      <c r="AY3645" t="s">
        <v>23746</v>
      </c>
      <c r="AZ3645" t="s">
        <v>30033</v>
      </c>
      <c r="BA3645">
        <v>1</v>
      </c>
      <c r="BB3645">
        <v>68.94</v>
      </c>
      <c r="BC3645">
        <v>0.31</v>
      </c>
      <c r="BD3645">
        <v>3.03</v>
      </c>
      <c r="BE3645">
        <v>3.09</v>
      </c>
      <c r="BF3645">
        <v>3.03</v>
      </c>
      <c r="BG3645" t="s">
        <v>30034</v>
      </c>
      <c r="BH3645" t="s">
        <v>27728</v>
      </c>
      <c r="BI3645" t="s">
        <v>30033</v>
      </c>
      <c r="BJ3645" t="s">
        <v>101</v>
      </c>
      <c r="BK3645" t="s">
        <v>1383</v>
      </c>
      <c r="BL3645" t="s">
        <v>29179</v>
      </c>
      <c r="BM3645" t="s">
        <v>30035</v>
      </c>
      <c r="BN3645" t="s">
        <v>27621</v>
      </c>
    </row>
    <row r="3646" spans="1:66" x14ac:dyDescent="0.25">
      <c r="A3646" t="str">
        <f>HYPERLINK("https://elite.finviz.com/quote.ashx?t=ALEX&amp;ty=c&amp;p=d&amp;b=1", "ALEX")</f>
        <v>ALEX</v>
      </c>
      <c r="B3646">
        <v>4</v>
      </c>
      <c r="C3646">
        <v>105.92</v>
      </c>
      <c r="D3646">
        <v>41.48</v>
      </c>
      <c r="E3646" t="s">
        <v>30036</v>
      </c>
      <c r="F3646" t="s">
        <v>67</v>
      </c>
      <c r="G3646" t="s">
        <v>68</v>
      </c>
      <c r="H3646" t="s">
        <v>160</v>
      </c>
      <c r="I3646" t="s">
        <v>70</v>
      </c>
      <c r="J3646" t="s">
        <v>71</v>
      </c>
      <c r="K3646">
        <v>1319.75</v>
      </c>
      <c r="L3646">
        <v>18.14</v>
      </c>
      <c r="M3646" t="s">
        <v>193</v>
      </c>
      <c r="N3646">
        <v>28513</v>
      </c>
      <c r="O3646">
        <v>16.940000000000001</v>
      </c>
      <c r="P3646">
        <v>27.91</v>
      </c>
      <c r="R3646">
        <v>5.74</v>
      </c>
      <c r="S3646">
        <v>1.3</v>
      </c>
      <c r="T3646" t="s">
        <v>912</v>
      </c>
      <c r="U3646">
        <v>0.9</v>
      </c>
      <c r="V3646" t="s">
        <v>2620</v>
      </c>
      <c r="W3646" t="s">
        <v>1279</v>
      </c>
      <c r="X3646" t="s">
        <v>1491</v>
      </c>
      <c r="Y3646" t="s">
        <v>4173</v>
      </c>
      <c r="Z3646" t="s">
        <v>30037</v>
      </c>
      <c r="AA3646">
        <v>1.07</v>
      </c>
      <c r="AB3646" t="s">
        <v>8893</v>
      </c>
      <c r="AD3646" t="s">
        <v>3436</v>
      </c>
      <c r="AE3646" t="s">
        <v>334</v>
      </c>
      <c r="AF3646" t="s">
        <v>4688</v>
      </c>
      <c r="AG3646" t="s">
        <v>2375</v>
      </c>
      <c r="AH3646" t="s">
        <v>5158</v>
      </c>
      <c r="AI3646" t="s">
        <v>3951</v>
      </c>
      <c r="AJ3646" t="s">
        <v>1714</v>
      </c>
      <c r="AK3646" t="s">
        <v>7641</v>
      </c>
      <c r="AL3646">
        <v>1.63</v>
      </c>
      <c r="AM3646">
        <v>1.63</v>
      </c>
      <c r="AN3646">
        <v>0.46</v>
      </c>
      <c r="AO3646" t="s">
        <v>28598</v>
      </c>
      <c r="AP3646" t="s">
        <v>21338</v>
      </c>
      <c r="AQ3646" t="s">
        <v>1512</v>
      </c>
      <c r="AR3646" t="s">
        <v>4881</v>
      </c>
      <c r="AS3646" t="s">
        <v>4275</v>
      </c>
      <c r="AT3646" t="s">
        <v>11805</v>
      </c>
      <c r="AU3646" t="s">
        <v>4501</v>
      </c>
      <c r="AV3646" t="s">
        <v>3487</v>
      </c>
      <c r="AW3646" t="s">
        <v>9018</v>
      </c>
      <c r="AX3646" t="s">
        <v>2233</v>
      </c>
      <c r="AY3646" t="s">
        <v>2364</v>
      </c>
      <c r="AZ3646" t="s">
        <v>5262</v>
      </c>
      <c r="BA3646">
        <v>1.5</v>
      </c>
      <c r="BB3646">
        <v>427.9</v>
      </c>
      <c r="BC3646">
        <v>0.23</v>
      </c>
      <c r="BD3646">
        <v>18.09</v>
      </c>
      <c r="BE3646">
        <v>18.2</v>
      </c>
      <c r="BF3646">
        <v>18.11</v>
      </c>
      <c r="BG3646" t="s">
        <v>30038</v>
      </c>
      <c r="BH3646" t="s">
        <v>29068</v>
      </c>
      <c r="BI3646" t="s">
        <v>30039</v>
      </c>
      <c r="BJ3646" t="s">
        <v>101</v>
      </c>
      <c r="BK3646" t="s">
        <v>2720</v>
      </c>
      <c r="BL3646" t="s">
        <v>4173</v>
      </c>
      <c r="BM3646" t="s">
        <v>7347</v>
      </c>
      <c r="BN3646" t="s">
        <v>27621</v>
      </c>
    </row>
    <row r="3647" spans="1:66" x14ac:dyDescent="0.25">
      <c r="A3647" t="str">
        <f>HYPERLINK("https://elite.finviz.com/quote.ashx?t=TISI&amp;ty=c&amp;p=d&amp;b=1", "TISI")</f>
        <v>TISI</v>
      </c>
      <c r="B3647">
        <v>4</v>
      </c>
      <c r="C3647">
        <v>105.92</v>
      </c>
      <c r="D3647">
        <v>41.49</v>
      </c>
      <c r="E3647" t="s">
        <v>30040</v>
      </c>
      <c r="F3647" t="s">
        <v>107</v>
      </c>
      <c r="G3647" t="s">
        <v>260</v>
      </c>
      <c r="H3647" t="s">
        <v>1077</v>
      </c>
      <c r="I3647" t="s">
        <v>70</v>
      </c>
      <c r="J3647" t="s">
        <v>71</v>
      </c>
      <c r="K3647">
        <v>77.510000000000005</v>
      </c>
      <c r="L3647">
        <v>17.23</v>
      </c>
      <c r="M3647" t="s">
        <v>5610</v>
      </c>
      <c r="N3647">
        <v>2578</v>
      </c>
      <c r="R3647">
        <v>0.09</v>
      </c>
      <c r="AA3647">
        <v>-11.69</v>
      </c>
      <c r="AB3647" t="s">
        <v>30041</v>
      </c>
      <c r="AC3647" t="s">
        <v>5467</v>
      </c>
      <c r="AE3647" t="s">
        <v>1560</v>
      </c>
      <c r="AF3647" t="s">
        <v>4839</v>
      </c>
      <c r="AG3647" t="s">
        <v>12333</v>
      </c>
      <c r="AH3647" t="s">
        <v>6028</v>
      </c>
      <c r="AJ3647" t="s">
        <v>1629</v>
      </c>
      <c r="AK3647" t="s">
        <v>19788</v>
      </c>
      <c r="AL3647">
        <v>1.97</v>
      </c>
      <c r="AM3647">
        <v>1.72</v>
      </c>
      <c r="AO3647" t="s">
        <v>13642</v>
      </c>
      <c r="AP3647" t="s">
        <v>4280</v>
      </c>
      <c r="AQ3647" t="s">
        <v>17105</v>
      </c>
      <c r="AR3647" t="s">
        <v>4824</v>
      </c>
      <c r="AS3647" t="s">
        <v>2774</v>
      </c>
      <c r="AT3647" t="s">
        <v>15594</v>
      </c>
      <c r="AU3647" t="s">
        <v>4078</v>
      </c>
      <c r="AV3647" t="s">
        <v>2109</v>
      </c>
      <c r="AW3647" t="s">
        <v>7634</v>
      </c>
      <c r="AX3647" t="s">
        <v>1454</v>
      </c>
      <c r="AY3647" t="s">
        <v>30042</v>
      </c>
      <c r="AZ3647" t="s">
        <v>20621</v>
      </c>
      <c r="BB3647">
        <v>7.48</v>
      </c>
      <c r="BC3647">
        <v>1.21</v>
      </c>
      <c r="BD3647">
        <v>16.98</v>
      </c>
      <c r="BE3647">
        <v>17.34</v>
      </c>
      <c r="BF3647">
        <v>16.940000000000001</v>
      </c>
      <c r="BG3647" t="s">
        <v>30043</v>
      </c>
      <c r="BH3647" t="s">
        <v>21809</v>
      </c>
      <c r="BI3647" t="s">
        <v>30044</v>
      </c>
      <c r="BJ3647" t="s">
        <v>101</v>
      </c>
      <c r="BK3647" t="s">
        <v>9672</v>
      </c>
      <c r="BL3647" t="s">
        <v>2273</v>
      </c>
      <c r="BM3647" t="s">
        <v>1455</v>
      </c>
      <c r="BN3647" t="s">
        <v>27621</v>
      </c>
    </row>
    <row r="3648" spans="1:66" x14ac:dyDescent="0.25">
      <c r="A3648" t="str">
        <f>HYPERLINK("https://elite.finviz.com/quote.ashx?t=SKIL&amp;ty=c&amp;p=d&amp;b=1", "SKIL")</f>
        <v>SKIL</v>
      </c>
      <c r="B3648">
        <v>4</v>
      </c>
      <c r="C3648">
        <v>105.92</v>
      </c>
      <c r="D3648">
        <v>41.49</v>
      </c>
      <c r="E3648" t="s">
        <v>30045</v>
      </c>
      <c r="F3648" t="s">
        <v>67</v>
      </c>
      <c r="G3648" t="s">
        <v>2244</v>
      </c>
      <c r="H3648" t="s">
        <v>2483</v>
      </c>
      <c r="I3648" t="s">
        <v>70</v>
      </c>
      <c r="J3648" t="s">
        <v>71</v>
      </c>
      <c r="K3648">
        <v>113.84</v>
      </c>
      <c r="L3648">
        <v>13.07</v>
      </c>
      <c r="M3648" t="s">
        <v>7780</v>
      </c>
      <c r="N3648">
        <v>2956</v>
      </c>
      <c r="R3648">
        <v>0.22</v>
      </c>
      <c r="S3648">
        <v>2.67</v>
      </c>
      <c r="AA3648">
        <v>-13.96</v>
      </c>
      <c r="AB3648" t="s">
        <v>3999</v>
      </c>
      <c r="AC3648" t="s">
        <v>14636</v>
      </c>
      <c r="AE3648" t="s">
        <v>4688</v>
      </c>
      <c r="AF3648" t="s">
        <v>3066</v>
      </c>
      <c r="AH3648" t="s">
        <v>4367</v>
      </c>
      <c r="AI3648" t="s">
        <v>30046</v>
      </c>
      <c r="AJ3648" t="s">
        <v>164</v>
      </c>
      <c r="AK3648" t="s">
        <v>7342</v>
      </c>
      <c r="AL3648">
        <v>0.85</v>
      </c>
      <c r="AM3648">
        <v>0.85</v>
      </c>
      <c r="AN3648">
        <v>13.63</v>
      </c>
      <c r="AO3648" t="s">
        <v>9662</v>
      </c>
      <c r="AP3648" t="s">
        <v>10375</v>
      </c>
      <c r="AQ3648" t="s">
        <v>7317</v>
      </c>
      <c r="AR3648" t="s">
        <v>4641</v>
      </c>
      <c r="AS3648" t="s">
        <v>3148</v>
      </c>
      <c r="AT3648" t="s">
        <v>5663</v>
      </c>
      <c r="AU3648" t="s">
        <v>11042</v>
      </c>
      <c r="AV3648" t="s">
        <v>28884</v>
      </c>
      <c r="AW3648" t="s">
        <v>5629</v>
      </c>
      <c r="AX3648" t="s">
        <v>7010</v>
      </c>
      <c r="AY3648" t="s">
        <v>28166</v>
      </c>
      <c r="AZ3648" t="s">
        <v>7010</v>
      </c>
      <c r="BA3648">
        <v>2</v>
      </c>
      <c r="BB3648">
        <v>46.94</v>
      </c>
      <c r="BC3648">
        <v>0.22</v>
      </c>
      <c r="BD3648">
        <v>12.89</v>
      </c>
      <c r="BE3648">
        <v>13.06</v>
      </c>
      <c r="BF3648">
        <v>12.88</v>
      </c>
      <c r="BG3648" t="s">
        <v>30047</v>
      </c>
      <c r="BH3648" t="s">
        <v>30048</v>
      </c>
      <c r="BI3648" t="s">
        <v>30049</v>
      </c>
      <c r="BJ3648" t="s">
        <v>101</v>
      </c>
      <c r="BK3648" t="s">
        <v>8527</v>
      </c>
      <c r="BL3648" t="s">
        <v>30050</v>
      </c>
      <c r="BM3648" t="s">
        <v>25162</v>
      </c>
      <c r="BN3648" t="s">
        <v>27621</v>
      </c>
    </row>
    <row r="3649" spans="1:66" x14ac:dyDescent="0.25">
      <c r="A3649" t="str">
        <f>HYPERLINK("https://elite.finviz.com/quote.ashx?t=RBBN&amp;ty=c&amp;p=d&amp;b=1", "RBBN")</f>
        <v>RBBN</v>
      </c>
      <c r="B3649">
        <v>4</v>
      </c>
      <c r="C3649">
        <v>105.92</v>
      </c>
      <c r="D3649">
        <v>41.5</v>
      </c>
      <c r="E3649" t="s">
        <v>30051</v>
      </c>
      <c r="F3649" t="s">
        <v>67</v>
      </c>
      <c r="G3649" t="s">
        <v>108</v>
      </c>
      <c r="H3649" t="s">
        <v>136</v>
      </c>
      <c r="I3649" t="s">
        <v>70</v>
      </c>
      <c r="J3649" t="s">
        <v>321</v>
      </c>
      <c r="K3649">
        <v>664.05</v>
      </c>
      <c r="L3649">
        <v>3.75</v>
      </c>
      <c r="M3649" t="s">
        <v>6533</v>
      </c>
      <c r="N3649">
        <v>65135</v>
      </c>
      <c r="P3649">
        <v>11.14</v>
      </c>
      <c r="R3649">
        <v>0.77</v>
      </c>
      <c r="S3649">
        <v>1.79</v>
      </c>
      <c r="AA3649">
        <v>-0.25</v>
      </c>
      <c r="AB3649" t="s">
        <v>1948</v>
      </c>
      <c r="AC3649" t="s">
        <v>8521</v>
      </c>
      <c r="AE3649" t="s">
        <v>7403</v>
      </c>
      <c r="AF3649" t="s">
        <v>3486</v>
      </c>
      <c r="AG3649" t="s">
        <v>7511</v>
      </c>
      <c r="AH3649" t="s">
        <v>11292</v>
      </c>
      <c r="AI3649" t="s">
        <v>120</v>
      </c>
      <c r="AJ3649" t="s">
        <v>7270</v>
      </c>
      <c r="AK3649" t="s">
        <v>21593</v>
      </c>
      <c r="AL3649">
        <v>1.38</v>
      </c>
      <c r="AM3649">
        <v>1.1299999999999999</v>
      </c>
      <c r="AN3649">
        <v>1.1000000000000001</v>
      </c>
      <c r="AO3649" t="s">
        <v>19518</v>
      </c>
      <c r="AP3649" t="s">
        <v>2108</v>
      </c>
      <c r="AQ3649" t="s">
        <v>11567</v>
      </c>
      <c r="AR3649" t="s">
        <v>89</v>
      </c>
      <c r="AS3649" t="s">
        <v>4189</v>
      </c>
      <c r="AT3649" t="s">
        <v>9814</v>
      </c>
      <c r="AU3649" t="s">
        <v>552</v>
      </c>
      <c r="AV3649" t="s">
        <v>4274</v>
      </c>
      <c r="AW3649" t="s">
        <v>10935</v>
      </c>
      <c r="AX3649" t="s">
        <v>5395</v>
      </c>
      <c r="AY3649" t="s">
        <v>21652</v>
      </c>
      <c r="AZ3649" t="s">
        <v>3297</v>
      </c>
      <c r="BA3649">
        <v>1.1399999999999999</v>
      </c>
      <c r="BB3649">
        <v>552.73</v>
      </c>
      <c r="BC3649">
        <v>0.42</v>
      </c>
      <c r="BD3649">
        <v>3.82</v>
      </c>
      <c r="BE3649">
        <v>3.83</v>
      </c>
      <c r="BF3649">
        <v>3.75</v>
      </c>
      <c r="BG3649" t="s">
        <v>30052</v>
      </c>
      <c r="BH3649" t="s">
        <v>18608</v>
      </c>
      <c r="BI3649" t="s">
        <v>30053</v>
      </c>
      <c r="BJ3649" t="s">
        <v>101</v>
      </c>
      <c r="BK3649" t="s">
        <v>8830</v>
      </c>
      <c r="BL3649" t="s">
        <v>798</v>
      </c>
      <c r="BM3649" t="s">
        <v>2225</v>
      </c>
      <c r="BN3649" t="s">
        <v>27621</v>
      </c>
    </row>
    <row r="3650" spans="1:66" x14ac:dyDescent="0.25">
      <c r="A3650" t="str">
        <f>HYPERLINK("https://elite.finviz.com/quote.ashx?t=PEN&amp;ty=c&amp;p=d&amp;b=1", "PEN")</f>
        <v>PEN</v>
      </c>
      <c r="B3650">
        <v>4</v>
      </c>
      <c r="C3650">
        <v>105.92</v>
      </c>
      <c r="D3650">
        <v>41.5</v>
      </c>
      <c r="E3650" t="s">
        <v>30054</v>
      </c>
      <c r="F3650" t="s">
        <v>107</v>
      </c>
      <c r="G3650" t="s">
        <v>428</v>
      </c>
      <c r="H3650" t="s">
        <v>2051</v>
      </c>
      <c r="I3650" t="s">
        <v>70</v>
      </c>
      <c r="J3650" t="s">
        <v>71</v>
      </c>
      <c r="K3650">
        <v>9840.26</v>
      </c>
      <c r="L3650">
        <v>252.32</v>
      </c>
      <c r="M3650" t="s">
        <v>3350</v>
      </c>
      <c r="N3650">
        <v>16542</v>
      </c>
      <c r="O3650">
        <v>66.900000000000006</v>
      </c>
      <c r="P3650">
        <v>50.13</v>
      </c>
      <c r="Q3650">
        <v>1.6</v>
      </c>
      <c r="R3650">
        <v>7.69</v>
      </c>
      <c r="S3650">
        <v>7.6</v>
      </c>
      <c r="Z3650" t="s">
        <v>164</v>
      </c>
      <c r="AA3650">
        <v>3.77</v>
      </c>
      <c r="AB3650" t="s">
        <v>13286</v>
      </c>
      <c r="AC3650" t="s">
        <v>2100</v>
      </c>
      <c r="AD3650" t="s">
        <v>11233</v>
      </c>
      <c r="AE3650" t="s">
        <v>12316</v>
      </c>
      <c r="AF3650" t="s">
        <v>7629</v>
      </c>
      <c r="AG3650" t="s">
        <v>2631</v>
      </c>
      <c r="AH3650" t="s">
        <v>2685</v>
      </c>
      <c r="AI3650" t="s">
        <v>4744</v>
      </c>
      <c r="AJ3650" t="s">
        <v>8450</v>
      </c>
      <c r="AK3650" t="s">
        <v>18083</v>
      </c>
      <c r="AL3650">
        <v>6.75</v>
      </c>
      <c r="AM3650">
        <v>4.04</v>
      </c>
      <c r="AN3650">
        <v>0.17</v>
      </c>
      <c r="AO3650" t="s">
        <v>10101</v>
      </c>
      <c r="AP3650" t="s">
        <v>5405</v>
      </c>
      <c r="AQ3650" t="s">
        <v>7510</v>
      </c>
      <c r="AR3650" t="s">
        <v>3208</v>
      </c>
      <c r="AS3650" t="s">
        <v>205</v>
      </c>
      <c r="AT3650" t="s">
        <v>10228</v>
      </c>
      <c r="AU3650" t="s">
        <v>5424</v>
      </c>
      <c r="AV3650" t="s">
        <v>5101</v>
      </c>
      <c r="AW3650" t="s">
        <v>11824</v>
      </c>
      <c r="AX3650" t="s">
        <v>3003</v>
      </c>
      <c r="AY3650" t="s">
        <v>14281</v>
      </c>
      <c r="AZ3650" t="s">
        <v>11307</v>
      </c>
      <c r="BA3650">
        <v>1.55</v>
      </c>
      <c r="BB3650">
        <v>467.74</v>
      </c>
      <c r="BC3650">
        <v>0.13</v>
      </c>
      <c r="BD3650">
        <v>249.2</v>
      </c>
      <c r="BE3650">
        <v>252.9</v>
      </c>
      <c r="BF3650">
        <v>250.71</v>
      </c>
      <c r="BG3650" t="s">
        <v>30055</v>
      </c>
      <c r="BH3650" t="s">
        <v>7502</v>
      </c>
      <c r="BI3650" t="s">
        <v>30056</v>
      </c>
      <c r="BJ3650" t="s">
        <v>101</v>
      </c>
      <c r="BK3650" t="s">
        <v>2950</v>
      </c>
      <c r="BL3650" t="s">
        <v>9019</v>
      </c>
      <c r="BM3650" t="s">
        <v>5457</v>
      </c>
      <c r="BN3650" t="s">
        <v>27621</v>
      </c>
    </row>
    <row r="3651" spans="1:66" x14ac:dyDescent="0.25">
      <c r="A3651" t="str">
        <f>HYPERLINK("https://elite.finviz.com/quote.ashx?t=MIDD&amp;ty=c&amp;p=d&amp;b=1", "MIDD")</f>
        <v>MIDD</v>
      </c>
      <c r="B3651">
        <v>4</v>
      </c>
      <c r="C3651">
        <v>105.92</v>
      </c>
      <c r="D3651">
        <v>41.51</v>
      </c>
      <c r="E3651" t="s">
        <v>30057</v>
      </c>
      <c r="F3651" t="s">
        <v>107</v>
      </c>
      <c r="G3651" t="s">
        <v>260</v>
      </c>
      <c r="H3651" t="s">
        <v>261</v>
      </c>
      <c r="I3651" t="s">
        <v>70</v>
      </c>
      <c r="J3651" t="s">
        <v>321</v>
      </c>
      <c r="K3651">
        <v>6687.54</v>
      </c>
      <c r="L3651">
        <v>131.94999999999999</v>
      </c>
      <c r="M3651" t="s">
        <v>822</v>
      </c>
      <c r="N3651">
        <v>77327</v>
      </c>
      <c r="O3651">
        <v>16.78</v>
      </c>
      <c r="P3651">
        <v>13.67</v>
      </c>
      <c r="Q3651">
        <v>3.07</v>
      </c>
      <c r="R3651">
        <v>1.74</v>
      </c>
      <c r="S3651">
        <v>1.87</v>
      </c>
      <c r="V3651" t="s">
        <v>30058</v>
      </c>
      <c r="Z3651" t="s">
        <v>164</v>
      </c>
      <c r="AA3651">
        <v>7.86</v>
      </c>
      <c r="AB3651" t="s">
        <v>14569</v>
      </c>
      <c r="AC3651" t="s">
        <v>10226</v>
      </c>
      <c r="AD3651" t="s">
        <v>5090</v>
      </c>
      <c r="AE3651" t="s">
        <v>1413</v>
      </c>
      <c r="AF3651" t="s">
        <v>1886</v>
      </c>
      <c r="AG3651" t="s">
        <v>1871</v>
      </c>
      <c r="AH3651" t="s">
        <v>1510</v>
      </c>
      <c r="AI3651" t="s">
        <v>8966</v>
      </c>
      <c r="AK3651" t="s">
        <v>30059</v>
      </c>
      <c r="AL3651">
        <v>2.57</v>
      </c>
      <c r="AM3651">
        <v>1.56</v>
      </c>
      <c r="AN3651">
        <v>0.66</v>
      </c>
      <c r="AO3651" t="s">
        <v>11023</v>
      </c>
      <c r="AP3651" t="s">
        <v>7217</v>
      </c>
      <c r="AQ3651" t="s">
        <v>18151</v>
      </c>
      <c r="AR3651" t="s">
        <v>2217</v>
      </c>
      <c r="AS3651" t="s">
        <v>1560</v>
      </c>
      <c r="AT3651" t="s">
        <v>4168</v>
      </c>
      <c r="AU3651" t="s">
        <v>13981</v>
      </c>
      <c r="AV3651" t="s">
        <v>9417</v>
      </c>
      <c r="AW3651" t="s">
        <v>998</v>
      </c>
      <c r="AX3651" t="s">
        <v>11337</v>
      </c>
      <c r="AY3651" t="s">
        <v>30060</v>
      </c>
      <c r="AZ3651" t="s">
        <v>11337</v>
      </c>
      <c r="BA3651">
        <v>2.27</v>
      </c>
      <c r="BB3651">
        <v>949.87</v>
      </c>
      <c r="BC3651">
        <v>0.28999999999999998</v>
      </c>
      <c r="BD3651">
        <v>131.65</v>
      </c>
      <c r="BE3651">
        <v>132.84</v>
      </c>
      <c r="BF3651">
        <v>130.74</v>
      </c>
      <c r="BG3651" t="s">
        <v>30061</v>
      </c>
      <c r="BH3651" t="s">
        <v>12244</v>
      </c>
      <c r="BI3651" t="s">
        <v>30062</v>
      </c>
      <c r="BJ3651" t="s">
        <v>101</v>
      </c>
      <c r="BK3651" t="s">
        <v>16810</v>
      </c>
      <c r="BL3651" t="s">
        <v>20311</v>
      </c>
      <c r="BM3651" t="s">
        <v>15157</v>
      </c>
      <c r="BN3651" t="s">
        <v>27621</v>
      </c>
    </row>
    <row r="3652" spans="1:66" x14ac:dyDescent="0.25">
      <c r="A3652" t="str">
        <f>HYPERLINK("https://elite.finviz.com/quote.ashx?t=SFBS&amp;ty=c&amp;p=d&amp;b=1", "SFBS")</f>
        <v>SFBS</v>
      </c>
      <c r="B3652">
        <v>4</v>
      </c>
      <c r="C3652">
        <v>105.92</v>
      </c>
      <c r="D3652">
        <v>41.52</v>
      </c>
      <c r="E3652" t="s">
        <v>30063</v>
      </c>
      <c r="F3652" t="s">
        <v>67</v>
      </c>
      <c r="G3652" t="s">
        <v>550</v>
      </c>
      <c r="H3652" t="s">
        <v>697</v>
      </c>
      <c r="I3652" t="s">
        <v>70</v>
      </c>
      <c r="J3652" t="s">
        <v>71</v>
      </c>
      <c r="K3652">
        <v>4477.2299999999996</v>
      </c>
      <c r="L3652">
        <v>81.97</v>
      </c>
      <c r="M3652" t="s">
        <v>580</v>
      </c>
      <c r="N3652">
        <v>25328</v>
      </c>
      <c r="O3652">
        <v>17.940000000000001</v>
      </c>
      <c r="P3652">
        <v>13.05</v>
      </c>
      <c r="R3652">
        <v>4.45</v>
      </c>
      <c r="S3652">
        <v>2.6</v>
      </c>
      <c r="T3652" t="s">
        <v>6990</v>
      </c>
      <c r="U3652">
        <v>1.31</v>
      </c>
      <c r="V3652" t="s">
        <v>700</v>
      </c>
      <c r="W3652" t="s">
        <v>147</v>
      </c>
      <c r="X3652" t="s">
        <v>176</v>
      </c>
      <c r="Y3652" t="s">
        <v>1561</v>
      </c>
      <c r="Z3652" t="s">
        <v>9296</v>
      </c>
      <c r="AA3652">
        <v>4.57</v>
      </c>
      <c r="AB3652" t="s">
        <v>6937</v>
      </c>
      <c r="AC3652" t="s">
        <v>4815</v>
      </c>
      <c r="AE3652" t="s">
        <v>6859</v>
      </c>
      <c r="AF3652" t="s">
        <v>7521</v>
      </c>
      <c r="AG3652" t="s">
        <v>7211</v>
      </c>
      <c r="AH3652" t="s">
        <v>6378</v>
      </c>
      <c r="AI3652" t="s">
        <v>164</v>
      </c>
      <c r="AJ3652" t="s">
        <v>1202</v>
      </c>
      <c r="AK3652" t="s">
        <v>28107</v>
      </c>
      <c r="AL3652">
        <v>0.33</v>
      </c>
      <c r="AN3652">
        <v>0.98</v>
      </c>
      <c r="AP3652" t="s">
        <v>12618</v>
      </c>
      <c r="AQ3652" t="s">
        <v>8611</v>
      </c>
      <c r="AR3652" t="s">
        <v>3832</v>
      </c>
      <c r="AS3652" t="s">
        <v>3671</v>
      </c>
      <c r="AT3652" t="s">
        <v>16782</v>
      </c>
      <c r="AU3652" t="s">
        <v>13117</v>
      </c>
      <c r="AV3652" t="s">
        <v>1083</v>
      </c>
      <c r="AW3652" t="s">
        <v>481</v>
      </c>
      <c r="AX3652" t="s">
        <v>6607</v>
      </c>
      <c r="AY3652" t="s">
        <v>7100</v>
      </c>
      <c r="AZ3652" t="s">
        <v>1134</v>
      </c>
      <c r="BA3652">
        <v>3</v>
      </c>
      <c r="BB3652">
        <v>247.18</v>
      </c>
      <c r="BC3652">
        <v>0.36</v>
      </c>
      <c r="BD3652">
        <v>81.91</v>
      </c>
      <c r="BE3652">
        <v>82.92</v>
      </c>
      <c r="BF3652">
        <v>81.819999999999993</v>
      </c>
      <c r="BG3652" t="s">
        <v>30064</v>
      </c>
      <c r="BH3652" t="s">
        <v>7100</v>
      </c>
      <c r="BI3652" t="s">
        <v>30065</v>
      </c>
      <c r="BJ3652" t="s">
        <v>101</v>
      </c>
      <c r="BK3652" t="s">
        <v>9130</v>
      </c>
      <c r="BL3652" t="s">
        <v>3940</v>
      </c>
      <c r="BM3652" t="s">
        <v>5660</v>
      </c>
      <c r="BN3652" t="s">
        <v>27621</v>
      </c>
    </row>
    <row r="3653" spans="1:66" x14ac:dyDescent="0.25">
      <c r="A3653" t="str">
        <f>HYPERLINK("https://elite.finviz.com/quote.ashx?t=CBNK&amp;ty=c&amp;p=d&amp;b=1", "CBNK")</f>
        <v>CBNK</v>
      </c>
      <c r="B3653">
        <v>4</v>
      </c>
      <c r="C3653">
        <v>105.92</v>
      </c>
      <c r="D3653">
        <v>41.55</v>
      </c>
      <c r="E3653" t="s">
        <v>30066</v>
      </c>
      <c r="F3653" t="s">
        <v>67</v>
      </c>
      <c r="G3653" t="s">
        <v>550</v>
      </c>
      <c r="H3653" t="s">
        <v>697</v>
      </c>
      <c r="I3653" t="s">
        <v>70</v>
      </c>
      <c r="J3653" t="s">
        <v>321</v>
      </c>
      <c r="K3653">
        <v>534.79999999999995</v>
      </c>
      <c r="L3653">
        <v>32.25</v>
      </c>
      <c r="M3653" t="s">
        <v>5693</v>
      </c>
      <c r="N3653">
        <v>7246</v>
      </c>
      <c r="O3653">
        <v>12.05</v>
      </c>
      <c r="P3653">
        <v>8.98</v>
      </c>
      <c r="R3653">
        <v>2</v>
      </c>
      <c r="S3653">
        <v>1.41</v>
      </c>
      <c r="T3653" t="s">
        <v>1025</v>
      </c>
      <c r="U3653">
        <v>0.42</v>
      </c>
      <c r="V3653" t="s">
        <v>893</v>
      </c>
      <c r="W3653" t="s">
        <v>8003</v>
      </c>
      <c r="X3653" t="s">
        <v>12846</v>
      </c>
      <c r="Z3653" t="s">
        <v>5046</v>
      </c>
      <c r="AA3653">
        <v>2.68</v>
      </c>
      <c r="AB3653" t="s">
        <v>7049</v>
      </c>
      <c r="AC3653" t="s">
        <v>6466</v>
      </c>
      <c r="AE3653" t="s">
        <v>1986</v>
      </c>
      <c r="AF3653" t="s">
        <v>847</v>
      </c>
      <c r="AG3653" t="s">
        <v>8302</v>
      </c>
      <c r="AH3653" t="s">
        <v>2524</v>
      </c>
      <c r="AI3653" t="s">
        <v>17548</v>
      </c>
      <c r="AJ3653" t="s">
        <v>4086</v>
      </c>
      <c r="AK3653" t="s">
        <v>20801</v>
      </c>
      <c r="AL3653">
        <v>0.1</v>
      </c>
      <c r="AN3653">
        <v>0.1</v>
      </c>
      <c r="AP3653" t="s">
        <v>980</v>
      </c>
      <c r="AQ3653" t="s">
        <v>6501</v>
      </c>
      <c r="AR3653" t="s">
        <v>206</v>
      </c>
      <c r="AS3653" t="s">
        <v>2640</v>
      </c>
      <c r="AT3653" t="s">
        <v>79</v>
      </c>
      <c r="AU3653" t="s">
        <v>2968</v>
      </c>
      <c r="AV3653" t="s">
        <v>975</v>
      </c>
      <c r="AW3653" t="s">
        <v>1108</v>
      </c>
      <c r="AX3653" t="s">
        <v>2196</v>
      </c>
      <c r="AY3653" t="s">
        <v>1108</v>
      </c>
      <c r="AZ3653" t="s">
        <v>15004</v>
      </c>
      <c r="BA3653">
        <v>1.5</v>
      </c>
      <c r="BB3653">
        <v>65.010000000000005</v>
      </c>
      <c r="BC3653">
        <v>0.4</v>
      </c>
      <c r="BD3653">
        <v>32.53</v>
      </c>
      <c r="BE3653">
        <v>32.619999999999997</v>
      </c>
      <c r="BF3653">
        <v>32.26</v>
      </c>
      <c r="BG3653" t="s">
        <v>30067</v>
      </c>
      <c r="BH3653" t="s">
        <v>1108</v>
      </c>
      <c r="BI3653" t="s">
        <v>30068</v>
      </c>
      <c r="BJ3653" t="s">
        <v>101</v>
      </c>
      <c r="BK3653" t="s">
        <v>4645</v>
      </c>
      <c r="BL3653" t="s">
        <v>239</v>
      </c>
      <c r="BM3653" t="s">
        <v>7578</v>
      </c>
      <c r="BN3653" t="s">
        <v>27621</v>
      </c>
    </row>
    <row r="3654" spans="1:66" x14ac:dyDescent="0.25">
      <c r="A3654" t="str">
        <f>HYPERLINK("https://elite.finviz.com/quote.ashx?t=BHM&amp;ty=c&amp;p=d&amp;b=1", "BHM")</f>
        <v>BHM</v>
      </c>
      <c r="B3654">
        <v>4</v>
      </c>
      <c r="C3654">
        <v>105.92</v>
      </c>
      <c r="D3654">
        <v>41.56</v>
      </c>
      <c r="E3654" t="s">
        <v>30069</v>
      </c>
      <c r="F3654" t="s">
        <v>107</v>
      </c>
      <c r="G3654" t="s">
        <v>68</v>
      </c>
      <c r="H3654" t="s">
        <v>5671</v>
      </c>
      <c r="I3654" t="s">
        <v>70</v>
      </c>
      <c r="J3654" t="s">
        <v>383</v>
      </c>
      <c r="K3654">
        <v>133.44999999999999</v>
      </c>
      <c r="L3654">
        <v>11.67</v>
      </c>
      <c r="M3654" t="s">
        <v>3671</v>
      </c>
      <c r="N3654">
        <v>977</v>
      </c>
      <c r="R3654">
        <v>2.23</v>
      </c>
      <c r="S3654">
        <v>0.35</v>
      </c>
      <c r="T3654" t="s">
        <v>8013</v>
      </c>
      <c r="U3654">
        <v>0.38</v>
      </c>
      <c r="V3654" t="s">
        <v>30070</v>
      </c>
      <c r="AA3654">
        <v>-1.72</v>
      </c>
      <c r="AB3654" t="s">
        <v>4212</v>
      </c>
      <c r="AC3654" t="s">
        <v>11541</v>
      </c>
      <c r="AE3654" t="s">
        <v>24503</v>
      </c>
      <c r="AF3654" t="s">
        <v>11468</v>
      </c>
      <c r="AG3654" t="s">
        <v>2427</v>
      </c>
      <c r="AH3654" t="s">
        <v>26310</v>
      </c>
      <c r="AJ3654" t="s">
        <v>164</v>
      </c>
      <c r="AK3654" t="s">
        <v>21868</v>
      </c>
      <c r="AL3654">
        <v>13.22</v>
      </c>
      <c r="AM3654">
        <v>13.22</v>
      </c>
      <c r="AN3654">
        <v>1.3</v>
      </c>
      <c r="AO3654" t="s">
        <v>18694</v>
      </c>
      <c r="AP3654" t="s">
        <v>14423</v>
      </c>
      <c r="AQ3654" t="s">
        <v>6266</v>
      </c>
      <c r="AR3654" t="s">
        <v>1926</v>
      </c>
      <c r="AS3654" t="s">
        <v>89</v>
      </c>
      <c r="AT3654" t="s">
        <v>1580</v>
      </c>
      <c r="AU3654" t="s">
        <v>16226</v>
      </c>
      <c r="AV3654" t="s">
        <v>7468</v>
      </c>
      <c r="AW3654" t="s">
        <v>14550</v>
      </c>
      <c r="AX3654" t="s">
        <v>2448</v>
      </c>
      <c r="AY3654" t="s">
        <v>4543</v>
      </c>
      <c r="AZ3654" t="s">
        <v>1371</v>
      </c>
      <c r="BA3654">
        <v>1</v>
      </c>
      <c r="BB3654">
        <v>2.4700000000000002</v>
      </c>
      <c r="BC3654">
        <v>1.4</v>
      </c>
      <c r="BD3654">
        <v>11.43</v>
      </c>
      <c r="BE3654">
        <v>12.13</v>
      </c>
      <c r="BF3654">
        <v>11.43</v>
      </c>
      <c r="BG3654" t="s">
        <v>30071</v>
      </c>
      <c r="BH3654" t="s">
        <v>8065</v>
      </c>
      <c r="BI3654" t="s">
        <v>1371</v>
      </c>
      <c r="BJ3654" t="s">
        <v>101</v>
      </c>
      <c r="BK3654" t="s">
        <v>5964</v>
      </c>
      <c r="BL3654" t="s">
        <v>17548</v>
      </c>
      <c r="BM3654" t="s">
        <v>8135</v>
      </c>
      <c r="BN3654" t="s">
        <v>27621</v>
      </c>
    </row>
    <row r="3655" spans="1:66" x14ac:dyDescent="0.25">
      <c r="A3655" t="str">
        <f>HYPERLINK("https://elite.finviz.com/quote.ashx?t=ELAB&amp;ty=c&amp;p=d&amp;b=1", "ELAB")</f>
        <v>ELAB</v>
      </c>
      <c r="B3655">
        <v>4</v>
      </c>
      <c r="C3655">
        <v>105.92</v>
      </c>
      <c r="D3655">
        <v>41.57</v>
      </c>
      <c r="E3655" t="s">
        <v>30072</v>
      </c>
      <c r="F3655" t="s">
        <v>107</v>
      </c>
      <c r="G3655" t="s">
        <v>428</v>
      </c>
      <c r="H3655" t="s">
        <v>429</v>
      </c>
      <c r="I3655" t="s">
        <v>70</v>
      </c>
      <c r="J3655" t="s">
        <v>321</v>
      </c>
      <c r="K3655">
        <v>3.44</v>
      </c>
      <c r="L3655">
        <v>5.07</v>
      </c>
      <c r="M3655" t="s">
        <v>3169</v>
      </c>
      <c r="N3655">
        <v>5177</v>
      </c>
      <c r="R3655">
        <v>1.4</v>
      </c>
      <c r="S3655">
        <v>0.24</v>
      </c>
      <c r="AA3655">
        <v>-1432.71</v>
      </c>
      <c r="AB3655" t="s">
        <v>435</v>
      </c>
      <c r="AH3655" t="s">
        <v>579</v>
      </c>
      <c r="AJ3655" t="s">
        <v>164</v>
      </c>
      <c r="AK3655" t="s">
        <v>7338</v>
      </c>
      <c r="AL3655">
        <v>22.38</v>
      </c>
      <c r="AM3655">
        <v>22.38</v>
      </c>
      <c r="AN3655">
        <v>0</v>
      </c>
      <c r="AO3655" t="s">
        <v>24220</v>
      </c>
      <c r="AP3655" t="s">
        <v>30073</v>
      </c>
      <c r="AQ3655" t="s">
        <v>30074</v>
      </c>
      <c r="AR3655" t="s">
        <v>10425</v>
      </c>
      <c r="AS3655" t="s">
        <v>2877</v>
      </c>
      <c r="AT3655" t="s">
        <v>3950</v>
      </c>
      <c r="AU3655" t="s">
        <v>21460</v>
      </c>
      <c r="AV3655" t="s">
        <v>22304</v>
      </c>
      <c r="AW3655" t="s">
        <v>1157</v>
      </c>
      <c r="AX3655" t="s">
        <v>10775</v>
      </c>
      <c r="AY3655" t="s">
        <v>14412</v>
      </c>
      <c r="AZ3655" t="s">
        <v>10775</v>
      </c>
      <c r="BB3655">
        <v>763.18</v>
      </c>
      <c r="BC3655">
        <v>0.02</v>
      </c>
      <c r="BD3655">
        <v>5.03</v>
      </c>
      <c r="BE3655">
        <v>5.17</v>
      </c>
      <c r="BF3655">
        <v>5.04</v>
      </c>
      <c r="BG3655" t="s">
        <v>30075</v>
      </c>
      <c r="BH3655" t="s">
        <v>3265</v>
      </c>
      <c r="BI3655" t="s">
        <v>10775</v>
      </c>
      <c r="BJ3655" t="s">
        <v>101</v>
      </c>
      <c r="BK3655" t="s">
        <v>17843</v>
      </c>
      <c r="BL3655" t="s">
        <v>24772</v>
      </c>
      <c r="BM3655" t="s">
        <v>22677</v>
      </c>
      <c r="BN3655" t="s">
        <v>27621</v>
      </c>
    </row>
    <row r="3656" spans="1:66" x14ac:dyDescent="0.25">
      <c r="A3656" t="str">
        <f>HYPERLINK("https://elite.finviz.com/quote.ashx?t=VTSI&amp;ty=c&amp;p=d&amp;b=1", "VTSI")</f>
        <v>VTSI</v>
      </c>
      <c r="B3656">
        <v>4</v>
      </c>
      <c r="C3656">
        <v>105.92</v>
      </c>
      <c r="D3656">
        <v>41.59</v>
      </c>
      <c r="E3656" t="s">
        <v>30076</v>
      </c>
      <c r="F3656" t="s">
        <v>107</v>
      </c>
      <c r="G3656" t="s">
        <v>108</v>
      </c>
      <c r="H3656" t="s">
        <v>136</v>
      </c>
      <c r="I3656" t="s">
        <v>70</v>
      </c>
      <c r="J3656" t="s">
        <v>321</v>
      </c>
      <c r="K3656">
        <v>60.74</v>
      </c>
      <c r="L3656">
        <v>5.39</v>
      </c>
      <c r="M3656" t="s">
        <v>4763</v>
      </c>
      <c r="N3656">
        <v>6199</v>
      </c>
      <c r="O3656">
        <v>151.4</v>
      </c>
      <c r="P3656">
        <v>16.329999999999998</v>
      </c>
      <c r="R3656">
        <v>2.31</v>
      </c>
      <c r="S3656">
        <v>1.28</v>
      </c>
      <c r="Z3656" t="s">
        <v>164</v>
      </c>
      <c r="AA3656">
        <v>0.04</v>
      </c>
      <c r="AB3656" t="s">
        <v>8220</v>
      </c>
      <c r="AE3656" t="s">
        <v>15468</v>
      </c>
      <c r="AF3656" t="s">
        <v>1560</v>
      </c>
      <c r="AG3656" t="s">
        <v>906</v>
      </c>
      <c r="AH3656" t="s">
        <v>7401</v>
      </c>
      <c r="AI3656" t="s">
        <v>14242</v>
      </c>
      <c r="AJ3656" t="s">
        <v>164</v>
      </c>
      <c r="AK3656" t="s">
        <v>11039</v>
      </c>
      <c r="AL3656">
        <v>4.4000000000000004</v>
      </c>
      <c r="AM3656">
        <v>3.13</v>
      </c>
      <c r="AN3656">
        <v>0.17</v>
      </c>
      <c r="AO3656" t="s">
        <v>30077</v>
      </c>
      <c r="AP3656" t="s">
        <v>521</v>
      </c>
      <c r="AQ3656" t="s">
        <v>5610</v>
      </c>
      <c r="AR3656" t="s">
        <v>3482</v>
      </c>
      <c r="AS3656" t="s">
        <v>4324</v>
      </c>
      <c r="AT3656" t="s">
        <v>2288</v>
      </c>
      <c r="AU3656" t="s">
        <v>12163</v>
      </c>
      <c r="AV3656" t="s">
        <v>8055</v>
      </c>
      <c r="AW3656" t="s">
        <v>25424</v>
      </c>
      <c r="AX3656" t="s">
        <v>7682</v>
      </c>
      <c r="AY3656" t="s">
        <v>30078</v>
      </c>
      <c r="AZ3656" t="s">
        <v>18681</v>
      </c>
      <c r="BA3656">
        <v>1</v>
      </c>
      <c r="BB3656">
        <v>93.84</v>
      </c>
      <c r="BC3656">
        <v>0.23</v>
      </c>
      <c r="BD3656">
        <v>5.47</v>
      </c>
      <c r="BE3656">
        <v>5.48</v>
      </c>
      <c r="BF3656">
        <v>5.39</v>
      </c>
      <c r="BG3656" t="s">
        <v>30079</v>
      </c>
      <c r="BH3656" t="s">
        <v>30080</v>
      </c>
      <c r="BI3656" t="s">
        <v>30081</v>
      </c>
      <c r="BJ3656" t="s">
        <v>101</v>
      </c>
      <c r="BK3656" t="s">
        <v>24076</v>
      </c>
      <c r="BL3656" t="s">
        <v>4530</v>
      </c>
      <c r="BM3656" t="s">
        <v>1579</v>
      </c>
      <c r="BN3656" t="s">
        <v>27621</v>
      </c>
    </row>
    <row r="3657" spans="1:66" x14ac:dyDescent="0.25">
      <c r="A3657" t="str">
        <f>HYPERLINK("https://elite.finviz.com/quote.ashx?t=SCVL&amp;ty=c&amp;p=d&amp;b=1", "SCVL")</f>
        <v>SCVL</v>
      </c>
      <c r="B3657">
        <v>4</v>
      </c>
      <c r="C3657">
        <v>105.92</v>
      </c>
      <c r="D3657">
        <v>41.6</v>
      </c>
      <c r="E3657" t="s">
        <v>30082</v>
      </c>
      <c r="F3657" t="s">
        <v>67</v>
      </c>
      <c r="G3657" t="s">
        <v>813</v>
      </c>
      <c r="H3657" t="s">
        <v>4488</v>
      </c>
      <c r="I3657" t="s">
        <v>70</v>
      </c>
      <c r="J3657" t="s">
        <v>321</v>
      </c>
      <c r="K3657">
        <v>582.22</v>
      </c>
      <c r="L3657">
        <v>21.27</v>
      </c>
      <c r="M3657" t="s">
        <v>5257</v>
      </c>
      <c r="N3657">
        <v>45813</v>
      </c>
      <c r="O3657">
        <v>9.3699999999999992</v>
      </c>
      <c r="P3657">
        <v>12.64</v>
      </c>
      <c r="R3657">
        <v>0.5</v>
      </c>
      <c r="S3657">
        <v>0.87</v>
      </c>
      <c r="T3657" t="s">
        <v>465</v>
      </c>
      <c r="U3657">
        <v>0.56999999999999995</v>
      </c>
      <c r="V3657" t="s">
        <v>11435</v>
      </c>
      <c r="W3657" t="s">
        <v>15403</v>
      </c>
      <c r="X3657" t="s">
        <v>3623</v>
      </c>
      <c r="Y3657" t="s">
        <v>432</v>
      </c>
      <c r="Z3657" t="s">
        <v>718</v>
      </c>
      <c r="AA3657">
        <v>2.27</v>
      </c>
      <c r="AB3657" t="s">
        <v>23783</v>
      </c>
      <c r="AC3657" t="s">
        <v>9545</v>
      </c>
      <c r="AD3657" t="s">
        <v>2856</v>
      </c>
      <c r="AE3657" t="s">
        <v>9019</v>
      </c>
      <c r="AF3657" t="s">
        <v>5574</v>
      </c>
      <c r="AG3657" t="s">
        <v>2543</v>
      </c>
      <c r="AH3657" t="s">
        <v>2467</v>
      </c>
      <c r="AI3657" t="s">
        <v>1228</v>
      </c>
      <c r="AJ3657" t="s">
        <v>164</v>
      </c>
      <c r="AK3657" t="s">
        <v>5657</v>
      </c>
      <c r="AL3657">
        <v>3.67</v>
      </c>
      <c r="AM3657">
        <v>0.8</v>
      </c>
      <c r="AN3657">
        <v>0.54</v>
      </c>
      <c r="AO3657" t="s">
        <v>15335</v>
      </c>
      <c r="AP3657" t="s">
        <v>11336</v>
      </c>
      <c r="AQ3657" t="s">
        <v>3602</v>
      </c>
      <c r="AR3657" t="s">
        <v>2383</v>
      </c>
      <c r="AS3657" t="s">
        <v>4323</v>
      </c>
      <c r="AT3657" t="s">
        <v>972</v>
      </c>
      <c r="AU3657" t="s">
        <v>91</v>
      </c>
      <c r="AV3657" t="s">
        <v>10518</v>
      </c>
      <c r="AW3657" t="s">
        <v>11311</v>
      </c>
      <c r="AX3657" t="s">
        <v>5262</v>
      </c>
      <c r="AY3657" t="s">
        <v>26291</v>
      </c>
      <c r="AZ3657" t="s">
        <v>3778</v>
      </c>
      <c r="BA3657">
        <v>3</v>
      </c>
      <c r="BB3657">
        <v>431.01</v>
      </c>
      <c r="BC3657">
        <v>0.37</v>
      </c>
      <c r="BD3657">
        <v>21.66</v>
      </c>
      <c r="BE3657">
        <v>21.7</v>
      </c>
      <c r="BF3657">
        <v>21.26</v>
      </c>
      <c r="BG3657" t="s">
        <v>30083</v>
      </c>
      <c r="BH3657" t="s">
        <v>25382</v>
      </c>
      <c r="BI3657" t="s">
        <v>30084</v>
      </c>
      <c r="BJ3657" t="s">
        <v>101</v>
      </c>
      <c r="BK3657" t="s">
        <v>7106</v>
      </c>
      <c r="BL3657" t="s">
        <v>3665</v>
      </c>
      <c r="BM3657" t="s">
        <v>23793</v>
      </c>
      <c r="BN3657" t="s">
        <v>27621</v>
      </c>
    </row>
    <row r="3658" spans="1:66" x14ac:dyDescent="0.25">
      <c r="A3658" t="str">
        <f>HYPERLINK("https://elite.finviz.com/quote.ashx?t=DEC&amp;ty=c&amp;p=d&amp;b=1", "DEC")</f>
        <v>DEC</v>
      </c>
      <c r="B3658">
        <v>4</v>
      </c>
      <c r="C3658">
        <v>105.92</v>
      </c>
      <c r="D3658">
        <v>41.61</v>
      </c>
      <c r="E3658" t="s">
        <v>30085</v>
      </c>
      <c r="F3658" t="s">
        <v>67</v>
      </c>
      <c r="G3658" t="s">
        <v>1048</v>
      </c>
      <c r="H3658" t="s">
        <v>10235</v>
      </c>
      <c r="I3658" t="s">
        <v>70</v>
      </c>
      <c r="J3658" t="s">
        <v>71</v>
      </c>
      <c r="K3658">
        <v>1117.56</v>
      </c>
      <c r="L3658">
        <v>14.37</v>
      </c>
      <c r="M3658" t="s">
        <v>8357</v>
      </c>
      <c r="N3658">
        <v>75117</v>
      </c>
      <c r="P3658">
        <v>5.0999999999999996</v>
      </c>
      <c r="R3658">
        <v>0.93</v>
      </c>
      <c r="S3658">
        <v>1.56</v>
      </c>
      <c r="T3658" t="s">
        <v>6791</v>
      </c>
      <c r="U3658">
        <v>1.1599999999999999</v>
      </c>
      <c r="V3658" t="s">
        <v>25921</v>
      </c>
      <c r="W3658" t="s">
        <v>8192</v>
      </c>
      <c r="X3658" t="s">
        <v>6643</v>
      </c>
      <c r="Y3658" t="s">
        <v>28413</v>
      </c>
      <c r="AA3658">
        <v>-2.66</v>
      </c>
      <c r="AB3658" t="s">
        <v>7500</v>
      </c>
      <c r="AD3658" t="s">
        <v>3408</v>
      </c>
      <c r="AE3658" t="s">
        <v>30086</v>
      </c>
      <c r="AF3658" t="s">
        <v>5428</v>
      </c>
      <c r="AG3658" t="s">
        <v>7654</v>
      </c>
      <c r="AH3658" t="s">
        <v>30087</v>
      </c>
      <c r="AK3658" t="s">
        <v>23206</v>
      </c>
      <c r="AL3658">
        <v>0.54</v>
      </c>
      <c r="AM3658">
        <v>0.54</v>
      </c>
      <c r="AN3658">
        <v>3.85</v>
      </c>
      <c r="AO3658" t="s">
        <v>4745</v>
      </c>
      <c r="AP3658" t="s">
        <v>7735</v>
      </c>
      <c r="AQ3658" t="s">
        <v>7279</v>
      </c>
      <c r="AR3658" t="s">
        <v>2201</v>
      </c>
      <c r="AS3658" t="s">
        <v>6003</v>
      </c>
      <c r="AT3658" t="s">
        <v>4210</v>
      </c>
      <c r="AU3658" t="s">
        <v>5040</v>
      </c>
      <c r="AV3658" t="s">
        <v>4436</v>
      </c>
      <c r="AW3658" t="s">
        <v>487</v>
      </c>
      <c r="AX3658" t="s">
        <v>323</v>
      </c>
      <c r="AY3658" t="s">
        <v>24613</v>
      </c>
      <c r="AZ3658" t="s">
        <v>9763</v>
      </c>
      <c r="BA3658">
        <v>1.33</v>
      </c>
      <c r="BB3658">
        <v>425.68</v>
      </c>
      <c r="BC3658">
        <v>0.62</v>
      </c>
      <c r="BD3658">
        <v>14.49</v>
      </c>
      <c r="BE3658">
        <v>14.51</v>
      </c>
      <c r="BF3658">
        <v>14.35</v>
      </c>
      <c r="BG3658" t="s">
        <v>30088</v>
      </c>
      <c r="BH3658" t="s">
        <v>12657</v>
      </c>
      <c r="BI3658" t="s">
        <v>9763</v>
      </c>
      <c r="BJ3658" t="s">
        <v>101</v>
      </c>
      <c r="BK3658" t="s">
        <v>14499</v>
      </c>
      <c r="BL3658" t="s">
        <v>8054</v>
      </c>
      <c r="BM3658" t="s">
        <v>11424</v>
      </c>
      <c r="BN3658" t="s">
        <v>27621</v>
      </c>
    </row>
    <row r="3659" spans="1:66" x14ac:dyDescent="0.25">
      <c r="A3659" t="str">
        <f>HYPERLINK("https://elite.finviz.com/quote.ashx?t=XWEL&amp;ty=c&amp;p=d&amp;b=1", "XWEL")</f>
        <v>XWEL</v>
      </c>
      <c r="B3659">
        <v>4</v>
      </c>
      <c r="C3659">
        <v>105.92</v>
      </c>
      <c r="D3659">
        <v>41.63</v>
      </c>
      <c r="E3659" t="s">
        <v>30089</v>
      </c>
      <c r="F3659" t="s">
        <v>107</v>
      </c>
      <c r="G3659" t="s">
        <v>428</v>
      </c>
      <c r="H3659" t="s">
        <v>4202</v>
      </c>
      <c r="I3659" t="s">
        <v>70</v>
      </c>
      <c r="J3659" t="s">
        <v>321</v>
      </c>
      <c r="K3659">
        <v>5.85</v>
      </c>
      <c r="L3659">
        <v>1.02</v>
      </c>
      <c r="M3659" t="s">
        <v>4782</v>
      </c>
      <c r="N3659">
        <v>4506</v>
      </c>
      <c r="R3659">
        <v>0.19</v>
      </c>
      <c r="AA3659">
        <v>-3.89</v>
      </c>
      <c r="AC3659" t="s">
        <v>6856</v>
      </c>
      <c r="AE3659" t="s">
        <v>6231</v>
      </c>
      <c r="AF3659" t="s">
        <v>688</v>
      </c>
      <c r="AG3659" t="s">
        <v>10533</v>
      </c>
      <c r="AH3659" t="s">
        <v>410</v>
      </c>
      <c r="AJ3659" t="s">
        <v>164</v>
      </c>
      <c r="AK3659" t="s">
        <v>371</v>
      </c>
      <c r="AL3659">
        <v>1.25</v>
      </c>
      <c r="AM3659">
        <v>1.19</v>
      </c>
      <c r="AO3659" t="s">
        <v>6357</v>
      </c>
      <c r="AP3659" t="s">
        <v>30090</v>
      </c>
      <c r="AQ3659" t="s">
        <v>30091</v>
      </c>
      <c r="AR3659" t="s">
        <v>1491</v>
      </c>
      <c r="AS3659" t="s">
        <v>2398</v>
      </c>
      <c r="AT3659" t="s">
        <v>4517</v>
      </c>
      <c r="AU3659" t="s">
        <v>15469</v>
      </c>
      <c r="AV3659" t="s">
        <v>7074</v>
      </c>
      <c r="AW3659" t="s">
        <v>9045</v>
      </c>
      <c r="AX3659" t="s">
        <v>2217</v>
      </c>
      <c r="AY3659" t="s">
        <v>30092</v>
      </c>
      <c r="AZ3659" t="s">
        <v>3504</v>
      </c>
      <c r="BA3659">
        <v>1</v>
      </c>
      <c r="BB3659">
        <v>21.38</v>
      </c>
      <c r="BC3659">
        <v>0.75</v>
      </c>
      <c r="BD3659">
        <v>1.01</v>
      </c>
      <c r="BE3659">
        <v>1.06</v>
      </c>
      <c r="BF3659">
        <v>1.01</v>
      </c>
      <c r="BG3659" t="s">
        <v>30093</v>
      </c>
      <c r="BH3659" t="s">
        <v>579</v>
      </c>
      <c r="BI3659" t="s">
        <v>3504</v>
      </c>
      <c r="BJ3659" t="s">
        <v>101</v>
      </c>
      <c r="BK3659" t="s">
        <v>7511</v>
      </c>
      <c r="BL3659" t="s">
        <v>2452</v>
      </c>
      <c r="BM3659" t="s">
        <v>30094</v>
      </c>
      <c r="BN3659" t="s">
        <v>27621</v>
      </c>
    </row>
    <row r="3660" spans="1:66" x14ac:dyDescent="0.25">
      <c r="A3660" t="str">
        <f>HYPERLINK("https://elite.finviz.com/quote.ashx?t=RPD&amp;ty=c&amp;p=d&amp;b=1", "RPD")</f>
        <v>RPD</v>
      </c>
      <c r="B3660">
        <v>4</v>
      </c>
      <c r="C3660">
        <v>105.92</v>
      </c>
      <c r="D3660">
        <v>41.68</v>
      </c>
      <c r="E3660" t="s">
        <v>30095</v>
      </c>
      <c r="F3660" t="s">
        <v>67</v>
      </c>
      <c r="G3660" t="s">
        <v>108</v>
      </c>
      <c r="H3660" t="s">
        <v>109</v>
      </c>
      <c r="I3660" t="s">
        <v>70</v>
      </c>
      <c r="J3660" t="s">
        <v>321</v>
      </c>
      <c r="K3660">
        <v>1245.07</v>
      </c>
      <c r="L3660">
        <v>19.23</v>
      </c>
      <c r="M3660" t="s">
        <v>3896</v>
      </c>
      <c r="N3660">
        <v>115623</v>
      </c>
      <c r="O3660">
        <v>46.04</v>
      </c>
      <c r="P3660">
        <v>9.6199999999999992</v>
      </c>
      <c r="R3660">
        <v>1.46</v>
      </c>
      <c r="S3660">
        <v>13.76</v>
      </c>
      <c r="Z3660" t="s">
        <v>164</v>
      </c>
      <c r="AA3660">
        <v>0.42</v>
      </c>
      <c r="AD3660" t="s">
        <v>7176</v>
      </c>
      <c r="AE3660" t="s">
        <v>5907</v>
      </c>
      <c r="AF3660" t="s">
        <v>976</v>
      </c>
      <c r="AG3660" t="s">
        <v>3337</v>
      </c>
      <c r="AH3660" t="s">
        <v>304</v>
      </c>
      <c r="AI3660" t="s">
        <v>9331</v>
      </c>
      <c r="AJ3660" t="s">
        <v>18785</v>
      </c>
      <c r="AK3660" t="s">
        <v>30096</v>
      </c>
      <c r="AL3660">
        <v>1.27</v>
      </c>
      <c r="AM3660">
        <v>1.27</v>
      </c>
      <c r="AN3660">
        <v>10.7</v>
      </c>
      <c r="AO3660" t="s">
        <v>22698</v>
      </c>
      <c r="AP3660" t="s">
        <v>304</v>
      </c>
      <c r="AQ3660" t="s">
        <v>4495</v>
      </c>
      <c r="AR3660" t="s">
        <v>4125</v>
      </c>
      <c r="AS3660" t="s">
        <v>4495</v>
      </c>
      <c r="AT3660" t="s">
        <v>5725</v>
      </c>
      <c r="AU3660" t="s">
        <v>4122</v>
      </c>
      <c r="AV3660" t="s">
        <v>21201</v>
      </c>
      <c r="AW3660" t="s">
        <v>11979</v>
      </c>
      <c r="AX3660" t="s">
        <v>4416</v>
      </c>
      <c r="AY3660" t="s">
        <v>20969</v>
      </c>
      <c r="AZ3660" t="s">
        <v>4416</v>
      </c>
      <c r="BA3660">
        <v>2.48</v>
      </c>
      <c r="BB3660">
        <v>893.65</v>
      </c>
      <c r="BC3660">
        <v>0.46</v>
      </c>
      <c r="BD3660">
        <v>19.34</v>
      </c>
      <c r="BE3660">
        <v>19.34</v>
      </c>
      <c r="BF3660">
        <v>19.079999999999998</v>
      </c>
      <c r="BG3660" t="s">
        <v>30097</v>
      </c>
      <c r="BH3660" t="s">
        <v>30098</v>
      </c>
      <c r="BI3660" t="s">
        <v>30099</v>
      </c>
      <c r="BJ3660" t="s">
        <v>101</v>
      </c>
      <c r="BK3660" t="s">
        <v>10847</v>
      </c>
      <c r="BL3660" t="s">
        <v>30100</v>
      </c>
      <c r="BM3660" t="s">
        <v>9604</v>
      </c>
      <c r="BN3660" t="s">
        <v>27621</v>
      </c>
    </row>
    <row r="3661" spans="1:66" x14ac:dyDescent="0.25">
      <c r="A3661" t="str">
        <f>HYPERLINK("https://elite.finviz.com/quote.ashx?t=CRSR&amp;ty=c&amp;p=d&amp;b=1", "CRSR")</f>
        <v>CRSR</v>
      </c>
      <c r="B3661">
        <v>4</v>
      </c>
      <c r="C3661">
        <v>105.92</v>
      </c>
      <c r="D3661">
        <v>41.68</v>
      </c>
      <c r="E3661" t="s">
        <v>30101</v>
      </c>
      <c r="F3661" t="s">
        <v>67</v>
      </c>
      <c r="G3661" t="s">
        <v>108</v>
      </c>
      <c r="H3661" t="s">
        <v>496</v>
      </c>
      <c r="I3661" t="s">
        <v>70</v>
      </c>
      <c r="J3661" t="s">
        <v>321</v>
      </c>
      <c r="K3661">
        <v>890.71</v>
      </c>
      <c r="L3661">
        <v>8.4</v>
      </c>
      <c r="M3661" t="s">
        <v>2275</v>
      </c>
      <c r="N3661">
        <v>71129</v>
      </c>
      <c r="P3661">
        <v>11.81</v>
      </c>
      <c r="R3661">
        <v>0.63</v>
      </c>
      <c r="S3661">
        <v>1.46</v>
      </c>
      <c r="AA3661">
        <v>-0.8</v>
      </c>
      <c r="AC3661" t="s">
        <v>30102</v>
      </c>
      <c r="AE3661" t="s">
        <v>2421</v>
      </c>
      <c r="AF3661" t="s">
        <v>7861</v>
      </c>
      <c r="AG3661" t="s">
        <v>3482</v>
      </c>
      <c r="AH3661" t="s">
        <v>3052</v>
      </c>
      <c r="AI3661" t="s">
        <v>29290</v>
      </c>
      <c r="AJ3661" t="s">
        <v>1249</v>
      </c>
      <c r="AK3661" t="s">
        <v>13115</v>
      </c>
      <c r="AL3661">
        <v>1.45</v>
      </c>
      <c r="AM3661">
        <v>0.75</v>
      </c>
      <c r="AN3661">
        <v>0.32</v>
      </c>
      <c r="AO3661" t="s">
        <v>432</v>
      </c>
      <c r="AP3661" t="s">
        <v>6162</v>
      </c>
      <c r="AQ3661" t="s">
        <v>15649</v>
      </c>
      <c r="AR3661" t="s">
        <v>9130</v>
      </c>
      <c r="AS3661" t="s">
        <v>975</v>
      </c>
      <c r="AT3661" t="s">
        <v>7689</v>
      </c>
      <c r="AU3661" t="s">
        <v>1929</v>
      </c>
      <c r="AV3661" t="s">
        <v>103</v>
      </c>
      <c r="AW3661" t="s">
        <v>9320</v>
      </c>
      <c r="AX3661" t="s">
        <v>323</v>
      </c>
      <c r="AY3661" t="s">
        <v>7012</v>
      </c>
      <c r="AZ3661" t="s">
        <v>12301</v>
      </c>
      <c r="BA3661">
        <v>2.17</v>
      </c>
      <c r="BB3661">
        <v>614.62</v>
      </c>
      <c r="BC3661">
        <v>0.41</v>
      </c>
      <c r="BD3661">
        <v>8.39</v>
      </c>
      <c r="BE3661">
        <v>8.4700000000000006</v>
      </c>
      <c r="BF3661">
        <v>8.36</v>
      </c>
      <c r="BG3661" t="s">
        <v>30103</v>
      </c>
      <c r="BH3661" t="s">
        <v>10630</v>
      </c>
      <c r="BI3661" t="s">
        <v>30104</v>
      </c>
      <c r="BJ3661" t="s">
        <v>101</v>
      </c>
      <c r="BK3661" t="s">
        <v>2266</v>
      </c>
      <c r="BL3661" t="s">
        <v>11529</v>
      </c>
      <c r="BM3661" t="s">
        <v>7006</v>
      </c>
      <c r="BN3661" t="s">
        <v>27621</v>
      </c>
    </row>
    <row r="3662" spans="1:66" x14ac:dyDescent="0.25">
      <c r="A3662" t="str">
        <f>HYPERLINK("https://elite.finviz.com/quote.ashx?t=BOOT&amp;ty=c&amp;p=d&amp;b=1", "BOOT")</f>
        <v>BOOT</v>
      </c>
      <c r="B3662">
        <v>4</v>
      </c>
      <c r="C3662">
        <v>105.92</v>
      </c>
      <c r="D3662">
        <v>41.69</v>
      </c>
      <c r="E3662" t="s">
        <v>30105</v>
      </c>
      <c r="F3662" t="s">
        <v>67</v>
      </c>
      <c r="G3662" t="s">
        <v>813</v>
      </c>
      <c r="H3662" t="s">
        <v>4488</v>
      </c>
      <c r="I3662" t="s">
        <v>70</v>
      </c>
      <c r="J3662" t="s">
        <v>71</v>
      </c>
      <c r="K3662">
        <v>5155.5</v>
      </c>
      <c r="L3662">
        <v>168.73</v>
      </c>
      <c r="M3662" t="s">
        <v>5312</v>
      </c>
      <c r="N3662">
        <v>79999</v>
      </c>
      <c r="O3662">
        <v>26.62</v>
      </c>
      <c r="P3662">
        <v>22.46</v>
      </c>
      <c r="Q3662">
        <v>1.73</v>
      </c>
      <c r="R3662">
        <v>2.59</v>
      </c>
      <c r="S3662">
        <v>4.4000000000000004</v>
      </c>
      <c r="Z3662" t="s">
        <v>164</v>
      </c>
      <c r="AA3662">
        <v>6.34</v>
      </c>
      <c r="AB3662" t="s">
        <v>7272</v>
      </c>
      <c r="AC3662" t="s">
        <v>5669</v>
      </c>
      <c r="AD3662" t="s">
        <v>5057</v>
      </c>
      <c r="AE3662" t="s">
        <v>4532</v>
      </c>
      <c r="AF3662" t="s">
        <v>346</v>
      </c>
      <c r="AG3662" t="s">
        <v>672</v>
      </c>
      <c r="AH3662" t="s">
        <v>8576</v>
      </c>
      <c r="AI3662" t="s">
        <v>13198</v>
      </c>
      <c r="AJ3662" t="s">
        <v>7380</v>
      </c>
      <c r="AK3662" t="s">
        <v>30106</v>
      </c>
      <c r="AL3662">
        <v>2.5299999999999998</v>
      </c>
      <c r="AM3662">
        <v>0.37</v>
      </c>
      <c r="AN3662">
        <v>0.51</v>
      </c>
      <c r="AO3662" t="s">
        <v>19315</v>
      </c>
      <c r="AP3662" t="s">
        <v>7883</v>
      </c>
      <c r="AQ3662" t="s">
        <v>9342</v>
      </c>
      <c r="AR3662" t="s">
        <v>2493</v>
      </c>
      <c r="AS3662" t="s">
        <v>2764</v>
      </c>
      <c r="AT3662" t="s">
        <v>16493</v>
      </c>
      <c r="AU3662" t="s">
        <v>9022</v>
      </c>
      <c r="AV3662" t="s">
        <v>2289</v>
      </c>
      <c r="AW3662" t="s">
        <v>10726</v>
      </c>
      <c r="AX3662" t="s">
        <v>1950</v>
      </c>
      <c r="AY3662" t="s">
        <v>10726</v>
      </c>
      <c r="AZ3662" t="s">
        <v>9866</v>
      </c>
      <c r="BA3662">
        <v>1.33</v>
      </c>
      <c r="BB3662">
        <v>608.63</v>
      </c>
      <c r="BC3662">
        <v>0.46</v>
      </c>
      <c r="BD3662">
        <v>170.1</v>
      </c>
      <c r="BE3662">
        <v>169.05</v>
      </c>
      <c r="BF3662">
        <v>167.77</v>
      </c>
      <c r="BG3662" t="s">
        <v>30107</v>
      </c>
      <c r="BH3662" t="s">
        <v>10726</v>
      </c>
      <c r="BI3662" t="s">
        <v>30108</v>
      </c>
      <c r="BJ3662" t="s">
        <v>101</v>
      </c>
      <c r="BK3662" t="s">
        <v>2559</v>
      </c>
      <c r="BL3662" t="s">
        <v>22847</v>
      </c>
      <c r="BM3662" t="s">
        <v>4280</v>
      </c>
      <c r="BN3662" t="s">
        <v>27621</v>
      </c>
    </row>
    <row r="3663" spans="1:66" x14ac:dyDescent="0.25">
      <c r="A3663" t="str">
        <f>HYPERLINK("https://elite.finviz.com/quote.ashx?t=ARAI&amp;ty=c&amp;p=d&amp;b=1", "ARAI")</f>
        <v>ARAI</v>
      </c>
      <c r="B3663">
        <v>4</v>
      </c>
      <c r="C3663">
        <v>105.92</v>
      </c>
      <c r="D3663">
        <v>41.75</v>
      </c>
      <c r="E3663" t="s">
        <v>30109</v>
      </c>
      <c r="F3663" t="s">
        <v>67</v>
      </c>
      <c r="G3663" t="s">
        <v>108</v>
      </c>
      <c r="H3663" t="s">
        <v>109</v>
      </c>
      <c r="I3663" t="s">
        <v>70</v>
      </c>
      <c r="J3663" t="s">
        <v>321</v>
      </c>
      <c r="K3663">
        <v>124.83</v>
      </c>
      <c r="L3663">
        <v>3.78</v>
      </c>
      <c r="M3663" t="s">
        <v>10713</v>
      </c>
      <c r="N3663">
        <v>143677</v>
      </c>
      <c r="S3663">
        <v>35.89</v>
      </c>
      <c r="AJ3663" t="s">
        <v>1225</v>
      </c>
      <c r="AK3663" t="s">
        <v>9136</v>
      </c>
      <c r="AL3663">
        <v>0.18</v>
      </c>
      <c r="AM3663">
        <v>0.18</v>
      </c>
      <c r="AN3663">
        <v>1.22</v>
      </c>
      <c r="AR3663" t="s">
        <v>1205</v>
      </c>
      <c r="AS3663" t="s">
        <v>9987</v>
      </c>
      <c r="AT3663" t="s">
        <v>3018</v>
      </c>
      <c r="AU3663" t="s">
        <v>23458</v>
      </c>
      <c r="AV3663" t="s">
        <v>18506</v>
      </c>
      <c r="AW3663" t="s">
        <v>30110</v>
      </c>
      <c r="AX3663" t="s">
        <v>19542</v>
      </c>
      <c r="AY3663" t="s">
        <v>25715</v>
      </c>
      <c r="AZ3663" t="s">
        <v>19542</v>
      </c>
      <c r="BB3663">
        <v>321.74</v>
      </c>
      <c r="BC3663">
        <v>1.59</v>
      </c>
      <c r="BD3663">
        <v>4.03</v>
      </c>
      <c r="BE3663">
        <v>4.01</v>
      </c>
      <c r="BF3663">
        <v>3.72</v>
      </c>
      <c r="BG3663" t="s">
        <v>30111</v>
      </c>
      <c r="BH3663" t="s">
        <v>25715</v>
      </c>
      <c r="BI3663" t="s">
        <v>19542</v>
      </c>
      <c r="BJ3663" t="s">
        <v>101</v>
      </c>
      <c r="BK3663" t="s">
        <v>30112</v>
      </c>
      <c r="BN3663" t="s">
        <v>27621</v>
      </c>
    </row>
    <row r="3664" spans="1:66" x14ac:dyDescent="0.25">
      <c r="A3664" t="str">
        <f>HYPERLINK("https://elite.finviz.com/quote.ashx?t=CHDN&amp;ty=c&amp;p=d&amp;b=1", "CHDN")</f>
        <v>CHDN</v>
      </c>
      <c r="B3664">
        <v>4</v>
      </c>
      <c r="C3664">
        <v>105.92</v>
      </c>
      <c r="D3664">
        <v>41.75</v>
      </c>
      <c r="E3664" t="s">
        <v>30113</v>
      </c>
      <c r="F3664" t="s">
        <v>107</v>
      </c>
      <c r="G3664" t="s">
        <v>813</v>
      </c>
      <c r="H3664" t="s">
        <v>10266</v>
      </c>
      <c r="I3664" t="s">
        <v>70</v>
      </c>
      <c r="J3664" t="s">
        <v>321</v>
      </c>
      <c r="K3664">
        <v>6777.07</v>
      </c>
      <c r="L3664">
        <v>96.64</v>
      </c>
      <c r="M3664" t="s">
        <v>7464</v>
      </c>
      <c r="N3664">
        <v>84501</v>
      </c>
      <c r="O3664">
        <v>16.61</v>
      </c>
      <c r="P3664">
        <v>14.15</v>
      </c>
      <c r="Q3664">
        <v>1.95</v>
      </c>
      <c r="R3664">
        <v>2.39</v>
      </c>
      <c r="S3664">
        <v>6.51</v>
      </c>
      <c r="T3664" t="s">
        <v>3112</v>
      </c>
      <c r="U3664">
        <v>0.41</v>
      </c>
      <c r="V3664" t="s">
        <v>30114</v>
      </c>
      <c r="W3664" t="s">
        <v>2678</v>
      </c>
      <c r="X3664" t="s">
        <v>2967</v>
      </c>
      <c r="Y3664" t="s">
        <v>3688</v>
      </c>
      <c r="Z3664" t="s">
        <v>1507</v>
      </c>
      <c r="AA3664">
        <v>5.82</v>
      </c>
      <c r="AB3664" t="s">
        <v>16012</v>
      </c>
      <c r="AC3664" t="s">
        <v>7478</v>
      </c>
      <c r="AD3664" t="s">
        <v>466</v>
      </c>
      <c r="AE3664" t="s">
        <v>2861</v>
      </c>
      <c r="AF3664" t="s">
        <v>5950</v>
      </c>
      <c r="AG3664" t="s">
        <v>7617</v>
      </c>
      <c r="AH3664" t="s">
        <v>5163</v>
      </c>
      <c r="AI3664" t="s">
        <v>1050</v>
      </c>
      <c r="AJ3664" t="s">
        <v>2642</v>
      </c>
      <c r="AK3664" t="s">
        <v>456</v>
      </c>
      <c r="AL3664">
        <v>0.6</v>
      </c>
      <c r="AM3664">
        <v>0.57999999999999996</v>
      </c>
      <c r="AN3664">
        <v>4.8099999999999996</v>
      </c>
      <c r="AO3664" t="s">
        <v>9441</v>
      </c>
      <c r="AP3664" t="s">
        <v>4451</v>
      </c>
      <c r="AQ3664" t="s">
        <v>8078</v>
      </c>
      <c r="AR3664" t="s">
        <v>90</v>
      </c>
      <c r="AS3664" t="s">
        <v>4547</v>
      </c>
      <c r="AT3664" t="s">
        <v>5159</v>
      </c>
      <c r="AU3664" t="s">
        <v>4234</v>
      </c>
      <c r="AV3664" t="s">
        <v>16624</v>
      </c>
      <c r="AW3664" t="s">
        <v>21008</v>
      </c>
      <c r="AX3664" t="s">
        <v>3170</v>
      </c>
      <c r="AY3664" t="s">
        <v>21692</v>
      </c>
      <c r="AZ3664" t="s">
        <v>9545</v>
      </c>
      <c r="BA3664">
        <v>1.25</v>
      </c>
      <c r="BB3664">
        <v>607.92999999999995</v>
      </c>
      <c r="BC3664">
        <v>0.49</v>
      </c>
      <c r="BD3664">
        <v>96.23</v>
      </c>
      <c r="BE3664">
        <v>97.46</v>
      </c>
      <c r="BF3664">
        <v>96.42</v>
      </c>
      <c r="BG3664" t="s">
        <v>30115</v>
      </c>
      <c r="BH3664" t="s">
        <v>7667</v>
      </c>
      <c r="BI3664" t="s">
        <v>30116</v>
      </c>
      <c r="BJ3664" t="s">
        <v>101</v>
      </c>
      <c r="BK3664" t="s">
        <v>8109</v>
      </c>
      <c r="BL3664" t="s">
        <v>831</v>
      </c>
      <c r="BM3664" t="s">
        <v>27266</v>
      </c>
      <c r="BN3664" t="s">
        <v>27621</v>
      </c>
    </row>
    <row r="3665" spans="1:66" x14ac:dyDescent="0.25">
      <c r="A3665" t="str">
        <f>HYPERLINK("https://elite.finviz.com/quote.ashx?t=HUBG&amp;ty=c&amp;p=d&amp;b=1", "HUBG")</f>
        <v>HUBG</v>
      </c>
      <c r="B3665">
        <v>4</v>
      </c>
      <c r="C3665">
        <v>105.92</v>
      </c>
      <c r="D3665">
        <v>41.76</v>
      </c>
      <c r="E3665" t="s">
        <v>30117</v>
      </c>
      <c r="F3665" t="s">
        <v>67</v>
      </c>
      <c r="G3665" t="s">
        <v>260</v>
      </c>
      <c r="H3665" t="s">
        <v>7853</v>
      </c>
      <c r="I3665" t="s">
        <v>70</v>
      </c>
      <c r="J3665" t="s">
        <v>321</v>
      </c>
      <c r="K3665">
        <v>2124.3200000000002</v>
      </c>
      <c r="L3665">
        <v>34.700000000000003</v>
      </c>
      <c r="M3665" t="s">
        <v>1083</v>
      </c>
      <c r="N3665">
        <v>100698</v>
      </c>
      <c r="O3665">
        <v>21.01</v>
      </c>
      <c r="P3665">
        <v>14.55</v>
      </c>
      <c r="Q3665">
        <v>1.55</v>
      </c>
      <c r="R3665">
        <v>0.56000000000000005</v>
      </c>
      <c r="S3665">
        <v>1.27</v>
      </c>
      <c r="T3665" t="s">
        <v>3871</v>
      </c>
      <c r="U3665">
        <v>0.5</v>
      </c>
      <c r="V3665" t="s">
        <v>2620</v>
      </c>
      <c r="Z3665" t="s">
        <v>15078</v>
      </c>
      <c r="AA3665">
        <v>1.65</v>
      </c>
      <c r="AB3665" t="s">
        <v>6918</v>
      </c>
      <c r="AC3665" t="s">
        <v>2650</v>
      </c>
      <c r="AD3665" t="s">
        <v>2111</v>
      </c>
      <c r="AE3665" t="s">
        <v>8933</v>
      </c>
      <c r="AF3665" t="s">
        <v>7036</v>
      </c>
      <c r="AG3665" t="s">
        <v>5610</v>
      </c>
      <c r="AH3665" t="s">
        <v>2332</v>
      </c>
      <c r="AI3665" t="s">
        <v>3257</v>
      </c>
      <c r="AJ3665" t="s">
        <v>164</v>
      </c>
      <c r="AK3665" t="s">
        <v>30118</v>
      </c>
      <c r="AL3665">
        <v>1.42</v>
      </c>
      <c r="AM3665">
        <v>1.42</v>
      </c>
      <c r="AN3665">
        <v>0.28000000000000003</v>
      </c>
      <c r="AO3665" t="s">
        <v>327</v>
      </c>
      <c r="AP3665" t="s">
        <v>975</v>
      </c>
      <c r="AQ3665" t="s">
        <v>213</v>
      </c>
      <c r="AR3665" t="s">
        <v>2743</v>
      </c>
      <c r="AS3665" t="s">
        <v>307</v>
      </c>
      <c r="AT3665" t="s">
        <v>9814</v>
      </c>
      <c r="AU3665" t="s">
        <v>3814</v>
      </c>
      <c r="AV3665" t="s">
        <v>5963</v>
      </c>
      <c r="AW3665" t="s">
        <v>6326</v>
      </c>
      <c r="AX3665" t="s">
        <v>6674</v>
      </c>
      <c r="AY3665" t="s">
        <v>24876</v>
      </c>
      <c r="AZ3665" t="s">
        <v>4450</v>
      </c>
      <c r="BA3665">
        <v>2.39</v>
      </c>
      <c r="BB3665">
        <v>598.41999999999996</v>
      </c>
      <c r="BC3665">
        <v>0.59</v>
      </c>
      <c r="BD3665">
        <v>34.630000000000003</v>
      </c>
      <c r="BE3665">
        <v>35.15</v>
      </c>
      <c r="BF3665">
        <v>34.65</v>
      </c>
      <c r="BG3665" t="s">
        <v>30119</v>
      </c>
      <c r="BH3665" t="s">
        <v>24876</v>
      </c>
      <c r="BI3665" t="s">
        <v>30120</v>
      </c>
      <c r="BJ3665" t="s">
        <v>101</v>
      </c>
      <c r="BK3665" t="s">
        <v>4267</v>
      </c>
      <c r="BL3665" t="s">
        <v>5569</v>
      </c>
      <c r="BM3665" t="s">
        <v>29796</v>
      </c>
      <c r="BN3665" t="s">
        <v>27621</v>
      </c>
    </row>
    <row r="3666" spans="1:66" x14ac:dyDescent="0.25">
      <c r="A3666" t="str">
        <f>HYPERLINK("https://elite.finviz.com/quote.ashx?t=PUBM&amp;ty=c&amp;p=d&amp;b=1", "PUBM")</f>
        <v>PUBM</v>
      </c>
      <c r="B3666">
        <v>4</v>
      </c>
      <c r="C3666">
        <v>105.92</v>
      </c>
      <c r="D3666">
        <v>41.77</v>
      </c>
      <c r="E3666" t="s">
        <v>30121</v>
      </c>
      <c r="F3666" t="s">
        <v>67</v>
      </c>
      <c r="G3666" t="s">
        <v>108</v>
      </c>
      <c r="H3666" t="s">
        <v>136</v>
      </c>
      <c r="I3666" t="s">
        <v>70</v>
      </c>
      <c r="J3666" t="s">
        <v>321</v>
      </c>
      <c r="K3666">
        <v>380.45</v>
      </c>
      <c r="L3666">
        <v>8.32</v>
      </c>
      <c r="M3666" t="s">
        <v>164</v>
      </c>
      <c r="N3666">
        <v>98566</v>
      </c>
      <c r="R3666">
        <v>1.3</v>
      </c>
      <c r="S3666">
        <v>1.56</v>
      </c>
      <c r="Z3666" t="s">
        <v>164</v>
      </c>
      <c r="AA3666">
        <v>-0.06</v>
      </c>
      <c r="AB3666" t="s">
        <v>28441</v>
      </c>
      <c r="AC3666" t="s">
        <v>13469</v>
      </c>
      <c r="AE3666" t="s">
        <v>2822</v>
      </c>
      <c r="AF3666" t="s">
        <v>1388</v>
      </c>
      <c r="AG3666" t="s">
        <v>14815</v>
      </c>
      <c r="AH3666" t="s">
        <v>2205</v>
      </c>
      <c r="AI3666" t="s">
        <v>11744</v>
      </c>
      <c r="AJ3666" t="s">
        <v>9091</v>
      </c>
      <c r="AK3666" t="s">
        <v>25343</v>
      </c>
      <c r="AL3666">
        <v>1.32</v>
      </c>
      <c r="AM3666">
        <v>1.32</v>
      </c>
      <c r="AN3666">
        <v>0.19</v>
      </c>
      <c r="AO3666" t="s">
        <v>7028</v>
      </c>
      <c r="AP3666" t="s">
        <v>2826</v>
      </c>
      <c r="AQ3666" t="s">
        <v>1086</v>
      </c>
      <c r="AR3666" t="s">
        <v>323</v>
      </c>
      <c r="AS3666" t="s">
        <v>7117</v>
      </c>
      <c r="AT3666" t="s">
        <v>7598</v>
      </c>
      <c r="AU3666" t="s">
        <v>17165</v>
      </c>
      <c r="AV3666" t="s">
        <v>16286</v>
      </c>
      <c r="AW3666" t="s">
        <v>25976</v>
      </c>
      <c r="AX3666" t="s">
        <v>6081</v>
      </c>
      <c r="AY3666" t="s">
        <v>22480</v>
      </c>
      <c r="AZ3666" t="s">
        <v>6081</v>
      </c>
      <c r="BA3666">
        <v>2.17</v>
      </c>
      <c r="BB3666">
        <v>665.11</v>
      </c>
      <c r="BC3666">
        <v>0.53</v>
      </c>
      <c r="BD3666">
        <v>8.32</v>
      </c>
      <c r="BE3666">
        <v>8.41</v>
      </c>
      <c r="BF3666">
        <v>8.26</v>
      </c>
      <c r="BG3666" t="s">
        <v>30122</v>
      </c>
      <c r="BH3666" t="s">
        <v>30123</v>
      </c>
      <c r="BI3666" t="s">
        <v>6081</v>
      </c>
      <c r="BJ3666" t="s">
        <v>101</v>
      </c>
      <c r="BK3666" t="s">
        <v>4082</v>
      </c>
      <c r="BL3666" t="s">
        <v>17327</v>
      </c>
      <c r="BM3666" t="s">
        <v>6018</v>
      </c>
      <c r="BN3666" t="s">
        <v>27621</v>
      </c>
    </row>
    <row r="3667" spans="1:66" x14ac:dyDescent="0.25">
      <c r="A3667" t="str">
        <f>HYPERLINK("https://elite.finviz.com/quote.ashx?t=AXIL&amp;ty=c&amp;p=d&amp;b=1", "AXIL")</f>
        <v>AXIL</v>
      </c>
      <c r="B3667">
        <v>4</v>
      </c>
      <c r="C3667">
        <v>105.92</v>
      </c>
      <c r="D3667">
        <v>41.79</v>
      </c>
      <c r="E3667" t="s">
        <v>30124</v>
      </c>
      <c r="F3667" t="s">
        <v>107</v>
      </c>
      <c r="G3667" t="s">
        <v>108</v>
      </c>
      <c r="H3667" t="s">
        <v>994</v>
      </c>
      <c r="I3667" t="s">
        <v>70</v>
      </c>
      <c r="J3667" t="s">
        <v>383</v>
      </c>
      <c r="K3667">
        <v>38.75</v>
      </c>
      <c r="L3667">
        <v>5.82</v>
      </c>
      <c r="M3667" t="s">
        <v>4784</v>
      </c>
      <c r="N3667">
        <v>2752</v>
      </c>
      <c r="O3667">
        <v>62.45</v>
      </c>
      <c r="R3667">
        <v>1.48</v>
      </c>
      <c r="S3667">
        <v>4.01</v>
      </c>
      <c r="Z3667" t="s">
        <v>164</v>
      </c>
      <c r="AA3667">
        <v>0.09</v>
      </c>
      <c r="AE3667" t="s">
        <v>1580</v>
      </c>
      <c r="AF3667" t="s">
        <v>30125</v>
      </c>
      <c r="AG3667" t="s">
        <v>2060</v>
      </c>
      <c r="AH3667" t="s">
        <v>11400</v>
      </c>
      <c r="AJ3667" t="s">
        <v>164</v>
      </c>
      <c r="AK3667" t="s">
        <v>3532</v>
      </c>
      <c r="AL3667">
        <v>3.76</v>
      </c>
      <c r="AM3667">
        <v>2.73</v>
      </c>
      <c r="AN3667">
        <v>0.08</v>
      </c>
      <c r="AO3667" t="s">
        <v>30126</v>
      </c>
      <c r="AP3667" t="s">
        <v>2472</v>
      </c>
      <c r="AQ3667" t="s">
        <v>4499</v>
      </c>
      <c r="AR3667" t="s">
        <v>2513</v>
      </c>
      <c r="AS3667" t="s">
        <v>5307</v>
      </c>
      <c r="AT3667" t="s">
        <v>14732</v>
      </c>
      <c r="AU3667" t="s">
        <v>11452</v>
      </c>
      <c r="AV3667" t="s">
        <v>14744</v>
      </c>
      <c r="AW3667" t="s">
        <v>8026</v>
      </c>
      <c r="AX3667" t="s">
        <v>14914</v>
      </c>
      <c r="AY3667" t="s">
        <v>30127</v>
      </c>
      <c r="AZ3667" t="s">
        <v>12456</v>
      </c>
      <c r="BB3667">
        <v>19.29</v>
      </c>
      <c r="BC3667">
        <v>0.5</v>
      </c>
      <c r="BD3667">
        <v>6.58</v>
      </c>
      <c r="BE3667">
        <v>6.14</v>
      </c>
      <c r="BF3667">
        <v>6</v>
      </c>
      <c r="BG3667" t="s">
        <v>30128</v>
      </c>
      <c r="BH3667" t="s">
        <v>30129</v>
      </c>
      <c r="BI3667" t="s">
        <v>30130</v>
      </c>
      <c r="BJ3667" t="s">
        <v>101</v>
      </c>
      <c r="BK3667" t="s">
        <v>5592</v>
      </c>
      <c r="BL3667" t="s">
        <v>17327</v>
      </c>
      <c r="BM3667" t="s">
        <v>315</v>
      </c>
      <c r="BN3667" t="s">
        <v>27621</v>
      </c>
    </row>
    <row r="3668" spans="1:66" x14ac:dyDescent="0.25">
      <c r="A3668" t="str">
        <f>HYPERLINK("https://elite.finviz.com/quote.ashx?t=IMMX&amp;ty=c&amp;p=d&amp;b=1", "IMMX")</f>
        <v>IMMX</v>
      </c>
      <c r="B3668">
        <v>4</v>
      </c>
      <c r="C3668">
        <v>105.92</v>
      </c>
      <c r="D3668">
        <v>41.8</v>
      </c>
      <c r="E3668" t="s">
        <v>30131</v>
      </c>
      <c r="F3668" t="s">
        <v>107</v>
      </c>
      <c r="G3668" t="s">
        <v>428</v>
      </c>
      <c r="H3668" t="s">
        <v>429</v>
      </c>
      <c r="I3668" t="s">
        <v>70</v>
      </c>
      <c r="J3668" t="s">
        <v>321</v>
      </c>
      <c r="K3668">
        <v>57.96</v>
      </c>
      <c r="L3668">
        <v>2.0099999999999998</v>
      </c>
      <c r="M3668" t="s">
        <v>525</v>
      </c>
      <c r="N3668">
        <v>50497</v>
      </c>
      <c r="S3668">
        <v>12.27</v>
      </c>
      <c r="AA3668">
        <v>-0.79</v>
      </c>
      <c r="AB3668" t="s">
        <v>2832</v>
      </c>
      <c r="AC3668" t="s">
        <v>22047</v>
      </c>
      <c r="AI3668" t="s">
        <v>11041</v>
      </c>
      <c r="AJ3668" t="s">
        <v>4539</v>
      </c>
      <c r="AK3668" t="s">
        <v>5389</v>
      </c>
      <c r="AL3668">
        <v>1.23</v>
      </c>
      <c r="AM3668">
        <v>1.23</v>
      </c>
      <c r="AN3668">
        <v>0.22</v>
      </c>
      <c r="AR3668" t="s">
        <v>15964</v>
      </c>
      <c r="AS3668" t="s">
        <v>6392</v>
      </c>
      <c r="AT3668" t="s">
        <v>15100</v>
      </c>
      <c r="AU3668" t="s">
        <v>13401</v>
      </c>
      <c r="AV3668" t="s">
        <v>6480</v>
      </c>
      <c r="AW3668" t="s">
        <v>7805</v>
      </c>
      <c r="AX3668" t="s">
        <v>1088</v>
      </c>
      <c r="AY3668" t="s">
        <v>7805</v>
      </c>
      <c r="AZ3668" t="s">
        <v>14954</v>
      </c>
      <c r="BA3668">
        <v>1</v>
      </c>
      <c r="BB3668">
        <v>212.7</v>
      </c>
      <c r="BC3668">
        <v>0.84</v>
      </c>
      <c r="BD3668">
        <v>2.04</v>
      </c>
      <c r="BE3668">
        <v>2.0499999999999998</v>
      </c>
      <c r="BF3668">
        <v>1.99</v>
      </c>
      <c r="BG3668" t="s">
        <v>30132</v>
      </c>
      <c r="BH3668" t="s">
        <v>28043</v>
      </c>
      <c r="BI3668" t="s">
        <v>30133</v>
      </c>
      <c r="BJ3668" t="s">
        <v>101</v>
      </c>
      <c r="BK3668" t="s">
        <v>5134</v>
      </c>
      <c r="BL3668" t="s">
        <v>7874</v>
      </c>
      <c r="BM3668" t="s">
        <v>13491</v>
      </c>
      <c r="BN3668" t="s">
        <v>27621</v>
      </c>
    </row>
    <row r="3669" spans="1:66" x14ac:dyDescent="0.25">
      <c r="A3669" t="str">
        <f>HYPERLINK("https://elite.finviz.com/quote.ashx?t=NOTE&amp;ty=c&amp;p=d&amp;b=1", "NOTE")</f>
        <v>NOTE</v>
      </c>
      <c r="B3669">
        <v>4</v>
      </c>
      <c r="C3669">
        <v>105.92</v>
      </c>
      <c r="D3669">
        <v>41.81</v>
      </c>
      <c r="E3669" t="s">
        <v>30134</v>
      </c>
      <c r="F3669" t="s">
        <v>107</v>
      </c>
      <c r="G3669" t="s">
        <v>108</v>
      </c>
      <c r="H3669" t="s">
        <v>1322</v>
      </c>
      <c r="I3669" t="s">
        <v>70</v>
      </c>
      <c r="J3669" t="s">
        <v>71</v>
      </c>
      <c r="K3669">
        <v>65.91</v>
      </c>
      <c r="L3669">
        <v>4.59</v>
      </c>
      <c r="M3669" t="s">
        <v>8763</v>
      </c>
      <c r="N3669">
        <v>47314</v>
      </c>
      <c r="R3669">
        <v>0.6</v>
      </c>
      <c r="S3669">
        <v>0.66</v>
      </c>
      <c r="Z3669" t="s">
        <v>164</v>
      </c>
      <c r="AA3669">
        <v>-3.83</v>
      </c>
      <c r="AE3669" t="s">
        <v>20179</v>
      </c>
      <c r="AF3669" t="s">
        <v>3077</v>
      </c>
      <c r="AH3669" t="s">
        <v>19031</v>
      </c>
      <c r="AI3669" t="s">
        <v>14211</v>
      </c>
      <c r="AJ3669" t="s">
        <v>269</v>
      </c>
      <c r="AK3669" t="s">
        <v>11323</v>
      </c>
      <c r="AL3669">
        <v>1.19</v>
      </c>
      <c r="AM3669">
        <v>1.19</v>
      </c>
      <c r="AN3669">
        <v>1.51</v>
      </c>
      <c r="AO3669" t="s">
        <v>22389</v>
      </c>
      <c r="AP3669" t="s">
        <v>14370</v>
      </c>
      <c r="AQ3669" t="s">
        <v>30135</v>
      </c>
      <c r="AR3669" t="s">
        <v>4378</v>
      </c>
      <c r="AS3669" t="s">
        <v>6076</v>
      </c>
      <c r="AT3669" t="s">
        <v>13117</v>
      </c>
      <c r="AU3669" t="s">
        <v>15605</v>
      </c>
      <c r="AV3669" t="s">
        <v>14265</v>
      </c>
      <c r="AW3669" t="s">
        <v>13437</v>
      </c>
      <c r="AX3669" t="s">
        <v>1062</v>
      </c>
      <c r="AY3669" t="s">
        <v>30136</v>
      </c>
      <c r="AZ3669" t="s">
        <v>1062</v>
      </c>
      <c r="BA3669">
        <v>1</v>
      </c>
      <c r="BB3669">
        <v>293.63</v>
      </c>
      <c r="BC3669">
        <v>0.56999999999999995</v>
      </c>
      <c r="BD3669">
        <v>4.6900000000000004</v>
      </c>
      <c r="BE3669">
        <v>4.83</v>
      </c>
      <c r="BF3669">
        <v>4.59</v>
      </c>
      <c r="BG3669" t="s">
        <v>30137</v>
      </c>
      <c r="BH3669" t="s">
        <v>26639</v>
      </c>
      <c r="BI3669" t="s">
        <v>1062</v>
      </c>
      <c r="BJ3669" t="s">
        <v>101</v>
      </c>
      <c r="BK3669" t="s">
        <v>15323</v>
      </c>
      <c r="BL3669" t="s">
        <v>30138</v>
      </c>
      <c r="BM3669" t="s">
        <v>9265</v>
      </c>
      <c r="BN3669" t="s">
        <v>27621</v>
      </c>
    </row>
    <row r="3670" spans="1:66" x14ac:dyDescent="0.25">
      <c r="A3670" t="str">
        <f>HYPERLINK("https://elite.finviz.com/quote.ashx?t=SLVM&amp;ty=c&amp;p=d&amp;b=1", "SLVM")</f>
        <v>SLVM</v>
      </c>
      <c r="B3670">
        <v>4</v>
      </c>
      <c r="C3670">
        <v>105.92</v>
      </c>
      <c r="D3670">
        <v>41.84</v>
      </c>
      <c r="E3670" t="s">
        <v>30139</v>
      </c>
      <c r="F3670" t="s">
        <v>67</v>
      </c>
      <c r="G3670" t="s">
        <v>355</v>
      </c>
      <c r="H3670" t="s">
        <v>29824</v>
      </c>
      <c r="I3670" t="s">
        <v>70</v>
      </c>
      <c r="J3670" t="s">
        <v>71</v>
      </c>
      <c r="K3670">
        <v>1717.95</v>
      </c>
      <c r="L3670">
        <v>42.55</v>
      </c>
      <c r="M3670" t="s">
        <v>4955</v>
      </c>
      <c r="N3670">
        <v>25037</v>
      </c>
      <c r="O3670">
        <v>8.17</v>
      </c>
      <c r="P3670">
        <v>7.13</v>
      </c>
      <c r="R3670">
        <v>0.48</v>
      </c>
      <c r="S3670">
        <v>1.79</v>
      </c>
      <c r="T3670" t="s">
        <v>1302</v>
      </c>
      <c r="U3670">
        <v>1.8</v>
      </c>
      <c r="V3670" t="s">
        <v>4105</v>
      </c>
      <c r="W3670" t="s">
        <v>1882</v>
      </c>
      <c r="Z3670" t="s">
        <v>3835</v>
      </c>
      <c r="AA3670">
        <v>5.21</v>
      </c>
      <c r="AB3670" t="s">
        <v>2856</v>
      </c>
      <c r="AC3670" t="s">
        <v>4529</v>
      </c>
      <c r="AD3670" t="s">
        <v>8216</v>
      </c>
      <c r="AE3670" t="s">
        <v>11242</v>
      </c>
      <c r="AF3670" t="s">
        <v>2085</v>
      </c>
      <c r="AG3670" t="s">
        <v>13366</v>
      </c>
      <c r="AH3670" t="s">
        <v>8096</v>
      </c>
      <c r="AI3670" t="s">
        <v>16335</v>
      </c>
      <c r="AJ3670" t="s">
        <v>3598</v>
      </c>
      <c r="AK3670" t="s">
        <v>3489</v>
      </c>
      <c r="AL3670">
        <v>1.54</v>
      </c>
      <c r="AM3670">
        <v>0.91</v>
      </c>
      <c r="AN3670">
        <v>0.91</v>
      </c>
      <c r="AO3670" t="s">
        <v>9684</v>
      </c>
      <c r="AP3670" t="s">
        <v>582</v>
      </c>
      <c r="AQ3670" t="s">
        <v>2985</v>
      </c>
      <c r="AR3670" t="s">
        <v>3456</v>
      </c>
      <c r="AS3670" t="s">
        <v>305</v>
      </c>
      <c r="AT3670" t="s">
        <v>8542</v>
      </c>
      <c r="AU3670" t="s">
        <v>5584</v>
      </c>
      <c r="AV3670" t="s">
        <v>28588</v>
      </c>
      <c r="AW3670" t="s">
        <v>6138</v>
      </c>
      <c r="AX3670" t="s">
        <v>1455</v>
      </c>
      <c r="AY3670" t="s">
        <v>30140</v>
      </c>
      <c r="AZ3670" t="s">
        <v>1455</v>
      </c>
      <c r="BA3670">
        <v>2.67</v>
      </c>
      <c r="BB3670">
        <v>392.59</v>
      </c>
      <c r="BC3670">
        <v>0.23</v>
      </c>
      <c r="BD3670">
        <v>42.62</v>
      </c>
      <c r="BE3670">
        <v>43.06</v>
      </c>
      <c r="BF3670">
        <v>42.47</v>
      </c>
      <c r="BG3670" t="s">
        <v>30141</v>
      </c>
      <c r="BH3670" t="s">
        <v>30140</v>
      </c>
      <c r="BI3670" t="s">
        <v>8961</v>
      </c>
      <c r="BJ3670" t="s">
        <v>101</v>
      </c>
      <c r="BK3670" t="s">
        <v>20311</v>
      </c>
      <c r="BL3670" t="s">
        <v>22914</v>
      </c>
      <c r="BM3670" t="s">
        <v>15664</v>
      </c>
      <c r="BN3670" t="s">
        <v>27621</v>
      </c>
    </row>
    <row r="3671" spans="1:66" x14ac:dyDescent="0.25">
      <c r="A3671" t="str">
        <f>HYPERLINK("https://elite.finviz.com/quote.ashx?t=SOPA&amp;ty=c&amp;p=d&amp;b=1", "SOPA")</f>
        <v>SOPA</v>
      </c>
      <c r="B3671">
        <v>4</v>
      </c>
      <c r="C3671">
        <v>105.92</v>
      </c>
      <c r="D3671">
        <v>41.84</v>
      </c>
      <c r="E3671" t="s">
        <v>30142</v>
      </c>
      <c r="F3671" t="s">
        <v>107</v>
      </c>
      <c r="G3671" t="s">
        <v>108</v>
      </c>
      <c r="H3671" t="s">
        <v>136</v>
      </c>
      <c r="I3671" t="s">
        <v>70</v>
      </c>
      <c r="J3671" t="s">
        <v>321</v>
      </c>
      <c r="K3671">
        <v>6.87</v>
      </c>
      <c r="L3671">
        <v>1.1200000000000001</v>
      </c>
      <c r="M3671" t="s">
        <v>2646</v>
      </c>
      <c r="N3671">
        <v>13835</v>
      </c>
      <c r="R3671">
        <v>0.91</v>
      </c>
      <c r="S3671">
        <v>2.11</v>
      </c>
      <c r="AA3671">
        <v>-1.94</v>
      </c>
      <c r="AB3671" t="s">
        <v>4510</v>
      </c>
      <c r="AC3671" t="s">
        <v>7542</v>
      </c>
      <c r="AE3671" t="s">
        <v>698</v>
      </c>
      <c r="AF3671" t="s">
        <v>30143</v>
      </c>
      <c r="AG3671" t="s">
        <v>30144</v>
      </c>
      <c r="AH3671" t="s">
        <v>1824</v>
      </c>
      <c r="AI3671" t="s">
        <v>30145</v>
      </c>
      <c r="AJ3671" t="s">
        <v>164</v>
      </c>
      <c r="AK3671" t="s">
        <v>1932</v>
      </c>
      <c r="AL3671">
        <v>0.85</v>
      </c>
      <c r="AM3671">
        <v>0.85</v>
      </c>
      <c r="AN3671">
        <v>0.3</v>
      </c>
      <c r="AO3671" t="s">
        <v>8973</v>
      </c>
      <c r="AP3671" t="s">
        <v>10630</v>
      </c>
      <c r="AQ3671" t="s">
        <v>30146</v>
      </c>
      <c r="AR3671" t="s">
        <v>4957</v>
      </c>
      <c r="AS3671" t="s">
        <v>2839</v>
      </c>
      <c r="AT3671" t="s">
        <v>4236</v>
      </c>
      <c r="AU3671" t="s">
        <v>5767</v>
      </c>
      <c r="AV3671" t="s">
        <v>3070</v>
      </c>
      <c r="AW3671" t="s">
        <v>9029</v>
      </c>
      <c r="AX3671" t="s">
        <v>7511</v>
      </c>
      <c r="AY3671" t="s">
        <v>30147</v>
      </c>
      <c r="AZ3671" t="s">
        <v>9975</v>
      </c>
      <c r="BA3671">
        <v>1</v>
      </c>
      <c r="BB3671">
        <v>97.63</v>
      </c>
      <c r="BC3671">
        <v>0.5</v>
      </c>
      <c r="BD3671">
        <v>1.1200000000000001</v>
      </c>
      <c r="BE3671">
        <v>1.1499999999999999</v>
      </c>
      <c r="BF3671">
        <v>1.1200000000000001</v>
      </c>
      <c r="BG3671" t="s">
        <v>30148</v>
      </c>
      <c r="BH3671" t="s">
        <v>400</v>
      </c>
      <c r="BI3671" t="s">
        <v>9975</v>
      </c>
      <c r="BJ3671" t="s">
        <v>101</v>
      </c>
      <c r="BK3671" t="s">
        <v>16215</v>
      </c>
      <c r="BL3671" t="s">
        <v>6923</v>
      </c>
      <c r="BM3671" t="s">
        <v>21990</v>
      </c>
      <c r="BN3671" t="s">
        <v>27621</v>
      </c>
    </row>
    <row r="3672" spans="1:66" x14ac:dyDescent="0.25">
      <c r="A3672" t="str">
        <f>HYPERLINK("https://elite.finviz.com/quote.ashx?t=LFT&amp;ty=c&amp;p=d&amp;b=1", "LFT")</f>
        <v>LFT</v>
      </c>
      <c r="B3672">
        <v>4</v>
      </c>
      <c r="C3672">
        <v>105.92</v>
      </c>
      <c r="D3672">
        <v>41.86</v>
      </c>
      <c r="E3672" t="s">
        <v>30149</v>
      </c>
      <c r="F3672" t="s">
        <v>67</v>
      </c>
      <c r="G3672" t="s">
        <v>68</v>
      </c>
      <c r="H3672" t="s">
        <v>5566</v>
      </c>
      <c r="I3672" t="s">
        <v>70</v>
      </c>
      <c r="J3672" t="s">
        <v>71</v>
      </c>
      <c r="K3672">
        <v>110.96</v>
      </c>
      <c r="L3672">
        <v>2.12</v>
      </c>
      <c r="M3672" t="s">
        <v>3551</v>
      </c>
      <c r="N3672">
        <v>27788</v>
      </c>
      <c r="O3672">
        <v>11.67</v>
      </c>
      <c r="P3672">
        <v>6.73</v>
      </c>
      <c r="R3672">
        <v>1.1200000000000001</v>
      </c>
      <c r="S3672">
        <v>0.64</v>
      </c>
      <c r="T3672" t="s">
        <v>10221</v>
      </c>
      <c r="U3672">
        <v>0.3</v>
      </c>
      <c r="V3672" t="s">
        <v>198</v>
      </c>
      <c r="W3672" t="s">
        <v>14659</v>
      </c>
      <c r="X3672" t="s">
        <v>4121</v>
      </c>
      <c r="Y3672" t="s">
        <v>2185</v>
      </c>
      <c r="Z3672" t="s">
        <v>11626</v>
      </c>
      <c r="AA3672">
        <v>0.18</v>
      </c>
      <c r="AB3672" t="s">
        <v>4872</v>
      </c>
      <c r="AC3672" t="s">
        <v>4451</v>
      </c>
      <c r="AE3672" t="s">
        <v>15845</v>
      </c>
      <c r="AF3672" t="s">
        <v>9389</v>
      </c>
      <c r="AG3672" t="s">
        <v>7855</v>
      </c>
      <c r="AH3672" t="s">
        <v>28500</v>
      </c>
      <c r="AI3672" t="s">
        <v>8887</v>
      </c>
      <c r="AJ3672" t="s">
        <v>164</v>
      </c>
      <c r="AK3672" t="s">
        <v>17270</v>
      </c>
      <c r="AL3672">
        <v>8.17</v>
      </c>
      <c r="AM3672">
        <v>8.17</v>
      </c>
      <c r="AN3672">
        <v>3.27</v>
      </c>
      <c r="AO3672" t="s">
        <v>29557</v>
      </c>
      <c r="AP3672" t="s">
        <v>17034</v>
      </c>
      <c r="AQ3672" t="s">
        <v>2459</v>
      </c>
      <c r="AR3672" t="s">
        <v>2473</v>
      </c>
      <c r="AS3672" t="s">
        <v>89</v>
      </c>
      <c r="AT3672" t="s">
        <v>4893</v>
      </c>
      <c r="AU3672" t="s">
        <v>8607</v>
      </c>
      <c r="AV3672" t="s">
        <v>13401</v>
      </c>
      <c r="AW3672" t="s">
        <v>4899</v>
      </c>
      <c r="AX3672" t="s">
        <v>4495</v>
      </c>
      <c r="AY3672" t="s">
        <v>2164</v>
      </c>
      <c r="AZ3672" t="s">
        <v>4495</v>
      </c>
      <c r="BA3672">
        <v>2</v>
      </c>
      <c r="BB3672">
        <v>248.27</v>
      </c>
      <c r="BC3672">
        <v>0.39</v>
      </c>
      <c r="BD3672">
        <v>2.09</v>
      </c>
      <c r="BE3672">
        <v>2.12</v>
      </c>
      <c r="BF3672">
        <v>2.1</v>
      </c>
      <c r="BG3672" t="s">
        <v>30150</v>
      </c>
      <c r="BH3672" t="s">
        <v>29821</v>
      </c>
      <c r="BI3672" t="s">
        <v>30151</v>
      </c>
      <c r="BJ3672" t="s">
        <v>101</v>
      </c>
      <c r="BK3672" t="s">
        <v>2023</v>
      </c>
      <c r="BL3672" t="s">
        <v>28279</v>
      </c>
      <c r="BM3672" t="s">
        <v>5410</v>
      </c>
      <c r="BN3672" t="s">
        <v>27621</v>
      </c>
    </row>
    <row r="3673" spans="1:66" x14ac:dyDescent="0.25">
      <c r="A3673" t="str">
        <f>HYPERLINK("https://elite.finviz.com/quote.ashx?t=SNTI&amp;ty=c&amp;p=d&amp;b=1", "SNTI")</f>
        <v>SNTI</v>
      </c>
      <c r="B3673">
        <v>4</v>
      </c>
      <c r="C3673">
        <v>105.92</v>
      </c>
      <c r="D3673">
        <v>41.86</v>
      </c>
      <c r="E3673" t="s">
        <v>30152</v>
      </c>
      <c r="F3673" t="s">
        <v>107</v>
      </c>
      <c r="G3673" t="s">
        <v>428</v>
      </c>
      <c r="H3673" t="s">
        <v>429</v>
      </c>
      <c r="I3673" t="s">
        <v>70</v>
      </c>
      <c r="J3673" t="s">
        <v>321</v>
      </c>
      <c r="K3673">
        <v>36.36</v>
      </c>
      <c r="L3673">
        <v>1.39</v>
      </c>
      <c r="M3673" t="s">
        <v>4086</v>
      </c>
      <c r="N3673">
        <v>24149</v>
      </c>
      <c r="S3673">
        <v>1.47</v>
      </c>
      <c r="AA3673">
        <v>-8.9499999999999993</v>
      </c>
      <c r="AB3673" t="s">
        <v>28481</v>
      </c>
      <c r="AD3673" t="s">
        <v>14383</v>
      </c>
      <c r="AE3673" t="s">
        <v>579</v>
      </c>
      <c r="AI3673" t="s">
        <v>29364</v>
      </c>
      <c r="AJ3673" t="s">
        <v>164</v>
      </c>
      <c r="AK3673" t="s">
        <v>2555</v>
      </c>
      <c r="AL3673">
        <v>3.26</v>
      </c>
      <c r="AM3673">
        <v>3.26</v>
      </c>
      <c r="AN3673">
        <v>1.27</v>
      </c>
      <c r="AR3673" t="s">
        <v>2581</v>
      </c>
      <c r="AS3673" t="s">
        <v>1475</v>
      </c>
      <c r="AT3673" t="s">
        <v>3047</v>
      </c>
      <c r="AU3673" t="s">
        <v>2375</v>
      </c>
      <c r="AV3673" t="s">
        <v>13723</v>
      </c>
      <c r="AW3673" t="s">
        <v>25584</v>
      </c>
      <c r="AX3673" t="s">
        <v>5914</v>
      </c>
      <c r="AY3673" t="s">
        <v>30153</v>
      </c>
      <c r="AZ3673" t="s">
        <v>5914</v>
      </c>
      <c r="BA3673">
        <v>1</v>
      </c>
      <c r="BB3673">
        <v>245.32</v>
      </c>
      <c r="BC3673">
        <v>0.35</v>
      </c>
      <c r="BD3673">
        <v>1.4</v>
      </c>
      <c r="BE3673">
        <v>1.4</v>
      </c>
      <c r="BF3673">
        <v>1.36</v>
      </c>
      <c r="BG3673" t="s">
        <v>30154</v>
      </c>
      <c r="BH3673" t="s">
        <v>14333</v>
      </c>
      <c r="BI3673" t="s">
        <v>5914</v>
      </c>
      <c r="BJ3673" t="s">
        <v>101</v>
      </c>
      <c r="BK3673" t="s">
        <v>25976</v>
      </c>
      <c r="BL3673" t="s">
        <v>2706</v>
      </c>
      <c r="BM3673" t="s">
        <v>16929</v>
      </c>
      <c r="BN3673" t="s">
        <v>27621</v>
      </c>
    </row>
    <row r="3674" spans="1:66" x14ac:dyDescent="0.25">
      <c r="A3674" t="str">
        <f>HYPERLINK("https://elite.finviz.com/quote.ashx?t=JOE&amp;ty=c&amp;p=d&amp;b=1", "JOE")</f>
        <v>JOE</v>
      </c>
      <c r="B3674">
        <v>4</v>
      </c>
      <c r="C3674">
        <v>105.92</v>
      </c>
      <c r="D3674">
        <v>41.86</v>
      </c>
      <c r="E3674" t="s">
        <v>30155</v>
      </c>
      <c r="F3674" t="s">
        <v>67</v>
      </c>
      <c r="G3674" t="s">
        <v>68</v>
      </c>
      <c r="H3674" t="s">
        <v>18266</v>
      </c>
      <c r="I3674" t="s">
        <v>70</v>
      </c>
      <c r="J3674" t="s">
        <v>71</v>
      </c>
      <c r="K3674">
        <v>2831.14</v>
      </c>
      <c r="L3674">
        <v>48.89</v>
      </c>
      <c r="M3674" t="s">
        <v>1764</v>
      </c>
      <c r="N3674">
        <v>16424</v>
      </c>
      <c r="O3674">
        <v>34.409999999999997</v>
      </c>
      <c r="R3674">
        <v>6.64</v>
      </c>
      <c r="S3674">
        <v>3.84</v>
      </c>
      <c r="T3674" t="s">
        <v>1488</v>
      </c>
      <c r="U3674">
        <v>0.56000000000000005</v>
      </c>
      <c r="V3674" t="s">
        <v>4186</v>
      </c>
      <c r="W3674" t="s">
        <v>4084</v>
      </c>
      <c r="X3674" t="s">
        <v>5038</v>
      </c>
      <c r="Z3674" t="s">
        <v>6473</v>
      </c>
      <c r="AA3674">
        <v>1.42</v>
      </c>
      <c r="AB3674" t="s">
        <v>3358</v>
      </c>
      <c r="AC3674" t="s">
        <v>5437</v>
      </c>
      <c r="AE3674" t="s">
        <v>2085</v>
      </c>
      <c r="AF3674" t="s">
        <v>10918</v>
      </c>
      <c r="AG3674" t="s">
        <v>1059</v>
      </c>
      <c r="AH3674" t="s">
        <v>1552</v>
      </c>
      <c r="AJ3674" t="s">
        <v>19814</v>
      </c>
      <c r="AK3674" t="s">
        <v>18025</v>
      </c>
      <c r="AL3674">
        <v>2.39</v>
      </c>
      <c r="AM3674">
        <v>2.39</v>
      </c>
      <c r="AN3674">
        <v>0.57999999999999996</v>
      </c>
      <c r="AO3674" t="s">
        <v>13722</v>
      </c>
      <c r="AP3674" t="s">
        <v>23897</v>
      </c>
      <c r="AQ3674" t="s">
        <v>4331</v>
      </c>
      <c r="AR3674" t="s">
        <v>2640</v>
      </c>
      <c r="AS3674" t="s">
        <v>5121</v>
      </c>
      <c r="AT3674" t="s">
        <v>2204</v>
      </c>
      <c r="AU3674" t="s">
        <v>4222</v>
      </c>
      <c r="AV3674" t="s">
        <v>3244</v>
      </c>
      <c r="AW3674" t="s">
        <v>4410</v>
      </c>
      <c r="AX3674" t="s">
        <v>3447</v>
      </c>
      <c r="AY3674" t="s">
        <v>19227</v>
      </c>
      <c r="AZ3674" t="s">
        <v>3291</v>
      </c>
      <c r="BA3674">
        <v>2</v>
      </c>
      <c r="BB3674">
        <v>241.87</v>
      </c>
      <c r="BC3674">
        <v>0.24</v>
      </c>
      <c r="BD3674">
        <v>48.53</v>
      </c>
      <c r="BE3674">
        <v>49.12</v>
      </c>
      <c r="BF3674">
        <v>48.55</v>
      </c>
      <c r="BG3674" t="s">
        <v>30156</v>
      </c>
      <c r="BH3674" t="s">
        <v>19249</v>
      </c>
      <c r="BI3674" t="s">
        <v>30157</v>
      </c>
      <c r="BJ3674" t="s">
        <v>101</v>
      </c>
      <c r="BK3674" t="s">
        <v>2426</v>
      </c>
      <c r="BL3674" t="s">
        <v>5467</v>
      </c>
      <c r="BM3674" t="s">
        <v>17301</v>
      </c>
      <c r="BN3674" t="s">
        <v>27621</v>
      </c>
    </row>
    <row r="3675" spans="1:66" x14ac:dyDescent="0.25">
      <c r="A3675" t="str">
        <f>HYPERLINK("https://elite.finviz.com/quote.ashx?t=SAR&amp;ty=c&amp;p=d&amp;b=1", "SAR")</f>
        <v>SAR</v>
      </c>
      <c r="B3675">
        <v>4</v>
      </c>
      <c r="C3675">
        <v>105.92</v>
      </c>
      <c r="D3675">
        <v>41.89</v>
      </c>
      <c r="E3675" t="s">
        <v>30158</v>
      </c>
      <c r="F3675" t="s">
        <v>107</v>
      </c>
      <c r="G3675" t="s">
        <v>550</v>
      </c>
      <c r="H3675" t="s">
        <v>2597</v>
      </c>
      <c r="I3675" t="s">
        <v>70</v>
      </c>
      <c r="J3675" t="s">
        <v>71</v>
      </c>
      <c r="K3675">
        <v>388.99</v>
      </c>
      <c r="L3675">
        <v>24.39</v>
      </c>
      <c r="M3675" t="s">
        <v>439</v>
      </c>
      <c r="N3675">
        <v>15627</v>
      </c>
      <c r="O3675">
        <v>9.9499999999999993</v>
      </c>
      <c r="P3675">
        <v>9.3000000000000007</v>
      </c>
      <c r="R3675">
        <v>2.73</v>
      </c>
      <c r="S3675">
        <v>0.96</v>
      </c>
      <c r="T3675" t="s">
        <v>2471</v>
      </c>
      <c r="U3675">
        <v>2.98</v>
      </c>
      <c r="V3675" t="s">
        <v>16780</v>
      </c>
      <c r="W3675" t="s">
        <v>2429</v>
      </c>
      <c r="X3675" t="s">
        <v>7663</v>
      </c>
      <c r="Y3675" t="s">
        <v>4593</v>
      </c>
      <c r="Z3675" t="s">
        <v>21853</v>
      </c>
      <c r="AA3675">
        <v>2.4500000000000002</v>
      </c>
      <c r="AH3675" t="s">
        <v>9771</v>
      </c>
      <c r="AI3675" t="s">
        <v>2393</v>
      </c>
      <c r="AJ3675" t="s">
        <v>164</v>
      </c>
      <c r="AK3675" t="s">
        <v>9523</v>
      </c>
      <c r="AR3675" t="s">
        <v>7338</v>
      </c>
      <c r="AS3675" t="s">
        <v>4280</v>
      </c>
      <c r="AT3675" t="s">
        <v>13366</v>
      </c>
      <c r="AU3675" t="s">
        <v>6149</v>
      </c>
      <c r="AV3675" t="s">
        <v>5693</v>
      </c>
      <c r="AW3675" t="s">
        <v>4893</v>
      </c>
      <c r="AX3675" t="s">
        <v>1760</v>
      </c>
      <c r="AY3675" t="s">
        <v>14645</v>
      </c>
      <c r="AZ3675" t="s">
        <v>23203</v>
      </c>
      <c r="BB3675">
        <v>117.67</v>
      </c>
      <c r="BC3675">
        <v>0.47</v>
      </c>
      <c r="BD3675">
        <v>24.32</v>
      </c>
      <c r="BE3675">
        <v>24.58</v>
      </c>
      <c r="BF3675">
        <v>24.3</v>
      </c>
      <c r="BG3675" t="s">
        <v>30159</v>
      </c>
      <c r="BH3675" t="s">
        <v>30160</v>
      </c>
      <c r="BI3675" t="s">
        <v>30161</v>
      </c>
      <c r="BJ3675" t="s">
        <v>101</v>
      </c>
      <c r="BK3675" t="s">
        <v>609</v>
      </c>
      <c r="BL3675" t="s">
        <v>8542</v>
      </c>
      <c r="BM3675" t="s">
        <v>906</v>
      </c>
      <c r="BN3675" t="s">
        <v>27621</v>
      </c>
    </row>
    <row r="3676" spans="1:66" x14ac:dyDescent="0.25">
      <c r="A3676" t="str">
        <f>HYPERLINK("https://elite.finviz.com/quote.ashx?t=UBCP&amp;ty=c&amp;p=d&amp;b=1", "UBCP")</f>
        <v>UBCP</v>
      </c>
      <c r="B3676">
        <v>4</v>
      </c>
      <c r="C3676">
        <v>105.92</v>
      </c>
      <c r="D3676">
        <v>41.91</v>
      </c>
      <c r="E3676" t="s">
        <v>30162</v>
      </c>
      <c r="F3676" t="s">
        <v>107</v>
      </c>
      <c r="G3676" t="s">
        <v>550</v>
      </c>
      <c r="H3676" t="s">
        <v>697</v>
      </c>
      <c r="I3676" t="s">
        <v>70</v>
      </c>
      <c r="J3676" t="s">
        <v>321</v>
      </c>
      <c r="K3676">
        <v>78.180000000000007</v>
      </c>
      <c r="L3676">
        <v>13.54</v>
      </c>
      <c r="M3676" t="s">
        <v>629</v>
      </c>
      <c r="N3676">
        <v>103</v>
      </c>
      <c r="O3676">
        <v>10.65</v>
      </c>
      <c r="P3676">
        <v>8.74</v>
      </c>
      <c r="Q3676">
        <v>0.86</v>
      </c>
      <c r="R3676">
        <v>1.72</v>
      </c>
      <c r="S3676">
        <v>1.31</v>
      </c>
      <c r="T3676" t="s">
        <v>272</v>
      </c>
      <c r="U3676">
        <v>0.73</v>
      </c>
      <c r="V3676" t="s">
        <v>5717</v>
      </c>
      <c r="W3676" t="s">
        <v>2842</v>
      </c>
      <c r="X3676" t="s">
        <v>2066</v>
      </c>
      <c r="Y3676" t="s">
        <v>912</v>
      </c>
      <c r="Z3676" t="s">
        <v>8793</v>
      </c>
      <c r="AA3676">
        <v>1.27</v>
      </c>
      <c r="AB3676" t="s">
        <v>18212</v>
      </c>
      <c r="AC3676" t="s">
        <v>907</v>
      </c>
      <c r="AD3676" t="s">
        <v>2365</v>
      </c>
      <c r="AE3676" t="s">
        <v>4641</v>
      </c>
      <c r="AF3676" t="s">
        <v>4258</v>
      </c>
      <c r="AG3676" t="s">
        <v>3181</v>
      </c>
      <c r="AH3676" t="s">
        <v>1160</v>
      </c>
      <c r="AJ3676" t="s">
        <v>6478</v>
      </c>
      <c r="AK3676" t="s">
        <v>11544</v>
      </c>
      <c r="AL3676">
        <v>0.16</v>
      </c>
      <c r="AN3676">
        <v>2.2999999999999998</v>
      </c>
      <c r="AP3676" t="s">
        <v>1784</v>
      </c>
      <c r="AQ3676" t="s">
        <v>583</v>
      </c>
      <c r="AR3676" t="s">
        <v>4686</v>
      </c>
      <c r="AS3676" t="s">
        <v>6475</v>
      </c>
      <c r="AT3676" t="s">
        <v>4210</v>
      </c>
      <c r="AU3676" t="s">
        <v>8520</v>
      </c>
      <c r="AV3676" t="s">
        <v>3047</v>
      </c>
      <c r="AW3676" t="s">
        <v>5194</v>
      </c>
      <c r="AX3676" t="s">
        <v>6607</v>
      </c>
      <c r="AY3676" t="s">
        <v>9414</v>
      </c>
      <c r="AZ3676" t="s">
        <v>3531</v>
      </c>
      <c r="BA3676">
        <v>1</v>
      </c>
      <c r="BB3676">
        <v>4.28</v>
      </c>
      <c r="BC3676">
        <v>0.09</v>
      </c>
      <c r="BD3676">
        <v>13.53</v>
      </c>
      <c r="BE3676">
        <v>13.53</v>
      </c>
      <c r="BF3676">
        <v>13.53</v>
      </c>
      <c r="BG3676" t="s">
        <v>30163</v>
      </c>
      <c r="BH3676" t="s">
        <v>25029</v>
      </c>
      <c r="BI3676" t="s">
        <v>30164</v>
      </c>
      <c r="BJ3676" t="s">
        <v>101</v>
      </c>
      <c r="BK3676" t="s">
        <v>3486</v>
      </c>
      <c r="BL3676" t="s">
        <v>5319</v>
      </c>
      <c r="BM3676" t="s">
        <v>2912</v>
      </c>
      <c r="BN3676" t="s">
        <v>27621</v>
      </c>
    </row>
    <row r="3677" spans="1:66" x14ac:dyDescent="0.25">
      <c r="A3677" t="str">
        <f>HYPERLINK("https://elite.finviz.com/quote.ashx?t=CNNE&amp;ty=c&amp;p=d&amp;b=1", "CNNE")</f>
        <v>CNNE</v>
      </c>
      <c r="B3677">
        <v>4</v>
      </c>
      <c r="C3677">
        <v>105.92</v>
      </c>
      <c r="D3677">
        <v>41.92</v>
      </c>
      <c r="E3677" t="s">
        <v>30165</v>
      </c>
      <c r="F3677" t="s">
        <v>67</v>
      </c>
      <c r="G3677" t="s">
        <v>813</v>
      </c>
      <c r="H3677" t="s">
        <v>2285</v>
      </c>
      <c r="I3677" t="s">
        <v>70</v>
      </c>
      <c r="J3677" t="s">
        <v>71</v>
      </c>
      <c r="K3677">
        <v>1036.83</v>
      </c>
      <c r="L3677">
        <v>18.510000000000002</v>
      </c>
      <c r="M3677" t="s">
        <v>1657</v>
      </c>
      <c r="N3677">
        <v>80219</v>
      </c>
      <c r="R3677">
        <v>2.37</v>
      </c>
      <c r="S3677">
        <v>0.77</v>
      </c>
      <c r="T3677" t="s">
        <v>4945</v>
      </c>
      <c r="U3677">
        <v>0.51</v>
      </c>
      <c r="V3677" t="s">
        <v>5925</v>
      </c>
      <c r="AA3677">
        <v>-6.7</v>
      </c>
      <c r="AB3677" t="s">
        <v>5299</v>
      </c>
      <c r="AE3677" t="s">
        <v>4647</v>
      </c>
      <c r="AF3677" t="s">
        <v>8993</v>
      </c>
      <c r="AG3677" t="s">
        <v>16527</v>
      </c>
      <c r="AH3677" t="s">
        <v>4622</v>
      </c>
      <c r="AI3677" t="s">
        <v>30166</v>
      </c>
      <c r="AJ3677" t="s">
        <v>6838</v>
      </c>
      <c r="AK3677" t="s">
        <v>30167</v>
      </c>
      <c r="AL3677">
        <v>2.78</v>
      </c>
      <c r="AM3677">
        <v>2.78</v>
      </c>
      <c r="AN3677">
        <v>0.23</v>
      </c>
      <c r="AO3677" t="s">
        <v>2863</v>
      </c>
      <c r="AP3677" t="s">
        <v>27719</v>
      </c>
      <c r="AQ3677" t="s">
        <v>30168</v>
      </c>
      <c r="AR3677" t="s">
        <v>679</v>
      </c>
      <c r="AS3677" t="s">
        <v>5660</v>
      </c>
      <c r="AT3677" t="s">
        <v>1225</v>
      </c>
      <c r="AU3677" t="s">
        <v>4893</v>
      </c>
      <c r="AV3677" t="s">
        <v>5574</v>
      </c>
      <c r="AW3677" t="s">
        <v>17335</v>
      </c>
      <c r="AX3677" t="s">
        <v>3088</v>
      </c>
      <c r="AY3677" t="s">
        <v>11328</v>
      </c>
      <c r="AZ3677" t="s">
        <v>2737</v>
      </c>
      <c r="BA3677">
        <v>1</v>
      </c>
      <c r="BB3677">
        <v>723.03</v>
      </c>
      <c r="BC3677">
        <v>0.39</v>
      </c>
      <c r="BD3677">
        <v>18.420000000000002</v>
      </c>
      <c r="BE3677">
        <v>18.66</v>
      </c>
      <c r="BF3677">
        <v>18.37</v>
      </c>
      <c r="BG3677" t="s">
        <v>30169</v>
      </c>
      <c r="BH3677" t="s">
        <v>15282</v>
      </c>
      <c r="BI3677" t="s">
        <v>30170</v>
      </c>
      <c r="BJ3677" t="s">
        <v>101</v>
      </c>
      <c r="BK3677" t="s">
        <v>4438</v>
      </c>
      <c r="BL3677" t="s">
        <v>11830</v>
      </c>
      <c r="BM3677" t="s">
        <v>900</v>
      </c>
      <c r="BN3677" t="s">
        <v>27621</v>
      </c>
    </row>
    <row r="3678" spans="1:66" x14ac:dyDescent="0.25">
      <c r="A3678" t="str">
        <f>HYPERLINK("https://elite.finviz.com/quote.ashx?t=TRNR&amp;ty=c&amp;p=d&amp;b=1", "TRNR")</f>
        <v>TRNR</v>
      </c>
      <c r="B3678">
        <v>4</v>
      </c>
      <c r="C3678">
        <v>105.92</v>
      </c>
      <c r="D3678">
        <v>41.96</v>
      </c>
      <c r="E3678" t="s">
        <v>30171</v>
      </c>
      <c r="F3678" t="s">
        <v>107</v>
      </c>
      <c r="G3678" t="s">
        <v>813</v>
      </c>
      <c r="H3678" t="s">
        <v>10177</v>
      </c>
      <c r="I3678" t="s">
        <v>70</v>
      </c>
      <c r="J3678" t="s">
        <v>321</v>
      </c>
      <c r="K3678">
        <v>5.87</v>
      </c>
      <c r="L3678">
        <v>3.36</v>
      </c>
      <c r="M3678" t="s">
        <v>1714</v>
      </c>
      <c r="N3678">
        <v>6395</v>
      </c>
      <c r="R3678">
        <v>0.84</v>
      </c>
      <c r="S3678">
        <v>0.28999999999999998</v>
      </c>
      <c r="AA3678">
        <v>-1626.61</v>
      </c>
      <c r="AB3678" t="s">
        <v>11248</v>
      </c>
      <c r="AC3678" t="s">
        <v>17489</v>
      </c>
      <c r="AE3678" t="s">
        <v>30172</v>
      </c>
      <c r="AF3678" t="s">
        <v>30173</v>
      </c>
      <c r="AH3678" t="s">
        <v>3547</v>
      </c>
      <c r="AI3678" t="s">
        <v>30174</v>
      </c>
      <c r="AJ3678" t="s">
        <v>164</v>
      </c>
      <c r="AK3678" t="s">
        <v>1338</v>
      </c>
      <c r="AL3678">
        <v>0.67</v>
      </c>
      <c r="AM3678">
        <v>0.51</v>
      </c>
      <c r="AN3678">
        <v>3.41</v>
      </c>
      <c r="AO3678" t="s">
        <v>9988</v>
      </c>
      <c r="AP3678" t="s">
        <v>30175</v>
      </c>
      <c r="AQ3678" t="s">
        <v>30176</v>
      </c>
      <c r="AR3678" t="s">
        <v>10425</v>
      </c>
      <c r="AS3678" t="s">
        <v>9864</v>
      </c>
      <c r="AT3678" t="s">
        <v>4927</v>
      </c>
      <c r="AU3678" t="s">
        <v>17136</v>
      </c>
      <c r="AV3678" t="s">
        <v>30177</v>
      </c>
      <c r="AW3678" t="s">
        <v>30178</v>
      </c>
      <c r="AX3678" t="s">
        <v>5950</v>
      </c>
      <c r="AY3678" t="s">
        <v>30179</v>
      </c>
      <c r="AZ3678" t="s">
        <v>5950</v>
      </c>
      <c r="BA3678">
        <v>1</v>
      </c>
      <c r="BB3678">
        <v>423.34</v>
      </c>
      <c r="BC3678">
        <v>0.05</v>
      </c>
      <c r="BD3678">
        <v>3.38</v>
      </c>
      <c r="BE3678">
        <v>3.4</v>
      </c>
      <c r="BF3678">
        <v>3.25</v>
      </c>
      <c r="BG3678" t="s">
        <v>30180</v>
      </c>
      <c r="BH3678" t="s">
        <v>579</v>
      </c>
      <c r="BI3678" t="s">
        <v>5950</v>
      </c>
      <c r="BJ3678" t="s">
        <v>101</v>
      </c>
      <c r="BK3678" t="s">
        <v>27368</v>
      </c>
      <c r="BL3678" t="s">
        <v>30181</v>
      </c>
      <c r="BM3678" t="s">
        <v>6038</v>
      </c>
      <c r="BN3678" t="s">
        <v>27621</v>
      </c>
    </row>
    <row r="3679" spans="1:66" x14ac:dyDescent="0.25">
      <c r="A3679" t="str">
        <f>HYPERLINK("https://elite.finviz.com/quote.ashx?t=THRY&amp;ty=c&amp;p=d&amp;b=1", "THRY")</f>
        <v>THRY</v>
      </c>
      <c r="B3679">
        <v>4</v>
      </c>
      <c r="C3679">
        <v>105.92</v>
      </c>
      <c r="D3679">
        <v>41.98</v>
      </c>
      <c r="E3679" t="s">
        <v>30182</v>
      </c>
      <c r="F3679" t="s">
        <v>67</v>
      </c>
      <c r="G3679" t="s">
        <v>598</v>
      </c>
      <c r="H3679" t="s">
        <v>599</v>
      </c>
      <c r="I3679" t="s">
        <v>70</v>
      </c>
      <c r="J3679" t="s">
        <v>321</v>
      </c>
      <c r="K3679">
        <v>526.75</v>
      </c>
      <c r="L3679">
        <v>11.99</v>
      </c>
      <c r="M3679" t="s">
        <v>2290</v>
      </c>
      <c r="N3679">
        <v>53089</v>
      </c>
      <c r="P3679">
        <v>19.420000000000002</v>
      </c>
      <c r="R3679">
        <v>0.69</v>
      </c>
      <c r="S3679">
        <v>2.4500000000000002</v>
      </c>
      <c r="AA3679">
        <v>-2.36</v>
      </c>
      <c r="AE3679" t="s">
        <v>20326</v>
      </c>
      <c r="AF3679" t="s">
        <v>7234</v>
      </c>
      <c r="AG3679" t="s">
        <v>9261</v>
      </c>
      <c r="AH3679" t="s">
        <v>9412</v>
      </c>
      <c r="AI3679" t="s">
        <v>8960</v>
      </c>
      <c r="AJ3679" t="s">
        <v>2362</v>
      </c>
      <c r="AK3679" t="s">
        <v>15603</v>
      </c>
      <c r="AL3679">
        <v>1.1299999999999999</v>
      </c>
      <c r="AM3679">
        <v>1.1299999999999999</v>
      </c>
      <c r="AN3679">
        <v>1.28</v>
      </c>
      <c r="AO3679" t="s">
        <v>16238</v>
      </c>
      <c r="AP3679" t="s">
        <v>2066</v>
      </c>
      <c r="AQ3679" t="s">
        <v>10906</v>
      </c>
      <c r="AR3679" t="s">
        <v>1453</v>
      </c>
      <c r="AS3679" t="s">
        <v>2838</v>
      </c>
      <c r="AT3679" t="s">
        <v>12274</v>
      </c>
      <c r="AU3679" t="s">
        <v>5578</v>
      </c>
      <c r="AV3679" t="s">
        <v>18581</v>
      </c>
      <c r="AW3679" t="s">
        <v>9199</v>
      </c>
      <c r="AX3679" t="s">
        <v>4690</v>
      </c>
      <c r="AY3679" t="s">
        <v>24178</v>
      </c>
      <c r="AZ3679" t="s">
        <v>2713</v>
      </c>
      <c r="BA3679">
        <v>1.4</v>
      </c>
      <c r="BB3679">
        <v>514.29999999999995</v>
      </c>
      <c r="BC3679">
        <v>0.36</v>
      </c>
      <c r="BD3679">
        <v>11.95</v>
      </c>
      <c r="BE3679">
        <v>12</v>
      </c>
      <c r="BF3679">
        <v>11.77</v>
      </c>
      <c r="BG3679" t="s">
        <v>30183</v>
      </c>
      <c r="BH3679" t="s">
        <v>30184</v>
      </c>
      <c r="BI3679" t="s">
        <v>18644</v>
      </c>
      <c r="BJ3679" t="s">
        <v>101</v>
      </c>
      <c r="BK3679" t="s">
        <v>1657</v>
      </c>
      <c r="BL3679" t="s">
        <v>2480</v>
      </c>
      <c r="BM3679" t="s">
        <v>25029</v>
      </c>
      <c r="BN3679" t="s">
        <v>27621</v>
      </c>
    </row>
    <row r="3680" spans="1:66" x14ac:dyDescent="0.25">
      <c r="A3680" t="str">
        <f>HYPERLINK("https://elite.finviz.com/quote.ashx?t=NVCT&amp;ty=c&amp;p=d&amp;b=1", "NVCT")</f>
        <v>NVCT</v>
      </c>
      <c r="B3680">
        <v>4</v>
      </c>
      <c r="C3680">
        <v>105.92</v>
      </c>
      <c r="D3680">
        <v>42.01</v>
      </c>
      <c r="E3680" t="s">
        <v>30185</v>
      </c>
      <c r="F3680" t="s">
        <v>67</v>
      </c>
      <c r="G3680" t="s">
        <v>428</v>
      </c>
      <c r="H3680" t="s">
        <v>429</v>
      </c>
      <c r="I3680" t="s">
        <v>70</v>
      </c>
      <c r="J3680" t="s">
        <v>321</v>
      </c>
      <c r="K3680">
        <v>153.51</v>
      </c>
      <c r="L3680">
        <v>6.03</v>
      </c>
      <c r="M3680" t="s">
        <v>2185</v>
      </c>
      <c r="N3680">
        <v>5154</v>
      </c>
      <c r="S3680">
        <v>8.5299999999999994</v>
      </c>
      <c r="AA3680">
        <v>-1.1299999999999999</v>
      </c>
      <c r="AB3680" t="s">
        <v>10262</v>
      </c>
      <c r="AC3680" t="s">
        <v>30186</v>
      </c>
      <c r="AD3680" t="s">
        <v>6533</v>
      </c>
      <c r="AI3680" t="s">
        <v>12330</v>
      </c>
      <c r="AJ3680" t="s">
        <v>6245</v>
      </c>
      <c r="AK3680" t="s">
        <v>8345</v>
      </c>
      <c r="AL3680">
        <v>2.66</v>
      </c>
      <c r="AM3680">
        <v>2.66</v>
      </c>
      <c r="AN3680">
        <v>0</v>
      </c>
      <c r="AR3680" t="s">
        <v>1254</v>
      </c>
      <c r="AS3680" t="s">
        <v>1749</v>
      </c>
      <c r="AT3680" t="s">
        <v>2304</v>
      </c>
      <c r="AU3680" t="s">
        <v>2301</v>
      </c>
      <c r="AV3680" t="s">
        <v>8591</v>
      </c>
      <c r="AW3680" t="s">
        <v>1878</v>
      </c>
      <c r="AX3680" t="s">
        <v>1889</v>
      </c>
      <c r="AY3680" t="s">
        <v>30187</v>
      </c>
      <c r="AZ3680" t="s">
        <v>6385</v>
      </c>
      <c r="BA3680">
        <v>1</v>
      </c>
      <c r="BB3680">
        <v>161.21</v>
      </c>
      <c r="BC3680">
        <v>0.11</v>
      </c>
      <c r="BD3680">
        <v>5.95</v>
      </c>
      <c r="BE3680">
        <v>6.12</v>
      </c>
      <c r="BF3680">
        <v>5.99</v>
      </c>
      <c r="BG3680" t="s">
        <v>30188</v>
      </c>
      <c r="BH3680" t="s">
        <v>16872</v>
      </c>
      <c r="BI3680" t="s">
        <v>30189</v>
      </c>
      <c r="BJ3680" t="s">
        <v>101</v>
      </c>
      <c r="BK3680" t="s">
        <v>27575</v>
      </c>
      <c r="BL3680" t="s">
        <v>6605</v>
      </c>
      <c r="BM3680" t="s">
        <v>15245</v>
      </c>
      <c r="BN3680" t="s">
        <v>27621</v>
      </c>
    </row>
    <row r="3681" spans="1:66" x14ac:dyDescent="0.25">
      <c r="A3681" t="str">
        <f>HYPERLINK("https://elite.finviz.com/quote.ashx?t=MTX&amp;ty=c&amp;p=d&amp;b=1", "MTX")</f>
        <v>MTX</v>
      </c>
      <c r="B3681">
        <v>4</v>
      </c>
      <c r="C3681">
        <v>105.92</v>
      </c>
      <c r="D3681">
        <v>42.02</v>
      </c>
      <c r="E3681" t="s">
        <v>30190</v>
      </c>
      <c r="F3681" t="s">
        <v>67</v>
      </c>
      <c r="G3681" t="s">
        <v>355</v>
      </c>
      <c r="H3681" t="s">
        <v>1147</v>
      </c>
      <c r="I3681" t="s">
        <v>70</v>
      </c>
      <c r="J3681" t="s">
        <v>71</v>
      </c>
      <c r="K3681">
        <v>1911.12</v>
      </c>
      <c r="L3681">
        <v>60.91</v>
      </c>
      <c r="M3681" t="s">
        <v>193</v>
      </c>
      <c r="N3681">
        <v>14505</v>
      </c>
      <c r="O3681">
        <v>1341.63</v>
      </c>
      <c r="P3681">
        <v>9.5500000000000007</v>
      </c>
      <c r="R3681">
        <v>0.93</v>
      </c>
      <c r="S3681">
        <v>1.1599999999999999</v>
      </c>
      <c r="T3681" t="s">
        <v>1764</v>
      </c>
      <c r="U3681">
        <v>0.44</v>
      </c>
      <c r="V3681" t="s">
        <v>3046</v>
      </c>
      <c r="W3681" t="s">
        <v>14003</v>
      </c>
      <c r="X3681" t="s">
        <v>14149</v>
      </c>
      <c r="Y3681" t="s">
        <v>9110</v>
      </c>
      <c r="Z3681" t="s">
        <v>3837</v>
      </c>
      <c r="AA3681">
        <v>0.05</v>
      </c>
      <c r="AB3681" t="s">
        <v>2421</v>
      </c>
      <c r="AC3681" t="s">
        <v>2066</v>
      </c>
      <c r="AE3681" t="s">
        <v>12014</v>
      </c>
      <c r="AF3681" t="s">
        <v>5045</v>
      </c>
      <c r="AG3681" t="s">
        <v>5369</v>
      </c>
      <c r="AH3681" t="s">
        <v>10568</v>
      </c>
      <c r="AI3681" t="s">
        <v>1491</v>
      </c>
      <c r="AJ3681" t="s">
        <v>2644</v>
      </c>
      <c r="AK3681" t="s">
        <v>24826</v>
      </c>
      <c r="AL3681">
        <v>1.95</v>
      </c>
      <c r="AM3681">
        <v>1.35</v>
      </c>
      <c r="AN3681">
        <v>0.59</v>
      </c>
      <c r="AO3681" t="s">
        <v>11880</v>
      </c>
      <c r="AP3681" t="s">
        <v>2660</v>
      </c>
      <c r="AQ3681" t="s">
        <v>2757</v>
      </c>
      <c r="AR3681" t="s">
        <v>1599</v>
      </c>
      <c r="AS3681" t="s">
        <v>715</v>
      </c>
      <c r="AT3681" t="s">
        <v>82</v>
      </c>
      <c r="AU3681" t="s">
        <v>575</v>
      </c>
      <c r="AV3681" t="s">
        <v>2498</v>
      </c>
      <c r="AW3681" t="s">
        <v>500</v>
      </c>
      <c r="AX3681" t="s">
        <v>3050</v>
      </c>
      <c r="AY3681" t="s">
        <v>12196</v>
      </c>
      <c r="AZ3681" t="s">
        <v>3835</v>
      </c>
      <c r="BA3681">
        <v>1</v>
      </c>
      <c r="BB3681">
        <v>256.07</v>
      </c>
      <c r="BC3681">
        <v>0.2</v>
      </c>
      <c r="BD3681">
        <v>60.74</v>
      </c>
      <c r="BE3681">
        <v>61.35</v>
      </c>
      <c r="BF3681">
        <v>60.72</v>
      </c>
      <c r="BG3681" t="s">
        <v>30191</v>
      </c>
      <c r="BH3681" t="s">
        <v>17503</v>
      </c>
      <c r="BI3681" t="s">
        <v>30192</v>
      </c>
      <c r="BJ3681" t="s">
        <v>101</v>
      </c>
      <c r="BK3681" t="s">
        <v>2400</v>
      </c>
      <c r="BL3681" t="s">
        <v>4705</v>
      </c>
      <c r="BM3681" t="s">
        <v>3464</v>
      </c>
      <c r="BN3681" t="s">
        <v>27621</v>
      </c>
    </row>
    <row r="3682" spans="1:66" x14ac:dyDescent="0.25">
      <c r="A3682" t="str">
        <f>HYPERLINK("https://elite.finviz.com/quote.ashx?t=FOR&amp;ty=c&amp;p=d&amp;b=1", "FOR")</f>
        <v>FOR</v>
      </c>
      <c r="B3682">
        <v>4</v>
      </c>
      <c r="C3682">
        <v>105.92</v>
      </c>
      <c r="D3682">
        <v>42.03</v>
      </c>
      <c r="E3682" t="s">
        <v>30193</v>
      </c>
      <c r="F3682" t="s">
        <v>67</v>
      </c>
      <c r="G3682" t="s">
        <v>68</v>
      </c>
      <c r="H3682" t="s">
        <v>11109</v>
      </c>
      <c r="I3682" t="s">
        <v>70</v>
      </c>
      <c r="J3682" t="s">
        <v>71</v>
      </c>
      <c r="K3682">
        <v>1314.8</v>
      </c>
      <c r="L3682">
        <v>25.86</v>
      </c>
      <c r="M3682" t="s">
        <v>5058</v>
      </c>
      <c r="N3682">
        <v>9744</v>
      </c>
      <c r="O3682">
        <v>8.1199999999999992</v>
      </c>
      <c r="P3682">
        <v>8.19</v>
      </c>
      <c r="R3682">
        <v>0.85</v>
      </c>
      <c r="S3682">
        <v>0.78</v>
      </c>
      <c r="Z3682" t="s">
        <v>164</v>
      </c>
      <c r="AA3682">
        <v>3.19</v>
      </c>
      <c r="AB3682" t="s">
        <v>4847</v>
      </c>
      <c r="AC3682" t="s">
        <v>11521</v>
      </c>
      <c r="AD3682" t="s">
        <v>1249</v>
      </c>
      <c r="AE3682" t="s">
        <v>342</v>
      </c>
      <c r="AF3682" t="s">
        <v>2472</v>
      </c>
      <c r="AG3682" t="s">
        <v>8244</v>
      </c>
      <c r="AH3682" t="s">
        <v>5160</v>
      </c>
      <c r="AI3682" t="s">
        <v>15541</v>
      </c>
      <c r="AJ3682" t="s">
        <v>2745</v>
      </c>
      <c r="AK3682" t="s">
        <v>2725</v>
      </c>
      <c r="AL3682">
        <v>0.72</v>
      </c>
      <c r="AM3682">
        <v>0.72</v>
      </c>
      <c r="AN3682">
        <v>0.53</v>
      </c>
      <c r="AO3682" t="s">
        <v>4511</v>
      </c>
      <c r="AP3682" t="s">
        <v>8526</v>
      </c>
      <c r="AQ3682" t="s">
        <v>2376</v>
      </c>
      <c r="AR3682" t="s">
        <v>2273</v>
      </c>
      <c r="AS3682" t="s">
        <v>2643</v>
      </c>
      <c r="AT3682" t="s">
        <v>9814</v>
      </c>
      <c r="AU3682" t="s">
        <v>3466</v>
      </c>
      <c r="AV3682" t="s">
        <v>7216</v>
      </c>
      <c r="AW3682" t="s">
        <v>12738</v>
      </c>
      <c r="AX3682" t="s">
        <v>5886</v>
      </c>
      <c r="AY3682" t="s">
        <v>7766</v>
      </c>
      <c r="AZ3682" t="s">
        <v>17834</v>
      </c>
      <c r="BA3682">
        <v>1.5</v>
      </c>
      <c r="BB3682">
        <v>176.62</v>
      </c>
      <c r="BC3682">
        <v>0.19</v>
      </c>
      <c r="BD3682">
        <v>25.51</v>
      </c>
      <c r="BE3682">
        <v>25.81</v>
      </c>
      <c r="BF3682">
        <v>25.55</v>
      </c>
      <c r="BG3682" t="s">
        <v>30194</v>
      </c>
      <c r="BH3682" t="s">
        <v>27355</v>
      </c>
      <c r="BI3682" t="s">
        <v>30195</v>
      </c>
      <c r="BJ3682" t="s">
        <v>101</v>
      </c>
      <c r="BK3682" t="s">
        <v>1873</v>
      </c>
      <c r="BL3682" t="s">
        <v>13570</v>
      </c>
      <c r="BM3682" t="s">
        <v>10680</v>
      </c>
      <c r="BN3682" t="s">
        <v>27621</v>
      </c>
    </row>
    <row r="3683" spans="1:66" x14ac:dyDescent="0.25">
      <c r="A3683" t="str">
        <f>HYPERLINK("https://elite.finviz.com/quote.ashx?t=WSFS&amp;ty=c&amp;p=d&amp;b=1", "WSFS")</f>
        <v>WSFS</v>
      </c>
      <c r="B3683">
        <v>4</v>
      </c>
      <c r="C3683">
        <v>105.92</v>
      </c>
      <c r="D3683">
        <v>42.05</v>
      </c>
      <c r="E3683" t="s">
        <v>30196</v>
      </c>
      <c r="F3683" t="s">
        <v>67</v>
      </c>
      <c r="G3683" t="s">
        <v>550</v>
      </c>
      <c r="H3683" t="s">
        <v>697</v>
      </c>
      <c r="I3683" t="s">
        <v>70</v>
      </c>
      <c r="J3683" t="s">
        <v>321</v>
      </c>
      <c r="K3683">
        <v>3064.31</v>
      </c>
      <c r="L3683">
        <v>54.75</v>
      </c>
      <c r="M3683" t="s">
        <v>2059</v>
      </c>
      <c r="N3683">
        <v>42193</v>
      </c>
      <c r="O3683">
        <v>11.99</v>
      </c>
      <c r="P3683">
        <v>10.55</v>
      </c>
      <c r="Q3683">
        <v>1.08</v>
      </c>
      <c r="R3683">
        <v>2.23</v>
      </c>
      <c r="S3683">
        <v>1.1499999999999999</v>
      </c>
      <c r="T3683" t="s">
        <v>1417</v>
      </c>
      <c r="U3683">
        <v>0.64</v>
      </c>
      <c r="V3683" t="s">
        <v>1762</v>
      </c>
      <c r="W3683" t="s">
        <v>164</v>
      </c>
      <c r="X3683" t="s">
        <v>4697</v>
      </c>
      <c r="Y3683" t="s">
        <v>2732</v>
      </c>
      <c r="Z3683" t="s">
        <v>8916</v>
      </c>
      <c r="AA3683">
        <v>4.57</v>
      </c>
      <c r="AB3683" t="s">
        <v>7954</v>
      </c>
      <c r="AC3683" t="s">
        <v>2446</v>
      </c>
      <c r="AD3683" t="s">
        <v>1935</v>
      </c>
      <c r="AE3683" t="s">
        <v>2641</v>
      </c>
      <c r="AF3683" t="s">
        <v>7105</v>
      </c>
      <c r="AG3683" t="s">
        <v>3058</v>
      </c>
      <c r="AH3683" t="s">
        <v>4893</v>
      </c>
      <c r="AI3683" t="s">
        <v>3923</v>
      </c>
      <c r="AJ3683" t="s">
        <v>164</v>
      </c>
      <c r="AK3683" t="s">
        <v>29675</v>
      </c>
      <c r="AL3683">
        <v>0.1</v>
      </c>
      <c r="AN3683">
        <v>0.16</v>
      </c>
      <c r="AP3683" t="s">
        <v>7199</v>
      </c>
      <c r="AQ3683" t="s">
        <v>8212</v>
      </c>
      <c r="AR3683" t="s">
        <v>1439</v>
      </c>
      <c r="AS3683" t="s">
        <v>4891</v>
      </c>
      <c r="AT3683" t="s">
        <v>5120</v>
      </c>
      <c r="AU3683" t="s">
        <v>7332</v>
      </c>
      <c r="AV3683" t="s">
        <v>5055</v>
      </c>
      <c r="AW3683" t="s">
        <v>10065</v>
      </c>
      <c r="AX3683" t="s">
        <v>4299</v>
      </c>
      <c r="AY3683" t="s">
        <v>998</v>
      </c>
      <c r="AZ3683" t="s">
        <v>11492</v>
      </c>
      <c r="BA3683">
        <v>1.8</v>
      </c>
      <c r="BB3683">
        <v>332.23</v>
      </c>
      <c r="BC3683">
        <v>0.45</v>
      </c>
      <c r="BD3683">
        <v>55.11</v>
      </c>
      <c r="BE3683">
        <v>55.58</v>
      </c>
      <c r="BF3683">
        <v>54.65</v>
      </c>
      <c r="BG3683" t="s">
        <v>30197</v>
      </c>
      <c r="BH3683" t="s">
        <v>998</v>
      </c>
      <c r="BI3683" t="s">
        <v>30198</v>
      </c>
      <c r="BJ3683" t="s">
        <v>101</v>
      </c>
      <c r="BK3683" t="s">
        <v>4809</v>
      </c>
      <c r="BL3683" t="s">
        <v>2495</v>
      </c>
      <c r="BM3683" t="s">
        <v>2250</v>
      </c>
      <c r="BN3683" t="s">
        <v>27621</v>
      </c>
    </row>
    <row r="3684" spans="1:66" x14ac:dyDescent="0.25">
      <c r="A3684" t="str">
        <f>HYPERLINK("https://elite.finviz.com/quote.ashx?t=ACA&amp;ty=c&amp;p=d&amp;b=1", "ACA")</f>
        <v>ACA</v>
      </c>
      <c r="B3684">
        <v>4</v>
      </c>
      <c r="C3684">
        <v>105.92</v>
      </c>
      <c r="D3684">
        <v>42.07</v>
      </c>
      <c r="E3684" t="s">
        <v>30199</v>
      </c>
      <c r="F3684" t="s">
        <v>67</v>
      </c>
      <c r="G3684" t="s">
        <v>260</v>
      </c>
      <c r="H3684" t="s">
        <v>2944</v>
      </c>
      <c r="I3684" t="s">
        <v>70</v>
      </c>
      <c r="J3684" t="s">
        <v>71</v>
      </c>
      <c r="K3684">
        <v>4525.91</v>
      </c>
      <c r="L3684">
        <v>92.28</v>
      </c>
      <c r="M3684" t="s">
        <v>5036</v>
      </c>
      <c r="N3684">
        <v>28775</v>
      </c>
      <c r="O3684">
        <v>49.19</v>
      </c>
      <c r="P3684">
        <v>19.48</v>
      </c>
      <c r="Q3684">
        <v>2.35</v>
      </c>
      <c r="R3684">
        <v>1.69</v>
      </c>
      <c r="S3684">
        <v>1.81</v>
      </c>
      <c r="T3684" t="s">
        <v>430</v>
      </c>
      <c r="U3684">
        <v>0.2</v>
      </c>
      <c r="V3684" t="s">
        <v>7373</v>
      </c>
      <c r="W3684" t="s">
        <v>164</v>
      </c>
      <c r="X3684" t="s">
        <v>164</v>
      </c>
      <c r="Y3684" t="s">
        <v>164</v>
      </c>
      <c r="Z3684" t="s">
        <v>1110</v>
      </c>
      <c r="AA3684">
        <v>1.88</v>
      </c>
      <c r="AB3684" t="s">
        <v>2555</v>
      </c>
      <c r="AC3684" t="s">
        <v>2109</v>
      </c>
      <c r="AD3684" t="s">
        <v>12146</v>
      </c>
      <c r="AE3684" t="s">
        <v>5653</v>
      </c>
      <c r="AF3684" t="s">
        <v>9478</v>
      </c>
      <c r="AG3684" t="s">
        <v>6859</v>
      </c>
      <c r="AH3684" t="s">
        <v>5248</v>
      </c>
      <c r="AI3684" t="s">
        <v>10865</v>
      </c>
      <c r="AJ3684" t="s">
        <v>8293</v>
      </c>
      <c r="AK3684" t="s">
        <v>12685</v>
      </c>
      <c r="AL3684">
        <v>2.12</v>
      </c>
      <c r="AM3684">
        <v>1.35</v>
      </c>
      <c r="AN3684">
        <v>0.7</v>
      </c>
      <c r="AO3684" t="s">
        <v>3073</v>
      </c>
      <c r="AP3684" t="s">
        <v>4728</v>
      </c>
      <c r="AQ3684" t="s">
        <v>5736</v>
      </c>
      <c r="AR3684" t="s">
        <v>6003</v>
      </c>
      <c r="AS3684" t="s">
        <v>8016</v>
      </c>
      <c r="AT3684" t="s">
        <v>11513</v>
      </c>
      <c r="AU3684" t="s">
        <v>3172</v>
      </c>
      <c r="AV3684" t="s">
        <v>4256</v>
      </c>
      <c r="AW3684" t="s">
        <v>3376</v>
      </c>
      <c r="AX3684" t="s">
        <v>2712</v>
      </c>
      <c r="AY3684" t="s">
        <v>23235</v>
      </c>
      <c r="AZ3684" t="s">
        <v>129</v>
      </c>
      <c r="BA3684">
        <v>1.43</v>
      </c>
      <c r="BB3684">
        <v>276.26</v>
      </c>
      <c r="BC3684">
        <v>0.37</v>
      </c>
      <c r="BD3684">
        <v>91.61</v>
      </c>
      <c r="BE3684">
        <v>93.06</v>
      </c>
      <c r="BF3684">
        <v>91.91</v>
      </c>
      <c r="BG3684" t="s">
        <v>30200</v>
      </c>
      <c r="BH3684" t="s">
        <v>23235</v>
      </c>
      <c r="BI3684" t="s">
        <v>30201</v>
      </c>
      <c r="BJ3684" t="s">
        <v>101</v>
      </c>
      <c r="BK3684" t="s">
        <v>4872</v>
      </c>
      <c r="BL3684" t="s">
        <v>2622</v>
      </c>
      <c r="BM3684" t="s">
        <v>6533</v>
      </c>
      <c r="BN3684" t="s">
        <v>27621</v>
      </c>
    </row>
    <row r="3685" spans="1:66" x14ac:dyDescent="0.25">
      <c r="A3685" t="str">
        <f>HYPERLINK("https://elite.finviz.com/quote.ashx?t=SACH&amp;ty=c&amp;p=d&amp;b=1", "SACH")</f>
        <v>SACH</v>
      </c>
      <c r="B3685">
        <v>4</v>
      </c>
      <c r="C3685">
        <v>105.92</v>
      </c>
      <c r="D3685">
        <v>42.07</v>
      </c>
      <c r="E3685" t="s">
        <v>30202</v>
      </c>
      <c r="F3685" t="s">
        <v>107</v>
      </c>
      <c r="G3685" t="s">
        <v>68</v>
      </c>
      <c r="H3685" t="s">
        <v>5566</v>
      </c>
      <c r="I3685" t="s">
        <v>70</v>
      </c>
      <c r="J3685" t="s">
        <v>383</v>
      </c>
      <c r="K3685">
        <v>52.08</v>
      </c>
      <c r="L3685">
        <v>1.1000000000000001</v>
      </c>
      <c r="M3685" t="s">
        <v>3173</v>
      </c>
      <c r="N3685">
        <v>66895</v>
      </c>
      <c r="P3685">
        <v>13.1</v>
      </c>
      <c r="R3685">
        <v>2.02</v>
      </c>
      <c r="S3685">
        <v>0.28999999999999998</v>
      </c>
      <c r="T3685" t="s">
        <v>7321</v>
      </c>
      <c r="U3685">
        <v>0.2</v>
      </c>
      <c r="V3685" t="s">
        <v>3833</v>
      </c>
      <c r="W3685" t="s">
        <v>6395</v>
      </c>
      <c r="X3685" t="s">
        <v>7269</v>
      </c>
      <c r="Y3685" t="s">
        <v>357</v>
      </c>
      <c r="AA3685">
        <v>-0.91</v>
      </c>
      <c r="AE3685" t="s">
        <v>30203</v>
      </c>
      <c r="AF3685" t="s">
        <v>4172</v>
      </c>
      <c r="AG3685" t="s">
        <v>2623</v>
      </c>
      <c r="AH3685" t="s">
        <v>30204</v>
      </c>
      <c r="AI3685" t="s">
        <v>2621</v>
      </c>
      <c r="AJ3685" t="s">
        <v>164</v>
      </c>
      <c r="AK3685" t="s">
        <v>5681</v>
      </c>
      <c r="AL3685">
        <v>2.2200000000000002</v>
      </c>
      <c r="AM3685">
        <v>1.84</v>
      </c>
      <c r="AN3685">
        <v>1.77</v>
      </c>
      <c r="AO3685" t="s">
        <v>30205</v>
      </c>
      <c r="AP3685" t="s">
        <v>23546</v>
      </c>
      <c r="AQ3685" t="s">
        <v>30206</v>
      </c>
      <c r="AR3685" t="s">
        <v>1370</v>
      </c>
      <c r="AS3685" t="s">
        <v>3229</v>
      </c>
      <c r="AT3685" t="s">
        <v>4692</v>
      </c>
      <c r="AU3685" t="s">
        <v>2268</v>
      </c>
      <c r="AV3685" t="s">
        <v>5606</v>
      </c>
      <c r="AW3685" t="s">
        <v>15587</v>
      </c>
      <c r="AX3685" t="s">
        <v>995</v>
      </c>
      <c r="AY3685" t="s">
        <v>30207</v>
      </c>
      <c r="AZ3685" t="s">
        <v>18415</v>
      </c>
      <c r="BA3685">
        <v>2.6</v>
      </c>
      <c r="BB3685">
        <v>209.98</v>
      </c>
      <c r="BC3685">
        <v>1.1200000000000001</v>
      </c>
      <c r="BD3685">
        <v>1.07</v>
      </c>
      <c r="BE3685">
        <v>1.1100000000000001</v>
      </c>
      <c r="BF3685">
        <v>1.07</v>
      </c>
      <c r="BG3685" t="s">
        <v>30208</v>
      </c>
      <c r="BH3685" t="s">
        <v>25887</v>
      </c>
      <c r="BI3685" t="s">
        <v>18415</v>
      </c>
      <c r="BJ3685" t="s">
        <v>101</v>
      </c>
      <c r="BK3685" t="s">
        <v>15764</v>
      </c>
      <c r="BL3685" t="s">
        <v>1576</v>
      </c>
      <c r="BM3685" t="s">
        <v>5276</v>
      </c>
      <c r="BN3685" t="s">
        <v>27621</v>
      </c>
    </row>
    <row r="3686" spans="1:66" x14ac:dyDescent="0.25">
      <c r="A3686" t="str">
        <f>HYPERLINK("https://elite.finviz.com/quote.ashx?t=COOK&amp;ty=c&amp;p=d&amp;b=1", "COOK")</f>
        <v>COOK</v>
      </c>
      <c r="B3686">
        <v>4</v>
      </c>
      <c r="C3686">
        <v>105.92</v>
      </c>
      <c r="D3686">
        <v>42.07</v>
      </c>
      <c r="E3686" t="s">
        <v>30209</v>
      </c>
      <c r="F3686" t="s">
        <v>67</v>
      </c>
      <c r="G3686" t="s">
        <v>813</v>
      </c>
      <c r="H3686" t="s">
        <v>3866</v>
      </c>
      <c r="I3686" t="s">
        <v>70</v>
      </c>
      <c r="J3686" t="s">
        <v>71</v>
      </c>
      <c r="K3686">
        <v>170.54</v>
      </c>
      <c r="L3686">
        <v>1.25</v>
      </c>
      <c r="M3686" t="s">
        <v>2486</v>
      </c>
      <c r="N3686">
        <v>44013</v>
      </c>
      <c r="P3686">
        <v>14.76</v>
      </c>
      <c r="R3686">
        <v>0.28999999999999998</v>
      </c>
      <c r="S3686">
        <v>0.62</v>
      </c>
      <c r="AA3686">
        <v>-0.27</v>
      </c>
      <c r="AB3686" t="s">
        <v>4721</v>
      </c>
      <c r="AC3686" t="s">
        <v>655</v>
      </c>
      <c r="AD3686" t="s">
        <v>10762</v>
      </c>
      <c r="AE3686" t="s">
        <v>132</v>
      </c>
      <c r="AF3686" t="s">
        <v>15366</v>
      </c>
      <c r="AG3686" t="s">
        <v>3326</v>
      </c>
      <c r="AH3686" t="s">
        <v>4863</v>
      </c>
      <c r="AI3686" t="s">
        <v>30210</v>
      </c>
      <c r="AJ3686" t="s">
        <v>2759</v>
      </c>
      <c r="AK3686" t="s">
        <v>10090</v>
      </c>
      <c r="AL3686">
        <v>2.92</v>
      </c>
      <c r="AM3686">
        <v>1.38</v>
      </c>
      <c r="AN3686">
        <v>1.59</v>
      </c>
      <c r="AO3686" t="s">
        <v>4684</v>
      </c>
      <c r="AP3686" t="s">
        <v>4879</v>
      </c>
      <c r="AQ3686" t="s">
        <v>5880</v>
      </c>
      <c r="AR3686" t="s">
        <v>5102</v>
      </c>
      <c r="AS3686" t="s">
        <v>1955</v>
      </c>
      <c r="AT3686" t="s">
        <v>8121</v>
      </c>
      <c r="AU3686" t="s">
        <v>17752</v>
      </c>
      <c r="AV3686" t="s">
        <v>20442</v>
      </c>
      <c r="AW3686" t="s">
        <v>30211</v>
      </c>
      <c r="AX3686" t="s">
        <v>4052</v>
      </c>
      <c r="AY3686" t="s">
        <v>30212</v>
      </c>
      <c r="AZ3686" t="s">
        <v>4052</v>
      </c>
      <c r="BA3686">
        <v>2.75</v>
      </c>
      <c r="BB3686">
        <v>396.78</v>
      </c>
      <c r="BC3686">
        <v>0.39</v>
      </c>
      <c r="BD3686">
        <v>1.26</v>
      </c>
      <c r="BE3686">
        <v>1.27</v>
      </c>
      <c r="BF3686">
        <v>1.25</v>
      </c>
      <c r="BG3686" t="s">
        <v>30213</v>
      </c>
      <c r="BH3686" t="s">
        <v>30214</v>
      </c>
      <c r="BI3686" t="s">
        <v>4052</v>
      </c>
      <c r="BJ3686" t="s">
        <v>101</v>
      </c>
      <c r="BK3686" t="s">
        <v>19811</v>
      </c>
      <c r="BL3686" t="s">
        <v>5360</v>
      </c>
      <c r="BM3686" t="s">
        <v>30215</v>
      </c>
      <c r="BN3686" t="s">
        <v>27621</v>
      </c>
    </row>
    <row r="3687" spans="1:66" x14ac:dyDescent="0.25">
      <c r="A3687" t="str">
        <f>HYPERLINK("https://elite.finviz.com/quote.ashx?t=ROOT&amp;ty=c&amp;p=d&amp;b=1", "ROOT")</f>
        <v>ROOT</v>
      </c>
      <c r="B3687">
        <v>4</v>
      </c>
      <c r="C3687">
        <v>105.92</v>
      </c>
      <c r="D3687">
        <v>42.08</v>
      </c>
      <c r="E3687" t="s">
        <v>30216</v>
      </c>
      <c r="F3687" t="s">
        <v>67</v>
      </c>
      <c r="G3687" t="s">
        <v>550</v>
      </c>
      <c r="H3687" t="s">
        <v>4407</v>
      </c>
      <c r="I3687" t="s">
        <v>70</v>
      </c>
      <c r="J3687" t="s">
        <v>321</v>
      </c>
      <c r="K3687">
        <v>1412.66</v>
      </c>
      <c r="L3687">
        <v>91.45</v>
      </c>
      <c r="M3687" t="s">
        <v>1083</v>
      </c>
      <c r="N3687">
        <v>87607</v>
      </c>
      <c r="O3687">
        <v>19.239999999999998</v>
      </c>
      <c r="P3687">
        <v>40.64</v>
      </c>
      <c r="Q3687">
        <v>0.75</v>
      </c>
      <c r="R3687">
        <v>1.04</v>
      </c>
      <c r="S3687">
        <v>5.76</v>
      </c>
      <c r="Z3687" t="s">
        <v>164</v>
      </c>
      <c r="AA3687">
        <v>4.75</v>
      </c>
      <c r="AD3687" t="s">
        <v>8280</v>
      </c>
      <c r="AE3687" t="s">
        <v>1747</v>
      </c>
      <c r="AF3687" t="s">
        <v>17522</v>
      </c>
      <c r="AG3687" t="s">
        <v>7631</v>
      </c>
      <c r="AH3687" t="s">
        <v>3839</v>
      </c>
      <c r="AI3687" t="s">
        <v>30217</v>
      </c>
      <c r="AJ3687" t="s">
        <v>11313</v>
      </c>
      <c r="AK3687" t="s">
        <v>30218</v>
      </c>
      <c r="AL3687">
        <v>3.2</v>
      </c>
      <c r="AN3687">
        <v>0.55000000000000004</v>
      </c>
      <c r="AP3687" t="s">
        <v>11728</v>
      </c>
      <c r="AQ3687" t="s">
        <v>755</v>
      </c>
      <c r="AR3687" t="s">
        <v>215</v>
      </c>
      <c r="AS3687" t="s">
        <v>5100</v>
      </c>
      <c r="AT3687" t="s">
        <v>93</v>
      </c>
      <c r="AU3687" t="s">
        <v>1245</v>
      </c>
      <c r="AV3687" t="s">
        <v>27018</v>
      </c>
      <c r="AW3687" t="s">
        <v>28090</v>
      </c>
      <c r="AX3687" t="s">
        <v>2559</v>
      </c>
      <c r="AY3687" t="s">
        <v>22618</v>
      </c>
      <c r="AZ3687" t="s">
        <v>30219</v>
      </c>
      <c r="BA3687">
        <v>2.33</v>
      </c>
      <c r="BB3687">
        <v>527.47</v>
      </c>
      <c r="BC3687">
        <v>0.59</v>
      </c>
      <c r="BD3687">
        <v>91.27</v>
      </c>
      <c r="BE3687">
        <v>91.75</v>
      </c>
      <c r="BF3687">
        <v>90.02</v>
      </c>
      <c r="BG3687" t="s">
        <v>30220</v>
      </c>
      <c r="BH3687" t="s">
        <v>30221</v>
      </c>
      <c r="BI3687" t="s">
        <v>30222</v>
      </c>
      <c r="BJ3687" t="s">
        <v>101</v>
      </c>
      <c r="BK3687" t="s">
        <v>20979</v>
      </c>
      <c r="BL3687" t="s">
        <v>30223</v>
      </c>
      <c r="BM3687" t="s">
        <v>29348</v>
      </c>
      <c r="BN3687" t="s">
        <v>27621</v>
      </c>
    </row>
    <row r="3688" spans="1:66" x14ac:dyDescent="0.25">
      <c r="A3688" t="str">
        <f>HYPERLINK("https://elite.finviz.com/quote.ashx?t=NNBR&amp;ty=c&amp;p=d&amp;b=1", "NNBR")</f>
        <v>NNBR</v>
      </c>
      <c r="B3688">
        <v>4</v>
      </c>
      <c r="C3688">
        <v>105.92</v>
      </c>
      <c r="D3688">
        <v>42.09</v>
      </c>
      <c r="E3688" t="s">
        <v>30224</v>
      </c>
      <c r="F3688" t="s">
        <v>107</v>
      </c>
      <c r="G3688" t="s">
        <v>260</v>
      </c>
      <c r="H3688" t="s">
        <v>2508</v>
      </c>
      <c r="I3688" t="s">
        <v>70</v>
      </c>
      <c r="J3688" t="s">
        <v>321</v>
      </c>
      <c r="K3688">
        <v>110.2</v>
      </c>
      <c r="L3688">
        <v>2.19</v>
      </c>
      <c r="M3688" t="s">
        <v>3336</v>
      </c>
      <c r="N3688">
        <v>6978</v>
      </c>
      <c r="P3688">
        <v>19.920000000000002</v>
      </c>
      <c r="R3688">
        <v>0.25</v>
      </c>
      <c r="S3688">
        <v>1.85</v>
      </c>
      <c r="V3688" t="s">
        <v>30225</v>
      </c>
      <c r="AA3688">
        <v>-1.1299999999999999</v>
      </c>
      <c r="AB3688" t="s">
        <v>7746</v>
      </c>
      <c r="AC3688" t="s">
        <v>3446</v>
      </c>
      <c r="AE3688" t="s">
        <v>8115</v>
      </c>
      <c r="AF3688" t="s">
        <v>5721</v>
      </c>
      <c r="AG3688" t="s">
        <v>2276</v>
      </c>
      <c r="AH3688" t="s">
        <v>15141</v>
      </c>
      <c r="AI3688" t="s">
        <v>30226</v>
      </c>
      <c r="AJ3688" t="s">
        <v>909</v>
      </c>
      <c r="AK3688" t="s">
        <v>19120</v>
      </c>
      <c r="AL3688">
        <v>1.93</v>
      </c>
      <c r="AM3688">
        <v>1.22</v>
      </c>
      <c r="AN3688">
        <v>1.31</v>
      </c>
      <c r="AO3688" t="s">
        <v>585</v>
      </c>
      <c r="AP3688" t="s">
        <v>10713</v>
      </c>
      <c r="AQ3688" t="s">
        <v>6700</v>
      </c>
      <c r="AR3688" t="s">
        <v>3948</v>
      </c>
      <c r="AS3688" t="s">
        <v>2123</v>
      </c>
      <c r="AT3688" t="s">
        <v>6538</v>
      </c>
      <c r="AU3688" t="s">
        <v>4927</v>
      </c>
      <c r="AV3688" t="s">
        <v>2536</v>
      </c>
      <c r="AW3688" t="s">
        <v>23520</v>
      </c>
      <c r="AX3688" t="s">
        <v>15044</v>
      </c>
      <c r="AY3688" t="s">
        <v>30227</v>
      </c>
      <c r="AZ3688" t="s">
        <v>2238</v>
      </c>
      <c r="BA3688">
        <v>1</v>
      </c>
      <c r="BB3688">
        <v>204.26</v>
      </c>
      <c r="BC3688">
        <v>0.12</v>
      </c>
      <c r="BD3688">
        <v>2.1800000000000002</v>
      </c>
      <c r="BE3688">
        <v>2.2000000000000002</v>
      </c>
      <c r="BF3688">
        <v>2.19</v>
      </c>
      <c r="BG3688" t="s">
        <v>30228</v>
      </c>
      <c r="BH3688" t="s">
        <v>30229</v>
      </c>
      <c r="BI3688" t="s">
        <v>30230</v>
      </c>
      <c r="BJ3688" t="s">
        <v>101</v>
      </c>
      <c r="BK3688" t="s">
        <v>10577</v>
      </c>
      <c r="BL3688" t="s">
        <v>8184</v>
      </c>
      <c r="BM3688" t="s">
        <v>9181</v>
      </c>
      <c r="BN3688" t="s">
        <v>27621</v>
      </c>
    </row>
    <row r="3689" spans="1:66" x14ac:dyDescent="0.25">
      <c r="A3689" t="str">
        <f>HYPERLINK("https://elite.finviz.com/quote.ashx?t=BRTX&amp;ty=c&amp;p=d&amp;b=1", "BRTX")</f>
        <v>BRTX</v>
      </c>
      <c r="B3689">
        <v>4</v>
      </c>
      <c r="C3689">
        <v>105.92</v>
      </c>
      <c r="D3689">
        <v>42.13</v>
      </c>
      <c r="E3689" t="s">
        <v>30231</v>
      </c>
      <c r="F3689" t="s">
        <v>107</v>
      </c>
      <c r="G3689" t="s">
        <v>428</v>
      </c>
      <c r="H3689" t="s">
        <v>429</v>
      </c>
      <c r="I3689" t="s">
        <v>70</v>
      </c>
      <c r="J3689" t="s">
        <v>321</v>
      </c>
      <c r="K3689">
        <v>11.65</v>
      </c>
      <c r="L3689">
        <v>1.46</v>
      </c>
      <c r="M3689" t="s">
        <v>8179</v>
      </c>
      <c r="N3689">
        <v>17271</v>
      </c>
      <c r="R3689">
        <v>19.100000000000001</v>
      </c>
      <c r="S3689">
        <v>2.41</v>
      </c>
      <c r="AA3689">
        <v>-1.31</v>
      </c>
      <c r="AB3689" t="s">
        <v>10869</v>
      </c>
      <c r="AC3689" t="s">
        <v>30232</v>
      </c>
      <c r="AE3689" t="s">
        <v>30233</v>
      </c>
      <c r="AF3689" t="s">
        <v>12731</v>
      </c>
      <c r="AG3689" t="s">
        <v>553</v>
      </c>
      <c r="AH3689" t="s">
        <v>30234</v>
      </c>
      <c r="AI3689" t="s">
        <v>15593</v>
      </c>
      <c r="AJ3689" t="s">
        <v>164</v>
      </c>
      <c r="AK3689" t="s">
        <v>147</v>
      </c>
      <c r="AL3689">
        <v>2.06</v>
      </c>
      <c r="AM3689">
        <v>2.06</v>
      </c>
      <c r="AN3689">
        <v>0</v>
      </c>
      <c r="AO3689" t="s">
        <v>2557</v>
      </c>
      <c r="AP3689" t="s">
        <v>30235</v>
      </c>
      <c r="AQ3689" t="s">
        <v>30236</v>
      </c>
      <c r="AR3689" t="s">
        <v>2842</v>
      </c>
      <c r="AS3689" t="s">
        <v>892</v>
      </c>
      <c r="AT3689" t="s">
        <v>1200</v>
      </c>
      <c r="AU3689" t="s">
        <v>6469</v>
      </c>
      <c r="AV3689" t="s">
        <v>27485</v>
      </c>
      <c r="AW3689" t="s">
        <v>8914</v>
      </c>
      <c r="AX3689" t="s">
        <v>3036</v>
      </c>
      <c r="AY3689" t="s">
        <v>30237</v>
      </c>
      <c r="AZ3689" t="s">
        <v>14815</v>
      </c>
      <c r="BA3689">
        <v>1</v>
      </c>
      <c r="BB3689">
        <v>78.150000000000006</v>
      </c>
      <c r="BC3689">
        <v>0.79</v>
      </c>
      <c r="BD3689">
        <v>1.45</v>
      </c>
      <c r="BE3689">
        <v>1.48</v>
      </c>
      <c r="BF3689">
        <v>1.43</v>
      </c>
      <c r="BG3689" t="s">
        <v>30238</v>
      </c>
      <c r="BH3689" t="s">
        <v>579</v>
      </c>
      <c r="BI3689" t="s">
        <v>30239</v>
      </c>
      <c r="BJ3689" t="s">
        <v>101</v>
      </c>
      <c r="BK3689" t="s">
        <v>967</v>
      </c>
      <c r="BL3689" t="s">
        <v>7430</v>
      </c>
      <c r="BM3689" t="s">
        <v>8741</v>
      </c>
      <c r="BN3689" t="s">
        <v>27621</v>
      </c>
    </row>
    <row r="3690" spans="1:66" x14ac:dyDescent="0.25">
      <c r="A3690" t="str">
        <f>HYPERLINK("https://elite.finviz.com/quote.ashx?t=XHLD&amp;ty=c&amp;p=d&amp;b=1", "XHLD")</f>
        <v>XHLD</v>
      </c>
      <c r="B3690">
        <v>4</v>
      </c>
      <c r="C3690">
        <v>105.92</v>
      </c>
      <c r="D3690">
        <v>42.13</v>
      </c>
      <c r="E3690" t="s">
        <v>30240</v>
      </c>
      <c r="F3690" t="s">
        <v>107</v>
      </c>
      <c r="G3690" t="s">
        <v>598</v>
      </c>
      <c r="H3690" t="s">
        <v>4546</v>
      </c>
      <c r="I3690" t="s">
        <v>70</v>
      </c>
      <c r="J3690" t="s">
        <v>321</v>
      </c>
      <c r="K3690">
        <v>10.71</v>
      </c>
      <c r="L3690">
        <v>0.3</v>
      </c>
      <c r="M3690" t="s">
        <v>16782</v>
      </c>
      <c r="N3690">
        <v>234129</v>
      </c>
      <c r="P3690">
        <v>2.77</v>
      </c>
      <c r="S3690">
        <v>2</v>
      </c>
      <c r="AB3690" t="s">
        <v>26818</v>
      </c>
      <c r="AF3690" t="s">
        <v>3473</v>
      </c>
      <c r="AH3690" t="s">
        <v>8542</v>
      </c>
      <c r="AJ3690" t="s">
        <v>164</v>
      </c>
      <c r="AK3690" t="s">
        <v>4266</v>
      </c>
      <c r="AL3690">
        <v>0.63</v>
      </c>
      <c r="AM3690">
        <v>0.63</v>
      </c>
      <c r="AN3690">
        <v>0.79</v>
      </c>
      <c r="AR3690" t="s">
        <v>2196</v>
      </c>
      <c r="AS3690" t="s">
        <v>2796</v>
      </c>
      <c r="AT3690" t="s">
        <v>5355</v>
      </c>
      <c r="AU3690" t="s">
        <v>15849</v>
      </c>
      <c r="AV3690" t="s">
        <v>30241</v>
      </c>
      <c r="AW3690" t="s">
        <v>10600</v>
      </c>
      <c r="AX3690" t="s">
        <v>723</v>
      </c>
      <c r="AY3690" t="s">
        <v>11714</v>
      </c>
      <c r="AZ3690" t="s">
        <v>723</v>
      </c>
      <c r="BA3690">
        <v>1</v>
      </c>
      <c r="BB3690">
        <v>574.63</v>
      </c>
      <c r="BC3690">
        <v>1.44</v>
      </c>
      <c r="BD3690">
        <v>0.31</v>
      </c>
      <c r="BE3690">
        <v>0.31</v>
      </c>
      <c r="BF3690">
        <v>0.3</v>
      </c>
      <c r="BG3690" t="s">
        <v>30242</v>
      </c>
      <c r="BH3690" t="s">
        <v>11714</v>
      </c>
      <c r="BI3690" t="s">
        <v>723</v>
      </c>
      <c r="BJ3690" t="s">
        <v>101</v>
      </c>
      <c r="BK3690" t="s">
        <v>2013</v>
      </c>
      <c r="BL3690" t="s">
        <v>30243</v>
      </c>
      <c r="BN3690" t="s">
        <v>27621</v>
      </c>
    </row>
    <row r="3691" spans="1:66" x14ac:dyDescent="0.25">
      <c r="A3691" t="str">
        <f>HYPERLINK("https://elite.finviz.com/quote.ashx?t=REGN&amp;ty=c&amp;p=d&amp;b=1", "REGN")</f>
        <v>REGN</v>
      </c>
      <c r="B3691">
        <v>4</v>
      </c>
      <c r="C3691">
        <v>105.92</v>
      </c>
      <c r="D3691">
        <v>42.18</v>
      </c>
      <c r="E3691" t="s">
        <v>30244</v>
      </c>
      <c r="F3691" t="s">
        <v>319</v>
      </c>
      <c r="G3691" t="s">
        <v>428</v>
      </c>
      <c r="H3691" t="s">
        <v>429</v>
      </c>
      <c r="I3691" t="s">
        <v>70</v>
      </c>
      <c r="J3691" t="s">
        <v>321</v>
      </c>
      <c r="K3691">
        <v>58501.36</v>
      </c>
      <c r="L3691">
        <v>551.97</v>
      </c>
      <c r="M3691" t="s">
        <v>4963</v>
      </c>
      <c r="N3691">
        <v>178544</v>
      </c>
      <c r="O3691">
        <v>13.91</v>
      </c>
      <c r="P3691">
        <v>13.73</v>
      </c>
      <c r="Q3691">
        <v>10.7</v>
      </c>
      <c r="R3691">
        <v>4.12</v>
      </c>
      <c r="S3691">
        <v>1.96</v>
      </c>
      <c r="T3691" t="s">
        <v>4901</v>
      </c>
      <c r="U3691">
        <v>2.64</v>
      </c>
      <c r="V3691" t="s">
        <v>1440</v>
      </c>
      <c r="Z3691" t="s">
        <v>164</v>
      </c>
      <c r="AA3691">
        <v>39.69</v>
      </c>
      <c r="AB3691" t="s">
        <v>14832</v>
      </c>
      <c r="AC3691" t="s">
        <v>14195</v>
      </c>
      <c r="AD3691" t="s">
        <v>2509</v>
      </c>
      <c r="AE3691" t="s">
        <v>2580</v>
      </c>
      <c r="AF3691" t="s">
        <v>5273</v>
      </c>
      <c r="AG3691" t="s">
        <v>928</v>
      </c>
      <c r="AH3691" t="s">
        <v>3325</v>
      </c>
      <c r="AI3691" t="s">
        <v>30245</v>
      </c>
      <c r="AJ3691" t="s">
        <v>164</v>
      </c>
      <c r="AK3691" t="s">
        <v>1799</v>
      </c>
      <c r="AL3691">
        <v>4.5999999999999996</v>
      </c>
      <c r="AM3691">
        <v>3.72</v>
      </c>
      <c r="AN3691">
        <v>0.09</v>
      </c>
      <c r="AO3691" t="s">
        <v>736</v>
      </c>
      <c r="AP3691" t="s">
        <v>12178</v>
      </c>
      <c r="AQ3691" t="s">
        <v>3643</v>
      </c>
      <c r="AR3691" t="s">
        <v>307</v>
      </c>
      <c r="AS3691" t="s">
        <v>2619</v>
      </c>
      <c r="AT3691" t="s">
        <v>1779</v>
      </c>
      <c r="AU3691" t="s">
        <v>6105</v>
      </c>
      <c r="AV3691" t="s">
        <v>7054</v>
      </c>
      <c r="AW3691" t="s">
        <v>9710</v>
      </c>
      <c r="AX3691" t="s">
        <v>3832</v>
      </c>
      <c r="AY3691" t="s">
        <v>23474</v>
      </c>
      <c r="AZ3691" t="s">
        <v>2133</v>
      </c>
      <c r="BA3691">
        <v>1.61</v>
      </c>
      <c r="BB3691">
        <v>997.93</v>
      </c>
      <c r="BC3691">
        <v>0.63</v>
      </c>
      <c r="BD3691">
        <v>555.51</v>
      </c>
      <c r="BE3691">
        <v>562</v>
      </c>
      <c r="BF3691">
        <v>551.96</v>
      </c>
      <c r="BG3691" t="s">
        <v>30246</v>
      </c>
      <c r="BH3691" t="s">
        <v>25980</v>
      </c>
      <c r="BI3691" t="s">
        <v>30247</v>
      </c>
      <c r="BJ3691" t="s">
        <v>101</v>
      </c>
      <c r="BK3691" t="s">
        <v>755</v>
      </c>
      <c r="BL3691" t="s">
        <v>12167</v>
      </c>
      <c r="BM3691" t="s">
        <v>30248</v>
      </c>
      <c r="BN3691" t="s">
        <v>27621</v>
      </c>
    </row>
    <row r="3692" spans="1:66" x14ac:dyDescent="0.25">
      <c r="A3692" t="str">
        <f>HYPERLINK("https://elite.finviz.com/quote.ashx?t=FHTX&amp;ty=c&amp;p=d&amp;b=1", "FHTX")</f>
        <v>FHTX</v>
      </c>
      <c r="B3692">
        <v>4</v>
      </c>
      <c r="C3692">
        <v>105.92</v>
      </c>
      <c r="D3692">
        <v>42.19</v>
      </c>
      <c r="E3692" t="s">
        <v>30249</v>
      </c>
      <c r="F3692" t="s">
        <v>67</v>
      </c>
      <c r="G3692" t="s">
        <v>428</v>
      </c>
      <c r="H3692" t="s">
        <v>429</v>
      </c>
      <c r="I3692" t="s">
        <v>70</v>
      </c>
      <c r="J3692" t="s">
        <v>321</v>
      </c>
      <c r="K3692">
        <v>269.18</v>
      </c>
      <c r="L3692">
        <v>4.76</v>
      </c>
      <c r="M3692" t="s">
        <v>6056</v>
      </c>
      <c r="N3692">
        <v>20833</v>
      </c>
      <c r="R3692">
        <v>11.14</v>
      </c>
      <c r="AA3692">
        <v>-1.24</v>
      </c>
      <c r="AB3692" t="s">
        <v>685</v>
      </c>
      <c r="AC3692" t="s">
        <v>3031</v>
      </c>
      <c r="AD3692" t="s">
        <v>945</v>
      </c>
      <c r="AE3692" t="s">
        <v>7536</v>
      </c>
      <c r="AF3692" t="s">
        <v>30250</v>
      </c>
      <c r="AH3692" t="s">
        <v>2499</v>
      </c>
      <c r="AI3692" t="s">
        <v>5681</v>
      </c>
      <c r="AJ3692" t="s">
        <v>164</v>
      </c>
      <c r="AK3692" t="s">
        <v>3287</v>
      </c>
      <c r="AL3692">
        <v>2.62</v>
      </c>
      <c r="AM3692">
        <v>2.62</v>
      </c>
      <c r="AO3692" t="s">
        <v>25195</v>
      </c>
      <c r="AP3692" t="s">
        <v>30251</v>
      </c>
      <c r="AQ3692" t="s">
        <v>30252</v>
      </c>
      <c r="AR3692" t="s">
        <v>229</v>
      </c>
      <c r="AS3692" t="s">
        <v>8960</v>
      </c>
      <c r="AT3692" t="s">
        <v>5573</v>
      </c>
      <c r="AU3692" t="s">
        <v>10769</v>
      </c>
      <c r="AV3692" t="s">
        <v>6842</v>
      </c>
      <c r="AW3692" t="s">
        <v>17502</v>
      </c>
      <c r="AX3692" t="s">
        <v>7542</v>
      </c>
      <c r="AY3692" t="s">
        <v>30253</v>
      </c>
      <c r="AZ3692" t="s">
        <v>22664</v>
      </c>
      <c r="BA3692">
        <v>1</v>
      </c>
      <c r="BB3692">
        <v>118.15</v>
      </c>
      <c r="BC3692">
        <v>0.62</v>
      </c>
      <c r="BD3692">
        <v>4.6900000000000004</v>
      </c>
      <c r="BE3692">
        <v>4.97</v>
      </c>
      <c r="BF3692">
        <v>4.6500000000000004</v>
      </c>
      <c r="BG3692" t="s">
        <v>30254</v>
      </c>
      <c r="BH3692" t="s">
        <v>14225</v>
      </c>
      <c r="BI3692" t="s">
        <v>12878</v>
      </c>
      <c r="BJ3692" t="s">
        <v>101</v>
      </c>
      <c r="BK3692" t="s">
        <v>3172</v>
      </c>
      <c r="BL3692" t="s">
        <v>10109</v>
      </c>
      <c r="BM3692" t="s">
        <v>17252</v>
      </c>
      <c r="BN3692" t="s">
        <v>27621</v>
      </c>
    </row>
    <row r="3693" spans="1:66" x14ac:dyDescent="0.25">
      <c r="A3693" t="str">
        <f>HYPERLINK("https://elite.finviz.com/quote.ashx?t=CREX&amp;ty=c&amp;p=d&amp;b=1", "CREX")</f>
        <v>CREX</v>
      </c>
      <c r="B3693">
        <v>4</v>
      </c>
      <c r="C3693">
        <v>105.92</v>
      </c>
      <c r="D3693">
        <v>42.2</v>
      </c>
      <c r="E3693" t="s">
        <v>30255</v>
      </c>
      <c r="F3693" t="s">
        <v>107</v>
      </c>
      <c r="G3693" t="s">
        <v>108</v>
      </c>
      <c r="H3693" t="s">
        <v>136</v>
      </c>
      <c r="I3693" t="s">
        <v>70</v>
      </c>
      <c r="J3693" t="s">
        <v>321</v>
      </c>
      <c r="K3693">
        <v>24.09</v>
      </c>
      <c r="L3693">
        <v>2.29</v>
      </c>
      <c r="M3693" t="s">
        <v>2899</v>
      </c>
      <c r="N3693">
        <v>806</v>
      </c>
      <c r="P3693">
        <v>22.34</v>
      </c>
      <c r="R3693">
        <v>0.5</v>
      </c>
      <c r="S3693">
        <v>0.82</v>
      </c>
      <c r="AA3693">
        <v>-0.12</v>
      </c>
      <c r="AE3693" t="s">
        <v>703</v>
      </c>
      <c r="AF3693" t="s">
        <v>15103</v>
      </c>
      <c r="AG3693" t="s">
        <v>6344</v>
      </c>
      <c r="AH3693" t="s">
        <v>2059</v>
      </c>
      <c r="AI3693" t="s">
        <v>30256</v>
      </c>
      <c r="AJ3693" t="s">
        <v>149</v>
      </c>
      <c r="AK3693" t="s">
        <v>4961</v>
      </c>
      <c r="AL3693">
        <v>1.01</v>
      </c>
      <c r="AM3693">
        <v>0.93</v>
      </c>
      <c r="AN3693">
        <v>0.75</v>
      </c>
      <c r="AO3693" t="s">
        <v>2657</v>
      </c>
      <c r="AP3693" t="s">
        <v>11661</v>
      </c>
      <c r="AQ3693" t="s">
        <v>4531</v>
      </c>
      <c r="AR3693" t="s">
        <v>437</v>
      </c>
      <c r="AS3693" t="s">
        <v>229</v>
      </c>
      <c r="AT3693" t="s">
        <v>13522</v>
      </c>
      <c r="AU3693" t="s">
        <v>13088</v>
      </c>
      <c r="AV3693" t="s">
        <v>6195</v>
      </c>
      <c r="AW3693" t="s">
        <v>21494</v>
      </c>
      <c r="AX3693" t="s">
        <v>372</v>
      </c>
      <c r="AY3693" t="s">
        <v>26175</v>
      </c>
      <c r="AZ3693" t="s">
        <v>8661</v>
      </c>
      <c r="BA3693">
        <v>1</v>
      </c>
      <c r="BB3693">
        <v>61.83</v>
      </c>
      <c r="BC3693">
        <v>0.05</v>
      </c>
      <c r="BD3693">
        <v>2.31</v>
      </c>
      <c r="BE3693">
        <v>2.31</v>
      </c>
      <c r="BF3693">
        <v>2.29</v>
      </c>
      <c r="BG3693" t="s">
        <v>30257</v>
      </c>
      <c r="BH3693" t="s">
        <v>14593</v>
      </c>
      <c r="BI3693" t="s">
        <v>10836</v>
      </c>
      <c r="BJ3693" t="s">
        <v>101</v>
      </c>
      <c r="BK3693" t="s">
        <v>21494</v>
      </c>
      <c r="BL3693" t="s">
        <v>512</v>
      </c>
      <c r="BM3693" t="s">
        <v>21173</v>
      </c>
      <c r="BN3693" t="s">
        <v>27621</v>
      </c>
    </row>
    <row r="3694" spans="1:66" x14ac:dyDescent="0.25">
      <c r="A3694" t="str">
        <f>HYPERLINK("https://elite.finviz.com/quote.ashx?t=WTM&amp;ty=c&amp;p=d&amp;b=1", "WTM")</f>
        <v>WTM</v>
      </c>
      <c r="B3694">
        <v>4</v>
      </c>
      <c r="C3694">
        <v>105.92</v>
      </c>
      <c r="D3694">
        <v>42.21</v>
      </c>
      <c r="E3694" t="s">
        <v>30258</v>
      </c>
      <c r="F3694" t="s">
        <v>107</v>
      </c>
      <c r="G3694" t="s">
        <v>550</v>
      </c>
      <c r="H3694" t="s">
        <v>4407</v>
      </c>
      <c r="I3694" t="s">
        <v>70</v>
      </c>
      <c r="J3694" t="s">
        <v>71</v>
      </c>
      <c r="K3694">
        <v>4432.62</v>
      </c>
      <c r="L3694">
        <v>1721.3</v>
      </c>
      <c r="M3694" t="s">
        <v>4493</v>
      </c>
      <c r="N3694">
        <v>12677</v>
      </c>
      <c r="O3694">
        <v>21.39</v>
      </c>
      <c r="P3694">
        <v>14.97</v>
      </c>
      <c r="Q3694">
        <v>1.63</v>
      </c>
      <c r="R3694">
        <v>1.8</v>
      </c>
      <c r="S3694">
        <v>0.95</v>
      </c>
      <c r="T3694" t="s">
        <v>4507</v>
      </c>
      <c r="U3694">
        <v>1</v>
      </c>
      <c r="V3694" t="s">
        <v>30259</v>
      </c>
      <c r="W3694" t="s">
        <v>164</v>
      </c>
      <c r="X3694" t="s">
        <v>164</v>
      </c>
      <c r="Y3694" t="s">
        <v>164</v>
      </c>
      <c r="Z3694" t="s">
        <v>3018</v>
      </c>
      <c r="AA3694">
        <v>80.489999999999995</v>
      </c>
      <c r="AC3694" t="s">
        <v>1153</v>
      </c>
      <c r="AD3694" t="s">
        <v>6598</v>
      </c>
      <c r="AE3694" t="s">
        <v>9636</v>
      </c>
      <c r="AF3694" t="s">
        <v>21286</v>
      </c>
      <c r="AG3694" t="s">
        <v>9140</v>
      </c>
      <c r="AH3694" t="s">
        <v>4889</v>
      </c>
      <c r="AI3694" t="s">
        <v>1530</v>
      </c>
      <c r="AJ3694" t="s">
        <v>164</v>
      </c>
      <c r="AK3694" t="s">
        <v>16349</v>
      </c>
      <c r="AL3694">
        <v>1.46</v>
      </c>
      <c r="AN3694">
        <v>0.15</v>
      </c>
      <c r="AP3694" t="s">
        <v>10165</v>
      </c>
      <c r="AQ3694" t="s">
        <v>2848</v>
      </c>
      <c r="AR3694" t="s">
        <v>2307</v>
      </c>
      <c r="AS3694" t="s">
        <v>909</v>
      </c>
      <c r="AT3694" t="s">
        <v>12781</v>
      </c>
      <c r="AU3694" t="s">
        <v>331</v>
      </c>
      <c r="AV3694" t="s">
        <v>4234</v>
      </c>
      <c r="AW3694" t="s">
        <v>6303</v>
      </c>
      <c r="AX3694" t="s">
        <v>1439</v>
      </c>
      <c r="AY3694" t="s">
        <v>7704</v>
      </c>
      <c r="AZ3694" t="s">
        <v>1776</v>
      </c>
      <c r="BB3694">
        <v>28.86</v>
      </c>
      <c r="BC3694">
        <v>1.55</v>
      </c>
      <c r="BD3694">
        <v>1689.22</v>
      </c>
      <c r="BE3694">
        <v>1719.89</v>
      </c>
      <c r="BF3694">
        <v>1709.69</v>
      </c>
      <c r="BG3694" t="s">
        <v>30260</v>
      </c>
      <c r="BH3694" t="s">
        <v>7704</v>
      </c>
      <c r="BI3694" t="s">
        <v>30261</v>
      </c>
      <c r="BJ3694" t="s">
        <v>101</v>
      </c>
      <c r="BK3694" t="s">
        <v>3905</v>
      </c>
      <c r="BL3694" t="s">
        <v>7861</v>
      </c>
      <c r="BM3694" t="s">
        <v>7464</v>
      </c>
      <c r="BN3694" t="s">
        <v>27621</v>
      </c>
    </row>
    <row r="3695" spans="1:66" x14ac:dyDescent="0.25">
      <c r="A3695" t="str">
        <f>HYPERLINK("https://elite.finviz.com/quote.ashx?t=GYRE&amp;ty=c&amp;p=d&amp;b=1", "GYRE")</f>
        <v>GYRE</v>
      </c>
      <c r="B3695">
        <v>4</v>
      </c>
      <c r="C3695">
        <v>105.92</v>
      </c>
      <c r="D3695">
        <v>42.22</v>
      </c>
      <c r="E3695" t="s">
        <v>30262</v>
      </c>
      <c r="F3695" t="s">
        <v>67</v>
      </c>
      <c r="G3695" t="s">
        <v>428</v>
      </c>
      <c r="H3695" t="s">
        <v>429</v>
      </c>
      <c r="I3695" t="s">
        <v>70</v>
      </c>
      <c r="J3695" t="s">
        <v>321</v>
      </c>
      <c r="K3695">
        <v>651.67999999999995</v>
      </c>
      <c r="L3695">
        <v>7.18</v>
      </c>
      <c r="M3695" t="s">
        <v>6265</v>
      </c>
      <c r="N3695">
        <v>11498</v>
      </c>
      <c r="O3695">
        <v>440.18</v>
      </c>
      <c r="P3695">
        <v>26.09</v>
      </c>
      <c r="R3695">
        <v>6.38</v>
      </c>
      <c r="S3695">
        <v>7.08</v>
      </c>
      <c r="V3695" t="s">
        <v>30263</v>
      </c>
      <c r="Z3695" t="s">
        <v>164</v>
      </c>
      <c r="AA3695">
        <v>0.02</v>
      </c>
      <c r="AF3695" t="s">
        <v>18443</v>
      </c>
      <c r="AH3695" t="s">
        <v>283</v>
      </c>
      <c r="AI3695" t="s">
        <v>579</v>
      </c>
      <c r="AJ3695" t="s">
        <v>7709</v>
      </c>
      <c r="AK3695" t="s">
        <v>1100</v>
      </c>
      <c r="AL3695">
        <v>5.4</v>
      </c>
      <c r="AM3695">
        <v>4.87</v>
      </c>
      <c r="AN3695">
        <v>0.02</v>
      </c>
      <c r="AO3695" t="s">
        <v>3221</v>
      </c>
      <c r="AP3695" t="s">
        <v>1078</v>
      </c>
      <c r="AQ3695" t="s">
        <v>1751</v>
      </c>
      <c r="AR3695" t="s">
        <v>4052</v>
      </c>
      <c r="AS3695" t="s">
        <v>1576</v>
      </c>
      <c r="AT3695" t="s">
        <v>703</v>
      </c>
      <c r="AU3695" t="s">
        <v>15684</v>
      </c>
      <c r="AV3695" t="s">
        <v>1335</v>
      </c>
      <c r="AW3695" t="s">
        <v>4894</v>
      </c>
      <c r="AX3695" t="s">
        <v>582</v>
      </c>
      <c r="AY3695" t="s">
        <v>30264</v>
      </c>
      <c r="AZ3695" t="s">
        <v>3390</v>
      </c>
      <c r="BA3695">
        <v>1</v>
      </c>
      <c r="BB3695">
        <v>114.03</v>
      </c>
      <c r="BC3695">
        <v>0.36</v>
      </c>
      <c r="BD3695">
        <v>7.29</v>
      </c>
      <c r="BE3695">
        <v>7.46</v>
      </c>
      <c r="BF3695">
        <v>7.18</v>
      </c>
      <c r="BG3695" t="s">
        <v>30265</v>
      </c>
      <c r="BH3695" t="s">
        <v>16966</v>
      </c>
      <c r="BI3695" t="s">
        <v>30266</v>
      </c>
      <c r="BJ3695" t="s">
        <v>101</v>
      </c>
      <c r="BK3695" t="s">
        <v>5574</v>
      </c>
      <c r="BL3695" t="s">
        <v>16413</v>
      </c>
      <c r="BM3695" t="s">
        <v>25121</v>
      </c>
      <c r="BN3695" t="s">
        <v>27621</v>
      </c>
    </row>
    <row r="3696" spans="1:66" x14ac:dyDescent="0.25">
      <c r="A3696" t="str">
        <f>HYPERLINK("https://elite.finviz.com/quote.ashx?t=BARK&amp;ty=c&amp;p=d&amp;b=1", "BARK")</f>
        <v>BARK</v>
      </c>
      <c r="B3696">
        <v>4</v>
      </c>
      <c r="C3696">
        <v>105.92</v>
      </c>
      <c r="D3696">
        <v>42.23</v>
      </c>
      <c r="E3696" t="s">
        <v>30267</v>
      </c>
      <c r="F3696" t="s">
        <v>67</v>
      </c>
      <c r="G3696" t="s">
        <v>813</v>
      </c>
      <c r="H3696" t="s">
        <v>2262</v>
      </c>
      <c r="I3696" t="s">
        <v>70</v>
      </c>
      <c r="J3696" t="s">
        <v>71</v>
      </c>
      <c r="K3696">
        <v>138.96</v>
      </c>
      <c r="L3696">
        <v>0.82</v>
      </c>
      <c r="M3696" t="s">
        <v>2760</v>
      </c>
      <c r="N3696">
        <v>260934</v>
      </c>
      <c r="R3696">
        <v>0.3</v>
      </c>
      <c r="S3696">
        <v>1.48</v>
      </c>
      <c r="AA3696">
        <v>-0.17</v>
      </c>
      <c r="AB3696" t="s">
        <v>4557</v>
      </c>
      <c r="AC3696" t="s">
        <v>725</v>
      </c>
      <c r="AD3696" t="s">
        <v>30268</v>
      </c>
      <c r="AE3696" t="s">
        <v>6161</v>
      </c>
      <c r="AF3696" t="s">
        <v>5895</v>
      </c>
      <c r="AG3696" t="s">
        <v>2065</v>
      </c>
      <c r="AH3696" t="s">
        <v>10146</v>
      </c>
      <c r="AI3696" t="s">
        <v>164</v>
      </c>
      <c r="AJ3696" t="s">
        <v>439</v>
      </c>
      <c r="AK3696" t="s">
        <v>11659</v>
      </c>
      <c r="AL3696">
        <v>1.55</v>
      </c>
      <c r="AM3696">
        <v>0.79</v>
      </c>
      <c r="AN3696">
        <v>0.89</v>
      </c>
      <c r="AO3696" t="s">
        <v>30269</v>
      </c>
      <c r="AP3696" t="s">
        <v>4540</v>
      </c>
      <c r="AQ3696" t="s">
        <v>5857</v>
      </c>
      <c r="AR3696" t="s">
        <v>4093</v>
      </c>
      <c r="AS3696" t="s">
        <v>2316</v>
      </c>
      <c r="AT3696" t="s">
        <v>6060</v>
      </c>
      <c r="AU3696" t="s">
        <v>2252</v>
      </c>
      <c r="AV3696" t="s">
        <v>28958</v>
      </c>
      <c r="AW3696" t="s">
        <v>14765</v>
      </c>
      <c r="AX3696" t="s">
        <v>8625</v>
      </c>
      <c r="AY3696" t="s">
        <v>30270</v>
      </c>
      <c r="AZ3696" t="s">
        <v>216</v>
      </c>
      <c r="BA3696">
        <v>1.67</v>
      </c>
      <c r="BB3696">
        <v>843.67</v>
      </c>
      <c r="BC3696">
        <v>1.0900000000000001</v>
      </c>
      <c r="BD3696">
        <v>0.82</v>
      </c>
      <c r="BE3696">
        <v>0.84</v>
      </c>
      <c r="BF3696">
        <v>0.82</v>
      </c>
      <c r="BG3696" t="s">
        <v>30271</v>
      </c>
      <c r="BH3696" t="s">
        <v>7548</v>
      </c>
      <c r="BI3696" t="s">
        <v>8697</v>
      </c>
      <c r="BJ3696" t="s">
        <v>101</v>
      </c>
      <c r="BK3696" t="s">
        <v>5368</v>
      </c>
      <c r="BL3696" t="s">
        <v>16861</v>
      </c>
      <c r="BM3696" t="s">
        <v>30272</v>
      </c>
      <c r="BN3696" t="s">
        <v>27621</v>
      </c>
    </row>
    <row r="3697" spans="1:66" x14ac:dyDescent="0.25">
      <c r="A3697" t="str">
        <f>HYPERLINK("https://elite.finviz.com/quote.ashx?t=MIND&amp;ty=c&amp;p=d&amp;b=1", "MIND")</f>
        <v>MIND</v>
      </c>
      <c r="B3697">
        <v>4</v>
      </c>
      <c r="C3697">
        <v>105.92</v>
      </c>
      <c r="D3697">
        <v>42.23</v>
      </c>
      <c r="E3697" t="s">
        <v>30273</v>
      </c>
      <c r="F3697" t="s">
        <v>107</v>
      </c>
      <c r="G3697" t="s">
        <v>108</v>
      </c>
      <c r="H3697" t="s">
        <v>9222</v>
      </c>
      <c r="I3697" t="s">
        <v>70</v>
      </c>
      <c r="J3697" t="s">
        <v>321</v>
      </c>
      <c r="K3697">
        <v>65.75</v>
      </c>
      <c r="L3697">
        <v>8.25</v>
      </c>
      <c r="M3697" t="s">
        <v>91</v>
      </c>
      <c r="N3697">
        <v>62754</v>
      </c>
      <c r="O3697">
        <v>15.15</v>
      </c>
      <c r="R3697">
        <v>1.35</v>
      </c>
      <c r="S3697">
        <v>2.2799999999999998</v>
      </c>
      <c r="V3697" t="s">
        <v>30274</v>
      </c>
      <c r="Z3697" t="s">
        <v>164</v>
      </c>
      <c r="AA3697">
        <v>0.54</v>
      </c>
      <c r="AE3697" t="s">
        <v>17729</v>
      </c>
      <c r="AF3697" t="s">
        <v>8110</v>
      </c>
      <c r="AG3697" t="s">
        <v>2210</v>
      </c>
      <c r="AH3697" t="s">
        <v>16148</v>
      </c>
      <c r="AI3697" t="s">
        <v>15438</v>
      </c>
      <c r="AJ3697" t="s">
        <v>164</v>
      </c>
      <c r="AK3697" t="s">
        <v>5761</v>
      </c>
      <c r="AL3697">
        <v>4.79</v>
      </c>
      <c r="AM3697">
        <v>3.01</v>
      </c>
      <c r="AN3697">
        <v>0.03</v>
      </c>
      <c r="AO3697" t="s">
        <v>12101</v>
      </c>
      <c r="AP3697" t="s">
        <v>4621</v>
      </c>
      <c r="AQ3697" t="s">
        <v>9478</v>
      </c>
      <c r="AR3697" t="s">
        <v>578</v>
      </c>
      <c r="AS3697" t="s">
        <v>3952</v>
      </c>
      <c r="AT3697" t="s">
        <v>4921</v>
      </c>
      <c r="AU3697" t="s">
        <v>12908</v>
      </c>
      <c r="AV3697" t="s">
        <v>8276</v>
      </c>
      <c r="AW3697" t="s">
        <v>5768</v>
      </c>
      <c r="AX3697" t="s">
        <v>6752</v>
      </c>
      <c r="AY3697" t="s">
        <v>5768</v>
      </c>
      <c r="AZ3697" t="s">
        <v>30275</v>
      </c>
      <c r="BA3697">
        <v>1</v>
      </c>
      <c r="BB3697">
        <v>207.64</v>
      </c>
      <c r="BC3697">
        <v>1.06</v>
      </c>
      <c r="BD3697">
        <v>8.4700000000000006</v>
      </c>
      <c r="BE3697">
        <v>8.58</v>
      </c>
      <c r="BF3697">
        <v>8.1999999999999993</v>
      </c>
      <c r="BG3697" t="s">
        <v>30276</v>
      </c>
      <c r="BH3697" t="s">
        <v>7030</v>
      </c>
      <c r="BI3697" t="s">
        <v>30277</v>
      </c>
      <c r="BJ3697" t="s">
        <v>101</v>
      </c>
      <c r="BK3697" t="s">
        <v>6080</v>
      </c>
      <c r="BL3697" t="s">
        <v>2576</v>
      </c>
      <c r="BM3697" t="s">
        <v>5953</v>
      </c>
      <c r="BN3697" t="s">
        <v>27621</v>
      </c>
    </row>
    <row r="3698" spans="1:66" x14ac:dyDescent="0.25">
      <c r="A3698" t="str">
        <f>HYPERLINK("https://elite.finviz.com/quote.ashx?t=CR&amp;ty=c&amp;p=d&amp;b=1", "CR")</f>
        <v>CR</v>
      </c>
      <c r="B3698">
        <v>4</v>
      </c>
      <c r="C3698">
        <v>105.92</v>
      </c>
      <c r="D3698">
        <v>42.23</v>
      </c>
      <c r="E3698" t="s">
        <v>30278</v>
      </c>
      <c r="F3698" t="s">
        <v>107</v>
      </c>
      <c r="G3698" t="s">
        <v>260</v>
      </c>
      <c r="H3698" t="s">
        <v>261</v>
      </c>
      <c r="I3698" t="s">
        <v>70</v>
      </c>
      <c r="J3698" t="s">
        <v>71</v>
      </c>
      <c r="K3698">
        <v>10402.17</v>
      </c>
      <c r="L3698">
        <v>180.76</v>
      </c>
      <c r="M3698" t="s">
        <v>1279</v>
      </c>
      <c r="N3698">
        <v>29081</v>
      </c>
      <c r="O3698">
        <v>34.1</v>
      </c>
      <c r="P3698">
        <v>27.94</v>
      </c>
      <c r="Q3698">
        <v>2.2799999999999998</v>
      </c>
      <c r="R3698">
        <v>4.57</v>
      </c>
      <c r="S3698">
        <v>5.51</v>
      </c>
      <c r="T3698" t="s">
        <v>3336</v>
      </c>
      <c r="U3698">
        <v>0.9</v>
      </c>
      <c r="V3698" t="s">
        <v>4882</v>
      </c>
      <c r="W3698" t="s">
        <v>19050</v>
      </c>
      <c r="Z3698" t="s">
        <v>3766</v>
      </c>
      <c r="AA3698">
        <v>5.3</v>
      </c>
      <c r="AB3698" t="s">
        <v>15362</v>
      </c>
      <c r="AC3698" t="s">
        <v>3710</v>
      </c>
      <c r="AD3698" t="s">
        <v>1625</v>
      </c>
      <c r="AE3698" t="s">
        <v>295</v>
      </c>
      <c r="AF3698" t="s">
        <v>11949</v>
      </c>
      <c r="AG3698" t="s">
        <v>9704</v>
      </c>
      <c r="AH3698" t="s">
        <v>6298</v>
      </c>
      <c r="AI3698" t="s">
        <v>2629</v>
      </c>
      <c r="AJ3698" t="s">
        <v>1537</v>
      </c>
      <c r="AK3698" t="s">
        <v>30279</v>
      </c>
      <c r="AL3698">
        <v>2.93</v>
      </c>
      <c r="AM3698">
        <v>1.98</v>
      </c>
      <c r="AN3698">
        <v>0.03</v>
      </c>
      <c r="AO3698" t="s">
        <v>3984</v>
      </c>
      <c r="AP3698" t="s">
        <v>4272</v>
      </c>
      <c r="AQ3698" t="s">
        <v>3259</v>
      </c>
      <c r="AR3698" t="s">
        <v>206</v>
      </c>
      <c r="AS3698" t="s">
        <v>1438</v>
      </c>
      <c r="AT3698" t="s">
        <v>7646</v>
      </c>
      <c r="AU3698" t="s">
        <v>10747</v>
      </c>
      <c r="AV3698" t="s">
        <v>3036</v>
      </c>
      <c r="AW3698" t="s">
        <v>5958</v>
      </c>
      <c r="AX3698" t="s">
        <v>5929</v>
      </c>
      <c r="AY3698" t="s">
        <v>5958</v>
      </c>
      <c r="AZ3698" t="s">
        <v>12647</v>
      </c>
      <c r="BA3698">
        <v>1.7</v>
      </c>
      <c r="BB3698">
        <v>291.2</v>
      </c>
      <c r="BC3698">
        <v>0.35</v>
      </c>
      <c r="BD3698">
        <v>178.73</v>
      </c>
      <c r="BE3698">
        <v>181.65</v>
      </c>
      <c r="BF3698">
        <v>179.43</v>
      </c>
      <c r="BG3698" t="s">
        <v>30280</v>
      </c>
      <c r="BH3698" t="s">
        <v>5958</v>
      </c>
      <c r="BI3698" t="s">
        <v>24760</v>
      </c>
      <c r="BJ3698" t="s">
        <v>101</v>
      </c>
      <c r="BK3698" t="s">
        <v>1770</v>
      </c>
      <c r="BL3698" t="s">
        <v>874</v>
      </c>
      <c r="BM3698" t="s">
        <v>5901</v>
      </c>
      <c r="BN3698" t="s">
        <v>27621</v>
      </c>
    </row>
    <row r="3699" spans="1:66" x14ac:dyDescent="0.25">
      <c r="A3699" t="str">
        <f>HYPERLINK("https://elite.finviz.com/quote.ashx?t=COLL&amp;ty=c&amp;p=d&amp;b=1", "COLL")</f>
        <v>COLL</v>
      </c>
      <c r="B3699">
        <v>4</v>
      </c>
      <c r="C3699">
        <v>105.92</v>
      </c>
      <c r="D3699">
        <v>42.24</v>
      </c>
      <c r="E3699" t="s">
        <v>30281</v>
      </c>
      <c r="F3699" t="s">
        <v>67</v>
      </c>
      <c r="G3699" t="s">
        <v>428</v>
      </c>
      <c r="H3699" t="s">
        <v>1296</v>
      </c>
      <c r="I3699" t="s">
        <v>70</v>
      </c>
      <c r="J3699" t="s">
        <v>321</v>
      </c>
      <c r="K3699">
        <v>1100.69</v>
      </c>
      <c r="L3699">
        <v>34.94</v>
      </c>
      <c r="M3699" t="s">
        <v>7124</v>
      </c>
      <c r="N3699">
        <v>35212</v>
      </c>
      <c r="O3699">
        <v>33.729999999999997</v>
      </c>
      <c r="P3699">
        <v>4.5199999999999996</v>
      </c>
      <c r="R3699">
        <v>1.56</v>
      </c>
      <c r="S3699">
        <v>4.75</v>
      </c>
      <c r="Z3699" t="s">
        <v>164</v>
      </c>
      <c r="AA3699">
        <v>1.04</v>
      </c>
      <c r="AB3699" t="s">
        <v>406</v>
      </c>
      <c r="AD3699" t="s">
        <v>1364</v>
      </c>
      <c r="AE3699" t="s">
        <v>9461</v>
      </c>
      <c r="AF3699" t="s">
        <v>244</v>
      </c>
      <c r="AG3699" t="s">
        <v>2737</v>
      </c>
      <c r="AH3699" t="s">
        <v>1785</v>
      </c>
      <c r="AI3699" t="s">
        <v>4395</v>
      </c>
      <c r="AJ3699" t="s">
        <v>6195</v>
      </c>
      <c r="AK3699" t="s">
        <v>30282</v>
      </c>
      <c r="AL3699">
        <v>1.18</v>
      </c>
      <c r="AM3699">
        <v>1.1000000000000001</v>
      </c>
      <c r="AN3699">
        <v>4.0999999999999996</v>
      </c>
      <c r="AO3699" t="s">
        <v>12943</v>
      </c>
      <c r="AP3699" t="s">
        <v>11563</v>
      </c>
      <c r="AQ3699" t="s">
        <v>6404</v>
      </c>
      <c r="AR3699" t="s">
        <v>2543</v>
      </c>
      <c r="AS3699" t="s">
        <v>4294</v>
      </c>
      <c r="AT3699" t="s">
        <v>15684</v>
      </c>
      <c r="AU3699" t="s">
        <v>2950</v>
      </c>
      <c r="AV3699" t="s">
        <v>4110</v>
      </c>
      <c r="AW3699" t="s">
        <v>14348</v>
      </c>
      <c r="AX3699" t="s">
        <v>14945</v>
      </c>
      <c r="AY3699" t="s">
        <v>6924</v>
      </c>
      <c r="AZ3699" t="s">
        <v>30283</v>
      </c>
      <c r="BA3699">
        <v>1.4</v>
      </c>
      <c r="BB3699">
        <v>386.15</v>
      </c>
      <c r="BC3699">
        <v>0.32</v>
      </c>
      <c r="BD3699">
        <v>34.65</v>
      </c>
      <c r="BE3699">
        <v>35.54</v>
      </c>
      <c r="BF3699">
        <v>34.1</v>
      </c>
      <c r="BG3699" t="s">
        <v>30284</v>
      </c>
      <c r="BH3699" t="s">
        <v>6924</v>
      </c>
      <c r="BI3699" t="s">
        <v>30285</v>
      </c>
      <c r="BJ3699" t="s">
        <v>101</v>
      </c>
      <c r="BK3699" t="s">
        <v>9031</v>
      </c>
      <c r="BL3699" t="s">
        <v>9344</v>
      </c>
      <c r="BM3699" t="s">
        <v>1164</v>
      </c>
      <c r="BN3699" t="s">
        <v>27621</v>
      </c>
    </row>
    <row r="3700" spans="1:66" x14ac:dyDescent="0.25">
      <c r="A3700" t="str">
        <f>HYPERLINK("https://elite.finviz.com/quote.ashx?t=REFI&amp;ty=c&amp;p=d&amp;b=1", "REFI")</f>
        <v>REFI</v>
      </c>
      <c r="B3700">
        <v>4</v>
      </c>
      <c r="C3700">
        <v>105.92</v>
      </c>
      <c r="D3700">
        <v>42.24</v>
      </c>
      <c r="E3700" t="s">
        <v>30286</v>
      </c>
      <c r="F3700" t="s">
        <v>67</v>
      </c>
      <c r="G3700" t="s">
        <v>68</v>
      </c>
      <c r="H3700" t="s">
        <v>5566</v>
      </c>
      <c r="I3700" t="s">
        <v>70</v>
      </c>
      <c r="J3700" t="s">
        <v>321</v>
      </c>
      <c r="K3700">
        <v>280.70999999999998</v>
      </c>
      <c r="L3700">
        <v>13.32</v>
      </c>
      <c r="M3700" t="s">
        <v>1279</v>
      </c>
      <c r="N3700">
        <v>20657</v>
      </c>
      <c r="O3700">
        <v>7.26</v>
      </c>
      <c r="P3700">
        <v>7.11</v>
      </c>
      <c r="Q3700">
        <v>45.36</v>
      </c>
      <c r="R3700">
        <v>4.43</v>
      </c>
      <c r="S3700">
        <v>0.91</v>
      </c>
      <c r="T3700" t="s">
        <v>5757</v>
      </c>
      <c r="U3700">
        <v>1.88</v>
      </c>
      <c r="V3700" t="s">
        <v>198</v>
      </c>
      <c r="W3700" t="s">
        <v>164</v>
      </c>
      <c r="X3700" t="s">
        <v>30287</v>
      </c>
      <c r="Z3700" t="s">
        <v>26470</v>
      </c>
      <c r="AA3700">
        <v>1.84</v>
      </c>
      <c r="AB3700" t="s">
        <v>6603</v>
      </c>
      <c r="AD3700" t="s">
        <v>6156</v>
      </c>
      <c r="AE3700" t="s">
        <v>4946</v>
      </c>
      <c r="AF3700" t="s">
        <v>4755</v>
      </c>
      <c r="AH3700" t="s">
        <v>2877</v>
      </c>
      <c r="AI3700" t="s">
        <v>5383</v>
      </c>
      <c r="AJ3700" t="s">
        <v>2215</v>
      </c>
      <c r="AK3700" t="s">
        <v>17717</v>
      </c>
      <c r="AL3700">
        <v>1.6</v>
      </c>
      <c r="AM3700">
        <v>1.6</v>
      </c>
      <c r="AN3700">
        <v>0.39</v>
      </c>
      <c r="AO3700" t="s">
        <v>30288</v>
      </c>
      <c r="AP3700" t="s">
        <v>30289</v>
      </c>
      <c r="AQ3700" t="s">
        <v>10145</v>
      </c>
      <c r="AR3700" t="s">
        <v>4946</v>
      </c>
      <c r="AS3700" t="s">
        <v>5660</v>
      </c>
      <c r="AT3700" t="s">
        <v>8937</v>
      </c>
      <c r="AU3700" t="s">
        <v>72</v>
      </c>
      <c r="AV3700" t="s">
        <v>9889</v>
      </c>
      <c r="AW3700" t="s">
        <v>6534</v>
      </c>
      <c r="AX3700" t="s">
        <v>2700</v>
      </c>
      <c r="AY3700" t="s">
        <v>23479</v>
      </c>
      <c r="AZ3700" t="s">
        <v>5026</v>
      </c>
      <c r="BA3700">
        <v>1.6</v>
      </c>
      <c r="BB3700">
        <v>118.13</v>
      </c>
      <c r="BC3700">
        <v>0.62</v>
      </c>
      <c r="BD3700">
        <v>13.17</v>
      </c>
      <c r="BE3700">
        <v>13.37</v>
      </c>
      <c r="BF3700">
        <v>13.23</v>
      </c>
      <c r="BG3700" t="s">
        <v>30290</v>
      </c>
      <c r="BH3700" t="s">
        <v>3641</v>
      </c>
      <c r="BI3700" t="s">
        <v>5455</v>
      </c>
      <c r="BJ3700" t="s">
        <v>101</v>
      </c>
      <c r="BK3700" t="s">
        <v>500</v>
      </c>
      <c r="BL3700" t="s">
        <v>23961</v>
      </c>
      <c r="BM3700" t="s">
        <v>6482</v>
      </c>
      <c r="BN3700" t="s">
        <v>27621</v>
      </c>
    </row>
    <row r="3701" spans="1:66" x14ac:dyDescent="0.25">
      <c r="A3701" t="str">
        <f>HYPERLINK("https://elite.finviz.com/quote.ashx?t=CTXR&amp;ty=c&amp;p=d&amp;b=1", "CTXR")</f>
        <v>CTXR</v>
      </c>
      <c r="B3701">
        <v>4</v>
      </c>
      <c r="C3701">
        <v>105.92</v>
      </c>
      <c r="D3701">
        <v>42.24</v>
      </c>
      <c r="E3701" t="s">
        <v>30291</v>
      </c>
      <c r="F3701" t="s">
        <v>107</v>
      </c>
      <c r="G3701" t="s">
        <v>428</v>
      </c>
      <c r="H3701" t="s">
        <v>429</v>
      </c>
      <c r="I3701" t="s">
        <v>70</v>
      </c>
      <c r="J3701" t="s">
        <v>321</v>
      </c>
      <c r="K3701">
        <v>19.559999999999999</v>
      </c>
      <c r="L3701">
        <v>1.1499999999999999</v>
      </c>
      <c r="M3701" t="s">
        <v>1249</v>
      </c>
      <c r="N3701">
        <v>101095</v>
      </c>
      <c r="P3701">
        <v>3.11</v>
      </c>
      <c r="S3701">
        <v>0.26</v>
      </c>
      <c r="AA3701">
        <v>-4.96</v>
      </c>
      <c r="AB3701" t="s">
        <v>6152</v>
      </c>
      <c r="AC3701" t="s">
        <v>7295</v>
      </c>
      <c r="AI3701" t="s">
        <v>30292</v>
      </c>
      <c r="AJ3701" t="s">
        <v>164</v>
      </c>
      <c r="AK3701" t="s">
        <v>5090</v>
      </c>
      <c r="AL3701">
        <v>0.47</v>
      </c>
      <c r="AM3701">
        <v>0.14000000000000001</v>
      </c>
      <c r="AN3701">
        <v>0.03</v>
      </c>
      <c r="AR3701" t="s">
        <v>3325</v>
      </c>
      <c r="AS3701" t="s">
        <v>1826</v>
      </c>
      <c r="AT3701" t="s">
        <v>156</v>
      </c>
      <c r="AU3701" t="s">
        <v>10726</v>
      </c>
      <c r="AV3701" t="s">
        <v>17955</v>
      </c>
      <c r="AW3701" t="s">
        <v>24306</v>
      </c>
      <c r="AX3701" t="s">
        <v>10226</v>
      </c>
      <c r="AY3701" t="s">
        <v>20740</v>
      </c>
      <c r="AZ3701" t="s">
        <v>26449</v>
      </c>
      <c r="BA3701">
        <v>2</v>
      </c>
      <c r="BB3701">
        <v>727.79</v>
      </c>
      <c r="BC3701">
        <v>0.49</v>
      </c>
      <c r="BD3701">
        <v>1.1499999999999999</v>
      </c>
      <c r="BE3701">
        <v>1.1599999999999999</v>
      </c>
      <c r="BF3701">
        <v>1.1399999999999999</v>
      </c>
      <c r="BG3701" t="s">
        <v>30293</v>
      </c>
      <c r="BH3701" t="s">
        <v>16966</v>
      </c>
      <c r="BI3701" t="s">
        <v>26449</v>
      </c>
      <c r="BJ3701" t="s">
        <v>101</v>
      </c>
      <c r="BK3701" t="s">
        <v>4762</v>
      </c>
      <c r="BL3701" t="s">
        <v>1450</v>
      </c>
      <c r="BM3701" t="s">
        <v>27334</v>
      </c>
      <c r="BN3701" t="s">
        <v>27621</v>
      </c>
    </row>
    <row r="3702" spans="1:66" x14ac:dyDescent="0.25">
      <c r="A3702" t="str">
        <f>HYPERLINK("https://elite.finviz.com/quote.ashx?t=HBIO&amp;ty=c&amp;p=d&amp;b=1", "HBIO")</f>
        <v>HBIO</v>
      </c>
      <c r="B3702">
        <v>4</v>
      </c>
      <c r="C3702">
        <v>105.92</v>
      </c>
      <c r="D3702">
        <v>42.25</v>
      </c>
      <c r="E3702" t="s">
        <v>30294</v>
      </c>
      <c r="F3702" t="s">
        <v>107</v>
      </c>
      <c r="G3702" t="s">
        <v>428</v>
      </c>
      <c r="H3702" t="s">
        <v>2161</v>
      </c>
      <c r="I3702" t="s">
        <v>70</v>
      </c>
      <c r="J3702" t="s">
        <v>321</v>
      </c>
      <c r="K3702">
        <v>19.52</v>
      </c>
      <c r="L3702">
        <v>0.44</v>
      </c>
      <c r="M3702" t="s">
        <v>2213</v>
      </c>
      <c r="N3702">
        <v>55913</v>
      </c>
      <c r="P3702">
        <v>3.51</v>
      </c>
      <c r="R3702">
        <v>0.22</v>
      </c>
      <c r="S3702">
        <v>1.24</v>
      </c>
      <c r="AA3702">
        <v>-1.3</v>
      </c>
      <c r="AB3702" t="s">
        <v>30295</v>
      </c>
      <c r="AC3702" t="s">
        <v>17798</v>
      </c>
      <c r="AE3702" t="s">
        <v>9592</v>
      </c>
      <c r="AF3702" t="s">
        <v>5663</v>
      </c>
      <c r="AG3702" t="s">
        <v>5101</v>
      </c>
      <c r="AH3702" t="s">
        <v>15217</v>
      </c>
      <c r="AI3702" t="s">
        <v>8778</v>
      </c>
      <c r="AJ3702" t="s">
        <v>164</v>
      </c>
      <c r="AK3702" t="s">
        <v>17834</v>
      </c>
      <c r="AL3702">
        <v>0.81</v>
      </c>
      <c r="AM3702">
        <v>0.41</v>
      </c>
      <c r="AN3702">
        <v>2.75</v>
      </c>
      <c r="AO3702" t="s">
        <v>18019</v>
      </c>
      <c r="AP3702" t="s">
        <v>552</v>
      </c>
      <c r="AQ3702" t="s">
        <v>25686</v>
      </c>
      <c r="AR3702" t="s">
        <v>2821</v>
      </c>
      <c r="AS3702" t="s">
        <v>3372</v>
      </c>
      <c r="AT3702" t="s">
        <v>3577</v>
      </c>
      <c r="AU3702" t="s">
        <v>9731</v>
      </c>
      <c r="AV3702" t="s">
        <v>14721</v>
      </c>
      <c r="AW3702" t="s">
        <v>9469</v>
      </c>
      <c r="AX3702" t="s">
        <v>2848</v>
      </c>
      <c r="AY3702" t="s">
        <v>30296</v>
      </c>
      <c r="AZ3702" t="s">
        <v>9862</v>
      </c>
      <c r="BA3702">
        <v>2</v>
      </c>
      <c r="BB3702">
        <v>955.41</v>
      </c>
      <c r="BC3702">
        <v>0.21</v>
      </c>
      <c r="BD3702">
        <v>0.44</v>
      </c>
      <c r="BE3702">
        <v>0.45</v>
      </c>
      <c r="BF3702">
        <v>0.43</v>
      </c>
      <c r="BG3702" t="s">
        <v>30297</v>
      </c>
      <c r="BH3702" t="s">
        <v>6626</v>
      </c>
      <c r="BI3702" t="s">
        <v>9862</v>
      </c>
      <c r="BJ3702" t="s">
        <v>101</v>
      </c>
      <c r="BK3702" t="s">
        <v>8470</v>
      </c>
      <c r="BL3702" t="s">
        <v>10063</v>
      </c>
      <c r="BM3702" t="s">
        <v>16700</v>
      </c>
      <c r="BN3702" t="s">
        <v>27621</v>
      </c>
    </row>
    <row r="3703" spans="1:66" x14ac:dyDescent="0.25">
      <c r="A3703" t="str">
        <f>HYPERLINK("https://elite.finviz.com/quote.ashx?t=ALTG&amp;ty=c&amp;p=d&amp;b=1", "ALTG")</f>
        <v>ALTG</v>
      </c>
      <c r="B3703">
        <v>4</v>
      </c>
      <c r="C3703">
        <v>105.92</v>
      </c>
      <c r="D3703">
        <v>42.26</v>
      </c>
      <c r="E3703" t="s">
        <v>30298</v>
      </c>
      <c r="F3703" t="s">
        <v>67</v>
      </c>
      <c r="G3703" t="s">
        <v>260</v>
      </c>
      <c r="H3703" t="s">
        <v>7905</v>
      </c>
      <c r="I3703" t="s">
        <v>70</v>
      </c>
      <c r="J3703" t="s">
        <v>71</v>
      </c>
      <c r="K3703">
        <v>230.42</v>
      </c>
      <c r="L3703">
        <v>7.19</v>
      </c>
      <c r="M3703" t="s">
        <v>3047</v>
      </c>
      <c r="N3703">
        <v>15050</v>
      </c>
      <c r="R3703">
        <v>0.12</v>
      </c>
      <c r="S3703">
        <v>5.25</v>
      </c>
      <c r="T3703" t="s">
        <v>4839</v>
      </c>
      <c r="U3703">
        <v>0.17</v>
      </c>
      <c r="V3703" t="s">
        <v>30299</v>
      </c>
      <c r="W3703" t="s">
        <v>164</v>
      </c>
      <c r="AA3703">
        <v>-2.06</v>
      </c>
      <c r="AB3703" t="s">
        <v>25510</v>
      </c>
      <c r="AC3703" t="s">
        <v>5893</v>
      </c>
      <c r="AE3703" t="s">
        <v>5309</v>
      </c>
      <c r="AF3703" t="s">
        <v>1552</v>
      </c>
      <c r="AG3703" t="s">
        <v>3846</v>
      </c>
      <c r="AH3703" t="s">
        <v>13117</v>
      </c>
      <c r="AI3703" t="s">
        <v>4479</v>
      </c>
      <c r="AJ3703" t="s">
        <v>4539</v>
      </c>
      <c r="AK3703" t="s">
        <v>1535</v>
      </c>
      <c r="AL3703">
        <v>1.39</v>
      </c>
      <c r="AM3703">
        <v>0.48</v>
      </c>
      <c r="AN3703">
        <v>27.13</v>
      </c>
      <c r="AO3703" t="s">
        <v>5998</v>
      </c>
      <c r="AP3703" t="s">
        <v>6155</v>
      </c>
      <c r="AQ3703" t="s">
        <v>14948</v>
      </c>
      <c r="AR3703" t="s">
        <v>5045</v>
      </c>
      <c r="AS3703" t="s">
        <v>2811</v>
      </c>
      <c r="AT3703" t="s">
        <v>2594</v>
      </c>
      <c r="AU3703" t="s">
        <v>478</v>
      </c>
      <c r="AV3703" t="s">
        <v>1603</v>
      </c>
      <c r="AW3703" t="s">
        <v>11872</v>
      </c>
      <c r="AX3703" t="s">
        <v>248</v>
      </c>
      <c r="AY3703" t="s">
        <v>10324</v>
      </c>
      <c r="AZ3703" t="s">
        <v>3807</v>
      </c>
      <c r="BA3703">
        <v>2</v>
      </c>
      <c r="BB3703">
        <v>272.68</v>
      </c>
      <c r="BC3703">
        <v>0.19</v>
      </c>
      <c r="BD3703">
        <v>7.14</v>
      </c>
      <c r="BE3703">
        <v>7.27</v>
      </c>
      <c r="BF3703">
        <v>7.14</v>
      </c>
      <c r="BG3703" t="s">
        <v>30300</v>
      </c>
      <c r="BH3703" t="s">
        <v>28476</v>
      </c>
      <c r="BI3703" t="s">
        <v>3807</v>
      </c>
      <c r="BJ3703" t="s">
        <v>101</v>
      </c>
      <c r="BK3703" t="s">
        <v>663</v>
      </c>
      <c r="BL3703" t="s">
        <v>15926</v>
      </c>
      <c r="BM3703" t="s">
        <v>12806</v>
      </c>
      <c r="BN3703" t="s">
        <v>27621</v>
      </c>
    </row>
    <row r="3704" spans="1:66" x14ac:dyDescent="0.25">
      <c r="A3704" t="str">
        <f>HYPERLINK("https://elite.finviz.com/quote.ashx?t=NBBK&amp;ty=c&amp;p=d&amp;b=1", "NBBK")</f>
        <v>NBBK</v>
      </c>
      <c r="B3704">
        <v>4</v>
      </c>
      <c r="C3704">
        <v>105.92</v>
      </c>
      <c r="D3704">
        <v>42.28</v>
      </c>
      <c r="E3704" t="s">
        <v>30301</v>
      </c>
      <c r="F3704" t="s">
        <v>67</v>
      </c>
      <c r="G3704" t="s">
        <v>550</v>
      </c>
      <c r="H3704" t="s">
        <v>697</v>
      </c>
      <c r="I3704" t="s">
        <v>70</v>
      </c>
      <c r="J3704" t="s">
        <v>321</v>
      </c>
      <c r="K3704">
        <v>662.11</v>
      </c>
      <c r="L3704">
        <v>18.059999999999999</v>
      </c>
      <c r="M3704" t="s">
        <v>2717</v>
      </c>
      <c r="N3704">
        <v>20742</v>
      </c>
      <c r="O3704">
        <v>13.62</v>
      </c>
      <c r="P3704">
        <v>9.5</v>
      </c>
      <c r="R3704">
        <v>2.0499999999999998</v>
      </c>
      <c r="S3704">
        <v>0.92</v>
      </c>
      <c r="T3704" t="s">
        <v>6719</v>
      </c>
      <c r="U3704">
        <v>7.0000000000000007E-2</v>
      </c>
      <c r="V3704" t="s">
        <v>2859</v>
      </c>
      <c r="Z3704" t="s">
        <v>164</v>
      </c>
      <c r="AA3704">
        <v>1.33</v>
      </c>
      <c r="AB3704" t="s">
        <v>7807</v>
      </c>
      <c r="AE3704" t="s">
        <v>757</v>
      </c>
      <c r="AF3704" t="s">
        <v>10108</v>
      </c>
      <c r="AH3704" t="s">
        <v>13511</v>
      </c>
      <c r="AI3704" t="s">
        <v>2169</v>
      </c>
      <c r="AJ3704" t="s">
        <v>914</v>
      </c>
      <c r="AK3704" t="s">
        <v>30302</v>
      </c>
      <c r="AL3704">
        <v>13.02</v>
      </c>
      <c r="AN3704">
        <v>0.17</v>
      </c>
      <c r="AP3704" t="s">
        <v>7726</v>
      </c>
      <c r="AQ3704" t="s">
        <v>11086</v>
      </c>
      <c r="AR3704" t="s">
        <v>3544</v>
      </c>
      <c r="AS3704" t="s">
        <v>4891</v>
      </c>
      <c r="AT3704" t="s">
        <v>5686</v>
      </c>
      <c r="AU3704" t="s">
        <v>6407</v>
      </c>
      <c r="AV3704" t="s">
        <v>4237</v>
      </c>
      <c r="AW3704" t="s">
        <v>3091</v>
      </c>
      <c r="AX3704" t="s">
        <v>7622</v>
      </c>
      <c r="AY3704" t="s">
        <v>21502</v>
      </c>
      <c r="AZ3704" t="s">
        <v>4876</v>
      </c>
      <c r="BA3704">
        <v>1</v>
      </c>
      <c r="BB3704">
        <v>221.34</v>
      </c>
      <c r="BC3704">
        <v>0.33</v>
      </c>
      <c r="BD3704">
        <v>18.079999999999998</v>
      </c>
      <c r="BE3704">
        <v>18.32</v>
      </c>
      <c r="BF3704">
        <v>18.059999999999999</v>
      </c>
      <c r="BG3704" t="s">
        <v>30303</v>
      </c>
      <c r="BH3704" t="s">
        <v>21502</v>
      </c>
      <c r="BI3704" t="s">
        <v>16746</v>
      </c>
      <c r="BJ3704" t="s">
        <v>101</v>
      </c>
      <c r="BK3704" t="s">
        <v>2720</v>
      </c>
      <c r="BL3704" t="s">
        <v>4210</v>
      </c>
      <c r="BM3704" t="s">
        <v>364</v>
      </c>
      <c r="BN3704" t="s">
        <v>27621</v>
      </c>
    </row>
    <row r="3705" spans="1:66" x14ac:dyDescent="0.25">
      <c r="A3705" t="str">
        <f>HYPERLINK("https://elite.finviz.com/quote.ashx?t=BCAX&amp;ty=c&amp;p=d&amp;b=1", "BCAX")</f>
        <v>BCAX</v>
      </c>
      <c r="B3705">
        <v>4</v>
      </c>
      <c r="C3705">
        <v>105.92</v>
      </c>
      <c r="D3705">
        <v>42.36</v>
      </c>
      <c r="E3705" t="s">
        <v>30304</v>
      </c>
      <c r="F3705" t="s">
        <v>67</v>
      </c>
      <c r="G3705" t="s">
        <v>428</v>
      </c>
      <c r="H3705" t="s">
        <v>429</v>
      </c>
      <c r="I3705" t="s">
        <v>70</v>
      </c>
      <c r="J3705" t="s">
        <v>321</v>
      </c>
      <c r="K3705">
        <v>581.29999999999995</v>
      </c>
      <c r="L3705">
        <v>10.65</v>
      </c>
      <c r="M3705" t="s">
        <v>7346</v>
      </c>
      <c r="N3705">
        <v>35758</v>
      </c>
      <c r="S3705">
        <v>1.34</v>
      </c>
      <c r="AA3705">
        <v>-1.89</v>
      </c>
      <c r="AB3705" t="s">
        <v>22897</v>
      </c>
      <c r="AD3705" t="s">
        <v>8437</v>
      </c>
      <c r="AI3705" t="s">
        <v>4965</v>
      </c>
      <c r="AJ3705" t="s">
        <v>1842</v>
      </c>
      <c r="AK3705" t="s">
        <v>18487</v>
      </c>
      <c r="AL3705">
        <v>25.8</v>
      </c>
      <c r="AM3705">
        <v>25.8</v>
      </c>
      <c r="AN3705">
        <v>0.01</v>
      </c>
      <c r="AR3705" t="s">
        <v>2408</v>
      </c>
      <c r="AS3705" t="s">
        <v>5907</v>
      </c>
      <c r="AT3705" t="s">
        <v>3091</v>
      </c>
      <c r="AU3705" t="s">
        <v>5359</v>
      </c>
      <c r="AV3705" t="s">
        <v>8993</v>
      </c>
      <c r="AW3705" t="s">
        <v>6482</v>
      </c>
      <c r="AX3705" t="s">
        <v>4565</v>
      </c>
      <c r="AY3705" t="s">
        <v>30305</v>
      </c>
      <c r="AZ3705" t="s">
        <v>11183</v>
      </c>
      <c r="BA3705">
        <v>1.22</v>
      </c>
      <c r="BB3705">
        <v>402.37</v>
      </c>
      <c r="BC3705">
        <v>0.31</v>
      </c>
      <c r="BD3705">
        <v>10.7</v>
      </c>
      <c r="BE3705">
        <v>10.95</v>
      </c>
      <c r="BF3705">
        <v>10.49</v>
      </c>
      <c r="BG3705" t="s">
        <v>30306</v>
      </c>
      <c r="BH3705" t="s">
        <v>30305</v>
      </c>
      <c r="BI3705" t="s">
        <v>11183</v>
      </c>
      <c r="BJ3705" t="s">
        <v>101</v>
      </c>
      <c r="BK3705" t="s">
        <v>13932</v>
      </c>
      <c r="BL3705" t="s">
        <v>14772</v>
      </c>
      <c r="BM3705" t="s">
        <v>21862</v>
      </c>
      <c r="BN3705" t="s">
        <v>27621</v>
      </c>
    </row>
    <row r="3706" spans="1:66" x14ac:dyDescent="0.25">
      <c r="A3706" t="str">
        <f>HYPERLINK("https://elite.finviz.com/quote.ashx?t=BSET&amp;ty=c&amp;p=d&amp;b=1", "BSET")</f>
        <v>BSET</v>
      </c>
      <c r="B3706">
        <v>4</v>
      </c>
      <c r="C3706">
        <v>105.92</v>
      </c>
      <c r="D3706">
        <v>42.41</v>
      </c>
      <c r="E3706" t="s">
        <v>30307</v>
      </c>
      <c r="F3706" t="s">
        <v>67</v>
      </c>
      <c r="G3706" t="s">
        <v>813</v>
      </c>
      <c r="H3706" t="s">
        <v>3866</v>
      </c>
      <c r="I3706" t="s">
        <v>70</v>
      </c>
      <c r="J3706" t="s">
        <v>321</v>
      </c>
      <c r="K3706">
        <v>136.43</v>
      </c>
      <c r="L3706">
        <v>15.7</v>
      </c>
      <c r="M3706" t="s">
        <v>1457</v>
      </c>
      <c r="N3706">
        <v>11110</v>
      </c>
      <c r="O3706">
        <v>55.2</v>
      </c>
      <c r="P3706">
        <v>13.08</v>
      </c>
      <c r="R3706">
        <v>0.42</v>
      </c>
      <c r="S3706">
        <v>0.82</v>
      </c>
      <c r="T3706" t="s">
        <v>1104</v>
      </c>
      <c r="U3706">
        <v>0.8</v>
      </c>
      <c r="V3706" t="s">
        <v>3046</v>
      </c>
      <c r="W3706" t="s">
        <v>1199</v>
      </c>
      <c r="X3706" t="s">
        <v>1959</v>
      </c>
      <c r="Y3706" t="s">
        <v>7858</v>
      </c>
      <c r="AA3706">
        <v>0.28000000000000003</v>
      </c>
      <c r="AC3706" t="s">
        <v>24906</v>
      </c>
      <c r="AE3706" t="s">
        <v>6013</v>
      </c>
      <c r="AF3706" t="s">
        <v>15037</v>
      </c>
      <c r="AG3706" t="s">
        <v>5748</v>
      </c>
      <c r="AH3706" t="s">
        <v>4902</v>
      </c>
      <c r="AI3706" t="s">
        <v>10378</v>
      </c>
      <c r="AJ3706" t="s">
        <v>770</v>
      </c>
      <c r="AK3706" t="s">
        <v>30308</v>
      </c>
      <c r="AL3706">
        <v>1.93</v>
      </c>
      <c r="AM3706">
        <v>1.1399999999999999</v>
      </c>
      <c r="AN3706">
        <v>0.59</v>
      </c>
      <c r="AO3706" t="s">
        <v>8544</v>
      </c>
      <c r="AP3706" t="s">
        <v>1022</v>
      </c>
      <c r="AQ3706" t="s">
        <v>6245</v>
      </c>
      <c r="AR3706" t="s">
        <v>4916</v>
      </c>
      <c r="AS3706" t="s">
        <v>295</v>
      </c>
      <c r="AT3706" t="s">
        <v>9254</v>
      </c>
      <c r="AU3706" t="s">
        <v>8004</v>
      </c>
      <c r="AV3706" t="s">
        <v>4634</v>
      </c>
      <c r="AW3706" t="s">
        <v>11872</v>
      </c>
      <c r="AX3706" t="s">
        <v>465</v>
      </c>
      <c r="AY3706" t="s">
        <v>5034</v>
      </c>
      <c r="AZ3706" t="s">
        <v>6747</v>
      </c>
      <c r="BA3706">
        <v>3</v>
      </c>
      <c r="BB3706">
        <v>50.4</v>
      </c>
      <c r="BC3706">
        <v>0.78</v>
      </c>
      <c r="BD3706">
        <v>15.55</v>
      </c>
      <c r="BE3706">
        <v>16.12</v>
      </c>
      <c r="BF3706">
        <v>15.61</v>
      </c>
      <c r="BG3706" t="s">
        <v>30309</v>
      </c>
      <c r="BH3706" t="s">
        <v>6943</v>
      </c>
      <c r="BI3706" t="s">
        <v>30310</v>
      </c>
      <c r="BJ3706" t="s">
        <v>101</v>
      </c>
      <c r="BK3706" t="s">
        <v>9123</v>
      </c>
      <c r="BL3706" t="s">
        <v>386</v>
      </c>
      <c r="BM3706" t="s">
        <v>4686</v>
      </c>
      <c r="BN3706" t="s">
        <v>27621</v>
      </c>
    </row>
    <row r="3707" spans="1:66" x14ac:dyDescent="0.25">
      <c r="A3707" t="str">
        <f>HYPERLINK("https://elite.finviz.com/quote.ashx?t=TNET&amp;ty=c&amp;p=d&amp;b=1", "TNET")</f>
        <v>TNET</v>
      </c>
      <c r="B3707">
        <v>4</v>
      </c>
      <c r="C3707">
        <v>105.92</v>
      </c>
      <c r="D3707">
        <v>42.42</v>
      </c>
      <c r="E3707" t="s">
        <v>30311</v>
      </c>
      <c r="F3707" t="s">
        <v>67</v>
      </c>
      <c r="G3707" t="s">
        <v>260</v>
      </c>
      <c r="H3707" t="s">
        <v>8693</v>
      </c>
      <c r="I3707" t="s">
        <v>70</v>
      </c>
      <c r="J3707" t="s">
        <v>71</v>
      </c>
      <c r="K3707">
        <v>3227.46</v>
      </c>
      <c r="L3707">
        <v>66.42</v>
      </c>
      <c r="M3707" t="s">
        <v>5692</v>
      </c>
      <c r="N3707">
        <v>51692</v>
      </c>
      <c r="O3707">
        <v>22.67</v>
      </c>
      <c r="P3707">
        <v>13.62</v>
      </c>
      <c r="Q3707">
        <v>10.5</v>
      </c>
      <c r="R3707">
        <v>0.64</v>
      </c>
      <c r="S3707">
        <v>30.16</v>
      </c>
      <c r="T3707" t="s">
        <v>4275</v>
      </c>
      <c r="U3707">
        <v>1.05</v>
      </c>
      <c r="V3707" t="s">
        <v>700</v>
      </c>
      <c r="Z3707" t="s">
        <v>7796</v>
      </c>
      <c r="AA3707">
        <v>2.93</v>
      </c>
      <c r="AB3707" t="s">
        <v>10726</v>
      </c>
      <c r="AC3707" t="s">
        <v>6118</v>
      </c>
      <c r="AD3707" t="s">
        <v>714</v>
      </c>
      <c r="AE3707" t="s">
        <v>5058</v>
      </c>
      <c r="AF3707" t="s">
        <v>3613</v>
      </c>
      <c r="AG3707" t="s">
        <v>892</v>
      </c>
      <c r="AH3707" t="s">
        <v>5055</v>
      </c>
      <c r="AI3707" t="s">
        <v>14731</v>
      </c>
      <c r="AJ3707" t="s">
        <v>3940</v>
      </c>
      <c r="AK3707" t="s">
        <v>2658</v>
      </c>
      <c r="AL3707">
        <v>1.1000000000000001</v>
      </c>
      <c r="AM3707">
        <v>1.1000000000000001</v>
      </c>
      <c r="AN3707">
        <v>9.67</v>
      </c>
      <c r="AO3707" t="s">
        <v>6746</v>
      </c>
      <c r="AP3707" t="s">
        <v>2811</v>
      </c>
      <c r="AQ3707" t="s">
        <v>862</v>
      </c>
      <c r="AR3707" t="s">
        <v>862</v>
      </c>
      <c r="AS3707" t="s">
        <v>5929</v>
      </c>
      <c r="AT3707" t="s">
        <v>759</v>
      </c>
      <c r="AU3707" t="s">
        <v>6257</v>
      </c>
      <c r="AV3707" t="s">
        <v>11358</v>
      </c>
      <c r="AW3707" t="s">
        <v>6227</v>
      </c>
      <c r="AX3707" t="s">
        <v>464</v>
      </c>
      <c r="AY3707" t="s">
        <v>25221</v>
      </c>
      <c r="AZ3707" t="s">
        <v>464</v>
      </c>
      <c r="BA3707">
        <v>2.71</v>
      </c>
      <c r="BB3707">
        <v>463.67</v>
      </c>
      <c r="BC3707">
        <v>0.39</v>
      </c>
      <c r="BD3707">
        <v>65.55</v>
      </c>
      <c r="BE3707">
        <v>66.61</v>
      </c>
      <c r="BF3707">
        <v>65.680000000000007</v>
      </c>
      <c r="BG3707" t="s">
        <v>30312</v>
      </c>
      <c r="BH3707" t="s">
        <v>27258</v>
      </c>
      <c r="BI3707" t="s">
        <v>30313</v>
      </c>
      <c r="BJ3707" t="s">
        <v>101</v>
      </c>
      <c r="BK3707" t="s">
        <v>5205</v>
      </c>
      <c r="BL3707" t="s">
        <v>172</v>
      </c>
      <c r="BM3707" t="s">
        <v>19555</v>
      </c>
      <c r="BN3707" t="s">
        <v>27621</v>
      </c>
    </row>
    <row r="3708" spans="1:66" x14ac:dyDescent="0.25">
      <c r="A3708" t="str">
        <f>HYPERLINK("https://elite.finviz.com/quote.ashx?t=NGNE&amp;ty=c&amp;p=d&amp;b=1", "NGNE")</f>
        <v>NGNE</v>
      </c>
      <c r="B3708">
        <v>4</v>
      </c>
      <c r="C3708">
        <v>105.92</v>
      </c>
      <c r="D3708">
        <v>42.43</v>
      </c>
      <c r="E3708" t="s">
        <v>30314</v>
      </c>
      <c r="F3708" t="s">
        <v>67</v>
      </c>
      <c r="G3708" t="s">
        <v>428</v>
      </c>
      <c r="H3708" t="s">
        <v>429</v>
      </c>
      <c r="I3708" t="s">
        <v>70</v>
      </c>
      <c r="J3708" t="s">
        <v>321</v>
      </c>
      <c r="K3708">
        <v>250.33</v>
      </c>
      <c r="L3708">
        <v>17.54</v>
      </c>
      <c r="M3708" t="s">
        <v>3169</v>
      </c>
      <c r="N3708">
        <v>16734</v>
      </c>
      <c r="S3708">
        <v>0.92</v>
      </c>
      <c r="AA3708">
        <v>-4.63</v>
      </c>
      <c r="AB3708" t="s">
        <v>23016</v>
      </c>
      <c r="AC3708" t="s">
        <v>4284</v>
      </c>
      <c r="AD3708" t="s">
        <v>15204</v>
      </c>
      <c r="AE3708" t="s">
        <v>579</v>
      </c>
      <c r="AH3708" t="s">
        <v>579</v>
      </c>
      <c r="AI3708" t="s">
        <v>369</v>
      </c>
      <c r="AJ3708" t="s">
        <v>6871</v>
      </c>
      <c r="AK3708" t="s">
        <v>30315</v>
      </c>
      <c r="AL3708">
        <v>18.07</v>
      </c>
      <c r="AM3708">
        <v>18.07</v>
      </c>
      <c r="AN3708">
        <v>0.04</v>
      </c>
      <c r="AR3708" t="s">
        <v>6956</v>
      </c>
      <c r="AS3708" t="s">
        <v>2124</v>
      </c>
      <c r="AT3708" t="s">
        <v>4404</v>
      </c>
      <c r="AU3708" t="s">
        <v>2226</v>
      </c>
      <c r="AV3708" t="s">
        <v>5309</v>
      </c>
      <c r="AW3708" t="s">
        <v>16914</v>
      </c>
      <c r="AX3708" t="s">
        <v>4908</v>
      </c>
      <c r="AY3708" t="s">
        <v>12425</v>
      </c>
      <c r="AZ3708" t="s">
        <v>20086</v>
      </c>
      <c r="BA3708">
        <v>1</v>
      </c>
      <c r="BB3708">
        <v>160.82</v>
      </c>
      <c r="BC3708">
        <v>0.37</v>
      </c>
      <c r="BD3708">
        <v>17.41</v>
      </c>
      <c r="BE3708">
        <v>17.73</v>
      </c>
      <c r="BF3708">
        <v>17.239999999999998</v>
      </c>
      <c r="BG3708" t="s">
        <v>30316</v>
      </c>
      <c r="BH3708" t="s">
        <v>20545</v>
      </c>
      <c r="BI3708" t="s">
        <v>20086</v>
      </c>
      <c r="BJ3708" t="s">
        <v>101</v>
      </c>
      <c r="BK3708" t="s">
        <v>5607</v>
      </c>
      <c r="BL3708" t="s">
        <v>9122</v>
      </c>
      <c r="BM3708" t="s">
        <v>5088</v>
      </c>
      <c r="BN3708" t="s">
        <v>27621</v>
      </c>
    </row>
    <row r="3709" spans="1:66" x14ac:dyDescent="0.25">
      <c r="A3709" t="str">
        <f>HYPERLINK("https://elite.finviz.com/quote.ashx?t=CVGI&amp;ty=c&amp;p=d&amp;b=1", "CVGI")</f>
        <v>CVGI</v>
      </c>
      <c r="B3709">
        <v>4</v>
      </c>
      <c r="C3709">
        <v>105.92</v>
      </c>
      <c r="D3709">
        <v>42.43</v>
      </c>
      <c r="E3709" t="s">
        <v>30317</v>
      </c>
      <c r="F3709" t="s">
        <v>107</v>
      </c>
      <c r="G3709" t="s">
        <v>813</v>
      </c>
      <c r="H3709" t="s">
        <v>814</v>
      </c>
      <c r="I3709" t="s">
        <v>70</v>
      </c>
      <c r="J3709" t="s">
        <v>321</v>
      </c>
      <c r="K3709">
        <v>62.5</v>
      </c>
      <c r="L3709">
        <v>1.69</v>
      </c>
      <c r="M3709" t="s">
        <v>3208</v>
      </c>
      <c r="N3709">
        <v>97959</v>
      </c>
      <c r="P3709">
        <v>13.52</v>
      </c>
      <c r="R3709">
        <v>0.09</v>
      </c>
      <c r="S3709">
        <v>0.37</v>
      </c>
      <c r="AA3709">
        <v>-1.1399999999999999</v>
      </c>
      <c r="AE3709" t="s">
        <v>10051</v>
      </c>
      <c r="AF3709" t="s">
        <v>13003</v>
      </c>
      <c r="AG3709" t="s">
        <v>7468</v>
      </c>
      <c r="AH3709" t="s">
        <v>15646</v>
      </c>
      <c r="AI3709" t="s">
        <v>19926</v>
      </c>
      <c r="AJ3709" t="s">
        <v>164</v>
      </c>
      <c r="AK3709" t="s">
        <v>6132</v>
      </c>
      <c r="AL3709">
        <v>2.41</v>
      </c>
      <c r="AM3709">
        <v>1.48</v>
      </c>
      <c r="AN3709">
        <v>1.1100000000000001</v>
      </c>
      <c r="AO3709" t="s">
        <v>4728</v>
      </c>
      <c r="AP3709" t="s">
        <v>2486</v>
      </c>
      <c r="AQ3709" t="s">
        <v>8889</v>
      </c>
      <c r="AR3709" t="s">
        <v>2884</v>
      </c>
      <c r="AS3709" t="s">
        <v>5152</v>
      </c>
      <c r="AT3709" t="s">
        <v>8626</v>
      </c>
      <c r="AU3709" t="s">
        <v>4174</v>
      </c>
      <c r="AV3709" t="s">
        <v>4953</v>
      </c>
      <c r="AW3709" t="s">
        <v>410</v>
      </c>
      <c r="AX3709" t="s">
        <v>3443</v>
      </c>
      <c r="AY3709" t="s">
        <v>23002</v>
      </c>
      <c r="AZ3709" t="s">
        <v>30318</v>
      </c>
      <c r="BA3709">
        <v>1</v>
      </c>
      <c r="BB3709">
        <v>255.76</v>
      </c>
      <c r="BC3709">
        <v>1.35</v>
      </c>
      <c r="BD3709">
        <v>1.65</v>
      </c>
      <c r="BE3709">
        <v>1.73</v>
      </c>
      <c r="BF3709">
        <v>1.67</v>
      </c>
      <c r="BG3709" t="s">
        <v>30319</v>
      </c>
      <c r="BH3709" t="s">
        <v>12361</v>
      </c>
      <c r="BI3709" t="s">
        <v>30320</v>
      </c>
      <c r="BJ3709" t="s">
        <v>101</v>
      </c>
      <c r="BK3709" t="s">
        <v>4558</v>
      </c>
      <c r="BL3709" t="s">
        <v>3889</v>
      </c>
      <c r="BM3709" t="s">
        <v>23818</v>
      </c>
      <c r="BN3709" t="s">
        <v>27621</v>
      </c>
    </row>
    <row r="3710" spans="1:66" x14ac:dyDescent="0.25">
      <c r="A3710" t="str">
        <f>HYPERLINK("https://elite.finviz.com/quote.ashx?t=INTA&amp;ty=c&amp;p=d&amp;b=1", "INTA")</f>
        <v>INTA</v>
      </c>
      <c r="B3710">
        <v>4</v>
      </c>
      <c r="C3710">
        <v>105.92</v>
      </c>
      <c r="D3710">
        <v>42.43</v>
      </c>
      <c r="E3710" t="s">
        <v>30321</v>
      </c>
      <c r="F3710" t="s">
        <v>67</v>
      </c>
      <c r="G3710" t="s">
        <v>108</v>
      </c>
      <c r="H3710" t="s">
        <v>136</v>
      </c>
      <c r="I3710" t="s">
        <v>70</v>
      </c>
      <c r="J3710" t="s">
        <v>321</v>
      </c>
      <c r="K3710">
        <v>3490.58</v>
      </c>
      <c r="L3710">
        <v>42.51</v>
      </c>
      <c r="M3710" t="s">
        <v>273</v>
      </c>
      <c r="N3710">
        <v>82409</v>
      </c>
      <c r="P3710">
        <v>31.57</v>
      </c>
      <c r="R3710">
        <v>6.92</v>
      </c>
      <c r="S3710">
        <v>6.7</v>
      </c>
      <c r="AA3710">
        <v>-0.23</v>
      </c>
      <c r="AB3710" t="s">
        <v>1184</v>
      </c>
      <c r="AC3710" t="s">
        <v>16688</v>
      </c>
      <c r="AD3710" t="s">
        <v>3676</v>
      </c>
      <c r="AE3710" t="s">
        <v>2866</v>
      </c>
      <c r="AF3710" t="s">
        <v>18081</v>
      </c>
      <c r="AG3710" t="s">
        <v>10516</v>
      </c>
      <c r="AH3710" t="s">
        <v>433</v>
      </c>
      <c r="AI3710" t="s">
        <v>1643</v>
      </c>
      <c r="AJ3710" t="s">
        <v>3431</v>
      </c>
      <c r="AK3710" t="s">
        <v>19165</v>
      </c>
      <c r="AL3710">
        <v>1.26</v>
      </c>
      <c r="AM3710">
        <v>1.26</v>
      </c>
      <c r="AN3710">
        <v>0.04</v>
      </c>
      <c r="AO3710" t="s">
        <v>11676</v>
      </c>
      <c r="AP3710" t="s">
        <v>6693</v>
      </c>
      <c r="AQ3710" t="s">
        <v>1387</v>
      </c>
      <c r="AR3710" t="s">
        <v>2356</v>
      </c>
      <c r="AS3710" t="s">
        <v>3636</v>
      </c>
      <c r="AT3710" t="s">
        <v>1580</v>
      </c>
      <c r="AU3710" t="s">
        <v>2263</v>
      </c>
      <c r="AV3710" t="s">
        <v>27269</v>
      </c>
      <c r="AW3710" t="s">
        <v>16624</v>
      </c>
      <c r="AX3710" t="s">
        <v>8415</v>
      </c>
      <c r="AY3710" t="s">
        <v>26319</v>
      </c>
      <c r="AZ3710" t="s">
        <v>8415</v>
      </c>
      <c r="BA3710">
        <v>2.09</v>
      </c>
      <c r="BB3710">
        <v>981.5</v>
      </c>
      <c r="BC3710">
        <v>0.3</v>
      </c>
      <c r="BD3710">
        <v>42.03</v>
      </c>
      <c r="BE3710">
        <v>42.73</v>
      </c>
      <c r="BF3710">
        <v>41.74</v>
      </c>
      <c r="BG3710" t="s">
        <v>30322</v>
      </c>
      <c r="BH3710" t="s">
        <v>26319</v>
      </c>
      <c r="BI3710" t="s">
        <v>30323</v>
      </c>
      <c r="BJ3710" t="s">
        <v>101</v>
      </c>
      <c r="BK3710" t="s">
        <v>9384</v>
      </c>
      <c r="BL3710" t="s">
        <v>16398</v>
      </c>
      <c r="BM3710" t="s">
        <v>14610</v>
      </c>
      <c r="BN3710" t="s">
        <v>27621</v>
      </c>
    </row>
    <row r="3711" spans="1:66" x14ac:dyDescent="0.25">
      <c r="A3711" t="str">
        <f>HYPERLINK("https://elite.finviz.com/quote.ashx?t=CHCT&amp;ty=c&amp;p=d&amp;b=1", "CHCT")</f>
        <v>CHCT</v>
      </c>
      <c r="B3711">
        <v>4</v>
      </c>
      <c r="C3711">
        <v>105.92</v>
      </c>
      <c r="D3711">
        <v>42.43</v>
      </c>
      <c r="E3711" t="s">
        <v>30324</v>
      </c>
      <c r="F3711" t="s">
        <v>67</v>
      </c>
      <c r="G3711" t="s">
        <v>68</v>
      </c>
      <c r="H3711" t="s">
        <v>6072</v>
      </c>
      <c r="I3711" t="s">
        <v>70</v>
      </c>
      <c r="J3711" t="s">
        <v>71</v>
      </c>
      <c r="K3711">
        <v>425.22</v>
      </c>
      <c r="L3711">
        <v>14.99</v>
      </c>
      <c r="M3711" t="s">
        <v>171</v>
      </c>
      <c r="N3711">
        <v>22752</v>
      </c>
      <c r="P3711">
        <v>33.31</v>
      </c>
      <c r="R3711">
        <v>3.6</v>
      </c>
      <c r="S3711">
        <v>0.97</v>
      </c>
      <c r="T3711" t="s">
        <v>11867</v>
      </c>
      <c r="U3711">
        <v>1.88</v>
      </c>
      <c r="V3711" t="s">
        <v>1762</v>
      </c>
      <c r="W3711" t="s">
        <v>5660</v>
      </c>
      <c r="X3711" t="s">
        <v>2421</v>
      </c>
      <c r="Y3711" t="s">
        <v>2876</v>
      </c>
      <c r="AA3711">
        <v>-0.39</v>
      </c>
      <c r="AE3711" t="s">
        <v>7154</v>
      </c>
      <c r="AF3711" t="s">
        <v>1700</v>
      </c>
      <c r="AG3711" t="s">
        <v>10137</v>
      </c>
      <c r="AH3711" t="s">
        <v>1772</v>
      </c>
      <c r="AI3711" t="s">
        <v>30325</v>
      </c>
      <c r="AJ3711" t="s">
        <v>2509</v>
      </c>
      <c r="AK3711" t="s">
        <v>30326</v>
      </c>
      <c r="AL3711">
        <v>3.31</v>
      </c>
      <c r="AM3711">
        <v>3.31</v>
      </c>
      <c r="AN3711">
        <v>1.1599999999999999</v>
      </c>
      <c r="AO3711" t="s">
        <v>11421</v>
      </c>
      <c r="AP3711" t="s">
        <v>4108</v>
      </c>
      <c r="AQ3711" t="s">
        <v>4397</v>
      </c>
      <c r="AR3711" t="s">
        <v>4276</v>
      </c>
      <c r="AS3711" t="s">
        <v>2421</v>
      </c>
      <c r="AT3711" t="s">
        <v>5661</v>
      </c>
      <c r="AU3711" t="s">
        <v>5778</v>
      </c>
      <c r="AV3711" t="s">
        <v>10968</v>
      </c>
      <c r="AW3711" t="s">
        <v>13083</v>
      </c>
      <c r="AX3711" t="s">
        <v>892</v>
      </c>
      <c r="AY3711" t="s">
        <v>23633</v>
      </c>
      <c r="AZ3711" t="s">
        <v>892</v>
      </c>
      <c r="BA3711">
        <v>1.8</v>
      </c>
      <c r="BB3711">
        <v>260.49</v>
      </c>
      <c r="BC3711">
        <v>0.31</v>
      </c>
      <c r="BD3711">
        <v>15</v>
      </c>
      <c r="BE3711">
        <v>15.13</v>
      </c>
      <c r="BF3711">
        <v>14.99</v>
      </c>
      <c r="BG3711" t="s">
        <v>30327</v>
      </c>
      <c r="BH3711" t="s">
        <v>30328</v>
      </c>
      <c r="BI3711" t="s">
        <v>892</v>
      </c>
      <c r="BJ3711" t="s">
        <v>101</v>
      </c>
      <c r="BK3711" t="s">
        <v>4887</v>
      </c>
      <c r="BL3711" t="s">
        <v>16135</v>
      </c>
      <c r="BM3711" t="s">
        <v>20037</v>
      </c>
      <c r="BN3711" t="s">
        <v>27621</v>
      </c>
    </row>
    <row r="3712" spans="1:66" x14ac:dyDescent="0.25">
      <c r="A3712" t="str">
        <f>HYPERLINK("https://elite.finviz.com/quote.ashx?t=KOP&amp;ty=c&amp;p=d&amp;b=1", "KOP")</f>
        <v>KOP</v>
      </c>
      <c r="B3712">
        <v>4</v>
      </c>
      <c r="C3712">
        <v>105.92</v>
      </c>
      <c r="D3712">
        <v>42.46</v>
      </c>
      <c r="E3712" t="s">
        <v>30329</v>
      </c>
      <c r="F3712" t="s">
        <v>67</v>
      </c>
      <c r="G3712" t="s">
        <v>355</v>
      </c>
      <c r="H3712" t="s">
        <v>1147</v>
      </c>
      <c r="I3712" t="s">
        <v>70</v>
      </c>
      <c r="J3712" t="s">
        <v>71</v>
      </c>
      <c r="K3712">
        <v>558.34</v>
      </c>
      <c r="L3712">
        <v>28.32</v>
      </c>
      <c r="M3712" t="s">
        <v>1763</v>
      </c>
      <c r="N3712">
        <v>12605</v>
      </c>
      <c r="O3712">
        <v>39.74</v>
      </c>
      <c r="P3712">
        <v>6</v>
      </c>
      <c r="R3712">
        <v>0.28000000000000003</v>
      </c>
      <c r="S3712">
        <v>1.06</v>
      </c>
      <c r="T3712" t="s">
        <v>581</v>
      </c>
      <c r="U3712">
        <v>0.31</v>
      </c>
      <c r="V3712" t="s">
        <v>4882</v>
      </c>
      <c r="W3712" t="s">
        <v>1001</v>
      </c>
      <c r="Z3712" t="s">
        <v>8086</v>
      </c>
      <c r="AA3712">
        <v>0.71</v>
      </c>
      <c r="AB3712" t="s">
        <v>19619</v>
      </c>
      <c r="AC3712" t="s">
        <v>6480</v>
      </c>
      <c r="AE3712" t="s">
        <v>10713</v>
      </c>
      <c r="AF3712" t="s">
        <v>417</v>
      </c>
      <c r="AG3712" t="s">
        <v>5620</v>
      </c>
      <c r="AH3712" t="s">
        <v>14249</v>
      </c>
      <c r="AI3712" t="s">
        <v>4431</v>
      </c>
      <c r="AJ3712" t="s">
        <v>2294</v>
      </c>
      <c r="AK3712" t="s">
        <v>7736</v>
      </c>
      <c r="AL3712">
        <v>2.6</v>
      </c>
      <c r="AM3712">
        <v>1.1100000000000001</v>
      </c>
      <c r="AN3712">
        <v>2.0299999999999998</v>
      </c>
      <c r="AO3712" t="s">
        <v>7287</v>
      </c>
      <c r="AP3712" t="s">
        <v>4288</v>
      </c>
      <c r="AQ3712" t="s">
        <v>6245</v>
      </c>
      <c r="AR3712" t="s">
        <v>2421</v>
      </c>
      <c r="AS3712" t="s">
        <v>1902</v>
      </c>
      <c r="AT3712" t="s">
        <v>5789</v>
      </c>
      <c r="AU3712" t="s">
        <v>5137</v>
      </c>
      <c r="AV3712" t="s">
        <v>8929</v>
      </c>
      <c r="AW3712" t="s">
        <v>16906</v>
      </c>
      <c r="AX3712" t="s">
        <v>2064</v>
      </c>
      <c r="AY3712" t="s">
        <v>26248</v>
      </c>
      <c r="AZ3712" t="s">
        <v>2439</v>
      </c>
      <c r="BA3712">
        <v>1</v>
      </c>
      <c r="BB3712">
        <v>164.86</v>
      </c>
      <c r="BC3712">
        <v>0.27</v>
      </c>
      <c r="BD3712">
        <v>28.15</v>
      </c>
      <c r="BE3712">
        <v>28.46</v>
      </c>
      <c r="BF3712">
        <v>28.16</v>
      </c>
      <c r="BG3712" t="s">
        <v>30330</v>
      </c>
      <c r="BH3712" t="s">
        <v>30331</v>
      </c>
      <c r="BI3712" t="s">
        <v>30332</v>
      </c>
      <c r="BJ3712" t="s">
        <v>101</v>
      </c>
      <c r="BK3712" t="s">
        <v>14846</v>
      </c>
      <c r="BL3712" t="s">
        <v>5686</v>
      </c>
      <c r="BM3712" t="s">
        <v>25231</v>
      </c>
      <c r="BN3712" t="s">
        <v>27621</v>
      </c>
    </row>
    <row r="3713" spans="1:66" x14ac:dyDescent="0.25">
      <c r="A3713" t="str">
        <f>HYPERLINK("https://elite.finviz.com/quote.ashx?t=CXAI&amp;ty=c&amp;p=d&amp;b=1", "CXAI")</f>
        <v>CXAI</v>
      </c>
      <c r="B3713">
        <v>4</v>
      </c>
      <c r="C3713">
        <v>105.92</v>
      </c>
      <c r="D3713">
        <v>42.47</v>
      </c>
      <c r="E3713" t="s">
        <v>30333</v>
      </c>
      <c r="F3713" t="s">
        <v>107</v>
      </c>
      <c r="G3713" t="s">
        <v>108</v>
      </c>
      <c r="H3713" t="s">
        <v>136</v>
      </c>
      <c r="I3713" t="s">
        <v>70</v>
      </c>
      <c r="J3713" t="s">
        <v>321</v>
      </c>
      <c r="K3713">
        <v>16.87</v>
      </c>
      <c r="L3713">
        <v>0.72</v>
      </c>
      <c r="M3713" t="s">
        <v>149</v>
      </c>
      <c r="N3713">
        <v>259152</v>
      </c>
      <c r="R3713">
        <v>2.81</v>
      </c>
      <c r="S3713">
        <v>1.08</v>
      </c>
      <c r="AA3713">
        <v>-0.78</v>
      </c>
      <c r="AC3713" t="s">
        <v>24461</v>
      </c>
      <c r="AD3713" t="s">
        <v>7713</v>
      </c>
      <c r="AE3713" t="s">
        <v>7509</v>
      </c>
      <c r="AH3713" t="s">
        <v>2353</v>
      </c>
      <c r="AI3713" t="s">
        <v>4724</v>
      </c>
      <c r="AJ3713" t="s">
        <v>164</v>
      </c>
      <c r="AK3713" t="s">
        <v>1625</v>
      </c>
      <c r="AL3713">
        <v>0.82</v>
      </c>
      <c r="AM3713">
        <v>0.82</v>
      </c>
      <c r="AN3713">
        <v>0.56000000000000005</v>
      </c>
      <c r="AO3713" t="s">
        <v>6840</v>
      </c>
      <c r="AP3713" t="s">
        <v>30334</v>
      </c>
      <c r="AQ3713" t="s">
        <v>30335</v>
      </c>
      <c r="AR3713" t="s">
        <v>7854</v>
      </c>
      <c r="AS3713" t="s">
        <v>327</v>
      </c>
      <c r="AT3713" t="s">
        <v>2856</v>
      </c>
      <c r="AU3713" t="s">
        <v>15334</v>
      </c>
      <c r="AV3713" t="s">
        <v>5411</v>
      </c>
      <c r="AW3713" t="s">
        <v>24769</v>
      </c>
      <c r="AX3713" t="s">
        <v>15372</v>
      </c>
      <c r="AY3713" t="s">
        <v>1317</v>
      </c>
      <c r="AZ3713" t="s">
        <v>15372</v>
      </c>
      <c r="BA3713">
        <v>1</v>
      </c>
      <c r="BB3713">
        <v>651.16999999999996</v>
      </c>
      <c r="BC3713">
        <v>1.4</v>
      </c>
      <c r="BD3713">
        <v>0.72</v>
      </c>
      <c r="BE3713">
        <v>0.75</v>
      </c>
      <c r="BF3713">
        <v>0.7</v>
      </c>
      <c r="BG3713" t="s">
        <v>30336</v>
      </c>
      <c r="BH3713" t="s">
        <v>30337</v>
      </c>
      <c r="BI3713" t="s">
        <v>15372</v>
      </c>
      <c r="BJ3713" t="s">
        <v>101</v>
      </c>
      <c r="BK3713" t="s">
        <v>4543</v>
      </c>
      <c r="BL3713" t="s">
        <v>11617</v>
      </c>
      <c r="BM3713" t="s">
        <v>25094</v>
      </c>
      <c r="BN3713" t="s">
        <v>27621</v>
      </c>
    </row>
    <row r="3714" spans="1:66" x14ac:dyDescent="0.25">
      <c r="A3714" t="str">
        <f>HYPERLINK("https://elite.finviz.com/quote.ashx?t=WHG&amp;ty=c&amp;p=d&amp;b=1", "WHG")</f>
        <v>WHG</v>
      </c>
      <c r="B3714">
        <v>4</v>
      </c>
      <c r="C3714">
        <v>105.92</v>
      </c>
      <c r="D3714">
        <v>42.49</v>
      </c>
      <c r="E3714" t="s">
        <v>30338</v>
      </c>
      <c r="F3714" t="s">
        <v>67</v>
      </c>
      <c r="G3714" t="s">
        <v>550</v>
      </c>
      <c r="H3714" t="s">
        <v>2597</v>
      </c>
      <c r="I3714" t="s">
        <v>70</v>
      </c>
      <c r="J3714" t="s">
        <v>71</v>
      </c>
      <c r="K3714">
        <v>158.13999999999999</v>
      </c>
      <c r="L3714">
        <v>16.809999999999999</v>
      </c>
      <c r="M3714" t="s">
        <v>4886</v>
      </c>
      <c r="N3714">
        <v>1538</v>
      </c>
      <c r="O3714">
        <v>40.29</v>
      </c>
      <c r="R3714">
        <v>1.63</v>
      </c>
      <c r="S3714">
        <v>1.31</v>
      </c>
      <c r="T3714" t="s">
        <v>975</v>
      </c>
      <c r="U3714">
        <v>0.6</v>
      </c>
      <c r="V3714" t="s">
        <v>2187</v>
      </c>
      <c r="W3714" t="s">
        <v>164</v>
      </c>
      <c r="X3714" t="s">
        <v>1115</v>
      </c>
      <c r="Y3714" t="s">
        <v>30339</v>
      </c>
      <c r="Z3714" t="s">
        <v>30340</v>
      </c>
      <c r="AA3714">
        <v>0.42</v>
      </c>
      <c r="AB3714" t="s">
        <v>21762</v>
      </c>
      <c r="AC3714" t="s">
        <v>16736</v>
      </c>
      <c r="AE3714" t="s">
        <v>6182</v>
      </c>
      <c r="AF3714" t="s">
        <v>3948</v>
      </c>
      <c r="AG3714" t="s">
        <v>4255</v>
      </c>
      <c r="AH3714" t="s">
        <v>617</v>
      </c>
      <c r="AJ3714" t="s">
        <v>1086</v>
      </c>
      <c r="AK3714" t="s">
        <v>7042</v>
      </c>
      <c r="AL3714">
        <v>2.12</v>
      </c>
      <c r="AM3714">
        <v>2.12</v>
      </c>
      <c r="AN3714">
        <v>0.09</v>
      </c>
      <c r="AO3714" t="s">
        <v>21579</v>
      </c>
      <c r="AP3714" t="s">
        <v>578</v>
      </c>
      <c r="AQ3714" t="s">
        <v>2108</v>
      </c>
      <c r="AR3714" t="s">
        <v>2822</v>
      </c>
      <c r="AS3714" t="s">
        <v>2273</v>
      </c>
      <c r="AT3714" t="s">
        <v>8937</v>
      </c>
      <c r="AU3714" t="s">
        <v>11242</v>
      </c>
      <c r="AV3714" t="s">
        <v>4659</v>
      </c>
      <c r="AW3714" t="s">
        <v>18614</v>
      </c>
      <c r="AX3714" t="s">
        <v>6456</v>
      </c>
      <c r="AY3714" t="s">
        <v>18614</v>
      </c>
      <c r="AZ3714" t="s">
        <v>16179</v>
      </c>
      <c r="BB3714">
        <v>29.43</v>
      </c>
      <c r="BC3714">
        <v>0.19</v>
      </c>
      <c r="BD3714">
        <v>16.89</v>
      </c>
      <c r="BE3714">
        <v>16</v>
      </c>
      <c r="BF3714">
        <v>16</v>
      </c>
      <c r="BG3714" t="s">
        <v>30341</v>
      </c>
      <c r="BH3714" t="s">
        <v>10523</v>
      </c>
      <c r="BI3714" t="s">
        <v>8972</v>
      </c>
      <c r="BJ3714" t="s">
        <v>101</v>
      </c>
      <c r="BK3714" t="s">
        <v>1341</v>
      </c>
      <c r="BL3714" t="s">
        <v>4538</v>
      </c>
      <c r="BM3714" t="s">
        <v>6968</v>
      </c>
      <c r="BN3714" t="s">
        <v>27621</v>
      </c>
    </row>
    <row r="3715" spans="1:66" x14ac:dyDescent="0.25">
      <c r="A3715" t="str">
        <f>HYPERLINK("https://elite.finviz.com/quote.ashx?t=SDHC&amp;ty=c&amp;p=d&amp;b=1", "SDHC")</f>
        <v>SDHC</v>
      </c>
      <c r="B3715">
        <v>4</v>
      </c>
      <c r="C3715">
        <v>105.92</v>
      </c>
      <c r="D3715">
        <v>42.49</v>
      </c>
      <c r="E3715" t="s">
        <v>30342</v>
      </c>
      <c r="F3715" t="s">
        <v>107</v>
      </c>
      <c r="G3715" t="s">
        <v>68</v>
      </c>
      <c r="H3715" t="s">
        <v>11109</v>
      </c>
      <c r="I3715" t="s">
        <v>70</v>
      </c>
      <c r="J3715" t="s">
        <v>71</v>
      </c>
      <c r="K3715">
        <v>161.32</v>
      </c>
      <c r="L3715">
        <v>17.89</v>
      </c>
      <c r="M3715" t="s">
        <v>1086</v>
      </c>
      <c r="N3715">
        <v>10046</v>
      </c>
      <c r="O3715">
        <v>10.98</v>
      </c>
      <c r="P3715">
        <v>17.260000000000002</v>
      </c>
      <c r="R3715">
        <v>0.16</v>
      </c>
      <c r="S3715">
        <v>2.02</v>
      </c>
      <c r="Z3715" t="s">
        <v>164</v>
      </c>
      <c r="AA3715">
        <v>1.63</v>
      </c>
      <c r="AB3715" t="s">
        <v>16067</v>
      </c>
      <c r="AD3715" t="s">
        <v>2988</v>
      </c>
      <c r="AE3715" t="s">
        <v>9151</v>
      </c>
      <c r="AF3715" t="s">
        <v>9224</v>
      </c>
      <c r="AH3715" t="s">
        <v>3976</v>
      </c>
      <c r="AI3715" t="s">
        <v>12712</v>
      </c>
      <c r="AJ3715" t="s">
        <v>3526</v>
      </c>
      <c r="AK3715" t="s">
        <v>20812</v>
      </c>
      <c r="AL3715">
        <v>7.36</v>
      </c>
      <c r="AM3715">
        <v>0.37</v>
      </c>
      <c r="AN3715">
        <v>0.95</v>
      </c>
      <c r="AO3715" t="s">
        <v>2970</v>
      </c>
      <c r="AP3715" t="s">
        <v>3549</v>
      </c>
      <c r="AQ3715" t="s">
        <v>6829</v>
      </c>
      <c r="AR3715" t="s">
        <v>2777</v>
      </c>
      <c r="AS3715" t="s">
        <v>2370</v>
      </c>
      <c r="AT3715" t="s">
        <v>681</v>
      </c>
      <c r="AU3715" t="s">
        <v>6403</v>
      </c>
      <c r="AV3715" t="s">
        <v>6482</v>
      </c>
      <c r="AW3715" t="s">
        <v>18254</v>
      </c>
      <c r="AX3715" t="s">
        <v>2542</v>
      </c>
      <c r="AY3715" t="s">
        <v>15829</v>
      </c>
      <c r="AZ3715" t="s">
        <v>1066</v>
      </c>
      <c r="BA3715">
        <v>3.17</v>
      </c>
      <c r="BB3715">
        <v>75.48</v>
      </c>
      <c r="BC3715">
        <v>0.47</v>
      </c>
      <c r="BD3715">
        <v>17.989999999999998</v>
      </c>
      <c r="BE3715">
        <v>18.260000000000002</v>
      </c>
      <c r="BF3715">
        <v>17.73</v>
      </c>
      <c r="BG3715" t="s">
        <v>30343</v>
      </c>
      <c r="BH3715" t="s">
        <v>27117</v>
      </c>
      <c r="BI3715" t="s">
        <v>1066</v>
      </c>
      <c r="BJ3715" t="s">
        <v>101</v>
      </c>
      <c r="BK3715" t="s">
        <v>3869</v>
      </c>
      <c r="BL3715" t="s">
        <v>2988</v>
      </c>
      <c r="BM3715" t="s">
        <v>30344</v>
      </c>
      <c r="BN3715" t="s">
        <v>27621</v>
      </c>
    </row>
    <row r="3716" spans="1:66" x14ac:dyDescent="0.25">
      <c r="A3716" t="str">
        <f>HYPERLINK("https://elite.finviz.com/quote.ashx?t=DIOD&amp;ty=c&amp;p=d&amp;b=1", "DIOD")</f>
        <v>DIOD</v>
      </c>
      <c r="B3716">
        <v>4</v>
      </c>
      <c r="C3716">
        <v>105.92</v>
      </c>
      <c r="D3716">
        <v>42.51</v>
      </c>
      <c r="E3716" t="s">
        <v>30345</v>
      </c>
      <c r="F3716" t="s">
        <v>67</v>
      </c>
      <c r="G3716" t="s">
        <v>108</v>
      </c>
      <c r="H3716" t="s">
        <v>1808</v>
      </c>
      <c r="I3716" t="s">
        <v>70</v>
      </c>
      <c r="J3716" t="s">
        <v>321</v>
      </c>
      <c r="K3716">
        <v>2400.16</v>
      </c>
      <c r="L3716">
        <v>51.68</v>
      </c>
      <c r="M3716" t="s">
        <v>7332</v>
      </c>
      <c r="N3716">
        <v>44457</v>
      </c>
      <c r="O3716">
        <v>37.72</v>
      </c>
      <c r="P3716">
        <v>23.98</v>
      </c>
      <c r="Q3716">
        <v>1.05</v>
      </c>
      <c r="R3716">
        <v>1.73</v>
      </c>
      <c r="S3716">
        <v>1.27</v>
      </c>
      <c r="Z3716" t="s">
        <v>164</v>
      </c>
      <c r="AA3716">
        <v>1.37</v>
      </c>
      <c r="AB3716" t="s">
        <v>29765</v>
      </c>
      <c r="AC3716" t="s">
        <v>16260</v>
      </c>
      <c r="AD3716" t="s">
        <v>686</v>
      </c>
      <c r="AE3716" t="s">
        <v>2146</v>
      </c>
      <c r="AF3716" t="s">
        <v>7915</v>
      </c>
      <c r="AG3716" t="s">
        <v>2630</v>
      </c>
      <c r="AH3716" t="s">
        <v>11292</v>
      </c>
      <c r="AI3716" t="s">
        <v>8239</v>
      </c>
      <c r="AJ3716" t="s">
        <v>4538</v>
      </c>
      <c r="AK3716" t="s">
        <v>11534</v>
      </c>
      <c r="AL3716">
        <v>3.33</v>
      </c>
      <c r="AM3716">
        <v>2.04</v>
      </c>
      <c r="AN3716">
        <v>0.05</v>
      </c>
      <c r="AO3716" t="s">
        <v>12616</v>
      </c>
      <c r="AP3716" t="s">
        <v>2624</v>
      </c>
      <c r="AQ3716" t="s">
        <v>4908</v>
      </c>
      <c r="AR3716" t="s">
        <v>4499</v>
      </c>
      <c r="AS3716" t="s">
        <v>307</v>
      </c>
      <c r="AT3716" t="s">
        <v>6739</v>
      </c>
      <c r="AU3716" t="s">
        <v>6137</v>
      </c>
      <c r="AV3716" t="s">
        <v>2642</v>
      </c>
      <c r="AW3716" t="s">
        <v>843</v>
      </c>
      <c r="AX3716" t="s">
        <v>4857</v>
      </c>
      <c r="AY3716" t="s">
        <v>2013</v>
      </c>
      <c r="AZ3716" t="s">
        <v>1774</v>
      </c>
      <c r="BA3716">
        <v>2.83</v>
      </c>
      <c r="BB3716">
        <v>473.45</v>
      </c>
      <c r="BC3716">
        <v>0.33</v>
      </c>
      <c r="BD3716">
        <v>52.98</v>
      </c>
      <c r="BE3716">
        <v>53.04</v>
      </c>
      <c r="BF3716">
        <v>51.61</v>
      </c>
      <c r="BG3716" t="s">
        <v>30346</v>
      </c>
      <c r="BH3716" t="s">
        <v>30347</v>
      </c>
      <c r="BI3716" t="s">
        <v>30348</v>
      </c>
      <c r="BJ3716" t="s">
        <v>101</v>
      </c>
      <c r="BK3716" t="s">
        <v>3753</v>
      </c>
      <c r="BL3716" t="s">
        <v>2820</v>
      </c>
      <c r="BM3716" t="s">
        <v>19779</v>
      </c>
      <c r="BN3716" t="s">
        <v>27621</v>
      </c>
    </row>
    <row r="3717" spans="1:66" x14ac:dyDescent="0.25">
      <c r="A3717" t="str">
        <f>HYPERLINK("https://elite.finviz.com/quote.ashx?t=CVBF&amp;ty=c&amp;p=d&amp;b=1", "CVBF")</f>
        <v>CVBF</v>
      </c>
      <c r="B3717">
        <v>4</v>
      </c>
      <c r="C3717">
        <v>105.92</v>
      </c>
      <c r="D3717">
        <v>42.51</v>
      </c>
      <c r="E3717" t="s">
        <v>30349</v>
      </c>
      <c r="F3717" t="s">
        <v>67</v>
      </c>
      <c r="G3717" t="s">
        <v>550</v>
      </c>
      <c r="H3717" t="s">
        <v>697</v>
      </c>
      <c r="I3717" t="s">
        <v>70</v>
      </c>
      <c r="J3717" t="s">
        <v>321</v>
      </c>
      <c r="K3717">
        <v>2678.49</v>
      </c>
      <c r="L3717">
        <v>19.43</v>
      </c>
      <c r="M3717" t="s">
        <v>4273</v>
      </c>
      <c r="N3717">
        <v>79336</v>
      </c>
      <c r="O3717">
        <v>13.3</v>
      </c>
      <c r="P3717">
        <v>12.59</v>
      </c>
      <c r="R3717">
        <v>4.07</v>
      </c>
      <c r="S3717">
        <v>1.2</v>
      </c>
      <c r="T3717" t="s">
        <v>2170</v>
      </c>
      <c r="U3717">
        <v>0.8</v>
      </c>
      <c r="V3717" t="s">
        <v>700</v>
      </c>
      <c r="W3717" t="s">
        <v>164</v>
      </c>
      <c r="X3717" t="s">
        <v>975</v>
      </c>
      <c r="Y3717" t="s">
        <v>212</v>
      </c>
      <c r="Z3717" t="s">
        <v>22395</v>
      </c>
      <c r="AA3717">
        <v>1.46</v>
      </c>
      <c r="AB3717" t="s">
        <v>81</v>
      </c>
      <c r="AC3717" t="s">
        <v>7270</v>
      </c>
      <c r="AE3717" t="s">
        <v>11567</v>
      </c>
      <c r="AF3717" t="s">
        <v>2111</v>
      </c>
      <c r="AG3717" t="s">
        <v>414</v>
      </c>
      <c r="AH3717" t="s">
        <v>15366</v>
      </c>
      <c r="AI3717" t="s">
        <v>3542</v>
      </c>
      <c r="AJ3717" t="s">
        <v>1657</v>
      </c>
      <c r="AK3717" t="s">
        <v>3702</v>
      </c>
      <c r="AL3717">
        <v>0.09</v>
      </c>
      <c r="AN3717">
        <v>0.42</v>
      </c>
      <c r="AP3717" t="s">
        <v>7923</v>
      </c>
      <c r="AQ3717" t="s">
        <v>7097</v>
      </c>
      <c r="AR3717" t="s">
        <v>2720</v>
      </c>
      <c r="AS3717" t="s">
        <v>6151</v>
      </c>
      <c r="AT3717" t="s">
        <v>4531</v>
      </c>
      <c r="AU3717" t="s">
        <v>600</v>
      </c>
      <c r="AV3717" t="s">
        <v>3937</v>
      </c>
      <c r="AW3717" t="s">
        <v>12181</v>
      </c>
      <c r="AX3717" t="s">
        <v>4819</v>
      </c>
      <c r="AY3717" t="s">
        <v>19330</v>
      </c>
      <c r="AZ3717" t="s">
        <v>5443</v>
      </c>
      <c r="BA3717">
        <v>2.33</v>
      </c>
      <c r="BB3717">
        <v>768.73</v>
      </c>
      <c r="BC3717">
        <v>0.36</v>
      </c>
      <c r="BD3717">
        <v>19.53</v>
      </c>
      <c r="BE3717">
        <v>19.690000000000001</v>
      </c>
      <c r="BF3717">
        <v>19.420000000000002</v>
      </c>
      <c r="BG3717" t="s">
        <v>30350</v>
      </c>
      <c r="BH3717" t="s">
        <v>6616</v>
      </c>
      <c r="BI3717" t="s">
        <v>30351</v>
      </c>
      <c r="BJ3717" t="s">
        <v>101</v>
      </c>
      <c r="BK3717" t="s">
        <v>11260</v>
      </c>
      <c r="BL3717" t="s">
        <v>8013</v>
      </c>
      <c r="BM3717" t="s">
        <v>6272</v>
      </c>
      <c r="BN3717" t="s">
        <v>27621</v>
      </c>
    </row>
    <row r="3718" spans="1:66" x14ac:dyDescent="0.25">
      <c r="A3718" t="str">
        <f>HYPERLINK("https://elite.finviz.com/quote.ashx?t=SKWD&amp;ty=c&amp;p=d&amp;b=1", "SKWD")</f>
        <v>SKWD</v>
      </c>
      <c r="B3718">
        <v>4</v>
      </c>
      <c r="C3718">
        <v>105.92</v>
      </c>
      <c r="D3718">
        <v>42.52</v>
      </c>
      <c r="E3718" t="s">
        <v>30352</v>
      </c>
      <c r="F3718" t="s">
        <v>67</v>
      </c>
      <c r="G3718" t="s">
        <v>550</v>
      </c>
      <c r="H3718" t="s">
        <v>4407</v>
      </c>
      <c r="I3718" t="s">
        <v>70</v>
      </c>
      <c r="J3718" t="s">
        <v>321</v>
      </c>
      <c r="K3718">
        <v>1896.6</v>
      </c>
      <c r="L3718">
        <v>46.85</v>
      </c>
      <c r="M3718" t="s">
        <v>4266</v>
      </c>
      <c r="N3718">
        <v>39771</v>
      </c>
      <c r="O3718">
        <v>14.79</v>
      </c>
      <c r="P3718">
        <v>11.03</v>
      </c>
      <c r="Q3718">
        <v>0.8</v>
      </c>
      <c r="R3718">
        <v>1.51</v>
      </c>
      <c r="S3718">
        <v>2.11</v>
      </c>
      <c r="Z3718" t="s">
        <v>164</v>
      </c>
      <c r="AA3718">
        <v>3.17</v>
      </c>
      <c r="AB3718" t="s">
        <v>30353</v>
      </c>
      <c r="AD3718" t="s">
        <v>705</v>
      </c>
      <c r="AE3718" t="s">
        <v>829</v>
      </c>
      <c r="AF3718" t="s">
        <v>7796</v>
      </c>
      <c r="AG3718" t="s">
        <v>4535</v>
      </c>
      <c r="AH3718" t="s">
        <v>4834</v>
      </c>
      <c r="AI3718" t="s">
        <v>911</v>
      </c>
      <c r="AJ3718" t="s">
        <v>5778</v>
      </c>
      <c r="AK3718" t="s">
        <v>13790</v>
      </c>
      <c r="AL3718">
        <v>0.74</v>
      </c>
      <c r="AN3718">
        <v>0.13</v>
      </c>
      <c r="AP3718" t="s">
        <v>1476</v>
      </c>
      <c r="AQ3718" t="s">
        <v>7106</v>
      </c>
      <c r="AR3718" t="s">
        <v>3208</v>
      </c>
      <c r="AS3718" t="s">
        <v>5779</v>
      </c>
      <c r="AT3718" t="s">
        <v>7867</v>
      </c>
      <c r="AU3718" t="s">
        <v>815</v>
      </c>
      <c r="AV3718" t="s">
        <v>17625</v>
      </c>
      <c r="AW3718" t="s">
        <v>2110</v>
      </c>
      <c r="AX3718" t="s">
        <v>749</v>
      </c>
      <c r="AY3718" t="s">
        <v>30354</v>
      </c>
      <c r="AZ3718" t="s">
        <v>3939</v>
      </c>
      <c r="BA3718">
        <v>1.73</v>
      </c>
      <c r="BB3718">
        <v>485.03</v>
      </c>
      <c r="BC3718">
        <v>0.28999999999999998</v>
      </c>
      <c r="BD3718">
        <v>46.73</v>
      </c>
      <c r="BE3718">
        <v>47.08</v>
      </c>
      <c r="BF3718">
        <v>46.7</v>
      </c>
      <c r="BG3718" t="s">
        <v>30355</v>
      </c>
      <c r="BH3718" t="s">
        <v>30354</v>
      </c>
      <c r="BI3718" t="s">
        <v>22742</v>
      </c>
      <c r="BJ3718" t="s">
        <v>101</v>
      </c>
      <c r="BK3718" t="s">
        <v>2292</v>
      </c>
      <c r="BL3718" t="s">
        <v>11638</v>
      </c>
      <c r="BM3718" t="s">
        <v>6184</v>
      </c>
      <c r="BN3718" t="s">
        <v>27621</v>
      </c>
    </row>
    <row r="3719" spans="1:66" x14ac:dyDescent="0.25">
      <c r="A3719" t="str">
        <f>HYPERLINK("https://elite.finviz.com/quote.ashx?t=SEVN&amp;ty=c&amp;p=d&amp;b=1", "SEVN")</f>
        <v>SEVN</v>
      </c>
      <c r="B3719">
        <v>4</v>
      </c>
      <c r="C3719">
        <v>105.92</v>
      </c>
      <c r="D3719">
        <v>42.55</v>
      </c>
      <c r="E3719" t="s">
        <v>30356</v>
      </c>
      <c r="F3719" t="s">
        <v>67</v>
      </c>
      <c r="G3719" t="s">
        <v>68</v>
      </c>
      <c r="H3719" t="s">
        <v>5566</v>
      </c>
      <c r="I3719" t="s">
        <v>70</v>
      </c>
      <c r="J3719" t="s">
        <v>321</v>
      </c>
      <c r="K3719">
        <v>159.88999999999999</v>
      </c>
      <c r="L3719">
        <v>10.61</v>
      </c>
      <c r="M3719" t="s">
        <v>6245</v>
      </c>
      <c r="N3719">
        <v>16614</v>
      </c>
      <c r="O3719">
        <v>10.18</v>
      </c>
      <c r="P3719">
        <v>9.36</v>
      </c>
      <c r="R3719">
        <v>2.61</v>
      </c>
      <c r="S3719">
        <v>0.59</v>
      </c>
      <c r="T3719" t="s">
        <v>11151</v>
      </c>
      <c r="U3719">
        <v>1.33</v>
      </c>
      <c r="V3719" t="s">
        <v>6164</v>
      </c>
      <c r="W3719" t="s">
        <v>164</v>
      </c>
      <c r="X3719" t="s">
        <v>3397</v>
      </c>
      <c r="Y3719" t="s">
        <v>102</v>
      </c>
      <c r="Z3719" t="s">
        <v>20359</v>
      </c>
      <c r="AA3719">
        <v>1.04</v>
      </c>
      <c r="AB3719" t="s">
        <v>13755</v>
      </c>
      <c r="AC3719" t="s">
        <v>12713</v>
      </c>
      <c r="AE3719" t="s">
        <v>4770</v>
      </c>
      <c r="AF3719" t="s">
        <v>16722</v>
      </c>
      <c r="AG3719" t="s">
        <v>15159</v>
      </c>
      <c r="AH3719" t="s">
        <v>25071</v>
      </c>
      <c r="AI3719" t="s">
        <v>10421</v>
      </c>
      <c r="AJ3719" t="s">
        <v>6245</v>
      </c>
      <c r="AK3719" t="s">
        <v>17011</v>
      </c>
      <c r="AL3719">
        <v>0.16</v>
      </c>
      <c r="AM3719">
        <v>0.16</v>
      </c>
      <c r="AN3719">
        <v>1.56</v>
      </c>
      <c r="AO3719" t="s">
        <v>30357</v>
      </c>
      <c r="AP3719" t="s">
        <v>30358</v>
      </c>
      <c r="AQ3719" t="s">
        <v>3864</v>
      </c>
      <c r="AR3719" t="s">
        <v>2742</v>
      </c>
      <c r="AS3719" t="s">
        <v>2609</v>
      </c>
      <c r="AT3719" t="s">
        <v>10581</v>
      </c>
      <c r="AU3719" t="s">
        <v>5312</v>
      </c>
      <c r="AV3719" t="s">
        <v>4218</v>
      </c>
      <c r="AW3719" t="s">
        <v>3266</v>
      </c>
      <c r="AX3719" t="s">
        <v>7090</v>
      </c>
      <c r="AY3719" t="s">
        <v>7502</v>
      </c>
      <c r="AZ3719" t="s">
        <v>7090</v>
      </c>
      <c r="BA3719">
        <v>1</v>
      </c>
      <c r="BB3719">
        <v>66.97</v>
      </c>
      <c r="BC3719">
        <v>0.88</v>
      </c>
      <c r="BD3719">
        <v>10.53</v>
      </c>
      <c r="BE3719">
        <v>10.61</v>
      </c>
      <c r="BF3719">
        <v>10.44</v>
      </c>
      <c r="BG3719" t="s">
        <v>30359</v>
      </c>
      <c r="BH3719" t="s">
        <v>30360</v>
      </c>
      <c r="BI3719" t="s">
        <v>16772</v>
      </c>
      <c r="BJ3719" t="s">
        <v>101</v>
      </c>
      <c r="BK3719" t="s">
        <v>7672</v>
      </c>
      <c r="BL3719" t="s">
        <v>23479</v>
      </c>
      <c r="BM3719" t="s">
        <v>14400</v>
      </c>
      <c r="BN3719" t="s">
        <v>27621</v>
      </c>
    </row>
    <row r="3720" spans="1:66" x14ac:dyDescent="0.25">
      <c r="A3720" t="str">
        <f>HYPERLINK("https://elite.finviz.com/quote.ashx?t=ECOR&amp;ty=c&amp;p=d&amp;b=1", "ECOR")</f>
        <v>ECOR</v>
      </c>
      <c r="B3720">
        <v>4</v>
      </c>
      <c r="C3720">
        <v>105.92</v>
      </c>
      <c r="D3720">
        <v>42.55</v>
      </c>
      <c r="E3720" t="s">
        <v>30361</v>
      </c>
      <c r="F3720" t="s">
        <v>107</v>
      </c>
      <c r="G3720" t="s">
        <v>428</v>
      </c>
      <c r="H3720" t="s">
        <v>2051</v>
      </c>
      <c r="I3720" t="s">
        <v>70</v>
      </c>
      <c r="J3720" t="s">
        <v>321</v>
      </c>
      <c r="K3720">
        <v>36.78</v>
      </c>
      <c r="L3720">
        <v>4.8499999999999996</v>
      </c>
      <c r="M3720" t="s">
        <v>4308</v>
      </c>
      <c r="N3720">
        <v>22113</v>
      </c>
      <c r="R3720">
        <v>1.33</v>
      </c>
      <c r="S3720">
        <v>32.54</v>
      </c>
      <c r="AA3720">
        <v>-1.7</v>
      </c>
      <c r="AB3720" t="s">
        <v>6932</v>
      </c>
      <c r="AC3720" t="s">
        <v>12619</v>
      </c>
      <c r="AE3720" t="s">
        <v>11541</v>
      </c>
      <c r="AF3720" t="s">
        <v>20842</v>
      </c>
      <c r="AG3720" t="s">
        <v>20084</v>
      </c>
      <c r="AH3720" t="s">
        <v>4832</v>
      </c>
      <c r="AI3720" t="s">
        <v>26954</v>
      </c>
      <c r="AJ3720" t="s">
        <v>6117</v>
      </c>
      <c r="AK3720" t="s">
        <v>4116</v>
      </c>
      <c r="AL3720">
        <v>1.1000000000000001</v>
      </c>
      <c r="AM3720">
        <v>0.95</v>
      </c>
      <c r="AN3720">
        <v>3.81</v>
      </c>
      <c r="AO3720" t="s">
        <v>30362</v>
      </c>
      <c r="AP3720" t="s">
        <v>11053</v>
      </c>
      <c r="AQ3720" t="s">
        <v>11190</v>
      </c>
      <c r="AR3720" t="s">
        <v>8925</v>
      </c>
      <c r="AS3720" t="s">
        <v>4957</v>
      </c>
      <c r="AT3720" t="s">
        <v>3640</v>
      </c>
      <c r="AU3720" t="s">
        <v>6657</v>
      </c>
      <c r="AV3720" t="s">
        <v>30363</v>
      </c>
      <c r="AW3720" t="s">
        <v>4092</v>
      </c>
      <c r="AX3720" t="s">
        <v>10485</v>
      </c>
      <c r="AY3720" t="s">
        <v>27917</v>
      </c>
      <c r="AZ3720" t="s">
        <v>10485</v>
      </c>
      <c r="BA3720">
        <v>1</v>
      </c>
      <c r="BB3720">
        <v>95.22</v>
      </c>
      <c r="BC3720">
        <v>0.83</v>
      </c>
      <c r="BD3720">
        <v>4.82</v>
      </c>
      <c r="BE3720">
        <v>5.0999999999999996</v>
      </c>
      <c r="BF3720">
        <v>4.8</v>
      </c>
      <c r="BG3720" t="s">
        <v>30364</v>
      </c>
      <c r="BH3720" t="s">
        <v>17510</v>
      </c>
      <c r="BI3720" t="s">
        <v>30365</v>
      </c>
      <c r="BJ3720" t="s">
        <v>101</v>
      </c>
      <c r="BK3720" t="s">
        <v>7527</v>
      </c>
      <c r="BL3720" t="s">
        <v>9857</v>
      </c>
      <c r="BM3720" t="s">
        <v>12065</v>
      </c>
      <c r="BN3720" t="s">
        <v>27621</v>
      </c>
    </row>
    <row r="3721" spans="1:66" x14ac:dyDescent="0.25">
      <c r="A3721" t="str">
        <f>HYPERLINK("https://elite.finviz.com/quote.ashx?t=XPL&amp;ty=c&amp;p=d&amp;b=1", "XPL")</f>
        <v>XPL</v>
      </c>
      <c r="B3721">
        <v>4</v>
      </c>
      <c r="C3721">
        <v>105.92</v>
      </c>
      <c r="D3721">
        <v>42.59</v>
      </c>
      <c r="E3721" t="s">
        <v>30366</v>
      </c>
      <c r="F3721" t="s">
        <v>107</v>
      </c>
      <c r="G3721" t="s">
        <v>355</v>
      </c>
      <c r="H3721" t="s">
        <v>356</v>
      </c>
      <c r="I3721" t="s">
        <v>70</v>
      </c>
      <c r="J3721" t="s">
        <v>383</v>
      </c>
      <c r="K3721">
        <v>63.53</v>
      </c>
      <c r="L3721">
        <v>0.7</v>
      </c>
      <c r="M3721" t="s">
        <v>3950</v>
      </c>
      <c r="N3721">
        <v>65329</v>
      </c>
      <c r="S3721">
        <v>2.4300000000000002</v>
      </c>
      <c r="AA3721">
        <v>-7.0000000000000007E-2</v>
      </c>
      <c r="AB3721" t="s">
        <v>13451</v>
      </c>
      <c r="AC3721" t="s">
        <v>11896</v>
      </c>
      <c r="AI3721" t="s">
        <v>1882</v>
      </c>
      <c r="AJ3721" t="s">
        <v>164</v>
      </c>
      <c r="AK3721" t="s">
        <v>9999</v>
      </c>
      <c r="AL3721">
        <v>19.690000000000001</v>
      </c>
      <c r="AM3721">
        <v>19.690000000000001</v>
      </c>
      <c r="AN3721">
        <v>0</v>
      </c>
      <c r="AR3721" t="s">
        <v>15964</v>
      </c>
      <c r="AS3721" t="s">
        <v>336</v>
      </c>
      <c r="AT3721" t="s">
        <v>6730</v>
      </c>
      <c r="AU3721" t="s">
        <v>4540</v>
      </c>
      <c r="AV3721" t="s">
        <v>755</v>
      </c>
      <c r="AW3721" t="s">
        <v>13749</v>
      </c>
      <c r="AX3721" t="s">
        <v>584</v>
      </c>
      <c r="AY3721" t="s">
        <v>13749</v>
      </c>
      <c r="AZ3721" t="s">
        <v>7138</v>
      </c>
      <c r="BA3721">
        <v>1</v>
      </c>
      <c r="BB3721">
        <v>149.34</v>
      </c>
      <c r="BC3721">
        <v>1.55</v>
      </c>
      <c r="BD3721">
        <v>0.71</v>
      </c>
      <c r="BE3721">
        <v>0.72</v>
      </c>
      <c r="BF3721">
        <v>0.69</v>
      </c>
      <c r="BG3721" t="s">
        <v>30367</v>
      </c>
      <c r="BH3721" t="s">
        <v>30368</v>
      </c>
      <c r="BI3721" t="s">
        <v>30369</v>
      </c>
      <c r="BJ3721" t="s">
        <v>101</v>
      </c>
      <c r="BK3721" t="s">
        <v>1776</v>
      </c>
      <c r="BL3721" t="s">
        <v>1359</v>
      </c>
      <c r="BM3721" t="s">
        <v>7332</v>
      </c>
      <c r="BN3721" t="s">
        <v>27621</v>
      </c>
    </row>
    <row r="3722" spans="1:66" x14ac:dyDescent="0.25">
      <c r="A3722" t="str">
        <f>HYPERLINK("https://elite.finviz.com/quote.ashx?t=KSCP&amp;ty=c&amp;p=d&amp;b=1", "KSCP")</f>
        <v>KSCP</v>
      </c>
      <c r="B3722">
        <v>4</v>
      </c>
      <c r="C3722">
        <v>105.92</v>
      </c>
      <c r="D3722">
        <v>42.6</v>
      </c>
      <c r="E3722" t="s">
        <v>30370</v>
      </c>
      <c r="F3722" t="s">
        <v>107</v>
      </c>
      <c r="G3722" t="s">
        <v>260</v>
      </c>
      <c r="H3722" t="s">
        <v>4162</v>
      </c>
      <c r="I3722" t="s">
        <v>70</v>
      </c>
      <c r="J3722" t="s">
        <v>321</v>
      </c>
      <c r="K3722">
        <v>55.7</v>
      </c>
      <c r="L3722">
        <v>5.47</v>
      </c>
      <c r="M3722" t="s">
        <v>3172</v>
      </c>
      <c r="N3722">
        <v>44008</v>
      </c>
      <c r="R3722">
        <v>5.0599999999999996</v>
      </c>
      <c r="S3722">
        <v>2.69</v>
      </c>
      <c r="AA3722">
        <v>-9.36</v>
      </c>
      <c r="AB3722" t="s">
        <v>25690</v>
      </c>
      <c r="AC3722" t="s">
        <v>10542</v>
      </c>
      <c r="AE3722" t="s">
        <v>4622</v>
      </c>
      <c r="AF3722" t="s">
        <v>15341</v>
      </c>
      <c r="AG3722" t="s">
        <v>5708</v>
      </c>
      <c r="AH3722" t="s">
        <v>7067</v>
      </c>
      <c r="AI3722" t="s">
        <v>4833</v>
      </c>
      <c r="AJ3722" t="s">
        <v>164</v>
      </c>
      <c r="AK3722" t="s">
        <v>351</v>
      </c>
      <c r="AL3722">
        <v>1.9</v>
      </c>
      <c r="AM3722">
        <v>1.65</v>
      </c>
      <c r="AN3722">
        <v>0.5</v>
      </c>
      <c r="AO3722" t="s">
        <v>20130</v>
      </c>
      <c r="AP3722" t="s">
        <v>30371</v>
      </c>
      <c r="AQ3722" t="s">
        <v>30372</v>
      </c>
      <c r="AR3722" t="s">
        <v>6183</v>
      </c>
      <c r="AS3722" t="s">
        <v>5455</v>
      </c>
      <c r="AT3722" t="s">
        <v>1465</v>
      </c>
      <c r="AU3722" t="s">
        <v>13003</v>
      </c>
      <c r="AV3722" t="s">
        <v>12518</v>
      </c>
      <c r="AW3722" t="s">
        <v>13163</v>
      </c>
      <c r="AX3722" t="s">
        <v>12383</v>
      </c>
      <c r="AY3722" t="s">
        <v>8200</v>
      </c>
      <c r="AZ3722" t="s">
        <v>30373</v>
      </c>
      <c r="BA3722">
        <v>1</v>
      </c>
      <c r="BB3722">
        <v>549.57000000000005</v>
      </c>
      <c r="BC3722">
        <v>0.28000000000000003</v>
      </c>
      <c r="BD3722">
        <v>5.56</v>
      </c>
      <c r="BE3722">
        <v>5.69</v>
      </c>
      <c r="BF3722">
        <v>5.45</v>
      </c>
      <c r="BG3722" t="s">
        <v>30374</v>
      </c>
      <c r="BH3722" t="s">
        <v>14909</v>
      </c>
      <c r="BI3722" t="s">
        <v>30373</v>
      </c>
      <c r="BJ3722" t="s">
        <v>101</v>
      </c>
      <c r="BK3722" t="s">
        <v>684</v>
      </c>
      <c r="BL3722" t="s">
        <v>2684</v>
      </c>
      <c r="BM3722" t="s">
        <v>3842</v>
      </c>
      <c r="BN3722" t="s">
        <v>27621</v>
      </c>
    </row>
    <row r="3723" spans="1:66" x14ac:dyDescent="0.25">
      <c r="A3723" t="str">
        <f>HYPERLINK("https://elite.finviz.com/quote.ashx?t=SWIM&amp;ty=c&amp;p=d&amp;b=1", "SWIM")</f>
        <v>SWIM</v>
      </c>
      <c r="B3723">
        <v>4</v>
      </c>
      <c r="C3723">
        <v>105.92</v>
      </c>
      <c r="D3723">
        <v>42.63</v>
      </c>
      <c r="E3723" t="s">
        <v>30375</v>
      </c>
      <c r="F3723" t="s">
        <v>67</v>
      </c>
      <c r="G3723" t="s">
        <v>260</v>
      </c>
      <c r="H3723" t="s">
        <v>3225</v>
      </c>
      <c r="I3723" t="s">
        <v>70</v>
      </c>
      <c r="J3723" t="s">
        <v>321</v>
      </c>
      <c r="K3723">
        <v>871.74</v>
      </c>
      <c r="L3723">
        <v>7.48</v>
      </c>
      <c r="M3723" t="s">
        <v>4494</v>
      </c>
      <c r="N3723">
        <v>61284</v>
      </c>
      <c r="P3723">
        <v>42.26</v>
      </c>
      <c r="R3723">
        <v>1.67</v>
      </c>
      <c r="S3723">
        <v>2.19</v>
      </c>
      <c r="AA3723">
        <v>-0.12</v>
      </c>
      <c r="AB3723" t="s">
        <v>10378</v>
      </c>
      <c r="AE3723" t="s">
        <v>4699</v>
      </c>
      <c r="AF3723" t="s">
        <v>3436</v>
      </c>
      <c r="AG3723" t="s">
        <v>2877</v>
      </c>
      <c r="AH3723" t="s">
        <v>4437</v>
      </c>
      <c r="AI3723" t="s">
        <v>14274</v>
      </c>
      <c r="AJ3723" t="s">
        <v>3227</v>
      </c>
      <c r="AK3723" t="s">
        <v>11705</v>
      </c>
      <c r="AL3723">
        <v>2.39</v>
      </c>
      <c r="AM3723">
        <v>1.51</v>
      </c>
      <c r="AN3723">
        <v>0.78</v>
      </c>
      <c r="AO3723" t="s">
        <v>3255</v>
      </c>
      <c r="AP3723" t="s">
        <v>3520</v>
      </c>
      <c r="AQ3723" t="s">
        <v>4124</v>
      </c>
      <c r="AR3723" t="s">
        <v>2522</v>
      </c>
      <c r="AS3723" t="s">
        <v>4569</v>
      </c>
      <c r="AT3723" t="s">
        <v>2814</v>
      </c>
      <c r="AU3723" t="s">
        <v>7270</v>
      </c>
      <c r="AV3723" t="s">
        <v>2891</v>
      </c>
      <c r="AW3723" t="s">
        <v>7861</v>
      </c>
      <c r="AX3723" t="s">
        <v>10317</v>
      </c>
      <c r="AY3723" t="s">
        <v>7861</v>
      </c>
      <c r="AZ3723" t="s">
        <v>26795</v>
      </c>
      <c r="BA3723">
        <v>2.25</v>
      </c>
      <c r="BB3723">
        <v>642.4</v>
      </c>
      <c r="BC3723">
        <v>0.34</v>
      </c>
      <c r="BD3723">
        <v>7.47</v>
      </c>
      <c r="BE3723">
        <v>7.66</v>
      </c>
      <c r="BF3723">
        <v>7.41</v>
      </c>
      <c r="BG3723" t="s">
        <v>30376</v>
      </c>
      <c r="BH3723" t="s">
        <v>30377</v>
      </c>
      <c r="BI3723" t="s">
        <v>8554</v>
      </c>
      <c r="BJ3723" t="s">
        <v>101</v>
      </c>
      <c r="BK3723" t="s">
        <v>5609</v>
      </c>
      <c r="BL3723" t="s">
        <v>7942</v>
      </c>
      <c r="BM3723" t="s">
        <v>485</v>
      </c>
      <c r="BN3723" t="s">
        <v>27621</v>
      </c>
    </row>
    <row r="3724" spans="1:66" x14ac:dyDescent="0.25">
      <c r="A3724" t="str">
        <f>HYPERLINK("https://elite.finviz.com/quote.ashx?t=AIRI&amp;ty=c&amp;p=d&amp;b=1", "AIRI")</f>
        <v>AIRI</v>
      </c>
      <c r="B3724">
        <v>4</v>
      </c>
      <c r="C3724">
        <v>105.92</v>
      </c>
      <c r="D3724">
        <v>42.63</v>
      </c>
      <c r="E3724" t="s">
        <v>30378</v>
      </c>
      <c r="F3724" t="s">
        <v>107</v>
      </c>
      <c r="G3724" t="s">
        <v>260</v>
      </c>
      <c r="H3724" t="s">
        <v>4779</v>
      </c>
      <c r="I3724" t="s">
        <v>70</v>
      </c>
      <c r="J3724" t="s">
        <v>383</v>
      </c>
      <c r="K3724">
        <v>14.7</v>
      </c>
      <c r="L3724">
        <v>3.08</v>
      </c>
      <c r="M3724" t="s">
        <v>5388</v>
      </c>
      <c r="N3724">
        <v>5119</v>
      </c>
      <c r="R3724">
        <v>0.28000000000000003</v>
      </c>
      <c r="S3724">
        <v>0.78</v>
      </c>
      <c r="V3724" t="s">
        <v>30379</v>
      </c>
      <c r="AA3724">
        <v>-0.67</v>
      </c>
      <c r="AC3724" t="s">
        <v>9110</v>
      </c>
      <c r="AE3724" t="s">
        <v>1863</v>
      </c>
      <c r="AF3724" t="s">
        <v>5444</v>
      </c>
      <c r="AG3724" t="s">
        <v>1083</v>
      </c>
      <c r="AH3724" t="s">
        <v>10896</v>
      </c>
      <c r="AI3724" t="s">
        <v>17259</v>
      </c>
      <c r="AJ3724" t="s">
        <v>164</v>
      </c>
      <c r="AK3724" t="s">
        <v>3602</v>
      </c>
      <c r="AL3724">
        <v>1.34</v>
      </c>
      <c r="AM3724">
        <v>0.28000000000000003</v>
      </c>
      <c r="AN3724">
        <v>1.73</v>
      </c>
      <c r="AO3724" t="s">
        <v>15086</v>
      </c>
      <c r="AP3724" t="s">
        <v>3286</v>
      </c>
      <c r="AQ3724" t="s">
        <v>4653</v>
      </c>
      <c r="AR3724" t="s">
        <v>891</v>
      </c>
      <c r="AS3724" t="s">
        <v>1050</v>
      </c>
      <c r="AT3724" t="s">
        <v>5245</v>
      </c>
      <c r="AU3724" t="s">
        <v>4540</v>
      </c>
      <c r="AV3724" t="s">
        <v>457</v>
      </c>
      <c r="AW3724" t="s">
        <v>14631</v>
      </c>
      <c r="AX3724" t="s">
        <v>185</v>
      </c>
      <c r="AY3724" t="s">
        <v>22976</v>
      </c>
      <c r="AZ3724" t="s">
        <v>185</v>
      </c>
      <c r="BA3724">
        <v>1</v>
      </c>
      <c r="BB3724">
        <v>530.35</v>
      </c>
      <c r="BC3724">
        <v>0.03</v>
      </c>
      <c r="BD3724">
        <v>3.11</v>
      </c>
      <c r="BE3724">
        <v>3.14</v>
      </c>
      <c r="BF3724">
        <v>3.08</v>
      </c>
      <c r="BG3724" t="s">
        <v>30380</v>
      </c>
      <c r="BH3724" t="s">
        <v>5233</v>
      </c>
      <c r="BI3724" t="s">
        <v>10331</v>
      </c>
      <c r="BJ3724" t="s">
        <v>101</v>
      </c>
      <c r="BK3724" t="s">
        <v>5964</v>
      </c>
      <c r="BL3724" t="s">
        <v>15442</v>
      </c>
      <c r="BM3724" t="s">
        <v>18477</v>
      </c>
      <c r="BN3724" t="s">
        <v>27621</v>
      </c>
    </row>
    <row r="3725" spans="1:66" x14ac:dyDescent="0.25">
      <c r="A3725" t="str">
        <f>HYPERLINK("https://elite.finviz.com/quote.ashx?t=MDXG&amp;ty=c&amp;p=d&amp;b=1", "MDXG")</f>
        <v>MDXG</v>
      </c>
      <c r="B3725">
        <v>4</v>
      </c>
      <c r="C3725">
        <v>105.92</v>
      </c>
      <c r="D3725">
        <v>42.66</v>
      </c>
      <c r="E3725" t="s">
        <v>30381</v>
      </c>
      <c r="F3725" t="s">
        <v>67</v>
      </c>
      <c r="G3725" t="s">
        <v>428</v>
      </c>
      <c r="H3725" t="s">
        <v>429</v>
      </c>
      <c r="I3725" t="s">
        <v>70</v>
      </c>
      <c r="J3725" t="s">
        <v>321</v>
      </c>
      <c r="K3725">
        <v>1011.31</v>
      </c>
      <c r="L3725">
        <v>6.84</v>
      </c>
      <c r="M3725" t="s">
        <v>1313</v>
      </c>
      <c r="N3725">
        <v>72241</v>
      </c>
      <c r="O3725">
        <v>31.69</v>
      </c>
      <c r="P3725">
        <v>21.36</v>
      </c>
      <c r="Q3725">
        <v>2.5099999999999998</v>
      </c>
      <c r="R3725">
        <v>2.78</v>
      </c>
      <c r="S3725">
        <v>4.67</v>
      </c>
      <c r="Z3725" t="s">
        <v>164</v>
      </c>
      <c r="AA3725">
        <v>0.22</v>
      </c>
      <c r="AD3725" t="s">
        <v>5224</v>
      </c>
      <c r="AE3725" t="s">
        <v>8276</v>
      </c>
      <c r="AF3725" t="s">
        <v>7106</v>
      </c>
      <c r="AG3725" t="s">
        <v>6104</v>
      </c>
      <c r="AH3725" t="s">
        <v>4109</v>
      </c>
      <c r="AI3725" t="s">
        <v>821</v>
      </c>
      <c r="AJ3725" t="s">
        <v>3463</v>
      </c>
      <c r="AK3725" t="s">
        <v>20581</v>
      </c>
      <c r="AL3725">
        <v>4.3899999999999997</v>
      </c>
      <c r="AM3725">
        <v>3.9</v>
      </c>
      <c r="AN3725">
        <v>0.09</v>
      </c>
      <c r="AO3725" t="s">
        <v>27516</v>
      </c>
      <c r="AP3725" t="s">
        <v>904</v>
      </c>
      <c r="AQ3725" t="s">
        <v>2584</v>
      </c>
      <c r="AR3725" t="s">
        <v>5779</v>
      </c>
      <c r="AS3725" t="s">
        <v>2361</v>
      </c>
      <c r="AT3725" t="s">
        <v>7413</v>
      </c>
      <c r="AU3725" t="s">
        <v>5686</v>
      </c>
      <c r="AV3725" t="s">
        <v>10011</v>
      </c>
      <c r="AW3725" t="s">
        <v>335</v>
      </c>
      <c r="AX3725" t="s">
        <v>3181</v>
      </c>
      <c r="AY3725" t="s">
        <v>6632</v>
      </c>
      <c r="AZ3725" t="s">
        <v>4451</v>
      </c>
      <c r="BA3725">
        <v>1</v>
      </c>
      <c r="BB3725">
        <v>748.9</v>
      </c>
      <c r="BC3725">
        <v>0.34</v>
      </c>
      <c r="BD3725">
        <v>6.98</v>
      </c>
      <c r="BE3725">
        <v>7.01</v>
      </c>
      <c r="BF3725">
        <v>6.84</v>
      </c>
      <c r="BG3725" t="s">
        <v>30382</v>
      </c>
      <c r="BH3725" t="s">
        <v>30383</v>
      </c>
      <c r="BI3725" t="s">
        <v>30384</v>
      </c>
      <c r="BJ3725" t="s">
        <v>101</v>
      </c>
      <c r="BK3725" t="s">
        <v>7735</v>
      </c>
      <c r="BL3725" t="s">
        <v>23553</v>
      </c>
      <c r="BM3725" t="s">
        <v>1788</v>
      </c>
      <c r="BN3725" t="s">
        <v>27621</v>
      </c>
    </row>
    <row r="3726" spans="1:66" x14ac:dyDescent="0.25">
      <c r="A3726" t="str">
        <f>HYPERLINK("https://elite.finviz.com/quote.ashx?t=ANNA&amp;ty=c&amp;p=d&amp;b=1", "ANNA")</f>
        <v>ANNA</v>
      </c>
      <c r="B3726">
        <v>4</v>
      </c>
      <c r="C3726">
        <v>105.92</v>
      </c>
      <c r="D3726">
        <v>42.66</v>
      </c>
      <c r="E3726" t="s">
        <v>30385</v>
      </c>
      <c r="F3726" t="s">
        <v>107</v>
      </c>
      <c r="G3726" t="s">
        <v>1048</v>
      </c>
      <c r="H3726" t="s">
        <v>1049</v>
      </c>
      <c r="I3726" t="s">
        <v>70</v>
      </c>
      <c r="J3726" t="s">
        <v>321</v>
      </c>
      <c r="K3726">
        <v>342.77</v>
      </c>
      <c r="L3726">
        <v>4.22</v>
      </c>
      <c r="M3726" t="s">
        <v>8979</v>
      </c>
      <c r="N3726">
        <v>6</v>
      </c>
      <c r="R3726">
        <v>56.19</v>
      </c>
      <c r="S3726">
        <v>5.38</v>
      </c>
      <c r="AA3726">
        <v>-0.35</v>
      </c>
      <c r="AB3726" t="s">
        <v>30386</v>
      </c>
      <c r="AC3726" t="s">
        <v>30387</v>
      </c>
      <c r="AK3726" t="s">
        <v>4902</v>
      </c>
      <c r="AL3726">
        <v>8.26</v>
      </c>
      <c r="AM3726">
        <v>8.26</v>
      </c>
      <c r="AN3726">
        <v>0.06</v>
      </c>
      <c r="AO3726" t="s">
        <v>14473</v>
      </c>
      <c r="AP3726" t="s">
        <v>30388</v>
      </c>
      <c r="AQ3726" t="s">
        <v>30389</v>
      </c>
      <c r="AR3726" t="s">
        <v>3636</v>
      </c>
      <c r="AS3726" t="s">
        <v>2124</v>
      </c>
      <c r="AT3726" t="s">
        <v>2007</v>
      </c>
      <c r="AU3726" t="s">
        <v>2677</v>
      </c>
      <c r="AV3726" t="s">
        <v>30390</v>
      </c>
      <c r="AW3726" t="s">
        <v>1075</v>
      </c>
      <c r="AX3726" t="s">
        <v>4872</v>
      </c>
      <c r="AY3726" t="s">
        <v>20665</v>
      </c>
      <c r="AZ3726" t="s">
        <v>4872</v>
      </c>
      <c r="BB3726">
        <v>20.43</v>
      </c>
      <c r="BC3726">
        <v>0</v>
      </c>
      <c r="BD3726">
        <v>4.24</v>
      </c>
      <c r="BE3726">
        <v>4.13</v>
      </c>
      <c r="BF3726">
        <v>4.13</v>
      </c>
      <c r="BG3726" t="s">
        <v>30391</v>
      </c>
      <c r="BH3726" t="s">
        <v>20665</v>
      </c>
      <c r="BI3726" t="s">
        <v>4872</v>
      </c>
      <c r="BJ3726" t="s">
        <v>101</v>
      </c>
      <c r="BK3726" t="s">
        <v>30392</v>
      </c>
      <c r="BL3726" t="s">
        <v>26119</v>
      </c>
      <c r="BM3726" t="s">
        <v>5418</v>
      </c>
      <c r="BN3726" t="s">
        <v>27621</v>
      </c>
    </row>
    <row r="3727" spans="1:66" x14ac:dyDescent="0.25">
      <c r="A3727" t="str">
        <f>HYPERLINK("https://elite.finviz.com/quote.ashx?t=UNTY&amp;ty=c&amp;p=d&amp;b=1", "UNTY")</f>
        <v>UNTY</v>
      </c>
      <c r="B3727">
        <v>4</v>
      </c>
      <c r="C3727">
        <v>105.92</v>
      </c>
      <c r="D3727">
        <v>42.67</v>
      </c>
      <c r="E3727" t="s">
        <v>30393</v>
      </c>
      <c r="F3727" t="s">
        <v>67</v>
      </c>
      <c r="G3727" t="s">
        <v>550</v>
      </c>
      <c r="H3727" t="s">
        <v>697</v>
      </c>
      <c r="I3727" t="s">
        <v>70</v>
      </c>
      <c r="J3727" t="s">
        <v>321</v>
      </c>
      <c r="K3727">
        <v>501.35</v>
      </c>
      <c r="L3727">
        <v>49.97</v>
      </c>
      <c r="M3727" t="s">
        <v>2007</v>
      </c>
      <c r="N3727">
        <v>5141</v>
      </c>
      <c r="O3727">
        <v>10.1</v>
      </c>
      <c r="P3727">
        <v>8.9499999999999993</v>
      </c>
      <c r="R3727">
        <v>2.85</v>
      </c>
      <c r="S3727">
        <v>1.57</v>
      </c>
      <c r="T3727" t="s">
        <v>4902</v>
      </c>
      <c r="U3727">
        <v>0.56000000000000005</v>
      </c>
      <c r="V3727" t="s">
        <v>4548</v>
      </c>
      <c r="W3727" t="s">
        <v>5658</v>
      </c>
      <c r="X3727" t="s">
        <v>1470</v>
      </c>
      <c r="Y3727" t="s">
        <v>6234</v>
      </c>
      <c r="Z3727" t="s">
        <v>17831</v>
      </c>
      <c r="AA3727">
        <v>4.95</v>
      </c>
      <c r="AB3727" t="s">
        <v>2721</v>
      </c>
      <c r="AC3727" t="s">
        <v>7553</v>
      </c>
      <c r="AE3727" t="s">
        <v>326</v>
      </c>
      <c r="AF3727" t="s">
        <v>5795</v>
      </c>
      <c r="AG3727" t="s">
        <v>2913</v>
      </c>
      <c r="AH3727" t="s">
        <v>16077</v>
      </c>
      <c r="AI3727" t="s">
        <v>5258</v>
      </c>
      <c r="AJ3727" t="s">
        <v>3227</v>
      </c>
      <c r="AK3727" t="s">
        <v>23625</v>
      </c>
      <c r="AL3727">
        <v>0.27</v>
      </c>
      <c r="AN3727">
        <v>1.21</v>
      </c>
      <c r="AP3727" t="s">
        <v>20039</v>
      </c>
      <c r="AQ3727" t="s">
        <v>1875</v>
      </c>
      <c r="AR3727" t="s">
        <v>90</v>
      </c>
      <c r="AS3727" t="s">
        <v>451</v>
      </c>
      <c r="AT3727" t="s">
        <v>1904</v>
      </c>
      <c r="AU3727" t="s">
        <v>7598</v>
      </c>
      <c r="AV3727" t="s">
        <v>635</v>
      </c>
      <c r="AW3727" t="s">
        <v>10518</v>
      </c>
      <c r="AX3727" t="s">
        <v>929</v>
      </c>
      <c r="AY3727" t="s">
        <v>8970</v>
      </c>
      <c r="AZ3727" t="s">
        <v>25233</v>
      </c>
      <c r="BA3727">
        <v>1</v>
      </c>
      <c r="BB3727">
        <v>56.03</v>
      </c>
      <c r="BC3727">
        <v>0.32</v>
      </c>
      <c r="BD3727">
        <v>50.59</v>
      </c>
      <c r="BE3727">
        <v>50.7</v>
      </c>
      <c r="BF3727">
        <v>49.75</v>
      </c>
      <c r="BG3727" t="s">
        <v>30394</v>
      </c>
      <c r="BH3727" t="s">
        <v>8970</v>
      </c>
      <c r="BI3727" t="s">
        <v>30395</v>
      </c>
      <c r="BJ3727" t="s">
        <v>101</v>
      </c>
      <c r="BK3727" t="s">
        <v>5611</v>
      </c>
      <c r="BL3727" t="s">
        <v>8922</v>
      </c>
      <c r="BM3727" t="s">
        <v>17691</v>
      </c>
      <c r="BN3727" t="s">
        <v>27621</v>
      </c>
    </row>
    <row r="3728" spans="1:66" x14ac:dyDescent="0.25">
      <c r="A3728" t="str">
        <f>HYPERLINK("https://elite.finviz.com/quote.ashx?t=CBUS&amp;ty=c&amp;p=d&amp;b=1", "CBUS")</f>
        <v>CBUS</v>
      </c>
      <c r="B3728">
        <v>4</v>
      </c>
      <c r="C3728">
        <v>105.92</v>
      </c>
      <c r="D3728">
        <v>42.67</v>
      </c>
      <c r="E3728" t="s">
        <v>30396</v>
      </c>
      <c r="F3728" t="s">
        <v>107</v>
      </c>
      <c r="G3728" t="s">
        <v>428</v>
      </c>
      <c r="H3728" t="s">
        <v>429</v>
      </c>
      <c r="I3728" t="s">
        <v>70</v>
      </c>
      <c r="J3728" t="s">
        <v>321</v>
      </c>
      <c r="K3728">
        <v>70.53</v>
      </c>
      <c r="L3728">
        <v>1.3</v>
      </c>
      <c r="M3728" t="s">
        <v>164</v>
      </c>
      <c r="N3728">
        <v>51099</v>
      </c>
      <c r="R3728">
        <v>14.54</v>
      </c>
      <c r="S3728">
        <v>0.95</v>
      </c>
      <c r="AA3728">
        <v>-10.4</v>
      </c>
      <c r="AB3728" t="s">
        <v>11729</v>
      </c>
      <c r="AC3728" t="s">
        <v>2270</v>
      </c>
      <c r="AD3728" t="s">
        <v>7135</v>
      </c>
      <c r="AE3728" t="s">
        <v>30397</v>
      </c>
      <c r="AF3728" t="s">
        <v>27914</v>
      </c>
      <c r="AG3728" t="s">
        <v>12128</v>
      </c>
      <c r="AH3728" t="s">
        <v>2661</v>
      </c>
      <c r="AI3728" t="s">
        <v>11260</v>
      </c>
      <c r="AJ3728" t="s">
        <v>164</v>
      </c>
      <c r="AK3728" t="s">
        <v>4285</v>
      </c>
      <c r="AL3728">
        <v>1.78</v>
      </c>
      <c r="AM3728">
        <v>1.78</v>
      </c>
      <c r="AN3728">
        <v>3.49</v>
      </c>
      <c r="AO3728" t="s">
        <v>4990</v>
      </c>
      <c r="AP3728" t="s">
        <v>30398</v>
      </c>
      <c r="AQ3728" t="s">
        <v>30399</v>
      </c>
      <c r="AR3728" t="s">
        <v>289</v>
      </c>
      <c r="AS3728" t="s">
        <v>3981</v>
      </c>
      <c r="AT3728" t="s">
        <v>10262</v>
      </c>
      <c r="AU3728" t="s">
        <v>125</v>
      </c>
      <c r="AV3728" t="s">
        <v>14794</v>
      </c>
      <c r="AW3728" t="s">
        <v>11516</v>
      </c>
      <c r="AX3728" t="s">
        <v>5658</v>
      </c>
      <c r="AY3728" t="s">
        <v>30400</v>
      </c>
      <c r="AZ3728" t="s">
        <v>5658</v>
      </c>
      <c r="BA3728">
        <v>1.5</v>
      </c>
      <c r="BB3728">
        <v>258.73</v>
      </c>
      <c r="BC3728">
        <v>0.7</v>
      </c>
      <c r="BD3728">
        <v>1.3</v>
      </c>
      <c r="BE3728">
        <v>1.33</v>
      </c>
      <c r="BF3728">
        <v>1.29</v>
      </c>
      <c r="BG3728" t="s">
        <v>30401</v>
      </c>
      <c r="BH3728" t="s">
        <v>3107</v>
      </c>
      <c r="BI3728" t="s">
        <v>5658</v>
      </c>
      <c r="BJ3728" t="s">
        <v>101</v>
      </c>
      <c r="BK3728" t="s">
        <v>5197</v>
      </c>
      <c r="BL3728" t="s">
        <v>737</v>
      </c>
      <c r="BM3728" t="s">
        <v>28498</v>
      </c>
      <c r="BN3728" t="s">
        <v>27621</v>
      </c>
    </row>
    <row r="3729" spans="1:66" x14ac:dyDescent="0.25">
      <c r="A3729" t="str">
        <f>HYPERLINK("https://elite.finviz.com/quote.ashx?t=ZYXI&amp;ty=c&amp;p=d&amp;b=1", "ZYXI")</f>
        <v>ZYXI</v>
      </c>
      <c r="B3729">
        <v>4</v>
      </c>
      <c r="C3729">
        <v>105.92</v>
      </c>
      <c r="D3729">
        <v>42.67</v>
      </c>
      <c r="E3729" t="s">
        <v>30402</v>
      </c>
      <c r="F3729" t="s">
        <v>107</v>
      </c>
      <c r="G3729" t="s">
        <v>428</v>
      </c>
      <c r="H3729" t="s">
        <v>10658</v>
      </c>
      <c r="I3729" t="s">
        <v>70</v>
      </c>
      <c r="J3729" t="s">
        <v>321</v>
      </c>
      <c r="K3729">
        <v>44.99</v>
      </c>
      <c r="L3729">
        <v>1.49</v>
      </c>
      <c r="M3729" t="s">
        <v>5577</v>
      </c>
      <c r="N3729">
        <v>8336</v>
      </c>
      <c r="R3729">
        <v>0.31</v>
      </c>
      <c r="S3729">
        <v>35.67</v>
      </c>
      <c r="V3729" t="s">
        <v>30403</v>
      </c>
      <c r="Z3729" t="s">
        <v>164</v>
      </c>
      <c r="AA3729">
        <v>-0.94</v>
      </c>
      <c r="AB3729" t="s">
        <v>25667</v>
      </c>
      <c r="AC3729" t="s">
        <v>7818</v>
      </c>
      <c r="AE3729" t="s">
        <v>15646</v>
      </c>
      <c r="AF3729" t="s">
        <v>6779</v>
      </c>
      <c r="AG3729" t="s">
        <v>29772</v>
      </c>
      <c r="AH3729" t="s">
        <v>26308</v>
      </c>
      <c r="AI3729" t="s">
        <v>30404</v>
      </c>
      <c r="AJ3729" t="s">
        <v>164</v>
      </c>
      <c r="AK3729" t="s">
        <v>15417</v>
      </c>
      <c r="AL3729">
        <v>0.62</v>
      </c>
      <c r="AM3729">
        <v>0.45</v>
      </c>
      <c r="AN3729">
        <v>57.51</v>
      </c>
      <c r="AO3729" t="s">
        <v>19701</v>
      </c>
      <c r="AP3729" t="s">
        <v>22034</v>
      </c>
      <c r="AQ3729" t="s">
        <v>10021</v>
      </c>
      <c r="AR3729" t="s">
        <v>3435</v>
      </c>
      <c r="AS3729" t="s">
        <v>1772</v>
      </c>
      <c r="AT3729" t="s">
        <v>1444</v>
      </c>
      <c r="AU3729" t="s">
        <v>9332</v>
      </c>
      <c r="AV3729" t="s">
        <v>30405</v>
      </c>
      <c r="AW3729" t="s">
        <v>30406</v>
      </c>
      <c r="AX3729" t="s">
        <v>631</v>
      </c>
      <c r="AY3729" t="s">
        <v>30407</v>
      </c>
      <c r="AZ3729" t="s">
        <v>631</v>
      </c>
      <c r="BA3729">
        <v>2.33</v>
      </c>
      <c r="BB3729">
        <v>283.3</v>
      </c>
      <c r="BC3729">
        <v>0.1</v>
      </c>
      <c r="BD3729">
        <v>1.47</v>
      </c>
      <c r="BE3729">
        <v>1.5</v>
      </c>
      <c r="BF3729">
        <v>1.46</v>
      </c>
      <c r="BG3729" t="s">
        <v>30408</v>
      </c>
      <c r="BH3729" t="s">
        <v>30409</v>
      </c>
      <c r="BI3729" t="s">
        <v>30410</v>
      </c>
      <c r="BJ3729" t="s">
        <v>101</v>
      </c>
      <c r="BK3729" t="s">
        <v>26127</v>
      </c>
      <c r="BL3729" t="s">
        <v>20729</v>
      </c>
      <c r="BM3729" t="s">
        <v>30411</v>
      </c>
      <c r="BN3729" t="s">
        <v>27621</v>
      </c>
    </row>
    <row r="3730" spans="1:66" x14ac:dyDescent="0.25">
      <c r="A3730" t="str">
        <f>HYPERLINK("https://elite.finviz.com/quote.ashx?t=MAA&amp;ty=c&amp;p=d&amp;b=1", "MAA")</f>
        <v>MAA</v>
      </c>
      <c r="B3730">
        <v>4</v>
      </c>
      <c r="C3730">
        <v>105.92</v>
      </c>
      <c r="D3730">
        <v>42.68</v>
      </c>
      <c r="E3730" t="s">
        <v>30412</v>
      </c>
      <c r="F3730" t="s">
        <v>195</v>
      </c>
      <c r="G3730" t="s">
        <v>68</v>
      </c>
      <c r="H3730" t="s">
        <v>5671</v>
      </c>
      <c r="I3730" t="s">
        <v>70</v>
      </c>
      <c r="J3730" t="s">
        <v>71</v>
      </c>
      <c r="K3730">
        <v>16757.91</v>
      </c>
      <c r="L3730">
        <v>139.62</v>
      </c>
      <c r="M3730" t="s">
        <v>3463</v>
      </c>
      <c r="N3730">
        <v>161584</v>
      </c>
      <c r="O3730">
        <v>28.76</v>
      </c>
      <c r="P3730">
        <v>37.08</v>
      </c>
      <c r="R3730">
        <v>7.62</v>
      </c>
      <c r="S3730">
        <v>2.76</v>
      </c>
      <c r="T3730" t="s">
        <v>3520</v>
      </c>
      <c r="U3730">
        <v>6</v>
      </c>
      <c r="V3730" t="s">
        <v>7373</v>
      </c>
      <c r="W3730" t="s">
        <v>7699</v>
      </c>
      <c r="X3730" t="s">
        <v>4462</v>
      </c>
      <c r="Y3730" t="s">
        <v>1822</v>
      </c>
      <c r="Z3730" t="s">
        <v>30413</v>
      </c>
      <c r="AA3730">
        <v>4.8499999999999996</v>
      </c>
      <c r="AB3730" t="s">
        <v>110</v>
      </c>
      <c r="AC3730" t="s">
        <v>2678</v>
      </c>
      <c r="AD3730" t="s">
        <v>4431</v>
      </c>
      <c r="AE3730" t="s">
        <v>5380</v>
      </c>
      <c r="AF3730" t="s">
        <v>1159</v>
      </c>
      <c r="AG3730" t="s">
        <v>2231</v>
      </c>
      <c r="AH3730" t="s">
        <v>4840</v>
      </c>
      <c r="AI3730" t="s">
        <v>6981</v>
      </c>
      <c r="AJ3730" t="s">
        <v>2694</v>
      </c>
      <c r="AK3730" t="s">
        <v>21629</v>
      </c>
      <c r="AL3730">
        <v>0.17</v>
      </c>
      <c r="AM3730">
        <v>0.17</v>
      </c>
      <c r="AN3730">
        <v>0.86</v>
      </c>
      <c r="AO3730" t="s">
        <v>2670</v>
      </c>
      <c r="AP3730" t="s">
        <v>3255</v>
      </c>
      <c r="AQ3730" t="s">
        <v>7040</v>
      </c>
      <c r="AR3730" t="s">
        <v>1760</v>
      </c>
      <c r="AS3730" t="s">
        <v>2082</v>
      </c>
      <c r="AT3730" t="s">
        <v>1413</v>
      </c>
      <c r="AU3730" t="s">
        <v>1272</v>
      </c>
      <c r="AV3730" t="s">
        <v>16256</v>
      </c>
      <c r="AW3730" t="s">
        <v>21015</v>
      </c>
      <c r="AX3730" t="s">
        <v>2217</v>
      </c>
      <c r="AY3730" t="s">
        <v>104</v>
      </c>
      <c r="AZ3730" t="s">
        <v>2217</v>
      </c>
      <c r="BA3730">
        <v>2.23</v>
      </c>
      <c r="BB3730">
        <v>856.41</v>
      </c>
      <c r="BC3730">
        <v>0.66</v>
      </c>
      <c r="BD3730">
        <v>138.74</v>
      </c>
      <c r="BE3730">
        <v>140.59</v>
      </c>
      <c r="BF3730">
        <v>138.29</v>
      </c>
      <c r="BG3730" t="s">
        <v>30414</v>
      </c>
      <c r="BH3730" t="s">
        <v>30415</v>
      </c>
      <c r="BI3730" t="s">
        <v>30416</v>
      </c>
      <c r="BJ3730" t="s">
        <v>101</v>
      </c>
      <c r="BK3730" t="s">
        <v>2604</v>
      </c>
      <c r="BL3730" t="s">
        <v>28294</v>
      </c>
      <c r="BM3730" t="s">
        <v>15010</v>
      </c>
      <c r="BN3730" t="s">
        <v>27621</v>
      </c>
    </row>
    <row r="3731" spans="1:66" x14ac:dyDescent="0.25">
      <c r="A3731" t="str">
        <f>HYPERLINK("https://elite.finviz.com/quote.ashx?t=PAL&amp;ty=c&amp;p=d&amp;b=1", "PAL")</f>
        <v>PAL</v>
      </c>
      <c r="B3731">
        <v>4</v>
      </c>
      <c r="C3731">
        <v>105.92</v>
      </c>
      <c r="D3731">
        <v>42.7</v>
      </c>
      <c r="E3731" t="s">
        <v>30417</v>
      </c>
      <c r="F3731" t="s">
        <v>67</v>
      </c>
      <c r="G3731" t="s">
        <v>260</v>
      </c>
      <c r="H3731" t="s">
        <v>7853</v>
      </c>
      <c r="I3731" t="s">
        <v>70</v>
      </c>
      <c r="J3731" t="s">
        <v>321</v>
      </c>
      <c r="K3731">
        <v>192.44</v>
      </c>
      <c r="L3731">
        <v>6.93</v>
      </c>
      <c r="M3731" t="s">
        <v>2572</v>
      </c>
      <c r="N3731">
        <v>22832</v>
      </c>
      <c r="P3731">
        <v>10.86</v>
      </c>
      <c r="R3731">
        <v>0.49</v>
      </c>
      <c r="S3731">
        <v>0.56999999999999995</v>
      </c>
      <c r="AA3731">
        <v>-0.35</v>
      </c>
      <c r="AD3731" t="s">
        <v>3484</v>
      </c>
      <c r="AH3731" t="s">
        <v>17698</v>
      </c>
      <c r="AI3731" t="s">
        <v>21893</v>
      </c>
      <c r="AJ3731" t="s">
        <v>4065</v>
      </c>
      <c r="AK3731" t="s">
        <v>19528</v>
      </c>
      <c r="AL3731">
        <v>1.1599999999999999</v>
      </c>
      <c r="AM3731">
        <v>1.1299999999999999</v>
      </c>
      <c r="AN3731">
        <v>0.3</v>
      </c>
      <c r="AO3731" t="s">
        <v>265</v>
      </c>
      <c r="AP3731" t="s">
        <v>4276</v>
      </c>
      <c r="AQ3731" t="s">
        <v>8937</v>
      </c>
      <c r="AR3731" t="s">
        <v>5527</v>
      </c>
      <c r="AS3731" t="s">
        <v>896</v>
      </c>
      <c r="AT3731" t="s">
        <v>10175</v>
      </c>
      <c r="AU3731" t="s">
        <v>2538</v>
      </c>
      <c r="AV3731" t="s">
        <v>17073</v>
      </c>
      <c r="AW3731" t="s">
        <v>18613</v>
      </c>
      <c r="AX3731" t="s">
        <v>10638</v>
      </c>
      <c r="AY3731" t="s">
        <v>19077</v>
      </c>
      <c r="AZ3731" t="s">
        <v>10638</v>
      </c>
      <c r="BA3731">
        <v>1.75</v>
      </c>
      <c r="BB3731">
        <v>186.09</v>
      </c>
      <c r="BC3731">
        <v>0.44</v>
      </c>
      <c r="BD3731">
        <v>6.82</v>
      </c>
      <c r="BE3731">
        <v>7.05</v>
      </c>
      <c r="BF3731">
        <v>6.73</v>
      </c>
      <c r="BG3731" t="s">
        <v>30418</v>
      </c>
      <c r="BH3731" t="s">
        <v>30419</v>
      </c>
      <c r="BI3731" t="s">
        <v>10638</v>
      </c>
      <c r="BJ3731" t="s">
        <v>101</v>
      </c>
      <c r="BK3731" t="s">
        <v>1067</v>
      </c>
      <c r="BL3731" t="s">
        <v>20495</v>
      </c>
      <c r="BM3731" t="s">
        <v>30420</v>
      </c>
      <c r="BN3731" t="s">
        <v>27621</v>
      </c>
    </row>
    <row r="3732" spans="1:66" x14ac:dyDescent="0.25">
      <c r="A3732" t="str">
        <f>HYPERLINK("https://elite.finviz.com/quote.ashx?t=SMBC&amp;ty=c&amp;p=d&amp;b=1", "SMBC")</f>
        <v>SMBC</v>
      </c>
      <c r="B3732">
        <v>4</v>
      </c>
      <c r="C3732">
        <v>105.92</v>
      </c>
      <c r="D3732">
        <v>42.71</v>
      </c>
      <c r="E3732" t="s">
        <v>30421</v>
      </c>
      <c r="F3732" t="s">
        <v>67</v>
      </c>
      <c r="G3732" t="s">
        <v>550</v>
      </c>
      <c r="H3732" t="s">
        <v>697</v>
      </c>
      <c r="I3732" t="s">
        <v>70</v>
      </c>
      <c r="J3732" t="s">
        <v>321</v>
      </c>
      <c r="K3732">
        <v>617.04</v>
      </c>
      <c r="L3732">
        <v>54.65</v>
      </c>
      <c r="M3732" t="s">
        <v>2646</v>
      </c>
      <c r="N3732">
        <v>2972</v>
      </c>
      <c r="O3732">
        <v>10.55</v>
      </c>
      <c r="P3732">
        <v>8.4700000000000006</v>
      </c>
      <c r="R3732">
        <v>2.02</v>
      </c>
      <c r="S3732">
        <v>1.1299999999999999</v>
      </c>
      <c r="T3732" t="s">
        <v>2424</v>
      </c>
      <c r="U3732">
        <v>0.94</v>
      </c>
      <c r="V3732" t="s">
        <v>3046</v>
      </c>
      <c r="W3732" t="s">
        <v>9570</v>
      </c>
      <c r="X3732" t="s">
        <v>161</v>
      </c>
      <c r="Y3732" t="s">
        <v>5460</v>
      </c>
      <c r="Z3732" t="s">
        <v>5438</v>
      </c>
      <c r="AA3732">
        <v>5.18</v>
      </c>
      <c r="AB3732" t="s">
        <v>2468</v>
      </c>
      <c r="AC3732" t="s">
        <v>2371</v>
      </c>
      <c r="AE3732" t="s">
        <v>2820</v>
      </c>
      <c r="AF3732" t="s">
        <v>17490</v>
      </c>
      <c r="AG3732" t="s">
        <v>11212</v>
      </c>
      <c r="AH3732" t="s">
        <v>327</v>
      </c>
      <c r="AI3732" t="s">
        <v>10073</v>
      </c>
      <c r="AJ3732" t="s">
        <v>241</v>
      </c>
      <c r="AK3732" t="s">
        <v>5327</v>
      </c>
      <c r="AL3732">
        <v>7.0000000000000007E-2</v>
      </c>
      <c r="AN3732">
        <v>0.27</v>
      </c>
      <c r="AP3732" t="s">
        <v>15691</v>
      </c>
      <c r="AQ3732" t="s">
        <v>3843</v>
      </c>
      <c r="AR3732" t="s">
        <v>2609</v>
      </c>
      <c r="AS3732" t="s">
        <v>2609</v>
      </c>
      <c r="AT3732" t="s">
        <v>132</v>
      </c>
      <c r="AU3732" t="s">
        <v>2741</v>
      </c>
      <c r="AV3732" t="s">
        <v>4879</v>
      </c>
      <c r="AW3732" t="s">
        <v>502</v>
      </c>
      <c r="AX3732" t="s">
        <v>2196</v>
      </c>
      <c r="AY3732" t="s">
        <v>8088</v>
      </c>
      <c r="AZ3732" t="s">
        <v>4847</v>
      </c>
      <c r="BA3732">
        <v>2.33</v>
      </c>
      <c r="BB3732">
        <v>44.92</v>
      </c>
      <c r="BC3732">
        <v>0.24</v>
      </c>
      <c r="BD3732">
        <v>54.49</v>
      </c>
      <c r="BE3732">
        <v>55.19</v>
      </c>
      <c r="BF3732">
        <v>54.61</v>
      </c>
      <c r="BG3732" t="s">
        <v>30422</v>
      </c>
      <c r="BH3732" t="s">
        <v>8088</v>
      </c>
      <c r="BI3732" t="s">
        <v>30423</v>
      </c>
      <c r="BJ3732" t="s">
        <v>101</v>
      </c>
      <c r="BK3732" t="s">
        <v>211</v>
      </c>
      <c r="BL3732" t="s">
        <v>2082</v>
      </c>
      <c r="BM3732" t="s">
        <v>6298</v>
      </c>
      <c r="BN3732" t="s">
        <v>27621</v>
      </c>
    </row>
    <row r="3733" spans="1:66" x14ac:dyDescent="0.25">
      <c r="A3733" t="str">
        <f>HYPERLINK("https://elite.finviz.com/quote.ashx?t=SSP&amp;ty=c&amp;p=d&amp;b=1", "SSP")</f>
        <v>SSP</v>
      </c>
      <c r="B3733">
        <v>4</v>
      </c>
      <c r="C3733">
        <v>105.92</v>
      </c>
      <c r="D3733">
        <v>42.72</v>
      </c>
      <c r="E3733" t="s">
        <v>30424</v>
      </c>
      <c r="F3733" t="s">
        <v>67</v>
      </c>
      <c r="G3733" t="s">
        <v>598</v>
      </c>
      <c r="H3733" t="s">
        <v>4546</v>
      </c>
      <c r="I3733" t="s">
        <v>70</v>
      </c>
      <c r="J3733" t="s">
        <v>321</v>
      </c>
      <c r="K3733">
        <v>243.89</v>
      </c>
      <c r="L3733">
        <v>2.76</v>
      </c>
      <c r="M3733" t="s">
        <v>196</v>
      </c>
      <c r="N3733">
        <v>87410</v>
      </c>
      <c r="O3733">
        <v>5.68</v>
      </c>
      <c r="P3733">
        <v>4.0999999999999996</v>
      </c>
      <c r="R3733">
        <v>0.1</v>
      </c>
      <c r="S3733">
        <v>0.28000000000000003</v>
      </c>
      <c r="V3733" t="s">
        <v>30425</v>
      </c>
      <c r="Z3733" t="s">
        <v>164</v>
      </c>
      <c r="AA3733">
        <v>0.49</v>
      </c>
      <c r="AB3733" t="s">
        <v>292</v>
      </c>
      <c r="AE3733" t="s">
        <v>3958</v>
      </c>
      <c r="AF3733" t="s">
        <v>170</v>
      </c>
      <c r="AG3733" t="s">
        <v>604</v>
      </c>
      <c r="AH3733" t="s">
        <v>3292</v>
      </c>
      <c r="AI3733" t="s">
        <v>30426</v>
      </c>
      <c r="AJ3733" t="s">
        <v>164</v>
      </c>
      <c r="AK3733" t="s">
        <v>22590</v>
      </c>
      <c r="AL3733">
        <v>1.27</v>
      </c>
      <c r="AM3733">
        <v>1.27</v>
      </c>
      <c r="AN3733">
        <v>2.13</v>
      </c>
      <c r="AO3733" t="s">
        <v>11386</v>
      </c>
      <c r="AP3733" t="s">
        <v>2163</v>
      </c>
      <c r="AQ3733" t="s">
        <v>2217</v>
      </c>
      <c r="AR3733" t="s">
        <v>3874</v>
      </c>
      <c r="AS3733" t="s">
        <v>3948</v>
      </c>
      <c r="AT3733" t="s">
        <v>7468</v>
      </c>
      <c r="AU3733" t="s">
        <v>478</v>
      </c>
      <c r="AV3733" t="s">
        <v>7567</v>
      </c>
      <c r="AW3733" t="s">
        <v>866</v>
      </c>
      <c r="AX3733" t="s">
        <v>3751</v>
      </c>
      <c r="AY3733" t="s">
        <v>735</v>
      </c>
      <c r="AZ3733" t="s">
        <v>17263</v>
      </c>
      <c r="BA3733">
        <v>2.6</v>
      </c>
      <c r="BB3733">
        <v>723.7</v>
      </c>
      <c r="BC3733">
        <v>0.43</v>
      </c>
      <c r="BD3733">
        <v>2.81</v>
      </c>
      <c r="BE3733">
        <v>2.84</v>
      </c>
      <c r="BF3733">
        <v>2.76</v>
      </c>
      <c r="BG3733" t="s">
        <v>30427</v>
      </c>
      <c r="BH3733" t="s">
        <v>17532</v>
      </c>
      <c r="BI3733" t="s">
        <v>30428</v>
      </c>
      <c r="BJ3733" t="s">
        <v>101</v>
      </c>
      <c r="BK3733" t="s">
        <v>7568</v>
      </c>
      <c r="BL3733" t="s">
        <v>16729</v>
      </c>
      <c r="BM3733" t="s">
        <v>19640</v>
      </c>
      <c r="BN3733" t="s">
        <v>27621</v>
      </c>
    </row>
    <row r="3734" spans="1:66" x14ac:dyDescent="0.25">
      <c r="A3734" t="str">
        <f>HYPERLINK("https://elite.finviz.com/quote.ashx?t=MNOV&amp;ty=c&amp;p=d&amp;b=1", "MNOV")</f>
        <v>MNOV</v>
      </c>
      <c r="B3734">
        <v>4</v>
      </c>
      <c r="C3734">
        <v>105.92</v>
      </c>
      <c r="D3734">
        <v>42.74</v>
      </c>
      <c r="E3734" t="s">
        <v>30429</v>
      </c>
      <c r="F3734" t="s">
        <v>107</v>
      </c>
      <c r="G3734" t="s">
        <v>428</v>
      </c>
      <c r="H3734" t="s">
        <v>429</v>
      </c>
      <c r="I3734" t="s">
        <v>70</v>
      </c>
      <c r="J3734" t="s">
        <v>321</v>
      </c>
      <c r="K3734">
        <v>60.82</v>
      </c>
      <c r="L3734">
        <v>1.24</v>
      </c>
      <c r="M3734" t="s">
        <v>164</v>
      </c>
      <c r="N3734">
        <v>2490</v>
      </c>
      <c r="R3734">
        <v>467.85</v>
      </c>
      <c r="S3734">
        <v>1.3</v>
      </c>
      <c r="AA3734">
        <v>-0.24</v>
      </c>
      <c r="AB3734" t="s">
        <v>5120</v>
      </c>
      <c r="AC3734" t="s">
        <v>892</v>
      </c>
      <c r="AD3734" t="s">
        <v>16222</v>
      </c>
      <c r="AE3734" t="s">
        <v>25825</v>
      </c>
      <c r="AI3734" t="s">
        <v>12015</v>
      </c>
      <c r="AJ3734" t="s">
        <v>164</v>
      </c>
      <c r="AK3734" t="s">
        <v>15580</v>
      </c>
      <c r="AL3734">
        <v>13.26</v>
      </c>
      <c r="AM3734">
        <v>13.26</v>
      </c>
      <c r="AN3734">
        <v>0.01</v>
      </c>
      <c r="AO3734" t="s">
        <v>196</v>
      </c>
      <c r="AP3734" t="s">
        <v>30430</v>
      </c>
      <c r="AQ3734" t="s">
        <v>30431</v>
      </c>
      <c r="AR3734" t="s">
        <v>715</v>
      </c>
      <c r="AS3734" t="s">
        <v>3035</v>
      </c>
      <c r="AT3734" t="s">
        <v>5444</v>
      </c>
      <c r="AU3734" t="s">
        <v>2498</v>
      </c>
      <c r="AV3734" t="s">
        <v>557</v>
      </c>
      <c r="AW3734" t="s">
        <v>11979</v>
      </c>
      <c r="AX3734" t="s">
        <v>3487</v>
      </c>
      <c r="AY3734" t="s">
        <v>30331</v>
      </c>
      <c r="AZ3734" t="s">
        <v>2400</v>
      </c>
      <c r="BA3734">
        <v>1</v>
      </c>
      <c r="BB3734">
        <v>44.76</v>
      </c>
      <c r="BC3734">
        <v>0.2</v>
      </c>
      <c r="BD3734">
        <v>1.24</v>
      </c>
      <c r="BE3734">
        <v>1.26</v>
      </c>
      <c r="BF3734">
        <v>1.23</v>
      </c>
      <c r="BG3734" t="s">
        <v>30432</v>
      </c>
      <c r="BH3734" t="s">
        <v>30433</v>
      </c>
      <c r="BI3734" t="s">
        <v>902</v>
      </c>
      <c r="BJ3734" t="s">
        <v>101</v>
      </c>
      <c r="BK3734" t="s">
        <v>9471</v>
      </c>
      <c r="BL3734" t="s">
        <v>11979</v>
      </c>
      <c r="BM3734" t="s">
        <v>24417</v>
      </c>
      <c r="BN3734" t="s">
        <v>27621</v>
      </c>
    </row>
    <row r="3735" spans="1:66" x14ac:dyDescent="0.25">
      <c r="A3735" t="str">
        <f>HYPERLINK("https://elite.finviz.com/quote.ashx?t=SANM&amp;ty=c&amp;p=d&amp;b=1", "SANM")</f>
        <v>SANM</v>
      </c>
      <c r="B3735">
        <v>4</v>
      </c>
      <c r="C3735">
        <v>105.92</v>
      </c>
      <c r="D3735">
        <v>42.76</v>
      </c>
      <c r="E3735" t="s">
        <v>30434</v>
      </c>
      <c r="F3735" t="s">
        <v>67</v>
      </c>
      <c r="G3735" t="s">
        <v>108</v>
      </c>
      <c r="H3735" t="s">
        <v>3346</v>
      </c>
      <c r="I3735" t="s">
        <v>70</v>
      </c>
      <c r="J3735" t="s">
        <v>321</v>
      </c>
      <c r="K3735">
        <v>5996.63</v>
      </c>
      <c r="L3735">
        <v>112.54</v>
      </c>
      <c r="M3735" t="s">
        <v>6194</v>
      </c>
      <c r="N3735">
        <v>68324</v>
      </c>
      <c r="O3735">
        <v>24.09</v>
      </c>
      <c r="P3735">
        <v>16.27</v>
      </c>
      <c r="Q3735">
        <v>1.63</v>
      </c>
      <c r="R3735">
        <v>0.74</v>
      </c>
      <c r="S3735">
        <v>2.61</v>
      </c>
      <c r="Z3735" t="s">
        <v>164</v>
      </c>
      <c r="AA3735">
        <v>4.67</v>
      </c>
      <c r="AB3735" t="s">
        <v>2899</v>
      </c>
      <c r="AC3735" t="s">
        <v>11140</v>
      </c>
      <c r="AD3735" t="s">
        <v>15086</v>
      </c>
      <c r="AE3735" t="s">
        <v>2408</v>
      </c>
      <c r="AF3735" t="s">
        <v>4324</v>
      </c>
      <c r="AG3735" t="s">
        <v>5000</v>
      </c>
      <c r="AH3735" t="s">
        <v>7777</v>
      </c>
      <c r="AI3735" t="s">
        <v>238</v>
      </c>
      <c r="AJ3735" t="s">
        <v>2402</v>
      </c>
      <c r="AK3735" t="s">
        <v>30435</v>
      </c>
      <c r="AL3735">
        <v>1.91</v>
      </c>
      <c r="AM3735">
        <v>1.21</v>
      </c>
      <c r="AN3735">
        <v>0.16</v>
      </c>
      <c r="AO3735" t="s">
        <v>1341</v>
      </c>
      <c r="AP3735" t="s">
        <v>5370</v>
      </c>
      <c r="AQ3735" t="s">
        <v>4294</v>
      </c>
      <c r="AR3735" t="s">
        <v>465</v>
      </c>
      <c r="AS3735" t="s">
        <v>465</v>
      </c>
      <c r="AT3735" t="s">
        <v>11675</v>
      </c>
      <c r="AU3735" t="s">
        <v>6533</v>
      </c>
      <c r="AV3735" t="s">
        <v>8351</v>
      </c>
      <c r="AW3735" t="s">
        <v>17719</v>
      </c>
      <c r="AX3735" t="s">
        <v>7055</v>
      </c>
      <c r="AY3735" t="s">
        <v>17719</v>
      </c>
      <c r="AZ3735" t="s">
        <v>28107</v>
      </c>
      <c r="BA3735">
        <v>2.4</v>
      </c>
      <c r="BB3735">
        <v>727</v>
      </c>
      <c r="BC3735">
        <v>0.33</v>
      </c>
      <c r="BD3735">
        <v>113.14</v>
      </c>
      <c r="BE3735">
        <v>113.35</v>
      </c>
      <c r="BF3735">
        <v>112.32</v>
      </c>
      <c r="BG3735" t="s">
        <v>30436</v>
      </c>
      <c r="BH3735" t="s">
        <v>23814</v>
      </c>
      <c r="BI3735" t="s">
        <v>30437</v>
      </c>
      <c r="BJ3735" t="s">
        <v>101</v>
      </c>
      <c r="BK3735" t="s">
        <v>5706</v>
      </c>
      <c r="BL3735" t="s">
        <v>12402</v>
      </c>
      <c r="BM3735" t="s">
        <v>30438</v>
      </c>
      <c r="BN3735" t="s">
        <v>27621</v>
      </c>
    </row>
    <row r="3736" spans="1:66" x14ac:dyDescent="0.25">
      <c r="A3736" t="str">
        <f>HYPERLINK("https://elite.finviz.com/quote.ashx?t=LIND&amp;ty=c&amp;p=d&amp;b=1", "LIND")</f>
        <v>LIND</v>
      </c>
      <c r="B3736">
        <v>4</v>
      </c>
      <c r="C3736">
        <v>105.92</v>
      </c>
      <c r="D3736">
        <v>42.79</v>
      </c>
      <c r="E3736" t="s">
        <v>30439</v>
      </c>
      <c r="F3736" t="s">
        <v>67</v>
      </c>
      <c r="G3736" t="s">
        <v>813</v>
      </c>
      <c r="H3736" t="s">
        <v>1997</v>
      </c>
      <c r="I3736" t="s">
        <v>70</v>
      </c>
      <c r="J3736" t="s">
        <v>321</v>
      </c>
      <c r="K3736">
        <v>708.43</v>
      </c>
      <c r="L3736">
        <v>12.93</v>
      </c>
      <c r="M3736" t="s">
        <v>149</v>
      </c>
      <c r="N3736">
        <v>33981</v>
      </c>
      <c r="P3736">
        <v>136.11000000000001</v>
      </c>
      <c r="R3736">
        <v>1.01</v>
      </c>
      <c r="AA3736">
        <v>-0.32</v>
      </c>
      <c r="AB3736" t="s">
        <v>15059</v>
      </c>
      <c r="AE3736" t="s">
        <v>9483</v>
      </c>
      <c r="AF3736" t="s">
        <v>5534</v>
      </c>
      <c r="AG3736" t="s">
        <v>4648</v>
      </c>
      <c r="AH3736" t="s">
        <v>142</v>
      </c>
      <c r="AI3736" t="s">
        <v>932</v>
      </c>
      <c r="AJ3736" t="s">
        <v>4927</v>
      </c>
      <c r="AK3736" t="s">
        <v>25484</v>
      </c>
      <c r="AL3736">
        <v>0.72</v>
      </c>
      <c r="AM3736">
        <v>0.72</v>
      </c>
      <c r="AO3736" t="s">
        <v>4625</v>
      </c>
      <c r="AP3736" t="s">
        <v>3981</v>
      </c>
      <c r="AQ3736" t="s">
        <v>6838</v>
      </c>
      <c r="AR3736" t="s">
        <v>2473</v>
      </c>
      <c r="AS3736" t="s">
        <v>975</v>
      </c>
      <c r="AT3736" t="s">
        <v>842</v>
      </c>
      <c r="AU3736" t="s">
        <v>1272</v>
      </c>
      <c r="AV3736" t="s">
        <v>2911</v>
      </c>
      <c r="AW3736" t="s">
        <v>117</v>
      </c>
      <c r="AX3736" t="s">
        <v>6084</v>
      </c>
      <c r="AY3736" t="s">
        <v>117</v>
      </c>
      <c r="AZ3736" t="s">
        <v>22371</v>
      </c>
      <c r="BA3736">
        <v>1.5</v>
      </c>
      <c r="BB3736">
        <v>397.06</v>
      </c>
      <c r="BC3736">
        <v>0.3</v>
      </c>
      <c r="BD3736">
        <v>12.87</v>
      </c>
      <c r="BE3736">
        <v>12.92</v>
      </c>
      <c r="BF3736">
        <v>12.81</v>
      </c>
      <c r="BG3736" t="s">
        <v>30440</v>
      </c>
      <c r="BH3736" t="s">
        <v>23361</v>
      </c>
      <c r="BI3736" t="s">
        <v>30441</v>
      </c>
      <c r="BJ3736" t="s">
        <v>101</v>
      </c>
      <c r="BK3736" t="s">
        <v>7976</v>
      </c>
      <c r="BL3736" t="s">
        <v>9107</v>
      </c>
      <c r="BM3736" t="s">
        <v>886</v>
      </c>
      <c r="BN3736" t="s">
        <v>27621</v>
      </c>
    </row>
    <row r="3737" spans="1:66" x14ac:dyDescent="0.25">
      <c r="A3737" t="str">
        <f>HYPERLINK("https://elite.finviz.com/quote.ashx?t=MAIN&amp;ty=c&amp;p=d&amp;b=1", "MAIN")</f>
        <v>MAIN</v>
      </c>
      <c r="B3737">
        <v>4</v>
      </c>
      <c r="C3737">
        <v>105.92</v>
      </c>
      <c r="D3737">
        <v>42.82</v>
      </c>
      <c r="E3737" t="s">
        <v>30442</v>
      </c>
      <c r="F3737" t="s">
        <v>107</v>
      </c>
      <c r="G3737" t="s">
        <v>550</v>
      </c>
      <c r="H3737" t="s">
        <v>2597</v>
      </c>
      <c r="I3737" t="s">
        <v>70</v>
      </c>
      <c r="J3737" t="s">
        <v>71</v>
      </c>
      <c r="K3737">
        <v>5703.42</v>
      </c>
      <c r="L3737">
        <v>63.78</v>
      </c>
      <c r="M3737" t="s">
        <v>1324</v>
      </c>
      <c r="N3737">
        <v>96755</v>
      </c>
      <c r="O3737">
        <v>10.51</v>
      </c>
      <c r="P3737">
        <v>15.89</v>
      </c>
      <c r="R3737">
        <v>8.65</v>
      </c>
      <c r="S3737">
        <v>1.97</v>
      </c>
      <c r="T3737" t="s">
        <v>370</v>
      </c>
      <c r="U3737">
        <v>3.28</v>
      </c>
      <c r="V3737" t="s">
        <v>4489</v>
      </c>
      <c r="W3737" t="s">
        <v>3036</v>
      </c>
      <c r="X3737" t="s">
        <v>334</v>
      </c>
      <c r="Y3737" t="s">
        <v>323</v>
      </c>
      <c r="Z3737" t="s">
        <v>18787</v>
      </c>
      <c r="AA3737">
        <v>6.07</v>
      </c>
      <c r="AB3737" t="s">
        <v>6584</v>
      </c>
      <c r="AC3737" t="s">
        <v>865</v>
      </c>
      <c r="AD3737" t="s">
        <v>5070</v>
      </c>
      <c r="AE3737" t="s">
        <v>6877</v>
      </c>
      <c r="AF3737" t="s">
        <v>1035</v>
      </c>
      <c r="AG3737" t="s">
        <v>10851</v>
      </c>
      <c r="AH3737" t="s">
        <v>6631</v>
      </c>
      <c r="AI3737" t="s">
        <v>1938</v>
      </c>
      <c r="AJ3737" t="s">
        <v>3300</v>
      </c>
      <c r="AK3737" t="s">
        <v>12648</v>
      </c>
      <c r="AL3737">
        <v>1.85</v>
      </c>
      <c r="AM3737">
        <v>1.85</v>
      </c>
      <c r="AN3737">
        <v>0.77</v>
      </c>
      <c r="AO3737" t="s">
        <v>1647</v>
      </c>
      <c r="AP3737" t="s">
        <v>11656</v>
      </c>
      <c r="AQ3737" t="s">
        <v>17908</v>
      </c>
      <c r="AR3737" t="s">
        <v>679</v>
      </c>
      <c r="AS3737" t="s">
        <v>3257</v>
      </c>
      <c r="AT3737" t="s">
        <v>5661</v>
      </c>
      <c r="AU3737" t="s">
        <v>5765</v>
      </c>
      <c r="AV3737" t="s">
        <v>7566</v>
      </c>
      <c r="AW3737" t="s">
        <v>5578</v>
      </c>
      <c r="AX3737" t="s">
        <v>1776</v>
      </c>
      <c r="AY3737" t="s">
        <v>5578</v>
      </c>
      <c r="AZ3737" t="s">
        <v>13149</v>
      </c>
      <c r="BA3737">
        <v>2.71</v>
      </c>
      <c r="BB3737">
        <v>529.54999999999995</v>
      </c>
      <c r="BC3737">
        <v>0.64</v>
      </c>
      <c r="BD3737">
        <v>63.72</v>
      </c>
      <c r="BE3737">
        <v>64.45</v>
      </c>
      <c r="BF3737">
        <v>63.77</v>
      </c>
      <c r="BG3737" t="s">
        <v>30443</v>
      </c>
      <c r="BH3737" t="s">
        <v>5578</v>
      </c>
      <c r="BI3737" t="s">
        <v>30444</v>
      </c>
      <c r="BJ3737" t="s">
        <v>101</v>
      </c>
      <c r="BK3737" t="s">
        <v>191</v>
      </c>
      <c r="BL3737" t="s">
        <v>9387</v>
      </c>
      <c r="BM3737" t="s">
        <v>3260</v>
      </c>
      <c r="BN3737" t="s">
        <v>27621</v>
      </c>
    </row>
    <row r="3738" spans="1:66" x14ac:dyDescent="0.25">
      <c r="A3738" t="str">
        <f>HYPERLINK("https://elite.finviz.com/quote.ashx?t=CASH&amp;ty=c&amp;p=d&amp;b=1", "CASH")</f>
        <v>CASH</v>
      </c>
      <c r="B3738">
        <v>4</v>
      </c>
      <c r="C3738">
        <v>105.92</v>
      </c>
      <c r="D3738">
        <v>42.82</v>
      </c>
      <c r="E3738" t="s">
        <v>30445</v>
      </c>
      <c r="F3738" t="s">
        <v>67</v>
      </c>
      <c r="G3738" t="s">
        <v>550</v>
      </c>
      <c r="H3738" t="s">
        <v>697</v>
      </c>
      <c r="I3738" t="s">
        <v>70</v>
      </c>
      <c r="J3738" t="s">
        <v>321</v>
      </c>
      <c r="K3738">
        <v>1709.03</v>
      </c>
      <c r="L3738">
        <v>75.05</v>
      </c>
      <c r="M3738" t="s">
        <v>4955</v>
      </c>
      <c r="N3738">
        <v>37278</v>
      </c>
      <c r="O3738">
        <v>9.9700000000000006</v>
      </c>
      <c r="P3738">
        <v>8.7899999999999991</v>
      </c>
      <c r="R3738">
        <v>2.08</v>
      </c>
      <c r="S3738">
        <v>2.1</v>
      </c>
      <c r="T3738" t="s">
        <v>439</v>
      </c>
      <c r="U3738">
        <v>0.2</v>
      </c>
      <c r="V3738" t="s">
        <v>5717</v>
      </c>
      <c r="W3738" t="s">
        <v>164</v>
      </c>
      <c r="X3738" t="s">
        <v>164</v>
      </c>
      <c r="Y3738" t="s">
        <v>164</v>
      </c>
      <c r="Z3738" t="s">
        <v>2543</v>
      </c>
      <c r="AA3738">
        <v>7.53</v>
      </c>
      <c r="AB3738" t="s">
        <v>7724</v>
      </c>
      <c r="AC3738" t="s">
        <v>791</v>
      </c>
      <c r="AE3738" t="s">
        <v>291</v>
      </c>
      <c r="AF3738" t="s">
        <v>1089</v>
      </c>
      <c r="AG3738" t="s">
        <v>3432</v>
      </c>
      <c r="AH3738" t="s">
        <v>2605</v>
      </c>
      <c r="AI3738" t="s">
        <v>8050</v>
      </c>
      <c r="AJ3738" t="s">
        <v>9711</v>
      </c>
      <c r="AK3738" t="s">
        <v>7451</v>
      </c>
      <c r="AL3738">
        <v>0.05</v>
      </c>
      <c r="AN3738">
        <v>0.21</v>
      </c>
      <c r="AP3738" t="s">
        <v>16827</v>
      </c>
      <c r="AQ3738" t="s">
        <v>11275</v>
      </c>
      <c r="AR3738" t="s">
        <v>387</v>
      </c>
      <c r="AS3738" t="s">
        <v>4216</v>
      </c>
      <c r="AT3738" t="s">
        <v>5365</v>
      </c>
      <c r="AU3738" t="s">
        <v>8937</v>
      </c>
      <c r="AV3738" t="s">
        <v>6204</v>
      </c>
      <c r="AW3738" t="s">
        <v>2537</v>
      </c>
      <c r="AX3738" t="s">
        <v>1449</v>
      </c>
      <c r="AY3738" t="s">
        <v>5934</v>
      </c>
      <c r="AZ3738" t="s">
        <v>5761</v>
      </c>
      <c r="BA3738">
        <v>3</v>
      </c>
      <c r="BB3738">
        <v>191.59</v>
      </c>
      <c r="BC3738">
        <v>0.69</v>
      </c>
      <c r="BD3738">
        <v>75.17</v>
      </c>
      <c r="BE3738">
        <v>75.87</v>
      </c>
      <c r="BF3738">
        <v>74.78</v>
      </c>
      <c r="BG3738" t="s">
        <v>30446</v>
      </c>
      <c r="BH3738" t="s">
        <v>5934</v>
      </c>
      <c r="BI3738" t="s">
        <v>30447</v>
      </c>
      <c r="BJ3738" t="s">
        <v>101</v>
      </c>
      <c r="BK3738" t="s">
        <v>798</v>
      </c>
      <c r="BL3738" t="s">
        <v>3598</v>
      </c>
      <c r="BM3738" t="s">
        <v>5699</v>
      </c>
      <c r="BN3738" t="s">
        <v>27621</v>
      </c>
    </row>
    <row r="3739" spans="1:66" x14ac:dyDescent="0.25">
      <c r="A3739" t="str">
        <f>HYPERLINK("https://elite.finviz.com/quote.ashx?t=LMNR&amp;ty=c&amp;p=d&amp;b=1", "LMNR")</f>
        <v>LMNR</v>
      </c>
      <c r="B3739">
        <v>4</v>
      </c>
      <c r="C3739">
        <v>105.92</v>
      </c>
      <c r="D3739">
        <v>42.83</v>
      </c>
      <c r="E3739" t="s">
        <v>30448</v>
      </c>
      <c r="F3739" t="s">
        <v>67</v>
      </c>
      <c r="G3739" t="s">
        <v>2244</v>
      </c>
      <c r="H3739" t="s">
        <v>5735</v>
      </c>
      <c r="I3739" t="s">
        <v>70</v>
      </c>
      <c r="J3739" t="s">
        <v>321</v>
      </c>
      <c r="K3739">
        <v>270.63</v>
      </c>
      <c r="L3739">
        <v>14.99</v>
      </c>
      <c r="M3739" t="s">
        <v>2757</v>
      </c>
      <c r="N3739">
        <v>6125</v>
      </c>
      <c r="P3739">
        <v>499.83</v>
      </c>
      <c r="R3739">
        <v>1.68</v>
      </c>
      <c r="S3739">
        <v>1.59</v>
      </c>
      <c r="T3739" t="s">
        <v>1439</v>
      </c>
      <c r="U3739">
        <v>0.3</v>
      </c>
      <c r="V3739" t="s">
        <v>11435</v>
      </c>
      <c r="W3739" t="s">
        <v>164</v>
      </c>
      <c r="X3739" t="s">
        <v>164</v>
      </c>
      <c r="Y3739" t="s">
        <v>164</v>
      </c>
      <c r="Z3739" t="s">
        <v>30449</v>
      </c>
      <c r="AA3739">
        <v>-0.54</v>
      </c>
      <c r="AD3739" t="s">
        <v>9116</v>
      </c>
      <c r="AE3739" t="s">
        <v>17002</v>
      </c>
      <c r="AF3739" t="s">
        <v>5100</v>
      </c>
      <c r="AG3739" t="s">
        <v>3842</v>
      </c>
      <c r="AH3739" t="s">
        <v>1427</v>
      </c>
      <c r="AI3739" t="s">
        <v>30450</v>
      </c>
      <c r="AJ3739" t="s">
        <v>164</v>
      </c>
      <c r="AK3739" t="s">
        <v>30308</v>
      </c>
      <c r="AL3739">
        <v>1.8</v>
      </c>
      <c r="AM3739">
        <v>1.8</v>
      </c>
      <c r="AN3739">
        <v>0.37</v>
      </c>
      <c r="AO3739" t="s">
        <v>4678</v>
      </c>
      <c r="AP3739" t="s">
        <v>9998</v>
      </c>
      <c r="AQ3739" t="s">
        <v>17105</v>
      </c>
      <c r="AR3739" t="s">
        <v>1438</v>
      </c>
      <c r="AS3739" t="s">
        <v>4800</v>
      </c>
      <c r="AT3739" t="s">
        <v>9475</v>
      </c>
      <c r="AU3739" t="s">
        <v>7865</v>
      </c>
      <c r="AV3739" t="s">
        <v>6571</v>
      </c>
      <c r="AW3739" t="s">
        <v>15856</v>
      </c>
      <c r="AX3739" t="s">
        <v>4299</v>
      </c>
      <c r="AY3739" t="s">
        <v>24118</v>
      </c>
      <c r="AZ3739" t="s">
        <v>4299</v>
      </c>
      <c r="BA3739">
        <v>1.67</v>
      </c>
      <c r="BB3739">
        <v>58.93</v>
      </c>
      <c r="BC3739">
        <v>0.37</v>
      </c>
      <c r="BD3739">
        <v>14.98</v>
      </c>
      <c r="BE3739">
        <v>15.05</v>
      </c>
      <c r="BF3739">
        <v>14.94</v>
      </c>
      <c r="BG3739" t="s">
        <v>30451</v>
      </c>
      <c r="BH3739" t="s">
        <v>20377</v>
      </c>
      <c r="BI3739" t="s">
        <v>25107</v>
      </c>
      <c r="BJ3739" t="s">
        <v>101</v>
      </c>
      <c r="BK3739" t="s">
        <v>9738</v>
      </c>
      <c r="BL3739" t="s">
        <v>11994</v>
      </c>
      <c r="BM3739" t="s">
        <v>30452</v>
      </c>
      <c r="BN3739" t="s">
        <v>27621</v>
      </c>
    </row>
    <row r="3740" spans="1:66" x14ac:dyDescent="0.25">
      <c r="A3740" t="str">
        <f>HYPERLINK("https://elite.finviz.com/quote.ashx?t=MLR&amp;ty=c&amp;p=d&amp;b=1", "MLR")</f>
        <v>MLR</v>
      </c>
      <c r="B3740">
        <v>4</v>
      </c>
      <c r="C3740">
        <v>105.92</v>
      </c>
      <c r="D3740">
        <v>42.84</v>
      </c>
      <c r="E3740" t="s">
        <v>30453</v>
      </c>
      <c r="F3740" t="s">
        <v>67</v>
      </c>
      <c r="G3740" t="s">
        <v>813</v>
      </c>
      <c r="H3740" t="s">
        <v>814</v>
      </c>
      <c r="I3740" t="s">
        <v>70</v>
      </c>
      <c r="J3740" t="s">
        <v>71</v>
      </c>
      <c r="K3740">
        <v>448.47</v>
      </c>
      <c r="L3740">
        <v>39.14</v>
      </c>
      <c r="M3740" t="s">
        <v>3552</v>
      </c>
      <c r="N3740">
        <v>15643</v>
      </c>
      <c r="O3740">
        <v>10.69</v>
      </c>
      <c r="P3740">
        <v>9.5500000000000007</v>
      </c>
      <c r="R3740">
        <v>0.46</v>
      </c>
      <c r="S3740">
        <v>1.07</v>
      </c>
      <c r="T3740" t="s">
        <v>6692</v>
      </c>
      <c r="U3740">
        <v>0.79</v>
      </c>
      <c r="V3740" t="s">
        <v>9611</v>
      </c>
      <c r="W3740" t="s">
        <v>892</v>
      </c>
      <c r="X3740" t="s">
        <v>1303</v>
      </c>
      <c r="Y3740" t="s">
        <v>581</v>
      </c>
      <c r="Z3740" t="s">
        <v>7079</v>
      </c>
      <c r="AA3740">
        <v>3.66</v>
      </c>
      <c r="AB3740" t="s">
        <v>24192</v>
      </c>
      <c r="AC3740" t="s">
        <v>1558</v>
      </c>
      <c r="AE3740" t="s">
        <v>18962</v>
      </c>
      <c r="AF3740" t="s">
        <v>16934</v>
      </c>
      <c r="AG3740" t="s">
        <v>7567</v>
      </c>
      <c r="AH3740" t="s">
        <v>23005</v>
      </c>
      <c r="AI3740" t="s">
        <v>13458</v>
      </c>
      <c r="AJ3740" t="s">
        <v>164</v>
      </c>
      <c r="AK3740" t="s">
        <v>30454</v>
      </c>
      <c r="AL3740">
        <v>3.32</v>
      </c>
      <c r="AM3740">
        <v>2.19</v>
      </c>
      <c r="AN3740">
        <v>0.13</v>
      </c>
      <c r="AO3740" t="s">
        <v>800</v>
      </c>
      <c r="AP3740" t="s">
        <v>7118</v>
      </c>
      <c r="AQ3740" t="s">
        <v>3520</v>
      </c>
      <c r="AR3740" t="s">
        <v>926</v>
      </c>
      <c r="AS3740" t="s">
        <v>4294</v>
      </c>
      <c r="AT3740" t="s">
        <v>1690</v>
      </c>
      <c r="AU3740" t="s">
        <v>4234</v>
      </c>
      <c r="AV3740" t="s">
        <v>30455</v>
      </c>
      <c r="AW3740" t="s">
        <v>20326</v>
      </c>
      <c r="AX3740" t="s">
        <v>12222</v>
      </c>
      <c r="AY3740" t="s">
        <v>30456</v>
      </c>
      <c r="AZ3740" t="s">
        <v>12222</v>
      </c>
      <c r="BA3740">
        <v>1</v>
      </c>
      <c r="BB3740">
        <v>113.7</v>
      </c>
      <c r="BC3740">
        <v>0.49</v>
      </c>
      <c r="BD3740">
        <v>38.729999999999997</v>
      </c>
      <c r="BE3740">
        <v>39.15</v>
      </c>
      <c r="BF3740">
        <v>38.69</v>
      </c>
      <c r="BG3740" t="s">
        <v>30457</v>
      </c>
      <c r="BH3740" t="s">
        <v>19917</v>
      </c>
      <c r="BI3740" t="s">
        <v>30458</v>
      </c>
      <c r="BJ3740" t="s">
        <v>101</v>
      </c>
      <c r="BK3740" t="s">
        <v>18364</v>
      </c>
      <c r="BL3740" t="s">
        <v>18739</v>
      </c>
      <c r="BM3740" t="s">
        <v>29123</v>
      </c>
      <c r="BN3740" t="s">
        <v>27621</v>
      </c>
    </row>
    <row r="3741" spans="1:66" x14ac:dyDescent="0.25">
      <c r="A3741" t="str">
        <f>HYPERLINK("https://elite.finviz.com/quote.ashx?t=ISRL&amp;ty=c&amp;p=d&amp;b=1", "ISRL")</f>
        <v>ISRL</v>
      </c>
      <c r="B3741">
        <v>4</v>
      </c>
      <c r="C3741">
        <v>105.92</v>
      </c>
      <c r="D3741">
        <v>42.86</v>
      </c>
      <c r="E3741" t="s">
        <v>30459</v>
      </c>
      <c r="F3741" t="s">
        <v>107</v>
      </c>
      <c r="G3741" t="s">
        <v>550</v>
      </c>
      <c r="H3741" t="s">
        <v>2120</v>
      </c>
      <c r="I3741" t="s">
        <v>70</v>
      </c>
      <c r="J3741" t="s">
        <v>321</v>
      </c>
      <c r="K3741">
        <v>77.16</v>
      </c>
      <c r="L3741">
        <v>12.15</v>
      </c>
      <c r="M3741" t="s">
        <v>137</v>
      </c>
      <c r="N3741">
        <v>39</v>
      </c>
      <c r="O3741">
        <v>682.36</v>
      </c>
      <c r="S3741">
        <v>37.74</v>
      </c>
      <c r="Z3741" t="s">
        <v>164</v>
      </c>
      <c r="AA3741">
        <v>0.02</v>
      </c>
      <c r="AJ3741" t="s">
        <v>164</v>
      </c>
      <c r="AK3741" t="s">
        <v>3636</v>
      </c>
      <c r="AL3741">
        <v>1.27</v>
      </c>
      <c r="AM3741">
        <v>1.27</v>
      </c>
      <c r="AN3741">
        <v>0.76</v>
      </c>
      <c r="AR3741" t="s">
        <v>5745</v>
      </c>
      <c r="AS3741" t="s">
        <v>4255</v>
      </c>
      <c r="AT3741" t="s">
        <v>3814</v>
      </c>
      <c r="AU3741" t="s">
        <v>12575</v>
      </c>
      <c r="AV3741" t="s">
        <v>451</v>
      </c>
      <c r="AW3741" t="s">
        <v>6939</v>
      </c>
      <c r="AX3741" t="s">
        <v>205</v>
      </c>
      <c r="AY3741" t="s">
        <v>8838</v>
      </c>
      <c r="AZ3741" t="s">
        <v>2984</v>
      </c>
      <c r="BB3741">
        <v>4.51</v>
      </c>
      <c r="BC3741">
        <v>0.03</v>
      </c>
      <c r="BD3741">
        <v>13</v>
      </c>
      <c r="BE3741">
        <v>12.86</v>
      </c>
      <c r="BF3741">
        <v>12.86</v>
      </c>
      <c r="BG3741" t="s">
        <v>30460</v>
      </c>
      <c r="BH3741" t="s">
        <v>8838</v>
      </c>
      <c r="BI3741" t="s">
        <v>12079</v>
      </c>
      <c r="BJ3741" t="s">
        <v>101</v>
      </c>
      <c r="BK3741" t="s">
        <v>6976</v>
      </c>
      <c r="BL3741" t="s">
        <v>4999</v>
      </c>
      <c r="BM3741" t="s">
        <v>2399</v>
      </c>
      <c r="BN3741" t="s">
        <v>27621</v>
      </c>
    </row>
    <row r="3742" spans="1:66" x14ac:dyDescent="0.25">
      <c r="A3742" t="str">
        <f>HYPERLINK("https://elite.finviz.com/quote.ashx?t=MOBX&amp;ty=c&amp;p=d&amp;b=1", "MOBX")</f>
        <v>MOBX</v>
      </c>
      <c r="B3742">
        <v>4</v>
      </c>
      <c r="C3742">
        <v>105.92</v>
      </c>
      <c r="D3742">
        <v>42.87</v>
      </c>
      <c r="E3742" t="s">
        <v>30461</v>
      </c>
      <c r="F3742" t="s">
        <v>107</v>
      </c>
      <c r="G3742" t="s">
        <v>108</v>
      </c>
      <c r="H3742" t="s">
        <v>1808</v>
      </c>
      <c r="I3742" t="s">
        <v>70</v>
      </c>
      <c r="J3742" t="s">
        <v>321</v>
      </c>
      <c r="K3742">
        <v>51.59</v>
      </c>
      <c r="L3742">
        <v>0.85</v>
      </c>
      <c r="M3742" t="s">
        <v>636</v>
      </c>
      <c r="N3742">
        <v>86846</v>
      </c>
      <c r="R3742">
        <v>4.7</v>
      </c>
      <c r="S3742">
        <v>107.18</v>
      </c>
      <c r="AA3742">
        <v>-1.19</v>
      </c>
      <c r="AH3742" t="s">
        <v>3420</v>
      </c>
      <c r="AJ3742" t="s">
        <v>1547</v>
      </c>
      <c r="AK3742" t="s">
        <v>73</v>
      </c>
      <c r="AL3742">
        <v>0.14000000000000001</v>
      </c>
      <c r="AM3742">
        <v>0.09</v>
      </c>
      <c r="AN3742">
        <v>13.5</v>
      </c>
      <c r="AO3742" t="s">
        <v>30462</v>
      </c>
      <c r="AP3742" t="s">
        <v>30463</v>
      </c>
      <c r="AQ3742" t="s">
        <v>30464</v>
      </c>
      <c r="AR3742" t="s">
        <v>684</v>
      </c>
      <c r="AS3742" t="s">
        <v>2948</v>
      </c>
      <c r="AT3742" t="s">
        <v>8242</v>
      </c>
      <c r="AU3742" t="s">
        <v>16883</v>
      </c>
      <c r="AV3742" t="s">
        <v>4521</v>
      </c>
      <c r="AW3742" t="s">
        <v>23039</v>
      </c>
      <c r="AX3742" t="s">
        <v>8594</v>
      </c>
      <c r="AY3742" t="s">
        <v>30465</v>
      </c>
      <c r="AZ3742" t="s">
        <v>2057</v>
      </c>
      <c r="BB3742">
        <v>879.75</v>
      </c>
      <c r="BC3742">
        <v>0.35</v>
      </c>
      <c r="BD3742">
        <v>0.8</v>
      </c>
      <c r="BE3742">
        <v>0.87</v>
      </c>
      <c r="BF3742">
        <v>0.83</v>
      </c>
      <c r="BG3742" t="s">
        <v>30466</v>
      </c>
      <c r="BH3742" t="s">
        <v>24635</v>
      </c>
      <c r="BI3742" t="s">
        <v>2057</v>
      </c>
      <c r="BJ3742" t="s">
        <v>101</v>
      </c>
      <c r="BK3742" t="s">
        <v>6466</v>
      </c>
      <c r="BL3742" t="s">
        <v>4312</v>
      </c>
      <c r="BM3742" t="s">
        <v>24730</v>
      </c>
      <c r="BN3742" t="s">
        <v>27621</v>
      </c>
    </row>
    <row r="3743" spans="1:66" x14ac:dyDescent="0.25">
      <c r="A3743" t="str">
        <f>HYPERLINK("https://elite.finviz.com/quote.ashx?t=NRIM&amp;ty=c&amp;p=d&amp;b=1", "NRIM")</f>
        <v>NRIM</v>
      </c>
      <c r="B3743">
        <v>4</v>
      </c>
      <c r="C3743">
        <v>105.92</v>
      </c>
      <c r="D3743">
        <v>42.9</v>
      </c>
      <c r="E3743" t="s">
        <v>30467</v>
      </c>
      <c r="F3743" t="s">
        <v>67</v>
      </c>
      <c r="G3743" t="s">
        <v>550</v>
      </c>
      <c r="H3743" t="s">
        <v>697</v>
      </c>
      <c r="I3743" t="s">
        <v>70</v>
      </c>
      <c r="J3743" t="s">
        <v>321</v>
      </c>
      <c r="K3743">
        <v>489.36</v>
      </c>
      <c r="L3743">
        <v>22.15</v>
      </c>
      <c r="M3743" t="s">
        <v>11369</v>
      </c>
      <c r="N3743">
        <v>14768</v>
      </c>
      <c r="O3743">
        <v>11.07</v>
      </c>
      <c r="P3743">
        <v>9.2200000000000006</v>
      </c>
      <c r="R3743">
        <v>2.2000000000000002</v>
      </c>
      <c r="S3743">
        <v>1.69</v>
      </c>
      <c r="T3743" t="s">
        <v>5425</v>
      </c>
      <c r="U3743">
        <v>0.64</v>
      </c>
      <c r="V3743" t="s">
        <v>6223</v>
      </c>
      <c r="W3743" t="s">
        <v>2082</v>
      </c>
      <c r="X3743" t="s">
        <v>2866</v>
      </c>
      <c r="Y3743" t="s">
        <v>7033</v>
      </c>
      <c r="Z3743" t="s">
        <v>6561</v>
      </c>
      <c r="AA3743">
        <v>2</v>
      </c>
      <c r="AB3743" t="s">
        <v>4677</v>
      </c>
      <c r="AC3743" t="s">
        <v>2122</v>
      </c>
      <c r="AE3743" t="s">
        <v>2520</v>
      </c>
      <c r="AF3743" t="s">
        <v>511</v>
      </c>
      <c r="AG3743" t="s">
        <v>2946</v>
      </c>
      <c r="AH3743" t="s">
        <v>9252</v>
      </c>
      <c r="AI3743" t="s">
        <v>4235</v>
      </c>
      <c r="AJ3743" t="s">
        <v>164</v>
      </c>
      <c r="AK3743" t="s">
        <v>3251</v>
      </c>
      <c r="AL3743">
        <v>0.12</v>
      </c>
      <c r="AN3743">
        <v>0.28000000000000003</v>
      </c>
      <c r="AP3743" t="s">
        <v>9687</v>
      </c>
      <c r="AQ3743" t="s">
        <v>3663</v>
      </c>
      <c r="AR3743" t="s">
        <v>4892</v>
      </c>
      <c r="AS3743" t="s">
        <v>4800</v>
      </c>
      <c r="AT3743" t="s">
        <v>4711</v>
      </c>
      <c r="AU3743" t="s">
        <v>110</v>
      </c>
      <c r="AV3743" t="s">
        <v>2293</v>
      </c>
      <c r="AW3743" t="s">
        <v>13982</v>
      </c>
      <c r="AX3743" t="s">
        <v>5227</v>
      </c>
      <c r="AY3743" t="s">
        <v>7861</v>
      </c>
      <c r="AZ3743" t="s">
        <v>6547</v>
      </c>
      <c r="BA3743">
        <v>1</v>
      </c>
      <c r="BB3743">
        <v>215.09</v>
      </c>
      <c r="BC3743">
        <v>0.24</v>
      </c>
      <c r="BD3743">
        <v>22.37</v>
      </c>
      <c r="BE3743">
        <v>22.62</v>
      </c>
      <c r="BF3743">
        <v>22.14</v>
      </c>
      <c r="BG3743" t="s">
        <v>30468</v>
      </c>
      <c r="BH3743" t="s">
        <v>7861</v>
      </c>
      <c r="BI3743" t="s">
        <v>30469</v>
      </c>
      <c r="BJ3743" t="s">
        <v>101</v>
      </c>
      <c r="BK3743" t="s">
        <v>5584</v>
      </c>
      <c r="BL3743" t="s">
        <v>10042</v>
      </c>
      <c r="BM3743" t="s">
        <v>10798</v>
      </c>
      <c r="BN3743" t="s">
        <v>27621</v>
      </c>
    </row>
    <row r="3744" spans="1:66" x14ac:dyDescent="0.25">
      <c r="A3744" t="str">
        <f>HYPERLINK("https://elite.finviz.com/quote.ashx?t=LOCO&amp;ty=c&amp;p=d&amp;b=1", "LOCO")</f>
        <v>LOCO</v>
      </c>
      <c r="B3744">
        <v>4</v>
      </c>
      <c r="C3744">
        <v>105.92</v>
      </c>
      <c r="D3744">
        <v>42.92</v>
      </c>
      <c r="E3744" t="s">
        <v>30470</v>
      </c>
      <c r="F3744" t="s">
        <v>67</v>
      </c>
      <c r="G3744" t="s">
        <v>813</v>
      </c>
      <c r="H3744" t="s">
        <v>2285</v>
      </c>
      <c r="I3744" t="s">
        <v>70</v>
      </c>
      <c r="J3744" t="s">
        <v>321</v>
      </c>
      <c r="K3744">
        <v>298.7</v>
      </c>
      <c r="L3744">
        <v>9.9600000000000009</v>
      </c>
      <c r="M3744" t="s">
        <v>1657</v>
      </c>
      <c r="N3744">
        <v>36755</v>
      </c>
      <c r="O3744">
        <v>11.83</v>
      </c>
      <c r="P3744">
        <v>10.65</v>
      </c>
      <c r="R3744">
        <v>0.62</v>
      </c>
      <c r="S3744">
        <v>1.0900000000000001</v>
      </c>
      <c r="V3744" t="s">
        <v>30471</v>
      </c>
      <c r="Z3744" t="s">
        <v>164</v>
      </c>
      <c r="AA3744">
        <v>0.84</v>
      </c>
      <c r="AB3744" t="s">
        <v>679</v>
      </c>
      <c r="AC3744" t="s">
        <v>322</v>
      </c>
      <c r="AE3744" t="s">
        <v>4267</v>
      </c>
      <c r="AF3744" t="s">
        <v>3976</v>
      </c>
      <c r="AG3744" t="s">
        <v>3976</v>
      </c>
      <c r="AH3744" t="s">
        <v>6118</v>
      </c>
      <c r="AI3744" t="s">
        <v>16280</v>
      </c>
      <c r="AJ3744" t="s">
        <v>4431</v>
      </c>
      <c r="AK3744" t="s">
        <v>26658</v>
      </c>
      <c r="AL3744">
        <v>0.35</v>
      </c>
      <c r="AM3744">
        <v>0.33</v>
      </c>
      <c r="AN3744">
        <v>0.94</v>
      </c>
      <c r="AO3744" t="s">
        <v>2738</v>
      </c>
      <c r="AP3744" t="s">
        <v>6028</v>
      </c>
      <c r="AQ3744" t="s">
        <v>6527</v>
      </c>
      <c r="AR3744" t="s">
        <v>5071</v>
      </c>
      <c r="AS3744" t="s">
        <v>3208</v>
      </c>
      <c r="AT3744" t="s">
        <v>7867</v>
      </c>
      <c r="AU3744" t="s">
        <v>3853</v>
      </c>
      <c r="AV3744" t="s">
        <v>15764</v>
      </c>
      <c r="AW3744" t="s">
        <v>9261</v>
      </c>
      <c r="AX3744" t="s">
        <v>2554</v>
      </c>
      <c r="AY3744" t="s">
        <v>11909</v>
      </c>
      <c r="AZ3744" t="s">
        <v>3663</v>
      </c>
      <c r="BA3744">
        <v>2.2000000000000002</v>
      </c>
      <c r="BB3744">
        <v>260.32</v>
      </c>
      <c r="BC3744">
        <v>0.5</v>
      </c>
      <c r="BD3744">
        <v>9.91</v>
      </c>
      <c r="BE3744">
        <v>10</v>
      </c>
      <c r="BF3744">
        <v>9.91</v>
      </c>
      <c r="BG3744" t="s">
        <v>30472</v>
      </c>
      <c r="BH3744" t="s">
        <v>5007</v>
      </c>
      <c r="BI3744" t="s">
        <v>24291</v>
      </c>
      <c r="BJ3744" t="s">
        <v>101</v>
      </c>
      <c r="BK3744" t="s">
        <v>4712</v>
      </c>
      <c r="BL3744" t="s">
        <v>18212</v>
      </c>
      <c r="BM3744" t="s">
        <v>11399</v>
      </c>
      <c r="BN3744" t="s">
        <v>27621</v>
      </c>
    </row>
    <row r="3745" spans="1:66" x14ac:dyDescent="0.25">
      <c r="A3745" t="str">
        <f>HYPERLINK("https://elite.finviz.com/quote.ashx?t=RNAC&amp;ty=c&amp;p=d&amp;b=1", "RNAC")</f>
        <v>RNAC</v>
      </c>
      <c r="B3745">
        <v>4</v>
      </c>
      <c r="C3745">
        <v>105.92</v>
      </c>
      <c r="D3745">
        <v>42.94</v>
      </c>
      <c r="E3745" t="s">
        <v>30473</v>
      </c>
      <c r="F3745" t="s">
        <v>67</v>
      </c>
      <c r="G3745" t="s">
        <v>428</v>
      </c>
      <c r="H3745" t="s">
        <v>429</v>
      </c>
      <c r="I3745" t="s">
        <v>70</v>
      </c>
      <c r="J3745" t="s">
        <v>321</v>
      </c>
      <c r="K3745">
        <v>246.5</v>
      </c>
      <c r="L3745">
        <v>9.48</v>
      </c>
      <c r="M3745" t="s">
        <v>497</v>
      </c>
      <c r="N3745">
        <v>12655</v>
      </c>
      <c r="R3745">
        <v>5.14</v>
      </c>
      <c r="AA3745">
        <v>-52.64</v>
      </c>
      <c r="AB3745" t="s">
        <v>1359</v>
      </c>
      <c r="AC3745" t="s">
        <v>15396</v>
      </c>
      <c r="AD3745" t="s">
        <v>3958</v>
      </c>
      <c r="AE3745" t="s">
        <v>12931</v>
      </c>
      <c r="AF3745" t="s">
        <v>13413</v>
      </c>
      <c r="AG3745" t="s">
        <v>6546</v>
      </c>
      <c r="AH3745" t="s">
        <v>28925</v>
      </c>
      <c r="AI3745" t="s">
        <v>30474</v>
      </c>
      <c r="AJ3745" t="s">
        <v>7388</v>
      </c>
      <c r="AK3745" t="s">
        <v>2907</v>
      </c>
      <c r="AL3745">
        <v>13.33</v>
      </c>
      <c r="AM3745">
        <v>13.33</v>
      </c>
      <c r="AO3745" t="s">
        <v>13931</v>
      </c>
      <c r="AP3745" t="s">
        <v>30475</v>
      </c>
      <c r="AQ3745" t="s">
        <v>30476</v>
      </c>
      <c r="AR3745" t="s">
        <v>2398</v>
      </c>
      <c r="AS3745" t="s">
        <v>8460</v>
      </c>
      <c r="AT3745" t="s">
        <v>4078</v>
      </c>
      <c r="AU3745" t="s">
        <v>19388</v>
      </c>
      <c r="AV3745" t="s">
        <v>8397</v>
      </c>
      <c r="AW3745" t="s">
        <v>21381</v>
      </c>
      <c r="AX3745" t="s">
        <v>1087</v>
      </c>
      <c r="AY3745" t="s">
        <v>680</v>
      </c>
      <c r="AZ3745" t="s">
        <v>6388</v>
      </c>
      <c r="BA3745">
        <v>1.44</v>
      </c>
      <c r="BB3745">
        <v>66.8</v>
      </c>
      <c r="BC3745">
        <v>0.67</v>
      </c>
      <c r="BD3745">
        <v>9.4600000000000009</v>
      </c>
      <c r="BE3745">
        <v>9.5</v>
      </c>
      <c r="BF3745">
        <v>9.36</v>
      </c>
      <c r="BG3745" t="s">
        <v>30477</v>
      </c>
      <c r="BH3745" t="s">
        <v>8552</v>
      </c>
      <c r="BI3745" t="s">
        <v>6388</v>
      </c>
      <c r="BJ3745" t="s">
        <v>101</v>
      </c>
      <c r="BK3745" t="s">
        <v>16540</v>
      </c>
      <c r="BL3745" t="s">
        <v>24183</v>
      </c>
      <c r="BM3745" t="s">
        <v>7840</v>
      </c>
      <c r="BN3745" t="s">
        <v>27621</v>
      </c>
    </row>
    <row r="3746" spans="1:66" x14ac:dyDescent="0.25">
      <c r="A3746" t="str">
        <f>HYPERLINK("https://elite.finviz.com/quote.ashx?t=ABM&amp;ty=c&amp;p=d&amp;b=1", "ABM")</f>
        <v>ABM</v>
      </c>
      <c r="B3746">
        <v>4</v>
      </c>
      <c r="C3746">
        <v>105.92</v>
      </c>
      <c r="D3746">
        <v>42.94</v>
      </c>
      <c r="E3746" t="s">
        <v>30478</v>
      </c>
      <c r="F3746" t="s">
        <v>67</v>
      </c>
      <c r="G3746" t="s">
        <v>260</v>
      </c>
      <c r="H3746" t="s">
        <v>1077</v>
      </c>
      <c r="I3746" t="s">
        <v>70</v>
      </c>
      <c r="J3746" t="s">
        <v>71</v>
      </c>
      <c r="K3746">
        <v>2786.5</v>
      </c>
      <c r="L3746">
        <v>45.51</v>
      </c>
      <c r="M3746" t="s">
        <v>1338</v>
      </c>
      <c r="N3746">
        <v>43138</v>
      </c>
      <c r="O3746">
        <v>24.72</v>
      </c>
      <c r="P3746">
        <v>11.29</v>
      </c>
      <c r="Q3746">
        <v>2.81</v>
      </c>
      <c r="R3746">
        <v>0.32</v>
      </c>
      <c r="S3746">
        <v>1.53</v>
      </c>
      <c r="T3746" t="s">
        <v>180</v>
      </c>
      <c r="U3746">
        <v>1.02</v>
      </c>
      <c r="V3746" t="s">
        <v>5149</v>
      </c>
      <c r="W3746" t="s">
        <v>6003</v>
      </c>
      <c r="X3746" t="s">
        <v>3036</v>
      </c>
      <c r="Y3746" t="s">
        <v>371</v>
      </c>
      <c r="Z3746" t="s">
        <v>30479</v>
      </c>
      <c r="AA3746">
        <v>1.84</v>
      </c>
      <c r="AB3746" t="s">
        <v>8098</v>
      </c>
      <c r="AC3746" t="s">
        <v>11153</v>
      </c>
      <c r="AD3746" t="s">
        <v>1370</v>
      </c>
      <c r="AE3746" t="s">
        <v>4744</v>
      </c>
      <c r="AF3746" t="s">
        <v>2579</v>
      </c>
      <c r="AG3746" t="s">
        <v>322</v>
      </c>
      <c r="AH3746" t="s">
        <v>2777</v>
      </c>
      <c r="AI3746" t="s">
        <v>14242</v>
      </c>
      <c r="AJ3746" t="s">
        <v>6195</v>
      </c>
      <c r="AK3746" t="s">
        <v>24136</v>
      </c>
      <c r="AL3746">
        <v>1.49</v>
      </c>
      <c r="AM3746">
        <v>1.49</v>
      </c>
      <c r="AN3746">
        <v>0.9</v>
      </c>
      <c r="AO3746" t="s">
        <v>6751</v>
      </c>
      <c r="AP3746" t="s">
        <v>2108</v>
      </c>
      <c r="AQ3746" t="s">
        <v>2185</v>
      </c>
      <c r="AR3746" t="s">
        <v>212</v>
      </c>
      <c r="AS3746" t="s">
        <v>248</v>
      </c>
      <c r="AT3746" t="s">
        <v>4501</v>
      </c>
      <c r="AU3746" t="s">
        <v>14948</v>
      </c>
      <c r="AV3746" t="s">
        <v>8230</v>
      </c>
      <c r="AW3746" t="s">
        <v>13088</v>
      </c>
      <c r="AX3746" t="s">
        <v>7284</v>
      </c>
      <c r="AY3746" t="s">
        <v>26256</v>
      </c>
      <c r="AZ3746" t="s">
        <v>7605</v>
      </c>
      <c r="BA3746">
        <v>2.14</v>
      </c>
      <c r="BB3746">
        <v>568.99</v>
      </c>
      <c r="BC3746">
        <v>0.27</v>
      </c>
      <c r="BD3746">
        <v>45.06</v>
      </c>
      <c r="BE3746">
        <v>45.59</v>
      </c>
      <c r="BF3746">
        <v>45</v>
      </c>
      <c r="BG3746" t="s">
        <v>30480</v>
      </c>
      <c r="BH3746" t="s">
        <v>20046</v>
      </c>
      <c r="BI3746" t="s">
        <v>30481</v>
      </c>
      <c r="BJ3746" t="s">
        <v>101</v>
      </c>
      <c r="BK3746" t="s">
        <v>9498</v>
      </c>
      <c r="BL3746" t="s">
        <v>5301</v>
      </c>
      <c r="BM3746" t="s">
        <v>8910</v>
      </c>
      <c r="BN3746" t="s">
        <v>27621</v>
      </c>
    </row>
    <row r="3747" spans="1:66" x14ac:dyDescent="0.25">
      <c r="A3747" t="str">
        <f>HYPERLINK("https://elite.finviz.com/quote.ashx?t=NMAX&amp;ty=c&amp;p=d&amp;b=1", "NMAX")</f>
        <v>NMAX</v>
      </c>
      <c r="B3747">
        <v>4</v>
      </c>
      <c r="C3747">
        <v>105.92</v>
      </c>
      <c r="D3747">
        <v>42.95</v>
      </c>
      <c r="E3747" t="s">
        <v>30482</v>
      </c>
      <c r="F3747" t="s">
        <v>67</v>
      </c>
      <c r="G3747" t="s">
        <v>598</v>
      </c>
      <c r="H3747" t="s">
        <v>4546</v>
      </c>
      <c r="I3747" t="s">
        <v>70</v>
      </c>
      <c r="J3747" t="s">
        <v>71</v>
      </c>
      <c r="K3747">
        <v>1624.72</v>
      </c>
      <c r="L3747">
        <v>12.59</v>
      </c>
      <c r="M3747" t="s">
        <v>2486</v>
      </c>
      <c r="N3747">
        <v>98909</v>
      </c>
      <c r="S3747">
        <v>15.2</v>
      </c>
      <c r="AB3747" t="s">
        <v>26074</v>
      </c>
      <c r="AF3747" t="s">
        <v>6530</v>
      </c>
      <c r="AI3747" t="s">
        <v>30483</v>
      </c>
      <c r="AJ3747" t="s">
        <v>164</v>
      </c>
      <c r="AK3747" t="s">
        <v>25988</v>
      </c>
      <c r="AL3747">
        <v>2.5</v>
      </c>
      <c r="AM3747">
        <v>2.48</v>
      </c>
      <c r="AN3747">
        <v>0.06</v>
      </c>
      <c r="AR3747" t="s">
        <v>749</v>
      </c>
      <c r="AS3747" t="s">
        <v>4526</v>
      </c>
      <c r="AT3747" t="s">
        <v>13365</v>
      </c>
      <c r="AU3747" t="s">
        <v>6494</v>
      </c>
      <c r="AV3747" t="s">
        <v>16359</v>
      </c>
      <c r="AW3747" t="s">
        <v>20754</v>
      </c>
      <c r="AX3747" t="s">
        <v>9841</v>
      </c>
      <c r="AY3747" t="s">
        <v>30484</v>
      </c>
      <c r="AZ3747" t="s">
        <v>9841</v>
      </c>
      <c r="BA3747">
        <v>1</v>
      </c>
      <c r="BB3747">
        <v>858.32</v>
      </c>
      <c r="BC3747">
        <v>0.41</v>
      </c>
      <c r="BD3747">
        <v>12.64</v>
      </c>
      <c r="BE3747">
        <v>12.76</v>
      </c>
      <c r="BF3747">
        <v>12.54</v>
      </c>
      <c r="BG3747" t="s">
        <v>30485</v>
      </c>
      <c r="BH3747" t="s">
        <v>30484</v>
      </c>
      <c r="BI3747" t="s">
        <v>9841</v>
      </c>
      <c r="BJ3747" t="s">
        <v>101</v>
      </c>
      <c r="BK3747" t="s">
        <v>9148</v>
      </c>
      <c r="BN3747" t="s">
        <v>27621</v>
      </c>
    </row>
    <row r="3748" spans="1:66" x14ac:dyDescent="0.25">
      <c r="A3748" t="str">
        <f>HYPERLINK("https://elite.finviz.com/quote.ashx?t=AFCG&amp;ty=c&amp;p=d&amp;b=1", "AFCG")</f>
        <v>AFCG</v>
      </c>
      <c r="B3748">
        <v>4</v>
      </c>
      <c r="C3748">
        <v>105.92</v>
      </c>
      <c r="D3748">
        <v>42.95</v>
      </c>
      <c r="E3748" t="s">
        <v>30486</v>
      </c>
      <c r="F3748" t="s">
        <v>67</v>
      </c>
      <c r="G3748" t="s">
        <v>68</v>
      </c>
      <c r="H3748" t="s">
        <v>5566</v>
      </c>
      <c r="I3748" t="s">
        <v>70</v>
      </c>
      <c r="J3748" t="s">
        <v>321</v>
      </c>
      <c r="K3748">
        <v>93.99</v>
      </c>
      <c r="L3748">
        <v>4.16</v>
      </c>
      <c r="M3748" t="s">
        <v>6155</v>
      </c>
      <c r="N3748">
        <v>23212</v>
      </c>
      <c r="P3748">
        <v>4.55</v>
      </c>
      <c r="R3748">
        <v>2.6</v>
      </c>
      <c r="S3748">
        <v>0.51</v>
      </c>
      <c r="T3748" t="s">
        <v>3428</v>
      </c>
      <c r="U3748">
        <v>1.04</v>
      </c>
      <c r="V3748" t="s">
        <v>198</v>
      </c>
      <c r="W3748" t="s">
        <v>5643</v>
      </c>
      <c r="X3748" t="s">
        <v>3113</v>
      </c>
      <c r="Z3748" t="s">
        <v>30487</v>
      </c>
      <c r="AA3748">
        <v>-0.41</v>
      </c>
      <c r="AB3748" t="s">
        <v>19439</v>
      </c>
      <c r="AC3748" t="s">
        <v>17249</v>
      </c>
      <c r="AD3748" t="s">
        <v>24198</v>
      </c>
      <c r="AE3748" t="s">
        <v>30488</v>
      </c>
      <c r="AF3748" t="s">
        <v>6981</v>
      </c>
      <c r="AG3748" t="s">
        <v>13778</v>
      </c>
      <c r="AH3748" t="s">
        <v>30489</v>
      </c>
      <c r="AI3748" t="s">
        <v>9571</v>
      </c>
      <c r="AJ3748" t="s">
        <v>3858</v>
      </c>
      <c r="AK3748" t="s">
        <v>30490</v>
      </c>
      <c r="AL3748">
        <v>0.78</v>
      </c>
      <c r="AM3748">
        <v>0.78</v>
      </c>
      <c r="AN3748">
        <v>0.54</v>
      </c>
      <c r="AO3748" t="s">
        <v>30491</v>
      </c>
      <c r="AP3748" t="s">
        <v>8830</v>
      </c>
      <c r="AQ3748" t="s">
        <v>17413</v>
      </c>
      <c r="AR3748" t="s">
        <v>2542</v>
      </c>
      <c r="AS3748" t="s">
        <v>414</v>
      </c>
      <c r="AT3748" t="s">
        <v>9018</v>
      </c>
      <c r="AU3748" t="s">
        <v>4705</v>
      </c>
      <c r="AV3748" t="s">
        <v>25189</v>
      </c>
      <c r="AW3748" t="s">
        <v>529</v>
      </c>
      <c r="AX3748" t="s">
        <v>7834</v>
      </c>
      <c r="AY3748" t="s">
        <v>9792</v>
      </c>
      <c r="AZ3748" t="s">
        <v>7834</v>
      </c>
      <c r="BA3748">
        <v>2.6</v>
      </c>
      <c r="BB3748">
        <v>265.64999999999998</v>
      </c>
      <c r="BC3748">
        <v>0.31</v>
      </c>
      <c r="BD3748">
        <v>4.1100000000000003</v>
      </c>
      <c r="BE3748">
        <v>4.16</v>
      </c>
      <c r="BF3748">
        <v>4.12</v>
      </c>
      <c r="BG3748" t="s">
        <v>30492</v>
      </c>
      <c r="BH3748" t="s">
        <v>25303</v>
      </c>
      <c r="BI3748" t="s">
        <v>7834</v>
      </c>
      <c r="BJ3748" t="s">
        <v>101</v>
      </c>
      <c r="BK3748" t="s">
        <v>9667</v>
      </c>
      <c r="BL3748" t="s">
        <v>4990</v>
      </c>
      <c r="BM3748" t="s">
        <v>30493</v>
      </c>
      <c r="BN3748" t="s">
        <v>27621</v>
      </c>
    </row>
    <row r="3749" spans="1:66" x14ac:dyDescent="0.25">
      <c r="A3749" t="str">
        <f>HYPERLINK("https://elite.finviz.com/quote.ashx?t=ALNT&amp;ty=c&amp;p=d&amp;b=1", "ALNT")</f>
        <v>ALNT</v>
      </c>
      <c r="B3749">
        <v>4</v>
      </c>
      <c r="C3749">
        <v>105.92</v>
      </c>
      <c r="D3749">
        <v>42.97</v>
      </c>
      <c r="E3749" t="s">
        <v>30494</v>
      </c>
      <c r="F3749" t="s">
        <v>67</v>
      </c>
      <c r="G3749" t="s">
        <v>108</v>
      </c>
      <c r="H3749" t="s">
        <v>3346</v>
      </c>
      <c r="I3749" t="s">
        <v>70</v>
      </c>
      <c r="J3749" t="s">
        <v>321</v>
      </c>
      <c r="K3749">
        <v>733.72</v>
      </c>
      <c r="L3749">
        <v>43.29</v>
      </c>
      <c r="M3749" t="s">
        <v>1067</v>
      </c>
      <c r="N3749">
        <v>21255</v>
      </c>
      <c r="O3749">
        <v>50.47</v>
      </c>
      <c r="P3749">
        <v>19.100000000000001</v>
      </c>
      <c r="Q3749">
        <v>2.57</v>
      </c>
      <c r="R3749">
        <v>1.41</v>
      </c>
      <c r="S3749">
        <v>2.54</v>
      </c>
      <c r="T3749" t="s">
        <v>193</v>
      </c>
      <c r="U3749">
        <v>0.12</v>
      </c>
      <c r="V3749" t="s">
        <v>5037</v>
      </c>
      <c r="W3749" t="s">
        <v>164</v>
      </c>
      <c r="X3749" t="s">
        <v>1115</v>
      </c>
      <c r="Y3749" t="s">
        <v>712</v>
      </c>
      <c r="Z3749" t="s">
        <v>9681</v>
      </c>
      <c r="AA3749">
        <v>0.86</v>
      </c>
      <c r="AB3749" t="s">
        <v>18543</v>
      </c>
      <c r="AC3749" t="s">
        <v>8073</v>
      </c>
      <c r="AD3749" t="s">
        <v>11735</v>
      </c>
      <c r="AE3749" t="s">
        <v>6139</v>
      </c>
      <c r="AF3749" t="s">
        <v>2200</v>
      </c>
      <c r="AG3749" t="s">
        <v>5739</v>
      </c>
      <c r="AH3749" t="s">
        <v>451</v>
      </c>
      <c r="AI3749" t="s">
        <v>2851</v>
      </c>
      <c r="AJ3749" t="s">
        <v>164</v>
      </c>
      <c r="AK3749" t="s">
        <v>6078</v>
      </c>
      <c r="AL3749">
        <v>3.74</v>
      </c>
      <c r="AM3749">
        <v>2.17</v>
      </c>
      <c r="AN3749">
        <v>0.78</v>
      </c>
      <c r="AO3749" t="s">
        <v>9296</v>
      </c>
      <c r="AP3749" t="s">
        <v>8852</v>
      </c>
      <c r="AQ3749" t="s">
        <v>2743</v>
      </c>
      <c r="AR3749" t="s">
        <v>162</v>
      </c>
      <c r="AS3749" t="s">
        <v>3613</v>
      </c>
      <c r="AT3749" t="s">
        <v>4126</v>
      </c>
      <c r="AU3749" t="s">
        <v>530</v>
      </c>
      <c r="AV3749" t="s">
        <v>20172</v>
      </c>
      <c r="AW3749" t="s">
        <v>16855</v>
      </c>
      <c r="AX3749" t="s">
        <v>7618</v>
      </c>
      <c r="AY3749" t="s">
        <v>16855</v>
      </c>
      <c r="AZ3749" t="s">
        <v>30495</v>
      </c>
      <c r="BA3749">
        <v>1.67</v>
      </c>
      <c r="BB3749">
        <v>175.11</v>
      </c>
      <c r="BC3749">
        <v>0.43</v>
      </c>
      <c r="BD3749">
        <v>43.64</v>
      </c>
      <c r="BE3749">
        <v>44.32</v>
      </c>
      <c r="BF3749">
        <v>43.18</v>
      </c>
      <c r="BG3749" t="s">
        <v>30496</v>
      </c>
      <c r="BH3749" t="s">
        <v>16855</v>
      </c>
      <c r="BI3749" t="s">
        <v>30497</v>
      </c>
      <c r="BJ3749" t="s">
        <v>101</v>
      </c>
      <c r="BK3749" t="s">
        <v>6938</v>
      </c>
      <c r="BL3749" t="s">
        <v>11143</v>
      </c>
      <c r="BM3749" t="s">
        <v>30498</v>
      </c>
      <c r="BN3749" t="s">
        <v>27621</v>
      </c>
    </row>
    <row r="3750" spans="1:66" x14ac:dyDescent="0.25">
      <c r="A3750" t="str">
        <f>HYPERLINK("https://elite.finviz.com/quote.ashx?t=FOXX&amp;ty=c&amp;p=d&amp;b=1", "FOXX")</f>
        <v>FOXX</v>
      </c>
      <c r="B3750">
        <v>4</v>
      </c>
      <c r="C3750">
        <v>105.92</v>
      </c>
      <c r="D3750">
        <v>42.97</v>
      </c>
      <c r="E3750" t="s">
        <v>30499</v>
      </c>
      <c r="F3750" t="s">
        <v>107</v>
      </c>
      <c r="G3750" t="s">
        <v>108</v>
      </c>
      <c r="H3750" t="s">
        <v>994</v>
      </c>
      <c r="I3750" t="s">
        <v>70</v>
      </c>
      <c r="J3750" t="s">
        <v>321</v>
      </c>
      <c r="K3750">
        <v>33.71</v>
      </c>
      <c r="L3750">
        <v>4.97</v>
      </c>
      <c r="M3750" t="s">
        <v>5907</v>
      </c>
      <c r="N3750">
        <v>368</v>
      </c>
      <c r="O3750">
        <v>110.97</v>
      </c>
      <c r="AA3750">
        <v>0.04</v>
      </c>
      <c r="AJ3750" t="s">
        <v>164</v>
      </c>
      <c r="AK3750" t="s">
        <v>3524</v>
      </c>
      <c r="AL3750">
        <v>0.91</v>
      </c>
      <c r="AM3750">
        <v>0.41</v>
      </c>
      <c r="AR3750" t="s">
        <v>1252</v>
      </c>
      <c r="AS3750" t="s">
        <v>10073</v>
      </c>
      <c r="AT3750" t="s">
        <v>6693</v>
      </c>
      <c r="AU3750" t="s">
        <v>3527</v>
      </c>
      <c r="AV3750" t="s">
        <v>134</v>
      </c>
      <c r="AW3750" t="s">
        <v>8142</v>
      </c>
      <c r="AX3750" t="s">
        <v>3505</v>
      </c>
      <c r="AY3750" t="s">
        <v>4723</v>
      </c>
      <c r="AZ3750" t="s">
        <v>28045</v>
      </c>
      <c r="BB3750">
        <v>20.41</v>
      </c>
      <c r="BC3750">
        <v>0.06</v>
      </c>
      <c r="BD3750">
        <v>4.75</v>
      </c>
      <c r="BE3750">
        <v>4.96</v>
      </c>
      <c r="BF3750">
        <v>4.96</v>
      </c>
      <c r="BG3750" t="s">
        <v>30500</v>
      </c>
      <c r="BH3750" t="s">
        <v>5477</v>
      </c>
      <c r="BI3750" t="s">
        <v>28045</v>
      </c>
      <c r="BJ3750" t="s">
        <v>101</v>
      </c>
      <c r="BK3750" t="s">
        <v>6349</v>
      </c>
      <c r="BL3750" t="s">
        <v>5119</v>
      </c>
      <c r="BM3750" t="s">
        <v>317</v>
      </c>
      <c r="BN3750" t="s">
        <v>27621</v>
      </c>
    </row>
    <row r="3751" spans="1:66" x14ac:dyDescent="0.25">
      <c r="A3751" t="str">
        <f>HYPERLINK("https://elite.finviz.com/quote.ashx?t=MGEE&amp;ty=c&amp;p=d&amp;b=1", "MGEE")</f>
        <v>MGEE</v>
      </c>
      <c r="B3751">
        <v>4</v>
      </c>
      <c r="C3751">
        <v>105.92</v>
      </c>
      <c r="D3751">
        <v>42.98</v>
      </c>
      <c r="E3751" t="s">
        <v>30501</v>
      </c>
      <c r="F3751" t="s">
        <v>67</v>
      </c>
      <c r="G3751" t="s">
        <v>287</v>
      </c>
      <c r="H3751" t="s">
        <v>676</v>
      </c>
      <c r="I3751" t="s">
        <v>70</v>
      </c>
      <c r="J3751" t="s">
        <v>321</v>
      </c>
      <c r="K3751">
        <v>3034.07</v>
      </c>
      <c r="L3751">
        <v>83.03</v>
      </c>
      <c r="M3751" t="s">
        <v>629</v>
      </c>
      <c r="N3751">
        <v>18722</v>
      </c>
      <c r="O3751">
        <v>23.07</v>
      </c>
      <c r="P3751">
        <v>21.15</v>
      </c>
      <c r="Q3751">
        <v>2.93</v>
      </c>
      <c r="R3751">
        <v>4.22</v>
      </c>
      <c r="S3751">
        <v>2.39</v>
      </c>
      <c r="T3751" t="s">
        <v>5660</v>
      </c>
      <c r="U3751">
        <v>1.82</v>
      </c>
      <c r="V3751" t="s">
        <v>4882</v>
      </c>
      <c r="W3751" t="s">
        <v>1749</v>
      </c>
      <c r="X3751" t="s">
        <v>2429</v>
      </c>
      <c r="Y3751" t="s">
        <v>5100</v>
      </c>
      <c r="Z3751" t="s">
        <v>11614</v>
      </c>
      <c r="AA3751">
        <v>3.6</v>
      </c>
      <c r="AB3751" t="s">
        <v>615</v>
      </c>
      <c r="AC3751" t="s">
        <v>2581</v>
      </c>
      <c r="AD3751" t="s">
        <v>1114</v>
      </c>
      <c r="AE3751" t="s">
        <v>3455</v>
      </c>
      <c r="AF3751" t="s">
        <v>8818</v>
      </c>
      <c r="AG3751" t="s">
        <v>3205</v>
      </c>
      <c r="AH3751" t="s">
        <v>10114</v>
      </c>
      <c r="AI3751" t="s">
        <v>8789</v>
      </c>
      <c r="AJ3751" t="s">
        <v>3169</v>
      </c>
      <c r="AK3751" t="s">
        <v>22526</v>
      </c>
      <c r="AL3751">
        <v>1.8</v>
      </c>
      <c r="AM3751">
        <v>1.2</v>
      </c>
      <c r="AN3751">
        <v>0.61</v>
      </c>
      <c r="AO3751" t="s">
        <v>15980</v>
      </c>
      <c r="AP3751" t="s">
        <v>24527</v>
      </c>
      <c r="AQ3751" t="s">
        <v>7969</v>
      </c>
      <c r="AR3751" t="s">
        <v>6990</v>
      </c>
      <c r="AS3751" t="s">
        <v>3671</v>
      </c>
      <c r="AT3751" t="s">
        <v>10852</v>
      </c>
      <c r="AU3751" t="s">
        <v>9475</v>
      </c>
      <c r="AV3751" t="s">
        <v>440</v>
      </c>
      <c r="AW3751" t="s">
        <v>3300</v>
      </c>
      <c r="AX3751" t="s">
        <v>1457</v>
      </c>
      <c r="AY3751" t="s">
        <v>10414</v>
      </c>
      <c r="AZ3751" t="s">
        <v>1457</v>
      </c>
      <c r="BA3751">
        <v>3.67</v>
      </c>
      <c r="BB3751">
        <v>154.44</v>
      </c>
      <c r="BC3751">
        <v>0.43</v>
      </c>
      <c r="BD3751">
        <v>83</v>
      </c>
      <c r="BE3751">
        <v>84.42</v>
      </c>
      <c r="BF3751">
        <v>83.07</v>
      </c>
      <c r="BG3751" t="s">
        <v>30502</v>
      </c>
      <c r="BH3751" t="s">
        <v>10414</v>
      </c>
      <c r="BI3751" t="s">
        <v>30503</v>
      </c>
      <c r="BJ3751" t="s">
        <v>101</v>
      </c>
      <c r="BK3751" t="s">
        <v>7074</v>
      </c>
      <c r="BL3751" t="s">
        <v>10332</v>
      </c>
      <c r="BM3751" t="s">
        <v>613</v>
      </c>
      <c r="BN3751" t="s">
        <v>27621</v>
      </c>
    </row>
    <row r="3752" spans="1:66" x14ac:dyDescent="0.25">
      <c r="A3752" t="str">
        <f>HYPERLINK("https://elite.finviz.com/quote.ashx?t=WLDN&amp;ty=c&amp;p=d&amp;b=1", "WLDN")</f>
        <v>WLDN</v>
      </c>
      <c r="B3752">
        <v>4</v>
      </c>
      <c r="C3752">
        <v>105.92</v>
      </c>
      <c r="D3752">
        <v>43.02</v>
      </c>
      <c r="E3752" t="s">
        <v>30504</v>
      </c>
      <c r="F3752" t="s">
        <v>67</v>
      </c>
      <c r="G3752" t="s">
        <v>260</v>
      </c>
      <c r="H3752" t="s">
        <v>2944</v>
      </c>
      <c r="I3752" t="s">
        <v>70</v>
      </c>
      <c r="J3752" t="s">
        <v>321</v>
      </c>
      <c r="K3752">
        <v>1401.77</v>
      </c>
      <c r="L3752">
        <v>95.58</v>
      </c>
      <c r="M3752" t="s">
        <v>6614</v>
      </c>
      <c r="N3752">
        <v>40459</v>
      </c>
      <c r="O3752">
        <v>39.880000000000003</v>
      </c>
      <c r="P3752">
        <v>24.3</v>
      </c>
      <c r="Q3752">
        <v>1.88</v>
      </c>
      <c r="R3752">
        <v>2.23</v>
      </c>
      <c r="S3752">
        <v>5.25</v>
      </c>
      <c r="Z3752" t="s">
        <v>164</v>
      </c>
      <c r="AA3752">
        <v>2.4</v>
      </c>
      <c r="AC3752" t="s">
        <v>5140</v>
      </c>
      <c r="AD3752" t="s">
        <v>11501</v>
      </c>
      <c r="AE3752" t="s">
        <v>4961</v>
      </c>
      <c r="AF3752" t="s">
        <v>6815</v>
      </c>
      <c r="AG3752" t="s">
        <v>2732</v>
      </c>
      <c r="AH3752" t="s">
        <v>6973</v>
      </c>
      <c r="AI3752" t="s">
        <v>5957</v>
      </c>
      <c r="AJ3752" t="s">
        <v>14286</v>
      </c>
      <c r="AK3752" t="s">
        <v>20297</v>
      </c>
      <c r="AL3752">
        <v>1.43</v>
      </c>
      <c r="AM3752">
        <v>1.43</v>
      </c>
      <c r="AN3752">
        <v>0.28000000000000003</v>
      </c>
      <c r="AO3752" t="s">
        <v>15396</v>
      </c>
      <c r="AP3752" t="s">
        <v>3530</v>
      </c>
      <c r="AQ3752" t="s">
        <v>334</v>
      </c>
      <c r="AR3752" t="s">
        <v>2231</v>
      </c>
      <c r="AS3752" t="s">
        <v>2542</v>
      </c>
      <c r="AT3752" t="s">
        <v>2586</v>
      </c>
      <c r="AU3752" t="s">
        <v>3897</v>
      </c>
      <c r="AV3752" t="s">
        <v>30505</v>
      </c>
      <c r="AW3752" t="s">
        <v>10636</v>
      </c>
      <c r="AX3752" t="s">
        <v>12158</v>
      </c>
      <c r="AY3752" t="s">
        <v>10636</v>
      </c>
      <c r="AZ3752" t="s">
        <v>30506</v>
      </c>
      <c r="BA3752">
        <v>1</v>
      </c>
      <c r="BB3752">
        <v>457.42</v>
      </c>
      <c r="BC3752">
        <v>0.31</v>
      </c>
      <c r="BD3752">
        <v>97.11</v>
      </c>
      <c r="BE3752">
        <v>98.5</v>
      </c>
      <c r="BF3752">
        <v>95.3</v>
      </c>
      <c r="BG3752" t="s">
        <v>30507</v>
      </c>
      <c r="BH3752" t="s">
        <v>10636</v>
      </c>
      <c r="BI3752" t="s">
        <v>30508</v>
      </c>
      <c r="BJ3752" t="s">
        <v>101</v>
      </c>
      <c r="BK3752" t="s">
        <v>20344</v>
      </c>
      <c r="BL3752" t="s">
        <v>30509</v>
      </c>
      <c r="BM3752" t="s">
        <v>30510</v>
      </c>
      <c r="BN3752" t="s">
        <v>27621</v>
      </c>
    </row>
    <row r="3753" spans="1:66" x14ac:dyDescent="0.25">
      <c r="A3753" t="str">
        <f>HYPERLINK("https://elite.finviz.com/quote.ashx?t=KRT&amp;ty=c&amp;p=d&amp;b=1", "KRT")</f>
        <v>KRT</v>
      </c>
      <c r="B3753">
        <v>4</v>
      </c>
      <c r="C3753">
        <v>105.92</v>
      </c>
      <c r="D3753">
        <v>43.03</v>
      </c>
      <c r="E3753" t="s">
        <v>30511</v>
      </c>
      <c r="F3753" t="s">
        <v>67</v>
      </c>
      <c r="G3753" t="s">
        <v>813</v>
      </c>
      <c r="H3753" t="s">
        <v>7355</v>
      </c>
      <c r="I3753" t="s">
        <v>70</v>
      </c>
      <c r="J3753" t="s">
        <v>321</v>
      </c>
      <c r="K3753">
        <v>489.99</v>
      </c>
      <c r="L3753">
        <v>24.39</v>
      </c>
      <c r="M3753" t="s">
        <v>2638</v>
      </c>
      <c r="N3753">
        <v>12927</v>
      </c>
      <c r="O3753">
        <v>15.35</v>
      </c>
      <c r="P3753">
        <v>13.45</v>
      </c>
      <c r="Q3753">
        <v>2.1</v>
      </c>
      <c r="R3753">
        <v>1.1100000000000001</v>
      </c>
      <c r="S3753">
        <v>3.14</v>
      </c>
      <c r="T3753" t="s">
        <v>11494</v>
      </c>
      <c r="U3753">
        <v>1.75</v>
      </c>
      <c r="V3753" t="s">
        <v>5737</v>
      </c>
      <c r="W3753" t="s">
        <v>10151</v>
      </c>
      <c r="Z3753" t="s">
        <v>30512</v>
      </c>
      <c r="AA3753">
        <v>1.59</v>
      </c>
      <c r="AB3753" t="s">
        <v>3243</v>
      </c>
      <c r="AC3753" t="s">
        <v>5412</v>
      </c>
      <c r="AD3753" t="s">
        <v>5150</v>
      </c>
      <c r="AE3753" t="s">
        <v>4293</v>
      </c>
      <c r="AF3753" t="s">
        <v>3855</v>
      </c>
      <c r="AG3753" t="s">
        <v>4648</v>
      </c>
      <c r="AH3753" t="s">
        <v>5404</v>
      </c>
      <c r="AI3753" t="s">
        <v>2201</v>
      </c>
      <c r="AJ3753" t="s">
        <v>8048</v>
      </c>
      <c r="AK3753" t="s">
        <v>956</v>
      </c>
      <c r="AL3753">
        <v>2.68</v>
      </c>
      <c r="AM3753">
        <v>1.4</v>
      </c>
      <c r="AN3753">
        <v>0.63</v>
      </c>
      <c r="AO3753" t="s">
        <v>13145</v>
      </c>
      <c r="AP3753" t="s">
        <v>2635</v>
      </c>
      <c r="AQ3753" t="s">
        <v>578</v>
      </c>
      <c r="AR3753" t="s">
        <v>908</v>
      </c>
      <c r="AS3753" t="s">
        <v>6003</v>
      </c>
      <c r="AT3753" t="s">
        <v>4436</v>
      </c>
      <c r="AU3753" t="s">
        <v>3704</v>
      </c>
      <c r="AV3753" t="s">
        <v>7237</v>
      </c>
      <c r="AW3753" t="s">
        <v>1589</v>
      </c>
      <c r="AX3753" t="s">
        <v>90</v>
      </c>
      <c r="AY3753" t="s">
        <v>18520</v>
      </c>
      <c r="AZ3753" t="s">
        <v>1886</v>
      </c>
      <c r="BA3753">
        <v>2.33</v>
      </c>
      <c r="BB3753">
        <v>81.28</v>
      </c>
      <c r="BC3753">
        <v>0.56000000000000005</v>
      </c>
      <c r="BD3753">
        <v>24.41</v>
      </c>
      <c r="BE3753">
        <v>24.65</v>
      </c>
      <c r="BF3753">
        <v>24.37</v>
      </c>
      <c r="BG3753" t="s">
        <v>30513</v>
      </c>
      <c r="BH3753" t="s">
        <v>18520</v>
      </c>
      <c r="BI3753" t="s">
        <v>30514</v>
      </c>
      <c r="BJ3753" t="s">
        <v>101</v>
      </c>
      <c r="BK3753" t="s">
        <v>3239</v>
      </c>
      <c r="BL3753" t="s">
        <v>25135</v>
      </c>
      <c r="BM3753" t="s">
        <v>8690</v>
      </c>
      <c r="BN3753" t="s">
        <v>27621</v>
      </c>
    </row>
    <row r="3754" spans="1:66" x14ac:dyDescent="0.25">
      <c r="A3754" t="str">
        <f>HYPERLINK("https://elite.finviz.com/quote.ashx?t=BCG&amp;ty=c&amp;p=d&amp;b=1", "BCG")</f>
        <v>BCG</v>
      </c>
      <c r="B3754">
        <v>4</v>
      </c>
      <c r="C3754">
        <v>105.92</v>
      </c>
      <c r="D3754">
        <v>43.04</v>
      </c>
      <c r="E3754" t="s">
        <v>30515</v>
      </c>
      <c r="F3754" t="s">
        <v>107</v>
      </c>
      <c r="G3754" t="s">
        <v>550</v>
      </c>
      <c r="H3754" t="s">
        <v>2597</v>
      </c>
      <c r="I3754" t="s">
        <v>70</v>
      </c>
      <c r="J3754" t="s">
        <v>321</v>
      </c>
      <c r="K3754">
        <v>28.06</v>
      </c>
      <c r="L3754">
        <v>1.69</v>
      </c>
      <c r="M3754" t="s">
        <v>1417</v>
      </c>
      <c r="N3754">
        <v>1253</v>
      </c>
      <c r="R3754">
        <v>0.16</v>
      </c>
      <c r="AA3754">
        <v>-0.11</v>
      </c>
      <c r="AB3754" t="s">
        <v>30516</v>
      </c>
      <c r="AC3754" t="s">
        <v>30517</v>
      </c>
      <c r="AE3754" t="s">
        <v>3646</v>
      </c>
      <c r="AH3754" t="s">
        <v>6990</v>
      </c>
      <c r="AJ3754" t="s">
        <v>164</v>
      </c>
      <c r="AK3754" t="s">
        <v>1952</v>
      </c>
      <c r="AL3754">
        <v>0.43</v>
      </c>
      <c r="AM3754">
        <v>0.43</v>
      </c>
      <c r="AN3754">
        <v>1.68</v>
      </c>
      <c r="AO3754" t="s">
        <v>521</v>
      </c>
      <c r="AP3754" t="s">
        <v>6118</v>
      </c>
      <c r="AQ3754" t="s">
        <v>575</v>
      </c>
      <c r="AR3754" t="s">
        <v>3818</v>
      </c>
      <c r="AS3754" t="s">
        <v>7938</v>
      </c>
      <c r="AT3754" t="s">
        <v>7948</v>
      </c>
      <c r="AU3754" t="s">
        <v>17856</v>
      </c>
      <c r="AV3754" t="s">
        <v>25151</v>
      </c>
      <c r="AW3754" t="s">
        <v>3791</v>
      </c>
      <c r="AX3754" t="s">
        <v>5893</v>
      </c>
      <c r="AY3754" t="s">
        <v>30518</v>
      </c>
      <c r="AZ3754" t="s">
        <v>5893</v>
      </c>
      <c r="BB3754">
        <v>20.28</v>
      </c>
      <c r="BC3754">
        <v>0.22</v>
      </c>
      <c r="BD3754">
        <v>1.67</v>
      </c>
      <c r="BE3754">
        <v>1.65</v>
      </c>
      <c r="BF3754">
        <v>1.68</v>
      </c>
      <c r="BG3754" t="s">
        <v>30519</v>
      </c>
      <c r="BH3754" t="s">
        <v>30520</v>
      </c>
      <c r="BI3754" t="s">
        <v>5893</v>
      </c>
      <c r="BJ3754" t="s">
        <v>101</v>
      </c>
      <c r="BK3754" t="s">
        <v>19439</v>
      </c>
      <c r="BL3754" t="s">
        <v>16988</v>
      </c>
      <c r="BM3754" t="s">
        <v>30521</v>
      </c>
      <c r="BN3754" t="s">
        <v>27621</v>
      </c>
    </row>
    <row r="3755" spans="1:66" x14ac:dyDescent="0.25">
      <c r="A3755" t="str">
        <f>HYPERLINK("https://elite.finviz.com/quote.ashx?t=SPT&amp;ty=c&amp;p=d&amp;b=1", "SPT")</f>
        <v>SPT</v>
      </c>
      <c r="B3755">
        <v>4</v>
      </c>
      <c r="C3755">
        <v>105.92</v>
      </c>
      <c r="D3755">
        <v>43.08</v>
      </c>
      <c r="E3755" t="s">
        <v>30522</v>
      </c>
      <c r="F3755" t="s">
        <v>67</v>
      </c>
      <c r="G3755" t="s">
        <v>108</v>
      </c>
      <c r="H3755" t="s">
        <v>136</v>
      </c>
      <c r="I3755" t="s">
        <v>70</v>
      </c>
      <c r="J3755" t="s">
        <v>321</v>
      </c>
      <c r="K3755">
        <v>831.92</v>
      </c>
      <c r="L3755">
        <v>14.14</v>
      </c>
      <c r="M3755" t="s">
        <v>3227</v>
      </c>
      <c r="N3755">
        <v>91996</v>
      </c>
      <c r="P3755">
        <v>15.92</v>
      </c>
      <c r="R3755">
        <v>1.93</v>
      </c>
      <c r="S3755">
        <v>4.5</v>
      </c>
      <c r="AA3755">
        <v>-0.95</v>
      </c>
      <c r="AB3755" t="s">
        <v>18604</v>
      </c>
      <c r="AC3755" t="s">
        <v>7193</v>
      </c>
      <c r="AD3755" t="s">
        <v>9008</v>
      </c>
      <c r="AE3755" t="s">
        <v>5307</v>
      </c>
      <c r="AF3755" t="s">
        <v>16054</v>
      </c>
      <c r="AG3755" t="s">
        <v>244</v>
      </c>
      <c r="AH3755" t="s">
        <v>3122</v>
      </c>
      <c r="AI3755" t="s">
        <v>347</v>
      </c>
      <c r="AJ3755" t="s">
        <v>3905</v>
      </c>
      <c r="AK3755" t="s">
        <v>17090</v>
      </c>
      <c r="AL3755">
        <v>0.88</v>
      </c>
      <c r="AM3755">
        <v>0.88</v>
      </c>
      <c r="AN3755">
        <v>0.17</v>
      </c>
      <c r="AO3755" t="s">
        <v>30523</v>
      </c>
      <c r="AP3755" t="s">
        <v>7341</v>
      </c>
      <c r="AQ3755" t="s">
        <v>7526</v>
      </c>
      <c r="AR3755" t="s">
        <v>9130</v>
      </c>
      <c r="AS3755" t="s">
        <v>5467</v>
      </c>
      <c r="AT3755" t="s">
        <v>7391</v>
      </c>
      <c r="AU3755" t="s">
        <v>9666</v>
      </c>
      <c r="AV3755" t="s">
        <v>30223</v>
      </c>
      <c r="AW3755" t="s">
        <v>21292</v>
      </c>
      <c r="AX3755" t="s">
        <v>4077</v>
      </c>
      <c r="AY3755" t="s">
        <v>23544</v>
      </c>
      <c r="AZ3755" t="s">
        <v>4077</v>
      </c>
      <c r="BA3755">
        <v>2.21</v>
      </c>
      <c r="BB3755">
        <v>911.61</v>
      </c>
      <c r="BC3755">
        <v>0.36</v>
      </c>
      <c r="BD3755">
        <v>14.14</v>
      </c>
      <c r="BE3755">
        <v>14.29</v>
      </c>
      <c r="BF3755">
        <v>14.01</v>
      </c>
      <c r="BG3755" t="s">
        <v>30524</v>
      </c>
      <c r="BH3755" t="s">
        <v>30525</v>
      </c>
      <c r="BI3755" t="s">
        <v>1008</v>
      </c>
      <c r="BJ3755" t="s">
        <v>101</v>
      </c>
      <c r="BK3755" t="s">
        <v>26512</v>
      </c>
      <c r="BL3755" t="s">
        <v>19299</v>
      </c>
      <c r="BM3755" t="s">
        <v>29581</v>
      </c>
      <c r="BN3755" t="s">
        <v>27621</v>
      </c>
    </row>
    <row r="3756" spans="1:66" x14ac:dyDescent="0.25">
      <c r="A3756" t="str">
        <f>HYPERLINK("https://elite.finviz.com/quote.ashx?t=ICMB&amp;ty=c&amp;p=d&amp;b=1", "ICMB")</f>
        <v>ICMB</v>
      </c>
      <c r="B3756">
        <v>4</v>
      </c>
      <c r="C3756">
        <v>105.92</v>
      </c>
      <c r="D3756">
        <v>43.09</v>
      </c>
      <c r="E3756" t="s">
        <v>30526</v>
      </c>
      <c r="F3756" t="s">
        <v>107</v>
      </c>
      <c r="G3756" t="s">
        <v>550</v>
      </c>
      <c r="H3756" t="s">
        <v>2597</v>
      </c>
      <c r="I3756" t="s">
        <v>70</v>
      </c>
      <c r="J3756" t="s">
        <v>321</v>
      </c>
      <c r="K3756">
        <v>40.22</v>
      </c>
      <c r="L3756">
        <v>2.79</v>
      </c>
      <c r="M3756" t="s">
        <v>8634</v>
      </c>
      <c r="N3756">
        <v>2106</v>
      </c>
      <c r="O3756">
        <v>9.2899999999999991</v>
      </c>
      <c r="P3756">
        <v>13.93</v>
      </c>
      <c r="R3756">
        <v>1.97</v>
      </c>
      <c r="S3756">
        <v>0.53</v>
      </c>
      <c r="T3756" t="s">
        <v>5443</v>
      </c>
      <c r="U3756">
        <v>0.6</v>
      </c>
      <c r="V3756" t="s">
        <v>8236</v>
      </c>
      <c r="W3756" t="s">
        <v>13366</v>
      </c>
      <c r="X3756" t="s">
        <v>2604</v>
      </c>
      <c r="Y3756" t="s">
        <v>10227</v>
      </c>
      <c r="AA3756">
        <v>0.3</v>
      </c>
      <c r="AH3756" t="s">
        <v>4218</v>
      </c>
      <c r="AI3756" t="s">
        <v>7242</v>
      </c>
      <c r="AJ3756" t="s">
        <v>164</v>
      </c>
      <c r="AK3756" t="s">
        <v>2511</v>
      </c>
      <c r="AR3756" t="s">
        <v>4142</v>
      </c>
      <c r="AS3756" t="s">
        <v>170</v>
      </c>
      <c r="AT3756" t="s">
        <v>3114</v>
      </c>
      <c r="AU3756" t="s">
        <v>6449</v>
      </c>
      <c r="AV3756" t="s">
        <v>6494</v>
      </c>
      <c r="AW3756" t="s">
        <v>8238</v>
      </c>
      <c r="AX3756" t="s">
        <v>4565</v>
      </c>
      <c r="AY3756" t="s">
        <v>12330</v>
      </c>
      <c r="AZ3756" t="s">
        <v>6413</v>
      </c>
      <c r="BB3756">
        <v>31.7</v>
      </c>
      <c r="BC3756">
        <v>0.24</v>
      </c>
      <c r="BD3756">
        <v>2.81</v>
      </c>
      <c r="BE3756">
        <v>2.8</v>
      </c>
      <c r="BF3756">
        <v>2.78</v>
      </c>
      <c r="BG3756" t="s">
        <v>30527</v>
      </c>
      <c r="BH3756" t="s">
        <v>30528</v>
      </c>
      <c r="BI3756" t="s">
        <v>30529</v>
      </c>
      <c r="BJ3756" t="s">
        <v>101</v>
      </c>
      <c r="BK3756" t="s">
        <v>5745</v>
      </c>
      <c r="BL3756" t="s">
        <v>1024</v>
      </c>
      <c r="BM3756" t="s">
        <v>16624</v>
      </c>
      <c r="BN3756" t="s">
        <v>27621</v>
      </c>
    </row>
    <row r="3757" spans="1:66" x14ac:dyDescent="0.25">
      <c r="A3757" t="str">
        <f>HYPERLINK("https://elite.finviz.com/quote.ashx?t=CWT&amp;ty=c&amp;p=d&amp;b=1", "CWT")</f>
        <v>CWT</v>
      </c>
      <c r="B3757">
        <v>4</v>
      </c>
      <c r="C3757">
        <v>105.92</v>
      </c>
      <c r="D3757">
        <v>43.09</v>
      </c>
      <c r="E3757" t="s">
        <v>30530</v>
      </c>
      <c r="F3757" t="s">
        <v>67</v>
      </c>
      <c r="G3757" t="s">
        <v>287</v>
      </c>
      <c r="H3757" t="s">
        <v>13133</v>
      </c>
      <c r="I3757" t="s">
        <v>70</v>
      </c>
      <c r="J3757" t="s">
        <v>71</v>
      </c>
      <c r="K3757">
        <v>2699.62</v>
      </c>
      <c r="L3757">
        <v>45.31</v>
      </c>
      <c r="M3757" t="s">
        <v>629</v>
      </c>
      <c r="N3757">
        <v>21732</v>
      </c>
      <c r="O3757">
        <v>19.79</v>
      </c>
      <c r="P3757">
        <v>17.649999999999999</v>
      </c>
      <c r="R3757">
        <v>2.73</v>
      </c>
      <c r="S3757">
        <v>1.63</v>
      </c>
      <c r="T3757" t="s">
        <v>648</v>
      </c>
      <c r="U3757">
        <v>1.18</v>
      </c>
      <c r="V3757" t="s">
        <v>893</v>
      </c>
      <c r="W3757" t="s">
        <v>2698</v>
      </c>
      <c r="X3757" t="s">
        <v>11629</v>
      </c>
      <c r="Y3757" t="s">
        <v>297</v>
      </c>
      <c r="Z3757" t="s">
        <v>18321</v>
      </c>
      <c r="AA3757">
        <v>2.29</v>
      </c>
      <c r="AB3757" t="s">
        <v>7273</v>
      </c>
      <c r="AC3757" t="s">
        <v>1551</v>
      </c>
      <c r="AD3757" t="s">
        <v>2845</v>
      </c>
      <c r="AE3757" t="s">
        <v>4308</v>
      </c>
      <c r="AF3757" t="s">
        <v>2748</v>
      </c>
      <c r="AG3757" t="s">
        <v>5552</v>
      </c>
      <c r="AH3757" t="s">
        <v>712</v>
      </c>
      <c r="AI3757" t="s">
        <v>277</v>
      </c>
      <c r="AJ3757" t="s">
        <v>8425</v>
      </c>
      <c r="AK3757" t="s">
        <v>9702</v>
      </c>
      <c r="AL3757">
        <v>0.53</v>
      </c>
      <c r="AM3757">
        <v>0.5</v>
      </c>
      <c r="AN3757">
        <v>0.93</v>
      </c>
      <c r="AO3757" t="s">
        <v>1890</v>
      </c>
      <c r="AP3757" t="s">
        <v>5540</v>
      </c>
      <c r="AQ3757" t="s">
        <v>4621</v>
      </c>
      <c r="AR3757" t="s">
        <v>3494</v>
      </c>
      <c r="AS3757" t="s">
        <v>6493</v>
      </c>
      <c r="AT3757" t="s">
        <v>4953</v>
      </c>
      <c r="AU3757" t="s">
        <v>14607</v>
      </c>
      <c r="AV3757" t="s">
        <v>9938</v>
      </c>
      <c r="AW3757" t="s">
        <v>3704</v>
      </c>
      <c r="AX3757" t="s">
        <v>5188</v>
      </c>
      <c r="AY3757" t="s">
        <v>28984</v>
      </c>
      <c r="AZ3757" t="s">
        <v>3245</v>
      </c>
      <c r="BA3757">
        <v>1.33</v>
      </c>
      <c r="BB3757">
        <v>331.15</v>
      </c>
      <c r="BC3757">
        <v>0.23</v>
      </c>
      <c r="BD3757">
        <v>45.29</v>
      </c>
      <c r="BE3757">
        <v>45.54</v>
      </c>
      <c r="BF3757">
        <v>45.29</v>
      </c>
      <c r="BG3757" t="s">
        <v>30531</v>
      </c>
      <c r="BH3757" t="s">
        <v>25346</v>
      </c>
      <c r="BI3757" t="s">
        <v>30532</v>
      </c>
      <c r="BJ3757" t="s">
        <v>101</v>
      </c>
      <c r="BK3757" t="s">
        <v>2263</v>
      </c>
      <c r="BL3757" t="s">
        <v>7193</v>
      </c>
      <c r="BM3757" t="s">
        <v>11557</v>
      </c>
      <c r="BN3757" t="s">
        <v>27621</v>
      </c>
    </row>
    <row r="3758" spans="1:66" x14ac:dyDescent="0.25">
      <c r="A3758" t="str">
        <f>HYPERLINK("https://elite.finviz.com/quote.ashx?t=WSR&amp;ty=c&amp;p=d&amp;b=1", "WSR")</f>
        <v>WSR</v>
      </c>
      <c r="B3758">
        <v>4</v>
      </c>
      <c r="C3758">
        <v>105.92</v>
      </c>
      <c r="D3758">
        <v>43.11</v>
      </c>
      <c r="E3758" t="s">
        <v>30533</v>
      </c>
      <c r="F3758" t="s">
        <v>67</v>
      </c>
      <c r="G3758" t="s">
        <v>68</v>
      </c>
      <c r="H3758" t="s">
        <v>160</v>
      </c>
      <c r="I3758" t="s">
        <v>70</v>
      </c>
      <c r="J3758" t="s">
        <v>71</v>
      </c>
      <c r="K3758">
        <v>1276.97</v>
      </c>
      <c r="L3758">
        <v>12.53</v>
      </c>
      <c r="M3758" t="s">
        <v>4203</v>
      </c>
      <c r="N3758">
        <v>25343</v>
      </c>
      <c r="O3758">
        <v>19.239999999999998</v>
      </c>
      <c r="P3758">
        <v>26.66</v>
      </c>
      <c r="R3758">
        <v>8.15</v>
      </c>
      <c r="S3758">
        <v>1.5</v>
      </c>
      <c r="T3758" t="s">
        <v>1449</v>
      </c>
      <c r="U3758">
        <v>0.53</v>
      </c>
      <c r="V3758" t="s">
        <v>700</v>
      </c>
      <c r="W3758" t="s">
        <v>229</v>
      </c>
      <c r="X3758" t="s">
        <v>4133</v>
      </c>
      <c r="Y3758" t="s">
        <v>14689</v>
      </c>
      <c r="Z3758" t="s">
        <v>17795</v>
      </c>
      <c r="AA3758">
        <v>0.65</v>
      </c>
      <c r="AB3758" t="s">
        <v>6030</v>
      </c>
      <c r="AC3758" t="s">
        <v>3524</v>
      </c>
      <c r="AD3758" t="s">
        <v>9330</v>
      </c>
      <c r="AE3758" t="s">
        <v>4795</v>
      </c>
      <c r="AF3758" t="s">
        <v>8808</v>
      </c>
      <c r="AG3758" t="s">
        <v>5395</v>
      </c>
      <c r="AH3758" t="s">
        <v>3550</v>
      </c>
      <c r="AI3758" t="s">
        <v>5719</v>
      </c>
      <c r="AJ3758" t="s">
        <v>4801</v>
      </c>
      <c r="AK3758" t="s">
        <v>6031</v>
      </c>
      <c r="AL3758">
        <v>1.69</v>
      </c>
      <c r="AM3758">
        <v>1.69</v>
      </c>
      <c r="AN3758">
        <v>1.57</v>
      </c>
      <c r="AO3758" t="s">
        <v>21696</v>
      </c>
      <c r="AP3758" t="s">
        <v>686</v>
      </c>
      <c r="AQ3758" t="s">
        <v>5769</v>
      </c>
      <c r="AR3758" t="s">
        <v>7338</v>
      </c>
      <c r="AS3758" t="s">
        <v>2449</v>
      </c>
      <c r="AT3758" t="s">
        <v>2968</v>
      </c>
      <c r="AU3758" t="s">
        <v>1938</v>
      </c>
      <c r="AV3758" t="s">
        <v>13734</v>
      </c>
      <c r="AW3758" t="s">
        <v>3595</v>
      </c>
      <c r="AX3758" t="s">
        <v>216</v>
      </c>
      <c r="AY3758" t="s">
        <v>11189</v>
      </c>
      <c r="AZ3758" t="s">
        <v>3115</v>
      </c>
      <c r="BA3758">
        <v>1</v>
      </c>
      <c r="BB3758">
        <v>225.64</v>
      </c>
      <c r="BC3758">
        <v>0.4</v>
      </c>
      <c r="BD3758">
        <v>12.62</v>
      </c>
      <c r="BE3758">
        <v>12.66</v>
      </c>
      <c r="BF3758">
        <v>12.53</v>
      </c>
      <c r="BG3758" t="s">
        <v>30534</v>
      </c>
      <c r="BH3758" t="s">
        <v>17025</v>
      </c>
      <c r="BI3758" t="s">
        <v>30535</v>
      </c>
      <c r="BJ3758" t="s">
        <v>101</v>
      </c>
      <c r="BK3758" t="s">
        <v>164</v>
      </c>
      <c r="BL3758" t="s">
        <v>4899</v>
      </c>
      <c r="BM3758" t="s">
        <v>3436</v>
      </c>
      <c r="BN3758" t="s">
        <v>27621</v>
      </c>
    </row>
    <row r="3759" spans="1:66" x14ac:dyDescent="0.25">
      <c r="A3759" t="str">
        <f>HYPERLINK("https://elite.finviz.com/quote.ashx?t=MSGM&amp;ty=c&amp;p=d&amp;b=1", "MSGM")</f>
        <v>MSGM</v>
      </c>
      <c r="B3759">
        <v>4</v>
      </c>
      <c r="C3759">
        <v>105.92</v>
      </c>
      <c r="D3759">
        <v>43.12</v>
      </c>
      <c r="E3759" t="s">
        <v>30536</v>
      </c>
      <c r="F3759" t="s">
        <v>107</v>
      </c>
      <c r="G3759" t="s">
        <v>598</v>
      </c>
      <c r="H3759" t="s">
        <v>7474</v>
      </c>
      <c r="I3759" t="s">
        <v>70</v>
      </c>
      <c r="J3759" t="s">
        <v>321</v>
      </c>
      <c r="K3759">
        <v>16.010000000000002</v>
      </c>
      <c r="L3759">
        <v>2.77</v>
      </c>
      <c r="M3759" t="s">
        <v>7089</v>
      </c>
      <c r="N3759">
        <v>4431</v>
      </c>
      <c r="R3759">
        <v>1.97</v>
      </c>
      <c r="S3759">
        <v>2.92</v>
      </c>
      <c r="AA3759">
        <v>-0.05</v>
      </c>
      <c r="AB3759" t="s">
        <v>18309</v>
      </c>
      <c r="AC3759" t="s">
        <v>7108</v>
      </c>
      <c r="AE3759" t="s">
        <v>4316</v>
      </c>
      <c r="AF3759" t="s">
        <v>9567</v>
      </c>
      <c r="AG3759" t="s">
        <v>5880</v>
      </c>
      <c r="AH3759" t="s">
        <v>5451</v>
      </c>
      <c r="AJ3759" t="s">
        <v>4494</v>
      </c>
      <c r="AK3759" t="s">
        <v>2735</v>
      </c>
      <c r="AL3759">
        <v>1.85</v>
      </c>
      <c r="AM3759">
        <v>1.85</v>
      </c>
      <c r="AN3759">
        <v>0.01</v>
      </c>
      <c r="AO3759" t="s">
        <v>30537</v>
      </c>
      <c r="AP3759" t="s">
        <v>20024</v>
      </c>
      <c r="AQ3759" t="s">
        <v>3834</v>
      </c>
      <c r="AR3759" t="s">
        <v>275</v>
      </c>
      <c r="AS3759" t="s">
        <v>2385</v>
      </c>
      <c r="AT3759" t="s">
        <v>1000</v>
      </c>
      <c r="AU3759" t="s">
        <v>8115</v>
      </c>
      <c r="AV3759" t="s">
        <v>3001</v>
      </c>
      <c r="AW3759" t="s">
        <v>24455</v>
      </c>
      <c r="AX3759" t="s">
        <v>3542</v>
      </c>
      <c r="AY3759" t="s">
        <v>24455</v>
      </c>
      <c r="AZ3759" t="s">
        <v>26755</v>
      </c>
      <c r="BA3759">
        <v>3</v>
      </c>
      <c r="BB3759">
        <v>31.41</v>
      </c>
      <c r="BC3759">
        <v>0.5</v>
      </c>
      <c r="BD3759">
        <v>2.81</v>
      </c>
      <c r="BE3759">
        <v>2.79</v>
      </c>
      <c r="BF3759">
        <v>2.79</v>
      </c>
      <c r="BG3759" t="s">
        <v>30538</v>
      </c>
      <c r="BH3759" t="s">
        <v>17666</v>
      </c>
      <c r="BI3759" t="s">
        <v>26755</v>
      </c>
      <c r="BJ3759" t="s">
        <v>101</v>
      </c>
      <c r="BK3759" t="s">
        <v>759</v>
      </c>
      <c r="BL3759" t="s">
        <v>30539</v>
      </c>
      <c r="BM3759" t="s">
        <v>30540</v>
      </c>
      <c r="BN3759" t="s">
        <v>27621</v>
      </c>
    </row>
    <row r="3760" spans="1:66" x14ac:dyDescent="0.25">
      <c r="A3760" t="str">
        <f>HYPERLINK("https://elite.finviz.com/quote.ashx?t=FRGT&amp;ty=c&amp;p=d&amp;b=1", "FRGT")</f>
        <v>FRGT</v>
      </c>
      <c r="B3760">
        <v>4</v>
      </c>
      <c r="C3760">
        <v>105.92</v>
      </c>
      <c r="D3760">
        <v>43.15</v>
      </c>
      <c r="E3760" t="s">
        <v>30541</v>
      </c>
      <c r="F3760" t="s">
        <v>107</v>
      </c>
      <c r="G3760" t="s">
        <v>108</v>
      </c>
      <c r="H3760" t="s">
        <v>136</v>
      </c>
      <c r="I3760" t="s">
        <v>70</v>
      </c>
      <c r="J3760" t="s">
        <v>321</v>
      </c>
      <c r="K3760">
        <v>3.47</v>
      </c>
      <c r="L3760">
        <v>1.26</v>
      </c>
      <c r="M3760" t="s">
        <v>6161</v>
      </c>
      <c r="N3760">
        <v>22176</v>
      </c>
      <c r="R3760">
        <v>0.25</v>
      </c>
      <c r="S3760">
        <v>0.38</v>
      </c>
      <c r="AA3760">
        <v>-66.290000000000006</v>
      </c>
      <c r="AB3760" t="s">
        <v>7207</v>
      </c>
      <c r="AC3760" t="s">
        <v>1460</v>
      </c>
      <c r="AE3760" t="s">
        <v>15737</v>
      </c>
      <c r="AG3760" t="s">
        <v>12592</v>
      </c>
      <c r="AI3760" t="s">
        <v>7635</v>
      </c>
      <c r="AK3760" t="s">
        <v>914</v>
      </c>
      <c r="AL3760">
        <v>0.98</v>
      </c>
      <c r="AM3760">
        <v>0.98</v>
      </c>
      <c r="AN3760">
        <v>0.62</v>
      </c>
      <c r="AO3760" t="s">
        <v>26648</v>
      </c>
      <c r="AP3760" t="s">
        <v>2159</v>
      </c>
      <c r="AQ3760" t="s">
        <v>29915</v>
      </c>
      <c r="AR3760" t="s">
        <v>1496</v>
      </c>
      <c r="AS3760" t="s">
        <v>2312</v>
      </c>
      <c r="AT3760" t="s">
        <v>7959</v>
      </c>
      <c r="AU3760" t="s">
        <v>15141</v>
      </c>
      <c r="AV3760" t="s">
        <v>30542</v>
      </c>
      <c r="AW3760" t="s">
        <v>25166</v>
      </c>
      <c r="AX3760" t="s">
        <v>4223</v>
      </c>
      <c r="AY3760" t="s">
        <v>26158</v>
      </c>
      <c r="AZ3760" t="s">
        <v>4223</v>
      </c>
      <c r="BA3760">
        <v>1</v>
      </c>
      <c r="BB3760">
        <v>684.36</v>
      </c>
      <c r="BC3760">
        <v>0.11</v>
      </c>
      <c r="BD3760">
        <v>1.3</v>
      </c>
      <c r="BE3760">
        <v>1.32</v>
      </c>
      <c r="BF3760">
        <v>1.26</v>
      </c>
      <c r="BG3760" t="s">
        <v>30543</v>
      </c>
      <c r="BH3760" t="s">
        <v>579</v>
      </c>
      <c r="BI3760" t="s">
        <v>4223</v>
      </c>
      <c r="BJ3760" t="s">
        <v>101</v>
      </c>
      <c r="BK3760" t="s">
        <v>4959</v>
      </c>
      <c r="BL3760" t="s">
        <v>30544</v>
      </c>
      <c r="BM3760" t="s">
        <v>13101</v>
      </c>
      <c r="BN3760" t="s">
        <v>27621</v>
      </c>
    </row>
    <row r="3761" spans="1:66" x14ac:dyDescent="0.25">
      <c r="A3761" t="str">
        <f>HYPERLINK("https://elite.finviz.com/quote.ashx?t=PAVM&amp;ty=c&amp;p=d&amp;b=1", "PAVM")</f>
        <v>PAVM</v>
      </c>
      <c r="B3761">
        <v>4</v>
      </c>
      <c r="C3761">
        <v>105.92</v>
      </c>
      <c r="D3761">
        <v>43.15</v>
      </c>
      <c r="E3761" t="s">
        <v>30545</v>
      </c>
      <c r="F3761" t="s">
        <v>107</v>
      </c>
      <c r="G3761" t="s">
        <v>428</v>
      </c>
      <c r="H3761" t="s">
        <v>2051</v>
      </c>
      <c r="I3761" t="s">
        <v>70</v>
      </c>
      <c r="J3761" t="s">
        <v>321</v>
      </c>
      <c r="K3761">
        <v>9.08</v>
      </c>
      <c r="L3761">
        <v>0.42</v>
      </c>
      <c r="M3761" t="s">
        <v>3811</v>
      </c>
      <c r="N3761">
        <v>75596</v>
      </c>
      <c r="O3761">
        <v>0.36</v>
      </c>
      <c r="R3761">
        <v>8.9</v>
      </c>
      <c r="S3761">
        <v>0.65</v>
      </c>
      <c r="Z3761" t="s">
        <v>164</v>
      </c>
      <c r="AA3761">
        <v>1.1599999999999999</v>
      </c>
      <c r="AE3761" t="s">
        <v>30546</v>
      </c>
      <c r="AF3761" t="s">
        <v>30547</v>
      </c>
      <c r="AH3761" t="s">
        <v>30548</v>
      </c>
      <c r="AI3761" t="s">
        <v>30549</v>
      </c>
      <c r="AJ3761" t="s">
        <v>164</v>
      </c>
      <c r="AK3761" t="s">
        <v>4857</v>
      </c>
      <c r="AL3761">
        <v>0.52</v>
      </c>
      <c r="AM3761">
        <v>0.52</v>
      </c>
      <c r="AN3761">
        <v>0.23</v>
      </c>
      <c r="AO3761" t="s">
        <v>10767</v>
      </c>
      <c r="AP3761" t="s">
        <v>30550</v>
      </c>
      <c r="AQ3761" t="s">
        <v>30551</v>
      </c>
      <c r="AR3761" t="s">
        <v>4742</v>
      </c>
      <c r="AS3761" t="s">
        <v>710</v>
      </c>
      <c r="AT3761" t="s">
        <v>6276</v>
      </c>
      <c r="AU3761" t="s">
        <v>15217</v>
      </c>
      <c r="AV3761" t="s">
        <v>24969</v>
      </c>
      <c r="AW3761" t="s">
        <v>16881</v>
      </c>
      <c r="AX3761" t="s">
        <v>9785</v>
      </c>
      <c r="AY3761" t="s">
        <v>19287</v>
      </c>
      <c r="AZ3761" t="s">
        <v>9785</v>
      </c>
      <c r="BA3761">
        <v>1</v>
      </c>
      <c r="BB3761">
        <v>218.17</v>
      </c>
      <c r="BC3761">
        <v>1.23</v>
      </c>
      <c r="BD3761">
        <v>0.43</v>
      </c>
      <c r="BE3761">
        <v>0.43</v>
      </c>
      <c r="BF3761">
        <v>0.41</v>
      </c>
      <c r="BG3761" t="s">
        <v>30552</v>
      </c>
      <c r="BH3761" t="s">
        <v>14200</v>
      </c>
      <c r="BI3761" t="s">
        <v>9785</v>
      </c>
      <c r="BJ3761" t="s">
        <v>101</v>
      </c>
      <c r="BK3761" t="s">
        <v>19487</v>
      </c>
      <c r="BL3761" t="s">
        <v>25506</v>
      </c>
      <c r="BM3761" t="s">
        <v>25529</v>
      </c>
      <c r="BN3761" t="s">
        <v>27621</v>
      </c>
    </row>
    <row r="3762" spans="1:66" x14ac:dyDescent="0.25">
      <c r="A3762" t="str">
        <f>HYPERLINK("https://elite.finviz.com/quote.ashx?t=PECO&amp;ty=c&amp;p=d&amp;b=1", "PECO")</f>
        <v>PECO</v>
      </c>
      <c r="B3762">
        <v>4</v>
      </c>
      <c r="C3762">
        <v>105.92</v>
      </c>
      <c r="D3762">
        <v>43.15</v>
      </c>
      <c r="E3762" t="s">
        <v>30553</v>
      </c>
      <c r="F3762" t="s">
        <v>67</v>
      </c>
      <c r="G3762" t="s">
        <v>68</v>
      </c>
      <c r="H3762" t="s">
        <v>160</v>
      </c>
      <c r="I3762" t="s">
        <v>70</v>
      </c>
      <c r="J3762" t="s">
        <v>321</v>
      </c>
      <c r="K3762">
        <v>4769.26</v>
      </c>
      <c r="L3762">
        <v>34.46</v>
      </c>
      <c r="M3762" t="s">
        <v>2571</v>
      </c>
      <c r="N3762">
        <v>144295</v>
      </c>
      <c r="O3762">
        <v>65.400000000000006</v>
      </c>
      <c r="P3762">
        <v>51.31</v>
      </c>
      <c r="Q3762">
        <v>5.21</v>
      </c>
      <c r="R3762">
        <v>6.81</v>
      </c>
      <c r="S3762">
        <v>1.89</v>
      </c>
      <c r="T3762" t="s">
        <v>2233</v>
      </c>
      <c r="U3762">
        <v>1.23</v>
      </c>
      <c r="V3762" t="s">
        <v>7373</v>
      </c>
      <c r="W3762" t="s">
        <v>5026</v>
      </c>
      <c r="X3762" t="s">
        <v>7306</v>
      </c>
      <c r="Z3762" t="s">
        <v>30554</v>
      </c>
      <c r="AA3762">
        <v>0.53</v>
      </c>
      <c r="AB3762" t="s">
        <v>9519</v>
      </c>
      <c r="AD3762" t="s">
        <v>7068</v>
      </c>
      <c r="AE3762" t="s">
        <v>5914</v>
      </c>
      <c r="AF3762" t="s">
        <v>3818</v>
      </c>
      <c r="AG3762" t="s">
        <v>2472</v>
      </c>
      <c r="AH3762" t="s">
        <v>3071</v>
      </c>
      <c r="AI3762" t="s">
        <v>9059</v>
      </c>
      <c r="AJ3762" t="s">
        <v>164</v>
      </c>
      <c r="AK3762" t="s">
        <v>18931</v>
      </c>
      <c r="AN3762">
        <v>1.1000000000000001</v>
      </c>
      <c r="AO3762" t="s">
        <v>21338</v>
      </c>
      <c r="AP3762" t="s">
        <v>606</v>
      </c>
      <c r="AQ3762" t="s">
        <v>3793</v>
      </c>
      <c r="AR3762" t="s">
        <v>4780</v>
      </c>
      <c r="AS3762" t="s">
        <v>6056</v>
      </c>
      <c r="AT3762" t="s">
        <v>1690</v>
      </c>
      <c r="AU3762" t="s">
        <v>4809</v>
      </c>
      <c r="AV3762" t="s">
        <v>4920</v>
      </c>
      <c r="AW3762" t="s">
        <v>5584</v>
      </c>
      <c r="AX3762" t="s">
        <v>2385</v>
      </c>
      <c r="AY3762" t="s">
        <v>14369</v>
      </c>
      <c r="AZ3762" t="s">
        <v>3777</v>
      </c>
      <c r="BA3762">
        <v>2</v>
      </c>
      <c r="BB3762">
        <v>897.87</v>
      </c>
      <c r="BC3762">
        <v>0.56999999999999995</v>
      </c>
      <c r="BD3762">
        <v>34.26</v>
      </c>
      <c r="BE3762">
        <v>34.619999999999997</v>
      </c>
      <c r="BF3762">
        <v>34.28</v>
      </c>
      <c r="BG3762" t="s">
        <v>30555</v>
      </c>
      <c r="BH3762" t="s">
        <v>14369</v>
      </c>
      <c r="BI3762" t="s">
        <v>26010</v>
      </c>
      <c r="BJ3762" t="s">
        <v>101</v>
      </c>
      <c r="BK3762" t="s">
        <v>4634</v>
      </c>
      <c r="BL3762" t="s">
        <v>1779</v>
      </c>
      <c r="BM3762" t="s">
        <v>14563</v>
      </c>
      <c r="BN3762" t="s">
        <v>27621</v>
      </c>
    </row>
    <row r="3763" spans="1:66" x14ac:dyDescent="0.25">
      <c r="A3763" t="str">
        <f>HYPERLINK("https://elite.finviz.com/quote.ashx?t=ATNM&amp;ty=c&amp;p=d&amp;b=1", "ATNM")</f>
        <v>ATNM</v>
      </c>
      <c r="B3763">
        <v>4</v>
      </c>
      <c r="C3763">
        <v>105.92</v>
      </c>
      <c r="D3763">
        <v>43.18</v>
      </c>
      <c r="E3763" t="s">
        <v>30556</v>
      </c>
      <c r="F3763" t="s">
        <v>107</v>
      </c>
      <c r="G3763" t="s">
        <v>428</v>
      </c>
      <c r="H3763" t="s">
        <v>429</v>
      </c>
      <c r="I3763" t="s">
        <v>70</v>
      </c>
      <c r="J3763" t="s">
        <v>383</v>
      </c>
      <c r="K3763">
        <v>49.13</v>
      </c>
      <c r="L3763">
        <v>1.58</v>
      </c>
      <c r="M3763" t="s">
        <v>5721</v>
      </c>
      <c r="N3763">
        <v>30050</v>
      </c>
      <c r="S3763">
        <v>2.58</v>
      </c>
      <c r="AA3763">
        <v>-1.32</v>
      </c>
      <c r="AB3763" t="s">
        <v>6533</v>
      </c>
      <c r="AC3763" t="s">
        <v>15060</v>
      </c>
      <c r="AD3763" t="s">
        <v>3270</v>
      </c>
      <c r="AE3763" t="s">
        <v>579</v>
      </c>
      <c r="AI3763" t="s">
        <v>1306</v>
      </c>
      <c r="AJ3763" t="s">
        <v>164</v>
      </c>
      <c r="AK3763" t="s">
        <v>13600</v>
      </c>
      <c r="AL3763">
        <v>7.34</v>
      </c>
      <c r="AM3763">
        <v>7.34</v>
      </c>
      <c r="AN3763">
        <v>7.0000000000000007E-2</v>
      </c>
      <c r="AR3763" t="s">
        <v>4125</v>
      </c>
      <c r="AS3763" t="s">
        <v>3025</v>
      </c>
      <c r="AT3763" t="s">
        <v>2162</v>
      </c>
      <c r="AU3763" t="s">
        <v>6494</v>
      </c>
      <c r="AV3763" t="s">
        <v>9159</v>
      </c>
      <c r="AW3763" t="s">
        <v>8084</v>
      </c>
      <c r="AX3763" t="s">
        <v>3231</v>
      </c>
      <c r="AY3763" t="s">
        <v>22984</v>
      </c>
      <c r="AZ3763" t="s">
        <v>25285</v>
      </c>
      <c r="BA3763">
        <v>1</v>
      </c>
      <c r="BB3763">
        <v>250.63</v>
      </c>
      <c r="BC3763">
        <v>0.43</v>
      </c>
      <c r="BD3763">
        <v>1.59</v>
      </c>
      <c r="BE3763">
        <v>1.59</v>
      </c>
      <c r="BF3763">
        <v>1.56</v>
      </c>
      <c r="BG3763" t="s">
        <v>30557</v>
      </c>
      <c r="BH3763" t="s">
        <v>30558</v>
      </c>
      <c r="BI3763" t="s">
        <v>25285</v>
      </c>
      <c r="BJ3763" t="s">
        <v>101</v>
      </c>
      <c r="BK3763" t="s">
        <v>5551</v>
      </c>
      <c r="BL3763" t="s">
        <v>8084</v>
      </c>
      <c r="BM3763" t="s">
        <v>303</v>
      </c>
      <c r="BN3763" t="s">
        <v>27621</v>
      </c>
    </row>
    <row r="3764" spans="1:66" x14ac:dyDescent="0.25">
      <c r="A3764" t="str">
        <f>HYPERLINK("https://elite.finviz.com/quote.ashx?t=KFRC&amp;ty=c&amp;p=d&amp;b=1", "KFRC")</f>
        <v>KFRC</v>
      </c>
      <c r="B3764">
        <v>4</v>
      </c>
      <c r="C3764">
        <v>105.92</v>
      </c>
      <c r="D3764">
        <v>43.2</v>
      </c>
      <c r="E3764" t="s">
        <v>30559</v>
      </c>
      <c r="F3764" t="s">
        <v>67</v>
      </c>
      <c r="G3764" t="s">
        <v>260</v>
      </c>
      <c r="H3764" t="s">
        <v>8693</v>
      </c>
      <c r="I3764" t="s">
        <v>70</v>
      </c>
      <c r="J3764" t="s">
        <v>71</v>
      </c>
      <c r="K3764">
        <v>562.05999999999995</v>
      </c>
      <c r="L3764">
        <v>30.22</v>
      </c>
      <c r="M3764" t="s">
        <v>2201</v>
      </c>
      <c r="N3764">
        <v>23843</v>
      </c>
      <c r="O3764">
        <v>12.78</v>
      </c>
      <c r="P3764">
        <v>13.11</v>
      </c>
      <c r="Q3764">
        <v>6.39</v>
      </c>
      <c r="R3764">
        <v>0.41</v>
      </c>
      <c r="S3764">
        <v>4.18</v>
      </c>
      <c r="T3764" t="s">
        <v>322</v>
      </c>
      <c r="U3764">
        <v>1.55</v>
      </c>
      <c r="V3764" t="s">
        <v>2620</v>
      </c>
      <c r="W3764" t="s">
        <v>892</v>
      </c>
      <c r="X3764" t="s">
        <v>13222</v>
      </c>
      <c r="Y3764" t="s">
        <v>8579</v>
      </c>
      <c r="Z3764" t="s">
        <v>11487</v>
      </c>
      <c r="AA3764">
        <v>2.37</v>
      </c>
      <c r="AB3764" t="s">
        <v>15157</v>
      </c>
      <c r="AC3764" t="s">
        <v>5497</v>
      </c>
      <c r="AD3764" t="s">
        <v>1439</v>
      </c>
      <c r="AE3764" t="s">
        <v>2562</v>
      </c>
      <c r="AF3764" t="s">
        <v>2870</v>
      </c>
      <c r="AG3764" t="s">
        <v>3013</v>
      </c>
      <c r="AH3764" t="s">
        <v>6741</v>
      </c>
      <c r="AI3764" t="s">
        <v>4086</v>
      </c>
      <c r="AJ3764" t="s">
        <v>2125</v>
      </c>
      <c r="AK3764" t="s">
        <v>30560</v>
      </c>
      <c r="AL3764">
        <v>2.04</v>
      </c>
      <c r="AM3764">
        <v>2.04</v>
      </c>
      <c r="AN3764">
        <v>0.64</v>
      </c>
      <c r="AO3764" t="s">
        <v>14860</v>
      </c>
      <c r="AP3764" t="s">
        <v>5045</v>
      </c>
      <c r="AQ3764" t="s">
        <v>4294</v>
      </c>
      <c r="AR3764" t="s">
        <v>1391</v>
      </c>
      <c r="AS3764" t="s">
        <v>2234</v>
      </c>
      <c r="AT3764" t="s">
        <v>8053</v>
      </c>
      <c r="AU3764" t="s">
        <v>4217</v>
      </c>
      <c r="AV3764" t="s">
        <v>16043</v>
      </c>
      <c r="AW3764" t="s">
        <v>1179</v>
      </c>
      <c r="AX3764" t="s">
        <v>2735</v>
      </c>
      <c r="AY3764" t="s">
        <v>6507</v>
      </c>
      <c r="AZ3764" t="s">
        <v>2735</v>
      </c>
      <c r="BA3764">
        <v>2.5</v>
      </c>
      <c r="BB3764">
        <v>264.01</v>
      </c>
      <c r="BC3764">
        <v>0.32</v>
      </c>
      <c r="BD3764">
        <v>29.69</v>
      </c>
      <c r="BE3764">
        <v>30.37</v>
      </c>
      <c r="BF3764">
        <v>29.8</v>
      </c>
      <c r="BG3764" t="s">
        <v>30561</v>
      </c>
      <c r="BH3764" t="s">
        <v>4651</v>
      </c>
      <c r="BI3764" t="s">
        <v>30562</v>
      </c>
      <c r="BJ3764" t="s">
        <v>101</v>
      </c>
      <c r="BK3764" t="s">
        <v>18604</v>
      </c>
      <c r="BL3764" t="s">
        <v>14702</v>
      </c>
      <c r="BM3764" t="s">
        <v>28320</v>
      </c>
      <c r="BN3764" t="s">
        <v>27621</v>
      </c>
    </row>
    <row r="3765" spans="1:66" x14ac:dyDescent="0.25">
      <c r="A3765" t="str">
        <f>HYPERLINK("https://elite.finviz.com/quote.ashx?t=CNTB&amp;ty=c&amp;p=d&amp;b=1", "CNTB")</f>
        <v>CNTB</v>
      </c>
      <c r="B3765">
        <v>4</v>
      </c>
      <c r="C3765">
        <v>105.92</v>
      </c>
      <c r="D3765">
        <v>43.22</v>
      </c>
      <c r="E3765" t="s">
        <v>30563</v>
      </c>
      <c r="F3765" t="s">
        <v>107</v>
      </c>
      <c r="G3765" t="s">
        <v>428</v>
      </c>
      <c r="H3765" t="s">
        <v>429</v>
      </c>
      <c r="I3765" t="s">
        <v>70</v>
      </c>
      <c r="J3765" t="s">
        <v>321</v>
      </c>
      <c r="K3765">
        <v>89.15</v>
      </c>
      <c r="L3765">
        <v>1.6</v>
      </c>
      <c r="M3765" t="s">
        <v>4073</v>
      </c>
      <c r="N3765">
        <v>23278</v>
      </c>
      <c r="R3765">
        <v>3.42</v>
      </c>
      <c r="S3765">
        <v>1.25</v>
      </c>
      <c r="AA3765">
        <v>-0.28000000000000003</v>
      </c>
      <c r="AB3765" t="s">
        <v>762</v>
      </c>
      <c r="AC3765" t="s">
        <v>5122</v>
      </c>
      <c r="AI3765" t="s">
        <v>13734</v>
      </c>
      <c r="AK3765" t="s">
        <v>169</v>
      </c>
      <c r="AL3765">
        <v>7.24</v>
      </c>
      <c r="AM3765">
        <v>7.24</v>
      </c>
      <c r="AN3765">
        <v>0.01</v>
      </c>
      <c r="AO3765" t="s">
        <v>30564</v>
      </c>
      <c r="AP3765" t="s">
        <v>22949</v>
      </c>
      <c r="AQ3765" t="s">
        <v>30565</v>
      </c>
      <c r="AR3765" t="s">
        <v>661</v>
      </c>
      <c r="AS3765" t="s">
        <v>6945</v>
      </c>
      <c r="AT3765" t="s">
        <v>3091</v>
      </c>
      <c r="AU3765" t="s">
        <v>19620</v>
      </c>
      <c r="AV3765" t="s">
        <v>25284</v>
      </c>
      <c r="AW3765" t="s">
        <v>19574</v>
      </c>
      <c r="AX3765" t="s">
        <v>4760</v>
      </c>
      <c r="AY3765" t="s">
        <v>19574</v>
      </c>
      <c r="AZ3765" t="s">
        <v>30566</v>
      </c>
      <c r="BA3765">
        <v>1</v>
      </c>
      <c r="BB3765">
        <v>172.45</v>
      </c>
      <c r="BC3765">
        <v>0.48</v>
      </c>
      <c r="BD3765">
        <v>1.69</v>
      </c>
      <c r="BE3765">
        <v>1.7</v>
      </c>
      <c r="BF3765">
        <v>1.6</v>
      </c>
      <c r="BG3765" t="s">
        <v>30567</v>
      </c>
      <c r="BH3765" t="s">
        <v>30568</v>
      </c>
      <c r="BI3765" t="s">
        <v>30566</v>
      </c>
      <c r="BJ3765" t="s">
        <v>101</v>
      </c>
      <c r="BK3765" t="s">
        <v>8778</v>
      </c>
      <c r="BL3765" t="s">
        <v>28155</v>
      </c>
      <c r="BM3765" t="s">
        <v>17838</v>
      </c>
      <c r="BN3765" t="s">
        <v>27621</v>
      </c>
    </row>
    <row r="3766" spans="1:66" x14ac:dyDescent="0.25">
      <c r="A3766" t="str">
        <f>HYPERLINK("https://elite.finviz.com/quote.ashx?t=LAZ&amp;ty=c&amp;p=d&amp;b=1", "LAZ")</f>
        <v>LAZ</v>
      </c>
      <c r="B3766">
        <v>4</v>
      </c>
      <c r="C3766">
        <v>105.92</v>
      </c>
      <c r="D3766">
        <v>43.22</v>
      </c>
      <c r="E3766" t="s">
        <v>30569</v>
      </c>
      <c r="F3766" t="s">
        <v>107</v>
      </c>
      <c r="G3766" t="s">
        <v>550</v>
      </c>
      <c r="H3766" t="s">
        <v>551</v>
      </c>
      <c r="I3766" t="s">
        <v>70</v>
      </c>
      <c r="J3766" t="s">
        <v>71</v>
      </c>
      <c r="K3766">
        <v>5073.13</v>
      </c>
      <c r="L3766">
        <v>53.76</v>
      </c>
      <c r="M3766" t="s">
        <v>580</v>
      </c>
      <c r="N3766">
        <v>49120</v>
      </c>
      <c r="O3766">
        <v>18.559999999999999</v>
      </c>
      <c r="P3766">
        <v>13.05</v>
      </c>
      <c r="Q3766">
        <v>0.62</v>
      </c>
      <c r="R3766">
        <v>1.61</v>
      </c>
      <c r="S3766">
        <v>6.84</v>
      </c>
      <c r="T3766" t="s">
        <v>1050</v>
      </c>
      <c r="U3766">
        <v>2</v>
      </c>
      <c r="V3766" t="s">
        <v>4827</v>
      </c>
      <c r="W3766" t="s">
        <v>164</v>
      </c>
      <c r="X3766" t="s">
        <v>2421</v>
      </c>
      <c r="Y3766" t="s">
        <v>2720</v>
      </c>
      <c r="Z3766" t="s">
        <v>21525</v>
      </c>
      <c r="AA3766">
        <v>2.9</v>
      </c>
      <c r="AB3766" t="s">
        <v>1056</v>
      </c>
      <c r="AC3766" t="s">
        <v>1763</v>
      </c>
      <c r="AD3766" t="s">
        <v>14923</v>
      </c>
      <c r="AE3766" t="s">
        <v>702</v>
      </c>
      <c r="AF3766" t="s">
        <v>7598</v>
      </c>
      <c r="AG3766" t="s">
        <v>1902</v>
      </c>
      <c r="AH3766" t="s">
        <v>8916</v>
      </c>
      <c r="AI3766" t="s">
        <v>21731</v>
      </c>
      <c r="AJ3766" t="s">
        <v>10518</v>
      </c>
      <c r="AK3766" t="s">
        <v>30570</v>
      </c>
      <c r="AL3766">
        <v>2</v>
      </c>
      <c r="AM3766">
        <v>2</v>
      </c>
      <c r="AN3766">
        <v>2.98</v>
      </c>
      <c r="AO3766" t="s">
        <v>30571</v>
      </c>
      <c r="AP3766" t="s">
        <v>9096</v>
      </c>
      <c r="AQ3766" t="s">
        <v>7209</v>
      </c>
      <c r="AR3766" t="s">
        <v>3635</v>
      </c>
      <c r="AS3766" t="s">
        <v>1768</v>
      </c>
      <c r="AT3766" t="s">
        <v>608</v>
      </c>
      <c r="AU3766" t="s">
        <v>5879</v>
      </c>
      <c r="AV3766" t="s">
        <v>3171</v>
      </c>
      <c r="AW3766" t="s">
        <v>6043</v>
      </c>
      <c r="AX3766" t="s">
        <v>2886</v>
      </c>
      <c r="AY3766" t="s">
        <v>968</v>
      </c>
      <c r="AZ3766" t="s">
        <v>22835</v>
      </c>
      <c r="BA3766">
        <v>2.5</v>
      </c>
      <c r="BB3766">
        <v>947.8</v>
      </c>
      <c r="BC3766">
        <v>0.18</v>
      </c>
      <c r="BD3766">
        <v>53.73</v>
      </c>
      <c r="BE3766">
        <v>54.7</v>
      </c>
      <c r="BF3766">
        <v>53.74</v>
      </c>
      <c r="BG3766" t="s">
        <v>30572</v>
      </c>
      <c r="BH3766" t="s">
        <v>968</v>
      </c>
      <c r="BI3766" t="s">
        <v>30573</v>
      </c>
      <c r="BJ3766" t="s">
        <v>101</v>
      </c>
      <c r="BK3766" t="s">
        <v>7655</v>
      </c>
      <c r="BL3766" t="s">
        <v>11840</v>
      </c>
      <c r="BM3766" t="s">
        <v>5027</v>
      </c>
      <c r="BN3766" t="s">
        <v>27621</v>
      </c>
    </row>
    <row r="3767" spans="1:66" x14ac:dyDescent="0.25">
      <c r="A3767" t="str">
        <f>HYPERLINK("https://elite.finviz.com/quote.ashx?t=MYPS&amp;ty=c&amp;p=d&amp;b=1", "MYPS")</f>
        <v>MYPS</v>
      </c>
      <c r="B3767">
        <v>4</v>
      </c>
      <c r="C3767">
        <v>105.92</v>
      </c>
      <c r="D3767">
        <v>43.26</v>
      </c>
      <c r="E3767" t="s">
        <v>30574</v>
      </c>
      <c r="F3767" t="s">
        <v>67</v>
      </c>
      <c r="G3767" t="s">
        <v>598</v>
      </c>
      <c r="H3767" t="s">
        <v>7474</v>
      </c>
      <c r="I3767" t="s">
        <v>70</v>
      </c>
      <c r="J3767" t="s">
        <v>321</v>
      </c>
      <c r="K3767">
        <v>120.2</v>
      </c>
      <c r="L3767">
        <v>0.96</v>
      </c>
      <c r="M3767" t="s">
        <v>1324</v>
      </c>
      <c r="N3767">
        <v>41780</v>
      </c>
      <c r="R3767">
        <v>0.46</v>
      </c>
      <c r="S3767">
        <v>0.49</v>
      </c>
      <c r="AA3767">
        <v>-0.25</v>
      </c>
      <c r="AD3767" t="s">
        <v>9662</v>
      </c>
      <c r="AE3767" t="s">
        <v>374</v>
      </c>
      <c r="AF3767" t="s">
        <v>822</v>
      </c>
      <c r="AG3767" t="s">
        <v>5084</v>
      </c>
      <c r="AH3767" t="s">
        <v>7818</v>
      </c>
      <c r="AI3767" t="s">
        <v>12843</v>
      </c>
      <c r="AJ3767" t="s">
        <v>2276</v>
      </c>
      <c r="AK3767" t="s">
        <v>2532</v>
      </c>
      <c r="AL3767">
        <v>3.65</v>
      </c>
      <c r="AM3767">
        <v>3.65</v>
      </c>
      <c r="AN3767">
        <v>0.04</v>
      </c>
      <c r="AO3767" t="s">
        <v>6781</v>
      </c>
      <c r="AP3767" t="s">
        <v>3554</v>
      </c>
      <c r="AQ3767" t="s">
        <v>17881</v>
      </c>
      <c r="AR3767" t="s">
        <v>4760</v>
      </c>
      <c r="AS3767" t="s">
        <v>5164</v>
      </c>
      <c r="AT3767" t="s">
        <v>3831</v>
      </c>
      <c r="AU3767" t="s">
        <v>5641</v>
      </c>
      <c r="AV3767" t="s">
        <v>24059</v>
      </c>
      <c r="AW3767" t="s">
        <v>16816</v>
      </c>
      <c r="AX3767" t="s">
        <v>2124</v>
      </c>
      <c r="AY3767" t="s">
        <v>30575</v>
      </c>
      <c r="AZ3767" t="s">
        <v>2124</v>
      </c>
      <c r="BA3767">
        <v>2.2000000000000002</v>
      </c>
      <c r="BB3767">
        <v>274.29000000000002</v>
      </c>
      <c r="BC3767">
        <v>0.54</v>
      </c>
      <c r="BD3767">
        <v>0.96</v>
      </c>
      <c r="BE3767">
        <v>0.99</v>
      </c>
      <c r="BF3767">
        <v>0.96</v>
      </c>
      <c r="BG3767" t="s">
        <v>30576</v>
      </c>
      <c r="BH3767" t="s">
        <v>30577</v>
      </c>
      <c r="BI3767" t="s">
        <v>2124</v>
      </c>
      <c r="BJ3767" t="s">
        <v>101</v>
      </c>
      <c r="BK3767" t="s">
        <v>17386</v>
      </c>
      <c r="BL3767" t="s">
        <v>16352</v>
      </c>
      <c r="BM3767" t="s">
        <v>30042</v>
      </c>
      <c r="BN3767" t="s">
        <v>27621</v>
      </c>
    </row>
    <row r="3768" spans="1:66" x14ac:dyDescent="0.25">
      <c r="A3768" t="str">
        <f>HYPERLINK("https://elite.finviz.com/quote.ashx?t=QETA&amp;ty=c&amp;p=d&amp;b=1", "QETA")</f>
        <v>QETA</v>
      </c>
      <c r="B3768">
        <v>4</v>
      </c>
      <c r="C3768">
        <v>105.92</v>
      </c>
      <c r="D3768">
        <v>43.27</v>
      </c>
      <c r="E3768" t="s">
        <v>30578</v>
      </c>
      <c r="F3768" t="s">
        <v>107</v>
      </c>
      <c r="G3768" t="s">
        <v>550</v>
      </c>
      <c r="H3768" t="s">
        <v>2120</v>
      </c>
      <c r="I3768" t="s">
        <v>70</v>
      </c>
      <c r="J3768" t="s">
        <v>321</v>
      </c>
      <c r="K3768">
        <v>41.17</v>
      </c>
      <c r="L3768">
        <v>10.74</v>
      </c>
      <c r="M3768" t="s">
        <v>164</v>
      </c>
      <c r="N3768">
        <v>434</v>
      </c>
      <c r="S3768">
        <v>2.84</v>
      </c>
      <c r="Z3768" t="s">
        <v>164</v>
      </c>
      <c r="AA3768">
        <v>-0.1</v>
      </c>
      <c r="AJ3768" t="s">
        <v>164</v>
      </c>
      <c r="AK3768" t="s">
        <v>11276</v>
      </c>
      <c r="AL3768">
        <v>0.13</v>
      </c>
      <c r="AM3768">
        <v>0.13</v>
      </c>
      <c r="AN3768">
        <v>7.0000000000000007E-2</v>
      </c>
      <c r="AR3768" t="s">
        <v>2759</v>
      </c>
      <c r="AS3768" t="s">
        <v>1338</v>
      </c>
      <c r="AT3768" t="s">
        <v>6533</v>
      </c>
      <c r="AU3768" t="s">
        <v>8425</v>
      </c>
      <c r="AV3768" t="s">
        <v>4839</v>
      </c>
      <c r="AW3768" t="s">
        <v>18085</v>
      </c>
      <c r="AX3768" t="s">
        <v>679</v>
      </c>
      <c r="AY3768" t="s">
        <v>18085</v>
      </c>
      <c r="AZ3768" t="s">
        <v>3454</v>
      </c>
      <c r="BB3768">
        <v>2.0699999999999998</v>
      </c>
      <c r="BC3768">
        <v>0.74</v>
      </c>
      <c r="BD3768">
        <v>10.74</v>
      </c>
      <c r="BE3768">
        <v>10.79</v>
      </c>
      <c r="BF3768">
        <v>10.79</v>
      </c>
      <c r="BG3768" t="s">
        <v>30579</v>
      </c>
      <c r="BH3768" t="s">
        <v>18085</v>
      </c>
      <c r="BI3768" t="s">
        <v>6330</v>
      </c>
      <c r="BJ3768" t="s">
        <v>101</v>
      </c>
      <c r="BK3768" t="s">
        <v>7338</v>
      </c>
      <c r="BL3768" t="s">
        <v>975</v>
      </c>
      <c r="BN3768" t="s">
        <v>27621</v>
      </c>
    </row>
    <row r="3769" spans="1:66" x14ac:dyDescent="0.25">
      <c r="A3769" t="str">
        <f>HYPERLINK("https://elite.finviz.com/quote.ashx?t=CULP&amp;ty=c&amp;p=d&amp;b=1", "CULP")</f>
        <v>CULP</v>
      </c>
      <c r="B3769">
        <v>4</v>
      </c>
      <c r="C3769">
        <v>105.92</v>
      </c>
      <c r="D3769">
        <v>43.29</v>
      </c>
      <c r="E3769" t="s">
        <v>30580</v>
      </c>
      <c r="F3769" t="s">
        <v>107</v>
      </c>
      <c r="G3769" t="s">
        <v>813</v>
      </c>
      <c r="H3769" t="s">
        <v>14450</v>
      </c>
      <c r="I3769" t="s">
        <v>70</v>
      </c>
      <c r="J3769" t="s">
        <v>71</v>
      </c>
      <c r="K3769">
        <v>52.7</v>
      </c>
      <c r="L3769">
        <v>4.18</v>
      </c>
      <c r="M3769" t="s">
        <v>182</v>
      </c>
      <c r="N3769">
        <v>4429</v>
      </c>
      <c r="R3769">
        <v>0.25</v>
      </c>
      <c r="S3769">
        <v>0.91</v>
      </c>
      <c r="V3769" t="s">
        <v>23275</v>
      </c>
      <c r="AA3769">
        <v>-0.96</v>
      </c>
      <c r="AB3769" t="s">
        <v>30581</v>
      </c>
      <c r="AC3769" t="s">
        <v>437</v>
      </c>
      <c r="AE3769" t="s">
        <v>2467</v>
      </c>
      <c r="AF3769" t="s">
        <v>2752</v>
      </c>
      <c r="AG3769" t="s">
        <v>1727</v>
      </c>
      <c r="AH3769" t="s">
        <v>21638</v>
      </c>
      <c r="AI3769" t="s">
        <v>14705</v>
      </c>
      <c r="AJ3769" t="s">
        <v>3856</v>
      </c>
      <c r="AK3769" t="s">
        <v>30582</v>
      </c>
      <c r="AL3769">
        <v>1.86</v>
      </c>
      <c r="AM3769">
        <v>0.81</v>
      </c>
      <c r="AN3769">
        <v>0.39</v>
      </c>
      <c r="AO3769" t="s">
        <v>340</v>
      </c>
      <c r="AP3769" t="s">
        <v>4281</v>
      </c>
      <c r="AQ3769" t="s">
        <v>2593</v>
      </c>
      <c r="AR3769" t="s">
        <v>713</v>
      </c>
      <c r="AS3769" t="s">
        <v>4678</v>
      </c>
      <c r="AT3769" t="s">
        <v>2431</v>
      </c>
      <c r="AU3769" t="s">
        <v>4531</v>
      </c>
      <c r="AV3769" t="s">
        <v>8382</v>
      </c>
      <c r="AW3769" t="s">
        <v>4214</v>
      </c>
      <c r="AX3769" t="s">
        <v>10407</v>
      </c>
      <c r="AY3769" t="s">
        <v>12525</v>
      </c>
      <c r="AZ3769" t="s">
        <v>13278</v>
      </c>
      <c r="BA3769">
        <v>1</v>
      </c>
      <c r="BB3769">
        <v>22.82</v>
      </c>
      <c r="BC3769">
        <v>0.69</v>
      </c>
      <c r="BD3769">
        <v>4.17</v>
      </c>
      <c r="BE3769">
        <v>4.24</v>
      </c>
      <c r="BF3769">
        <v>4.18</v>
      </c>
      <c r="BG3769" t="s">
        <v>30583</v>
      </c>
      <c r="BH3769" t="s">
        <v>30584</v>
      </c>
      <c r="BI3769" t="s">
        <v>27107</v>
      </c>
      <c r="BJ3769" t="s">
        <v>101</v>
      </c>
      <c r="BK3769" t="s">
        <v>8593</v>
      </c>
      <c r="BL3769" t="s">
        <v>25151</v>
      </c>
      <c r="BM3769" t="s">
        <v>30585</v>
      </c>
      <c r="BN3769" t="s">
        <v>27621</v>
      </c>
    </row>
    <row r="3770" spans="1:66" x14ac:dyDescent="0.25">
      <c r="A3770" t="str">
        <f>HYPERLINK("https://elite.finviz.com/quote.ashx?t=DVA&amp;ty=c&amp;p=d&amp;b=1", "DVA")</f>
        <v>DVA</v>
      </c>
      <c r="B3770">
        <v>4</v>
      </c>
      <c r="C3770">
        <v>105.92</v>
      </c>
      <c r="D3770">
        <v>43.32</v>
      </c>
      <c r="E3770" t="s">
        <v>30586</v>
      </c>
      <c r="F3770" t="s">
        <v>195</v>
      </c>
      <c r="G3770" t="s">
        <v>428</v>
      </c>
      <c r="H3770" t="s">
        <v>3160</v>
      </c>
      <c r="I3770" t="s">
        <v>70</v>
      </c>
      <c r="J3770" t="s">
        <v>71</v>
      </c>
      <c r="K3770">
        <v>9337.19</v>
      </c>
      <c r="L3770">
        <v>130.59</v>
      </c>
      <c r="M3770" t="s">
        <v>4266</v>
      </c>
      <c r="N3770">
        <v>49195</v>
      </c>
      <c r="O3770">
        <v>12.83</v>
      </c>
      <c r="P3770">
        <v>10.220000000000001</v>
      </c>
      <c r="Q3770">
        <v>0.89</v>
      </c>
      <c r="R3770">
        <v>0.71</v>
      </c>
      <c r="Z3770" t="s">
        <v>164</v>
      </c>
      <c r="AA3770">
        <v>10.18</v>
      </c>
      <c r="AB3770" t="s">
        <v>8286</v>
      </c>
      <c r="AC3770" t="s">
        <v>6690</v>
      </c>
      <c r="AD3770" t="s">
        <v>5699</v>
      </c>
      <c r="AE3770" t="s">
        <v>6419</v>
      </c>
      <c r="AF3770" t="s">
        <v>4677</v>
      </c>
      <c r="AG3770" t="s">
        <v>744</v>
      </c>
      <c r="AH3770" t="s">
        <v>8460</v>
      </c>
      <c r="AI3770" t="s">
        <v>2398</v>
      </c>
      <c r="AJ3770" t="s">
        <v>19222</v>
      </c>
      <c r="AK3770" t="s">
        <v>30587</v>
      </c>
      <c r="AL3770">
        <v>1.39</v>
      </c>
      <c r="AM3770">
        <v>1.34</v>
      </c>
      <c r="AO3770" t="s">
        <v>9381</v>
      </c>
      <c r="AP3770" t="s">
        <v>2058</v>
      </c>
      <c r="AQ3770" t="s">
        <v>713</v>
      </c>
      <c r="AR3770" t="s">
        <v>4276</v>
      </c>
      <c r="AS3770" t="s">
        <v>2421</v>
      </c>
      <c r="AT3770" t="s">
        <v>9498</v>
      </c>
      <c r="AU3770" t="s">
        <v>5101</v>
      </c>
      <c r="AV3770" t="s">
        <v>5059</v>
      </c>
      <c r="AW3770" t="s">
        <v>3109</v>
      </c>
      <c r="AX3770" t="s">
        <v>4956</v>
      </c>
      <c r="AY3770" t="s">
        <v>3072</v>
      </c>
      <c r="AZ3770" t="s">
        <v>4956</v>
      </c>
      <c r="BA3770">
        <v>2.9</v>
      </c>
      <c r="BB3770">
        <v>835.8</v>
      </c>
      <c r="BC3770">
        <v>0.21</v>
      </c>
      <c r="BD3770">
        <v>130.27000000000001</v>
      </c>
      <c r="BE3770">
        <v>131.46</v>
      </c>
      <c r="BF3770">
        <v>130.51</v>
      </c>
      <c r="BG3770" t="s">
        <v>30588</v>
      </c>
      <c r="BH3770" t="s">
        <v>3072</v>
      </c>
      <c r="BI3770" t="s">
        <v>30589</v>
      </c>
      <c r="BJ3770" t="s">
        <v>101</v>
      </c>
      <c r="BK3770" t="s">
        <v>6730</v>
      </c>
      <c r="BL3770" t="s">
        <v>16281</v>
      </c>
      <c r="BM3770" t="s">
        <v>14406</v>
      </c>
      <c r="BN3770" t="s">
        <v>27621</v>
      </c>
    </row>
    <row r="3771" spans="1:66" x14ac:dyDescent="0.25">
      <c r="A3771" t="str">
        <f>HYPERLINK("https://elite.finviz.com/quote.ashx?t=BWEN&amp;ty=c&amp;p=d&amp;b=1", "BWEN")</f>
        <v>BWEN</v>
      </c>
      <c r="B3771">
        <v>4</v>
      </c>
      <c r="C3771">
        <v>105.92</v>
      </c>
      <c r="D3771">
        <v>43.34</v>
      </c>
      <c r="E3771" t="s">
        <v>30590</v>
      </c>
      <c r="F3771" t="s">
        <v>107</v>
      </c>
      <c r="G3771" t="s">
        <v>260</v>
      </c>
      <c r="H3771" t="s">
        <v>261</v>
      </c>
      <c r="I3771" t="s">
        <v>70</v>
      </c>
      <c r="J3771" t="s">
        <v>321</v>
      </c>
      <c r="K3771">
        <v>46.54</v>
      </c>
      <c r="L3771">
        <v>2.02</v>
      </c>
      <c r="M3771" t="s">
        <v>2145</v>
      </c>
      <c r="N3771">
        <v>31843</v>
      </c>
      <c r="P3771">
        <v>10.1</v>
      </c>
      <c r="R3771">
        <v>0.32</v>
      </c>
      <c r="S3771">
        <v>0.79</v>
      </c>
      <c r="Z3771" t="s">
        <v>164</v>
      </c>
      <c r="AA3771">
        <v>-0.1</v>
      </c>
      <c r="AB3771" t="s">
        <v>17998</v>
      </c>
      <c r="AE3771" t="s">
        <v>10341</v>
      </c>
      <c r="AF3771" t="s">
        <v>3896</v>
      </c>
      <c r="AG3771" t="s">
        <v>10842</v>
      </c>
      <c r="AH3771" t="s">
        <v>267</v>
      </c>
      <c r="AI3771" t="s">
        <v>17436</v>
      </c>
      <c r="AJ3771" t="s">
        <v>6192</v>
      </c>
      <c r="AK3771" t="s">
        <v>19441</v>
      </c>
      <c r="AL3771">
        <v>1.53</v>
      </c>
      <c r="AM3771">
        <v>0.52</v>
      </c>
      <c r="AN3771">
        <v>0.73</v>
      </c>
      <c r="AO3771" t="s">
        <v>292</v>
      </c>
      <c r="AP3771" t="s">
        <v>4840</v>
      </c>
      <c r="AQ3771" t="s">
        <v>5879</v>
      </c>
      <c r="AR3771" t="s">
        <v>1496</v>
      </c>
      <c r="AS3771" t="s">
        <v>1496</v>
      </c>
      <c r="AT3771" t="s">
        <v>4289</v>
      </c>
      <c r="AU3771" t="s">
        <v>968</v>
      </c>
      <c r="AV3771" t="s">
        <v>4518</v>
      </c>
      <c r="AW3771" t="s">
        <v>8887</v>
      </c>
      <c r="AX3771" t="s">
        <v>5527</v>
      </c>
      <c r="AY3771" t="s">
        <v>8887</v>
      </c>
      <c r="AZ3771" t="s">
        <v>10553</v>
      </c>
      <c r="BA3771">
        <v>1</v>
      </c>
      <c r="BB3771">
        <v>235.59</v>
      </c>
      <c r="BC3771">
        <v>0.48</v>
      </c>
      <c r="BD3771">
        <v>1.99</v>
      </c>
      <c r="BE3771">
        <v>2.06</v>
      </c>
      <c r="BF3771">
        <v>2</v>
      </c>
      <c r="BG3771" t="s">
        <v>30591</v>
      </c>
      <c r="BH3771" t="s">
        <v>17684</v>
      </c>
      <c r="BI3771" t="s">
        <v>30592</v>
      </c>
      <c r="BJ3771" t="s">
        <v>101</v>
      </c>
      <c r="BK3771" t="s">
        <v>1006</v>
      </c>
      <c r="BL3771" t="s">
        <v>10607</v>
      </c>
      <c r="BM3771" t="s">
        <v>17625</v>
      </c>
      <c r="BN3771" t="s">
        <v>27621</v>
      </c>
    </row>
    <row r="3772" spans="1:66" x14ac:dyDescent="0.25">
      <c r="A3772" t="str">
        <f>HYPERLINK("https://elite.finviz.com/quote.ashx?t=RFL&amp;ty=c&amp;p=d&amp;b=1", "RFL")</f>
        <v>RFL</v>
      </c>
      <c r="B3772">
        <v>4</v>
      </c>
      <c r="C3772">
        <v>105.92</v>
      </c>
      <c r="D3772">
        <v>43.35</v>
      </c>
      <c r="E3772" t="s">
        <v>30593</v>
      </c>
      <c r="F3772" t="s">
        <v>107</v>
      </c>
      <c r="G3772" t="s">
        <v>68</v>
      </c>
      <c r="H3772" t="s">
        <v>7494</v>
      </c>
      <c r="I3772" t="s">
        <v>70</v>
      </c>
      <c r="J3772" t="s">
        <v>71</v>
      </c>
      <c r="K3772">
        <v>47.68</v>
      </c>
      <c r="L3772">
        <v>1.36</v>
      </c>
      <c r="M3772" t="s">
        <v>2717</v>
      </c>
      <c r="N3772">
        <v>20811</v>
      </c>
      <c r="R3772">
        <v>65.319999999999993</v>
      </c>
      <c r="S3772">
        <v>0.55000000000000004</v>
      </c>
      <c r="AA3772">
        <v>-0.93</v>
      </c>
      <c r="AB3772" t="s">
        <v>969</v>
      </c>
      <c r="AC3772" t="s">
        <v>8157</v>
      </c>
      <c r="AE3772" t="s">
        <v>15059</v>
      </c>
      <c r="AF3772" t="s">
        <v>1529</v>
      </c>
      <c r="AG3772" t="s">
        <v>30594</v>
      </c>
      <c r="AH3772" t="s">
        <v>3507</v>
      </c>
      <c r="AJ3772" t="s">
        <v>30595</v>
      </c>
      <c r="AK3772" t="s">
        <v>12974</v>
      </c>
      <c r="AL3772">
        <v>3.85</v>
      </c>
      <c r="AM3772">
        <v>3.82</v>
      </c>
      <c r="AN3772">
        <v>0.01</v>
      </c>
      <c r="AO3772" t="s">
        <v>13936</v>
      </c>
      <c r="AP3772" t="s">
        <v>30596</v>
      </c>
      <c r="AQ3772" t="s">
        <v>30597</v>
      </c>
      <c r="AR3772" t="s">
        <v>5551</v>
      </c>
      <c r="AS3772" t="s">
        <v>684</v>
      </c>
      <c r="AT3772" t="s">
        <v>10747</v>
      </c>
      <c r="AU3772" t="s">
        <v>21989</v>
      </c>
      <c r="AV3772" t="s">
        <v>1357</v>
      </c>
      <c r="AW3772" t="s">
        <v>8221</v>
      </c>
      <c r="AX3772" t="s">
        <v>4172</v>
      </c>
      <c r="AY3772" t="s">
        <v>6554</v>
      </c>
      <c r="AZ3772" t="s">
        <v>283</v>
      </c>
      <c r="BB3772">
        <v>157.31</v>
      </c>
      <c r="BC3772">
        <v>0.47</v>
      </c>
      <c r="BD3772">
        <v>1.36</v>
      </c>
      <c r="BE3772">
        <v>1.37</v>
      </c>
      <c r="BF3772">
        <v>1.34</v>
      </c>
      <c r="BG3772" t="s">
        <v>30598</v>
      </c>
      <c r="BH3772" t="s">
        <v>19004</v>
      </c>
      <c r="BI3772" t="s">
        <v>283</v>
      </c>
      <c r="BJ3772" t="s">
        <v>101</v>
      </c>
      <c r="BK3772" t="s">
        <v>15097</v>
      </c>
      <c r="BL3772" t="s">
        <v>26079</v>
      </c>
      <c r="BM3772" t="s">
        <v>3523</v>
      </c>
      <c r="BN3772" t="s">
        <v>27621</v>
      </c>
    </row>
    <row r="3773" spans="1:66" x14ac:dyDescent="0.25">
      <c r="A3773" t="str">
        <f>HYPERLINK("https://elite.finviz.com/quote.ashx?t=MNR&amp;ty=c&amp;p=d&amp;b=1", "MNR")</f>
        <v>MNR</v>
      </c>
      <c r="B3773">
        <v>4</v>
      </c>
      <c r="C3773">
        <v>105.92</v>
      </c>
      <c r="D3773">
        <v>43.36</v>
      </c>
      <c r="E3773" t="s">
        <v>30599</v>
      </c>
      <c r="F3773" t="s">
        <v>107</v>
      </c>
      <c r="G3773" t="s">
        <v>1048</v>
      </c>
      <c r="H3773" t="s">
        <v>1049</v>
      </c>
      <c r="I3773" t="s">
        <v>70</v>
      </c>
      <c r="J3773" t="s">
        <v>71</v>
      </c>
      <c r="K3773">
        <v>1582.57</v>
      </c>
      <c r="L3773">
        <v>13.37</v>
      </c>
      <c r="M3773" t="s">
        <v>4267</v>
      </c>
      <c r="N3773">
        <v>66787</v>
      </c>
      <c r="O3773">
        <v>6.9</v>
      </c>
      <c r="P3773">
        <v>9.99</v>
      </c>
      <c r="R3773">
        <v>1.62</v>
      </c>
      <c r="S3773">
        <v>1.1499999999999999</v>
      </c>
      <c r="T3773" t="s">
        <v>928</v>
      </c>
      <c r="U3773">
        <v>2.27</v>
      </c>
      <c r="V3773" t="s">
        <v>5037</v>
      </c>
      <c r="Z3773" t="s">
        <v>30600</v>
      </c>
      <c r="AA3773">
        <v>1.94</v>
      </c>
      <c r="AB3773" t="s">
        <v>17660</v>
      </c>
      <c r="AD3773" t="s">
        <v>503</v>
      </c>
      <c r="AE3773" t="s">
        <v>7976</v>
      </c>
      <c r="AF3773" t="s">
        <v>8634</v>
      </c>
      <c r="AH3773" t="s">
        <v>11628</v>
      </c>
      <c r="AI3773" t="s">
        <v>9517</v>
      </c>
      <c r="AJ3773" t="s">
        <v>4623</v>
      </c>
      <c r="AK3773" t="s">
        <v>19673</v>
      </c>
      <c r="AL3773">
        <v>0.79</v>
      </c>
      <c r="AM3773">
        <v>0.69</v>
      </c>
      <c r="AN3773">
        <v>0.42</v>
      </c>
      <c r="AO3773" t="s">
        <v>2166</v>
      </c>
      <c r="AP3773" t="s">
        <v>2966</v>
      </c>
      <c r="AQ3773" t="s">
        <v>10865</v>
      </c>
      <c r="AR3773" t="s">
        <v>5780</v>
      </c>
      <c r="AS3773" t="s">
        <v>3208</v>
      </c>
      <c r="AT3773" t="s">
        <v>2372</v>
      </c>
      <c r="AU3773" t="s">
        <v>3509</v>
      </c>
      <c r="AV3773" t="s">
        <v>2396</v>
      </c>
      <c r="AW3773" t="s">
        <v>3307</v>
      </c>
      <c r="AX3773" t="s">
        <v>9130</v>
      </c>
      <c r="AY3773" t="s">
        <v>15455</v>
      </c>
      <c r="AZ3773" t="s">
        <v>4416</v>
      </c>
      <c r="BA3773">
        <v>1</v>
      </c>
      <c r="BB3773">
        <v>284.08</v>
      </c>
      <c r="BC3773">
        <v>0.84</v>
      </c>
      <c r="BD3773">
        <v>13.13</v>
      </c>
      <c r="BE3773">
        <v>13.44</v>
      </c>
      <c r="BF3773">
        <v>13.23</v>
      </c>
      <c r="BG3773" t="s">
        <v>30601</v>
      </c>
      <c r="BH3773" t="s">
        <v>17884</v>
      </c>
      <c r="BI3773" t="s">
        <v>4416</v>
      </c>
      <c r="BJ3773" t="s">
        <v>101</v>
      </c>
      <c r="BK3773" t="s">
        <v>5138</v>
      </c>
      <c r="BL3773" t="s">
        <v>6012</v>
      </c>
      <c r="BM3773" t="s">
        <v>4820</v>
      </c>
      <c r="BN3773" t="s">
        <v>27621</v>
      </c>
    </row>
    <row r="3774" spans="1:66" x14ac:dyDescent="0.25">
      <c r="A3774" t="str">
        <f>HYPERLINK("https://elite.finviz.com/quote.ashx?t=BRR&amp;ty=c&amp;p=d&amp;b=1", "BRR")</f>
        <v>BRR</v>
      </c>
      <c r="B3774">
        <v>4</v>
      </c>
      <c r="C3774">
        <v>105.92</v>
      </c>
      <c r="D3774">
        <v>43.39</v>
      </c>
      <c r="E3774" t="s">
        <v>30602</v>
      </c>
      <c r="F3774" t="s">
        <v>107</v>
      </c>
      <c r="G3774" t="s">
        <v>550</v>
      </c>
      <c r="H3774" t="s">
        <v>2120</v>
      </c>
      <c r="I3774" t="s">
        <v>70</v>
      </c>
      <c r="J3774" t="s">
        <v>321</v>
      </c>
      <c r="K3774">
        <v>344.14</v>
      </c>
      <c r="L3774">
        <v>10.11</v>
      </c>
      <c r="M3774" t="s">
        <v>2638</v>
      </c>
      <c r="N3774">
        <v>79424</v>
      </c>
      <c r="S3774">
        <v>1.37</v>
      </c>
      <c r="AJ3774" t="s">
        <v>164</v>
      </c>
      <c r="AK3774" t="s">
        <v>5862</v>
      </c>
      <c r="AL3774">
        <v>1.85</v>
      </c>
      <c r="AM3774">
        <v>1.85</v>
      </c>
      <c r="AN3774">
        <v>0</v>
      </c>
      <c r="AR3774" t="s">
        <v>4901</v>
      </c>
      <c r="AS3774" t="s">
        <v>149</v>
      </c>
      <c r="AT3774" t="s">
        <v>3890</v>
      </c>
      <c r="AU3774" t="s">
        <v>3634</v>
      </c>
      <c r="AV3774" t="s">
        <v>706</v>
      </c>
      <c r="AW3774" t="s">
        <v>7532</v>
      </c>
      <c r="AX3774" t="s">
        <v>1763</v>
      </c>
      <c r="AY3774" t="s">
        <v>12310</v>
      </c>
      <c r="AZ3774" t="s">
        <v>1763</v>
      </c>
      <c r="BB3774">
        <v>396.01</v>
      </c>
      <c r="BC3774">
        <v>0.71</v>
      </c>
      <c r="BD3774">
        <v>10.119999999999999</v>
      </c>
      <c r="BE3774">
        <v>10.130000000000001</v>
      </c>
      <c r="BF3774">
        <v>10.1</v>
      </c>
      <c r="BG3774" t="s">
        <v>30603</v>
      </c>
      <c r="BH3774" t="s">
        <v>12310</v>
      </c>
      <c r="BI3774" t="s">
        <v>1763</v>
      </c>
      <c r="BJ3774" t="s">
        <v>101</v>
      </c>
      <c r="BK3774" t="s">
        <v>1258</v>
      </c>
      <c r="BN3774" t="s">
        <v>27621</v>
      </c>
    </row>
    <row r="3775" spans="1:66" x14ac:dyDescent="0.25">
      <c r="A3775" t="str">
        <f>HYPERLINK("https://elite.finviz.com/quote.ashx?t=FWRD&amp;ty=c&amp;p=d&amp;b=1", "FWRD")</f>
        <v>FWRD</v>
      </c>
      <c r="B3775">
        <v>4</v>
      </c>
      <c r="C3775">
        <v>105.92</v>
      </c>
      <c r="D3775">
        <v>43.43</v>
      </c>
      <c r="E3775" t="s">
        <v>30604</v>
      </c>
      <c r="F3775" t="s">
        <v>67</v>
      </c>
      <c r="G3775" t="s">
        <v>260</v>
      </c>
      <c r="H3775" t="s">
        <v>7853</v>
      </c>
      <c r="I3775" t="s">
        <v>70</v>
      </c>
      <c r="J3775" t="s">
        <v>321</v>
      </c>
      <c r="K3775">
        <v>841.82</v>
      </c>
      <c r="L3775">
        <v>27.34</v>
      </c>
      <c r="M3775" t="s">
        <v>4436</v>
      </c>
      <c r="N3775">
        <v>86276</v>
      </c>
      <c r="P3775">
        <v>241.23</v>
      </c>
      <c r="R3775">
        <v>0.33</v>
      </c>
      <c r="S3775">
        <v>5.51</v>
      </c>
      <c r="V3775" t="s">
        <v>30605</v>
      </c>
      <c r="AA3775">
        <v>-5.95</v>
      </c>
      <c r="AE3775" t="s">
        <v>3767</v>
      </c>
      <c r="AF3775" t="s">
        <v>3789</v>
      </c>
      <c r="AG3775" t="s">
        <v>1224</v>
      </c>
      <c r="AH3775" t="s">
        <v>7689</v>
      </c>
      <c r="AI3775" t="s">
        <v>30606</v>
      </c>
      <c r="AJ3775" t="s">
        <v>164</v>
      </c>
      <c r="AK3775" t="s">
        <v>25935</v>
      </c>
      <c r="AL3775">
        <v>1.2</v>
      </c>
      <c r="AM3775">
        <v>1.2</v>
      </c>
      <c r="AN3775">
        <v>14.25</v>
      </c>
      <c r="AO3775" t="s">
        <v>2640</v>
      </c>
      <c r="AP3775" t="s">
        <v>2640</v>
      </c>
      <c r="AQ3775" t="s">
        <v>10431</v>
      </c>
      <c r="AR3775" t="s">
        <v>4133</v>
      </c>
      <c r="AS3775" t="s">
        <v>1872</v>
      </c>
      <c r="AT3775" t="s">
        <v>2498</v>
      </c>
      <c r="AU3775" t="s">
        <v>15150</v>
      </c>
      <c r="AV3775" t="s">
        <v>9204</v>
      </c>
      <c r="AW3775" t="s">
        <v>15702</v>
      </c>
      <c r="AX3775" t="s">
        <v>238</v>
      </c>
      <c r="AY3775" t="s">
        <v>20917</v>
      </c>
      <c r="AZ3775" t="s">
        <v>23545</v>
      </c>
      <c r="BA3775">
        <v>1.86</v>
      </c>
      <c r="BB3775">
        <v>587.83000000000004</v>
      </c>
      <c r="BC3775">
        <v>0.52</v>
      </c>
      <c r="BD3775">
        <v>27.64</v>
      </c>
      <c r="BE3775">
        <v>28.16</v>
      </c>
      <c r="BF3775">
        <v>27.29</v>
      </c>
      <c r="BG3775" t="s">
        <v>30607</v>
      </c>
      <c r="BH3775" t="s">
        <v>19264</v>
      </c>
      <c r="BI3775" t="s">
        <v>30608</v>
      </c>
      <c r="BJ3775" t="s">
        <v>101</v>
      </c>
      <c r="BK3775" t="s">
        <v>9159</v>
      </c>
      <c r="BL3775" t="s">
        <v>15487</v>
      </c>
      <c r="BM3775" t="s">
        <v>10015</v>
      </c>
      <c r="BN3775" t="s">
        <v>27621</v>
      </c>
    </row>
    <row r="3776" spans="1:66" x14ac:dyDescent="0.25">
      <c r="A3776" t="str">
        <f>HYPERLINK("https://elite.finviz.com/quote.ashx?t=CVEO&amp;ty=c&amp;p=d&amp;b=1", "CVEO")</f>
        <v>CVEO</v>
      </c>
      <c r="B3776">
        <v>4</v>
      </c>
      <c r="C3776">
        <v>105.92</v>
      </c>
      <c r="D3776">
        <v>43.43</v>
      </c>
      <c r="E3776" t="s">
        <v>30609</v>
      </c>
      <c r="F3776" t="s">
        <v>107</v>
      </c>
      <c r="G3776" t="s">
        <v>813</v>
      </c>
      <c r="H3776" t="s">
        <v>16375</v>
      </c>
      <c r="I3776" t="s">
        <v>70</v>
      </c>
      <c r="J3776" t="s">
        <v>71</v>
      </c>
      <c r="K3776">
        <v>284.24</v>
      </c>
      <c r="L3776">
        <v>22.65</v>
      </c>
      <c r="M3776" t="s">
        <v>2646</v>
      </c>
      <c r="N3776">
        <v>3059</v>
      </c>
      <c r="P3776">
        <v>77.2</v>
      </c>
      <c r="R3776">
        <v>0.45</v>
      </c>
      <c r="S3776">
        <v>1.37</v>
      </c>
      <c r="T3776" t="s">
        <v>2808</v>
      </c>
      <c r="U3776">
        <v>0.5</v>
      </c>
      <c r="V3776" t="s">
        <v>30610</v>
      </c>
      <c r="W3776" t="s">
        <v>1647</v>
      </c>
      <c r="AA3776">
        <v>-2.4300000000000002</v>
      </c>
      <c r="AB3776" t="s">
        <v>30611</v>
      </c>
      <c r="AC3776" t="s">
        <v>10109</v>
      </c>
      <c r="AE3776" t="s">
        <v>8416</v>
      </c>
      <c r="AF3776" t="s">
        <v>2523</v>
      </c>
      <c r="AG3776" t="s">
        <v>8966</v>
      </c>
      <c r="AH3776" t="s">
        <v>13907</v>
      </c>
      <c r="AI3776" t="s">
        <v>30612</v>
      </c>
      <c r="AJ3776" t="s">
        <v>164</v>
      </c>
      <c r="AK3776" t="s">
        <v>4574</v>
      </c>
      <c r="AL3776">
        <v>1.51</v>
      </c>
      <c r="AM3776">
        <v>1.45</v>
      </c>
      <c r="AN3776">
        <v>0.86</v>
      </c>
      <c r="AO3776" t="s">
        <v>10073</v>
      </c>
      <c r="AP3776" t="s">
        <v>1864</v>
      </c>
      <c r="AQ3776" t="s">
        <v>7621</v>
      </c>
      <c r="AR3776" t="s">
        <v>2868</v>
      </c>
      <c r="AS3776" t="s">
        <v>5420</v>
      </c>
      <c r="AT3776" t="s">
        <v>6265</v>
      </c>
      <c r="AU3776" t="s">
        <v>1000</v>
      </c>
      <c r="AV3776" t="s">
        <v>4237</v>
      </c>
      <c r="AW3776" t="s">
        <v>7190</v>
      </c>
      <c r="AX3776" t="s">
        <v>5969</v>
      </c>
      <c r="AY3776" t="s">
        <v>4389</v>
      </c>
      <c r="AZ3776" t="s">
        <v>8280</v>
      </c>
      <c r="BA3776">
        <v>1</v>
      </c>
      <c r="BB3776">
        <v>68.44</v>
      </c>
      <c r="BC3776">
        <v>0.16</v>
      </c>
      <c r="BD3776">
        <v>22.58</v>
      </c>
      <c r="BE3776">
        <v>22.83</v>
      </c>
      <c r="BF3776">
        <v>22.64</v>
      </c>
      <c r="BG3776" t="s">
        <v>30613</v>
      </c>
      <c r="BH3776" t="s">
        <v>25448</v>
      </c>
      <c r="BI3776" t="s">
        <v>30614</v>
      </c>
      <c r="BJ3776" t="s">
        <v>101</v>
      </c>
      <c r="BK3776" t="s">
        <v>1358</v>
      </c>
      <c r="BL3776" t="s">
        <v>600</v>
      </c>
      <c r="BM3776" t="s">
        <v>11182</v>
      </c>
      <c r="BN3776" t="s">
        <v>27621</v>
      </c>
    </row>
    <row r="3777" spans="1:66" x14ac:dyDescent="0.25">
      <c r="A3777" t="str">
        <f>HYPERLINK("https://elite.finviz.com/quote.ashx?t=NREF&amp;ty=c&amp;p=d&amp;b=1", "NREF")</f>
        <v>NREF</v>
      </c>
      <c r="B3777">
        <v>4</v>
      </c>
      <c r="C3777">
        <v>105.92</v>
      </c>
      <c r="D3777">
        <v>43.47</v>
      </c>
      <c r="E3777" t="s">
        <v>30615</v>
      </c>
      <c r="F3777" t="s">
        <v>67</v>
      </c>
      <c r="G3777" t="s">
        <v>68</v>
      </c>
      <c r="H3777" t="s">
        <v>5566</v>
      </c>
      <c r="I3777" t="s">
        <v>70</v>
      </c>
      <c r="J3777" t="s">
        <v>71</v>
      </c>
      <c r="K3777">
        <v>252.1</v>
      </c>
      <c r="L3777">
        <v>14.23</v>
      </c>
      <c r="M3777" t="s">
        <v>1763</v>
      </c>
      <c r="N3777">
        <v>7219</v>
      </c>
      <c r="O3777">
        <v>5.79</v>
      </c>
      <c r="P3777">
        <v>7.28</v>
      </c>
      <c r="R3777">
        <v>1.91</v>
      </c>
      <c r="S3777">
        <v>0.73</v>
      </c>
      <c r="T3777" t="s">
        <v>2626</v>
      </c>
      <c r="U3777">
        <v>1.95</v>
      </c>
      <c r="V3777" t="s">
        <v>3833</v>
      </c>
      <c r="W3777" t="s">
        <v>164</v>
      </c>
      <c r="X3777" t="s">
        <v>3257</v>
      </c>
      <c r="Z3777" t="s">
        <v>30616</v>
      </c>
      <c r="AA3777">
        <v>2.46</v>
      </c>
      <c r="AB3777" t="s">
        <v>6243</v>
      </c>
      <c r="AC3777" t="s">
        <v>15002</v>
      </c>
      <c r="AE3777" t="s">
        <v>2306</v>
      </c>
      <c r="AF3777" t="s">
        <v>3469</v>
      </c>
      <c r="AG3777" t="s">
        <v>4594</v>
      </c>
      <c r="AH3777" t="s">
        <v>5558</v>
      </c>
      <c r="AI3777" t="s">
        <v>2101</v>
      </c>
      <c r="AJ3777" t="s">
        <v>1324</v>
      </c>
      <c r="AK3777" t="s">
        <v>5317</v>
      </c>
      <c r="AL3777">
        <v>0.22</v>
      </c>
      <c r="AM3777">
        <v>0.22</v>
      </c>
      <c r="AN3777">
        <v>13.53</v>
      </c>
      <c r="AO3777" t="s">
        <v>24498</v>
      </c>
      <c r="AP3777" t="s">
        <v>30617</v>
      </c>
      <c r="AQ3777" t="s">
        <v>19204</v>
      </c>
      <c r="AR3777" t="s">
        <v>4800</v>
      </c>
      <c r="AS3777" t="s">
        <v>4710</v>
      </c>
      <c r="AT3777" t="s">
        <v>9098</v>
      </c>
      <c r="AU3777" t="s">
        <v>8293</v>
      </c>
      <c r="AV3777" t="s">
        <v>4430</v>
      </c>
      <c r="AW3777" t="s">
        <v>6227</v>
      </c>
      <c r="AX3777" t="s">
        <v>3746</v>
      </c>
      <c r="AY3777" t="s">
        <v>186</v>
      </c>
      <c r="AZ3777" t="s">
        <v>3272</v>
      </c>
      <c r="BA3777">
        <v>3</v>
      </c>
      <c r="BB3777">
        <v>49.79</v>
      </c>
      <c r="BC3777">
        <v>0.51</v>
      </c>
      <c r="BD3777">
        <v>14.14</v>
      </c>
      <c r="BE3777">
        <v>14.33</v>
      </c>
      <c r="BF3777">
        <v>14.19</v>
      </c>
      <c r="BG3777" t="s">
        <v>30618</v>
      </c>
      <c r="BH3777" t="s">
        <v>8288</v>
      </c>
      <c r="BI3777" t="s">
        <v>19121</v>
      </c>
      <c r="BJ3777" t="s">
        <v>101</v>
      </c>
      <c r="BK3777" t="s">
        <v>6719</v>
      </c>
      <c r="BL3777" t="s">
        <v>5211</v>
      </c>
      <c r="BM3777" t="s">
        <v>4410</v>
      </c>
      <c r="BN3777" t="s">
        <v>27621</v>
      </c>
    </row>
    <row r="3778" spans="1:66" x14ac:dyDescent="0.25">
      <c r="A3778" t="str">
        <f>HYPERLINK("https://elite.finviz.com/quote.ashx?t=HERZ&amp;ty=c&amp;p=d&amp;b=1", "HERZ")</f>
        <v>HERZ</v>
      </c>
      <c r="B3778">
        <v>4</v>
      </c>
      <c r="C3778">
        <v>105.92</v>
      </c>
      <c r="D3778">
        <v>43.47</v>
      </c>
      <c r="E3778" t="s">
        <v>30619</v>
      </c>
      <c r="F3778" t="s">
        <v>107</v>
      </c>
      <c r="G3778" t="s">
        <v>550</v>
      </c>
      <c r="H3778" t="s">
        <v>2597</v>
      </c>
      <c r="I3778" t="s">
        <v>70</v>
      </c>
      <c r="J3778" t="s">
        <v>321</v>
      </c>
      <c r="K3778">
        <v>40.409999999999997</v>
      </c>
      <c r="L3778">
        <v>2.4</v>
      </c>
      <c r="M3778" t="s">
        <v>164</v>
      </c>
      <c r="N3778">
        <v>4190</v>
      </c>
      <c r="O3778">
        <v>34.29</v>
      </c>
      <c r="R3778">
        <v>35.74</v>
      </c>
      <c r="S3778">
        <v>0.91</v>
      </c>
      <c r="T3778" t="s">
        <v>7913</v>
      </c>
      <c r="U3778">
        <v>0.46</v>
      </c>
      <c r="W3778" t="s">
        <v>24378</v>
      </c>
      <c r="X3778" t="s">
        <v>2336</v>
      </c>
      <c r="Y3778" t="s">
        <v>3950</v>
      </c>
      <c r="Z3778" t="s">
        <v>30620</v>
      </c>
      <c r="AA3778">
        <v>7.0000000000000007E-2</v>
      </c>
      <c r="AH3778" t="s">
        <v>422</v>
      </c>
      <c r="AJ3778" t="s">
        <v>80</v>
      </c>
      <c r="AK3778" t="s">
        <v>20866</v>
      </c>
      <c r="AR3778" t="s">
        <v>714</v>
      </c>
      <c r="AS3778" t="s">
        <v>3173</v>
      </c>
      <c r="AT3778" t="s">
        <v>9498</v>
      </c>
      <c r="AU3778" t="s">
        <v>3940</v>
      </c>
      <c r="AV3778" t="s">
        <v>900</v>
      </c>
      <c r="AW3778" t="s">
        <v>5573</v>
      </c>
      <c r="AX3778" t="s">
        <v>1950</v>
      </c>
      <c r="AY3778" t="s">
        <v>12212</v>
      </c>
      <c r="AZ3778" t="s">
        <v>7436</v>
      </c>
      <c r="BB3778">
        <v>97.3</v>
      </c>
      <c r="BC3778">
        <v>0.15</v>
      </c>
      <c r="BD3778">
        <v>2.4</v>
      </c>
      <c r="BE3778">
        <v>2.44</v>
      </c>
      <c r="BF3778">
        <v>2.39</v>
      </c>
      <c r="BG3778" t="s">
        <v>30621</v>
      </c>
      <c r="BH3778" t="s">
        <v>10465</v>
      </c>
      <c r="BI3778" t="s">
        <v>30622</v>
      </c>
      <c r="BJ3778" t="s">
        <v>101</v>
      </c>
      <c r="BK3778" t="s">
        <v>7532</v>
      </c>
      <c r="BL3778" t="s">
        <v>8831</v>
      </c>
      <c r="BM3778" t="s">
        <v>1950</v>
      </c>
      <c r="BN3778" t="s">
        <v>27621</v>
      </c>
    </row>
    <row r="3779" spans="1:66" x14ac:dyDescent="0.25">
      <c r="A3779" t="str">
        <f>HYPERLINK("https://elite.finviz.com/quote.ashx?t=CBSH&amp;ty=c&amp;p=d&amp;b=1", "CBSH")</f>
        <v>CBSH</v>
      </c>
      <c r="B3779">
        <v>4</v>
      </c>
      <c r="C3779">
        <v>105.92</v>
      </c>
      <c r="D3779">
        <v>43.51</v>
      </c>
      <c r="E3779" t="s">
        <v>30623</v>
      </c>
      <c r="F3779" t="s">
        <v>107</v>
      </c>
      <c r="G3779" t="s">
        <v>550</v>
      </c>
      <c r="H3779" t="s">
        <v>697</v>
      </c>
      <c r="I3779" t="s">
        <v>70</v>
      </c>
      <c r="J3779" t="s">
        <v>321</v>
      </c>
      <c r="K3779">
        <v>7924.39</v>
      </c>
      <c r="L3779">
        <v>59.39</v>
      </c>
      <c r="M3779" t="s">
        <v>1554</v>
      </c>
      <c r="N3779">
        <v>121214</v>
      </c>
      <c r="O3779">
        <v>14.33</v>
      </c>
      <c r="P3779">
        <v>13.6</v>
      </c>
      <c r="Q3779">
        <v>1.62</v>
      </c>
      <c r="R3779">
        <v>3.77</v>
      </c>
      <c r="S3779">
        <v>2.1800000000000002</v>
      </c>
      <c r="T3779" t="s">
        <v>4267</v>
      </c>
      <c r="U3779">
        <v>1.07</v>
      </c>
      <c r="V3779" t="s">
        <v>4548</v>
      </c>
      <c r="W3779" t="s">
        <v>177</v>
      </c>
      <c r="X3779" t="s">
        <v>3982</v>
      </c>
      <c r="Y3779" t="s">
        <v>7685</v>
      </c>
      <c r="Z3779" t="s">
        <v>1669</v>
      </c>
      <c r="AA3779">
        <v>4.1399999999999997</v>
      </c>
      <c r="AB3779" t="s">
        <v>6478</v>
      </c>
      <c r="AC3779" t="s">
        <v>8593</v>
      </c>
      <c r="AD3779" t="s">
        <v>716</v>
      </c>
      <c r="AE3779" t="s">
        <v>7033</v>
      </c>
      <c r="AF3779" t="s">
        <v>10137</v>
      </c>
      <c r="AG3779" t="s">
        <v>262</v>
      </c>
      <c r="AH3779" t="s">
        <v>15801</v>
      </c>
      <c r="AI3779" t="s">
        <v>5212</v>
      </c>
      <c r="AJ3779" t="s">
        <v>2745</v>
      </c>
      <c r="AK3779" t="s">
        <v>8463</v>
      </c>
      <c r="AL3779">
        <v>0.42</v>
      </c>
      <c r="AN3779">
        <v>0.72</v>
      </c>
      <c r="AP3779" t="s">
        <v>6304</v>
      </c>
      <c r="AQ3779" t="s">
        <v>2340</v>
      </c>
      <c r="AR3779" t="s">
        <v>2082</v>
      </c>
      <c r="AS3779" t="s">
        <v>2201</v>
      </c>
      <c r="AT3779" t="s">
        <v>7568</v>
      </c>
      <c r="AU3779" t="s">
        <v>9854</v>
      </c>
      <c r="AV3779" t="s">
        <v>9711</v>
      </c>
      <c r="AW3779" t="s">
        <v>7587</v>
      </c>
      <c r="AX3779" t="s">
        <v>1776</v>
      </c>
      <c r="AY3779" t="s">
        <v>9320</v>
      </c>
      <c r="AZ3779" t="s">
        <v>5837</v>
      </c>
      <c r="BA3779">
        <v>3.22</v>
      </c>
      <c r="BB3779">
        <v>848.85</v>
      </c>
      <c r="BC3779">
        <v>0.5</v>
      </c>
      <c r="BD3779">
        <v>59.49</v>
      </c>
      <c r="BE3779">
        <v>60</v>
      </c>
      <c r="BF3779">
        <v>59.28</v>
      </c>
      <c r="BG3779" t="s">
        <v>30624</v>
      </c>
      <c r="BH3779" t="s">
        <v>9320</v>
      </c>
      <c r="BI3779" t="s">
        <v>30625</v>
      </c>
      <c r="BJ3779" t="s">
        <v>101</v>
      </c>
      <c r="BK3779" t="s">
        <v>13232</v>
      </c>
      <c r="BL3779" t="s">
        <v>4430</v>
      </c>
      <c r="BM3779" t="s">
        <v>4976</v>
      </c>
      <c r="BN3779" t="s">
        <v>27621</v>
      </c>
    </row>
    <row r="3780" spans="1:66" x14ac:dyDescent="0.25">
      <c r="A3780" t="str">
        <f>HYPERLINK("https://elite.finviz.com/quote.ashx?t=MOFG&amp;ty=c&amp;p=d&amp;b=1", "MOFG")</f>
        <v>MOFG</v>
      </c>
      <c r="B3780">
        <v>4</v>
      </c>
      <c r="C3780">
        <v>105.92</v>
      </c>
      <c r="D3780">
        <v>43.51</v>
      </c>
      <c r="E3780" t="s">
        <v>30626</v>
      </c>
      <c r="F3780" t="s">
        <v>67</v>
      </c>
      <c r="G3780" t="s">
        <v>550</v>
      </c>
      <c r="H3780" t="s">
        <v>697</v>
      </c>
      <c r="I3780" t="s">
        <v>70</v>
      </c>
      <c r="J3780" t="s">
        <v>321</v>
      </c>
      <c r="K3780">
        <v>592.41</v>
      </c>
      <c r="L3780">
        <v>28.61</v>
      </c>
      <c r="M3780" t="s">
        <v>6871</v>
      </c>
      <c r="N3780">
        <v>11465</v>
      </c>
      <c r="P3780">
        <v>7.97</v>
      </c>
      <c r="R3780">
        <v>2.9</v>
      </c>
      <c r="S3780">
        <v>1.01</v>
      </c>
      <c r="T3780" t="s">
        <v>4569</v>
      </c>
      <c r="U3780">
        <v>0.97</v>
      </c>
      <c r="V3780" t="s">
        <v>2187</v>
      </c>
      <c r="W3780" t="s">
        <v>164</v>
      </c>
      <c r="X3780" t="s">
        <v>1776</v>
      </c>
      <c r="Y3780" t="s">
        <v>9130</v>
      </c>
      <c r="AA3780">
        <v>-4.0599999999999996</v>
      </c>
      <c r="AE3780" t="s">
        <v>24688</v>
      </c>
      <c r="AF3780" t="s">
        <v>6838</v>
      </c>
      <c r="AG3780" t="s">
        <v>241</v>
      </c>
      <c r="AH3780" t="s">
        <v>15013</v>
      </c>
      <c r="AI3780" t="s">
        <v>6542</v>
      </c>
      <c r="AJ3780" t="s">
        <v>6732</v>
      </c>
      <c r="AK3780" t="s">
        <v>29482</v>
      </c>
      <c r="AL3780">
        <v>0.11</v>
      </c>
      <c r="AN3780">
        <v>0.2</v>
      </c>
      <c r="AP3780" t="s">
        <v>30627</v>
      </c>
      <c r="AQ3780" t="s">
        <v>16914</v>
      </c>
      <c r="AR3780" t="s">
        <v>3856</v>
      </c>
      <c r="AS3780" t="s">
        <v>89</v>
      </c>
      <c r="AT3780" t="s">
        <v>4531</v>
      </c>
      <c r="AU3780" t="s">
        <v>2007</v>
      </c>
      <c r="AV3780" t="s">
        <v>6002</v>
      </c>
      <c r="AW3780" t="s">
        <v>184</v>
      </c>
      <c r="AX3780" t="s">
        <v>265</v>
      </c>
      <c r="AY3780" t="s">
        <v>11328</v>
      </c>
      <c r="AZ3780" t="s">
        <v>5012</v>
      </c>
      <c r="BA3780">
        <v>1.8</v>
      </c>
      <c r="BB3780">
        <v>125.02</v>
      </c>
      <c r="BC3780">
        <v>0.32</v>
      </c>
      <c r="BD3780">
        <v>28.7</v>
      </c>
      <c r="BE3780">
        <v>28.91</v>
      </c>
      <c r="BF3780">
        <v>28.55</v>
      </c>
      <c r="BG3780" t="s">
        <v>30628</v>
      </c>
      <c r="BH3780" t="s">
        <v>30629</v>
      </c>
      <c r="BI3780" t="s">
        <v>30630</v>
      </c>
      <c r="BJ3780" t="s">
        <v>101</v>
      </c>
      <c r="BK3780" t="s">
        <v>8374</v>
      </c>
      <c r="BL3780" t="s">
        <v>2814</v>
      </c>
      <c r="BM3780" t="s">
        <v>6719</v>
      </c>
      <c r="BN3780" t="s">
        <v>27621</v>
      </c>
    </row>
    <row r="3781" spans="1:66" x14ac:dyDescent="0.25">
      <c r="A3781" t="str">
        <f>HYPERLINK("https://elite.finviz.com/quote.ashx?t=CBIO&amp;ty=c&amp;p=d&amp;b=1", "CBIO")</f>
        <v>CBIO</v>
      </c>
      <c r="B3781">
        <v>4</v>
      </c>
      <c r="C3781">
        <v>105.92</v>
      </c>
      <c r="D3781">
        <v>43.52</v>
      </c>
      <c r="E3781" t="s">
        <v>30631</v>
      </c>
      <c r="F3781" t="s">
        <v>107</v>
      </c>
      <c r="G3781" t="s">
        <v>428</v>
      </c>
      <c r="H3781" t="s">
        <v>429</v>
      </c>
      <c r="I3781" t="s">
        <v>70</v>
      </c>
      <c r="J3781" t="s">
        <v>321</v>
      </c>
      <c r="K3781">
        <v>174.41</v>
      </c>
      <c r="L3781">
        <v>12.55</v>
      </c>
      <c r="M3781" t="s">
        <v>5166</v>
      </c>
      <c r="N3781">
        <v>15811</v>
      </c>
      <c r="S3781">
        <v>1288.9100000000001</v>
      </c>
      <c r="AA3781">
        <v>-35.72</v>
      </c>
      <c r="AB3781" t="s">
        <v>4075</v>
      </c>
      <c r="AC3781" t="s">
        <v>2018</v>
      </c>
      <c r="AD3781" t="s">
        <v>488</v>
      </c>
      <c r="AE3781" t="s">
        <v>579</v>
      </c>
      <c r="AI3781" t="s">
        <v>30632</v>
      </c>
      <c r="AJ3781" t="s">
        <v>164</v>
      </c>
      <c r="AK3781" t="s">
        <v>16171</v>
      </c>
      <c r="AL3781">
        <v>9.2100000000000009</v>
      </c>
      <c r="AM3781">
        <v>9.2100000000000009</v>
      </c>
      <c r="AN3781">
        <v>0.01</v>
      </c>
      <c r="AR3781" t="s">
        <v>2429</v>
      </c>
      <c r="AS3781" t="s">
        <v>5944</v>
      </c>
      <c r="AT3781" t="s">
        <v>11896</v>
      </c>
      <c r="AU3781" t="s">
        <v>2969</v>
      </c>
      <c r="AV3781" t="s">
        <v>26355</v>
      </c>
      <c r="AW3781" t="s">
        <v>10349</v>
      </c>
      <c r="AX3781" t="s">
        <v>146</v>
      </c>
      <c r="AY3781" t="s">
        <v>28609</v>
      </c>
      <c r="AZ3781" t="s">
        <v>146</v>
      </c>
      <c r="BA3781">
        <v>1</v>
      </c>
      <c r="BB3781">
        <v>122.53</v>
      </c>
      <c r="BC3781">
        <v>0.45</v>
      </c>
      <c r="BD3781">
        <v>12.41</v>
      </c>
      <c r="BE3781">
        <v>12.65</v>
      </c>
      <c r="BF3781">
        <v>12.17</v>
      </c>
      <c r="BG3781" t="s">
        <v>30633</v>
      </c>
      <c r="BH3781" t="s">
        <v>22979</v>
      </c>
      <c r="BI3781" t="s">
        <v>146</v>
      </c>
      <c r="BJ3781" t="s">
        <v>101</v>
      </c>
      <c r="BK3781" t="s">
        <v>5330</v>
      </c>
      <c r="BL3781" t="s">
        <v>30634</v>
      </c>
      <c r="BM3781" t="s">
        <v>14402</v>
      </c>
      <c r="BN3781" t="s">
        <v>27621</v>
      </c>
    </row>
    <row r="3782" spans="1:66" x14ac:dyDescent="0.25">
      <c r="A3782" t="str">
        <f>HYPERLINK("https://elite.finviz.com/quote.ashx?t=MGRC&amp;ty=c&amp;p=d&amp;b=1", "MGRC")</f>
        <v>MGRC</v>
      </c>
      <c r="B3782">
        <v>4</v>
      </c>
      <c r="C3782">
        <v>105.92</v>
      </c>
      <c r="D3782">
        <v>43.53</v>
      </c>
      <c r="E3782" t="s">
        <v>30635</v>
      </c>
      <c r="F3782" t="s">
        <v>67</v>
      </c>
      <c r="G3782" t="s">
        <v>260</v>
      </c>
      <c r="H3782" t="s">
        <v>7905</v>
      </c>
      <c r="I3782" t="s">
        <v>70</v>
      </c>
      <c r="J3782" t="s">
        <v>321</v>
      </c>
      <c r="K3782">
        <v>2930.25</v>
      </c>
      <c r="L3782">
        <v>119.06</v>
      </c>
      <c r="M3782" t="s">
        <v>6182</v>
      </c>
      <c r="N3782">
        <v>11856</v>
      </c>
      <c r="O3782">
        <v>11.59</v>
      </c>
      <c r="P3782">
        <v>17.649999999999999</v>
      </c>
      <c r="R3782">
        <v>3.11</v>
      </c>
      <c r="S3782">
        <v>2.52</v>
      </c>
      <c r="T3782" t="s">
        <v>7423</v>
      </c>
      <c r="U3782">
        <v>1.92</v>
      </c>
      <c r="V3782" t="s">
        <v>3662</v>
      </c>
      <c r="W3782" t="s">
        <v>2430</v>
      </c>
      <c r="X3782" t="s">
        <v>304</v>
      </c>
      <c r="Y3782" t="s">
        <v>5969</v>
      </c>
      <c r="Z3782" t="s">
        <v>718</v>
      </c>
      <c r="AA3782">
        <v>10.27</v>
      </c>
      <c r="AB3782" t="s">
        <v>17546</v>
      </c>
      <c r="AC3782" t="s">
        <v>9557</v>
      </c>
      <c r="AE3782" t="s">
        <v>2250</v>
      </c>
      <c r="AF3782" t="s">
        <v>9253</v>
      </c>
      <c r="AG3782" t="s">
        <v>801</v>
      </c>
      <c r="AH3782" t="s">
        <v>7512</v>
      </c>
      <c r="AI3782" t="s">
        <v>2225</v>
      </c>
      <c r="AJ3782" t="s">
        <v>3898</v>
      </c>
      <c r="AK3782" t="s">
        <v>30636</v>
      </c>
      <c r="AL3782">
        <v>1.43</v>
      </c>
      <c r="AM3782">
        <v>1.36</v>
      </c>
      <c r="AN3782">
        <v>0.49</v>
      </c>
      <c r="AO3782" t="s">
        <v>9603</v>
      </c>
      <c r="AP3782" t="s">
        <v>7855</v>
      </c>
      <c r="AQ3782" t="s">
        <v>29155</v>
      </c>
      <c r="AR3782" t="s">
        <v>1761</v>
      </c>
      <c r="AS3782" t="s">
        <v>90</v>
      </c>
      <c r="AT3782" t="s">
        <v>4367</v>
      </c>
      <c r="AU3782" t="s">
        <v>4149</v>
      </c>
      <c r="AV3782" t="s">
        <v>714</v>
      </c>
      <c r="AW3782" t="s">
        <v>7230</v>
      </c>
      <c r="AX3782" t="s">
        <v>3951</v>
      </c>
      <c r="AY3782" t="s">
        <v>1219</v>
      </c>
      <c r="AZ3782" t="s">
        <v>11563</v>
      </c>
      <c r="BA3782">
        <v>1</v>
      </c>
      <c r="BB3782">
        <v>131.15</v>
      </c>
      <c r="BC3782">
        <v>0.32</v>
      </c>
      <c r="BD3782">
        <v>118.78</v>
      </c>
      <c r="BE3782">
        <v>118.78</v>
      </c>
      <c r="BF3782">
        <v>118.7</v>
      </c>
      <c r="BG3782" t="s">
        <v>30637</v>
      </c>
      <c r="BH3782" t="s">
        <v>16335</v>
      </c>
      <c r="BI3782" t="s">
        <v>30638</v>
      </c>
      <c r="BJ3782" t="s">
        <v>101</v>
      </c>
      <c r="BK3782" t="s">
        <v>3169</v>
      </c>
      <c r="BL3782" t="s">
        <v>3542</v>
      </c>
      <c r="BM3782" t="s">
        <v>5656</v>
      </c>
      <c r="BN3782" t="s">
        <v>27621</v>
      </c>
    </row>
    <row r="3783" spans="1:66" x14ac:dyDescent="0.25">
      <c r="A3783" t="str">
        <f>HYPERLINK("https://elite.finviz.com/quote.ashx?t=PMTS&amp;ty=c&amp;p=d&amp;b=1", "PMTS")</f>
        <v>PMTS</v>
      </c>
      <c r="B3783">
        <v>4</v>
      </c>
      <c r="C3783">
        <v>105.92</v>
      </c>
      <c r="D3783">
        <v>43.53</v>
      </c>
      <c r="E3783" t="s">
        <v>30639</v>
      </c>
      <c r="F3783" t="s">
        <v>67</v>
      </c>
      <c r="G3783" t="s">
        <v>550</v>
      </c>
      <c r="H3783" t="s">
        <v>3744</v>
      </c>
      <c r="I3783" t="s">
        <v>70</v>
      </c>
      <c r="J3783" t="s">
        <v>321</v>
      </c>
      <c r="K3783">
        <v>169.15</v>
      </c>
      <c r="L3783">
        <v>14.92</v>
      </c>
      <c r="M3783" t="s">
        <v>2213</v>
      </c>
      <c r="N3783">
        <v>5205</v>
      </c>
      <c r="O3783">
        <v>13.35</v>
      </c>
      <c r="P3783">
        <v>4.0199999999999996</v>
      </c>
      <c r="R3783">
        <v>0.34</v>
      </c>
      <c r="V3783" t="s">
        <v>30640</v>
      </c>
      <c r="Z3783" t="s">
        <v>164</v>
      </c>
      <c r="AA3783">
        <v>1.1200000000000001</v>
      </c>
      <c r="AB3783" t="s">
        <v>521</v>
      </c>
      <c r="AE3783" t="s">
        <v>15021</v>
      </c>
      <c r="AF3783" t="s">
        <v>2487</v>
      </c>
      <c r="AG3783" t="s">
        <v>7976</v>
      </c>
      <c r="AH3783" t="s">
        <v>605</v>
      </c>
      <c r="AI3783" t="s">
        <v>6634</v>
      </c>
      <c r="AJ3783" t="s">
        <v>4865</v>
      </c>
      <c r="AK3783" t="s">
        <v>5782</v>
      </c>
      <c r="AL3783">
        <v>2.59</v>
      </c>
      <c r="AM3783">
        <v>1.52</v>
      </c>
      <c r="AO3783" t="s">
        <v>18781</v>
      </c>
      <c r="AP3783" t="s">
        <v>7605</v>
      </c>
      <c r="AQ3783" t="s">
        <v>89</v>
      </c>
      <c r="AR3783" t="s">
        <v>289</v>
      </c>
      <c r="AS3783" t="s">
        <v>5969</v>
      </c>
      <c r="AT3783" t="s">
        <v>5388</v>
      </c>
      <c r="AU3783" t="s">
        <v>16855</v>
      </c>
      <c r="AV3783" t="s">
        <v>26595</v>
      </c>
      <c r="AW3783" t="s">
        <v>30641</v>
      </c>
      <c r="AX3783" t="s">
        <v>3470</v>
      </c>
      <c r="AY3783" t="s">
        <v>30642</v>
      </c>
      <c r="AZ3783" t="s">
        <v>3470</v>
      </c>
      <c r="BA3783">
        <v>1</v>
      </c>
      <c r="BB3783">
        <v>56.93</v>
      </c>
      <c r="BC3783">
        <v>0.32</v>
      </c>
      <c r="BD3783">
        <v>14.95</v>
      </c>
      <c r="BE3783">
        <v>15.01</v>
      </c>
      <c r="BF3783">
        <v>14.82</v>
      </c>
      <c r="BG3783" t="s">
        <v>30643</v>
      </c>
      <c r="BH3783" t="s">
        <v>27897</v>
      </c>
      <c r="BI3783" t="s">
        <v>30644</v>
      </c>
      <c r="BJ3783" t="s">
        <v>101</v>
      </c>
      <c r="BK3783" t="s">
        <v>24791</v>
      </c>
      <c r="BL3783" t="s">
        <v>8170</v>
      </c>
      <c r="BM3783" t="s">
        <v>11618</v>
      </c>
      <c r="BN3783" t="s">
        <v>27621</v>
      </c>
    </row>
    <row r="3784" spans="1:66" x14ac:dyDescent="0.25">
      <c r="A3784" t="str">
        <f>HYPERLINK("https://elite.finviz.com/quote.ashx?t=AZZ&amp;ty=c&amp;p=d&amp;b=1", "AZZ")</f>
        <v>AZZ</v>
      </c>
      <c r="B3784">
        <v>4</v>
      </c>
      <c r="C3784">
        <v>105.92</v>
      </c>
      <c r="D3784">
        <v>43.54</v>
      </c>
      <c r="E3784" t="s">
        <v>30645</v>
      </c>
      <c r="F3784" t="s">
        <v>67</v>
      </c>
      <c r="G3784" t="s">
        <v>260</v>
      </c>
      <c r="H3784" t="s">
        <v>1077</v>
      </c>
      <c r="I3784" t="s">
        <v>70</v>
      </c>
      <c r="J3784" t="s">
        <v>71</v>
      </c>
      <c r="K3784">
        <v>3326.3</v>
      </c>
      <c r="L3784">
        <v>110.82</v>
      </c>
      <c r="M3784" t="s">
        <v>2560</v>
      </c>
      <c r="N3784">
        <v>15836</v>
      </c>
      <c r="O3784">
        <v>12.86</v>
      </c>
      <c r="P3784">
        <v>16.64</v>
      </c>
      <c r="R3784">
        <v>2.1</v>
      </c>
      <c r="S3784">
        <v>2.74</v>
      </c>
      <c r="T3784" t="s">
        <v>3871</v>
      </c>
      <c r="U3784">
        <v>0.71</v>
      </c>
      <c r="V3784" t="s">
        <v>2573</v>
      </c>
      <c r="W3784" t="s">
        <v>164</v>
      </c>
      <c r="X3784" t="s">
        <v>164</v>
      </c>
      <c r="Y3784" t="s">
        <v>164</v>
      </c>
      <c r="Z3784" t="s">
        <v>30646</v>
      </c>
      <c r="AA3784">
        <v>8.6199999999999992</v>
      </c>
      <c r="AB3784" t="s">
        <v>9915</v>
      </c>
      <c r="AC3784" t="s">
        <v>6194</v>
      </c>
      <c r="AE3784" t="s">
        <v>908</v>
      </c>
      <c r="AF3784" t="s">
        <v>7864</v>
      </c>
      <c r="AG3784" t="s">
        <v>3100</v>
      </c>
      <c r="AH3784" t="s">
        <v>5420</v>
      </c>
      <c r="AI3784" t="s">
        <v>4462</v>
      </c>
      <c r="AJ3784" t="s">
        <v>30647</v>
      </c>
      <c r="AK3784" t="s">
        <v>12186</v>
      </c>
      <c r="AL3784">
        <v>1.51</v>
      </c>
      <c r="AM3784">
        <v>1.1000000000000001</v>
      </c>
      <c r="AN3784">
        <v>0.49</v>
      </c>
      <c r="AO3784" t="s">
        <v>4557</v>
      </c>
      <c r="AP3784" t="s">
        <v>7400</v>
      </c>
      <c r="AQ3784" t="s">
        <v>2589</v>
      </c>
      <c r="AR3784" t="s">
        <v>4276</v>
      </c>
      <c r="AS3784" t="s">
        <v>90</v>
      </c>
      <c r="AT3784" t="s">
        <v>9022</v>
      </c>
      <c r="AU3784" t="s">
        <v>6659</v>
      </c>
      <c r="AV3784" t="s">
        <v>10361</v>
      </c>
      <c r="AW3784" t="s">
        <v>16867</v>
      </c>
      <c r="AX3784" t="s">
        <v>3602</v>
      </c>
      <c r="AY3784" t="s">
        <v>16867</v>
      </c>
      <c r="AZ3784" t="s">
        <v>8295</v>
      </c>
      <c r="BA3784">
        <v>1.73</v>
      </c>
      <c r="BB3784">
        <v>310.66000000000003</v>
      </c>
      <c r="BC3784">
        <v>0.18</v>
      </c>
      <c r="BD3784">
        <v>110.64</v>
      </c>
      <c r="BE3784">
        <v>111.6</v>
      </c>
      <c r="BF3784">
        <v>111.26</v>
      </c>
      <c r="BG3784" t="s">
        <v>30648</v>
      </c>
      <c r="BH3784" t="s">
        <v>16867</v>
      </c>
      <c r="BI3784" t="s">
        <v>30649</v>
      </c>
      <c r="BJ3784" t="s">
        <v>101</v>
      </c>
      <c r="BK3784" t="s">
        <v>1038</v>
      </c>
      <c r="BL3784" t="s">
        <v>5487</v>
      </c>
      <c r="BM3784" t="s">
        <v>5908</v>
      </c>
      <c r="BN3784" t="s">
        <v>27621</v>
      </c>
    </row>
    <row r="3785" spans="1:66" x14ac:dyDescent="0.25">
      <c r="A3785" t="str">
        <f>HYPERLINK("https://elite.finviz.com/quote.ashx?t=SNES&amp;ty=c&amp;p=d&amp;b=1", "SNES")</f>
        <v>SNES</v>
      </c>
      <c r="B3785">
        <v>4</v>
      </c>
      <c r="C3785">
        <v>105.92</v>
      </c>
      <c r="D3785">
        <v>43.54</v>
      </c>
      <c r="E3785" t="s">
        <v>30650</v>
      </c>
      <c r="F3785" t="s">
        <v>107</v>
      </c>
      <c r="G3785" t="s">
        <v>355</v>
      </c>
      <c r="H3785" t="s">
        <v>1147</v>
      </c>
      <c r="I3785" t="s">
        <v>70</v>
      </c>
      <c r="J3785" t="s">
        <v>321</v>
      </c>
      <c r="K3785">
        <v>22.42</v>
      </c>
      <c r="L3785">
        <v>4.54</v>
      </c>
      <c r="M3785" t="s">
        <v>5188</v>
      </c>
      <c r="N3785">
        <v>22637</v>
      </c>
      <c r="R3785">
        <v>10.73</v>
      </c>
      <c r="S3785">
        <v>2.4500000000000002</v>
      </c>
      <c r="AA3785">
        <v>-5.45</v>
      </c>
      <c r="AB3785" t="s">
        <v>5764</v>
      </c>
      <c r="AC3785" t="s">
        <v>13811</v>
      </c>
      <c r="AD3785" t="s">
        <v>25193</v>
      </c>
      <c r="AE3785" t="s">
        <v>839</v>
      </c>
      <c r="AF3785" t="s">
        <v>17561</v>
      </c>
      <c r="AG3785" t="s">
        <v>20242</v>
      </c>
      <c r="AH3785" t="s">
        <v>7763</v>
      </c>
      <c r="AJ3785" t="s">
        <v>164</v>
      </c>
      <c r="AK3785" t="s">
        <v>3856</v>
      </c>
      <c r="AL3785">
        <v>9.23</v>
      </c>
      <c r="AM3785">
        <v>8.35</v>
      </c>
      <c r="AN3785">
        <v>0.39</v>
      </c>
      <c r="AO3785" t="s">
        <v>11670</v>
      </c>
      <c r="AP3785" t="s">
        <v>30651</v>
      </c>
      <c r="AQ3785" t="s">
        <v>30652</v>
      </c>
      <c r="AR3785" t="s">
        <v>2581</v>
      </c>
      <c r="AS3785" t="s">
        <v>7231</v>
      </c>
      <c r="AT3785" t="s">
        <v>5880</v>
      </c>
      <c r="AU3785" t="s">
        <v>2467</v>
      </c>
      <c r="AV3785" t="s">
        <v>19868</v>
      </c>
      <c r="AW3785" t="s">
        <v>28518</v>
      </c>
      <c r="AX3785" t="s">
        <v>3435</v>
      </c>
      <c r="AY3785" t="s">
        <v>28518</v>
      </c>
      <c r="AZ3785" t="s">
        <v>30653</v>
      </c>
      <c r="BA3785">
        <v>1</v>
      </c>
      <c r="BB3785">
        <v>166.32</v>
      </c>
      <c r="BC3785">
        <v>0.48</v>
      </c>
      <c r="BD3785">
        <v>4.4000000000000004</v>
      </c>
      <c r="BE3785">
        <v>4.62</v>
      </c>
      <c r="BF3785">
        <v>4.46</v>
      </c>
      <c r="BG3785" t="s">
        <v>30654</v>
      </c>
      <c r="BH3785" t="s">
        <v>579</v>
      </c>
      <c r="BI3785" t="s">
        <v>30653</v>
      </c>
      <c r="BJ3785" t="s">
        <v>101</v>
      </c>
      <c r="BK3785" t="s">
        <v>3625</v>
      </c>
      <c r="BL3785" t="s">
        <v>30655</v>
      </c>
      <c r="BM3785" t="s">
        <v>4576</v>
      </c>
      <c r="BN3785" t="s">
        <v>27621</v>
      </c>
    </row>
    <row r="3786" spans="1:66" x14ac:dyDescent="0.25">
      <c r="A3786" t="str">
        <f>HYPERLINK("https://elite.finviz.com/quote.ashx?t=IBCP&amp;ty=c&amp;p=d&amp;b=1", "IBCP")</f>
        <v>IBCP</v>
      </c>
      <c r="B3786">
        <v>4</v>
      </c>
      <c r="C3786">
        <v>105.92</v>
      </c>
      <c r="D3786">
        <v>43.54</v>
      </c>
      <c r="E3786" t="s">
        <v>30656</v>
      </c>
      <c r="F3786" t="s">
        <v>67</v>
      </c>
      <c r="G3786" t="s">
        <v>550</v>
      </c>
      <c r="H3786" t="s">
        <v>697</v>
      </c>
      <c r="I3786" t="s">
        <v>70</v>
      </c>
      <c r="J3786" t="s">
        <v>321</v>
      </c>
      <c r="K3786">
        <v>649.04</v>
      </c>
      <c r="L3786">
        <v>31.34</v>
      </c>
      <c r="M3786" t="s">
        <v>2745</v>
      </c>
      <c r="N3786">
        <v>13448</v>
      </c>
      <c r="O3786">
        <v>10.210000000000001</v>
      </c>
      <c r="P3786">
        <v>9.32</v>
      </c>
      <c r="R3786">
        <v>2.0299999999999998</v>
      </c>
      <c r="S3786">
        <v>1.38</v>
      </c>
      <c r="T3786" t="s">
        <v>4677</v>
      </c>
      <c r="U3786">
        <v>1.02</v>
      </c>
      <c r="V3786" t="s">
        <v>6057</v>
      </c>
      <c r="W3786" t="s">
        <v>3520</v>
      </c>
      <c r="X3786" t="s">
        <v>4104</v>
      </c>
      <c r="Y3786" t="s">
        <v>351</v>
      </c>
      <c r="Z3786" t="s">
        <v>329</v>
      </c>
      <c r="AA3786">
        <v>3.07</v>
      </c>
      <c r="AB3786" t="s">
        <v>911</v>
      </c>
      <c r="AC3786" t="s">
        <v>2605</v>
      </c>
      <c r="AE3786" t="s">
        <v>2356</v>
      </c>
      <c r="AF3786" t="s">
        <v>2111</v>
      </c>
      <c r="AG3786" t="s">
        <v>10247</v>
      </c>
      <c r="AH3786" t="s">
        <v>4963</v>
      </c>
      <c r="AI3786" t="s">
        <v>4689</v>
      </c>
      <c r="AJ3786" t="s">
        <v>15000</v>
      </c>
      <c r="AK3786" t="s">
        <v>25612</v>
      </c>
      <c r="AL3786">
        <v>0.16</v>
      </c>
      <c r="AN3786">
        <v>0.4</v>
      </c>
      <c r="AP3786" t="s">
        <v>15481</v>
      </c>
      <c r="AQ3786" t="s">
        <v>17310</v>
      </c>
      <c r="AR3786" t="s">
        <v>5420</v>
      </c>
      <c r="AS3786" t="s">
        <v>5420</v>
      </c>
      <c r="AT3786" t="s">
        <v>6838</v>
      </c>
      <c r="AU3786" t="s">
        <v>9618</v>
      </c>
      <c r="AV3786" t="s">
        <v>14499</v>
      </c>
      <c r="AW3786" t="s">
        <v>20749</v>
      </c>
      <c r="AX3786" t="s">
        <v>1576</v>
      </c>
      <c r="AY3786" t="s">
        <v>30657</v>
      </c>
      <c r="AZ3786" t="s">
        <v>4116</v>
      </c>
      <c r="BA3786">
        <v>3</v>
      </c>
      <c r="BB3786">
        <v>90.35</v>
      </c>
      <c r="BC3786">
        <v>0.53</v>
      </c>
      <c r="BD3786">
        <v>31.36</v>
      </c>
      <c r="BE3786">
        <v>31.67</v>
      </c>
      <c r="BF3786">
        <v>31.37</v>
      </c>
      <c r="BG3786" t="s">
        <v>30658</v>
      </c>
      <c r="BH3786" t="s">
        <v>24223</v>
      </c>
      <c r="BI3786" t="s">
        <v>30659</v>
      </c>
      <c r="BJ3786" t="s">
        <v>101</v>
      </c>
      <c r="BK3786" t="s">
        <v>1149</v>
      </c>
      <c r="BL3786" t="s">
        <v>8374</v>
      </c>
      <c r="BM3786" t="s">
        <v>6345</v>
      </c>
      <c r="BN3786" t="s">
        <v>27621</v>
      </c>
    </row>
    <row r="3787" spans="1:66" x14ac:dyDescent="0.25">
      <c r="A3787" t="str">
        <f>HYPERLINK("https://elite.finviz.com/quote.ashx?t=NBTB&amp;ty=c&amp;p=d&amp;b=1", "NBTB")</f>
        <v>NBTB</v>
      </c>
      <c r="B3787">
        <v>4</v>
      </c>
      <c r="C3787">
        <v>105.92</v>
      </c>
      <c r="D3787">
        <v>43.55</v>
      </c>
      <c r="E3787" t="s">
        <v>30660</v>
      </c>
      <c r="F3787" t="s">
        <v>67</v>
      </c>
      <c r="G3787" t="s">
        <v>550</v>
      </c>
      <c r="H3787" t="s">
        <v>697</v>
      </c>
      <c r="I3787" t="s">
        <v>70</v>
      </c>
      <c r="J3787" t="s">
        <v>321</v>
      </c>
      <c r="K3787">
        <v>2218.37</v>
      </c>
      <c r="L3787">
        <v>42.34</v>
      </c>
      <c r="M3787" t="s">
        <v>4273</v>
      </c>
      <c r="N3787">
        <v>23404</v>
      </c>
      <c r="O3787">
        <v>15.24</v>
      </c>
      <c r="P3787">
        <v>9.8800000000000008</v>
      </c>
      <c r="R3787">
        <v>2.68</v>
      </c>
      <c r="S3787">
        <v>1.23</v>
      </c>
      <c r="T3787" t="s">
        <v>3035</v>
      </c>
      <c r="U3787">
        <v>1.39</v>
      </c>
      <c r="V3787" t="s">
        <v>4882</v>
      </c>
      <c r="W3787" t="s">
        <v>2232</v>
      </c>
      <c r="X3787" t="s">
        <v>6593</v>
      </c>
      <c r="Y3787" t="s">
        <v>2235</v>
      </c>
      <c r="Z3787" t="s">
        <v>6283</v>
      </c>
      <c r="AA3787">
        <v>2.78</v>
      </c>
      <c r="AB3787" t="s">
        <v>7402</v>
      </c>
      <c r="AC3787" t="s">
        <v>2720</v>
      </c>
      <c r="AE3787" t="s">
        <v>3962</v>
      </c>
      <c r="AF3787" t="s">
        <v>980</v>
      </c>
      <c r="AG3787" t="s">
        <v>2887</v>
      </c>
      <c r="AH3787" t="s">
        <v>4153</v>
      </c>
      <c r="AI3787" t="s">
        <v>7542</v>
      </c>
      <c r="AJ3787" t="s">
        <v>9618</v>
      </c>
      <c r="AK3787" t="s">
        <v>17846</v>
      </c>
      <c r="AL3787">
        <v>0.15</v>
      </c>
      <c r="AN3787">
        <v>0.23</v>
      </c>
      <c r="AP3787" t="s">
        <v>15814</v>
      </c>
      <c r="AQ3787" t="s">
        <v>11384</v>
      </c>
      <c r="AR3787" t="s">
        <v>3856</v>
      </c>
      <c r="AS3787" t="s">
        <v>6692</v>
      </c>
      <c r="AT3787" t="s">
        <v>8985</v>
      </c>
      <c r="AU3787" t="s">
        <v>2276</v>
      </c>
      <c r="AV3787" t="s">
        <v>3124</v>
      </c>
      <c r="AW3787" t="s">
        <v>2336</v>
      </c>
      <c r="AX3787" t="s">
        <v>204</v>
      </c>
      <c r="AY3787" t="s">
        <v>933</v>
      </c>
      <c r="AZ3787" t="s">
        <v>6608</v>
      </c>
      <c r="BA3787">
        <v>2.14</v>
      </c>
      <c r="BB3787">
        <v>199.32</v>
      </c>
      <c r="BC3787">
        <v>0.41</v>
      </c>
      <c r="BD3787">
        <v>42.55</v>
      </c>
      <c r="BE3787">
        <v>42.92</v>
      </c>
      <c r="BF3787">
        <v>42.25</v>
      </c>
      <c r="BG3787" t="s">
        <v>30661</v>
      </c>
      <c r="BH3787" t="s">
        <v>933</v>
      </c>
      <c r="BI3787" t="s">
        <v>30662</v>
      </c>
      <c r="BJ3787" t="s">
        <v>101</v>
      </c>
      <c r="BK3787" t="s">
        <v>2644</v>
      </c>
      <c r="BL3787" t="s">
        <v>5120</v>
      </c>
      <c r="BM3787" t="s">
        <v>4528</v>
      </c>
      <c r="BN3787" t="s">
        <v>27621</v>
      </c>
    </row>
    <row r="3788" spans="1:66" x14ac:dyDescent="0.25">
      <c r="A3788" t="str">
        <f>HYPERLINK("https://elite.finviz.com/quote.ashx?t=NNVC&amp;ty=c&amp;p=d&amp;b=1", "NNVC")</f>
        <v>NNVC</v>
      </c>
      <c r="B3788">
        <v>4</v>
      </c>
      <c r="C3788">
        <v>105.92</v>
      </c>
      <c r="D3788">
        <v>43.6</v>
      </c>
      <c r="E3788" t="s">
        <v>30663</v>
      </c>
      <c r="F3788" t="s">
        <v>107</v>
      </c>
      <c r="G3788" t="s">
        <v>428</v>
      </c>
      <c r="H3788" t="s">
        <v>429</v>
      </c>
      <c r="I3788" t="s">
        <v>70</v>
      </c>
      <c r="J3788" t="s">
        <v>383</v>
      </c>
      <c r="K3788">
        <v>22.58</v>
      </c>
      <c r="L3788">
        <v>1.4</v>
      </c>
      <c r="M3788" t="s">
        <v>2642</v>
      </c>
      <c r="N3788">
        <v>13688</v>
      </c>
      <c r="S3788">
        <v>2.56</v>
      </c>
      <c r="AA3788">
        <v>-0.7</v>
      </c>
      <c r="AB3788" t="s">
        <v>9228</v>
      </c>
      <c r="AC3788" t="s">
        <v>5095</v>
      </c>
      <c r="AI3788" t="s">
        <v>30664</v>
      </c>
      <c r="AJ3788" t="s">
        <v>164</v>
      </c>
      <c r="AK3788" t="s">
        <v>5528</v>
      </c>
      <c r="AL3788">
        <v>2.27</v>
      </c>
      <c r="AM3788">
        <v>2.27</v>
      </c>
      <c r="AN3788">
        <v>0</v>
      </c>
      <c r="AR3788" t="s">
        <v>3244</v>
      </c>
      <c r="AS3788" t="s">
        <v>3670</v>
      </c>
      <c r="AT3788" t="s">
        <v>4707</v>
      </c>
      <c r="AU3788" t="s">
        <v>17624</v>
      </c>
      <c r="AV3788" t="s">
        <v>5745</v>
      </c>
      <c r="AW3788" t="s">
        <v>23363</v>
      </c>
      <c r="AX3788" t="s">
        <v>5969</v>
      </c>
      <c r="AY3788" t="s">
        <v>30665</v>
      </c>
      <c r="AZ3788" t="s">
        <v>16743</v>
      </c>
      <c r="BA3788">
        <v>1</v>
      </c>
      <c r="BB3788">
        <v>207.15</v>
      </c>
      <c r="BC3788">
        <v>0.23</v>
      </c>
      <c r="BD3788">
        <v>1.4</v>
      </c>
      <c r="BE3788">
        <v>1.41</v>
      </c>
      <c r="BF3788">
        <v>1.4</v>
      </c>
      <c r="BG3788" t="s">
        <v>30666</v>
      </c>
      <c r="BH3788" t="s">
        <v>4459</v>
      </c>
      <c r="BI3788" t="s">
        <v>16743</v>
      </c>
      <c r="BJ3788" t="s">
        <v>101</v>
      </c>
      <c r="BK3788" t="s">
        <v>2642</v>
      </c>
      <c r="BL3788" t="s">
        <v>8579</v>
      </c>
      <c r="BM3788" t="s">
        <v>7884</v>
      </c>
      <c r="BN3788" t="s">
        <v>27621</v>
      </c>
    </row>
    <row r="3789" spans="1:66" x14ac:dyDescent="0.25">
      <c r="A3789" t="str">
        <f>HYPERLINK("https://elite.finviz.com/quote.ashx?t=BHB&amp;ty=c&amp;p=d&amp;b=1", "BHB")</f>
        <v>BHB</v>
      </c>
      <c r="B3789">
        <v>4</v>
      </c>
      <c r="C3789">
        <v>105.92</v>
      </c>
      <c r="D3789">
        <v>43.64</v>
      </c>
      <c r="E3789" t="s">
        <v>30667</v>
      </c>
      <c r="F3789" t="s">
        <v>67</v>
      </c>
      <c r="G3789" t="s">
        <v>550</v>
      </c>
      <c r="H3789" t="s">
        <v>697</v>
      </c>
      <c r="I3789" t="s">
        <v>70</v>
      </c>
      <c r="J3789" t="s">
        <v>383</v>
      </c>
      <c r="K3789">
        <v>514.25</v>
      </c>
      <c r="L3789">
        <v>30.83</v>
      </c>
      <c r="M3789" t="s">
        <v>4086</v>
      </c>
      <c r="N3789">
        <v>4579</v>
      </c>
      <c r="O3789">
        <v>11.98</v>
      </c>
      <c r="P3789">
        <v>8.93</v>
      </c>
      <c r="R3789">
        <v>2.29</v>
      </c>
      <c r="S3789">
        <v>1.01</v>
      </c>
      <c r="T3789" t="s">
        <v>2170</v>
      </c>
      <c r="U3789">
        <v>1.24</v>
      </c>
      <c r="V3789" t="s">
        <v>2708</v>
      </c>
      <c r="W3789" t="s">
        <v>296</v>
      </c>
      <c r="X3789" t="s">
        <v>1114</v>
      </c>
      <c r="Y3789" t="s">
        <v>6008</v>
      </c>
      <c r="Z3789" t="s">
        <v>1874</v>
      </c>
      <c r="AA3789">
        <v>2.57</v>
      </c>
      <c r="AB3789" t="s">
        <v>5425</v>
      </c>
      <c r="AC3789" t="s">
        <v>2867</v>
      </c>
      <c r="AE3789" t="s">
        <v>715</v>
      </c>
      <c r="AF3789" t="s">
        <v>6689</v>
      </c>
      <c r="AG3789" t="s">
        <v>1955</v>
      </c>
      <c r="AH3789" t="s">
        <v>3140</v>
      </c>
      <c r="AI3789" t="s">
        <v>164</v>
      </c>
      <c r="AJ3789" t="s">
        <v>3856</v>
      </c>
      <c r="AK3789" t="s">
        <v>13777</v>
      </c>
      <c r="AL3789">
        <v>0.05</v>
      </c>
      <c r="AN3789">
        <v>0.63</v>
      </c>
      <c r="AP3789" t="s">
        <v>5793</v>
      </c>
      <c r="AQ3789" t="s">
        <v>7379</v>
      </c>
      <c r="AR3789" t="s">
        <v>911</v>
      </c>
      <c r="AS3789" t="s">
        <v>2273</v>
      </c>
      <c r="AT3789" t="s">
        <v>3322</v>
      </c>
      <c r="AU3789" t="s">
        <v>2518</v>
      </c>
      <c r="AV3789" t="s">
        <v>6182</v>
      </c>
      <c r="AW3789" t="s">
        <v>3401</v>
      </c>
      <c r="AX3789" t="s">
        <v>2877</v>
      </c>
      <c r="AY3789" t="s">
        <v>17470</v>
      </c>
      <c r="AZ3789" t="s">
        <v>6064</v>
      </c>
      <c r="BA3789">
        <v>2</v>
      </c>
      <c r="BB3789">
        <v>51.1</v>
      </c>
      <c r="BC3789">
        <v>0.32</v>
      </c>
      <c r="BD3789">
        <v>31.05</v>
      </c>
      <c r="BE3789">
        <v>31.3</v>
      </c>
      <c r="BF3789">
        <v>30.9</v>
      </c>
      <c r="BG3789" t="s">
        <v>30668</v>
      </c>
      <c r="BH3789" t="s">
        <v>17470</v>
      </c>
      <c r="BI3789" t="s">
        <v>30669</v>
      </c>
      <c r="BJ3789" t="s">
        <v>101</v>
      </c>
      <c r="BK3789" t="s">
        <v>1934</v>
      </c>
      <c r="BL3789" t="s">
        <v>2216</v>
      </c>
      <c r="BM3789" t="s">
        <v>5692</v>
      </c>
      <c r="BN3789" t="s">
        <v>27621</v>
      </c>
    </row>
    <row r="3790" spans="1:66" x14ac:dyDescent="0.25">
      <c r="A3790" t="str">
        <f>HYPERLINK("https://elite.finviz.com/quote.ashx?t=FMBH&amp;ty=c&amp;p=d&amp;b=1", "FMBH")</f>
        <v>FMBH</v>
      </c>
      <c r="B3790">
        <v>4</v>
      </c>
      <c r="C3790">
        <v>105.92</v>
      </c>
      <c r="D3790">
        <v>43.65</v>
      </c>
      <c r="E3790" t="s">
        <v>30670</v>
      </c>
      <c r="F3790" t="s">
        <v>67</v>
      </c>
      <c r="G3790" t="s">
        <v>550</v>
      </c>
      <c r="H3790" t="s">
        <v>697</v>
      </c>
      <c r="I3790" t="s">
        <v>70</v>
      </c>
      <c r="J3790" t="s">
        <v>321</v>
      </c>
      <c r="K3790">
        <v>926.96</v>
      </c>
      <c r="L3790">
        <v>38.630000000000003</v>
      </c>
      <c r="M3790" t="s">
        <v>5777</v>
      </c>
      <c r="N3790">
        <v>16820</v>
      </c>
      <c r="O3790">
        <v>10.98</v>
      </c>
      <c r="P3790">
        <v>10.51</v>
      </c>
      <c r="Q3790">
        <v>1.82</v>
      </c>
      <c r="R3790">
        <v>2.02</v>
      </c>
      <c r="S3790">
        <v>1.04</v>
      </c>
      <c r="T3790" t="s">
        <v>1560</v>
      </c>
      <c r="U3790">
        <v>0.97</v>
      </c>
      <c r="V3790" t="s">
        <v>3046</v>
      </c>
      <c r="W3790" t="s">
        <v>3916</v>
      </c>
      <c r="X3790" t="s">
        <v>4495</v>
      </c>
      <c r="Y3790" t="s">
        <v>8625</v>
      </c>
      <c r="Z3790" t="s">
        <v>5267</v>
      </c>
      <c r="AA3790">
        <v>3.52</v>
      </c>
      <c r="AB3790" t="s">
        <v>9228</v>
      </c>
      <c r="AC3790" t="s">
        <v>205</v>
      </c>
      <c r="AD3790" t="s">
        <v>1886</v>
      </c>
      <c r="AE3790" t="s">
        <v>3303</v>
      </c>
      <c r="AF3790" t="s">
        <v>1007</v>
      </c>
      <c r="AG3790" t="s">
        <v>4116</v>
      </c>
      <c r="AH3790" t="s">
        <v>5611</v>
      </c>
      <c r="AI3790" t="s">
        <v>1160</v>
      </c>
      <c r="AJ3790" t="s">
        <v>2745</v>
      </c>
      <c r="AK3790" t="s">
        <v>30671</v>
      </c>
      <c r="AL3790">
        <v>0.14000000000000001</v>
      </c>
      <c r="AN3790">
        <v>0.62</v>
      </c>
      <c r="AP3790" t="s">
        <v>17645</v>
      </c>
      <c r="AQ3790" t="s">
        <v>139</v>
      </c>
      <c r="AR3790" t="s">
        <v>6975</v>
      </c>
      <c r="AS3790" t="s">
        <v>2430</v>
      </c>
      <c r="AT3790" t="s">
        <v>4124</v>
      </c>
      <c r="AU3790" t="s">
        <v>3113</v>
      </c>
      <c r="AV3790" t="s">
        <v>4142</v>
      </c>
      <c r="AW3790" t="s">
        <v>14915</v>
      </c>
      <c r="AX3790" t="s">
        <v>902</v>
      </c>
      <c r="AY3790" t="s">
        <v>7469</v>
      </c>
      <c r="AZ3790" t="s">
        <v>30672</v>
      </c>
      <c r="BA3790">
        <v>2</v>
      </c>
      <c r="BB3790">
        <v>71.38</v>
      </c>
      <c r="BC3790">
        <v>0.83</v>
      </c>
      <c r="BD3790">
        <v>38.82</v>
      </c>
      <c r="BE3790">
        <v>39.49</v>
      </c>
      <c r="BF3790">
        <v>37.369999999999997</v>
      </c>
      <c r="BG3790" t="s">
        <v>30673</v>
      </c>
      <c r="BH3790" t="s">
        <v>7014</v>
      </c>
      <c r="BI3790" t="s">
        <v>30674</v>
      </c>
      <c r="BJ3790" t="s">
        <v>101</v>
      </c>
      <c r="BK3790" t="s">
        <v>2644</v>
      </c>
      <c r="BL3790" t="s">
        <v>1159</v>
      </c>
      <c r="BM3790" t="s">
        <v>3495</v>
      </c>
      <c r="BN3790" t="s">
        <v>27621</v>
      </c>
    </row>
    <row r="3791" spans="1:66" x14ac:dyDescent="0.25">
      <c r="A3791" t="str">
        <f>HYPERLINK("https://elite.finviz.com/quote.ashx?t=BOH&amp;ty=c&amp;p=d&amp;b=1", "BOH")</f>
        <v>BOH</v>
      </c>
      <c r="B3791">
        <v>4</v>
      </c>
      <c r="C3791">
        <v>105.92</v>
      </c>
      <c r="D3791">
        <v>43.67</v>
      </c>
      <c r="E3791" t="s">
        <v>30675</v>
      </c>
      <c r="F3791" t="s">
        <v>67</v>
      </c>
      <c r="G3791" t="s">
        <v>550</v>
      </c>
      <c r="H3791" t="s">
        <v>697</v>
      </c>
      <c r="I3791" t="s">
        <v>70</v>
      </c>
      <c r="J3791" t="s">
        <v>71</v>
      </c>
      <c r="K3791">
        <v>2607.16</v>
      </c>
      <c r="L3791">
        <v>65.56</v>
      </c>
      <c r="M3791" t="s">
        <v>2717</v>
      </c>
      <c r="N3791">
        <v>22736</v>
      </c>
      <c r="O3791">
        <v>17.190000000000001</v>
      </c>
      <c r="P3791">
        <v>12.85</v>
      </c>
      <c r="Q3791">
        <v>1.04</v>
      </c>
      <c r="R3791">
        <v>2.4900000000000002</v>
      </c>
      <c r="S3791">
        <v>1.86</v>
      </c>
      <c r="T3791" t="s">
        <v>2811</v>
      </c>
      <c r="U3791">
        <v>2.8</v>
      </c>
      <c r="V3791" t="s">
        <v>4882</v>
      </c>
      <c r="W3791" t="s">
        <v>164</v>
      </c>
      <c r="X3791" t="s">
        <v>3871</v>
      </c>
      <c r="Y3791" t="s">
        <v>2720</v>
      </c>
      <c r="Z3791" t="s">
        <v>29042</v>
      </c>
      <c r="AA3791">
        <v>3.81</v>
      </c>
      <c r="AB3791" t="s">
        <v>172</v>
      </c>
      <c r="AC3791" t="s">
        <v>4007</v>
      </c>
      <c r="AD3791" t="s">
        <v>1464</v>
      </c>
      <c r="AE3791" t="s">
        <v>4658</v>
      </c>
      <c r="AF3791" t="s">
        <v>1342</v>
      </c>
      <c r="AG3791" t="s">
        <v>1474</v>
      </c>
      <c r="AH3791" t="s">
        <v>1926</v>
      </c>
      <c r="AI3791" t="s">
        <v>2423</v>
      </c>
      <c r="AJ3791" t="s">
        <v>1648</v>
      </c>
      <c r="AK3791" t="s">
        <v>30676</v>
      </c>
      <c r="AL3791">
        <v>7.0000000000000007E-2</v>
      </c>
      <c r="AN3791">
        <v>0.4</v>
      </c>
      <c r="AP3791" t="s">
        <v>2511</v>
      </c>
      <c r="AQ3791" t="s">
        <v>6795</v>
      </c>
      <c r="AR3791" t="s">
        <v>3757</v>
      </c>
      <c r="AS3791" t="s">
        <v>1439</v>
      </c>
      <c r="AT3791" t="s">
        <v>6162</v>
      </c>
      <c r="AU3791" t="s">
        <v>1574</v>
      </c>
      <c r="AV3791" t="s">
        <v>5650</v>
      </c>
      <c r="AW3791" t="s">
        <v>4622</v>
      </c>
      <c r="AX3791" t="s">
        <v>346</v>
      </c>
      <c r="AY3791" t="s">
        <v>4695</v>
      </c>
      <c r="AZ3791" t="s">
        <v>7297</v>
      </c>
      <c r="BA3791">
        <v>3.29</v>
      </c>
      <c r="BB3791">
        <v>423.33</v>
      </c>
      <c r="BC3791">
        <v>0.19</v>
      </c>
      <c r="BD3791">
        <v>65.64</v>
      </c>
      <c r="BE3791">
        <v>66.3</v>
      </c>
      <c r="BF3791">
        <v>65.52</v>
      </c>
      <c r="BG3791" t="s">
        <v>30677</v>
      </c>
      <c r="BH3791" t="s">
        <v>7517</v>
      </c>
      <c r="BI3791" t="s">
        <v>30678</v>
      </c>
      <c r="BJ3791" t="s">
        <v>101</v>
      </c>
      <c r="BK3791" t="s">
        <v>5061</v>
      </c>
      <c r="BL3791" t="s">
        <v>1892</v>
      </c>
      <c r="BM3791" t="s">
        <v>4324</v>
      </c>
      <c r="BN3791" t="s">
        <v>27621</v>
      </c>
    </row>
    <row r="3792" spans="1:66" x14ac:dyDescent="0.25">
      <c r="A3792" t="str">
        <f>HYPERLINK("https://elite.finviz.com/quote.ashx?t=RBB&amp;ty=c&amp;p=d&amp;b=1", "RBB")</f>
        <v>RBB</v>
      </c>
      <c r="B3792">
        <v>4</v>
      </c>
      <c r="C3792">
        <v>105.92</v>
      </c>
      <c r="D3792">
        <v>43.68</v>
      </c>
      <c r="E3792" t="s">
        <v>30679</v>
      </c>
      <c r="F3792" t="s">
        <v>67</v>
      </c>
      <c r="G3792" t="s">
        <v>550</v>
      </c>
      <c r="H3792" t="s">
        <v>697</v>
      </c>
      <c r="I3792" t="s">
        <v>70</v>
      </c>
      <c r="J3792" t="s">
        <v>321</v>
      </c>
      <c r="K3792">
        <v>328.54</v>
      </c>
      <c r="L3792">
        <v>19.05</v>
      </c>
      <c r="M3792" t="s">
        <v>1842</v>
      </c>
      <c r="N3792">
        <v>4850</v>
      </c>
      <c r="O3792">
        <v>14.75</v>
      </c>
      <c r="P3792">
        <v>9.93</v>
      </c>
      <c r="R3792">
        <v>1.4</v>
      </c>
      <c r="S3792">
        <v>0.65</v>
      </c>
      <c r="T3792" t="s">
        <v>2662</v>
      </c>
      <c r="U3792">
        <v>0.64</v>
      </c>
      <c r="V3792" t="s">
        <v>5604</v>
      </c>
      <c r="W3792" t="s">
        <v>164</v>
      </c>
      <c r="X3792" t="s">
        <v>1090</v>
      </c>
      <c r="Y3792" t="s">
        <v>1066</v>
      </c>
      <c r="Z3792" t="s">
        <v>12561</v>
      </c>
      <c r="AA3792">
        <v>1.29</v>
      </c>
      <c r="AB3792" t="s">
        <v>10141</v>
      </c>
      <c r="AC3792" t="s">
        <v>10228</v>
      </c>
      <c r="AE3792" t="s">
        <v>1842</v>
      </c>
      <c r="AF3792" t="s">
        <v>7898</v>
      </c>
      <c r="AG3792" t="s">
        <v>6225</v>
      </c>
      <c r="AH3792" t="s">
        <v>6076</v>
      </c>
      <c r="AI3792" t="s">
        <v>8080</v>
      </c>
      <c r="AJ3792" t="s">
        <v>770</v>
      </c>
      <c r="AK3792" t="s">
        <v>13135</v>
      </c>
      <c r="AL3792">
        <v>7.0000000000000007E-2</v>
      </c>
      <c r="AN3792">
        <v>0.66</v>
      </c>
      <c r="AP3792" t="s">
        <v>6202</v>
      </c>
      <c r="AQ3792" t="s">
        <v>7407</v>
      </c>
      <c r="AR3792" t="s">
        <v>6937</v>
      </c>
      <c r="AS3792" t="s">
        <v>4916</v>
      </c>
      <c r="AT3792" t="s">
        <v>9938</v>
      </c>
      <c r="AU3792" t="s">
        <v>7598</v>
      </c>
      <c r="AV3792" t="s">
        <v>4908</v>
      </c>
      <c r="AW3792" t="s">
        <v>3051</v>
      </c>
      <c r="AX3792" t="s">
        <v>5122</v>
      </c>
      <c r="AY3792" t="s">
        <v>16656</v>
      </c>
      <c r="AZ3792" t="s">
        <v>9303</v>
      </c>
      <c r="BA3792">
        <v>3</v>
      </c>
      <c r="BB3792">
        <v>74.430000000000007</v>
      </c>
      <c r="BC3792">
        <v>0.23</v>
      </c>
      <c r="BD3792">
        <v>19.07</v>
      </c>
      <c r="BE3792">
        <v>19.329999999999998</v>
      </c>
      <c r="BF3792">
        <v>19.059999999999999</v>
      </c>
      <c r="BG3792" t="s">
        <v>30680</v>
      </c>
      <c r="BH3792" t="s">
        <v>5987</v>
      </c>
      <c r="BI3792" t="s">
        <v>30681</v>
      </c>
      <c r="BJ3792" t="s">
        <v>101</v>
      </c>
      <c r="BK3792" t="s">
        <v>3368</v>
      </c>
      <c r="BL3792" t="s">
        <v>14148</v>
      </c>
      <c r="BM3792" t="s">
        <v>23520</v>
      </c>
      <c r="BN3792" t="s">
        <v>27621</v>
      </c>
    </row>
    <row r="3793" spans="1:66" x14ac:dyDescent="0.25">
      <c r="A3793" t="str">
        <f>HYPERLINK("https://elite.finviz.com/quote.ashx?t=NGVC&amp;ty=c&amp;p=d&amp;b=1", "NGVC")</f>
        <v>NGVC</v>
      </c>
      <c r="B3793">
        <v>4</v>
      </c>
      <c r="C3793">
        <v>105.92</v>
      </c>
      <c r="D3793">
        <v>43.68</v>
      </c>
      <c r="E3793" t="s">
        <v>30682</v>
      </c>
      <c r="F3793" t="s">
        <v>67</v>
      </c>
      <c r="G3793" t="s">
        <v>2244</v>
      </c>
      <c r="H3793" t="s">
        <v>14712</v>
      </c>
      <c r="I3793" t="s">
        <v>70</v>
      </c>
      <c r="J3793" t="s">
        <v>71</v>
      </c>
      <c r="K3793">
        <v>840.81</v>
      </c>
      <c r="L3793">
        <v>36.630000000000003</v>
      </c>
      <c r="M3793" t="s">
        <v>770</v>
      </c>
      <c r="N3793">
        <v>17792</v>
      </c>
      <c r="O3793">
        <v>19.5</v>
      </c>
      <c r="R3793">
        <v>0.64</v>
      </c>
      <c r="S3793">
        <v>4.1500000000000004</v>
      </c>
      <c r="T3793" t="s">
        <v>1559</v>
      </c>
      <c r="U3793">
        <v>0.48</v>
      </c>
      <c r="V3793" t="s">
        <v>2187</v>
      </c>
      <c r="W3793" t="s">
        <v>164</v>
      </c>
      <c r="X3793" t="s">
        <v>5224</v>
      </c>
      <c r="Z3793" t="s">
        <v>10599</v>
      </c>
      <c r="AA3793">
        <v>1.88</v>
      </c>
      <c r="AB3793" t="s">
        <v>4807</v>
      </c>
      <c r="AC3793" t="s">
        <v>1257</v>
      </c>
      <c r="AE3793" t="s">
        <v>1736</v>
      </c>
      <c r="AF3793" t="s">
        <v>892</v>
      </c>
      <c r="AG3793" t="s">
        <v>2124</v>
      </c>
      <c r="AH3793" t="s">
        <v>713</v>
      </c>
      <c r="AI3793" t="s">
        <v>10114</v>
      </c>
      <c r="AJ3793" t="s">
        <v>3598</v>
      </c>
      <c r="AK3793" t="s">
        <v>1726</v>
      </c>
      <c r="AL3793">
        <v>1.02</v>
      </c>
      <c r="AM3793">
        <v>0.21</v>
      </c>
      <c r="AN3793">
        <v>1.65</v>
      </c>
      <c r="AO3793" t="s">
        <v>8844</v>
      </c>
      <c r="AP3793" t="s">
        <v>2809</v>
      </c>
      <c r="AQ3793" t="s">
        <v>6770</v>
      </c>
      <c r="AR3793" t="s">
        <v>4677</v>
      </c>
      <c r="AS3793" t="s">
        <v>903</v>
      </c>
      <c r="AT3793" t="s">
        <v>2950</v>
      </c>
      <c r="AU3793" t="s">
        <v>5189</v>
      </c>
      <c r="AV3793" t="s">
        <v>17257</v>
      </c>
      <c r="AW3793" t="s">
        <v>16260</v>
      </c>
      <c r="AX3793" t="s">
        <v>3521</v>
      </c>
      <c r="AY3793" t="s">
        <v>25371</v>
      </c>
      <c r="AZ3793" t="s">
        <v>16388</v>
      </c>
      <c r="BA3793">
        <v>1</v>
      </c>
      <c r="BB3793">
        <v>263.89999999999998</v>
      </c>
      <c r="BC3793">
        <v>0.24</v>
      </c>
      <c r="BD3793">
        <v>36.68</v>
      </c>
      <c r="BE3793">
        <v>36.94</v>
      </c>
      <c r="BF3793">
        <v>36.049999999999997</v>
      </c>
      <c r="BG3793" t="s">
        <v>30683</v>
      </c>
      <c r="BH3793" t="s">
        <v>25371</v>
      </c>
      <c r="BI3793" t="s">
        <v>30684</v>
      </c>
      <c r="BJ3793" t="s">
        <v>101</v>
      </c>
      <c r="BK3793" t="s">
        <v>3085</v>
      </c>
      <c r="BL3793" t="s">
        <v>9160</v>
      </c>
      <c r="BM3793" t="s">
        <v>7463</v>
      </c>
      <c r="BN3793" t="s">
        <v>27621</v>
      </c>
    </row>
    <row r="3794" spans="1:66" x14ac:dyDescent="0.25">
      <c r="A3794" t="str">
        <f>HYPERLINK("https://elite.finviz.com/quote.ashx?t=RNAZ&amp;ty=c&amp;p=d&amp;b=1", "RNAZ")</f>
        <v>RNAZ</v>
      </c>
      <c r="B3794">
        <v>4</v>
      </c>
      <c r="C3794">
        <v>105.92</v>
      </c>
      <c r="D3794">
        <v>43.69</v>
      </c>
      <c r="E3794" t="s">
        <v>30685</v>
      </c>
      <c r="F3794" t="s">
        <v>107</v>
      </c>
      <c r="G3794" t="s">
        <v>428</v>
      </c>
      <c r="H3794" t="s">
        <v>429</v>
      </c>
      <c r="I3794" t="s">
        <v>70</v>
      </c>
      <c r="J3794" t="s">
        <v>321</v>
      </c>
      <c r="K3794">
        <v>8.3699999999999992</v>
      </c>
      <c r="L3794">
        <v>10.039999999999999</v>
      </c>
      <c r="M3794" t="s">
        <v>6155</v>
      </c>
      <c r="N3794">
        <v>3372</v>
      </c>
      <c r="S3794">
        <v>1.36</v>
      </c>
      <c r="AA3794">
        <v>-382.32</v>
      </c>
      <c r="AB3794" t="s">
        <v>19596</v>
      </c>
      <c r="AC3794" t="s">
        <v>15731</v>
      </c>
      <c r="AI3794" t="s">
        <v>4939</v>
      </c>
      <c r="AK3794" t="s">
        <v>891</v>
      </c>
      <c r="AL3794">
        <v>5.27</v>
      </c>
      <c r="AM3794">
        <v>5.27</v>
      </c>
      <c r="AN3794">
        <v>0</v>
      </c>
      <c r="AR3794" t="s">
        <v>7970</v>
      </c>
      <c r="AS3794" t="s">
        <v>229</v>
      </c>
      <c r="AT3794" t="s">
        <v>1092</v>
      </c>
      <c r="AU3794" t="s">
        <v>3436</v>
      </c>
      <c r="AV3794" t="s">
        <v>28493</v>
      </c>
      <c r="AW3794" t="s">
        <v>26127</v>
      </c>
      <c r="AX3794" t="s">
        <v>9718</v>
      </c>
      <c r="AY3794" t="s">
        <v>6310</v>
      </c>
      <c r="AZ3794" t="s">
        <v>30686</v>
      </c>
      <c r="BA3794">
        <v>1</v>
      </c>
      <c r="BB3794">
        <v>89.58</v>
      </c>
      <c r="BC3794">
        <v>0.13</v>
      </c>
      <c r="BD3794">
        <v>9.92</v>
      </c>
      <c r="BE3794">
        <v>10.199999999999999</v>
      </c>
      <c r="BF3794">
        <v>10</v>
      </c>
      <c r="BG3794" t="s">
        <v>30687</v>
      </c>
      <c r="BH3794" t="s">
        <v>579</v>
      </c>
      <c r="BI3794" t="s">
        <v>30686</v>
      </c>
      <c r="BJ3794" t="s">
        <v>101</v>
      </c>
      <c r="BK3794" t="s">
        <v>4962</v>
      </c>
      <c r="BL3794" t="s">
        <v>10458</v>
      </c>
      <c r="BM3794" t="s">
        <v>30688</v>
      </c>
      <c r="BN3794" t="s">
        <v>27621</v>
      </c>
    </row>
    <row r="3795" spans="1:66" x14ac:dyDescent="0.25">
      <c r="A3795" t="str">
        <f>HYPERLINK("https://elite.finviz.com/quote.ashx?t=GABC&amp;ty=c&amp;p=d&amp;b=1", "GABC")</f>
        <v>GABC</v>
      </c>
      <c r="B3795">
        <v>4</v>
      </c>
      <c r="C3795">
        <v>105.92</v>
      </c>
      <c r="D3795">
        <v>43.7</v>
      </c>
      <c r="E3795" t="s">
        <v>30689</v>
      </c>
      <c r="F3795" t="s">
        <v>67</v>
      </c>
      <c r="G3795" t="s">
        <v>550</v>
      </c>
      <c r="H3795" t="s">
        <v>697</v>
      </c>
      <c r="I3795" t="s">
        <v>70</v>
      </c>
      <c r="J3795" t="s">
        <v>321</v>
      </c>
      <c r="K3795">
        <v>1498.97</v>
      </c>
      <c r="L3795">
        <v>39.979999999999997</v>
      </c>
      <c r="M3795" t="s">
        <v>171</v>
      </c>
      <c r="N3795">
        <v>15370</v>
      </c>
      <c r="O3795">
        <v>15.19</v>
      </c>
      <c r="P3795">
        <v>11.02</v>
      </c>
      <c r="R3795">
        <v>3.63</v>
      </c>
      <c r="S3795">
        <v>1.4</v>
      </c>
      <c r="T3795" t="s">
        <v>4687</v>
      </c>
      <c r="U3795">
        <v>1.1399999999999999</v>
      </c>
      <c r="V3795" t="s">
        <v>1762</v>
      </c>
      <c r="W3795" t="s">
        <v>238</v>
      </c>
      <c r="X3795" t="s">
        <v>776</v>
      </c>
      <c r="Y3795" t="s">
        <v>2403</v>
      </c>
      <c r="Z3795" t="s">
        <v>11580</v>
      </c>
      <c r="AA3795">
        <v>2.63</v>
      </c>
      <c r="AB3795" t="s">
        <v>2109</v>
      </c>
      <c r="AC3795" t="s">
        <v>4744</v>
      </c>
      <c r="AE3795" t="s">
        <v>13484</v>
      </c>
      <c r="AF3795" t="s">
        <v>23203</v>
      </c>
      <c r="AG3795" t="s">
        <v>8650</v>
      </c>
      <c r="AH3795" t="s">
        <v>2551</v>
      </c>
      <c r="AI3795" t="s">
        <v>2169</v>
      </c>
      <c r="AJ3795" t="s">
        <v>182</v>
      </c>
      <c r="AK3795" t="s">
        <v>10725</v>
      </c>
      <c r="AL3795">
        <v>0.12</v>
      </c>
      <c r="AN3795">
        <v>0.19</v>
      </c>
      <c r="AP3795" t="s">
        <v>3750</v>
      </c>
      <c r="AQ3795" t="s">
        <v>3373</v>
      </c>
      <c r="AR3795" t="s">
        <v>4780</v>
      </c>
      <c r="AS3795" t="s">
        <v>1952</v>
      </c>
      <c r="AT3795" t="s">
        <v>9500</v>
      </c>
      <c r="AU3795" t="s">
        <v>6298</v>
      </c>
      <c r="AV3795" t="s">
        <v>2720</v>
      </c>
      <c r="AW3795" t="s">
        <v>3140</v>
      </c>
      <c r="AX3795" t="s">
        <v>9789</v>
      </c>
      <c r="AY3795" t="s">
        <v>19439</v>
      </c>
      <c r="AZ3795" t="s">
        <v>10829</v>
      </c>
      <c r="BA3795">
        <v>2.17</v>
      </c>
      <c r="BB3795">
        <v>142.84</v>
      </c>
      <c r="BC3795">
        <v>0.38</v>
      </c>
      <c r="BD3795">
        <v>40.01</v>
      </c>
      <c r="BE3795">
        <v>40.409999999999997</v>
      </c>
      <c r="BF3795">
        <v>39.89</v>
      </c>
      <c r="BG3795" t="s">
        <v>30690</v>
      </c>
      <c r="BH3795" t="s">
        <v>10211</v>
      </c>
      <c r="BI3795" t="s">
        <v>30691</v>
      </c>
      <c r="BJ3795" t="s">
        <v>101</v>
      </c>
      <c r="BK3795" t="s">
        <v>1438</v>
      </c>
      <c r="BL3795" t="s">
        <v>4052</v>
      </c>
      <c r="BM3795" t="s">
        <v>6770</v>
      </c>
      <c r="BN3795" t="s">
        <v>27621</v>
      </c>
    </row>
    <row r="3796" spans="1:66" x14ac:dyDescent="0.25">
      <c r="A3796" t="str">
        <f>HYPERLINK("https://elite.finviz.com/quote.ashx?t=LCUT&amp;ty=c&amp;p=d&amp;b=1", "LCUT")</f>
        <v>LCUT</v>
      </c>
      <c r="B3796">
        <v>4</v>
      </c>
      <c r="C3796">
        <v>105.92</v>
      </c>
      <c r="D3796">
        <v>43.7</v>
      </c>
      <c r="E3796" t="s">
        <v>30692</v>
      </c>
      <c r="F3796" t="s">
        <v>107</v>
      </c>
      <c r="G3796" t="s">
        <v>813</v>
      </c>
      <c r="H3796" t="s">
        <v>3866</v>
      </c>
      <c r="I3796" t="s">
        <v>70</v>
      </c>
      <c r="J3796" t="s">
        <v>321</v>
      </c>
      <c r="K3796">
        <v>85.87</v>
      </c>
      <c r="L3796">
        <v>3.79</v>
      </c>
      <c r="M3796" t="s">
        <v>2362</v>
      </c>
      <c r="N3796">
        <v>96</v>
      </c>
      <c r="P3796">
        <v>8.15</v>
      </c>
      <c r="R3796">
        <v>0.13</v>
      </c>
      <c r="S3796">
        <v>0.46</v>
      </c>
      <c r="T3796" t="s">
        <v>5885</v>
      </c>
      <c r="U3796">
        <v>0.17</v>
      </c>
      <c r="V3796" t="s">
        <v>10250</v>
      </c>
      <c r="W3796" t="s">
        <v>164</v>
      </c>
      <c r="X3796" t="s">
        <v>164</v>
      </c>
      <c r="Y3796" t="s">
        <v>164</v>
      </c>
      <c r="AA3796">
        <v>-1.6</v>
      </c>
      <c r="AC3796" t="s">
        <v>876</v>
      </c>
      <c r="AD3796" t="s">
        <v>21630</v>
      </c>
      <c r="AE3796" t="s">
        <v>5789</v>
      </c>
      <c r="AF3796" t="s">
        <v>5271</v>
      </c>
      <c r="AG3796" t="s">
        <v>4763</v>
      </c>
      <c r="AH3796" t="s">
        <v>10533</v>
      </c>
      <c r="AI3796" t="s">
        <v>30693</v>
      </c>
      <c r="AJ3796" t="s">
        <v>164</v>
      </c>
      <c r="AK3796" t="s">
        <v>6069</v>
      </c>
      <c r="AL3796">
        <v>2.65</v>
      </c>
      <c r="AM3796">
        <v>0.94</v>
      </c>
      <c r="AN3796">
        <v>1.28</v>
      </c>
      <c r="AO3796" t="s">
        <v>12108</v>
      </c>
      <c r="AP3796" t="s">
        <v>4916</v>
      </c>
      <c r="AQ3796" t="s">
        <v>6494</v>
      </c>
      <c r="AR3796" t="s">
        <v>2809</v>
      </c>
      <c r="AS3796" t="s">
        <v>6419</v>
      </c>
      <c r="AT3796" t="s">
        <v>4653</v>
      </c>
      <c r="AU3796" t="s">
        <v>5663</v>
      </c>
      <c r="AV3796" t="s">
        <v>4318</v>
      </c>
      <c r="AW3796" t="s">
        <v>23124</v>
      </c>
      <c r="AX3796" t="s">
        <v>10425</v>
      </c>
      <c r="AY3796" t="s">
        <v>4584</v>
      </c>
      <c r="AZ3796" t="s">
        <v>2131</v>
      </c>
      <c r="BA3796">
        <v>1</v>
      </c>
      <c r="BB3796">
        <v>61.28</v>
      </c>
      <c r="BC3796">
        <v>0.01</v>
      </c>
      <c r="BD3796">
        <v>3.77</v>
      </c>
      <c r="BE3796">
        <v>3.88</v>
      </c>
      <c r="BF3796">
        <v>3.88</v>
      </c>
      <c r="BG3796" t="s">
        <v>30694</v>
      </c>
      <c r="BH3796" t="s">
        <v>30695</v>
      </c>
      <c r="BI3796" t="s">
        <v>30696</v>
      </c>
      <c r="BJ3796" t="s">
        <v>101</v>
      </c>
      <c r="BK3796" t="s">
        <v>8294</v>
      </c>
      <c r="BL3796" t="s">
        <v>19678</v>
      </c>
      <c r="BM3796" t="s">
        <v>30697</v>
      </c>
      <c r="BN3796" t="s">
        <v>27621</v>
      </c>
    </row>
    <row r="3797" spans="1:66" x14ac:dyDescent="0.25">
      <c r="A3797" t="str">
        <f>HYPERLINK("https://elite.finviz.com/quote.ashx?t=CBT&amp;ty=c&amp;p=d&amp;b=1", "CBT")</f>
        <v>CBT</v>
      </c>
      <c r="B3797">
        <v>4</v>
      </c>
      <c r="C3797">
        <v>105.92</v>
      </c>
      <c r="D3797">
        <v>43.71</v>
      </c>
      <c r="E3797" t="s">
        <v>30698</v>
      </c>
      <c r="F3797" t="s">
        <v>67</v>
      </c>
      <c r="G3797" t="s">
        <v>355</v>
      </c>
      <c r="H3797" t="s">
        <v>1147</v>
      </c>
      <c r="I3797" t="s">
        <v>70</v>
      </c>
      <c r="J3797" t="s">
        <v>71</v>
      </c>
      <c r="K3797">
        <v>4081.36</v>
      </c>
      <c r="L3797">
        <v>76.709999999999994</v>
      </c>
      <c r="M3797" t="s">
        <v>2449</v>
      </c>
      <c r="N3797">
        <v>52505</v>
      </c>
      <c r="O3797">
        <v>10.029999999999999</v>
      </c>
      <c r="P3797">
        <v>9.85</v>
      </c>
      <c r="Q3797">
        <v>1.64</v>
      </c>
      <c r="R3797">
        <v>1.07</v>
      </c>
      <c r="S3797">
        <v>2.65</v>
      </c>
      <c r="T3797" t="s">
        <v>1438</v>
      </c>
      <c r="U3797">
        <v>1.76</v>
      </c>
      <c r="V3797" t="s">
        <v>4882</v>
      </c>
      <c r="W3797" t="s">
        <v>6225</v>
      </c>
      <c r="X3797" t="s">
        <v>3733</v>
      </c>
      <c r="Y3797" t="s">
        <v>5164</v>
      </c>
      <c r="Z3797" t="s">
        <v>1737</v>
      </c>
      <c r="AA3797">
        <v>7.65</v>
      </c>
      <c r="AB3797" t="s">
        <v>10611</v>
      </c>
      <c r="AC3797" t="s">
        <v>3591</v>
      </c>
      <c r="AD3797" t="s">
        <v>283</v>
      </c>
      <c r="AE3797" t="s">
        <v>1387</v>
      </c>
      <c r="AF3797" t="s">
        <v>6956</v>
      </c>
      <c r="AG3797" t="s">
        <v>2494</v>
      </c>
      <c r="AH3797" t="s">
        <v>1851</v>
      </c>
      <c r="AI3797" t="s">
        <v>5331</v>
      </c>
      <c r="AJ3797" t="s">
        <v>19351</v>
      </c>
      <c r="AK3797" t="s">
        <v>30699</v>
      </c>
      <c r="AL3797">
        <v>2.13</v>
      </c>
      <c r="AM3797">
        <v>1.41</v>
      </c>
      <c r="AN3797">
        <v>0.79</v>
      </c>
      <c r="AO3797" t="s">
        <v>1334</v>
      </c>
      <c r="AP3797" t="s">
        <v>20499</v>
      </c>
      <c r="AQ3797" t="s">
        <v>602</v>
      </c>
      <c r="AR3797" t="s">
        <v>5084</v>
      </c>
      <c r="AS3797" t="s">
        <v>2868</v>
      </c>
      <c r="AT3797" t="s">
        <v>4131</v>
      </c>
      <c r="AU3797" t="s">
        <v>8053</v>
      </c>
      <c r="AV3797" t="s">
        <v>15100</v>
      </c>
      <c r="AW3797" t="s">
        <v>10375</v>
      </c>
      <c r="AX3797" t="s">
        <v>875</v>
      </c>
      <c r="AY3797" t="s">
        <v>6518</v>
      </c>
      <c r="AZ3797" t="s">
        <v>875</v>
      </c>
      <c r="BA3797">
        <v>2.6</v>
      </c>
      <c r="BB3797">
        <v>373.96</v>
      </c>
      <c r="BC3797">
        <v>0.49</v>
      </c>
      <c r="BD3797">
        <v>75.510000000000005</v>
      </c>
      <c r="BE3797">
        <v>77.17</v>
      </c>
      <c r="BF3797">
        <v>75.66</v>
      </c>
      <c r="BG3797" t="s">
        <v>30700</v>
      </c>
      <c r="BH3797" t="s">
        <v>6518</v>
      </c>
      <c r="BI3797" t="s">
        <v>30701</v>
      </c>
      <c r="BJ3797" t="s">
        <v>101</v>
      </c>
      <c r="BK3797" t="s">
        <v>3736</v>
      </c>
      <c r="BL3797" t="s">
        <v>3502</v>
      </c>
      <c r="BM3797" t="s">
        <v>21523</v>
      </c>
      <c r="BN3797" t="s">
        <v>27621</v>
      </c>
    </row>
    <row r="3798" spans="1:66" x14ac:dyDescent="0.25">
      <c r="A3798" t="str">
        <f>HYPERLINK("https://elite.finviz.com/quote.ashx?t=ESAB&amp;ty=c&amp;p=d&amp;b=1", "ESAB")</f>
        <v>ESAB</v>
      </c>
      <c r="B3798">
        <v>4</v>
      </c>
      <c r="C3798">
        <v>105.92</v>
      </c>
      <c r="D3798">
        <v>43.73</v>
      </c>
      <c r="E3798" t="s">
        <v>30702</v>
      </c>
      <c r="F3798" t="s">
        <v>107</v>
      </c>
      <c r="G3798" t="s">
        <v>260</v>
      </c>
      <c r="H3798" t="s">
        <v>2223</v>
      </c>
      <c r="I3798" t="s">
        <v>70</v>
      </c>
      <c r="J3798" t="s">
        <v>71</v>
      </c>
      <c r="K3798">
        <v>6710.85</v>
      </c>
      <c r="L3798">
        <v>110.56</v>
      </c>
      <c r="M3798" t="s">
        <v>1763</v>
      </c>
      <c r="N3798">
        <v>44965</v>
      </c>
      <c r="O3798">
        <v>26.43</v>
      </c>
      <c r="P3798">
        <v>18.8</v>
      </c>
      <c r="Q3798">
        <v>2.84</v>
      </c>
      <c r="R3798">
        <v>2.4500000000000002</v>
      </c>
      <c r="S3798">
        <v>3.24</v>
      </c>
      <c r="T3798" t="s">
        <v>2646</v>
      </c>
      <c r="U3798">
        <v>0.34</v>
      </c>
      <c r="V3798" t="s">
        <v>4105</v>
      </c>
      <c r="W3798" t="s">
        <v>4724</v>
      </c>
      <c r="Z3798" t="s">
        <v>9936</v>
      </c>
      <c r="AA3798">
        <v>4.18</v>
      </c>
      <c r="AB3798" t="s">
        <v>4499</v>
      </c>
      <c r="AC3798" t="s">
        <v>5756</v>
      </c>
      <c r="AD3798" t="s">
        <v>7387</v>
      </c>
      <c r="AE3798" t="s">
        <v>7646</v>
      </c>
      <c r="AF3798" t="s">
        <v>2170</v>
      </c>
      <c r="AG3798" t="s">
        <v>5697</v>
      </c>
      <c r="AH3798" t="s">
        <v>6155</v>
      </c>
      <c r="AI3798" t="s">
        <v>2880</v>
      </c>
      <c r="AJ3798" t="s">
        <v>2468</v>
      </c>
      <c r="AK3798" t="s">
        <v>30703</v>
      </c>
      <c r="AL3798">
        <v>1.95</v>
      </c>
      <c r="AM3798">
        <v>1.26</v>
      </c>
      <c r="AN3798">
        <v>0.56000000000000005</v>
      </c>
      <c r="AO3798" t="s">
        <v>2725</v>
      </c>
      <c r="AP3798" t="s">
        <v>3939</v>
      </c>
      <c r="AQ3798" t="s">
        <v>3146</v>
      </c>
      <c r="AR3798" t="s">
        <v>2624</v>
      </c>
      <c r="AS3798" t="s">
        <v>1776</v>
      </c>
      <c r="AT3798" t="s">
        <v>1510</v>
      </c>
      <c r="AU3798" t="s">
        <v>15100</v>
      </c>
      <c r="AV3798" t="s">
        <v>5205</v>
      </c>
      <c r="AW3798" t="s">
        <v>14281</v>
      </c>
      <c r="AX3798" t="s">
        <v>5111</v>
      </c>
      <c r="AY3798" t="s">
        <v>9917</v>
      </c>
      <c r="AZ3798" t="s">
        <v>6981</v>
      </c>
      <c r="BA3798">
        <v>1.55</v>
      </c>
      <c r="BB3798">
        <v>432.65</v>
      </c>
      <c r="BC3798">
        <v>0.37</v>
      </c>
      <c r="BD3798">
        <v>109.9</v>
      </c>
      <c r="BE3798">
        <v>110.82</v>
      </c>
      <c r="BF3798">
        <v>109.9</v>
      </c>
      <c r="BG3798" t="s">
        <v>30704</v>
      </c>
      <c r="BH3798" t="s">
        <v>9917</v>
      </c>
      <c r="BI3798" t="s">
        <v>30705</v>
      </c>
      <c r="BJ3798" t="s">
        <v>101</v>
      </c>
      <c r="BK3798" t="s">
        <v>5594</v>
      </c>
      <c r="BL3798" t="s">
        <v>1164</v>
      </c>
      <c r="BM3798" t="s">
        <v>7699</v>
      </c>
      <c r="BN3798" t="s">
        <v>27621</v>
      </c>
    </row>
    <row r="3799" spans="1:66" x14ac:dyDescent="0.25">
      <c r="A3799" t="str">
        <f>HYPERLINK("https://elite.finviz.com/quote.ashx?t=EVC&amp;ty=c&amp;p=d&amp;b=1", "EVC")</f>
        <v>EVC</v>
      </c>
      <c r="B3799">
        <v>4</v>
      </c>
      <c r="C3799">
        <v>105.92</v>
      </c>
      <c r="D3799">
        <v>43.75</v>
      </c>
      <c r="E3799" t="s">
        <v>30706</v>
      </c>
      <c r="F3799" t="s">
        <v>67</v>
      </c>
      <c r="G3799" t="s">
        <v>598</v>
      </c>
      <c r="H3799" t="s">
        <v>1020</v>
      </c>
      <c r="I3799" t="s">
        <v>70</v>
      </c>
      <c r="J3799" t="s">
        <v>71</v>
      </c>
      <c r="K3799">
        <v>215.15</v>
      </c>
      <c r="L3799">
        <v>2.37</v>
      </c>
      <c r="M3799" t="s">
        <v>497</v>
      </c>
      <c r="N3799">
        <v>15990</v>
      </c>
      <c r="R3799">
        <v>0.54</v>
      </c>
      <c r="S3799">
        <v>2.39</v>
      </c>
      <c r="T3799" t="s">
        <v>4378</v>
      </c>
      <c r="U3799">
        <v>0.2</v>
      </c>
      <c r="V3799" t="s">
        <v>5925</v>
      </c>
      <c r="W3799" t="s">
        <v>164</v>
      </c>
      <c r="X3799" t="s">
        <v>3397</v>
      </c>
      <c r="Y3799" t="s">
        <v>164</v>
      </c>
      <c r="AA3799">
        <v>-1.32</v>
      </c>
      <c r="AC3799" t="s">
        <v>10185</v>
      </c>
      <c r="AE3799" t="s">
        <v>10824</v>
      </c>
      <c r="AF3799" t="s">
        <v>15454</v>
      </c>
      <c r="AG3799" t="s">
        <v>2196</v>
      </c>
      <c r="AH3799" t="s">
        <v>2729</v>
      </c>
      <c r="AJ3799" t="s">
        <v>3172</v>
      </c>
      <c r="AK3799" t="s">
        <v>20185</v>
      </c>
      <c r="AL3799">
        <v>2.48</v>
      </c>
      <c r="AM3799">
        <v>2.48</v>
      </c>
      <c r="AN3799">
        <v>2.4900000000000002</v>
      </c>
      <c r="AO3799" t="s">
        <v>10513</v>
      </c>
      <c r="AP3799" t="s">
        <v>7117</v>
      </c>
      <c r="AQ3799" t="s">
        <v>667</v>
      </c>
      <c r="AR3799" t="s">
        <v>2876</v>
      </c>
      <c r="AS3799" t="s">
        <v>891</v>
      </c>
      <c r="AT3799" t="s">
        <v>2162</v>
      </c>
      <c r="AU3799" t="s">
        <v>1272</v>
      </c>
      <c r="AV3799" t="s">
        <v>1496</v>
      </c>
      <c r="AW3799" t="s">
        <v>2536</v>
      </c>
      <c r="AX3799" t="s">
        <v>1228</v>
      </c>
      <c r="AY3799" t="s">
        <v>11925</v>
      </c>
      <c r="AZ3799" t="s">
        <v>11447</v>
      </c>
      <c r="BA3799">
        <v>1</v>
      </c>
      <c r="BB3799">
        <v>213.22</v>
      </c>
      <c r="BC3799">
        <v>0.27</v>
      </c>
      <c r="BD3799">
        <v>2.36</v>
      </c>
      <c r="BE3799">
        <v>2.37</v>
      </c>
      <c r="BF3799">
        <v>2.34</v>
      </c>
      <c r="BG3799" t="s">
        <v>30707</v>
      </c>
      <c r="BH3799" t="s">
        <v>27796</v>
      </c>
      <c r="BI3799" t="s">
        <v>30708</v>
      </c>
      <c r="BJ3799" t="s">
        <v>101</v>
      </c>
      <c r="BK3799" t="s">
        <v>4780</v>
      </c>
      <c r="BL3799" t="s">
        <v>8460</v>
      </c>
      <c r="BM3799" t="s">
        <v>2171</v>
      </c>
      <c r="BN3799" t="s">
        <v>27621</v>
      </c>
    </row>
    <row r="3800" spans="1:66" x14ac:dyDescent="0.25">
      <c r="A3800" t="str">
        <f>HYPERLINK("https://elite.finviz.com/quote.ashx?t=OSTX&amp;ty=c&amp;p=d&amp;b=1", "OSTX")</f>
        <v>OSTX</v>
      </c>
      <c r="B3800">
        <v>4</v>
      </c>
      <c r="C3800">
        <v>105.92</v>
      </c>
      <c r="D3800">
        <v>43.76</v>
      </c>
      <c r="E3800" t="s">
        <v>30709</v>
      </c>
      <c r="F3800" t="s">
        <v>107</v>
      </c>
      <c r="G3800" t="s">
        <v>428</v>
      </c>
      <c r="H3800" t="s">
        <v>429</v>
      </c>
      <c r="I3800" t="s">
        <v>70</v>
      </c>
      <c r="J3800" t="s">
        <v>383</v>
      </c>
      <c r="K3800">
        <v>64.42</v>
      </c>
      <c r="L3800">
        <v>2.04</v>
      </c>
      <c r="M3800" t="s">
        <v>9254</v>
      </c>
      <c r="N3800">
        <v>175150</v>
      </c>
      <c r="S3800">
        <v>12.22</v>
      </c>
      <c r="AA3800">
        <v>-0.74</v>
      </c>
      <c r="AB3800" t="s">
        <v>7882</v>
      </c>
      <c r="AC3800" t="s">
        <v>7592</v>
      </c>
      <c r="AD3800" t="s">
        <v>3222</v>
      </c>
      <c r="AI3800" t="s">
        <v>24122</v>
      </c>
      <c r="AJ3800" t="s">
        <v>11369</v>
      </c>
      <c r="AK3800" t="s">
        <v>909</v>
      </c>
      <c r="AL3800">
        <v>1.03</v>
      </c>
      <c r="AM3800">
        <v>1.03</v>
      </c>
      <c r="AN3800">
        <v>0</v>
      </c>
      <c r="AR3800" t="s">
        <v>4551</v>
      </c>
      <c r="AS3800" t="s">
        <v>4999</v>
      </c>
      <c r="AT3800" t="s">
        <v>5134</v>
      </c>
      <c r="AU3800" t="s">
        <v>4886</v>
      </c>
      <c r="AV3800" t="s">
        <v>5628</v>
      </c>
      <c r="AW3800" t="s">
        <v>14370</v>
      </c>
      <c r="AX3800" t="s">
        <v>2001</v>
      </c>
      <c r="AY3800" t="s">
        <v>12898</v>
      </c>
      <c r="AZ3800" t="s">
        <v>11779</v>
      </c>
      <c r="BA3800">
        <v>1</v>
      </c>
      <c r="BB3800">
        <v>617.32000000000005</v>
      </c>
      <c r="BC3800">
        <v>1.01</v>
      </c>
      <c r="BD3800">
        <v>2.11</v>
      </c>
      <c r="BE3800">
        <v>2.11</v>
      </c>
      <c r="BF3800">
        <v>2.02</v>
      </c>
      <c r="BG3800" t="s">
        <v>30710</v>
      </c>
      <c r="BH3800" t="s">
        <v>12898</v>
      </c>
      <c r="BI3800" t="s">
        <v>11779</v>
      </c>
      <c r="BJ3800" t="s">
        <v>101</v>
      </c>
      <c r="BK3800" t="s">
        <v>6573</v>
      </c>
      <c r="BL3800" t="s">
        <v>2001</v>
      </c>
      <c r="BM3800" t="s">
        <v>27632</v>
      </c>
      <c r="BN3800" t="s">
        <v>27621</v>
      </c>
    </row>
    <row r="3801" spans="1:66" x14ac:dyDescent="0.25">
      <c r="A3801" t="str">
        <f>HYPERLINK("https://elite.finviz.com/quote.ashx?t=BFC&amp;ty=c&amp;p=d&amp;b=1", "BFC")</f>
        <v>BFC</v>
      </c>
      <c r="B3801">
        <v>4</v>
      </c>
      <c r="C3801">
        <v>105.92</v>
      </c>
      <c r="D3801">
        <v>43.78</v>
      </c>
      <c r="E3801" t="s">
        <v>30711</v>
      </c>
      <c r="F3801" t="s">
        <v>67</v>
      </c>
      <c r="G3801" t="s">
        <v>550</v>
      </c>
      <c r="H3801" t="s">
        <v>697</v>
      </c>
      <c r="I3801" t="s">
        <v>70</v>
      </c>
      <c r="J3801" t="s">
        <v>321</v>
      </c>
      <c r="K3801">
        <v>1218.53</v>
      </c>
      <c r="L3801">
        <v>123.91</v>
      </c>
      <c r="M3801" t="s">
        <v>1554</v>
      </c>
      <c r="N3801">
        <v>7548</v>
      </c>
      <c r="O3801">
        <v>17.920000000000002</v>
      </c>
      <c r="P3801">
        <v>14.42</v>
      </c>
      <c r="R3801">
        <v>5.19</v>
      </c>
      <c r="S3801">
        <v>1.99</v>
      </c>
      <c r="T3801" t="s">
        <v>3443</v>
      </c>
      <c r="U3801">
        <v>1.77</v>
      </c>
      <c r="V3801" t="s">
        <v>13483</v>
      </c>
      <c r="W3801" t="s">
        <v>9534</v>
      </c>
      <c r="X3801" t="s">
        <v>1255</v>
      </c>
      <c r="Y3801" t="s">
        <v>828</v>
      </c>
      <c r="Z3801" t="s">
        <v>4511</v>
      </c>
      <c r="AA3801">
        <v>6.91</v>
      </c>
      <c r="AB3801" t="s">
        <v>8013</v>
      </c>
      <c r="AC3801" t="s">
        <v>6234</v>
      </c>
      <c r="AE3801" t="s">
        <v>3428</v>
      </c>
      <c r="AF3801" t="s">
        <v>9215</v>
      </c>
      <c r="AG3801" t="s">
        <v>6736</v>
      </c>
      <c r="AH3801" t="s">
        <v>5114</v>
      </c>
      <c r="AI3801" t="s">
        <v>8346</v>
      </c>
      <c r="AJ3801" t="s">
        <v>629</v>
      </c>
      <c r="AK3801" t="s">
        <v>12106</v>
      </c>
      <c r="AL3801">
        <v>0.12</v>
      </c>
      <c r="AN3801">
        <v>0.2</v>
      </c>
      <c r="AP3801" t="s">
        <v>20478</v>
      </c>
      <c r="AQ3801" t="s">
        <v>8079</v>
      </c>
      <c r="AR3801" t="s">
        <v>6430</v>
      </c>
      <c r="AS3801" t="s">
        <v>3456</v>
      </c>
      <c r="AT3801" t="s">
        <v>91</v>
      </c>
      <c r="AU3801" t="s">
        <v>2899</v>
      </c>
      <c r="AV3801" t="s">
        <v>11867</v>
      </c>
      <c r="AW3801" t="s">
        <v>16868</v>
      </c>
      <c r="AX3801" t="s">
        <v>1283</v>
      </c>
      <c r="AY3801" t="s">
        <v>16868</v>
      </c>
      <c r="AZ3801" t="s">
        <v>832</v>
      </c>
      <c r="BA3801">
        <v>2</v>
      </c>
      <c r="BB3801">
        <v>129.78</v>
      </c>
      <c r="BC3801">
        <v>0.21</v>
      </c>
      <c r="BD3801">
        <v>124.12</v>
      </c>
      <c r="BE3801">
        <v>125.16</v>
      </c>
      <c r="BF3801">
        <v>124.05</v>
      </c>
      <c r="BG3801" t="s">
        <v>30712</v>
      </c>
      <c r="BH3801" t="s">
        <v>16868</v>
      </c>
      <c r="BI3801" t="s">
        <v>30713</v>
      </c>
      <c r="BJ3801" t="s">
        <v>101</v>
      </c>
      <c r="BK3801" t="s">
        <v>4908</v>
      </c>
      <c r="BL3801" t="s">
        <v>13642</v>
      </c>
      <c r="BM3801" t="s">
        <v>1874</v>
      </c>
      <c r="BN3801" t="s">
        <v>27621</v>
      </c>
    </row>
    <row r="3802" spans="1:66" x14ac:dyDescent="0.25">
      <c r="A3802" t="str">
        <f>HYPERLINK("https://elite.finviz.com/quote.ashx?t=TNC&amp;ty=c&amp;p=d&amp;b=1", "TNC")</f>
        <v>TNC</v>
      </c>
      <c r="B3802">
        <v>4</v>
      </c>
      <c r="C3802">
        <v>105.92</v>
      </c>
      <c r="D3802">
        <v>43.78</v>
      </c>
      <c r="E3802" t="s">
        <v>30714</v>
      </c>
      <c r="F3802" t="s">
        <v>67</v>
      </c>
      <c r="G3802" t="s">
        <v>260</v>
      </c>
      <c r="H3802" t="s">
        <v>261</v>
      </c>
      <c r="I3802" t="s">
        <v>70</v>
      </c>
      <c r="J3802" t="s">
        <v>71</v>
      </c>
      <c r="K3802">
        <v>1473.84</v>
      </c>
      <c r="L3802">
        <v>79.8</v>
      </c>
      <c r="M3802" t="s">
        <v>183</v>
      </c>
      <c r="N3802">
        <v>5817</v>
      </c>
      <c r="O3802">
        <v>24.88</v>
      </c>
      <c r="P3802">
        <v>12.28</v>
      </c>
      <c r="R3802">
        <v>1.18</v>
      </c>
      <c r="S3802">
        <v>2.27</v>
      </c>
      <c r="T3802" t="s">
        <v>4780</v>
      </c>
      <c r="U3802">
        <v>1.18</v>
      </c>
      <c r="V3802" t="s">
        <v>4882</v>
      </c>
      <c r="W3802" t="s">
        <v>9186</v>
      </c>
      <c r="X3802" t="s">
        <v>521</v>
      </c>
      <c r="Y3802" t="s">
        <v>5611</v>
      </c>
      <c r="Z3802" t="s">
        <v>116</v>
      </c>
      <c r="AA3802">
        <v>3.21</v>
      </c>
      <c r="AB3802" t="s">
        <v>8050</v>
      </c>
      <c r="AC3802" t="s">
        <v>953</v>
      </c>
      <c r="AE3802" t="s">
        <v>1564</v>
      </c>
      <c r="AF3802" t="s">
        <v>3949</v>
      </c>
      <c r="AG3802" t="s">
        <v>2789</v>
      </c>
      <c r="AH3802" t="s">
        <v>1269</v>
      </c>
      <c r="AI3802" t="s">
        <v>5964</v>
      </c>
      <c r="AJ3802" t="s">
        <v>10852</v>
      </c>
      <c r="AK3802" t="s">
        <v>12517</v>
      </c>
      <c r="AL3802">
        <v>2.09</v>
      </c>
      <c r="AM3802">
        <v>1.38</v>
      </c>
      <c r="AN3802">
        <v>0.38</v>
      </c>
      <c r="AO3802" t="s">
        <v>15521</v>
      </c>
      <c r="AP3802" t="s">
        <v>10542</v>
      </c>
      <c r="AQ3802" t="s">
        <v>5969</v>
      </c>
      <c r="AR3802" t="s">
        <v>5084</v>
      </c>
      <c r="AS3802" t="s">
        <v>3916</v>
      </c>
      <c r="AT3802" t="s">
        <v>5765</v>
      </c>
      <c r="AU3802" t="s">
        <v>5195</v>
      </c>
      <c r="AV3802" t="s">
        <v>1714</v>
      </c>
      <c r="AW3802" t="s">
        <v>2401</v>
      </c>
      <c r="AX3802" t="s">
        <v>3550</v>
      </c>
      <c r="AY3802" t="s">
        <v>5643</v>
      </c>
      <c r="AZ3802" t="s">
        <v>7903</v>
      </c>
      <c r="BA3802">
        <v>1</v>
      </c>
      <c r="BB3802">
        <v>116.54</v>
      </c>
      <c r="BC3802">
        <v>0.18</v>
      </c>
      <c r="BD3802">
        <v>79.680000000000007</v>
      </c>
      <c r="BE3802">
        <v>80.45</v>
      </c>
      <c r="BF3802">
        <v>79.75</v>
      </c>
      <c r="BG3802" t="s">
        <v>30715</v>
      </c>
      <c r="BH3802" t="s">
        <v>26348</v>
      </c>
      <c r="BI3802" t="s">
        <v>30716</v>
      </c>
      <c r="BJ3802" t="s">
        <v>101</v>
      </c>
      <c r="BK3802" t="s">
        <v>648</v>
      </c>
      <c r="BL3802" t="s">
        <v>4168</v>
      </c>
      <c r="BM3802" t="s">
        <v>6688</v>
      </c>
      <c r="BN3802" t="s">
        <v>27621</v>
      </c>
    </row>
    <row r="3803" spans="1:66" x14ac:dyDescent="0.25">
      <c r="A3803" t="str">
        <f>HYPERLINK("https://elite.finviz.com/quote.ashx?t=VHI&amp;ty=c&amp;p=d&amp;b=1", "VHI")</f>
        <v>VHI</v>
      </c>
      <c r="B3803">
        <v>4</v>
      </c>
      <c r="C3803">
        <v>105.92</v>
      </c>
      <c r="D3803">
        <v>43.78</v>
      </c>
      <c r="E3803" t="s">
        <v>30717</v>
      </c>
      <c r="F3803" t="s">
        <v>67</v>
      </c>
      <c r="G3803" t="s">
        <v>355</v>
      </c>
      <c r="H3803" t="s">
        <v>5130</v>
      </c>
      <c r="I3803" t="s">
        <v>70</v>
      </c>
      <c r="J3803" t="s">
        <v>71</v>
      </c>
      <c r="K3803">
        <v>449.16</v>
      </c>
      <c r="L3803">
        <v>15.87</v>
      </c>
      <c r="M3803" t="s">
        <v>2745</v>
      </c>
      <c r="N3803">
        <v>1491</v>
      </c>
      <c r="O3803">
        <v>4.6100000000000003</v>
      </c>
      <c r="R3803">
        <v>0.21</v>
      </c>
      <c r="S3803">
        <v>0.42</v>
      </c>
      <c r="T3803" t="s">
        <v>6692</v>
      </c>
      <c r="U3803">
        <v>0.32</v>
      </c>
      <c r="V3803" t="s">
        <v>4548</v>
      </c>
      <c r="W3803" t="s">
        <v>164</v>
      </c>
      <c r="X3803" t="s">
        <v>164</v>
      </c>
      <c r="Y3803" t="s">
        <v>5828</v>
      </c>
      <c r="Z3803" t="s">
        <v>3664</v>
      </c>
      <c r="AA3803">
        <v>3.44</v>
      </c>
      <c r="AB3803" t="s">
        <v>12259</v>
      </c>
      <c r="AC3803" t="s">
        <v>4096</v>
      </c>
      <c r="AE3803" t="s">
        <v>4795</v>
      </c>
      <c r="AF3803" t="s">
        <v>7391</v>
      </c>
      <c r="AG3803" t="s">
        <v>6975</v>
      </c>
      <c r="AH3803" t="s">
        <v>1779</v>
      </c>
      <c r="AJ3803" t="s">
        <v>164</v>
      </c>
      <c r="AK3803" t="s">
        <v>615</v>
      </c>
      <c r="AL3803">
        <v>2.83</v>
      </c>
      <c r="AM3803">
        <v>1.35</v>
      </c>
      <c r="AN3803">
        <v>0.61</v>
      </c>
      <c r="AO3803" t="s">
        <v>10912</v>
      </c>
      <c r="AP3803" t="s">
        <v>2407</v>
      </c>
      <c r="AQ3803" t="s">
        <v>2523</v>
      </c>
      <c r="AR3803" t="s">
        <v>4976</v>
      </c>
      <c r="AS3803" t="s">
        <v>4499</v>
      </c>
      <c r="AT3803" t="s">
        <v>10581</v>
      </c>
      <c r="AU3803" t="s">
        <v>7582</v>
      </c>
      <c r="AV3803" t="s">
        <v>16540</v>
      </c>
      <c r="AW3803" t="s">
        <v>15169</v>
      </c>
      <c r="AX3803" t="s">
        <v>4104</v>
      </c>
      <c r="AY3803" t="s">
        <v>30718</v>
      </c>
      <c r="AZ3803" t="s">
        <v>7068</v>
      </c>
      <c r="BA3803">
        <v>5</v>
      </c>
      <c r="BB3803">
        <v>13.64</v>
      </c>
      <c r="BC3803">
        <v>0.39</v>
      </c>
      <c r="BD3803">
        <v>15.88</v>
      </c>
      <c r="BE3803">
        <v>16.36</v>
      </c>
      <c r="BF3803">
        <v>15.77</v>
      </c>
      <c r="BG3803" t="s">
        <v>30719</v>
      </c>
      <c r="BH3803" t="s">
        <v>30720</v>
      </c>
      <c r="BI3803" t="s">
        <v>30721</v>
      </c>
      <c r="BJ3803" t="s">
        <v>101</v>
      </c>
      <c r="BK3803" t="s">
        <v>1866</v>
      </c>
      <c r="BL3803" t="s">
        <v>5766</v>
      </c>
      <c r="BM3803" t="s">
        <v>30722</v>
      </c>
      <c r="BN3803" t="s">
        <v>27621</v>
      </c>
    </row>
    <row r="3804" spans="1:66" x14ac:dyDescent="0.25">
      <c r="A3804" t="str">
        <f>HYPERLINK("https://elite.finviz.com/quote.ashx?t=CPT&amp;ty=c&amp;p=d&amp;b=1", "CPT")</f>
        <v>CPT</v>
      </c>
      <c r="B3804">
        <v>4</v>
      </c>
      <c r="C3804">
        <v>105.92</v>
      </c>
      <c r="D3804">
        <v>43.79</v>
      </c>
      <c r="E3804" t="s">
        <v>30723</v>
      </c>
      <c r="F3804" t="s">
        <v>195</v>
      </c>
      <c r="G3804" t="s">
        <v>68</v>
      </c>
      <c r="H3804" t="s">
        <v>5671</v>
      </c>
      <c r="I3804" t="s">
        <v>70</v>
      </c>
      <c r="J3804" t="s">
        <v>71</v>
      </c>
      <c r="K3804">
        <v>15130.57</v>
      </c>
      <c r="L3804">
        <v>106.89</v>
      </c>
      <c r="M3804" t="s">
        <v>6463</v>
      </c>
      <c r="N3804">
        <v>116956</v>
      </c>
      <c r="O3804">
        <v>74.59</v>
      </c>
      <c r="P3804">
        <v>67.959999999999994</v>
      </c>
      <c r="Q3804">
        <v>8.52</v>
      </c>
      <c r="R3804">
        <v>9.64</v>
      </c>
      <c r="S3804">
        <v>2.4900000000000002</v>
      </c>
      <c r="T3804" t="s">
        <v>3334</v>
      </c>
      <c r="U3804">
        <v>3.74</v>
      </c>
      <c r="V3804" t="s">
        <v>198</v>
      </c>
      <c r="W3804" t="s">
        <v>305</v>
      </c>
      <c r="X3804" t="s">
        <v>7236</v>
      </c>
      <c r="Y3804" t="s">
        <v>3303</v>
      </c>
      <c r="Z3804" t="s">
        <v>30724</v>
      </c>
      <c r="AA3804">
        <v>1.43</v>
      </c>
      <c r="AB3804" t="s">
        <v>16222</v>
      </c>
      <c r="AC3804" t="s">
        <v>5138</v>
      </c>
      <c r="AD3804" t="s">
        <v>607</v>
      </c>
      <c r="AE3804" t="s">
        <v>6245</v>
      </c>
      <c r="AF3804" t="s">
        <v>6168</v>
      </c>
      <c r="AG3804" t="s">
        <v>4518</v>
      </c>
      <c r="AH3804" t="s">
        <v>2307</v>
      </c>
      <c r="AI3804" t="s">
        <v>30725</v>
      </c>
      <c r="AJ3804" t="s">
        <v>5693</v>
      </c>
      <c r="AK3804" t="s">
        <v>30726</v>
      </c>
      <c r="AL3804">
        <v>0.06</v>
      </c>
      <c r="AM3804">
        <v>0.06</v>
      </c>
      <c r="AN3804">
        <v>0.83</v>
      </c>
      <c r="AO3804" t="s">
        <v>5938</v>
      </c>
      <c r="AP3804" t="s">
        <v>4283</v>
      </c>
      <c r="AQ3804" t="s">
        <v>230</v>
      </c>
      <c r="AR3804" t="s">
        <v>3349</v>
      </c>
      <c r="AS3804" t="s">
        <v>908</v>
      </c>
      <c r="AT3804" t="s">
        <v>5257</v>
      </c>
      <c r="AU3804" t="s">
        <v>1313</v>
      </c>
      <c r="AV3804" t="s">
        <v>19459</v>
      </c>
      <c r="AW3804" t="s">
        <v>2393</v>
      </c>
      <c r="AX3804" t="s">
        <v>6121</v>
      </c>
      <c r="AY3804" t="s">
        <v>23335</v>
      </c>
      <c r="AZ3804" t="s">
        <v>2810</v>
      </c>
      <c r="BA3804">
        <v>2.44</v>
      </c>
      <c r="BB3804">
        <v>927.9</v>
      </c>
      <c r="BC3804">
        <v>0.44</v>
      </c>
      <c r="BD3804">
        <v>106.05</v>
      </c>
      <c r="BE3804">
        <v>107.59</v>
      </c>
      <c r="BF3804">
        <v>106.15</v>
      </c>
      <c r="BG3804" t="s">
        <v>30727</v>
      </c>
      <c r="BH3804" t="s">
        <v>30728</v>
      </c>
      <c r="BI3804" t="s">
        <v>30729</v>
      </c>
      <c r="BJ3804" t="s">
        <v>101</v>
      </c>
      <c r="BK3804" t="s">
        <v>2951</v>
      </c>
      <c r="BL3804" t="s">
        <v>12760</v>
      </c>
      <c r="BM3804" t="s">
        <v>30647</v>
      </c>
      <c r="BN3804" t="s">
        <v>27621</v>
      </c>
    </row>
    <row r="3805" spans="1:66" x14ac:dyDescent="0.25">
      <c r="A3805" t="str">
        <f>HYPERLINK("https://elite.finviz.com/quote.ashx?t=EVTV&amp;ty=c&amp;p=d&amp;b=1", "EVTV")</f>
        <v>EVTV</v>
      </c>
      <c r="B3805">
        <v>4</v>
      </c>
      <c r="C3805">
        <v>105.92</v>
      </c>
      <c r="D3805">
        <v>43.8</v>
      </c>
      <c r="E3805" t="s">
        <v>30730</v>
      </c>
      <c r="F3805" t="s">
        <v>107</v>
      </c>
      <c r="G3805" t="s">
        <v>813</v>
      </c>
      <c r="H3805" t="s">
        <v>890</v>
      </c>
      <c r="I3805" t="s">
        <v>70</v>
      </c>
      <c r="J3805" t="s">
        <v>321</v>
      </c>
      <c r="K3805">
        <v>6.78</v>
      </c>
      <c r="L3805">
        <v>1.92</v>
      </c>
      <c r="M3805" t="s">
        <v>6693</v>
      </c>
      <c r="N3805">
        <v>98838</v>
      </c>
      <c r="R3805">
        <v>3.61</v>
      </c>
      <c r="S3805">
        <v>1.05</v>
      </c>
      <c r="AA3805">
        <v>-10.56</v>
      </c>
      <c r="AB3805" t="s">
        <v>291</v>
      </c>
      <c r="AC3805" t="s">
        <v>420</v>
      </c>
      <c r="AE3805" t="s">
        <v>2383</v>
      </c>
      <c r="AF3805" t="s">
        <v>7865</v>
      </c>
      <c r="AG3805" t="s">
        <v>30731</v>
      </c>
      <c r="AH3805" t="s">
        <v>2790</v>
      </c>
      <c r="AJ3805" t="s">
        <v>164</v>
      </c>
      <c r="AK3805" t="s">
        <v>2868</v>
      </c>
      <c r="AL3805">
        <v>0.99</v>
      </c>
      <c r="AM3805">
        <v>0.24</v>
      </c>
      <c r="AN3805">
        <v>1.03</v>
      </c>
      <c r="AO3805" t="s">
        <v>30732</v>
      </c>
      <c r="AP3805" t="s">
        <v>30733</v>
      </c>
      <c r="AQ3805" t="s">
        <v>30734</v>
      </c>
      <c r="AR3805" t="s">
        <v>12383</v>
      </c>
      <c r="AS3805" t="s">
        <v>5337</v>
      </c>
      <c r="AT3805" t="s">
        <v>10490</v>
      </c>
      <c r="AU3805" t="s">
        <v>21015</v>
      </c>
      <c r="AV3805" t="s">
        <v>1041</v>
      </c>
      <c r="AW3805" t="s">
        <v>18475</v>
      </c>
      <c r="AX3805" t="s">
        <v>2117</v>
      </c>
      <c r="AY3805" t="s">
        <v>6142</v>
      </c>
      <c r="AZ3805" t="s">
        <v>5948</v>
      </c>
      <c r="BA3805">
        <v>1</v>
      </c>
      <c r="BB3805">
        <v>369.4</v>
      </c>
      <c r="BC3805">
        <v>0.94</v>
      </c>
      <c r="BD3805">
        <v>2.0299999999999998</v>
      </c>
      <c r="BE3805">
        <v>2.1</v>
      </c>
      <c r="BF3805">
        <v>1.91</v>
      </c>
      <c r="BG3805" t="s">
        <v>30735</v>
      </c>
      <c r="BH3805" t="s">
        <v>14593</v>
      </c>
      <c r="BI3805" t="s">
        <v>5948</v>
      </c>
      <c r="BJ3805" t="s">
        <v>101</v>
      </c>
      <c r="BK3805" t="s">
        <v>12293</v>
      </c>
      <c r="BL3805" t="s">
        <v>25379</v>
      </c>
      <c r="BM3805" t="s">
        <v>30736</v>
      </c>
      <c r="BN3805" t="s">
        <v>27621</v>
      </c>
    </row>
    <row r="3806" spans="1:66" x14ac:dyDescent="0.25">
      <c r="A3806" t="str">
        <f>HYPERLINK("https://elite.finviz.com/quote.ashx?t=CSBR&amp;ty=c&amp;p=d&amp;b=1", "CSBR")</f>
        <v>CSBR</v>
      </c>
      <c r="B3806">
        <v>4</v>
      </c>
      <c r="C3806">
        <v>105.92</v>
      </c>
      <c r="D3806">
        <v>43.82</v>
      </c>
      <c r="E3806" t="s">
        <v>30737</v>
      </c>
      <c r="F3806" t="s">
        <v>107</v>
      </c>
      <c r="G3806" t="s">
        <v>428</v>
      </c>
      <c r="H3806" t="s">
        <v>429</v>
      </c>
      <c r="I3806" t="s">
        <v>70</v>
      </c>
      <c r="J3806" t="s">
        <v>321</v>
      </c>
      <c r="K3806">
        <v>86.59</v>
      </c>
      <c r="L3806">
        <v>6.28</v>
      </c>
      <c r="M3806" t="s">
        <v>181</v>
      </c>
      <c r="N3806">
        <v>835</v>
      </c>
      <c r="O3806">
        <v>31.43</v>
      </c>
      <c r="P3806">
        <v>41.87</v>
      </c>
      <c r="R3806">
        <v>1.52</v>
      </c>
      <c r="S3806">
        <v>24.68</v>
      </c>
      <c r="Z3806" t="s">
        <v>164</v>
      </c>
      <c r="AA3806">
        <v>0.2</v>
      </c>
      <c r="AB3806" t="s">
        <v>30738</v>
      </c>
      <c r="AE3806" t="s">
        <v>5404</v>
      </c>
      <c r="AF3806" t="s">
        <v>2744</v>
      </c>
      <c r="AG3806" t="s">
        <v>8356</v>
      </c>
      <c r="AH3806" t="s">
        <v>2426</v>
      </c>
      <c r="AI3806" t="s">
        <v>1441</v>
      </c>
      <c r="AJ3806" t="s">
        <v>164</v>
      </c>
      <c r="AK3806" t="s">
        <v>8015</v>
      </c>
      <c r="AL3806">
        <v>0.93</v>
      </c>
      <c r="AM3806">
        <v>0.93</v>
      </c>
      <c r="AN3806">
        <v>1.69</v>
      </c>
      <c r="AO3806" t="s">
        <v>12132</v>
      </c>
      <c r="AP3806" t="s">
        <v>1452</v>
      </c>
      <c r="AQ3806" t="s">
        <v>5395</v>
      </c>
      <c r="AR3806" t="s">
        <v>4530</v>
      </c>
      <c r="AS3806" t="s">
        <v>6684</v>
      </c>
      <c r="AT3806" t="s">
        <v>94</v>
      </c>
      <c r="AU3806" t="s">
        <v>16867</v>
      </c>
      <c r="AV3806" t="s">
        <v>14451</v>
      </c>
      <c r="AW3806" t="s">
        <v>16319</v>
      </c>
      <c r="AX3806" t="s">
        <v>3745</v>
      </c>
      <c r="AY3806" t="s">
        <v>8752</v>
      </c>
      <c r="AZ3806" t="s">
        <v>30739</v>
      </c>
      <c r="BA3806">
        <v>1</v>
      </c>
      <c r="BB3806">
        <v>34.94</v>
      </c>
      <c r="BC3806">
        <v>0.08</v>
      </c>
      <c r="BD3806">
        <v>6.39</v>
      </c>
      <c r="BE3806">
        <v>6.39</v>
      </c>
      <c r="BF3806">
        <v>6.39</v>
      </c>
      <c r="BG3806" t="s">
        <v>30740</v>
      </c>
      <c r="BH3806" t="s">
        <v>15285</v>
      </c>
      <c r="BI3806" t="s">
        <v>30741</v>
      </c>
      <c r="BJ3806" t="s">
        <v>101</v>
      </c>
      <c r="BK3806" t="s">
        <v>4989</v>
      </c>
      <c r="BL3806" t="s">
        <v>28884</v>
      </c>
      <c r="BM3806" t="s">
        <v>10378</v>
      </c>
      <c r="BN3806" t="s">
        <v>27621</v>
      </c>
    </row>
    <row r="3807" spans="1:66" x14ac:dyDescent="0.25">
      <c r="A3807" t="str">
        <f>HYPERLINK("https://elite.finviz.com/quote.ashx?t=TPCS&amp;ty=c&amp;p=d&amp;b=1", "TPCS")</f>
        <v>TPCS</v>
      </c>
      <c r="B3807">
        <v>4</v>
      </c>
      <c r="C3807">
        <v>105.92</v>
      </c>
      <c r="D3807">
        <v>43.87</v>
      </c>
      <c r="E3807" t="s">
        <v>30742</v>
      </c>
      <c r="F3807" t="s">
        <v>107</v>
      </c>
      <c r="G3807" t="s">
        <v>260</v>
      </c>
      <c r="H3807" t="s">
        <v>2223</v>
      </c>
      <c r="I3807" t="s">
        <v>70</v>
      </c>
      <c r="J3807" t="s">
        <v>321</v>
      </c>
      <c r="K3807">
        <v>50.46</v>
      </c>
      <c r="L3807">
        <v>5.07</v>
      </c>
      <c r="M3807" t="s">
        <v>196</v>
      </c>
      <c r="N3807">
        <v>8759</v>
      </c>
      <c r="R3807">
        <v>1.51</v>
      </c>
      <c r="S3807">
        <v>6.03</v>
      </c>
      <c r="AA3807">
        <v>-0.2</v>
      </c>
      <c r="AB3807" t="s">
        <v>30743</v>
      </c>
      <c r="AC3807" t="s">
        <v>28879</v>
      </c>
      <c r="AE3807" t="s">
        <v>2108</v>
      </c>
      <c r="AF3807" t="s">
        <v>8456</v>
      </c>
      <c r="AG3807" t="s">
        <v>3939</v>
      </c>
      <c r="AH3807" t="s">
        <v>5428</v>
      </c>
      <c r="AJ3807" t="s">
        <v>164</v>
      </c>
      <c r="AK3807" t="s">
        <v>4944</v>
      </c>
      <c r="AL3807">
        <v>0.95</v>
      </c>
      <c r="AM3807">
        <v>0.76</v>
      </c>
      <c r="AN3807">
        <v>1.21</v>
      </c>
      <c r="AO3807" t="s">
        <v>11062</v>
      </c>
      <c r="AP3807" t="s">
        <v>2870</v>
      </c>
      <c r="AQ3807" t="s">
        <v>3509</v>
      </c>
      <c r="AR3807" t="s">
        <v>2822</v>
      </c>
      <c r="AS3807" t="s">
        <v>4908</v>
      </c>
      <c r="AT3807" t="s">
        <v>1929</v>
      </c>
      <c r="AU3807" t="s">
        <v>406</v>
      </c>
      <c r="AV3807" t="s">
        <v>10661</v>
      </c>
      <c r="AW3807" t="s">
        <v>18228</v>
      </c>
      <c r="AX3807" t="s">
        <v>8896</v>
      </c>
      <c r="AY3807" t="s">
        <v>18228</v>
      </c>
      <c r="AZ3807" t="s">
        <v>30744</v>
      </c>
      <c r="BB3807">
        <v>64.77</v>
      </c>
      <c r="BC3807">
        <v>0.48</v>
      </c>
      <c r="BD3807">
        <v>5.16</v>
      </c>
      <c r="BE3807">
        <v>5.16</v>
      </c>
      <c r="BF3807">
        <v>5.0999999999999996</v>
      </c>
      <c r="BG3807" t="s">
        <v>30745</v>
      </c>
      <c r="BH3807" t="s">
        <v>4613</v>
      </c>
      <c r="BI3807" t="s">
        <v>30746</v>
      </c>
      <c r="BJ3807" t="s">
        <v>101</v>
      </c>
      <c r="BK3807" t="s">
        <v>965</v>
      </c>
      <c r="BL3807" t="s">
        <v>5772</v>
      </c>
      <c r="BM3807" t="s">
        <v>18511</v>
      </c>
      <c r="BN3807" t="s">
        <v>27621</v>
      </c>
    </row>
    <row r="3808" spans="1:66" x14ac:dyDescent="0.25">
      <c r="A3808" t="str">
        <f>HYPERLINK("https://elite.finviz.com/quote.ashx?t=RPT&amp;ty=c&amp;p=d&amp;b=1", "RPT")</f>
        <v>RPT</v>
      </c>
      <c r="B3808">
        <v>4</v>
      </c>
      <c r="C3808">
        <v>105.92</v>
      </c>
      <c r="D3808">
        <v>43.88</v>
      </c>
      <c r="E3808" t="s">
        <v>30747</v>
      </c>
      <c r="F3808" t="s">
        <v>67</v>
      </c>
      <c r="G3808" t="s">
        <v>68</v>
      </c>
      <c r="H3808" t="s">
        <v>5566</v>
      </c>
      <c r="I3808" t="s">
        <v>70</v>
      </c>
      <c r="J3808" t="s">
        <v>71</v>
      </c>
      <c r="K3808">
        <v>116.96</v>
      </c>
      <c r="L3808">
        <v>2.58</v>
      </c>
      <c r="M3808" t="s">
        <v>4623</v>
      </c>
      <c r="N3808">
        <v>13993</v>
      </c>
      <c r="P3808">
        <v>12.88</v>
      </c>
      <c r="R3808">
        <v>2.4700000000000002</v>
      </c>
      <c r="S3808">
        <v>0.48</v>
      </c>
      <c r="T3808" t="s">
        <v>6945</v>
      </c>
      <c r="U3808">
        <v>0.24</v>
      </c>
      <c r="V3808" t="s">
        <v>3046</v>
      </c>
      <c r="W3808" t="s">
        <v>17458</v>
      </c>
      <c r="X3808" t="s">
        <v>20547</v>
      </c>
      <c r="Y3808" t="s">
        <v>9069</v>
      </c>
      <c r="AA3808">
        <v>-0.19</v>
      </c>
      <c r="AE3808" t="s">
        <v>1633</v>
      </c>
      <c r="AF3808" t="s">
        <v>23223</v>
      </c>
      <c r="AG3808" t="s">
        <v>17228</v>
      </c>
      <c r="AH3808" t="s">
        <v>18049</v>
      </c>
      <c r="AI3808" t="s">
        <v>579</v>
      </c>
      <c r="AJ3808" t="s">
        <v>164</v>
      </c>
      <c r="AK3808" t="s">
        <v>25163</v>
      </c>
      <c r="AL3808">
        <v>0.27</v>
      </c>
      <c r="AM3808">
        <v>0.27</v>
      </c>
      <c r="AN3808">
        <v>2.42</v>
      </c>
      <c r="AO3808" t="s">
        <v>30748</v>
      </c>
      <c r="AP3808" t="s">
        <v>30749</v>
      </c>
      <c r="AQ3808" t="s">
        <v>13451</v>
      </c>
      <c r="AR3808" t="s">
        <v>3638</v>
      </c>
      <c r="AS3808" t="s">
        <v>648</v>
      </c>
      <c r="AT3808" t="s">
        <v>6149</v>
      </c>
      <c r="AU3808" t="s">
        <v>2723</v>
      </c>
      <c r="AV3808" t="s">
        <v>500</v>
      </c>
      <c r="AW3808" t="s">
        <v>2332</v>
      </c>
      <c r="AX3808" t="s">
        <v>305</v>
      </c>
      <c r="AY3808" t="s">
        <v>18474</v>
      </c>
      <c r="AZ3808" t="s">
        <v>3751</v>
      </c>
      <c r="BA3808">
        <v>1.5</v>
      </c>
      <c r="BB3808">
        <v>263.77999999999997</v>
      </c>
      <c r="BC3808">
        <v>0.19</v>
      </c>
      <c r="BD3808">
        <v>2.56</v>
      </c>
      <c r="BE3808">
        <v>2.58</v>
      </c>
      <c r="BF3808">
        <v>2.57</v>
      </c>
      <c r="BG3808" t="s">
        <v>30750</v>
      </c>
      <c r="BH3808" t="s">
        <v>30751</v>
      </c>
      <c r="BI3808" t="s">
        <v>3751</v>
      </c>
      <c r="BJ3808" t="s">
        <v>101</v>
      </c>
      <c r="BK3808" t="s">
        <v>1149</v>
      </c>
      <c r="BL3808" t="s">
        <v>16226</v>
      </c>
      <c r="BM3808" t="s">
        <v>7461</v>
      </c>
      <c r="BN3808" t="s">
        <v>27621</v>
      </c>
    </row>
    <row r="3809" spans="1:66" x14ac:dyDescent="0.25">
      <c r="A3809" t="str">
        <f>HYPERLINK("https://elite.finviz.com/quote.ashx?t=VRTS&amp;ty=c&amp;p=d&amp;b=1", "VRTS")</f>
        <v>VRTS</v>
      </c>
      <c r="B3809">
        <v>4</v>
      </c>
      <c r="C3809">
        <v>105.92</v>
      </c>
      <c r="D3809">
        <v>43.89</v>
      </c>
      <c r="E3809" t="s">
        <v>30752</v>
      </c>
      <c r="F3809" t="s">
        <v>67</v>
      </c>
      <c r="G3809" t="s">
        <v>550</v>
      </c>
      <c r="H3809" t="s">
        <v>2597</v>
      </c>
      <c r="I3809" t="s">
        <v>70</v>
      </c>
      <c r="J3809" t="s">
        <v>71</v>
      </c>
      <c r="K3809">
        <v>1282.4000000000001</v>
      </c>
      <c r="L3809">
        <v>190.04</v>
      </c>
      <c r="M3809" t="s">
        <v>4507</v>
      </c>
      <c r="N3809">
        <v>23110</v>
      </c>
      <c r="O3809">
        <v>9.25</v>
      </c>
      <c r="P3809">
        <v>7.06</v>
      </c>
      <c r="Q3809">
        <v>3.39</v>
      </c>
      <c r="R3809">
        <v>1.46</v>
      </c>
      <c r="S3809">
        <v>1.43</v>
      </c>
      <c r="T3809" t="s">
        <v>2385</v>
      </c>
      <c r="U3809">
        <v>9</v>
      </c>
      <c r="V3809" t="s">
        <v>10250</v>
      </c>
      <c r="W3809" t="s">
        <v>3199</v>
      </c>
      <c r="X3809" t="s">
        <v>5443</v>
      </c>
      <c r="Y3809" t="s">
        <v>10513</v>
      </c>
      <c r="Z3809" t="s">
        <v>6553</v>
      </c>
      <c r="AA3809">
        <v>20.55</v>
      </c>
      <c r="AB3809" t="s">
        <v>1951</v>
      </c>
      <c r="AC3809" t="s">
        <v>9570</v>
      </c>
      <c r="AD3809" t="s">
        <v>2361</v>
      </c>
      <c r="AE3809" t="s">
        <v>1022</v>
      </c>
      <c r="AF3809" t="s">
        <v>4408</v>
      </c>
      <c r="AG3809" t="s">
        <v>2200</v>
      </c>
      <c r="AH3809" t="s">
        <v>2003</v>
      </c>
      <c r="AI3809" t="s">
        <v>3463</v>
      </c>
      <c r="AJ3809" t="s">
        <v>164</v>
      </c>
      <c r="AK3809" t="s">
        <v>13738</v>
      </c>
      <c r="AL3809">
        <v>1.61</v>
      </c>
      <c r="AM3809">
        <v>1.61</v>
      </c>
      <c r="AN3809">
        <v>0.36</v>
      </c>
      <c r="AO3809" t="s">
        <v>29482</v>
      </c>
      <c r="AP3809" t="s">
        <v>8491</v>
      </c>
      <c r="AQ3809" t="s">
        <v>5893</v>
      </c>
      <c r="AR3809" t="s">
        <v>180</v>
      </c>
      <c r="AS3809" t="s">
        <v>90</v>
      </c>
      <c r="AT3809" t="s">
        <v>4595</v>
      </c>
      <c r="AU3809" t="s">
        <v>11402</v>
      </c>
      <c r="AV3809" t="s">
        <v>3344</v>
      </c>
      <c r="AW3809" t="s">
        <v>19716</v>
      </c>
      <c r="AX3809" t="s">
        <v>2808</v>
      </c>
      <c r="AY3809" t="s">
        <v>4309</v>
      </c>
      <c r="AZ3809" t="s">
        <v>392</v>
      </c>
      <c r="BA3809">
        <v>3.5</v>
      </c>
      <c r="BB3809">
        <v>98.98</v>
      </c>
      <c r="BC3809">
        <v>0.82</v>
      </c>
      <c r="BD3809">
        <v>189.93</v>
      </c>
      <c r="BE3809">
        <v>191.25</v>
      </c>
      <c r="BF3809">
        <v>189.62</v>
      </c>
      <c r="BG3809" t="s">
        <v>30753</v>
      </c>
      <c r="BH3809" t="s">
        <v>29144</v>
      </c>
      <c r="BI3809" t="s">
        <v>30754</v>
      </c>
      <c r="BJ3809" t="s">
        <v>101</v>
      </c>
      <c r="BK3809" t="s">
        <v>5592</v>
      </c>
      <c r="BL3809" t="s">
        <v>1927</v>
      </c>
      <c r="BM3809" t="s">
        <v>17325</v>
      </c>
      <c r="BN3809" t="s">
        <v>27621</v>
      </c>
    </row>
    <row r="3810" spans="1:66" x14ac:dyDescent="0.25">
      <c r="A3810" t="str">
        <f>HYPERLINK("https://elite.finviz.com/quote.ashx?t=MYFW&amp;ty=c&amp;p=d&amp;b=1", "MYFW")</f>
        <v>MYFW</v>
      </c>
      <c r="B3810">
        <v>4</v>
      </c>
      <c r="C3810">
        <v>105.92</v>
      </c>
      <c r="D3810">
        <v>43.9</v>
      </c>
      <c r="E3810" t="s">
        <v>30755</v>
      </c>
      <c r="F3810" t="s">
        <v>67</v>
      </c>
      <c r="G3810" t="s">
        <v>550</v>
      </c>
      <c r="H3810" t="s">
        <v>697</v>
      </c>
      <c r="I3810" t="s">
        <v>70</v>
      </c>
      <c r="J3810" t="s">
        <v>321</v>
      </c>
      <c r="K3810">
        <v>217.68</v>
      </c>
      <c r="L3810">
        <v>22.4</v>
      </c>
      <c r="M3810" t="s">
        <v>5693</v>
      </c>
      <c r="N3810">
        <v>2553</v>
      </c>
      <c r="O3810">
        <v>18.96</v>
      </c>
      <c r="P3810">
        <v>11.14</v>
      </c>
      <c r="R3810">
        <v>1.22</v>
      </c>
      <c r="S3810">
        <v>0.84</v>
      </c>
      <c r="Z3810" t="s">
        <v>164</v>
      </c>
      <c r="AA3810">
        <v>1.18</v>
      </c>
      <c r="AB3810" t="s">
        <v>20490</v>
      </c>
      <c r="AC3810" t="s">
        <v>6541</v>
      </c>
      <c r="AE3810" t="s">
        <v>141</v>
      </c>
      <c r="AF3810" t="s">
        <v>2511</v>
      </c>
      <c r="AG3810" t="s">
        <v>10775</v>
      </c>
      <c r="AH3810" t="s">
        <v>2968</v>
      </c>
      <c r="AI3810" t="s">
        <v>24339</v>
      </c>
      <c r="AJ3810" t="s">
        <v>4086</v>
      </c>
      <c r="AK3810" t="s">
        <v>12440</v>
      </c>
      <c r="AL3810">
        <v>0.11</v>
      </c>
      <c r="AN3810">
        <v>0.89</v>
      </c>
      <c r="AP3810" t="s">
        <v>4815</v>
      </c>
      <c r="AQ3810" t="s">
        <v>2772</v>
      </c>
      <c r="AR3810" t="s">
        <v>1760</v>
      </c>
      <c r="AS3810" t="s">
        <v>4976</v>
      </c>
      <c r="AT3810" t="s">
        <v>11805</v>
      </c>
      <c r="AU3810" t="s">
        <v>2694</v>
      </c>
      <c r="AV3810" t="s">
        <v>5642</v>
      </c>
      <c r="AW3810" t="s">
        <v>2888</v>
      </c>
      <c r="AX3810" t="s">
        <v>1558</v>
      </c>
      <c r="AY3810" t="s">
        <v>2888</v>
      </c>
      <c r="AZ3810" t="s">
        <v>14099</v>
      </c>
      <c r="BA3810">
        <v>1.67</v>
      </c>
      <c r="BB3810">
        <v>50.1</v>
      </c>
      <c r="BC3810">
        <v>0.18</v>
      </c>
      <c r="BD3810">
        <v>22.59</v>
      </c>
      <c r="BE3810">
        <v>22.59</v>
      </c>
      <c r="BF3810">
        <v>22.59</v>
      </c>
      <c r="BG3810" t="s">
        <v>30756</v>
      </c>
      <c r="BH3810" t="s">
        <v>2830</v>
      </c>
      <c r="BI3810" t="s">
        <v>30757</v>
      </c>
      <c r="BJ3810" t="s">
        <v>101</v>
      </c>
      <c r="BK3810" t="s">
        <v>4273</v>
      </c>
      <c r="BL3810" t="s">
        <v>7255</v>
      </c>
      <c r="BM3810" t="s">
        <v>1794</v>
      </c>
      <c r="BN3810" t="s">
        <v>27621</v>
      </c>
    </row>
    <row r="3811" spans="1:66" x14ac:dyDescent="0.25">
      <c r="A3811" t="str">
        <f>HYPERLINK("https://elite.finviz.com/quote.ashx?t=RDAG&amp;ty=c&amp;p=d&amp;b=1", "RDAG")</f>
        <v>RDAG</v>
      </c>
      <c r="B3811">
        <v>4</v>
      </c>
      <c r="C3811">
        <v>105.92</v>
      </c>
      <c r="D3811">
        <v>43.9</v>
      </c>
      <c r="E3811" t="s">
        <v>30758</v>
      </c>
      <c r="F3811" t="s">
        <v>107</v>
      </c>
      <c r="G3811" t="s">
        <v>550</v>
      </c>
      <c r="H3811" t="s">
        <v>2120</v>
      </c>
      <c r="I3811" t="s">
        <v>70</v>
      </c>
      <c r="J3811" t="s">
        <v>321</v>
      </c>
      <c r="K3811">
        <v>383.25</v>
      </c>
      <c r="L3811">
        <v>10.220000000000001</v>
      </c>
      <c r="M3811" t="s">
        <v>2757</v>
      </c>
      <c r="N3811">
        <v>558</v>
      </c>
      <c r="S3811">
        <v>1.32</v>
      </c>
      <c r="AJ3811" t="s">
        <v>164</v>
      </c>
      <c r="AK3811" t="s">
        <v>1095</v>
      </c>
      <c r="AL3811">
        <v>16.43</v>
      </c>
      <c r="AM3811">
        <v>16.43</v>
      </c>
      <c r="AN3811">
        <v>0</v>
      </c>
      <c r="AR3811" t="s">
        <v>4539</v>
      </c>
      <c r="AS3811" t="s">
        <v>2646</v>
      </c>
      <c r="AT3811" t="s">
        <v>4538</v>
      </c>
      <c r="AU3811" t="s">
        <v>3896</v>
      </c>
      <c r="AV3811" t="s">
        <v>8932</v>
      </c>
      <c r="AW3811" t="s">
        <v>4595</v>
      </c>
      <c r="AX3811" t="s">
        <v>1439</v>
      </c>
      <c r="AY3811" t="s">
        <v>29856</v>
      </c>
      <c r="AZ3811" t="s">
        <v>1439</v>
      </c>
      <c r="BB3811">
        <v>87.43</v>
      </c>
      <c r="BC3811">
        <v>0.02</v>
      </c>
      <c r="BD3811">
        <v>10.210000000000001</v>
      </c>
      <c r="BE3811">
        <v>10.220000000000001</v>
      </c>
      <c r="BF3811">
        <v>10.220000000000001</v>
      </c>
      <c r="BG3811" t="s">
        <v>30759</v>
      </c>
      <c r="BH3811" t="s">
        <v>29856</v>
      </c>
      <c r="BI3811" t="s">
        <v>1439</v>
      </c>
      <c r="BJ3811" t="s">
        <v>101</v>
      </c>
      <c r="BK3811" t="s">
        <v>15000</v>
      </c>
      <c r="BN3811" t="s">
        <v>27621</v>
      </c>
    </row>
    <row r="3812" spans="1:66" x14ac:dyDescent="0.25">
      <c r="A3812" t="str">
        <f>HYPERLINK("https://elite.finviz.com/quote.ashx?t=BAFN&amp;ty=c&amp;p=d&amp;b=1", "BAFN")</f>
        <v>BAFN</v>
      </c>
      <c r="B3812">
        <v>4</v>
      </c>
      <c r="C3812">
        <v>105.92</v>
      </c>
      <c r="D3812">
        <v>43.95</v>
      </c>
      <c r="E3812" t="s">
        <v>30760</v>
      </c>
      <c r="F3812" t="s">
        <v>107</v>
      </c>
      <c r="G3812" t="s">
        <v>550</v>
      </c>
      <c r="H3812" t="s">
        <v>697</v>
      </c>
      <c r="I3812" t="s">
        <v>70</v>
      </c>
      <c r="J3812" t="s">
        <v>321</v>
      </c>
      <c r="K3812">
        <v>35.68</v>
      </c>
      <c r="L3812">
        <v>8.6300000000000008</v>
      </c>
      <c r="M3812" t="s">
        <v>6056</v>
      </c>
      <c r="N3812">
        <v>2539</v>
      </c>
      <c r="O3812">
        <v>5</v>
      </c>
      <c r="R3812">
        <v>0.28999999999999998</v>
      </c>
      <c r="S3812">
        <v>0.39</v>
      </c>
      <c r="T3812" t="s">
        <v>5780</v>
      </c>
      <c r="U3812">
        <v>0.24</v>
      </c>
      <c r="V3812" t="s">
        <v>30761</v>
      </c>
      <c r="W3812" t="s">
        <v>164</v>
      </c>
      <c r="X3812" t="s">
        <v>4104</v>
      </c>
      <c r="Y3812" t="s">
        <v>4394</v>
      </c>
      <c r="Z3812" t="s">
        <v>6946</v>
      </c>
      <c r="AA3812">
        <v>1.73</v>
      </c>
      <c r="AB3812" t="s">
        <v>30762</v>
      </c>
      <c r="AC3812" t="s">
        <v>5587</v>
      </c>
      <c r="AE3812" t="s">
        <v>2448</v>
      </c>
      <c r="AF3812" t="s">
        <v>9151</v>
      </c>
      <c r="AG3812" t="s">
        <v>1370</v>
      </c>
      <c r="AH3812" t="s">
        <v>6584</v>
      </c>
      <c r="AJ3812" t="s">
        <v>629</v>
      </c>
      <c r="AK3812" t="s">
        <v>8209</v>
      </c>
      <c r="AL3812">
        <v>0.08</v>
      </c>
      <c r="AN3812">
        <v>0.56999999999999995</v>
      </c>
      <c r="AP3812" t="s">
        <v>1022</v>
      </c>
      <c r="AQ3812" t="s">
        <v>10926</v>
      </c>
      <c r="AR3812" t="s">
        <v>6975</v>
      </c>
      <c r="AS3812" t="s">
        <v>2108</v>
      </c>
      <c r="AT3812" t="s">
        <v>1765</v>
      </c>
      <c r="AU3812" t="s">
        <v>12344</v>
      </c>
      <c r="AV3812" t="s">
        <v>29013</v>
      </c>
      <c r="AW3812" t="s">
        <v>30763</v>
      </c>
      <c r="AX3812" t="s">
        <v>12636</v>
      </c>
      <c r="AY3812" t="s">
        <v>15065</v>
      </c>
      <c r="AZ3812" t="s">
        <v>12636</v>
      </c>
      <c r="BB3812">
        <v>16.87</v>
      </c>
      <c r="BC3812">
        <v>0.53</v>
      </c>
      <c r="BD3812">
        <v>8.5</v>
      </c>
      <c r="BE3812">
        <v>9</v>
      </c>
      <c r="BF3812">
        <v>8.6</v>
      </c>
      <c r="BG3812" t="s">
        <v>30764</v>
      </c>
      <c r="BH3812" t="s">
        <v>12509</v>
      </c>
      <c r="BI3812" t="s">
        <v>21774</v>
      </c>
      <c r="BJ3812" t="s">
        <v>101</v>
      </c>
      <c r="BK3812" t="s">
        <v>18223</v>
      </c>
      <c r="BL3812" t="s">
        <v>30765</v>
      </c>
      <c r="BM3812" t="s">
        <v>29123</v>
      </c>
      <c r="BN3812" t="s">
        <v>27621</v>
      </c>
    </row>
    <row r="3813" spans="1:66" x14ac:dyDescent="0.25">
      <c r="A3813" t="str">
        <f>HYPERLINK("https://elite.finviz.com/quote.ashx?t=FPAY&amp;ty=c&amp;p=d&amp;b=1", "FPAY")</f>
        <v>FPAY</v>
      </c>
      <c r="B3813">
        <v>4</v>
      </c>
      <c r="C3813">
        <v>105.92</v>
      </c>
      <c r="D3813">
        <v>43.96</v>
      </c>
      <c r="E3813" t="s">
        <v>30766</v>
      </c>
      <c r="F3813" t="s">
        <v>107</v>
      </c>
      <c r="G3813" t="s">
        <v>260</v>
      </c>
      <c r="H3813" t="s">
        <v>7905</v>
      </c>
      <c r="I3813" t="s">
        <v>70</v>
      </c>
      <c r="J3813" t="s">
        <v>321</v>
      </c>
      <c r="K3813">
        <v>15</v>
      </c>
      <c r="L3813">
        <v>0.7</v>
      </c>
      <c r="M3813" t="s">
        <v>6478</v>
      </c>
      <c r="N3813">
        <v>6488</v>
      </c>
      <c r="R3813">
        <v>0.11</v>
      </c>
      <c r="S3813">
        <v>1.66</v>
      </c>
      <c r="AA3813">
        <v>-0.22</v>
      </c>
      <c r="AC3813" t="s">
        <v>5133</v>
      </c>
      <c r="AE3813" t="s">
        <v>15580</v>
      </c>
      <c r="AF3813" t="s">
        <v>2764</v>
      </c>
      <c r="AG3813" t="s">
        <v>3141</v>
      </c>
      <c r="AH3813" t="s">
        <v>3103</v>
      </c>
      <c r="AI3813" t="s">
        <v>1647</v>
      </c>
      <c r="AJ3813" t="s">
        <v>1417</v>
      </c>
      <c r="AK3813" t="s">
        <v>913</v>
      </c>
      <c r="AL3813">
        <v>7.1</v>
      </c>
      <c r="AM3813">
        <v>5.88</v>
      </c>
      <c r="AN3813">
        <v>4.93</v>
      </c>
      <c r="AO3813" t="s">
        <v>7885</v>
      </c>
      <c r="AP3813" t="s">
        <v>1670</v>
      </c>
      <c r="AQ3813" t="s">
        <v>5356</v>
      </c>
      <c r="AR3813" t="s">
        <v>3076</v>
      </c>
      <c r="AS3813" t="s">
        <v>6532</v>
      </c>
      <c r="AT3813" t="s">
        <v>17477</v>
      </c>
      <c r="AU3813" t="s">
        <v>16215</v>
      </c>
      <c r="AV3813" t="s">
        <v>26589</v>
      </c>
      <c r="AW3813" t="s">
        <v>11833</v>
      </c>
      <c r="AX3813" t="s">
        <v>17244</v>
      </c>
      <c r="AY3813" t="s">
        <v>30767</v>
      </c>
      <c r="AZ3813" t="s">
        <v>17244</v>
      </c>
      <c r="BA3813">
        <v>1</v>
      </c>
      <c r="BB3813">
        <v>170.68</v>
      </c>
      <c r="BC3813">
        <v>0.14000000000000001</v>
      </c>
      <c r="BD3813">
        <v>0.69</v>
      </c>
      <c r="BE3813">
        <v>0.7</v>
      </c>
      <c r="BF3813">
        <v>0.69</v>
      </c>
      <c r="BG3813" t="s">
        <v>30768</v>
      </c>
      <c r="BH3813" t="s">
        <v>24252</v>
      </c>
      <c r="BI3813" t="s">
        <v>17244</v>
      </c>
      <c r="BJ3813" t="s">
        <v>101</v>
      </c>
      <c r="BK3813" t="s">
        <v>4070</v>
      </c>
      <c r="BL3813" t="s">
        <v>18615</v>
      </c>
      <c r="BM3813" t="s">
        <v>30769</v>
      </c>
      <c r="BN3813" t="s">
        <v>27621</v>
      </c>
    </row>
    <row r="3814" spans="1:66" x14ac:dyDescent="0.25">
      <c r="A3814" t="str">
        <f>HYPERLINK("https://elite.finviz.com/quote.ashx?t=LKFN&amp;ty=c&amp;p=d&amp;b=1", "LKFN")</f>
        <v>LKFN</v>
      </c>
      <c r="B3814">
        <v>4</v>
      </c>
      <c r="C3814">
        <v>105.92</v>
      </c>
      <c r="D3814">
        <v>44.04</v>
      </c>
      <c r="E3814" t="s">
        <v>30770</v>
      </c>
      <c r="F3814" t="s">
        <v>67</v>
      </c>
      <c r="G3814" t="s">
        <v>550</v>
      </c>
      <c r="H3814" t="s">
        <v>697</v>
      </c>
      <c r="I3814" t="s">
        <v>70</v>
      </c>
      <c r="J3814" t="s">
        <v>321</v>
      </c>
      <c r="K3814">
        <v>1638.78</v>
      </c>
      <c r="L3814">
        <v>64.19</v>
      </c>
      <c r="M3814" t="s">
        <v>3388</v>
      </c>
      <c r="N3814">
        <v>30501</v>
      </c>
      <c r="O3814">
        <v>17.5</v>
      </c>
      <c r="P3814">
        <v>15.39</v>
      </c>
      <c r="R3814">
        <v>3.91</v>
      </c>
      <c r="S3814">
        <v>2.31</v>
      </c>
      <c r="T3814" t="s">
        <v>6104</v>
      </c>
      <c r="U3814">
        <v>1.98</v>
      </c>
      <c r="V3814" t="s">
        <v>12255</v>
      </c>
      <c r="W3814" t="s">
        <v>3520</v>
      </c>
      <c r="X3814" t="s">
        <v>6068</v>
      </c>
      <c r="Y3814" t="s">
        <v>6315</v>
      </c>
      <c r="Z3814" t="s">
        <v>20815</v>
      </c>
      <c r="AA3814">
        <v>3.67</v>
      </c>
      <c r="AB3814" t="s">
        <v>1722</v>
      </c>
      <c r="AC3814" t="s">
        <v>6829</v>
      </c>
      <c r="AE3814" t="s">
        <v>13117</v>
      </c>
      <c r="AF3814" t="s">
        <v>12136</v>
      </c>
      <c r="AG3814" t="s">
        <v>177</v>
      </c>
      <c r="AH3814" t="s">
        <v>9240</v>
      </c>
      <c r="AI3814" t="s">
        <v>1207</v>
      </c>
      <c r="AJ3814" t="s">
        <v>4703</v>
      </c>
      <c r="AK3814" t="s">
        <v>991</v>
      </c>
      <c r="AL3814">
        <v>0.27</v>
      </c>
      <c r="AN3814">
        <v>0.02</v>
      </c>
      <c r="AP3814" t="s">
        <v>10599</v>
      </c>
      <c r="AQ3814" t="s">
        <v>10412</v>
      </c>
      <c r="AR3814" t="s">
        <v>2307</v>
      </c>
      <c r="AS3814" t="s">
        <v>92</v>
      </c>
      <c r="AT3814" t="s">
        <v>17603</v>
      </c>
      <c r="AU3814" t="s">
        <v>7646</v>
      </c>
      <c r="AV3814" t="s">
        <v>102</v>
      </c>
      <c r="AW3814" t="s">
        <v>14732</v>
      </c>
      <c r="AX3814" t="s">
        <v>3228</v>
      </c>
      <c r="AY3814" t="s">
        <v>15308</v>
      </c>
      <c r="AZ3814" t="s">
        <v>5401</v>
      </c>
      <c r="BA3814">
        <v>2.4</v>
      </c>
      <c r="BB3814">
        <v>166.5</v>
      </c>
      <c r="BC3814">
        <v>0.65</v>
      </c>
      <c r="BD3814">
        <v>64.44</v>
      </c>
      <c r="BE3814">
        <v>65.739999999999995</v>
      </c>
      <c r="BF3814">
        <v>64.17</v>
      </c>
      <c r="BG3814" t="s">
        <v>30771</v>
      </c>
      <c r="BH3814" t="s">
        <v>28236</v>
      </c>
      <c r="BI3814" t="s">
        <v>30772</v>
      </c>
      <c r="BJ3814" t="s">
        <v>101</v>
      </c>
      <c r="BK3814" t="s">
        <v>371</v>
      </c>
      <c r="BL3814" t="s">
        <v>1026</v>
      </c>
      <c r="BM3814" t="s">
        <v>4537</v>
      </c>
      <c r="BN3814" t="s">
        <v>27621</v>
      </c>
    </row>
    <row r="3815" spans="1:66" x14ac:dyDescent="0.25">
      <c r="A3815" t="str">
        <f>HYPERLINK("https://elite.finviz.com/quote.ashx?t=CTSO&amp;ty=c&amp;p=d&amp;b=1", "CTSO")</f>
        <v>CTSO</v>
      </c>
      <c r="B3815">
        <v>4</v>
      </c>
      <c r="C3815">
        <v>105.92</v>
      </c>
      <c r="D3815">
        <v>44.05</v>
      </c>
      <c r="E3815" t="s">
        <v>30773</v>
      </c>
      <c r="F3815" t="s">
        <v>107</v>
      </c>
      <c r="G3815" t="s">
        <v>428</v>
      </c>
      <c r="H3815" t="s">
        <v>2051</v>
      </c>
      <c r="I3815" t="s">
        <v>70</v>
      </c>
      <c r="J3815" t="s">
        <v>321</v>
      </c>
      <c r="K3815">
        <v>57.62</v>
      </c>
      <c r="L3815">
        <v>0.92</v>
      </c>
      <c r="M3815" t="s">
        <v>5693</v>
      </c>
      <c r="N3815">
        <v>20420</v>
      </c>
      <c r="R3815">
        <v>1.68</v>
      </c>
      <c r="S3815">
        <v>4.96</v>
      </c>
      <c r="AA3815">
        <v>-0.18</v>
      </c>
      <c r="AB3815" t="s">
        <v>4593</v>
      </c>
      <c r="AC3815" t="s">
        <v>863</v>
      </c>
      <c r="AD3815" t="s">
        <v>30774</v>
      </c>
      <c r="AE3815" t="s">
        <v>6246</v>
      </c>
      <c r="AF3815" t="s">
        <v>4517</v>
      </c>
      <c r="AG3815" t="s">
        <v>5383</v>
      </c>
      <c r="AH3815" t="s">
        <v>5686</v>
      </c>
      <c r="AI3815" t="s">
        <v>16956</v>
      </c>
      <c r="AJ3815" t="s">
        <v>164</v>
      </c>
      <c r="AK3815" t="s">
        <v>9147</v>
      </c>
      <c r="AL3815">
        <v>2.34</v>
      </c>
      <c r="AM3815">
        <v>1.96</v>
      </c>
      <c r="AN3815">
        <v>2.36</v>
      </c>
      <c r="AO3815" t="s">
        <v>19016</v>
      </c>
      <c r="AP3815" t="s">
        <v>30775</v>
      </c>
      <c r="AQ3815" t="s">
        <v>30776</v>
      </c>
      <c r="AR3815" t="s">
        <v>371</v>
      </c>
      <c r="AS3815" t="s">
        <v>6404</v>
      </c>
      <c r="AT3815" t="s">
        <v>10958</v>
      </c>
      <c r="AU3815" t="s">
        <v>8139</v>
      </c>
      <c r="AV3815" t="s">
        <v>5205</v>
      </c>
      <c r="AW3815" t="s">
        <v>24184</v>
      </c>
      <c r="AX3815" t="s">
        <v>8807</v>
      </c>
      <c r="AY3815" t="s">
        <v>29255</v>
      </c>
      <c r="AZ3815" t="s">
        <v>1679</v>
      </c>
      <c r="BA3815">
        <v>2</v>
      </c>
      <c r="BB3815">
        <v>180.89</v>
      </c>
      <c r="BC3815">
        <v>0.4</v>
      </c>
      <c r="BD3815">
        <v>0.93</v>
      </c>
      <c r="BE3815">
        <v>0.95</v>
      </c>
      <c r="BF3815">
        <v>0.91</v>
      </c>
      <c r="BG3815" t="s">
        <v>30777</v>
      </c>
      <c r="BH3815" t="s">
        <v>18560</v>
      </c>
      <c r="BI3815" t="s">
        <v>7717</v>
      </c>
      <c r="BJ3815" t="s">
        <v>101</v>
      </c>
      <c r="BK3815" t="s">
        <v>26060</v>
      </c>
      <c r="BL3815" t="s">
        <v>647</v>
      </c>
      <c r="BM3815" t="s">
        <v>25244</v>
      </c>
      <c r="BN3815" t="s">
        <v>27621</v>
      </c>
    </row>
    <row r="3816" spans="1:66" x14ac:dyDescent="0.25">
      <c r="A3816" t="str">
        <f>HYPERLINK("https://elite.finviz.com/quote.ashx?t=MKL&amp;ty=c&amp;p=d&amp;b=1", "MKL")</f>
        <v>MKL</v>
      </c>
      <c r="B3816">
        <v>4</v>
      </c>
      <c r="C3816">
        <v>105.92</v>
      </c>
      <c r="D3816">
        <v>44.06</v>
      </c>
      <c r="E3816" t="s">
        <v>30778</v>
      </c>
      <c r="F3816" t="s">
        <v>107</v>
      </c>
      <c r="G3816" t="s">
        <v>550</v>
      </c>
      <c r="H3816" t="s">
        <v>4407</v>
      </c>
      <c r="I3816" t="s">
        <v>70</v>
      </c>
      <c r="J3816" t="s">
        <v>71</v>
      </c>
      <c r="K3816">
        <v>24206.63</v>
      </c>
      <c r="L3816">
        <v>1913.27</v>
      </c>
      <c r="M3816" t="s">
        <v>149</v>
      </c>
      <c r="N3816">
        <v>6980</v>
      </c>
      <c r="O3816">
        <v>11.47</v>
      </c>
      <c r="P3816">
        <v>18.190000000000001</v>
      </c>
      <c r="Q3816">
        <v>1.4</v>
      </c>
      <c r="R3816">
        <v>1.47</v>
      </c>
      <c r="S3816">
        <v>1.4</v>
      </c>
      <c r="Z3816" t="s">
        <v>164</v>
      </c>
      <c r="AA3816">
        <v>166.74</v>
      </c>
      <c r="AB3816" t="s">
        <v>4299</v>
      </c>
      <c r="AC3816" t="s">
        <v>8662</v>
      </c>
      <c r="AD3816" t="s">
        <v>7511</v>
      </c>
      <c r="AE3816" t="s">
        <v>3494</v>
      </c>
      <c r="AF3816" t="s">
        <v>5911</v>
      </c>
      <c r="AG3816" t="s">
        <v>2820</v>
      </c>
      <c r="AH3816" t="s">
        <v>9999</v>
      </c>
      <c r="AI3816" t="s">
        <v>3544</v>
      </c>
      <c r="AJ3816" t="s">
        <v>1364</v>
      </c>
      <c r="AK3816" t="s">
        <v>30779</v>
      </c>
      <c r="AL3816">
        <v>0.72</v>
      </c>
      <c r="AN3816">
        <v>0.25</v>
      </c>
      <c r="AP3816" t="s">
        <v>8466</v>
      </c>
      <c r="AQ3816" t="s">
        <v>4109</v>
      </c>
      <c r="AR3816" t="s">
        <v>5116</v>
      </c>
      <c r="AS3816" t="s">
        <v>3551</v>
      </c>
      <c r="AT3816" t="s">
        <v>575</v>
      </c>
      <c r="AU3816" t="s">
        <v>4155</v>
      </c>
      <c r="AV3816" t="s">
        <v>5084</v>
      </c>
      <c r="AW3816" t="s">
        <v>12610</v>
      </c>
      <c r="AX3816" t="s">
        <v>3552</v>
      </c>
      <c r="AY3816" t="s">
        <v>12610</v>
      </c>
      <c r="AZ3816" t="s">
        <v>12158</v>
      </c>
      <c r="BA3816">
        <v>3.22</v>
      </c>
      <c r="BB3816">
        <v>43.58</v>
      </c>
      <c r="BC3816">
        <v>0.56000000000000005</v>
      </c>
      <c r="BD3816">
        <v>1904.31</v>
      </c>
      <c r="BE3816">
        <v>1927.77</v>
      </c>
      <c r="BF3816">
        <v>1910</v>
      </c>
      <c r="BG3816" t="s">
        <v>30780</v>
      </c>
      <c r="BH3816" t="s">
        <v>12610</v>
      </c>
      <c r="BI3816" t="s">
        <v>30781</v>
      </c>
      <c r="BJ3816" t="s">
        <v>101</v>
      </c>
      <c r="BK3816" t="s">
        <v>4439</v>
      </c>
      <c r="BL3816" t="s">
        <v>2868</v>
      </c>
      <c r="BM3816" t="s">
        <v>3522</v>
      </c>
      <c r="BN3816" t="s">
        <v>27621</v>
      </c>
    </row>
    <row r="3817" spans="1:66" x14ac:dyDescent="0.25">
      <c r="A3817" t="str">
        <f>HYPERLINK("https://elite.finviz.com/quote.ashx?t=ULBI&amp;ty=c&amp;p=d&amp;b=1", "ULBI")</f>
        <v>ULBI</v>
      </c>
      <c r="B3817">
        <v>4</v>
      </c>
      <c r="C3817">
        <v>105.92</v>
      </c>
      <c r="D3817">
        <v>44.06</v>
      </c>
      <c r="E3817" t="s">
        <v>30782</v>
      </c>
      <c r="F3817" t="s">
        <v>107</v>
      </c>
      <c r="G3817" t="s">
        <v>260</v>
      </c>
      <c r="H3817" t="s">
        <v>1128</v>
      </c>
      <c r="I3817" t="s">
        <v>70</v>
      </c>
      <c r="J3817" t="s">
        <v>321</v>
      </c>
      <c r="K3817">
        <v>112.68</v>
      </c>
      <c r="L3817">
        <v>6.77</v>
      </c>
      <c r="M3817" t="s">
        <v>2694</v>
      </c>
      <c r="N3817">
        <v>6712</v>
      </c>
      <c r="O3817">
        <v>35.369999999999997</v>
      </c>
      <c r="R3817">
        <v>0.63</v>
      </c>
      <c r="S3817">
        <v>0.81</v>
      </c>
      <c r="Z3817" t="s">
        <v>164</v>
      </c>
      <c r="AA3817">
        <v>0.19</v>
      </c>
      <c r="AC3817" t="s">
        <v>1391</v>
      </c>
      <c r="AE3817" t="s">
        <v>276</v>
      </c>
      <c r="AF3817" t="s">
        <v>347</v>
      </c>
      <c r="AG3817" t="s">
        <v>3648</v>
      </c>
      <c r="AH3817" t="s">
        <v>9987</v>
      </c>
      <c r="AI3817" t="s">
        <v>4159</v>
      </c>
      <c r="AJ3817" t="s">
        <v>2219</v>
      </c>
      <c r="AK3817" t="s">
        <v>1256</v>
      </c>
      <c r="AL3817">
        <v>3.31</v>
      </c>
      <c r="AM3817">
        <v>1.62</v>
      </c>
      <c r="AN3817">
        <v>0.4</v>
      </c>
      <c r="AO3817" t="s">
        <v>1701</v>
      </c>
      <c r="AP3817" t="s">
        <v>4744</v>
      </c>
      <c r="AQ3817" t="s">
        <v>2201</v>
      </c>
      <c r="AR3817" t="s">
        <v>2542</v>
      </c>
      <c r="AS3817" t="s">
        <v>8229</v>
      </c>
      <c r="AT3817" t="s">
        <v>6838</v>
      </c>
      <c r="AU3817" t="s">
        <v>11163</v>
      </c>
      <c r="AV3817" t="s">
        <v>5721</v>
      </c>
      <c r="AW3817" t="s">
        <v>8310</v>
      </c>
      <c r="AX3817" t="s">
        <v>6028</v>
      </c>
      <c r="AY3817" t="s">
        <v>3333</v>
      </c>
      <c r="AZ3817" t="s">
        <v>16808</v>
      </c>
      <c r="BA3817">
        <v>1</v>
      </c>
      <c r="BB3817">
        <v>83.47</v>
      </c>
      <c r="BC3817">
        <v>0.28000000000000003</v>
      </c>
      <c r="BD3817">
        <v>6.83</v>
      </c>
      <c r="BE3817">
        <v>6.94</v>
      </c>
      <c r="BF3817">
        <v>6.77</v>
      </c>
      <c r="BG3817" t="s">
        <v>30783</v>
      </c>
      <c r="BH3817" t="s">
        <v>30784</v>
      </c>
      <c r="BI3817" t="s">
        <v>30785</v>
      </c>
      <c r="BJ3817" t="s">
        <v>101</v>
      </c>
      <c r="BK3817" t="s">
        <v>17450</v>
      </c>
      <c r="BL3817" t="s">
        <v>7581</v>
      </c>
      <c r="BM3817" t="s">
        <v>16249</v>
      </c>
      <c r="BN3817" t="s">
        <v>27621</v>
      </c>
    </row>
    <row r="3818" spans="1:66" x14ac:dyDescent="0.25">
      <c r="A3818" t="str">
        <f>HYPERLINK("https://elite.finviz.com/quote.ashx?t=IPCX&amp;ty=c&amp;p=d&amp;b=1", "IPCX")</f>
        <v>IPCX</v>
      </c>
      <c r="B3818">
        <v>4</v>
      </c>
      <c r="C3818">
        <v>105.92</v>
      </c>
      <c r="D3818">
        <v>44.06</v>
      </c>
      <c r="E3818" t="s">
        <v>30786</v>
      </c>
      <c r="F3818" t="s">
        <v>107</v>
      </c>
      <c r="G3818" t="s">
        <v>550</v>
      </c>
      <c r="H3818" t="s">
        <v>2120</v>
      </c>
      <c r="I3818" t="s">
        <v>70</v>
      </c>
      <c r="J3818" t="s">
        <v>321</v>
      </c>
      <c r="K3818">
        <v>347.84</v>
      </c>
      <c r="L3818">
        <v>10.09</v>
      </c>
      <c r="M3818" t="s">
        <v>1083</v>
      </c>
      <c r="N3818">
        <v>338</v>
      </c>
      <c r="S3818">
        <v>1.42</v>
      </c>
      <c r="AJ3818" t="s">
        <v>164</v>
      </c>
      <c r="AK3818" t="s">
        <v>20779</v>
      </c>
      <c r="AL3818">
        <v>10.46</v>
      </c>
      <c r="AM3818">
        <v>10.46</v>
      </c>
      <c r="AN3818">
        <v>0</v>
      </c>
      <c r="AR3818" t="s">
        <v>6156</v>
      </c>
      <c r="AS3818" t="s">
        <v>6156</v>
      </c>
      <c r="AT3818" t="s">
        <v>1249</v>
      </c>
      <c r="AU3818" t="s">
        <v>2103</v>
      </c>
      <c r="AV3818" t="s">
        <v>8374</v>
      </c>
      <c r="AW3818" t="s">
        <v>4763</v>
      </c>
      <c r="AX3818" t="s">
        <v>2423</v>
      </c>
      <c r="AY3818" t="s">
        <v>9938</v>
      </c>
      <c r="AZ3818" t="s">
        <v>2423</v>
      </c>
      <c r="BB3818">
        <v>140.96</v>
      </c>
      <c r="BC3818">
        <v>0.01</v>
      </c>
      <c r="BD3818">
        <v>10.07</v>
      </c>
      <c r="BE3818">
        <v>10.08</v>
      </c>
      <c r="BF3818">
        <v>10.08</v>
      </c>
      <c r="BG3818" t="s">
        <v>30787</v>
      </c>
      <c r="BH3818" t="s">
        <v>9938</v>
      </c>
      <c r="BI3818" t="s">
        <v>2423</v>
      </c>
      <c r="BJ3818" t="s">
        <v>101</v>
      </c>
      <c r="BK3818" t="s">
        <v>5824</v>
      </c>
      <c r="BN3818" t="s">
        <v>27621</v>
      </c>
    </row>
    <row r="3819" spans="1:66" x14ac:dyDescent="0.25">
      <c r="A3819" t="str">
        <f>HYPERLINK("https://elite.finviz.com/quote.ashx?t=SAFT&amp;ty=c&amp;p=d&amp;b=1", "SAFT")</f>
        <v>SAFT</v>
      </c>
      <c r="B3819">
        <v>4</v>
      </c>
      <c r="C3819">
        <v>105.92</v>
      </c>
      <c r="D3819">
        <v>44.07</v>
      </c>
      <c r="E3819" t="s">
        <v>30788</v>
      </c>
      <c r="F3819" t="s">
        <v>67</v>
      </c>
      <c r="G3819" t="s">
        <v>550</v>
      </c>
      <c r="H3819" t="s">
        <v>4407</v>
      </c>
      <c r="I3819" t="s">
        <v>70</v>
      </c>
      <c r="J3819" t="s">
        <v>321</v>
      </c>
      <c r="K3819">
        <v>1065.3900000000001</v>
      </c>
      <c r="L3819">
        <v>71.53</v>
      </c>
      <c r="M3819" t="s">
        <v>8228</v>
      </c>
      <c r="N3819">
        <v>5926</v>
      </c>
      <c r="O3819">
        <v>12.52</v>
      </c>
      <c r="P3819">
        <v>10.220000000000001</v>
      </c>
      <c r="Q3819">
        <v>0.66</v>
      </c>
      <c r="R3819">
        <v>0.89</v>
      </c>
      <c r="S3819">
        <v>1.22</v>
      </c>
      <c r="T3819" t="s">
        <v>2744</v>
      </c>
      <c r="U3819">
        <v>3.62</v>
      </c>
      <c r="V3819" t="s">
        <v>2187</v>
      </c>
      <c r="W3819" t="s">
        <v>164</v>
      </c>
      <c r="X3819" t="s">
        <v>164</v>
      </c>
      <c r="Y3819" t="s">
        <v>1488</v>
      </c>
      <c r="Z3819" t="s">
        <v>30789</v>
      </c>
      <c r="AA3819">
        <v>5.71</v>
      </c>
      <c r="AB3819" t="s">
        <v>9320</v>
      </c>
      <c r="AC3819" t="s">
        <v>4691</v>
      </c>
      <c r="AD3819" t="s">
        <v>9006</v>
      </c>
      <c r="AE3819" t="s">
        <v>11559</v>
      </c>
      <c r="AF3819" t="s">
        <v>4815</v>
      </c>
      <c r="AG3819" t="s">
        <v>322</v>
      </c>
      <c r="AH3819" t="s">
        <v>15044</v>
      </c>
      <c r="AI3819" t="s">
        <v>8910</v>
      </c>
      <c r="AJ3819" t="s">
        <v>5166</v>
      </c>
      <c r="AK3819" t="s">
        <v>30790</v>
      </c>
      <c r="AL3819">
        <v>0.78</v>
      </c>
      <c r="AN3819">
        <v>0.05</v>
      </c>
      <c r="AP3819" t="s">
        <v>11639</v>
      </c>
      <c r="AQ3819" t="s">
        <v>2448</v>
      </c>
      <c r="AR3819" t="s">
        <v>2424</v>
      </c>
      <c r="AS3819" t="s">
        <v>3757</v>
      </c>
      <c r="AT3819" t="s">
        <v>525</v>
      </c>
      <c r="AU3819" t="s">
        <v>4828</v>
      </c>
      <c r="AV3819" t="s">
        <v>3300</v>
      </c>
      <c r="AW3819" t="s">
        <v>2951</v>
      </c>
      <c r="AX3819" t="s">
        <v>926</v>
      </c>
      <c r="AY3819" t="s">
        <v>7205</v>
      </c>
      <c r="AZ3819" t="s">
        <v>926</v>
      </c>
      <c r="BA3819">
        <v>3</v>
      </c>
      <c r="BB3819">
        <v>92.74</v>
      </c>
      <c r="BC3819">
        <v>0.23</v>
      </c>
      <c r="BD3819">
        <v>71.2</v>
      </c>
      <c r="BE3819">
        <v>71.930000000000007</v>
      </c>
      <c r="BF3819">
        <v>71.14</v>
      </c>
      <c r="BG3819" t="s">
        <v>30791</v>
      </c>
      <c r="BH3819" t="s">
        <v>19545</v>
      </c>
      <c r="BI3819" t="s">
        <v>30792</v>
      </c>
      <c r="BJ3819" t="s">
        <v>101</v>
      </c>
      <c r="BK3819" t="s">
        <v>10170</v>
      </c>
      <c r="BL3819" t="s">
        <v>10769</v>
      </c>
      <c r="BM3819" t="s">
        <v>8021</v>
      </c>
      <c r="BN3819" t="s">
        <v>27621</v>
      </c>
    </row>
    <row r="3820" spans="1:66" x14ac:dyDescent="0.25">
      <c r="A3820" t="str">
        <f>HYPERLINK("https://elite.finviz.com/quote.ashx?t=RMSG&amp;ty=c&amp;p=d&amp;b=1", "RMSG")</f>
        <v>RMSG</v>
      </c>
      <c r="B3820">
        <v>4</v>
      </c>
      <c r="C3820">
        <v>105.92</v>
      </c>
      <c r="D3820">
        <v>44.08</v>
      </c>
      <c r="E3820" t="s">
        <v>30793</v>
      </c>
      <c r="F3820" t="s">
        <v>107</v>
      </c>
      <c r="G3820" t="s">
        <v>598</v>
      </c>
      <c r="H3820" t="s">
        <v>599</v>
      </c>
      <c r="I3820" t="s">
        <v>70</v>
      </c>
      <c r="J3820" t="s">
        <v>321</v>
      </c>
      <c r="K3820">
        <v>12.76</v>
      </c>
      <c r="L3820">
        <v>2.52</v>
      </c>
      <c r="M3820" t="s">
        <v>1022</v>
      </c>
      <c r="N3820">
        <v>413</v>
      </c>
      <c r="AA3820">
        <v>-0.01</v>
      </c>
      <c r="AJ3820" t="s">
        <v>164</v>
      </c>
      <c r="AK3820" t="s">
        <v>497</v>
      </c>
      <c r="AL3820">
        <v>0.04</v>
      </c>
      <c r="AM3820">
        <v>0.04</v>
      </c>
      <c r="AR3820" t="s">
        <v>2542</v>
      </c>
      <c r="AS3820" t="s">
        <v>5318</v>
      </c>
      <c r="AT3820" t="s">
        <v>5641</v>
      </c>
      <c r="AU3820" t="s">
        <v>7750</v>
      </c>
      <c r="AV3820" t="s">
        <v>8837</v>
      </c>
      <c r="AW3820" t="s">
        <v>2900</v>
      </c>
      <c r="AX3820" t="s">
        <v>29529</v>
      </c>
      <c r="AY3820" t="s">
        <v>2900</v>
      </c>
      <c r="AZ3820" t="s">
        <v>9842</v>
      </c>
      <c r="BB3820">
        <v>864.09</v>
      </c>
      <c r="BC3820">
        <v>0</v>
      </c>
      <c r="BD3820">
        <v>2.5</v>
      </c>
      <c r="BE3820">
        <v>2.52</v>
      </c>
      <c r="BF3820">
        <v>2.52</v>
      </c>
      <c r="BG3820" t="s">
        <v>30794</v>
      </c>
      <c r="BH3820" t="s">
        <v>30795</v>
      </c>
      <c r="BI3820" t="s">
        <v>9842</v>
      </c>
      <c r="BJ3820" t="s">
        <v>101</v>
      </c>
      <c r="BK3820" t="s">
        <v>7554</v>
      </c>
      <c r="BL3820" t="s">
        <v>464</v>
      </c>
      <c r="BM3820" t="s">
        <v>30796</v>
      </c>
      <c r="BN3820" t="s">
        <v>27621</v>
      </c>
    </row>
    <row r="3821" spans="1:66" x14ac:dyDescent="0.25">
      <c r="A3821" t="str">
        <f>HYPERLINK("https://elite.finviz.com/quote.ashx?t=ARCB&amp;ty=c&amp;p=d&amp;b=1", "ARCB")</f>
        <v>ARCB</v>
      </c>
      <c r="B3821">
        <v>4</v>
      </c>
      <c r="C3821">
        <v>105.92</v>
      </c>
      <c r="D3821">
        <v>44.1</v>
      </c>
      <c r="E3821" t="s">
        <v>30797</v>
      </c>
      <c r="F3821" t="s">
        <v>67</v>
      </c>
      <c r="G3821" t="s">
        <v>260</v>
      </c>
      <c r="H3821" t="s">
        <v>6190</v>
      </c>
      <c r="I3821" t="s">
        <v>70</v>
      </c>
      <c r="J3821" t="s">
        <v>321</v>
      </c>
      <c r="K3821">
        <v>1579.09</v>
      </c>
      <c r="L3821">
        <v>69.48</v>
      </c>
      <c r="M3821" t="s">
        <v>4623</v>
      </c>
      <c r="N3821">
        <v>47637</v>
      </c>
      <c r="O3821">
        <v>10.33</v>
      </c>
      <c r="P3821">
        <v>10.46</v>
      </c>
      <c r="Q3821">
        <v>0.85</v>
      </c>
      <c r="R3821">
        <v>0.39</v>
      </c>
      <c r="S3821">
        <v>1.22</v>
      </c>
      <c r="T3821" t="s">
        <v>3047</v>
      </c>
      <c r="U3821">
        <v>0.48</v>
      </c>
      <c r="V3821" t="s">
        <v>1762</v>
      </c>
      <c r="W3821" t="s">
        <v>164</v>
      </c>
      <c r="X3821" t="s">
        <v>5699</v>
      </c>
      <c r="Y3821" t="s">
        <v>712</v>
      </c>
      <c r="Z3821" t="s">
        <v>1254</v>
      </c>
      <c r="AA3821">
        <v>6.73</v>
      </c>
      <c r="AB3821" t="s">
        <v>6130</v>
      </c>
      <c r="AC3821" t="s">
        <v>10115</v>
      </c>
      <c r="AD3821" t="s">
        <v>6068</v>
      </c>
      <c r="AE3821" t="s">
        <v>9019</v>
      </c>
      <c r="AF3821" t="s">
        <v>3487</v>
      </c>
      <c r="AG3821" t="s">
        <v>1955</v>
      </c>
      <c r="AH3821" t="s">
        <v>6494</v>
      </c>
      <c r="AI3821" t="s">
        <v>6043</v>
      </c>
      <c r="AJ3821" t="s">
        <v>2785</v>
      </c>
      <c r="AK3821" t="s">
        <v>12384</v>
      </c>
      <c r="AL3821">
        <v>0.96</v>
      </c>
      <c r="AM3821">
        <v>0.96</v>
      </c>
      <c r="AN3821">
        <v>0.38</v>
      </c>
      <c r="AO3821" t="s">
        <v>4114</v>
      </c>
      <c r="AP3821" t="s">
        <v>5929</v>
      </c>
      <c r="AQ3821" t="s">
        <v>2838</v>
      </c>
      <c r="AR3821" t="s">
        <v>7437</v>
      </c>
      <c r="AS3821" t="s">
        <v>6726</v>
      </c>
      <c r="AT3821" t="s">
        <v>6130</v>
      </c>
      <c r="AU3821" t="s">
        <v>11313</v>
      </c>
      <c r="AV3821" t="s">
        <v>1399</v>
      </c>
      <c r="AW3821" t="s">
        <v>3813</v>
      </c>
      <c r="AX3821" t="s">
        <v>2496</v>
      </c>
      <c r="AY3821" t="s">
        <v>4660</v>
      </c>
      <c r="AZ3821" t="s">
        <v>116</v>
      </c>
      <c r="BA3821">
        <v>2.08</v>
      </c>
      <c r="BB3821">
        <v>365.22</v>
      </c>
      <c r="BC3821">
        <v>0.46</v>
      </c>
      <c r="BD3821">
        <v>69.069999999999993</v>
      </c>
      <c r="BE3821">
        <v>70.56</v>
      </c>
      <c r="BF3821">
        <v>68.349999999999994</v>
      </c>
      <c r="BG3821" t="s">
        <v>30798</v>
      </c>
      <c r="BH3821" t="s">
        <v>27332</v>
      </c>
      <c r="BI3821" t="s">
        <v>30799</v>
      </c>
      <c r="BJ3821" t="s">
        <v>101</v>
      </c>
      <c r="BK3821" t="s">
        <v>12863</v>
      </c>
      <c r="BL3821" t="s">
        <v>5301</v>
      </c>
      <c r="BM3821" t="s">
        <v>513</v>
      </c>
      <c r="BN3821" t="s">
        <v>27621</v>
      </c>
    </row>
    <row r="3822" spans="1:66" x14ac:dyDescent="0.25">
      <c r="A3822" t="str">
        <f>HYPERLINK("https://elite.finviz.com/quote.ashx?t=TEAD&amp;ty=c&amp;p=d&amp;b=1", "TEAD")</f>
        <v>TEAD</v>
      </c>
      <c r="B3822">
        <v>4</v>
      </c>
      <c r="C3822">
        <v>105.92</v>
      </c>
      <c r="D3822">
        <v>44.1</v>
      </c>
      <c r="E3822" t="s">
        <v>30800</v>
      </c>
      <c r="F3822" t="s">
        <v>67</v>
      </c>
      <c r="G3822" t="s">
        <v>598</v>
      </c>
      <c r="H3822" t="s">
        <v>599</v>
      </c>
      <c r="I3822" t="s">
        <v>70</v>
      </c>
      <c r="J3822" t="s">
        <v>321</v>
      </c>
      <c r="K3822">
        <v>159.12</v>
      </c>
      <c r="L3822">
        <v>1.68</v>
      </c>
      <c r="M3822" t="s">
        <v>3761</v>
      </c>
      <c r="N3822">
        <v>52850</v>
      </c>
      <c r="P3822">
        <v>7.79</v>
      </c>
      <c r="R3822">
        <v>0.15</v>
      </c>
      <c r="S3822">
        <v>0.3</v>
      </c>
      <c r="AA3822">
        <v>-0.85</v>
      </c>
      <c r="AC3822" t="s">
        <v>10109</v>
      </c>
      <c r="AD3822" t="s">
        <v>6696</v>
      </c>
      <c r="AE3822" t="s">
        <v>2381</v>
      </c>
      <c r="AF3822" t="s">
        <v>8225</v>
      </c>
      <c r="AG3822" t="s">
        <v>4172</v>
      </c>
      <c r="AH3822" t="s">
        <v>30801</v>
      </c>
      <c r="AI3822" t="s">
        <v>30802</v>
      </c>
      <c r="AJ3822" t="s">
        <v>2215</v>
      </c>
      <c r="AK3822" t="s">
        <v>13570</v>
      </c>
      <c r="AL3822">
        <v>1.1000000000000001</v>
      </c>
      <c r="AM3822">
        <v>1.1000000000000001</v>
      </c>
      <c r="AN3822">
        <v>1.22</v>
      </c>
      <c r="AO3822" t="s">
        <v>8673</v>
      </c>
      <c r="AP3822" t="s">
        <v>914</v>
      </c>
      <c r="AQ3822" t="s">
        <v>7402</v>
      </c>
      <c r="AR3822" t="s">
        <v>247</v>
      </c>
      <c r="AS3822" t="s">
        <v>3601</v>
      </c>
      <c r="AT3822" t="s">
        <v>7709</v>
      </c>
      <c r="AU3822" t="s">
        <v>410</v>
      </c>
      <c r="AV3822" t="s">
        <v>2751</v>
      </c>
      <c r="AW3822" t="s">
        <v>12387</v>
      </c>
      <c r="AX3822" t="s">
        <v>2655</v>
      </c>
      <c r="AY3822" t="s">
        <v>14098</v>
      </c>
      <c r="AZ3822" t="s">
        <v>2655</v>
      </c>
      <c r="BA3822">
        <v>2.2000000000000002</v>
      </c>
      <c r="BB3822">
        <v>419.04</v>
      </c>
      <c r="BC3822">
        <v>0.44</v>
      </c>
      <c r="BD3822">
        <v>1.66</v>
      </c>
      <c r="BE3822">
        <v>1.69</v>
      </c>
      <c r="BF3822">
        <v>1.66</v>
      </c>
      <c r="BG3822" t="s">
        <v>30803</v>
      </c>
      <c r="BH3822" t="s">
        <v>30804</v>
      </c>
      <c r="BI3822" t="s">
        <v>2655</v>
      </c>
      <c r="BJ3822" t="s">
        <v>101</v>
      </c>
      <c r="BK3822" t="s">
        <v>30805</v>
      </c>
      <c r="BL3822" t="s">
        <v>30806</v>
      </c>
      <c r="BM3822" t="s">
        <v>26845</v>
      </c>
      <c r="BN3822" t="s">
        <v>27621</v>
      </c>
    </row>
    <row r="3823" spans="1:66" x14ac:dyDescent="0.25">
      <c r="A3823" t="str">
        <f>HYPERLINK("https://elite.finviz.com/quote.ashx?t=TMDE&amp;ty=c&amp;p=d&amp;b=1", "TMDE")</f>
        <v>TMDE</v>
      </c>
      <c r="B3823">
        <v>4</v>
      </c>
      <c r="C3823">
        <v>105.92</v>
      </c>
      <c r="D3823">
        <v>44.1</v>
      </c>
      <c r="E3823" t="s">
        <v>30807</v>
      </c>
      <c r="F3823" t="s">
        <v>107</v>
      </c>
      <c r="G3823" t="s">
        <v>1048</v>
      </c>
      <c r="H3823" t="s">
        <v>3915</v>
      </c>
      <c r="I3823" t="s">
        <v>70</v>
      </c>
      <c r="J3823" t="s">
        <v>383</v>
      </c>
      <c r="L3823">
        <v>0.86</v>
      </c>
      <c r="M3823" t="s">
        <v>1324</v>
      </c>
      <c r="N3823">
        <v>7742</v>
      </c>
      <c r="AR3823" t="s">
        <v>2884</v>
      </c>
      <c r="AS3823" t="s">
        <v>2351</v>
      </c>
      <c r="AT3823" t="s">
        <v>4553</v>
      </c>
      <c r="AU3823" t="s">
        <v>12259</v>
      </c>
      <c r="AV3823" t="s">
        <v>30808</v>
      </c>
      <c r="AW3823" t="s">
        <v>17569</v>
      </c>
      <c r="AX3823" t="s">
        <v>7150</v>
      </c>
      <c r="AY3823" t="s">
        <v>30809</v>
      </c>
      <c r="AZ3823" t="s">
        <v>20389</v>
      </c>
      <c r="BB3823">
        <v>95.74</v>
      </c>
      <c r="BC3823">
        <v>0.28999999999999998</v>
      </c>
      <c r="BD3823">
        <v>0.86</v>
      </c>
      <c r="BE3823">
        <v>0.87</v>
      </c>
      <c r="BF3823">
        <v>0.85</v>
      </c>
      <c r="BG3823" t="s">
        <v>30810</v>
      </c>
      <c r="BH3823" t="s">
        <v>30809</v>
      </c>
      <c r="BI3823" t="s">
        <v>20389</v>
      </c>
      <c r="BJ3823" t="s">
        <v>101</v>
      </c>
      <c r="BK3823" t="s">
        <v>10193</v>
      </c>
      <c r="BN3823" t="s">
        <v>27621</v>
      </c>
    </row>
    <row r="3824" spans="1:66" x14ac:dyDescent="0.25">
      <c r="A3824" t="str">
        <f>HYPERLINK("https://elite.finviz.com/quote.ashx?t=BFST&amp;ty=c&amp;p=d&amp;b=1", "BFST")</f>
        <v>BFST</v>
      </c>
      <c r="B3824">
        <v>4</v>
      </c>
      <c r="C3824">
        <v>105.92</v>
      </c>
      <c r="D3824">
        <v>44.1</v>
      </c>
      <c r="E3824" t="s">
        <v>30811</v>
      </c>
      <c r="F3824" t="s">
        <v>67</v>
      </c>
      <c r="G3824" t="s">
        <v>550</v>
      </c>
      <c r="H3824" t="s">
        <v>697</v>
      </c>
      <c r="I3824" t="s">
        <v>70</v>
      </c>
      <c r="J3824" t="s">
        <v>321</v>
      </c>
      <c r="K3824">
        <v>714.63</v>
      </c>
      <c r="L3824">
        <v>24.05</v>
      </c>
      <c r="M3824" t="s">
        <v>2290</v>
      </c>
      <c r="N3824">
        <v>9760</v>
      </c>
      <c r="O3824">
        <v>9.57</v>
      </c>
      <c r="P3824">
        <v>7.94</v>
      </c>
      <c r="Q3824">
        <v>1.03</v>
      </c>
      <c r="R3824">
        <v>1.45</v>
      </c>
      <c r="S3824">
        <v>0.92</v>
      </c>
      <c r="T3824" t="s">
        <v>180</v>
      </c>
      <c r="U3824">
        <v>0.56000000000000005</v>
      </c>
      <c r="V3824" t="s">
        <v>3046</v>
      </c>
      <c r="W3824" t="s">
        <v>1514</v>
      </c>
      <c r="X3824" t="s">
        <v>11629</v>
      </c>
      <c r="Y3824" t="s">
        <v>9478</v>
      </c>
      <c r="Z3824" t="s">
        <v>12507</v>
      </c>
      <c r="AA3824">
        <v>2.5099999999999998</v>
      </c>
      <c r="AB3824" t="s">
        <v>14948</v>
      </c>
      <c r="AC3824" t="s">
        <v>5027</v>
      </c>
      <c r="AD3824" t="s">
        <v>7387</v>
      </c>
      <c r="AE3824" t="s">
        <v>13213</v>
      </c>
      <c r="AF3824" t="s">
        <v>4721</v>
      </c>
      <c r="AG3824" t="s">
        <v>4449</v>
      </c>
      <c r="AH3824" t="s">
        <v>9987</v>
      </c>
      <c r="AI3824" t="s">
        <v>3173</v>
      </c>
      <c r="AJ3824" t="s">
        <v>3890</v>
      </c>
      <c r="AK3824" t="s">
        <v>1143</v>
      </c>
      <c r="AL3824">
        <v>0.21</v>
      </c>
      <c r="AN3824">
        <v>0.76</v>
      </c>
      <c r="AP3824" t="s">
        <v>10711</v>
      </c>
      <c r="AQ3824" t="s">
        <v>3815</v>
      </c>
      <c r="AR3824" t="s">
        <v>4267</v>
      </c>
      <c r="AS3824" t="s">
        <v>714</v>
      </c>
      <c r="AT3824" t="s">
        <v>1313</v>
      </c>
      <c r="AU3824" t="s">
        <v>8053</v>
      </c>
      <c r="AV3824" t="s">
        <v>11896</v>
      </c>
      <c r="AW3824" t="s">
        <v>1861</v>
      </c>
      <c r="AX3824" t="s">
        <v>3229</v>
      </c>
      <c r="AY3824" t="s">
        <v>7046</v>
      </c>
      <c r="AZ3824" t="s">
        <v>2387</v>
      </c>
      <c r="BA3824">
        <v>1.2</v>
      </c>
      <c r="BB3824">
        <v>102.78</v>
      </c>
      <c r="BC3824">
        <v>0.34</v>
      </c>
      <c r="BD3824">
        <v>23.97</v>
      </c>
      <c r="BE3824">
        <v>24.32</v>
      </c>
      <c r="BF3824">
        <v>24.06</v>
      </c>
      <c r="BG3824" t="s">
        <v>30812</v>
      </c>
      <c r="BH3824" t="s">
        <v>7046</v>
      </c>
      <c r="BI3824" t="s">
        <v>30474</v>
      </c>
      <c r="BJ3824" t="s">
        <v>101</v>
      </c>
      <c r="BK3824" t="s">
        <v>9938</v>
      </c>
      <c r="BL3824" t="s">
        <v>6060</v>
      </c>
      <c r="BM3824" t="s">
        <v>1929</v>
      </c>
      <c r="BN3824" t="s">
        <v>27621</v>
      </c>
    </row>
    <row r="3825" spans="1:66" x14ac:dyDescent="0.25">
      <c r="A3825" t="str">
        <f>HYPERLINK("https://elite.finviz.com/quote.ashx?t=FCN&amp;ty=c&amp;p=d&amp;b=1", "FCN")</f>
        <v>FCN</v>
      </c>
      <c r="B3825">
        <v>4</v>
      </c>
      <c r="C3825">
        <v>105.92</v>
      </c>
      <c r="D3825">
        <v>44.12</v>
      </c>
      <c r="E3825" t="s">
        <v>30813</v>
      </c>
      <c r="F3825" t="s">
        <v>107</v>
      </c>
      <c r="G3825" t="s">
        <v>260</v>
      </c>
      <c r="H3825" t="s">
        <v>2879</v>
      </c>
      <c r="I3825" t="s">
        <v>70</v>
      </c>
      <c r="J3825" t="s">
        <v>71</v>
      </c>
      <c r="K3825">
        <v>5230.05</v>
      </c>
      <c r="L3825">
        <v>161.63</v>
      </c>
      <c r="M3825" t="s">
        <v>227</v>
      </c>
      <c r="N3825">
        <v>19693</v>
      </c>
      <c r="AI3825" t="s">
        <v>1417</v>
      </c>
      <c r="AR3825" t="s">
        <v>3916</v>
      </c>
      <c r="AS3825" t="s">
        <v>6692</v>
      </c>
      <c r="AT3825" t="s">
        <v>5159</v>
      </c>
      <c r="AU3825" t="s">
        <v>7742</v>
      </c>
      <c r="AV3825" t="s">
        <v>11702</v>
      </c>
      <c r="AW3825" t="s">
        <v>15541</v>
      </c>
      <c r="AX3825" t="s">
        <v>4765</v>
      </c>
      <c r="AY3825" t="s">
        <v>24626</v>
      </c>
      <c r="AZ3825" t="s">
        <v>291</v>
      </c>
      <c r="BB3825">
        <v>348.99</v>
      </c>
      <c r="BC3825">
        <v>0.2</v>
      </c>
      <c r="BD3825">
        <v>160.59</v>
      </c>
      <c r="BE3825">
        <v>162.03</v>
      </c>
      <c r="BF3825">
        <v>159.80000000000001</v>
      </c>
      <c r="BG3825" t="s">
        <v>30814</v>
      </c>
      <c r="BH3825" t="s">
        <v>16765</v>
      </c>
      <c r="BI3825" t="s">
        <v>30815</v>
      </c>
      <c r="BJ3825" t="s">
        <v>101</v>
      </c>
      <c r="BK3825" t="s">
        <v>2571</v>
      </c>
      <c r="BL3825" t="s">
        <v>7646</v>
      </c>
      <c r="BM3825" t="s">
        <v>26248</v>
      </c>
      <c r="BN3825" t="s">
        <v>27621</v>
      </c>
    </row>
    <row r="3826" spans="1:66" x14ac:dyDescent="0.25">
      <c r="A3826" t="str">
        <f>HYPERLINK("https://elite.finviz.com/quote.ashx?t=PRK&amp;ty=c&amp;p=d&amp;b=1", "PRK")</f>
        <v>PRK</v>
      </c>
      <c r="B3826">
        <v>4</v>
      </c>
      <c r="C3826">
        <v>105.92</v>
      </c>
      <c r="D3826">
        <v>44.12</v>
      </c>
      <c r="E3826" t="s">
        <v>30816</v>
      </c>
      <c r="F3826" t="s">
        <v>67</v>
      </c>
      <c r="G3826" t="s">
        <v>550</v>
      </c>
      <c r="H3826" t="s">
        <v>697</v>
      </c>
      <c r="I3826" t="s">
        <v>70</v>
      </c>
      <c r="J3826" t="s">
        <v>383</v>
      </c>
      <c r="K3826">
        <v>2661.26</v>
      </c>
      <c r="L3826">
        <v>165.59</v>
      </c>
      <c r="M3826" t="s">
        <v>4699</v>
      </c>
      <c r="N3826">
        <v>4475</v>
      </c>
      <c r="O3826">
        <v>16.100000000000001</v>
      </c>
      <c r="P3826">
        <v>15.3</v>
      </c>
      <c r="Q3826">
        <v>2.4900000000000002</v>
      </c>
      <c r="R3826">
        <v>4.0199999999999996</v>
      </c>
      <c r="S3826">
        <v>2.06</v>
      </c>
      <c r="T3826" t="s">
        <v>2619</v>
      </c>
      <c r="U3826">
        <v>4.2699999999999996</v>
      </c>
      <c r="V3826" t="s">
        <v>3046</v>
      </c>
      <c r="W3826" t="s">
        <v>2881</v>
      </c>
      <c r="X3826" t="s">
        <v>4759</v>
      </c>
      <c r="Y3826" t="s">
        <v>2630</v>
      </c>
      <c r="Z3826" t="s">
        <v>5881</v>
      </c>
      <c r="AA3826">
        <v>10.29</v>
      </c>
      <c r="AB3826" t="s">
        <v>2906</v>
      </c>
      <c r="AC3826" t="s">
        <v>3672</v>
      </c>
      <c r="AD3826" t="s">
        <v>2066</v>
      </c>
      <c r="AE3826" t="s">
        <v>797</v>
      </c>
      <c r="AF3826" t="s">
        <v>3326</v>
      </c>
      <c r="AG3826" t="s">
        <v>3745</v>
      </c>
      <c r="AH3826" t="s">
        <v>9936</v>
      </c>
      <c r="AI3826" t="s">
        <v>15111</v>
      </c>
      <c r="AJ3826" t="s">
        <v>164</v>
      </c>
      <c r="AK3826" t="s">
        <v>26442</v>
      </c>
      <c r="AL3826">
        <v>0.09</v>
      </c>
      <c r="AN3826">
        <v>0.23</v>
      </c>
      <c r="AP3826" t="s">
        <v>13761</v>
      </c>
      <c r="AQ3826" t="s">
        <v>18449</v>
      </c>
      <c r="AR3826" t="s">
        <v>3757</v>
      </c>
      <c r="AS3826" t="s">
        <v>6151</v>
      </c>
      <c r="AT3826" t="s">
        <v>1866</v>
      </c>
      <c r="AU3826" t="s">
        <v>8402</v>
      </c>
      <c r="AV3826" t="s">
        <v>149</v>
      </c>
      <c r="AW3826" t="s">
        <v>4475</v>
      </c>
      <c r="AX3826" t="s">
        <v>7210</v>
      </c>
      <c r="AY3826" t="s">
        <v>4789</v>
      </c>
      <c r="AZ3826" t="s">
        <v>13600</v>
      </c>
      <c r="BA3826">
        <v>3</v>
      </c>
      <c r="BB3826">
        <v>63.68</v>
      </c>
      <c r="BC3826">
        <v>0.25</v>
      </c>
      <c r="BD3826">
        <v>165.78</v>
      </c>
      <c r="BE3826">
        <v>166.45</v>
      </c>
      <c r="BF3826">
        <v>166.33</v>
      </c>
      <c r="BG3826" t="s">
        <v>30817</v>
      </c>
      <c r="BH3826" t="s">
        <v>4789</v>
      </c>
      <c r="BI3826" t="s">
        <v>30818</v>
      </c>
      <c r="BJ3826" t="s">
        <v>101</v>
      </c>
      <c r="BK3826" t="s">
        <v>6407</v>
      </c>
      <c r="BL3826" t="s">
        <v>414</v>
      </c>
      <c r="BM3826" t="s">
        <v>6359</v>
      </c>
      <c r="BN3826" t="s">
        <v>27621</v>
      </c>
    </row>
    <row r="3827" spans="1:66" x14ac:dyDescent="0.25">
      <c r="A3827" t="str">
        <f>HYPERLINK("https://elite.finviz.com/quote.ashx?t=YELP&amp;ty=c&amp;p=d&amp;b=1", "YELP")</f>
        <v>YELP</v>
      </c>
      <c r="B3827">
        <v>4</v>
      </c>
      <c r="C3827">
        <v>105.92</v>
      </c>
      <c r="D3827">
        <v>44.13</v>
      </c>
      <c r="E3827" t="s">
        <v>30819</v>
      </c>
      <c r="F3827" t="s">
        <v>67</v>
      </c>
      <c r="G3827" t="s">
        <v>598</v>
      </c>
      <c r="H3827" t="s">
        <v>599</v>
      </c>
      <c r="I3827" t="s">
        <v>70</v>
      </c>
      <c r="J3827" t="s">
        <v>71</v>
      </c>
      <c r="K3827">
        <v>1973.17</v>
      </c>
      <c r="L3827">
        <v>31.29</v>
      </c>
      <c r="M3827" t="s">
        <v>3598</v>
      </c>
      <c r="N3827">
        <v>86692</v>
      </c>
      <c r="O3827">
        <v>14.16</v>
      </c>
      <c r="P3827">
        <v>11.78</v>
      </c>
      <c r="Q3827">
        <v>0.78</v>
      </c>
      <c r="R3827">
        <v>1.36</v>
      </c>
      <c r="S3827">
        <v>2.68</v>
      </c>
      <c r="Z3827" t="s">
        <v>164</v>
      </c>
      <c r="AA3827">
        <v>2.21</v>
      </c>
      <c r="AB3827" t="s">
        <v>1124</v>
      </c>
      <c r="AC3827" t="s">
        <v>26758</v>
      </c>
      <c r="AD3827" t="s">
        <v>15417</v>
      </c>
      <c r="AE3827" t="s">
        <v>10926</v>
      </c>
      <c r="AF3827" t="s">
        <v>847</v>
      </c>
      <c r="AG3827" t="s">
        <v>5025</v>
      </c>
      <c r="AH3827" t="s">
        <v>749</v>
      </c>
      <c r="AI3827" t="s">
        <v>15487</v>
      </c>
      <c r="AJ3827" t="s">
        <v>5211</v>
      </c>
      <c r="AK3827" t="s">
        <v>30820</v>
      </c>
      <c r="AL3827">
        <v>3.27</v>
      </c>
      <c r="AM3827">
        <v>3.27</v>
      </c>
      <c r="AN3827">
        <v>0.04</v>
      </c>
      <c r="AO3827" t="s">
        <v>13056</v>
      </c>
      <c r="AP3827" t="s">
        <v>6598</v>
      </c>
      <c r="AQ3827" t="s">
        <v>797</v>
      </c>
      <c r="AR3827" t="s">
        <v>1025</v>
      </c>
      <c r="AS3827" t="s">
        <v>2274</v>
      </c>
      <c r="AT3827" t="s">
        <v>2694</v>
      </c>
      <c r="AU3827" t="s">
        <v>5426</v>
      </c>
      <c r="AV3827" t="s">
        <v>10935</v>
      </c>
      <c r="AW3827" t="s">
        <v>612</v>
      </c>
      <c r="AX3827" t="s">
        <v>2810</v>
      </c>
      <c r="AY3827" t="s">
        <v>1427</v>
      </c>
      <c r="AZ3827" t="s">
        <v>2810</v>
      </c>
      <c r="BA3827">
        <v>3.08</v>
      </c>
      <c r="BB3827">
        <v>855.77</v>
      </c>
      <c r="BC3827">
        <v>0.36</v>
      </c>
      <c r="BD3827">
        <v>31.3</v>
      </c>
      <c r="BE3827">
        <v>31.24</v>
      </c>
      <c r="BF3827">
        <v>31.2</v>
      </c>
      <c r="BG3827" t="s">
        <v>30821</v>
      </c>
      <c r="BH3827" t="s">
        <v>26301</v>
      </c>
      <c r="BI3827" t="s">
        <v>21947</v>
      </c>
      <c r="BJ3827" t="s">
        <v>101</v>
      </c>
      <c r="BK3827" t="s">
        <v>5062</v>
      </c>
      <c r="BL3827" t="s">
        <v>16312</v>
      </c>
      <c r="BM3827" t="s">
        <v>7054</v>
      </c>
      <c r="BN3827" t="s">
        <v>27621</v>
      </c>
    </row>
    <row r="3828" spans="1:66" x14ac:dyDescent="0.25">
      <c r="A3828" t="str">
        <f>HYPERLINK("https://elite.finviz.com/quote.ashx?t=ZEO&amp;ty=c&amp;p=d&amp;b=1", "ZEO")</f>
        <v>ZEO</v>
      </c>
      <c r="B3828">
        <v>4</v>
      </c>
      <c r="C3828">
        <v>105.92</v>
      </c>
      <c r="D3828">
        <v>44.14</v>
      </c>
      <c r="E3828" t="s">
        <v>30822</v>
      </c>
      <c r="F3828" t="s">
        <v>107</v>
      </c>
      <c r="G3828" t="s">
        <v>108</v>
      </c>
      <c r="H3828" t="s">
        <v>2924</v>
      </c>
      <c r="I3828" t="s">
        <v>70</v>
      </c>
      <c r="J3828" t="s">
        <v>321</v>
      </c>
      <c r="K3828">
        <v>78.209999999999994</v>
      </c>
      <c r="L3828">
        <v>1.36</v>
      </c>
      <c r="M3828" t="s">
        <v>3550</v>
      </c>
      <c r="N3828">
        <v>64005</v>
      </c>
      <c r="R3828">
        <v>1.2</v>
      </c>
      <c r="AA3828">
        <v>-0.71</v>
      </c>
      <c r="AE3828" t="s">
        <v>8597</v>
      </c>
      <c r="AH3828" t="s">
        <v>3453</v>
      </c>
      <c r="AJ3828" t="s">
        <v>2103</v>
      </c>
      <c r="AK3828" t="s">
        <v>5968</v>
      </c>
      <c r="AL3828">
        <v>0.76</v>
      </c>
      <c r="AM3828">
        <v>0.7</v>
      </c>
      <c r="AO3828" t="s">
        <v>10446</v>
      </c>
      <c r="AP3828" t="s">
        <v>25876</v>
      </c>
      <c r="AQ3828" t="s">
        <v>8999</v>
      </c>
      <c r="AR3828" t="s">
        <v>10558</v>
      </c>
      <c r="AS3828" t="s">
        <v>6206</v>
      </c>
      <c r="AT3828" t="s">
        <v>2522</v>
      </c>
      <c r="AU3828" t="s">
        <v>20930</v>
      </c>
      <c r="AV3828" t="s">
        <v>30823</v>
      </c>
      <c r="AW3828" t="s">
        <v>30824</v>
      </c>
      <c r="AX3828" t="s">
        <v>6108</v>
      </c>
      <c r="AY3828" t="s">
        <v>30825</v>
      </c>
      <c r="AZ3828" t="s">
        <v>6108</v>
      </c>
      <c r="BB3828">
        <v>199.51</v>
      </c>
      <c r="BC3828">
        <v>1.1399999999999999</v>
      </c>
      <c r="BD3828">
        <v>1.34</v>
      </c>
      <c r="BE3828">
        <v>1.37</v>
      </c>
      <c r="BF3828">
        <v>1.32</v>
      </c>
      <c r="BG3828" t="s">
        <v>30826</v>
      </c>
      <c r="BH3828" t="s">
        <v>11808</v>
      </c>
      <c r="BI3828" t="s">
        <v>6108</v>
      </c>
      <c r="BJ3828" t="s">
        <v>101</v>
      </c>
      <c r="BK3828" t="s">
        <v>30827</v>
      </c>
      <c r="BL3828" t="s">
        <v>15397</v>
      </c>
      <c r="BM3828" t="s">
        <v>30828</v>
      </c>
      <c r="BN3828" t="s">
        <v>27621</v>
      </c>
    </row>
    <row r="3829" spans="1:66" x14ac:dyDescent="0.25">
      <c r="A3829" t="str">
        <f>HYPERLINK("https://elite.finviz.com/quote.ashx?t=PB&amp;ty=c&amp;p=d&amp;b=1", "PB")</f>
        <v>PB</v>
      </c>
      <c r="B3829">
        <v>4</v>
      </c>
      <c r="C3829">
        <v>105.92</v>
      </c>
      <c r="D3829">
        <v>44.16</v>
      </c>
      <c r="E3829" t="s">
        <v>30829</v>
      </c>
      <c r="F3829" t="s">
        <v>107</v>
      </c>
      <c r="G3829" t="s">
        <v>550</v>
      </c>
      <c r="H3829" t="s">
        <v>697</v>
      </c>
      <c r="I3829" t="s">
        <v>70</v>
      </c>
      <c r="J3829" t="s">
        <v>71</v>
      </c>
      <c r="K3829">
        <v>6280.48</v>
      </c>
      <c r="L3829">
        <v>66.11</v>
      </c>
      <c r="M3829" t="s">
        <v>4539</v>
      </c>
      <c r="N3829">
        <v>123025</v>
      </c>
      <c r="O3829">
        <v>12.05</v>
      </c>
      <c r="P3829">
        <v>10.54</v>
      </c>
      <c r="Q3829">
        <v>0.96</v>
      </c>
      <c r="R3829">
        <v>3.54</v>
      </c>
      <c r="S3829">
        <v>0.83</v>
      </c>
      <c r="T3829" t="s">
        <v>2822</v>
      </c>
      <c r="U3829">
        <v>2.3199999999999998</v>
      </c>
      <c r="V3829" t="s">
        <v>3833</v>
      </c>
      <c r="W3829" t="s">
        <v>1599</v>
      </c>
      <c r="X3829" t="s">
        <v>5497</v>
      </c>
      <c r="Y3829" t="s">
        <v>5152</v>
      </c>
      <c r="Z3829" t="s">
        <v>4720</v>
      </c>
      <c r="AA3829">
        <v>5.49</v>
      </c>
      <c r="AB3829" t="s">
        <v>9087</v>
      </c>
      <c r="AC3829" t="s">
        <v>2808</v>
      </c>
      <c r="AD3829" t="s">
        <v>6206</v>
      </c>
      <c r="AE3829" t="s">
        <v>891</v>
      </c>
      <c r="AF3829" t="s">
        <v>2722</v>
      </c>
      <c r="AG3829" t="s">
        <v>8181</v>
      </c>
      <c r="AH3829" t="s">
        <v>7256</v>
      </c>
      <c r="AI3829" t="s">
        <v>306</v>
      </c>
      <c r="AJ3829" t="s">
        <v>9084</v>
      </c>
      <c r="AK3829" t="s">
        <v>11616</v>
      </c>
      <c r="AL3829">
        <v>0.11</v>
      </c>
      <c r="AN3829">
        <v>0.41</v>
      </c>
      <c r="AP3829" t="s">
        <v>16935</v>
      </c>
      <c r="AQ3829" t="s">
        <v>10959</v>
      </c>
      <c r="AR3829" t="s">
        <v>1760</v>
      </c>
      <c r="AS3829" t="s">
        <v>2424</v>
      </c>
      <c r="AT3829" t="s">
        <v>2176</v>
      </c>
      <c r="AU3829" t="s">
        <v>7867</v>
      </c>
      <c r="AV3829" t="s">
        <v>10065</v>
      </c>
      <c r="AW3829" t="s">
        <v>25804</v>
      </c>
      <c r="AX3829" t="s">
        <v>862</v>
      </c>
      <c r="AY3829" t="s">
        <v>5826</v>
      </c>
      <c r="AZ3829" t="s">
        <v>5383</v>
      </c>
      <c r="BA3829">
        <v>1.81</v>
      </c>
      <c r="BB3829">
        <v>944.94</v>
      </c>
      <c r="BC3829">
        <v>0.46</v>
      </c>
      <c r="BD3829">
        <v>66.06</v>
      </c>
      <c r="BE3829">
        <v>67.099999999999994</v>
      </c>
      <c r="BF3829">
        <v>66.11</v>
      </c>
      <c r="BG3829" t="s">
        <v>30830</v>
      </c>
      <c r="BH3829" t="s">
        <v>5826</v>
      </c>
      <c r="BI3829" t="s">
        <v>30831</v>
      </c>
      <c r="BJ3829" t="s">
        <v>101</v>
      </c>
      <c r="BK3829" t="s">
        <v>2677</v>
      </c>
      <c r="BL3829" t="s">
        <v>5663</v>
      </c>
      <c r="BM3829" t="s">
        <v>14840</v>
      </c>
      <c r="BN3829" t="s">
        <v>27621</v>
      </c>
    </row>
    <row r="3830" spans="1:66" x14ac:dyDescent="0.25">
      <c r="A3830" t="str">
        <f>HYPERLINK("https://elite.finviz.com/quote.ashx?t=IOR&amp;ty=c&amp;p=d&amp;b=1", "IOR")</f>
        <v>IOR</v>
      </c>
      <c r="B3830">
        <v>4</v>
      </c>
      <c r="C3830">
        <v>105.92</v>
      </c>
      <c r="D3830">
        <v>44.17</v>
      </c>
      <c r="E3830" t="s">
        <v>30832</v>
      </c>
      <c r="F3830" t="s">
        <v>107</v>
      </c>
      <c r="G3830" t="s">
        <v>550</v>
      </c>
      <c r="H3830" t="s">
        <v>3699</v>
      </c>
      <c r="I3830" t="s">
        <v>70</v>
      </c>
      <c r="J3830" t="s">
        <v>383</v>
      </c>
      <c r="K3830">
        <v>73.180000000000007</v>
      </c>
      <c r="L3830">
        <v>17.760000000000002</v>
      </c>
      <c r="M3830" t="s">
        <v>1510</v>
      </c>
      <c r="N3830">
        <v>3</v>
      </c>
      <c r="O3830">
        <v>16.829999999999998</v>
      </c>
      <c r="S3830">
        <v>0.57999999999999996</v>
      </c>
      <c r="Z3830" t="s">
        <v>164</v>
      </c>
      <c r="AA3830">
        <v>1.06</v>
      </c>
      <c r="AB3830" t="s">
        <v>2499</v>
      </c>
      <c r="AC3830" t="s">
        <v>3456</v>
      </c>
      <c r="AJ3830" t="s">
        <v>458</v>
      </c>
      <c r="AK3830" t="s">
        <v>5549</v>
      </c>
      <c r="AL3830">
        <v>56383</v>
      </c>
      <c r="AM3830">
        <v>56383</v>
      </c>
      <c r="AN3830">
        <v>0</v>
      </c>
      <c r="AR3830" t="s">
        <v>406</v>
      </c>
      <c r="AS3830" t="s">
        <v>6245</v>
      </c>
      <c r="AT3830" t="s">
        <v>9085</v>
      </c>
      <c r="AU3830" t="s">
        <v>6058</v>
      </c>
      <c r="AV3830" t="s">
        <v>5158</v>
      </c>
      <c r="AW3830" t="s">
        <v>1884</v>
      </c>
      <c r="AX3830" t="s">
        <v>2472</v>
      </c>
      <c r="AY3830" t="s">
        <v>1884</v>
      </c>
      <c r="AZ3830" t="s">
        <v>2514</v>
      </c>
      <c r="BB3830">
        <v>0.72</v>
      </c>
      <c r="BC3830">
        <v>0.01</v>
      </c>
      <c r="BD3830">
        <v>18.010000000000002</v>
      </c>
      <c r="BE3830">
        <v>17.760000000000002</v>
      </c>
      <c r="BF3830">
        <v>17.760000000000002</v>
      </c>
      <c r="BG3830" t="s">
        <v>30833</v>
      </c>
      <c r="BH3830" t="s">
        <v>1884</v>
      </c>
      <c r="BI3830" t="s">
        <v>30834</v>
      </c>
      <c r="BJ3830" t="s">
        <v>101</v>
      </c>
      <c r="BK3830" t="s">
        <v>4600</v>
      </c>
      <c r="BL3830" t="s">
        <v>2514</v>
      </c>
      <c r="BM3830" t="s">
        <v>11074</v>
      </c>
      <c r="BN3830" t="s">
        <v>27621</v>
      </c>
    </row>
    <row r="3831" spans="1:66" x14ac:dyDescent="0.25">
      <c r="A3831" t="str">
        <f>HYPERLINK("https://elite.finviz.com/quote.ashx?t=MED&amp;ty=c&amp;p=d&amp;b=1", "MED")</f>
        <v>MED</v>
      </c>
      <c r="B3831">
        <v>4</v>
      </c>
      <c r="C3831">
        <v>105.92</v>
      </c>
      <c r="D3831">
        <v>44.18</v>
      </c>
      <c r="E3831" t="s">
        <v>30835</v>
      </c>
      <c r="F3831" t="s">
        <v>67</v>
      </c>
      <c r="G3831" t="s">
        <v>813</v>
      </c>
      <c r="H3831" t="s">
        <v>10177</v>
      </c>
      <c r="I3831" t="s">
        <v>70</v>
      </c>
      <c r="J3831" t="s">
        <v>71</v>
      </c>
      <c r="K3831">
        <v>150.06</v>
      </c>
      <c r="L3831">
        <v>13.65</v>
      </c>
      <c r="M3831" t="s">
        <v>2215</v>
      </c>
      <c r="N3831">
        <v>15930</v>
      </c>
      <c r="O3831">
        <v>41.42</v>
      </c>
      <c r="R3831">
        <v>0.31</v>
      </c>
      <c r="S3831">
        <v>0.69</v>
      </c>
      <c r="V3831" t="s">
        <v>30836</v>
      </c>
      <c r="Z3831" t="s">
        <v>164</v>
      </c>
      <c r="AA3831">
        <v>0.33</v>
      </c>
      <c r="AB3831" t="s">
        <v>30837</v>
      </c>
      <c r="AC3831" t="s">
        <v>24710</v>
      </c>
      <c r="AE3831" t="s">
        <v>30627</v>
      </c>
      <c r="AF3831" t="s">
        <v>17323</v>
      </c>
      <c r="AG3831" t="s">
        <v>2136</v>
      </c>
      <c r="AH3831" t="s">
        <v>17855</v>
      </c>
      <c r="AI3831" t="s">
        <v>30838</v>
      </c>
      <c r="AJ3831" t="s">
        <v>580</v>
      </c>
      <c r="AK3831" t="s">
        <v>20368</v>
      </c>
      <c r="AL3831">
        <v>4.47</v>
      </c>
      <c r="AM3831">
        <v>3.82</v>
      </c>
      <c r="AN3831">
        <v>0.06</v>
      </c>
      <c r="AO3831" t="s">
        <v>6557</v>
      </c>
      <c r="AP3831" t="s">
        <v>2757</v>
      </c>
      <c r="AQ3831" t="s">
        <v>6245</v>
      </c>
      <c r="AR3831" t="s">
        <v>3613</v>
      </c>
      <c r="AS3831" t="s">
        <v>1932</v>
      </c>
      <c r="AT3831" t="s">
        <v>12781</v>
      </c>
      <c r="AU3831" t="s">
        <v>5895</v>
      </c>
      <c r="AV3831" t="s">
        <v>11567</v>
      </c>
      <c r="AW3831" t="s">
        <v>18085</v>
      </c>
      <c r="AX3831" t="s">
        <v>484</v>
      </c>
      <c r="AY3831" t="s">
        <v>28961</v>
      </c>
      <c r="AZ3831" t="s">
        <v>1643</v>
      </c>
      <c r="BA3831">
        <v>3</v>
      </c>
      <c r="BB3831">
        <v>186.75</v>
      </c>
      <c r="BC3831">
        <v>0.3</v>
      </c>
      <c r="BD3831">
        <v>13.65</v>
      </c>
      <c r="BE3831">
        <v>13.75</v>
      </c>
      <c r="BF3831">
        <v>13.57</v>
      </c>
      <c r="BG3831" t="s">
        <v>30839</v>
      </c>
      <c r="BH3831" t="s">
        <v>21728</v>
      </c>
      <c r="BI3831" t="s">
        <v>30840</v>
      </c>
      <c r="BJ3831" t="s">
        <v>101</v>
      </c>
      <c r="BK3831" t="s">
        <v>306</v>
      </c>
      <c r="BL3831" t="s">
        <v>132</v>
      </c>
      <c r="BM3831" t="s">
        <v>25646</v>
      </c>
      <c r="BN3831" t="s">
        <v>27621</v>
      </c>
    </row>
    <row r="3832" spans="1:66" x14ac:dyDescent="0.25">
      <c r="A3832" t="str">
        <f>HYPERLINK("https://elite.finviz.com/quote.ashx?t=GIFT&amp;ty=c&amp;p=d&amp;b=1", "GIFT")</f>
        <v>GIFT</v>
      </c>
      <c r="B3832">
        <v>4</v>
      </c>
      <c r="C3832">
        <v>105.92</v>
      </c>
      <c r="D3832">
        <v>44.18</v>
      </c>
      <c r="E3832" t="s">
        <v>30841</v>
      </c>
      <c r="F3832" t="s">
        <v>107</v>
      </c>
      <c r="G3832" t="s">
        <v>598</v>
      </c>
      <c r="H3832" t="s">
        <v>599</v>
      </c>
      <c r="I3832" t="s">
        <v>70</v>
      </c>
      <c r="J3832" t="s">
        <v>321</v>
      </c>
      <c r="K3832">
        <v>31.28</v>
      </c>
      <c r="L3832">
        <v>1.02</v>
      </c>
      <c r="M3832" t="s">
        <v>3550</v>
      </c>
      <c r="N3832">
        <v>484</v>
      </c>
      <c r="R3832">
        <v>0.35</v>
      </c>
      <c r="S3832">
        <v>1.43</v>
      </c>
      <c r="AA3832">
        <v>-0.5</v>
      </c>
      <c r="AB3832" t="s">
        <v>22918</v>
      </c>
      <c r="AC3832" t="s">
        <v>5634</v>
      </c>
      <c r="AE3832" t="s">
        <v>25524</v>
      </c>
      <c r="AF3832" t="s">
        <v>30842</v>
      </c>
      <c r="AH3832" t="s">
        <v>615</v>
      </c>
      <c r="AI3832" t="s">
        <v>164</v>
      </c>
      <c r="AJ3832" t="s">
        <v>1324</v>
      </c>
      <c r="AK3832" t="s">
        <v>6531</v>
      </c>
      <c r="AL3832">
        <v>0.77</v>
      </c>
      <c r="AM3832">
        <v>0.5</v>
      </c>
      <c r="AN3832">
        <v>0.26</v>
      </c>
      <c r="AO3832" t="s">
        <v>11337</v>
      </c>
      <c r="AP3832" t="s">
        <v>3870</v>
      </c>
      <c r="AQ3832" t="s">
        <v>9632</v>
      </c>
      <c r="AR3832" t="s">
        <v>6075</v>
      </c>
      <c r="AS3832" t="s">
        <v>2515</v>
      </c>
      <c r="AT3832" t="s">
        <v>5309</v>
      </c>
      <c r="AU3832" t="s">
        <v>3466</v>
      </c>
      <c r="AV3832" t="s">
        <v>20551</v>
      </c>
      <c r="AW3832" t="s">
        <v>10310</v>
      </c>
      <c r="AX3832" t="s">
        <v>1531</v>
      </c>
      <c r="AY3832" t="s">
        <v>30843</v>
      </c>
      <c r="AZ3832" t="s">
        <v>2621</v>
      </c>
      <c r="BA3832">
        <v>1</v>
      </c>
      <c r="BB3832">
        <v>89.43</v>
      </c>
      <c r="BC3832">
        <v>0.02</v>
      </c>
      <c r="BD3832">
        <v>1.01</v>
      </c>
      <c r="BE3832">
        <v>1.02</v>
      </c>
      <c r="BF3832">
        <v>1.01</v>
      </c>
      <c r="BG3832" t="s">
        <v>30844</v>
      </c>
      <c r="BH3832" t="s">
        <v>579</v>
      </c>
      <c r="BI3832" t="s">
        <v>30845</v>
      </c>
      <c r="BJ3832" t="s">
        <v>101</v>
      </c>
      <c r="BK3832" t="s">
        <v>30846</v>
      </c>
      <c r="BL3832" t="s">
        <v>30847</v>
      </c>
      <c r="BM3832" t="s">
        <v>30848</v>
      </c>
      <c r="BN3832" t="s">
        <v>27621</v>
      </c>
    </row>
    <row r="3833" spans="1:66" x14ac:dyDescent="0.25">
      <c r="A3833" t="str">
        <f>HYPERLINK("https://elite.finviz.com/quote.ashx?t=WLY&amp;ty=c&amp;p=d&amp;b=1", "WLY")</f>
        <v>WLY</v>
      </c>
      <c r="B3833">
        <v>4</v>
      </c>
      <c r="C3833">
        <v>105.92</v>
      </c>
      <c r="D3833">
        <v>44.18</v>
      </c>
      <c r="E3833" t="s">
        <v>30849</v>
      </c>
      <c r="F3833" t="s">
        <v>67</v>
      </c>
      <c r="G3833" t="s">
        <v>598</v>
      </c>
      <c r="H3833" t="s">
        <v>5379</v>
      </c>
      <c r="I3833" t="s">
        <v>70</v>
      </c>
      <c r="J3833" t="s">
        <v>71</v>
      </c>
      <c r="K3833">
        <v>2112.5700000000002</v>
      </c>
      <c r="L3833">
        <v>39.65</v>
      </c>
      <c r="M3833" t="s">
        <v>6192</v>
      </c>
      <c r="N3833">
        <v>45546</v>
      </c>
      <c r="O3833">
        <v>22.29</v>
      </c>
      <c r="P3833">
        <v>9.01</v>
      </c>
      <c r="R3833">
        <v>1.26</v>
      </c>
      <c r="S3833">
        <v>2.88</v>
      </c>
      <c r="T3833" t="s">
        <v>6726</v>
      </c>
      <c r="U3833">
        <v>1.41</v>
      </c>
      <c r="V3833" t="s">
        <v>16780</v>
      </c>
      <c r="W3833" t="s">
        <v>4865</v>
      </c>
      <c r="X3833" t="s">
        <v>3871</v>
      </c>
      <c r="Y3833" t="s">
        <v>3871</v>
      </c>
      <c r="Z3833" t="s">
        <v>30850</v>
      </c>
      <c r="AA3833">
        <v>1.78</v>
      </c>
      <c r="AB3833" t="s">
        <v>16729</v>
      </c>
      <c r="AE3833" t="s">
        <v>5674</v>
      </c>
      <c r="AF3833" t="s">
        <v>4243</v>
      </c>
      <c r="AG3833" t="s">
        <v>196</v>
      </c>
      <c r="AH3833" t="s">
        <v>196</v>
      </c>
      <c r="AI3833" t="s">
        <v>13152</v>
      </c>
      <c r="AJ3833" t="s">
        <v>2717</v>
      </c>
      <c r="AK3833" t="s">
        <v>11343</v>
      </c>
      <c r="AL3833">
        <v>0.65</v>
      </c>
      <c r="AM3833">
        <v>0.61</v>
      </c>
      <c r="AN3833">
        <v>1.26</v>
      </c>
      <c r="AO3833" t="s">
        <v>20850</v>
      </c>
      <c r="AP3833" t="s">
        <v>536</v>
      </c>
      <c r="AQ3833" t="s">
        <v>12712</v>
      </c>
      <c r="AR3833" t="s">
        <v>6975</v>
      </c>
      <c r="AS3833" t="s">
        <v>4658</v>
      </c>
      <c r="AT3833" t="s">
        <v>12781</v>
      </c>
      <c r="AU3833" t="s">
        <v>2331</v>
      </c>
      <c r="AV3833" t="s">
        <v>11445</v>
      </c>
      <c r="AW3833" t="s">
        <v>4317</v>
      </c>
      <c r="AX3833" t="s">
        <v>3793</v>
      </c>
      <c r="AY3833" t="s">
        <v>15127</v>
      </c>
      <c r="AZ3833" t="s">
        <v>3793</v>
      </c>
      <c r="BA3833">
        <v>1</v>
      </c>
      <c r="BB3833">
        <v>458.08</v>
      </c>
      <c r="BC3833">
        <v>0.35</v>
      </c>
      <c r="BD3833">
        <v>39.69</v>
      </c>
      <c r="BE3833">
        <v>39.81</v>
      </c>
      <c r="BF3833">
        <v>39.65</v>
      </c>
      <c r="BG3833" t="s">
        <v>30851</v>
      </c>
      <c r="BH3833" t="s">
        <v>29201</v>
      </c>
      <c r="BI3833" t="s">
        <v>30852</v>
      </c>
      <c r="BJ3833" t="s">
        <v>101</v>
      </c>
      <c r="BK3833" t="s">
        <v>13083</v>
      </c>
      <c r="BL3833" t="s">
        <v>1443</v>
      </c>
      <c r="BM3833" t="s">
        <v>6247</v>
      </c>
      <c r="BN3833" t="s">
        <v>27621</v>
      </c>
    </row>
    <row r="3834" spans="1:66" x14ac:dyDescent="0.25">
      <c r="A3834" t="str">
        <f>HYPERLINK("https://elite.finviz.com/quote.ashx?t=VRM&amp;ty=c&amp;p=d&amp;b=1", "VRM")</f>
        <v>VRM</v>
      </c>
      <c r="B3834">
        <v>4</v>
      </c>
      <c r="C3834">
        <v>105.92</v>
      </c>
      <c r="D3834">
        <v>44.2</v>
      </c>
      <c r="E3834" t="s">
        <v>30853</v>
      </c>
      <c r="F3834" t="s">
        <v>67</v>
      </c>
      <c r="G3834" t="s">
        <v>813</v>
      </c>
      <c r="H3834" t="s">
        <v>5888</v>
      </c>
      <c r="I3834" t="s">
        <v>70</v>
      </c>
      <c r="J3834" t="s">
        <v>321</v>
      </c>
      <c r="K3834">
        <v>136.85</v>
      </c>
      <c r="L3834">
        <v>26.32</v>
      </c>
      <c r="M3834" t="s">
        <v>6058</v>
      </c>
      <c r="N3834">
        <v>450</v>
      </c>
      <c r="R3834">
        <v>2.96</v>
      </c>
      <c r="S3834">
        <v>0.9</v>
      </c>
      <c r="AA3834">
        <v>-36.33</v>
      </c>
      <c r="AB3834" t="s">
        <v>2129</v>
      </c>
      <c r="AC3834" t="s">
        <v>3077</v>
      </c>
      <c r="AE3834" t="s">
        <v>4011</v>
      </c>
      <c r="AJ3834" t="s">
        <v>4906</v>
      </c>
      <c r="AL3834">
        <v>4.51</v>
      </c>
      <c r="AM3834">
        <v>4.51</v>
      </c>
      <c r="AN3834">
        <v>3.77</v>
      </c>
      <c r="AO3834" t="s">
        <v>30854</v>
      </c>
      <c r="AP3834" t="s">
        <v>30855</v>
      </c>
      <c r="AQ3834" t="s">
        <v>30856</v>
      </c>
      <c r="AR3834" t="s">
        <v>1050</v>
      </c>
      <c r="AS3834" t="s">
        <v>3542</v>
      </c>
      <c r="AT3834" t="s">
        <v>2218</v>
      </c>
      <c r="AU3834" t="s">
        <v>1727</v>
      </c>
      <c r="AV3834" t="s">
        <v>10411</v>
      </c>
      <c r="AW3834" t="s">
        <v>15299</v>
      </c>
      <c r="AX3834" t="s">
        <v>672</v>
      </c>
      <c r="AY3834" t="s">
        <v>20332</v>
      </c>
      <c r="AZ3834" t="s">
        <v>30857</v>
      </c>
      <c r="BB3834">
        <v>6.79</v>
      </c>
      <c r="BC3834">
        <v>0.24</v>
      </c>
      <c r="BD3834">
        <v>27.18</v>
      </c>
      <c r="BE3834">
        <v>27.18</v>
      </c>
      <c r="BF3834">
        <v>27.18</v>
      </c>
      <c r="BG3834" t="s">
        <v>30858</v>
      </c>
      <c r="BH3834" t="s">
        <v>20332</v>
      </c>
      <c r="BI3834" t="s">
        <v>30857</v>
      </c>
      <c r="BJ3834" t="s">
        <v>101</v>
      </c>
      <c r="BK3834" t="s">
        <v>3892</v>
      </c>
      <c r="BL3834" t="s">
        <v>12181</v>
      </c>
      <c r="BN3834" t="s">
        <v>27621</v>
      </c>
    </row>
    <row r="3835" spans="1:66" x14ac:dyDescent="0.25">
      <c r="A3835" t="str">
        <f>HYPERLINK("https://elite.finviz.com/quote.ashx?t=DEVS&amp;ty=c&amp;p=d&amp;b=1", "DEVS")</f>
        <v>DEVS</v>
      </c>
      <c r="B3835">
        <v>4</v>
      </c>
      <c r="C3835">
        <v>105.92</v>
      </c>
      <c r="D3835">
        <v>44.21</v>
      </c>
      <c r="E3835" t="s">
        <v>30859</v>
      </c>
      <c r="F3835" t="s">
        <v>107</v>
      </c>
      <c r="G3835" t="s">
        <v>260</v>
      </c>
      <c r="H3835" t="s">
        <v>4347</v>
      </c>
      <c r="I3835" t="s">
        <v>70</v>
      </c>
      <c r="J3835" t="s">
        <v>321</v>
      </c>
      <c r="K3835">
        <v>8.57</v>
      </c>
      <c r="L3835">
        <v>2.42</v>
      </c>
      <c r="M3835" t="s">
        <v>7709</v>
      </c>
      <c r="N3835">
        <v>7390</v>
      </c>
      <c r="AA3835">
        <v>-4.51</v>
      </c>
      <c r="AB3835" t="s">
        <v>29944</v>
      </c>
      <c r="AJ3835" t="s">
        <v>164</v>
      </c>
      <c r="AK3835" t="s">
        <v>1338</v>
      </c>
      <c r="AL3835">
        <v>0.06</v>
      </c>
      <c r="AM3835">
        <v>0.06</v>
      </c>
      <c r="AR3835" t="s">
        <v>2107</v>
      </c>
      <c r="AS3835" t="s">
        <v>3186</v>
      </c>
      <c r="AT3835" t="s">
        <v>7884</v>
      </c>
      <c r="AU3835" t="s">
        <v>658</v>
      </c>
      <c r="AV3835" t="s">
        <v>25769</v>
      </c>
      <c r="AW3835" t="s">
        <v>30860</v>
      </c>
      <c r="AX3835" t="s">
        <v>11141</v>
      </c>
      <c r="AY3835" t="s">
        <v>23013</v>
      </c>
      <c r="AZ3835" t="s">
        <v>20134</v>
      </c>
      <c r="BB3835">
        <v>851.32</v>
      </c>
      <c r="BC3835">
        <v>0.03</v>
      </c>
      <c r="BD3835">
        <v>2.42</v>
      </c>
      <c r="BE3835">
        <v>2.4500000000000002</v>
      </c>
      <c r="BF3835">
        <v>2.42</v>
      </c>
      <c r="BG3835" t="s">
        <v>30861</v>
      </c>
      <c r="BH3835" t="s">
        <v>23013</v>
      </c>
      <c r="BI3835" t="s">
        <v>20134</v>
      </c>
      <c r="BJ3835" t="s">
        <v>101</v>
      </c>
      <c r="BK3835" t="s">
        <v>17589</v>
      </c>
      <c r="BL3835" t="s">
        <v>7346</v>
      </c>
      <c r="BM3835" t="s">
        <v>24227</v>
      </c>
      <c r="BN3835" t="s">
        <v>27621</v>
      </c>
    </row>
    <row r="3836" spans="1:66" x14ac:dyDescent="0.25">
      <c r="A3836" t="str">
        <f>HYPERLINK("https://elite.finviz.com/quote.ashx?t=WAT&amp;ty=c&amp;p=d&amp;b=1", "WAT")</f>
        <v>WAT</v>
      </c>
      <c r="B3836">
        <v>4</v>
      </c>
      <c r="C3836">
        <v>105.92</v>
      </c>
      <c r="D3836">
        <v>44.21</v>
      </c>
      <c r="E3836" t="s">
        <v>30862</v>
      </c>
      <c r="F3836" t="s">
        <v>195</v>
      </c>
      <c r="G3836" t="s">
        <v>428</v>
      </c>
      <c r="H3836" t="s">
        <v>4202</v>
      </c>
      <c r="I3836" t="s">
        <v>70</v>
      </c>
      <c r="J3836" t="s">
        <v>71</v>
      </c>
      <c r="K3836">
        <v>17318.310000000001</v>
      </c>
      <c r="L3836">
        <v>290.95</v>
      </c>
      <c r="M3836" t="s">
        <v>1837</v>
      </c>
      <c r="N3836">
        <v>72761</v>
      </c>
      <c r="O3836">
        <v>26.23</v>
      </c>
      <c r="P3836">
        <v>20.38</v>
      </c>
      <c r="Q3836">
        <v>2.56</v>
      </c>
      <c r="R3836">
        <v>5.69</v>
      </c>
      <c r="S3836">
        <v>8.02</v>
      </c>
      <c r="Z3836" t="s">
        <v>164</v>
      </c>
      <c r="AA3836">
        <v>11.09</v>
      </c>
      <c r="AB3836" t="s">
        <v>4938</v>
      </c>
      <c r="AC3836" t="s">
        <v>2811</v>
      </c>
      <c r="AD3836" t="s">
        <v>2794</v>
      </c>
      <c r="AE3836" t="s">
        <v>4551</v>
      </c>
      <c r="AF3836" t="s">
        <v>6692</v>
      </c>
      <c r="AG3836" t="s">
        <v>6460</v>
      </c>
      <c r="AH3836" t="s">
        <v>716</v>
      </c>
      <c r="AI3836" t="s">
        <v>3446</v>
      </c>
      <c r="AJ3836" t="s">
        <v>164</v>
      </c>
      <c r="AK3836" t="s">
        <v>16518</v>
      </c>
      <c r="AL3836">
        <v>1.75</v>
      </c>
      <c r="AM3836">
        <v>1.22</v>
      </c>
      <c r="AN3836">
        <v>0.71</v>
      </c>
      <c r="AO3836" t="s">
        <v>30863</v>
      </c>
      <c r="AP3836" t="s">
        <v>12245</v>
      </c>
      <c r="AQ3836" t="s">
        <v>5679</v>
      </c>
      <c r="AR3836" t="s">
        <v>352</v>
      </c>
      <c r="AS3836" t="s">
        <v>5425</v>
      </c>
      <c r="AT3836" t="s">
        <v>72</v>
      </c>
      <c r="AU3836" t="s">
        <v>4634</v>
      </c>
      <c r="AV3836" t="s">
        <v>19824</v>
      </c>
      <c r="AW3836" t="s">
        <v>6450</v>
      </c>
      <c r="AX3836" t="s">
        <v>636</v>
      </c>
      <c r="AY3836" t="s">
        <v>415</v>
      </c>
      <c r="AZ3836" t="s">
        <v>636</v>
      </c>
      <c r="BA3836">
        <v>2.39</v>
      </c>
      <c r="BB3836">
        <v>836.52</v>
      </c>
      <c r="BC3836">
        <v>0.31</v>
      </c>
      <c r="BD3836">
        <v>287.79000000000002</v>
      </c>
      <c r="BE3836">
        <v>291.74</v>
      </c>
      <c r="BF3836">
        <v>288.5</v>
      </c>
      <c r="BG3836" t="s">
        <v>30864</v>
      </c>
      <c r="BH3836" t="s">
        <v>14007</v>
      </c>
      <c r="BI3836" t="s">
        <v>30865</v>
      </c>
      <c r="BJ3836" t="s">
        <v>101</v>
      </c>
      <c r="BK3836" t="s">
        <v>17228</v>
      </c>
      <c r="BL3836" t="s">
        <v>8220</v>
      </c>
      <c r="BM3836" t="s">
        <v>5104</v>
      </c>
      <c r="BN3836" t="s">
        <v>27621</v>
      </c>
    </row>
    <row r="3837" spans="1:66" x14ac:dyDescent="0.25">
      <c r="A3837" t="str">
        <f>HYPERLINK("https://elite.finviz.com/quote.ashx?t=OBT&amp;ty=c&amp;p=d&amp;b=1", "OBT")</f>
        <v>OBT</v>
      </c>
      <c r="B3837">
        <v>4</v>
      </c>
      <c r="C3837">
        <v>105.92</v>
      </c>
      <c r="D3837">
        <v>44.21</v>
      </c>
      <c r="E3837" t="s">
        <v>30866</v>
      </c>
      <c r="F3837" t="s">
        <v>67</v>
      </c>
      <c r="G3837" t="s">
        <v>550</v>
      </c>
      <c r="H3837" t="s">
        <v>697</v>
      </c>
      <c r="I3837" t="s">
        <v>70</v>
      </c>
      <c r="J3837" t="s">
        <v>321</v>
      </c>
      <c r="K3837">
        <v>340.08</v>
      </c>
      <c r="L3837">
        <v>25.45</v>
      </c>
      <c r="M3837" t="s">
        <v>6156</v>
      </c>
      <c r="N3837">
        <v>2848</v>
      </c>
      <c r="O3837">
        <v>9.9499999999999993</v>
      </c>
      <c r="P3837">
        <v>8.43</v>
      </c>
      <c r="R3837">
        <v>2.2799999999999998</v>
      </c>
      <c r="S3837">
        <v>1.35</v>
      </c>
      <c r="T3837" t="s">
        <v>1439</v>
      </c>
      <c r="U3837">
        <v>0.52</v>
      </c>
      <c r="V3837" t="s">
        <v>9611</v>
      </c>
      <c r="W3837" t="s">
        <v>3916</v>
      </c>
      <c r="X3837" t="s">
        <v>4995</v>
      </c>
      <c r="Y3837" t="s">
        <v>7284</v>
      </c>
      <c r="Z3837" t="s">
        <v>10711</v>
      </c>
      <c r="AA3837">
        <v>2.56</v>
      </c>
      <c r="AB3837" t="s">
        <v>454</v>
      </c>
      <c r="AC3837" t="s">
        <v>6498</v>
      </c>
      <c r="AE3837" t="s">
        <v>1254</v>
      </c>
      <c r="AF3837" t="s">
        <v>4541</v>
      </c>
      <c r="AG3837" t="s">
        <v>8627</v>
      </c>
      <c r="AH3837" t="s">
        <v>5318</v>
      </c>
      <c r="AI3837" t="s">
        <v>9725</v>
      </c>
      <c r="AJ3837" t="s">
        <v>1249</v>
      </c>
      <c r="AK3837" t="s">
        <v>12358</v>
      </c>
      <c r="AL3837">
        <v>0.1</v>
      </c>
      <c r="AN3837">
        <v>0.2</v>
      </c>
      <c r="AP3837" t="s">
        <v>11880</v>
      </c>
      <c r="AQ3837" t="s">
        <v>8627</v>
      </c>
      <c r="AR3837" t="s">
        <v>387</v>
      </c>
      <c r="AS3837" t="s">
        <v>5256</v>
      </c>
      <c r="AT3837" t="s">
        <v>4646</v>
      </c>
      <c r="AU3837" t="s">
        <v>4938</v>
      </c>
      <c r="AV3837" t="s">
        <v>4203</v>
      </c>
      <c r="AW3837" t="s">
        <v>879</v>
      </c>
      <c r="AX3837" t="s">
        <v>177</v>
      </c>
      <c r="AY3837" t="s">
        <v>15096</v>
      </c>
      <c r="AZ3837" t="s">
        <v>1415</v>
      </c>
      <c r="BA3837">
        <v>1</v>
      </c>
      <c r="BB3837">
        <v>62.19</v>
      </c>
      <c r="BC3837">
        <v>0.16</v>
      </c>
      <c r="BD3837">
        <v>25.41</v>
      </c>
      <c r="BE3837">
        <v>25.57</v>
      </c>
      <c r="BF3837">
        <v>25.57</v>
      </c>
      <c r="BG3837" t="s">
        <v>30867</v>
      </c>
      <c r="BH3837" t="s">
        <v>15096</v>
      </c>
      <c r="BI3837" t="s">
        <v>30868</v>
      </c>
      <c r="BJ3837" t="s">
        <v>101</v>
      </c>
      <c r="BK3837" t="s">
        <v>6257</v>
      </c>
      <c r="BL3837" t="s">
        <v>4428</v>
      </c>
      <c r="BM3837" t="s">
        <v>12495</v>
      </c>
      <c r="BN3837" t="s">
        <v>27621</v>
      </c>
    </row>
    <row r="3838" spans="1:66" x14ac:dyDescent="0.25">
      <c r="A3838" t="str">
        <f>HYPERLINK("https://elite.finviz.com/quote.ashx?t=ALDF&amp;ty=c&amp;p=d&amp;b=1", "ALDF")</f>
        <v>ALDF</v>
      </c>
      <c r="B3838">
        <v>4</v>
      </c>
      <c r="C3838">
        <v>105.92</v>
      </c>
      <c r="D3838">
        <v>44.21</v>
      </c>
      <c r="E3838" t="s">
        <v>30869</v>
      </c>
      <c r="F3838" t="s">
        <v>107</v>
      </c>
      <c r="G3838" t="s">
        <v>550</v>
      </c>
      <c r="H3838" t="s">
        <v>2120</v>
      </c>
      <c r="I3838" t="s">
        <v>70</v>
      </c>
      <c r="J3838" t="s">
        <v>321</v>
      </c>
      <c r="K3838">
        <v>310.33</v>
      </c>
      <c r="L3838">
        <v>10.39</v>
      </c>
      <c r="M3838" t="s">
        <v>164</v>
      </c>
      <c r="N3838">
        <v>1150</v>
      </c>
      <c r="O3838">
        <v>53.45</v>
      </c>
      <c r="S3838">
        <v>1.3</v>
      </c>
      <c r="Z3838" t="s">
        <v>164</v>
      </c>
      <c r="AA3838">
        <v>0.19</v>
      </c>
      <c r="AJ3838" t="s">
        <v>164</v>
      </c>
      <c r="AK3838" t="s">
        <v>17810</v>
      </c>
      <c r="AL3838">
        <v>18146.189999999999</v>
      </c>
      <c r="AM3838">
        <v>18146.189999999999</v>
      </c>
      <c r="AN3838">
        <v>0</v>
      </c>
      <c r="AR3838" t="s">
        <v>141</v>
      </c>
      <c r="AS3838" t="s">
        <v>3000</v>
      </c>
      <c r="AT3838" t="s">
        <v>4703</v>
      </c>
      <c r="AU3838" t="s">
        <v>386</v>
      </c>
      <c r="AV3838" t="s">
        <v>907</v>
      </c>
      <c r="AW3838" t="s">
        <v>7089</v>
      </c>
      <c r="AX3838" t="s">
        <v>6117</v>
      </c>
      <c r="AY3838" t="s">
        <v>6276</v>
      </c>
      <c r="AZ3838" t="s">
        <v>7978</v>
      </c>
      <c r="BB3838">
        <v>58.07</v>
      </c>
      <c r="BC3838">
        <v>7.0000000000000007E-2</v>
      </c>
      <c r="BD3838">
        <v>10.39</v>
      </c>
      <c r="BE3838">
        <v>10.42</v>
      </c>
      <c r="BF3838">
        <v>10.42</v>
      </c>
      <c r="BG3838" t="s">
        <v>30870</v>
      </c>
      <c r="BH3838" t="s">
        <v>6276</v>
      </c>
      <c r="BI3838" t="s">
        <v>7978</v>
      </c>
      <c r="BJ3838" t="s">
        <v>101</v>
      </c>
      <c r="BK3838" t="s">
        <v>2276</v>
      </c>
      <c r="BL3838" t="s">
        <v>4093</v>
      </c>
      <c r="BN3838" t="s">
        <v>27621</v>
      </c>
    </row>
    <row r="3839" spans="1:66" x14ac:dyDescent="0.25">
      <c r="A3839" t="str">
        <f>HYPERLINK("https://elite.finviz.com/quote.ashx?t=ATHA&amp;ty=c&amp;p=d&amp;b=1", "ATHA")</f>
        <v>ATHA</v>
      </c>
      <c r="B3839">
        <v>4</v>
      </c>
      <c r="C3839">
        <v>105.92</v>
      </c>
      <c r="D3839">
        <v>44.23</v>
      </c>
      <c r="E3839" t="s">
        <v>30871</v>
      </c>
      <c r="F3839" t="s">
        <v>107</v>
      </c>
      <c r="G3839" t="s">
        <v>428</v>
      </c>
      <c r="H3839" t="s">
        <v>429</v>
      </c>
      <c r="I3839" t="s">
        <v>70</v>
      </c>
      <c r="J3839" t="s">
        <v>321</v>
      </c>
      <c r="K3839">
        <v>14.67</v>
      </c>
      <c r="L3839">
        <v>3.72</v>
      </c>
      <c r="M3839" t="s">
        <v>5661</v>
      </c>
      <c r="N3839">
        <v>1726</v>
      </c>
      <c r="S3839">
        <v>0.46</v>
      </c>
      <c r="AA3839">
        <v>-15.44</v>
      </c>
      <c r="AB3839" t="s">
        <v>27010</v>
      </c>
      <c r="AC3839" t="s">
        <v>30872</v>
      </c>
      <c r="AD3839" t="s">
        <v>5966</v>
      </c>
      <c r="AI3839" t="s">
        <v>3796</v>
      </c>
      <c r="AJ3839" t="s">
        <v>20059</v>
      </c>
      <c r="AK3839" t="s">
        <v>8126</v>
      </c>
      <c r="AL3839">
        <v>10.81</v>
      </c>
      <c r="AM3839">
        <v>10.81</v>
      </c>
      <c r="AN3839">
        <v>0.03</v>
      </c>
      <c r="AR3839" t="s">
        <v>7436</v>
      </c>
      <c r="AS3839" t="s">
        <v>7942</v>
      </c>
      <c r="AT3839" t="s">
        <v>3114</v>
      </c>
      <c r="AU3839" t="s">
        <v>8506</v>
      </c>
      <c r="AV3839" t="s">
        <v>2998</v>
      </c>
      <c r="AW3839" t="s">
        <v>16819</v>
      </c>
      <c r="AX3839" t="s">
        <v>1625</v>
      </c>
      <c r="AY3839" t="s">
        <v>30873</v>
      </c>
      <c r="AZ3839" t="s">
        <v>30874</v>
      </c>
      <c r="BA3839">
        <v>3</v>
      </c>
      <c r="BB3839">
        <v>26.34</v>
      </c>
      <c r="BC3839">
        <v>0.23</v>
      </c>
      <c r="BD3839">
        <v>3.81</v>
      </c>
      <c r="BE3839">
        <v>3.84</v>
      </c>
      <c r="BF3839">
        <v>3.79</v>
      </c>
      <c r="BG3839" t="s">
        <v>30875</v>
      </c>
      <c r="BH3839" t="s">
        <v>30876</v>
      </c>
      <c r="BI3839" t="s">
        <v>30874</v>
      </c>
      <c r="BJ3839" t="s">
        <v>101</v>
      </c>
      <c r="BK3839" t="s">
        <v>97</v>
      </c>
      <c r="BL3839" t="s">
        <v>4745</v>
      </c>
      <c r="BM3839" t="s">
        <v>9220</v>
      </c>
      <c r="BN3839" t="s">
        <v>27621</v>
      </c>
    </row>
    <row r="3840" spans="1:66" x14ac:dyDescent="0.25">
      <c r="A3840" t="str">
        <f>HYPERLINK("https://elite.finviz.com/quote.ashx?t=RMD&amp;ty=c&amp;p=d&amp;b=1", "RMD")</f>
        <v>RMD</v>
      </c>
      <c r="B3840">
        <v>4</v>
      </c>
      <c r="C3840">
        <v>105.92</v>
      </c>
      <c r="D3840">
        <v>44.24</v>
      </c>
      <c r="E3840" t="s">
        <v>30877</v>
      </c>
      <c r="F3840" t="s">
        <v>195</v>
      </c>
      <c r="G3840" t="s">
        <v>428</v>
      </c>
      <c r="H3840" t="s">
        <v>2161</v>
      </c>
      <c r="I3840" t="s">
        <v>70</v>
      </c>
      <c r="J3840" t="s">
        <v>71</v>
      </c>
      <c r="K3840">
        <v>39578.129999999997</v>
      </c>
      <c r="L3840">
        <v>270.32</v>
      </c>
      <c r="M3840" t="s">
        <v>4902</v>
      </c>
      <c r="N3840">
        <v>135249</v>
      </c>
      <c r="O3840">
        <v>28.43</v>
      </c>
      <c r="P3840">
        <v>22.43</v>
      </c>
      <c r="Q3840">
        <v>2.5499999999999998</v>
      </c>
      <c r="R3840">
        <v>7.69</v>
      </c>
      <c r="S3840">
        <v>6.63</v>
      </c>
      <c r="T3840" t="s">
        <v>2864</v>
      </c>
      <c r="U3840">
        <v>2.19</v>
      </c>
      <c r="V3840" t="s">
        <v>2708</v>
      </c>
      <c r="W3840" t="s">
        <v>9227</v>
      </c>
      <c r="X3840" t="s">
        <v>9478</v>
      </c>
      <c r="Y3840" t="s">
        <v>6684</v>
      </c>
      <c r="Z3840" t="s">
        <v>11473</v>
      </c>
      <c r="AA3840">
        <v>9.51</v>
      </c>
      <c r="AB3840" t="s">
        <v>1990</v>
      </c>
      <c r="AC3840" t="s">
        <v>4272</v>
      </c>
      <c r="AD3840" t="s">
        <v>2656</v>
      </c>
      <c r="AE3840" t="s">
        <v>3793</v>
      </c>
      <c r="AF3840" t="s">
        <v>584</v>
      </c>
      <c r="AG3840" t="s">
        <v>13358</v>
      </c>
      <c r="AH3840" t="s">
        <v>3468</v>
      </c>
      <c r="AI3840" t="s">
        <v>164</v>
      </c>
      <c r="AJ3840" t="s">
        <v>14355</v>
      </c>
      <c r="AK3840" t="s">
        <v>7066</v>
      </c>
      <c r="AL3840">
        <v>3.44</v>
      </c>
      <c r="AM3840">
        <v>2.5299999999999998</v>
      </c>
      <c r="AN3840">
        <v>0.14000000000000001</v>
      </c>
      <c r="AO3840" t="s">
        <v>2341</v>
      </c>
      <c r="AP3840" t="s">
        <v>10890</v>
      </c>
      <c r="AQ3840" t="s">
        <v>8237</v>
      </c>
      <c r="AR3840" t="s">
        <v>3349</v>
      </c>
      <c r="AS3840" t="s">
        <v>4267</v>
      </c>
      <c r="AT3840" t="s">
        <v>7568</v>
      </c>
      <c r="AU3840" t="s">
        <v>132</v>
      </c>
      <c r="AV3840" t="s">
        <v>2559</v>
      </c>
      <c r="AW3840" t="s">
        <v>5963</v>
      </c>
      <c r="AX3840" t="s">
        <v>5642</v>
      </c>
      <c r="AY3840" t="s">
        <v>5963</v>
      </c>
      <c r="AZ3840" t="s">
        <v>9370</v>
      </c>
      <c r="BA3840">
        <v>1.93</v>
      </c>
      <c r="BB3840">
        <v>990.77</v>
      </c>
      <c r="BC3840">
        <v>0.48</v>
      </c>
      <c r="BD3840">
        <v>267.31</v>
      </c>
      <c r="BE3840">
        <v>271.05</v>
      </c>
      <c r="BF3840">
        <v>267.89999999999998</v>
      </c>
      <c r="BG3840" t="s">
        <v>30878</v>
      </c>
      <c r="BH3840" t="s">
        <v>14813</v>
      </c>
      <c r="BI3840" t="s">
        <v>30879</v>
      </c>
      <c r="BJ3840" t="s">
        <v>101</v>
      </c>
      <c r="BK3840" t="s">
        <v>755</v>
      </c>
      <c r="BL3840" t="s">
        <v>15794</v>
      </c>
      <c r="BM3840" t="s">
        <v>1468</v>
      </c>
      <c r="BN3840" t="s">
        <v>27621</v>
      </c>
    </row>
    <row r="3841" spans="1:66" x14ac:dyDescent="0.25">
      <c r="A3841" t="str">
        <f>HYPERLINK("https://elite.finviz.com/quote.ashx?t=LSF&amp;ty=c&amp;p=d&amp;b=1", "LSF")</f>
        <v>LSF</v>
      </c>
      <c r="B3841">
        <v>4</v>
      </c>
      <c r="C3841">
        <v>105.92</v>
      </c>
      <c r="D3841">
        <v>44.24</v>
      </c>
      <c r="E3841" t="s">
        <v>30880</v>
      </c>
      <c r="F3841" t="s">
        <v>107</v>
      </c>
      <c r="G3841" t="s">
        <v>2244</v>
      </c>
      <c r="H3841" t="s">
        <v>3269</v>
      </c>
      <c r="I3841" t="s">
        <v>70</v>
      </c>
      <c r="J3841" t="s">
        <v>383</v>
      </c>
      <c r="K3841">
        <v>61.48</v>
      </c>
      <c r="L3841">
        <v>5.76</v>
      </c>
      <c r="M3841" t="s">
        <v>1226</v>
      </c>
      <c r="N3841">
        <v>8423</v>
      </c>
      <c r="R3841">
        <v>1.31</v>
      </c>
      <c r="S3841">
        <v>4.59</v>
      </c>
      <c r="AA3841">
        <v>-0.1</v>
      </c>
      <c r="AB3841" t="s">
        <v>1697</v>
      </c>
      <c r="AC3841" t="s">
        <v>125</v>
      </c>
      <c r="AE3841" t="s">
        <v>4181</v>
      </c>
      <c r="AF3841" t="s">
        <v>892</v>
      </c>
      <c r="AG3841" t="s">
        <v>14704</v>
      </c>
      <c r="AH3841" t="s">
        <v>21085</v>
      </c>
      <c r="AI3841" t="s">
        <v>30671</v>
      </c>
      <c r="AJ3841" t="s">
        <v>2745</v>
      </c>
      <c r="AK3841" t="s">
        <v>6437</v>
      </c>
      <c r="AL3841">
        <v>2.76</v>
      </c>
      <c r="AM3841">
        <v>1.18</v>
      </c>
      <c r="AN3841">
        <v>0.01</v>
      </c>
      <c r="AO3841" t="s">
        <v>27436</v>
      </c>
      <c r="AP3841" t="s">
        <v>7865</v>
      </c>
      <c r="AQ3841" t="s">
        <v>3466</v>
      </c>
      <c r="AR3841" t="s">
        <v>2124</v>
      </c>
      <c r="AS3841" t="s">
        <v>2809</v>
      </c>
      <c r="AT3841" t="s">
        <v>5746</v>
      </c>
      <c r="AU3841" t="s">
        <v>94</v>
      </c>
      <c r="AV3841" t="s">
        <v>5194</v>
      </c>
      <c r="AW3841" t="s">
        <v>12545</v>
      </c>
      <c r="AX3841" t="s">
        <v>3170</v>
      </c>
      <c r="AY3841" t="s">
        <v>11053</v>
      </c>
      <c r="AZ3841" t="s">
        <v>1061</v>
      </c>
      <c r="BA3841">
        <v>1</v>
      </c>
      <c r="BB3841">
        <v>37.46</v>
      </c>
      <c r="BC3841">
        <v>0.8</v>
      </c>
      <c r="BD3841">
        <v>5.81</v>
      </c>
      <c r="BE3841">
        <v>5.86</v>
      </c>
      <c r="BF3841">
        <v>5.73</v>
      </c>
      <c r="BG3841" t="s">
        <v>30881</v>
      </c>
      <c r="BH3841" t="s">
        <v>30882</v>
      </c>
      <c r="BI3841" t="s">
        <v>30883</v>
      </c>
      <c r="BJ3841" t="s">
        <v>101</v>
      </c>
      <c r="BK3841" t="s">
        <v>6088</v>
      </c>
      <c r="BL3841" t="s">
        <v>18918</v>
      </c>
      <c r="BM3841" t="s">
        <v>8533</v>
      </c>
      <c r="BN3841" t="s">
        <v>27621</v>
      </c>
    </row>
    <row r="3842" spans="1:66" x14ac:dyDescent="0.25">
      <c r="A3842" t="str">
        <f>HYPERLINK("https://elite.finviz.com/quote.ashx?t=IEX&amp;ty=c&amp;p=d&amp;b=1", "IEX")</f>
        <v>IEX</v>
      </c>
      <c r="B3842">
        <v>4</v>
      </c>
      <c r="C3842">
        <v>105.92</v>
      </c>
      <c r="D3842">
        <v>44.25</v>
      </c>
      <c r="E3842" t="s">
        <v>30884</v>
      </c>
      <c r="F3842" t="s">
        <v>195</v>
      </c>
      <c r="G3842" t="s">
        <v>260</v>
      </c>
      <c r="H3842" t="s">
        <v>261</v>
      </c>
      <c r="I3842" t="s">
        <v>70</v>
      </c>
      <c r="J3842" t="s">
        <v>71</v>
      </c>
      <c r="K3842">
        <v>12053.35</v>
      </c>
      <c r="L3842">
        <v>160.1</v>
      </c>
      <c r="M3842" t="s">
        <v>4849</v>
      </c>
      <c r="N3842">
        <v>73190</v>
      </c>
      <c r="O3842">
        <v>25.84</v>
      </c>
      <c r="P3842">
        <v>18.48</v>
      </c>
      <c r="Q3842">
        <v>4.34</v>
      </c>
      <c r="R3842">
        <v>3.61</v>
      </c>
      <c r="S3842">
        <v>3.01</v>
      </c>
      <c r="T3842" t="s">
        <v>6151</v>
      </c>
      <c r="U3842">
        <v>2.8</v>
      </c>
      <c r="V3842" t="s">
        <v>5056</v>
      </c>
      <c r="W3842" t="s">
        <v>2515</v>
      </c>
      <c r="X3842" t="s">
        <v>1736</v>
      </c>
      <c r="Y3842" t="s">
        <v>6330</v>
      </c>
      <c r="Z3842" t="s">
        <v>11483</v>
      </c>
      <c r="AA3842">
        <v>6.2</v>
      </c>
      <c r="AB3842" t="s">
        <v>5331</v>
      </c>
      <c r="AC3842" t="s">
        <v>3613</v>
      </c>
      <c r="AD3842" t="s">
        <v>2231</v>
      </c>
      <c r="AE3842" t="s">
        <v>3524</v>
      </c>
      <c r="AF3842" t="s">
        <v>3088</v>
      </c>
      <c r="AG3842" t="s">
        <v>4403</v>
      </c>
      <c r="AH3842" t="s">
        <v>1159</v>
      </c>
      <c r="AI3842" t="s">
        <v>289</v>
      </c>
      <c r="AJ3842" t="s">
        <v>1025</v>
      </c>
      <c r="AK3842" t="s">
        <v>30885</v>
      </c>
      <c r="AL3842">
        <v>3.05</v>
      </c>
      <c r="AM3842">
        <v>2.13</v>
      </c>
      <c r="AN3842">
        <v>0.47</v>
      </c>
      <c r="AO3842" t="s">
        <v>2657</v>
      </c>
      <c r="AP3842" t="s">
        <v>11495</v>
      </c>
      <c r="AQ3842" t="s">
        <v>14993</v>
      </c>
      <c r="AR3842" t="s">
        <v>6990</v>
      </c>
      <c r="AS3842" t="s">
        <v>909</v>
      </c>
      <c r="AT3842" t="s">
        <v>2276</v>
      </c>
      <c r="AU3842" t="s">
        <v>4927</v>
      </c>
      <c r="AV3842" t="s">
        <v>4148</v>
      </c>
      <c r="AW3842" t="s">
        <v>8252</v>
      </c>
      <c r="AX3842" t="s">
        <v>3925</v>
      </c>
      <c r="AY3842" t="s">
        <v>30641</v>
      </c>
      <c r="AZ3842" t="s">
        <v>5026</v>
      </c>
      <c r="BA3842">
        <v>2.12</v>
      </c>
      <c r="BB3842">
        <v>763.9</v>
      </c>
      <c r="BC3842">
        <v>0.34</v>
      </c>
      <c r="BD3842">
        <v>159.28</v>
      </c>
      <c r="BE3842">
        <v>160.97</v>
      </c>
      <c r="BF3842">
        <v>159.29</v>
      </c>
      <c r="BG3842" t="s">
        <v>30886</v>
      </c>
      <c r="BH3842" t="s">
        <v>13333</v>
      </c>
      <c r="BI3842" t="s">
        <v>30887</v>
      </c>
      <c r="BJ3842" t="s">
        <v>101</v>
      </c>
      <c r="BK3842" t="s">
        <v>15107</v>
      </c>
      <c r="BL3842" t="s">
        <v>5507</v>
      </c>
      <c r="BM3842" t="s">
        <v>26762</v>
      </c>
      <c r="BN3842" t="s">
        <v>27621</v>
      </c>
    </row>
    <row r="3843" spans="1:66" x14ac:dyDescent="0.25">
      <c r="A3843" t="str">
        <f>HYPERLINK("https://elite.finviz.com/quote.ashx?t=MASI&amp;ty=c&amp;p=d&amp;b=1", "MASI")</f>
        <v>MASI</v>
      </c>
      <c r="B3843">
        <v>4</v>
      </c>
      <c r="C3843">
        <v>105.92</v>
      </c>
      <c r="D3843">
        <v>44.25</v>
      </c>
      <c r="E3843" t="s">
        <v>30888</v>
      </c>
      <c r="F3843" t="s">
        <v>107</v>
      </c>
      <c r="G3843" t="s">
        <v>428</v>
      </c>
      <c r="H3843" t="s">
        <v>2051</v>
      </c>
      <c r="I3843" t="s">
        <v>70</v>
      </c>
      <c r="J3843" t="s">
        <v>321</v>
      </c>
      <c r="K3843">
        <v>7684.19</v>
      </c>
      <c r="L3843">
        <v>141.44999999999999</v>
      </c>
      <c r="M3843" t="s">
        <v>4552</v>
      </c>
      <c r="N3843">
        <v>72015</v>
      </c>
      <c r="P3843">
        <v>24.43</v>
      </c>
      <c r="R3843">
        <v>4.16</v>
      </c>
      <c r="S3843">
        <v>7.37</v>
      </c>
      <c r="V3843" t="s">
        <v>19356</v>
      </c>
      <c r="AA3843">
        <v>-8.57</v>
      </c>
      <c r="AD3843" t="s">
        <v>5743</v>
      </c>
      <c r="AE3843" t="s">
        <v>10375</v>
      </c>
      <c r="AF3843" t="s">
        <v>9557</v>
      </c>
      <c r="AG3843" t="s">
        <v>3390</v>
      </c>
      <c r="AH3843" t="s">
        <v>17787</v>
      </c>
      <c r="AI3843" t="s">
        <v>2250</v>
      </c>
      <c r="AJ3843" t="s">
        <v>2468</v>
      </c>
      <c r="AK3843" t="s">
        <v>14795</v>
      </c>
      <c r="AL3843">
        <v>2.14</v>
      </c>
      <c r="AM3843">
        <v>1.61</v>
      </c>
      <c r="AN3843">
        <v>0.62</v>
      </c>
      <c r="AO3843" t="s">
        <v>3985</v>
      </c>
      <c r="AP3843" t="s">
        <v>6008</v>
      </c>
      <c r="AQ3843" t="s">
        <v>4440</v>
      </c>
      <c r="AR3843" t="s">
        <v>2643</v>
      </c>
      <c r="AS3843" t="s">
        <v>4658</v>
      </c>
      <c r="AT3843" t="s">
        <v>7137</v>
      </c>
      <c r="AU3843" t="s">
        <v>5246</v>
      </c>
      <c r="AV3843" t="s">
        <v>8021</v>
      </c>
      <c r="AW3843" t="s">
        <v>7203</v>
      </c>
      <c r="AX3843" t="s">
        <v>1091</v>
      </c>
      <c r="AY3843" t="s">
        <v>2971</v>
      </c>
      <c r="AZ3843" t="s">
        <v>7854</v>
      </c>
      <c r="BA3843">
        <v>1.6</v>
      </c>
      <c r="BB3843">
        <v>694.79</v>
      </c>
      <c r="BC3843">
        <v>0.37</v>
      </c>
      <c r="BD3843">
        <v>139.75</v>
      </c>
      <c r="BE3843">
        <v>142.21</v>
      </c>
      <c r="BF3843">
        <v>139.6</v>
      </c>
      <c r="BG3843" t="s">
        <v>30889</v>
      </c>
      <c r="BH3843" t="s">
        <v>2916</v>
      </c>
      <c r="BI3843" t="s">
        <v>30890</v>
      </c>
      <c r="BJ3843" t="s">
        <v>101</v>
      </c>
      <c r="BK3843" t="s">
        <v>10962</v>
      </c>
      <c r="BL3843" t="s">
        <v>9199</v>
      </c>
      <c r="BM3843" t="s">
        <v>14148</v>
      </c>
      <c r="BN3843" t="s">
        <v>27621</v>
      </c>
    </row>
    <row r="3844" spans="1:66" x14ac:dyDescent="0.25">
      <c r="A3844" t="str">
        <f>HYPERLINK("https://elite.finviz.com/quote.ashx?t=ISSC&amp;ty=c&amp;p=d&amp;b=1", "ISSC")</f>
        <v>ISSC</v>
      </c>
      <c r="B3844">
        <v>4</v>
      </c>
      <c r="C3844">
        <v>105.92</v>
      </c>
      <c r="D3844">
        <v>44.26</v>
      </c>
      <c r="E3844" t="s">
        <v>30891</v>
      </c>
      <c r="F3844" t="s">
        <v>107</v>
      </c>
      <c r="G3844" t="s">
        <v>260</v>
      </c>
      <c r="H3844" t="s">
        <v>4779</v>
      </c>
      <c r="I3844" t="s">
        <v>70</v>
      </c>
      <c r="J3844" t="s">
        <v>321</v>
      </c>
      <c r="K3844">
        <v>208.19</v>
      </c>
      <c r="L3844">
        <v>11.81</v>
      </c>
      <c r="M3844" t="s">
        <v>15000</v>
      </c>
      <c r="N3844">
        <v>53073</v>
      </c>
      <c r="O3844">
        <v>17.809999999999999</v>
      </c>
      <c r="P3844">
        <v>16.18</v>
      </c>
      <c r="Q3844">
        <v>0.46</v>
      </c>
      <c r="R3844">
        <v>2.69</v>
      </c>
      <c r="S3844">
        <v>3.66</v>
      </c>
      <c r="V3844" t="s">
        <v>30892</v>
      </c>
      <c r="Z3844" t="s">
        <v>164</v>
      </c>
      <c r="AA3844">
        <v>0.66</v>
      </c>
      <c r="AB3844" t="s">
        <v>6928</v>
      </c>
      <c r="AC3844" t="s">
        <v>7032</v>
      </c>
      <c r="AD3844" t="s">
        <v>13742</v>
      </c>
      <c r="AE3844" t="s">
        <v>6369</v>
      </c>
      <c r="AF3844" t="s">
        <v>931</v>
      </c>
      <c r="AG3844" t="s">
        <v>4771</v>
      </c>
      <c r="AH3844" t="s">
        <v>25350</v>
      </c>
      <c r="AI3844" t="s">
        <v>1579</v>
      </c>
      <c r="AJ3844" t="s">
        <v>2100</v>
      </c>
      <c r="AK3844" t="s">
        <v>8750</v>
      </c>
      <c r="AL3844">
        <v>3.53</v>
      </c>
      <c r="AM3844">
        <v>1.35</v>
      </c>
      <c r="AN3844">
        <v>0.41</v>
      </c>
      <c r="AO3844" t="s">
        <v>18519</v>
      </c>
      <c r="AP3844" t="s">
        <v>7834</v>
      </c>
      <c r="AQ3844" t="s">
        <v>3042</v>
      </c>
      <c r="AR3844" t="s">
        <v>5497</v>
      </c>
      <c r="AS3844" t="s">
        <v>2842</v>
      </c>
      <c r="AT3844" t="s">
        <v>3350</v>
      </c>
      <c r="AU3844" t="s">
        <v>7203</v>
      </c>
      <c r="AV3844" t="s">
        <v>4621</v>
      </c>
      <c r="AW3844" t="s">
        <v>30893</v>
      </c>
      <c r="AX3844" t="s">
        <v>2653</v>
      </c>
      <c r="AY3844" t="s">
        <v>30893</v>
      </c>
      <c r="AZ3844" t="s">
        <v>19209</v>
      </c>
      <c r="BA3844">
        <v>2</v>
      </c>
      <c r="BB3844">
        <v>642.89</v>
      </c>
      <c r="BC3844">
        <v>0.28999999999999998</v>
      </c>
      <c r="BD3844">
        <v>11.86</v>
      </c>
      <c r="BE3844">
        <v>12.12</v>
      </c>
      <c r="BF3844">
        <v>11.79</v>
      </c>
      <c r="BG3844" t="s">
        <v>30894</v>
      </c>
      <c r="BH3844" t="s">
        <v>30893</v>
      </c>
      <c r="BI3844" t="s">
        <v>30895</v>
      </c>
      <c r="BJ3844" t="s">
        <v>101</v>
      </c>
      <c r="BK3844" t="s">
        <v>16302</v>
      </c>
      <c r="BL3844" t="s">
        <v>21330</v>
      </c>
      <c r="BM3844" t="s">
        <v>30896</v>
      </c>
      <c r="BN3844" t="s">
        <v>27621</v>
      </c>
    </row>
    <row r="3845" spans="1:66" x14ac:dyDescent="0.25">
      <c r="A3845" t="str">
        <f>HYPERLINK("https://elite.finviz.com/quote.ashx?t=MBUU&amp;ty=c&amp;p=d&amp;b=1", "MBUU")</f>
        <v>MBUU</v>
      </c>
      <c r="B3845">
        <v>4</v>
      </c>
      <c r="C3845">
        <v>105.92</v>
      </c>
      <c r="D3845">
        <v>44.28</v>
      </c>
      <c r="E3845" t="s">
        <v>30897</v>
      </c>
      <c r="F3845" t="s">
        <v>67</v>
      </c>
      <c r="G3845" t="s">
        <v>813</v>
      </c>
      <c r="H3845" t="s">
        <v>5716</v>
      </c>
      <c r="I3845" t="s">
        <v>70</v>
      </c>
      <c r="J3845" t="s">
        <v>321</v>
      </c>
      <c r="K3845">
        <v>621.15</v>
      </c>
      <c r="L3845">
        <v>32.28</v>
      </c>
      <c r="M3845" t="s">
        <v>2642</v>
      </c>
      <c r="N3845">
        <v>28007</v>
      </c>
      <c r="O3845">
        <v>42.08</v>
      </c>
      <c r="P3845">
        <v>16.25</v>
      </c>
      <c r="R3845">
        <v>0.77</v>
      </c>
      <c r="S3845">
        <v>1.2</v>
      </c>
      <c r="Z3845" t="s">
        <v>164</v>
      </c>
      <c r="AA3845">
        <v>0.77</v>
      </c>
      <c r="AB3845" t="s">
        <v>8338</v>
      </c>
      <c r="AC3845" t="s">
        <v>14695</v>
      </c>
      <c r="AE3845" t="s">
        <v>3031</v>
      </c>
      <c r="AF3845" t="s">
        <v>5934</v>
      </c>
      <c r="AG3845" t="s">
        <v>8625</v>
      </c>
      <c r="AH3845" t="s">
        <v>20728</v>
      </c>
      <c r="AI3845" t="s">
        <v>2236</v>
      </c>
      <c r="AJ3845" t="s">
        <v>164</v>
      </c>
      <c r="AK3845" t="s">
        <v>30898</v>
      </c>
      <c r="AL3845">
        <v>1.63</v>
      </c>
      <c r="AM3845">
        <v>0.57999999999999996</v>
      </c>
      <c r="AN3845">
        <v>0.05</v>
      </c>
      <c r="AO3845" t="s">
        <v>2395</v>
      </c>
      <c r="AP3845" t="s">
        <v>1768</v>
      </c>
      <c r="AQ3845" t="s">
        <v>2339</v>
      </c>
      <c r="AR3845" t="s">
        <v>1768</v>
      </c>
      <c r="AS3845" t="s">
        <v>1087</v>
      </c>
      <c r="AT3845" t="s">
        <v>7089</v>
      </c>
      <c r="AU3845" t="s">
        <v>15506</v>
      </c>
      <c r="AV3845" t="s">
        <v>9254</v>
      </c>
      <c r="AW3845" t="s">
        <v>14006</v>
      </c>
      <c r="AX3845" t="s">
        <v>8460</v>
      </c>
      <c r="AY3845" t="s">
        <v>30899</v>
      </c>
      <c r="AZ3845" t="s">
        <v>8083</v>
      </c>
      <c r="BA3845">
        <v>2.2999999999999998</v>
      </c>
      <c r="BB3845">
        <v>174.43</v>
      </c>
      <c r="BC3845">
        <v>0.56999999999999995</v>
      </c>
      <c r="BD3845">
        <v>32.159999999999997</v>
      </c>
      <c r="BE3845">
        <v>32.49</v>
      </c>
      <c r="BF3845">
        <v>32.03</v>
      </c>
      <c r="BG3845" t="s">
        <v>30900</v>
      </c>
      <c r="BH3845" t="s">
        <v>30901</v>
      </c>
      <c r="BI3845" t="s">
        <v>18283</v>
      </c>
      <c r="BJ3845" t="s">
        <v>101</v>
      </c>
      <c r="BK3845" t="s">
        <v>2560</v>
      </c>
      <c r="BL3845" t="s">
        <v>372</v>
      </c>
      <c r="BM3845" t="s">
        <v>16445</v>
      </c>
      <c r="BN3845" t="s">
        <v>27621</v>
      </c>
    </row>
    <row r="3846" spans="1:66" x14ac:dyDescent="0.25">
      <c r="A3846" t="str">
        <f>HYPERLINK("https://elite.finviz.com/quote.ashx?t=SCKT&amp;ty=c&amp;p=d&amp;b=1", "SCKT")</f>
        <v>SCKT</v>
      </c>
      <c r="B3846">
        <v>4</v>
      </c>
      <c r="C3846">
        <v>105.92</v>
      </c>
      <c r="D3846">
        <v>44.28</v>
      </c>
      <c r="E3846" t="s">
        <v>30902</v>
      </c>
      <c r="F3846" t="s">
        <v>107</v>
      </c>
      <c r="G3846" t="s">
        <v>108</v>
      </c>
      <c r="H3846" t="s">
        <v>496</v>
      </c>
      <c r="I3846" t="s">
        <v>70</v>
      </c>
      <c r="J3846" t="s">
        <v>321</v>
      </c>
      <c r="K3846">
        <v>8.1199999999999992</v>
      </c>
      <c r="L3846">
        <v>1.02</v>
      </c>
      <c r="M3846" t="s">
        <v>164</v>
      </c>
      <c r="N3846">
        <v>1319</v>
      </c>
      <c r="R3846">
        <v>0.49</v>
      </c>
      <c r="S3846">
        <v>0.49</v>
      </c>
      <c r="AA3846">
        <v>-0.37</v>
      </c>
      <c r="AE3846" t="s">
        <v>9927</v>
      </c>
      <c r="AF3846" t="s">
        <v>13822</v>
      </c>
      <c r="AG3846" t="s">
        <v>4809</v>
      </c>
      <c r="AH3846" t="s">
        <v>15674</v>
      </c>
      <c r="AJ3846" t="s">
        <v>4902</v>
      </c>
      <c r="AK3846" t="s">
        <v>3303</v>
      </c>
      <c r="AL3846">
        <v>1.18</v>
      </c>
      <c r="AM3846">
        <v>0.6</v>
      </c>
      <c r="AN3846">
        <v>0.48</v>
      </c>
      <c r="AO3846" t="s">
        <v>25049</v>
      </c>
      <c r="AP3846" t="s">
        <v>9827</v>
      </c>
      <c r="AQ3846" t="s">
        <v>4094</v>
      </c>
      <c r="AR3846" t="s">
        <v>4276</v>
      </c>
      <c r="AS3846" t="s">
        <v>3542</v>
      </c>
      <c r="AT3846" t="s">
        <v>6359</v>
      </c>
      <c r="AU3846" t="s">
        <v>11661</v>
      </c>
      <c r="AV3846" t="s">
        <v>14961</v>
      </c>
      <c r="AW3846" t="s">
        <v>20222</v>
      </c>
      <c r="AX3846" t="s">
        <v>2008</v>
      </c>
      <c r="AY3846" t="s">
        <v>4179</v>
      </c>
      <c r="AZ3846" t="s">
        <v>2008</v>
      </c>
      <c r="BA3846">
        <v>1</v>
      </c>
      <c r="BB3846">
        <v>13.51</v>
      </c>
      <c r="BC3846">
        <v>0.35</v>
      </c>
      <c r="BD3846">
        <v>1.02</v>
      </c>
      <c r="BE3846">
        <v>1.02</v>
      </c>
      <c r="BF3846">
        <v>1.01</v>
      </c>
      <c r="BG3846" t="s">
        <v>30903</v>
      </c>
      <c r="BH3846" t="s">
        <v>1969</v>
      </c>
      <c r="BI3846" t="s">
        <v>30904</v>
      </c>
      <c r="BJ3846" t="s">
        <v>101</v>
      </c>
      <c r="BK3846" t="s">
        <v>12147</v>
      </c>
      <c r="BL3846" t="s">
        <v>8098</v>
      </c>
      <c r="BM3846" t="s">
        <v>14667</v>
      </c>
      <c r="BN3846" t="s">
        <v>27621</v>
      </c>
    </row>
    <row r="3847" spans="1:66" x14ac:dyDescent="0.25">
      <c r="A3847" t="str">
        <f>HYPERLINK("https://elite.finviz.com/quote.ashx?t=CARL&amp;ty=c&amp;p=d&amp;b=1", "CARL")</f>
        <v>CARL</v>
      </c>
      <c r="B3847">
        <v>4</v>
      </c>
      <c r="C3847">
        <v>105.92</v>
      </c>
      <c r="D3847">
        <v>44.35</v>
      </c>
      <c r="E3847" t="s">
        <v>30905</v>
      </c>
      <c r="F3847" t="s">
        <v>67</v>
      </c>
      <c r="G3847" t="s">
        <v>428</v>
      </c>
      <c r="H3847" t="s">
        <v>2075</v>
      </c>
      <c r="I3847" t="s">
        <v>70</v>
      </c>
      <c r="J3847" t="s">
        <v>321</v>
      </c>
      <c r="K3847">
        <v>356.57</v>
      </c>
      <c r="L3847">
        <v>13.41</v>
      </c>
      <c r="M3847" t="s">
        <v>3350</v>
      </c>
      <c r="N3847">
        <v>8694</v>
      </c>
      <c r="R3847">
        <v>9.32</v>
      </c>
      <c r="AA3847">
        <v>-0.97</v>
      </c>
      <c r="AE3847" t="s">
        <v>30906</v>
      </c>
      <c r="AH3847" t="s">
        <v>7235</v>
      </c>
      <c r="AI3847" t="s">
        <v>30907</v>
      </c>
      <c r="AJ3847" t="s">
        <v>13068</v>
      </c>
      <c r="AL3847">
        <v>4.87</v>
      </c>
      <c r="AM3847">
        <v>4.76</v>
      </c>
      <c r="AN3847">
        <v>0.69</v>
      </c>
      <c r="AO3847" t="s">
        <v>6167</v>
      </c>
      <c r="AP3847" t="s">
        <v>30908</v>
      </c>
      <c r="AQ3847" t="s">
        <v>19354</v>
      </c>
      <c r="AR3847" t="s">
        <v>297</v>
      </c>
      <c r="AS3847" t="s">
        <v>5025</v>
      </c>
      <c r="AT3847" t="s">
        <v>4704</v>
      </c>
      <c r="AU3847" t="s">
        <v>5765</v>
      </c>
      <c r="AV3847" t="s">
        <v>5765</v>
      </c>
      <c r="AW3847" t="s">
        <v>6649</v>
      </c>
      <c r="AX3847" t="s">
        <v>8916</v>
      </c>
      <c r="AY3847" t="s">
        <v>6649</v>
      </c>
      <c r="AZ3847" t="s">
        <v>8916</v>
      </c>
      <c r="BA3847">
        <v>1</v>
      </c>
      <c r="BB3847">
        <v>239.91</v>
      </c>
      <c r="BC3847">
        <v>0.13</v>
      </c>
      <c r="BD3847">
        <v>13.25</v>
      </c>
      <c r="BE3847">
        <v>13.65</v>
      </c>
      <c r="BF3847">
        <v>13.26</v>
      </c>
      <c r="BG3847" t="s">
        <v>30909</v>
      </c>
      <c r="BH3847" t="s">
        <v>6649</v>
      </c>
      <c r="BI3847" t="s">
        <v>8916</v>
      </c>
      <c r="BJ3847" t="s">
        <v>101</v>
      </c>
      <c r="BN3847" t="s">
        <v>27621</v>
      </c>
    </row>
    <row r="3848" spans="1:66" x14ac:dyDescent="0.25">
      <c r="A3848" t="str">
        <f>HYPERLINK("https://elite.finviz.com/quote.ashx?t=HURA&amp;ty=c&amp;p=d&amp;b=1", "HURA")</f>
        <v>HURA</v>
      </c>
      <c r="B3848">
        <v>4</v>
      </c>
      <c r="C3848">
        <v>105.92</v>
      </c>
      <c r="D3848">
        <v>44.36</v>
      </c>
      <c r="E3848" t="s">
        <v>30910</v>
      </c>
      <c r="F3848" t="s">
        <v>67</v>
      </c>
      <c r="G3848" t="s">
        <v>428</v>
      </c>
      <c r="H3848" t="s">
        <v>429</v>
      </c>
      <c r="I3848" t="s">
        <v>70</v>
      </c>
      <c r="J3848" t="s">
        <v>321</v>
      </c>
      <c r="K3848">
        <v>122.36</v>
      </c>
      <c r="L3848">
        <v>2.44</v>
      </c>
      <c r="M3848" t="s">
        <v>2213</v>
      </c>
      <c r="N3848">
        <v>39770</v>
      </c>
      <c r="S3848">
        <v>6.37</v>
      </c>
      <c r="AA3848">
        <v>-3.51</v>
      </c>
      <c r="AB3848" t="s">
        <v>22974</v>
      </c>
      <c r="AC3848" t="s">
        <v>8871</v>
      </c>
      <c r="AD3848" t="s">
        <v>27390</v>
      </c>
      <c r="AI3848" t="s">
        <v>7242</v>
      </c>
      <c r="AJ3848" t="s">
        <v>164</v>
      </c>
      <c r="AK3848" t="s">
        <v>7435</v>
      </c>
      <c r="AL3848">
        <v>0.83</v>
      </c>
      <c r="AM3848">
        <v>0.83</v>
      </c>
      <c r="AN3848">
        <v>0.03</v>
      </c>
      <c r="AR3848" t="s">
        <v>6527</v>
      </c>
      <c r="AS3848" t="s">
        <v>10237</v>
      </c>
      <c r="AT3848" t="s">
        <v>9854</v>
      </c>
      <c r="AU3848" t="s">
        <v>11264</v>
      </c>
      <c r="AV3848" t="s">
        <v>14535</v>
      </c>
      <c r="AW3848" t="s">
        <v>17429</v>
      </c>
      <c r="AX3848" t="s">
        <v>1653</v>
      </c>
      <c r="AY3848" t="s">
        <v>14270</v>
      </c>
      <c r="AZ3848" t="s">
        <v>5605</v>
      </c>
      <c r="BA3848">
        <v>1</v>
      </c>
      <c r="BB3848">
        <v>468.74</v>
      </c>
      <c r="BC3848">
        <v>0.3</v>
      </c>
      <c r="BD3848">
        <v>2.4500000000000002</v>
      </c>
      <c r="BE3848">
        <v>2.5499999999999998</v>
      </c>
      <c r="BF3848">
        <v>2.42</v>
      </c>
      <c r="BG3848" t="s">
        <v>30911</v>
      </c>
      <c r="BH3848" t="s">
        <v>579</v>
      </c>
      <c r="BI3848" t="s">
        <v>5605</v>
      </c>
      <c r="BJ3848" t="s">
        <v>101</v>
      </c>
      <c r="BK3848" t="s">
        <v>4852</v>
      </c>
      <c r="BL3848" t="s">
        <v>29192</v>
      </c>
      <c r="BM3848" t="s">
        <v>8349</v>
      </c>
      <c r="BN3848" t="s">
        <v>27621</v>
      </c>
    </row>
    <row r="3849" spans="1:66" x14ac:dyDescent="0.25">
      <c r="A3849" t="str">
        <f>HYPERLINK("https://elite.finviz.com/quote.ashx?t=BANR&amp;ty=c&amp;p=d&amp;b=1", "BANR")</f>
        <v>BANR</v>
      </c>
      <c r="B3849">
        <v>4</v>
      </c>
      <c r="C3849">
        <v>105.92</v>
      </c>
      <c r="D3849">
        <v>44.37</v>
      </c>
      <c r="E3849" t="s">
        <v>30912</v>
      </c>
      <c r="F3849" t="s">
        <v>67</v>
      </c>
      <c r="G3849" t="s">
        <v>550</v>
      </c>
      <c r="H3849" t="s">
        <v>697</v>
      </c>
      <c r="I3849" t="s">
        <v>70</v>
      </c>
      <c r="J3849" t="s">
        <v>321</v>
      </c>
      <c r="K3849">
        <v>2247.65</v>
      </c>
      <c r="L3849">
        <v>64.989999999999995</v>
      </c>
      <c r="M3849" t="s">
        <v>2263</v>
      </c>
      <c r="N3849">
        <v>16867</v>
      </c>
      <c r="O3849">
        <v>12.39</v>
      </c>
      <c r="P3849">
        <v>11.15</v>
      </c>
      <c r="Q3849">
        <v>1.54</v>
      </c>
      <c r="R3849">
        <v>2.61</v>
      </c>
      <c r="S3849">
        <v>1.2</v>
      </c>
      <c r="T3849" t="s">
        <v>6118</v>
      </c>
      <c r="U3849">
        <v>1.92</v>
      </c>
      <c r="V3849" t="s">
        <v>6057</v>
      </c>
      <c r="W3849" t="s">
        <v>164</v>
      </c>
      <c r="X3849" t="s">
        <v>995</v>
      </c>
      <c r="Y3849" t="s">
        <v>170</v>
      </c>
      <c r="Z3849" t="s">
        <v>16235</v>
      </c>
      <c r="AA3849">
        <v>5.25</v>
      </c>
      <c r="AB3849" t="s">
        <v>3232</v>
      </c>
      <c r="AC3849" t="s">
        <v>6104</v>
      </c>
      <c r="AD3849" t="s">
        <v>484</v>
      </c>
      <c r="AE3849" t="s">
        <v>1252</v>
      </c>
      <c r="AF3849" t="s">
        <v>531</v>
      </c>
      <c r="AG3849" t="s">
        <v>8125</v>
      </c>
      <c r="AH3849" t="s">
        <v>4995</v>
      </c>
      <c r="AI3849" t="s">
        <v>164</v>
      </c>
      <c r="AJ3849" t="s">
        <v>164</v>
      </c>
      <c r="AK3849" t="s">
        <v>30913</v>
      </c>
      <c r="AL3849">
        <v>7.0000000000000007E-2</v>
      </c>
      <c r="AN3849">
        <v>0.43</v>
      </c>
      <c r="AP3849" t="s">
        <v>4616</v>
      </c>
      <c r="AQ3849" t="s">
        <v>4847</v>
      </c>
      <c r="AR3849" t="s">
        <v>2424</v>
      </c>
      <c r="AS3849" t="s">
        <v>3842</v>
      </c>
      <c r="AT3849" t="s">
        <v>8763</v>
      </c>
      <c r="AU3849" t="s">
        <v>1358</v>
      </c>
      <c r="AV3849" t="s">
        <v>4886</v>
      </c>
      <c r="AW3849" t="s">
        <v>7402</v>
      </c>
      <c r="AX3849" t="s">
        <v>7236</v>
      </c>
      <c r="AY3849" t="s">
        <v>22921</v>
      </c>
      <c r="AZ3849" t="s">
        <v>7381</v>
      </c>
      <c r="BA3849">
        <v>2</v>
      </c>
      <c r="BB3849">
        <v>201.94</v>
      </c>
      <c r="BC3849">
        <v>0.28999999999999998</v>
      </c>
      <c r="BD3849">
        <v>65.22</v>
      </c>
      <c r="BE3849">
        <v>65.790000000000006</v>
      </c>
      <c r="BF3849">
        <v>64.73</v>
      </c>
      <c r="BG3849" t="s">
        <v>30914</v>
      </c>
      <c r="BH3849" t="s">
        <v>14996</v>
      </c>
      <c r="BI3849" t="s">
        <v>30915</v>
      </c>
      <c r="BJ3849" t="s">
        <v>101</v>
      </c>
      <c r="BK3849" t="s">
        <v>3349</v>
      </c>
      <c r="BL3849" t="s">
        <v>3013</v>
      </c>
      <c r="BM3849" t="s">
        <v>3672</v>
      </c>
      <c r="BN3849" t="s">
        <v>27621</v>
      </c>
    </row>
    <row r="3850" spans="1:66" x14ac:dyDescent="0.25">
      <c r="A3850" t="str">
        <f>HYPERLINK("https://elite.finviz.com/quote.ashx?t=AIM&amp;ty=c&amp;p=d&amp;b=1", "AIM")</f>
        <v>AIM</v>
      </c>
      <c r="B3850">
        <v>4</v>
      </c>
      <c r="C3850">
        <v>105.92</v>
      </c>
      <c r="D3850">
        <v>44.39</v>
      </c>
      <c r="E3850" t="s">
        <v>30916</v>
      </c>
      <c r="F3850" t="s">
        <v>107</v>
      </c>
      <c r="G3850" t="s">
        <v>428</v>
      </c>
      <c r="H3850" t="s">
        <v>429</v>
      </c>
      <c r="I3850" t="s">
        <v>70</v>
      </c>
      <c r="J3850" t="s">
        <v>383</v>
      </c>
      <c r="K3850">
        <v>7.37</v>
      </c>
      <c r="L3850">
        <v>2.72</v>
      </c>
      <c r="M3850" t="s">
        <v>5301</v>
      </c>
      <c r="N3850">
        <v>84922</v>
      </c>
      <c r="R3850">
        <v>61.39</v>
      </c>
      <c r="AA3850">
        <v>-25</v>
      </c>
      <c r="AB3850" t="s">
        <v>1700</v>
      </c>
      <c r="AC3850" t="s">
        <v>3689</v>
      </c>
      <c r="AD3850" t="s">
        <v>28384</v>
      </c>
      <c r="AE3850" t="s">
        <v>30917</v>
      </c>
      <c r="AF3850" t="s">
        <v>4293</v>
      </c>
      <c r="AG3850" t="s">
        <v>6475</v>
      </c>
      <c r="AH3850" t="s">
        <v>7242</v>
      </c>
      <c r="AI3850" t="s">
        <v>20035</v>
      </c>
      <c r="AJ3850" t="s">
        <v>18165</v>
      </c>
      <c r="AK3850" t="s">
        <v>914</v>
      </c>
      <c r="AL3850">
        <v>0.1</v>
      </c>
      <c r="AM3850">
        <v>0.1</v>
      </c>
      <c r="AO3850" t="s">
        <v>30918</v>
      </c>
      <c r="AP3850" t="s">
        <v>30919</v>
      </c>
      <c r="AQ3850" t="s">
        <v>30920</v>
      </c>
      <c r="AR3850" t="s">
        <v>602</v>
      </c>
      <c r="AS3850" t="s">
        <v>4966</v>
      </c>
      <c r="AT3850" t="s">
        <v>995</v>
      </c>
      <c r="AU3850" t="s">
        <v>9933</v>
      </c>
      <c r="AV3850" t="s">
        <v>5013</v>
      </c>
      <c r="AW3850" t="s">
        <v>30921</v>
      </c>
      <c r="AX3850" t="s">
        <v>9031</v>
      </c>
      <c r="AY3850" t="s">
        <v>19904</v>
      </c>
      <c r="AZ3850" t="s">
        <v>9031</v>
      </c>
      <c r="BA3850">
        <v>1</v>
      </c>
      <c r="BB3850">
        <v>198.07</v>
      </c>
      <c r="BC3850">
        <v>1.52</v>
      </c>
      <c r="BD3850">
        <v>2.88</v>
      </c>
      <c r="BE3850">
        <v>2.81</v>
      </c>
      <c r="BF3850">
        <v>2.52</v>
      </c>
      <c r="BG3850" t="s">
        <v>30922</v>
      </c>
      <c r="BH3850" t="s">
        <v>579</v>
      </c>
      <c r="BI3850" t="s">
        <v>9031</v>
      </c>
      <c r="BJ3850" t="s">
        <v>101</v>
      </c>
      <c r="BK3850" t="s">
        <v>27912</v>
      </c>
      <c r="BL3850" t="s">
        <v>30923</v>
      </c>
      <c r="BM3850" t="s">
        <v>21287</v>
      </c>
      <c r="BN3850" t="s">
        <v>27621</v>
      </c>
    </row>
    <row r="3851" spans="1:66" x14ac:dyDescent="0.25">
      <c r="A3851" t="str">
        <f>HYPERLINK("https://elite.finviz.com/quote.ashx?t=MKZR&amp;ty=c&amp;p=d&amp;b=1", "MKZR")</f>
        <v>MKZR</v>
      </c>
      <c r="B3851">
        <v>4</v>
      </c>
      <c r="C3851">
        <v>105.92</v>
      </c>
      <c r="D3851">
        <v>44.4</v>
      </c>
      <c r="E3851" t="s">
        <v>30924</v>
      </c>
      <c r="F3851" t="s">
        <v>107</v>
      </c>
      <c r="G3851" t="s">
        <v>68</v>
      </c>
      <c r="H3851" t="s">
        <v>4656</v>
      </c>
      <c r="I3851" t="s">
        <v>70</v>
      </c>
      <c r="J3851" t="s">
        <v>321</v>
      </c>
      <c r="K3851">
        <v>8.85</v>
      </c>
      <c r="L3851">
        <v>5.28</v>
      </c>
      <c r="M3851" t="s">
        <v>896</v>
      </c>
      <c r="N3851">
        <v>3035</v>
      </c>
      <c r="R3851">
        <v>0.41</v>
      </c>
      <c r="S3851">
        <v>0.12</v>
      </c>
      <c r="T3851" t="s">
        <v>13596</v>
      </c>
      <c r="U3851">
        <v>2.25</v>
      </c>
      <c r="V3851" t="s">
        <v>30925</v>
      </c>
      <c r="W3851" t="s">
        <v>13093</v>
      </c>
      <c r="AA3851">
        <v>-17.11</v>
      </c>
      <c r="AE3851" t="s">
        <v>21253</v>
      </c>
      <c r="AF3851" t="s">
        <v>30926</v>
      </c>
      <c r="AG3851" t="s">
        <v>2234</v>
      </c>
      <c r="AH3851" t="s">
        <v>9228</v>
      </c>
      <c r="AJ3851" t="s">
        <v>30927</v>
      </c>
      <c r="AK3851" t="s">
        <v>6497</v>
      </c>
      <c r="AL3851">
        <v>0.87</v>
      </c>
      <c r="AM3851">
        <v>0.87</v>
      </c>
      <c r="AN3851">
        <v>1.97</v>
      </c>
      <c r="AO3851" t="s">
        <v>6607</v>
      </c>
      <c r="AP3851" t="s">
        <v>2982</v>
      </c>
      <c r="AQ3851" t="s">
        <v>30928</v>
      </c>
      <c r="AR3851" t="s">
        <v>1455</v>
      </c>
      <c r="AS3851" t="s">
        <v>9159</v>
      </c>
      <c r="AT3851" t="s">
        <v>7954</v>
      </c>
      <c r="AU3851" t="s">
        <v>3091</v>
      </c>
      <c r="AV3851" t="s">
        <v>2464</v>
      </c>
      <c r="AW3851" t="s">
        <v>30929</v>
      </c>
      <c r="AX3851" t="s">
        <v>2702</v>
      </c>
      <c r="AY3851" t="s">
        <v>26058</v>
      </c>
      <c r="AZ3851" t="s">
        <v>2702</v>
      </c>
      <c r="BB3851">
        <v>57.32</v>
      </c>
      <c r="BC3851">
        <v>0.19</v>
      </c>
      <c r="BD3851">
        <v>5.01</v>
      </c>
      <c r="BE3851">
        <v>5.36</v>
      </c>
      <c r="BF3851">
        <v>5.0599999999999996</v>
      </c>
      <c r="BG3851" t="s">
        <v>30930</v>
      </c>
      <c r="BH3851" t="s">
        <v>935</v>
      </c>
      <c r="BI3851" t="s">
        <v>2702</v>
      </c>
      <c r="BJ3851" t="s">
        <v>101</v>
      </c>
      <c r="BK3851" t="s">
        <v>26247</v>
      </c>
      <c r="BL3851" t="s">
        <v>30931</v>
      </c>
      <c r="BM3851" t="s">
        <v>17092</v>
      </c>
      <c r="BN3851" t="s">
        <v>27621</v>
      </c>
    </row>
    <row r="3852" spans="1:66" x14ac:dyDescent="0.25">
      <c r="A3852" t="str">
        <f>HYPERLINK("https://elite.finviz.com/quote.ashx?t=AGCO&amp;ty=c&amp;p=d&amp;b=1", "AGCO")</f>
        <v>AGCO</v>
      </c>
      <c r="B3852">
        <v>4</v>
      </c>
      <c r="C3852">
        <v>105.92</v>
      </c>
      <c r="D3852">
        <v>44.42</v>
      </c>
      <c r="E3852" t="s">
        <v>30932</v>
      </c>
      <c r="F3852" t="s">
        <v>107</v>
      </c>
      <c r="G3852" t="s">
        <v>260</v>
      </c>
      <c r="H3852" t="s">
        <v>320</v>
      </c>
      <c r="I3852" t="s">
        <v>70</v>
      </c>
      <c r="J3852" t="s">
        <v>71</v>
      </c>
      <c r="K3852">
        <v>8045.55</v>
      </c>
      <c r="L3852">
        <v>107.82</v>
      </c>
      <c r="M3852" t="s">
        <v>4955</v>
      </c>
      <c r="N3852">
        <v>229700</v>
      </c>
      <c r="O3852">
        <v>81.05</v>
      </c>
      <c r="P3852">
        <v>16.59</v>
      </c>
      <c r="Q3852">
        <v>19.72</v>
      </c>
      <c r="R3852">
        <v>0.79</v>
      </c>
      <c r="S3852">
        <v>1.93</v>
      </c>
      <c r="T3852" t="s">
        <v>344</v>
      </c>
      <c r="U3852">
        <v>1.1599999999999999</v>
      </c>
      <c r="V3852" t="s">
        <v>3046</v>
      </c>
      <c r="W3852" t="s">
        <v>8229</v>
      </c>
      <c r="X3852" t="s">
        <v>1629</v>
      </c>
      <c r="Y3852" t="s">
        <v>2463</v>
      </c>
      <c r="AA3852">
        <v>1.33</v>
      </c>
      <c r="AD3852" t="s">
        <v>1981</v>
      </c>
      <c r="AE3852" t="s">
        <v>19553</v>
      </c>
      <c r="AF3852" t="s">
        <v>2572</v>
      </c>
      <c r="AG3852" t="s">
        <v>4173</v>
      </c>
      <c r="AH3852" t="s">
        <v>10632</v>
      </c>
      <c r="AI3852" t="s">
        <v>1334</v>
      </c>
      <c r="AJ3852" t="s">
        <v>1842</v>
      </c>
      <c r="AK3852" t="s">
        <v>30933</v>
      </c>
      <c r="AL3852">
        <v>1.48</v>
      </c>
      <c r="AM3852">
        <v>0.67</v>
      </c>
      <c r="AN3852">
        <v>0.74</v>
      </c>
      <c r="AO3852" t="s">
        <v>4511</v>
      </c>
      <c r="AP3852" t="s">
        <v>4742</v>
      </c>
      <c r="AQ3852" t="s">
        <v>5055</v>
      </c>
      <c r="AR3852" t="s">
        <v>2582</v>
      </c>
      <c r="AS3852" t="s">
        <v>179</v>
      </c>
      <c r="AT3852" t="s">
        <v>2276</v>
      </c>
      <c r="AU3852" t="s">
        <v>4131</v>
      </c>
      <c r="AV3852" t="s">
        <v>8852</v>
      </c>
      <c r="AW3852" t="s">
        <v>7527</v>
      </c>
      <c r="AX3852" t="s">
        <v>3916</v>
      </c>
      <c r="AY3852" t="s">
        <v>7527</v>
      </c>
      <c r="AZ3852" t="s">
        <v>11914</v>
      </c>
      <c r="BA3852">
        <v>2.62</v>
      </c>
      <c r="BB3852">
        <v>830.42</v>
      </c>
      <c r="BC3852">
        <v>0.97</v>
      </c>
      <c r="BD3852">
        <v>107.99</v>
      </c>
      <c r="BE3852">
        <v>108.7</v>
      </c>
      <c r="BF3852">
        <v>106.56</v>
      </c>
      <c r="BG3852" t="s">
        <v>30934</v>
      </c>
      <c r="BH3852" t="s">
        <v>3004</v>
      </c>
      <c r="BI3852" t="s">
        <v>30935</v>
      </c>
      <c r="BJ3852" t="s">
        <v>101</v>
      </c>
      <c r="BK3852" t="s">
        <v>3948</v>
      </c>
      <c r="BL3852" t="s">
        <v>2625</v>
      </c>
      <c r="BM3852" t="s">
        <v>8372</v>
      </c>
      <c r="BN3852" t="s">
        <v>27621</v>
      </c>
    </row>
    <row r="3853" spans="1:66" x14ac:dyDescent="0.25">
      <c r="A3853" t="str">
        <f>HYPERLINK("https://elite.finviz.com/quote.ashx?t=IEP&amp;ty=c&amp;p=d&amp;b=1", "IEP")</f>
        <v>IEP</v>
      </c>
      <c r="B3853">
        <v>4</v>
      </c>
      <c r="C3853">
        <v>105.92</v>
      </c>
      <c r="D3853">
        <v>44.47</v>
      </c>
      <c r="E3853" t="s">
        <v>30936</v>
      </c>
      <c r="F3853" t="s">
        <v>107</v>
      </c>
      <c r="G3853" t="s">
        <v>1048</v>
      </c>
      <c r="H3853" t="s">
        <v>3886</v>
      </c>
      <c r="I3853" t="s">
        <v>70</v>
      </c>
      <c r="J3853" t="s">
        <v>321</v>
      </c>
      <c r="K3853">
        <v>4750.79</v>
      </c>
      <c r="L3853">
        <v>8.2799999999999994</v>
      </c>
      <c r="M3853" t="s">
        <v>3344</v>
      </c>
      <c r="N3853">
        <v>169875</v>
      </c>
      <c r="P3853">
        <v>15.34</v>
      </c>
      <c r="R3853">
        <v>0.49</v>
      </c>
      <c r="S3853">
        <v>1.87</v>
      </c>
      <c r="T3853" t="s">
        <v>5344</v>
      </c>
      <c r="U3853">
        <v>2</v>
      </c>
      <c r="V3853" t="s">
        <v>1440</v>
      </c>
      <c r="W3853" t="s">
        <v>20253</v>
      </c>
      <c r="X3853" t="s">
        <v>8791</v>
      </c>
      <c r="Y3853" t="s">
        <v>9585</v>
      </c>
      <c r="AA3853">
        <v>-1.23</v>
      </c>
      <c r="AB3853" t="s">
        <v>12993</v>
      </c>
      <c r="AC3853" t="s">
        <v>5712</v>
      </c>
      <c r="AE3853" t="s">
        <v>14896</v>
      </c>
      <c r="AF3853" t="s">
        <v>2538</v>
      </c>
      <c r="AG3853" t="s">
        <v>214</v>
      </c>
      <c r="AH3853" t="s">
        <v>6660</v>
      </c>
      <c r="AI3853" t="s">
        <v>30937</v>
      </c>
      <c r="AJ3853" t="s">
        <v>164</v>
      </c>
      <c r="AK3853" t="s">
        <v>3344</v>
      </c>
      <c r="AL3853">
        <v>4.13</v>
      </c>
      <c r="AM3853">
        <v>3.6</v>
      </c>
      <c r="AN3853">
        <v>3.24</v>
      </c>
      <c r="AO3853" t="s">
        <v>4641</v>
      </c>
      <c r="AP3853" t="s">
        <v>11805</v>
      </c>
      <c r="AQ3853" t="s">
        <v>15150</v>
      </c>
      <c r="AR3853" t="s">
        <v>909</v>
      </c>
      <c r="AS3853" t="s">
        <v>3257</v>
      </c>
      <c r="AT3853" t="s">
        <v>164</v>
      </c>
      <c r="AU3853" t="s">
        <v>10175</v>
      </c>
      <c r="AV3853" t="s">
        <v>5509</v>
      </c>
      <c r="AW3853" t="s">
        <v>1589</v>
      </c>
      <c r="AX3853" t="s">
        <v>387</v>
      </c>
      <c r="AY3853" t="s">
        <v>15600</v>
      </c>
      <c r="AZ3853" t="s">
        <v>11319</v>
      </c>
      <c r="BA3853">
        <v>1</v>
      </c>
      <c r="BB3853">
        <v>725.03</v>
      </c>
      <c r="BC3853">
        <v>0.83</v>
      </c>
      <c r="BD3853">
        <v>8.2100000000000009</v>
      </c>
      <c r="BE3853">
        <v>8.31</v>
      </c>
      <c r="BF3853">
        <v>8.19</v>
      </c>
      <c r="BG3853" t="s">
        <v>30938</v>
      </c>
      <c r="BH3853" t="s">
        <v>7677</v>
      </c>
      <c r="BI3853" t="s">
        <v>11652</v>
      </c>
      <c r="BJ3853" t="s">
        <v>101</v>
      </c>
      <c r="BK3853" t="s">
        <v>5166</v>
      </c>
      <c r="BL3853" t="s">
        <v>6107</v>
      </c>
      <c r="BM3853" t="s">
        <v>10777</v>
      </c>
      <c r="BN3853" t="s">
        <v>27621</v>
      </c>
    </row>
    <row r="3854" spans="1:66" x14ac:dyDescent="0.25">
      <c r="A3854" t="str">
        <f>HYPERLINK("https://elite.finviz.com/quote.ashx?t=HURC&amp;ty=c&amp;p=d&amp;b=1", "HURC")</f>
        <v>HURC</v>
      </c>
      <c r="B3854">
        <v>4</v>
      </c>
      <c r="C3854">
        <v>105.92</v>
      </c>
      <c r="D3854">
        <v>44.47</v>
      </c>
      <c r="E3854" t="s">
        <v>30939</v>
      </c>
      <c r="F3854" t="s">
        <v>107</v>
      </c>
      <c r="G3854" t="s">
        <v>260</v>
      </c>
      <c r="H3854" t="s">
        <v>261</v>
      </c>
      <c r="I3854" t="s">
        <v>70</v>
      </c>
      <c r="J3854" t="s">
        <v>321</v>
      </c>
      <c r="K3854">
        <v>110.63</v>
      </c>
      <c r="L3854">
        <v>17.28</v>
      </c>
      <c r="M3854" t="s">
        <v>6298</v>
      </c>
      <c r="N3854">
        <v>839</v>
      </c>
      <c r="R3854">
        <v>0.59</v>
      </c>
      <c r="S3854">
        <v>0.54</v>
      </c>
      <c r="V3854" t="s">
        <v>21444</v>
      </c>
      <c r="AA3854">
        <v>-2.09</v>
      </c>
      <c r="AE3854" t="s">
        <v>4705</v>
      </c>
      <c r="AF3854" t="s">
        <v>5703</v>
      </c>
      <c r="AG3854" t="s">
        <v>217</v>
      </c>
      <c r="AH3854" t="s">
        <v>12465</v>
      </c>
      <c r="AJ3854" t="s">
        <v>458</v>
      </c>
      <c r="AK3854" t="s">
        <v>30940</v>
      </c>
      <c r="AL3854">
        <v>4.43</v>
      </c>
      <c r="AM3854">
        <v>1.57</v>
      </c>
      <c r="AN3854">
        <v>0.06</v>
      </c>
      <c r="AO3854" t="s">
        <v>1062</v>
      </c>
      <c r="AP3854" t="s">
        <v>345</v>
      </c>
      <c r="AQ3854" t="s">
        <v>3415</v>
      </c>
      <c r="AR3854" t="s">
        <v>4294</v>
      </c>
      <c r="AS3854" t="s">
        <v>912</v>
      </c>
      <c r="AT3854" t="s">
        <v>174</v>
      </c>
      <c r="AU3854" t="s">
        <v>16056</v>
      </c>
      <c r="AV3854" t="s">
        <v>7867</v>
      </c>
      <c r="AW3854" t="s">
        <v>11557</v>
      </c>
      <c r="AX3854" t="s">
        <v>2065</v>
      </c>
      <c r="AY3854" t="s">
        <v>6004</v>
      </c>
      <c r="AZ3854" t="s">
        <v>717</v>
      </c>
      <c r="BA3854">
        <v>3</v>
      </c>
      <c r="BB3854">
        <v>37.68</v>
      </c>
      <c r="BC3854">
        <v>0.08</v>
      </c>
      <c r="BD3854">
        <v>17.399999999999999</v>
      </c>
      <c r="BE3854">
        <v>17.489999999999998</v>
      </c>
      <c r="BF3854">
        <v>17.440000000000001</v>
      </c>
      <c r="BG3854" t="s">
        <v>30941</v>
      </c>
      <c r="BH3854" t="s">
        <v>30942</v>
      </c>
      <c r="BI3854" t="s">
        <v>30943</v>
      </c>
      <c r="BJ3854" t="s">
        <v>101</v>
      </c>
      <c r="BK3854" t="s">
        <v>7383</v>
      </c>
      <c r="BL3854" t="s">
        <v>1115</v>
      </c>
      <c r="BM3854" t="s">
        <v>8690</v>
      </c>
      <c r="BN3854" t="s">
        <v>27621</v>
      </c>
    </row>
    <row r="3855" spans="1:66" x14ac:dyDescent="0.25">
      <c r="A3855" t="str">
        <f>HYPERLINK("https://elite.finviz.com/quote.ashx?t=BZH&amp;ty=c&amp;p=d&amp;b=1", "BZH")</f>
        <v>BZH</v>
      </c>
      <c r="B3855">
        <v>4</v>
      </c>
      <c r="C3855">
        <v>105.92</v>
      </c>
      <c r="D3855">
        <v>44.48</v>
      </c>
      <c r="E3855" t="s">
        <v>30944</v>
      </c>
      <c r="F3855" t="s">
        <v>67</v>
      </c>
      <c r="G3855" t="s">
        <v>813</v>
      </c>
      <c r="H3855" t="s">
        <v>5054</v>
      </c>
      <c r="I3855" t="s">
        <v>70</v>
      </c>
      <c r="J3855" t="s">
        <v>71</v>
      </c>
      <c r="K3855">
        <v>725.61</v>
      </c>
      <c r="L3855">
        <v>24.41</v>
      </c>
      <c r="M3855" t="s">
        <v>6151</v>
      </c>
      <c r="N3855">
        <v>30151</v>
      </c>
      <c r="O3855">
        <v>11.07</v>
      </c>
      <c r="P3855">
        <v>12.32</v>
      </c>
      <c r="R3855">
        <v>0.3</v>
      </c>
      <c r="S3855">
        <v>0.6</v>
      </c>
      <c r="Z3855" t="s">
        <v>164</v>
      </c>
      <c r="AA3855">
        <v>2.21</v>
      </c>
      <c r="AB3855" t="s">
        <v>4526</v>
      </c>
      <c r="AD3855" t="s">
        <v>16624</v>
      </c>
      <c r="AE3855" t="s">
        <v>2127</v>
      </c>
      <c r="AF3855" t="s">
        <v>862</v>
      </c>
      <c r="AG3855" t="s">
        <v>5660</v>
      </c>
      <c r="AH3855" t="s">
        <v>6303</v>
      </c>
      <c r="AI3855" t="s">
        <v>30945</v>
      </c>
      <c r="AJ3855" t="s">
        <v>3226</v>
      </c>
      <c r="AK3855" t="s">
        <v>8243</v>
      </c>
      <c r="AL3855">
        <v>8.91</v>
      </c>
      <c r="AM3855">
        <v>0.61</v>
      </c>
      <c r="AN3855">
        <v>0.95</v>
      </c>
      <c r="AO3855" t="s">
        <v>2699</v>
      </c>
      <c r="AP3855" t="s">
        <v>4873</v>
      </c>
      <c r="AQ3855" t="s">
        <v>2080</v>
      </c>
      <c r="AR3855" t="s">
        <v>1932</v>
      </c>
      <c r="AS3855" t="s">
        <v>4204</v>
      </c>
      <c r="AT3855" t="s">
        <v>1727</v>
      </c>
      <c r="AU3855" t="s">
        <v>298</v>
      </c>
      <c r="AV3855" t="s">
        <v>2736</v>
      </c>
      <c r="AW3855" t="s">
        <v>7543</v>
      </c>
      <c r="AX3855" t="s">
        <v>4314</v>
      </c>
      <c r="AY3855" t="s">
        <v>30946</v>
      </c>
      <c r="AZ3855" t="s">
        <v>16046</v>
      </c>
      <c r="BA3855">
        <v>1.4</v>
      </c>
      <c r="BB3855">
        <v>372.87</v>
      </c>
      <c r="BC3855">
        <v>0.28000000000000003</v>
      </c>
      <c r="BD3855">
        <v>23.92</v>
      </c>
      <c r="BE3855">
        <v>24.45</v>
      </c>
      <c r="BF3855">
        <v>24.03</v>
      </c>
      <c r="BG3855" t="s">
        <v>30947</v>
      </c>
      <c r="BH3855" t="s">
        <v>12453</v>
      </c>
      <c r="BI3855" t="s">
        <v>30948</v>
      </c>
      <c r="BJ3855" t="s">
        <v>101</v>
      </c>
      <c r="BK3855" t="s">
        <v>2446</v>
      </c>
      <c r="BL3855" t="s">
        <v>5795</v>
      </c>
      <c r="BM3855" t="s">
        <v>23464</v>
      </c>
      <c r="BN3855" t="s">
        <v>27621</v>
      </c>
    </row>
    <row r="3856" spans="1:66" x14ac:dyDescent="0.25">
      <c r="A3856" t="str">
        <f>HYPERLINK("https://elite.finviz.com/quote.ashx?t=BYFC&amp;ty=c&amp;p=d&amp;b=1", "BYFC")</f>
        <v>BYFC</v>
      </c>
      <c r="B3856">
        <v>4</v>
      </c>
      <c r="C3856">
        <v>105.92</v>
      </c>
      <c r="D3856">
        <v>44.5</v>
      </c>
      <c r="E3856" t="s">
        <v>30949</v>
      </c>
      <c r="F3856" t="s">
        <v>107</v>
      </c>
      <c r="G3856" t="s">
        <v>550</v>
      </c>
      <c r="H3856" t="s">
        <v>697</v>
      </c>
      <c r="I3856" t="s">
        <v>70</v>
      </c>
      <c r="J3856" t="s">
        <v>321</v>
      </c>
      <c r="K3856">
        <v>67.680000000000007</v>
      </c>
      <c r="L3856">
        <v>7.36</v>
      </c>
      <c r="M3856" t="s">
        <v>439</v>
      </c>
      <c r="N3856">
        <v>26</v>
      </c>
      <c r="R3856">
        <v>1.1000000000000001</v>
      </c>
      <c r="S3856">
        <v>0.5</v>
      </c>
      <c r="V3856" t="s">
        <v>30950</v>
      </c>
      <c r="Z3856" t="s">
        <v>164</v>
      </c>
      <c r="AA3856">
        <v>-0.28000000000000003</v>
      </c>
      <c r="AE3856" t="s">
        <v>387</v>
      </c>
      <c r="AF3856" t="s">
        <v>12576</v>
      </c>
      <c r="AG3856" t="s">
        <v>10587</v>
      </c>
      <c r="AH3856" t="s">
        <v>6403</v>
      </c>
      <c r="AJ3856" t="s">
        <v>164</v>
      </c>
      <c r="AK3856" t="s">
        <v>6746</v>
      </c>
      <c r="AL3856">
        <v>0.54</v>
      </c>
      <c r="AN3856">
        <v>0.47</v>
      </c>
      <c r="AP3856" t="s">
        <v>3169</v>
      </c>
      <c r="AQ3856" t="s">
        <v>11253</v>
      </c>
      <c r="AR3856" t="s">
        <v>5425</v>
      </c>
      <c r="AS3856" t="s">
        <v>1439</v>
      </c>
      <c r="AT3856" t="s">
        <v>5879</v>
      </c>
      <c r="AU3856" t="s">
        <v>7392</v>
      </c>
      <c r="AV3856" t="s">
        <v>1776</v>
      </c>
      <c r="AW3856" t="s">
        <v>4743</v>
      </c>
      <c r="AX3856" t="s">
        <v>3602</v>
      </c>
      <c r="AY3856" t="s">
        <v>6686</v>
      </c>
      <c r="AZ3856" t="s">
        <v>7796</v>
      </c>
      <c r="BB3856">
        <v>7.75</v>
      </c>
      <c r="BC3856">
        <v>0.01</v>
      </c>
      <c r="BD3856">
        <v>7.34</v>
      </c>
      <c r="BE3856">
        <v>7.19</v>
      </c>
      <c r="BF3856">
        <v>7.19</v>
      </c>
      <c r="BG3856" t="s">
        <v>30951</v>
      </c>
      <c r="BH3856" t="s">
        <v>30952</v>
      </c>
      <c r="BI3856" t="s">
        <v>11576</v>
      </c>
      <c r="BJ3856" t="s">
        <v>101</v>
      </c>
      <c r="BK3856" t="s">
        <v>5095</v>
      </c>
      <c r="BL3856" t="s">
        <v>2125</v>
      </c>
      <c r="BM3856" t="s">
        <v>11702</v>
      </c>
      <c r="BN3856" t="s">
        <v>27621</v>
      </c>
    </row>
    <row r="3857" spans="1:66" x14ac:dyDescent="0.25">
      <c r="A3857" t="str">
        <f>HYPERLINK("https://elite.finviz.com/quote.ashx?t=SSTI&amp;ty=c&amp;p=d&amp;b=1", "SSTI")</f>
        <v>SSTI</v>
      </c>
      <c r="B3857">
        <v>4</v>
      </c>
      <c r="C3857">
        <v>105.92</v>
      </c>
      <c r="D3857">
        <v>44.5</v>
      </c>
      <c r="E3857" t="s">
        <v>30953</v>
      </c>
      <c r="F3857" t="s">
        <v>67</v>
      </c>
      <c r="G3857" t="s">
        <v>108</v>
      </c>
      <c r="H3857" t="s">
        <v>136</v>
      </c>
      <c r="I3857" t="s">
        <v>70</v>
      </c>
      <c r="J3857" t="s">
        <v>321</v>
      </c>
      <c r="K3857">
        <v>151.88999999999999</v>
      </c>
      <c r="L3857">
        <v>11.87</v>
      </c>
      <c r="M3857" t="s">
        <v>3832</v>
      </c>
      <c r="N3857">
        <v>4630</v>
      </c>
      <c r="R3857">
        <v>1.46</v>
      </c>
      <c r="S3857">
        <v>2.04</v>
      </c>
      <c r="AA3857">
        <v>-0.8</v>
      </c>
      <c r="AB3857" t="s">
        <v>20146</v>
      </c>
      <c r="AE3857" t="s">
        <v>5610</v>
      </c>
      <c r="AF3857" t="s">
        <v>7579</v>
      </c>
      <c r="AG3857" t="s">
        <v>718</v>
      </c>
      <c r="AH3857" t="s">
        <v>3665</v>
      </c>
      <c r="AI3857" t="s">
        <v>4360</v>
      </c>
      <c r="AJ3857" t="s">
        <v>2402</v>
      </c>
      <c r="AK3857" t="s">
        <v>24258</v>
      </c>
      <c r="AL3857">
        <v>0.81</v>
      </c>
      <c r="AM3857">
        <v>0.81</v>
      </c>
      <c r="AN3857">
        <v>0.08</v>
      </c>
      <c r="AO3857" t="s">
        <v>782</v>
      </c>
      <c r="AP3857" t="s">
        <v>10375</v>
      </c>
      <c r="AQ3857" t="s">
        <v>3338</v>
      </c>
      <c r="AR3857" t="s">
        <v>3613</v>
      </c>
      <c r="AS3857" t="s">
        <v>1063</v>
      </c>
      <c r="AT3857" t="s">
        <v>7865</v>
      </c>
      <c r="AU3857" t="s">
        <v>11805</v>
      </c>
      <c r="AV3857" t="s">
        <v>6136</v>
      </c>
      <c r="AW3857" t="s">
        <v>10475</v>
      </c>
      <c r="AX3857" t="s">
        <v>2877</v>
      </c>
      <c r="AY3857" t="s">
        <v>20729</v>
      </c>
      <c r="AZ3857" t="s">
        <v>877</v>
      </c>
      <c r="BA3857">
        <v>1.29</v>
      </c>
      <c r="BB3857">
        <v>67.430000000000007</v>
      </c>
      <c r="BC3857">
        <v>0.24</v>
      </c>
      <c r="BD3857">
        <v>11.65</v>
      </c>
      <c r="BE3857">
        <v>11.74</v>
      </c>
      <c r="BF3857">
        <v>11.65</v>
      </c>
      <c r="BG3857" t="s">
        <v>30954</v>
      </c>
      <c r="BH3857" t="s">
        <v>30955</v>
      </c>
      <c r="BI3857" t="s">
        <v>877</v>
      </c>
      <c r="BJ3857" t="s">
        <v>101</v>
      </c>
      <c r="BK3857" t="s">
        <v>13090</v>
      </c>
      <c r="BL3857" t="s">
        <v>25943</v>
      </c>
      <c r="BM3857" t="s">
        <v>2673</v>
      </c>
      <c r="BN3857" t="s">
        <v>27621</v>
      </c>
    </row>
    <row r="3858" spans="1:66" x14ac:dyDescent="0.25">
      <c r="A3858" t="str">
        <f>HYPERLINK("https://elite.finviz.com/quote.ashx?t=GBX&amp;ty=c&amp;p=d&amp;b=1", "GBX")</f>
        <v>GBX</v>
      </c>
      <c r="B3858">
        <v>4</v>
      </c>
      <c r="C3858">
        <v>105.92</v>
      </c>
      <c r="D3858">
        <v>44.5</v>
      </c>
      <c r="E3858" t="s">
        <v>30956</v>
      </c>
      <c r="F3858" t="s">
        <v>67</v>
      </c>
      <c r="G3858" t="s">
        <v>260</v>
      </c>
      <c r="H3858" t="s">
        <v>10167</v>
      </c>
      <c r="I3858" t="s">
        <v>70</v>
      </c>
      <c r="J3858" t="s">
        <v>71</v>
      </c>
      <c r="K3858">
        <v>1402.65</v>
      </c>
      <c r="L3858">
        <v>45.42</v>
      </c>
      <c r="M3858" t="s">
        <v>4539</v>
      </c>
      <c r="N3858">
        <v>15531</v>
      </c>
      <c r="O3858">
        <v>6.38</v>
      </c>
      <c r="P3858">
        <v>9.1300000000000008</v>
      </c>
      <c r="R3858">
        <v>0.4</v>
      </c>
      <c r="S3858">
        <v>0.93</v>
      </c>
      <c r="T3858" t="s">
        <v>2361</v>
      </c>
      <c r="U3858">
        <v>1.24</v>
      </c>
      <c r="V3858" t="s">
        <v>30957</v>
      </c>
      <c r="W3858" t="s">
        <v>1515</v>
      </c>
      <c r="X3858" t="s">
        <v>975</v>
      </c>
      <c r="Y3858" t="s">
        <v>3482</v>
      </c>
      <c r="Z3858" t="s">
        <v>8885</v>
      </c>
      <c r="AA3858">
        <v>7.12</v>
      </c>
      <c r="AB3858" t="s">
        <v>30958</v>
      </c>
      <c r="AC3858" t="s">
        <v>8364</v>
      </c>
      <c r="AE3858" t="s">
        <v>4865</v>
      </c>
      <c r="AF3858" t="s">
        <v>6703</v>
      </c>
      <c r="AG3858" t="s">
        <v>911</v>
      </c>
      <c r="AH3858" t="s">
        <v>213</v>
      </c>
      <c r="AI3858" t="s">
        <v>30959</v>
      </c>
      <c r="AJ3858" t="s">
        <v>1510</v>
      </c>
      <c r="AK3858" t="s">
        <v>30960</v>
      </c>
      <c r="AL3858">
        <v>2.6</v>
      </c>
      <c r="AM3858">
        <v>1.44</v>
      </c>
      <c r="AN3858">
        <v>1.23</v>
      </c>
      <c r="AO3858" t="s">
        <v>5240</v>
      </c>
      <c r="AP3858" t="s">
        <v>18151</v>
      </c>
      <c r="AQ3858" t="s">
        <v>10237</v>
      </c>
      <c r="AR3858" t="s">
        <v>2333</v>
      </c>
      <c r="AS3858" t="s">
        <v>4710</v>
      </c>
      <c r="AT3858" t="s">
        <v>789</v>
      </c>
      <c r="AU3858" t="s">
        <v>1444</v>
      </c>
      <c r="AV3858" t="s">
        <v>1287</v>
      </c>
      <c r="AW3858" t="s">
        <v>15856</v>
      </c>
      <c r="AX3858" t="s">
        <v>5592</v>
      </c>
      <c r="AY3858" t="s">
        <v>30961</v>
      </c>
      <c r="AZ3858" t="s">
        <v>6953</v>
      </c>
      <c r="BA3858">
        <v>2.5</v>
      </c>
      <c r="BB3858">
        <v>435.85</v>
      </c>
      <c r="BC3858">
        <v>0.13</v>
      </c>
      <c r="BD3858">
        <v>45.38</v>
      </c>
      <c r="BE3858">
        <v>45.95</v>
      </c>
      <c r="BF3858">
        <v>45.26</v>
      </c>
      <c r="BG3858" t="s">
        <v>30962</v>
      </c>
      <c r="BH3858" t="s">
        <v>18347</v>
      </c>
      <c r="BI3858" t="s">
        <v>30963</v>
      </c>
      <c r="BJ3858" t="s">
        <v>101</v>
      </c>
      <c r="BK3858" t="s">
        <v>3753</v>
      </c>
      <c r="BL3858" t="s">
        <v>13401</v>
      </c>
      <c r="BM3858" t="s">
        <v>4284</v>
      </c>
      <c r="BN3858" t="s">
        <v>27621</v>
      </c>
    </row>
    <row r="3859" spans="1:66" x14ac:dyDescent="0.25">
      <c r="A3859" t="str">
        <f>HYPERLINK("https://elite.finviz.com/quote.ashx?t=VOR&amp;ty=c&amp;p=d&amp;b=1", "VOR")</f>
        <v>VOR</v>
      </c>
      <c r="B3859">
        <v>4</v>
      </c>
      <c r="C3859">
        <v>105.92</v>
      </c>
      <c r="D3859">
        <v>44.51</v>
      </c>
      <c r="E3859" t="s">
        <v>30964</v>
      </c>
      <c r="F3859" t="s">
        <v>107</v>
      </c>
      <c r="G3859" t="s">
        <v>428</v>
      </c>
      <c r="H3859" t="s">
        <v>429</v>
      </c>
      <c r="I3859" t="s">
        <v>70</v>
      </c>
      <c r="J3859" t="s">
        <v>321</v>
      </c>
      <c r="K3859">
        <v>224.32</v>
      </c>
      <c r="L3859">
        <v>32.79</v>
      </c>
      <c r="M3859" t="s">
        <v>10774</v>
      </c>
      <c r="N3859">
        <v>35378</v>
      </c>
      <c r="AA3859">
        <v>-273.27999999999997</v>
      </c>
      <c r="AB3859" t="s">
        <v>2662</v>
      </c>
      <c r="AC3859" t="s">
        <v>30965</v>
      </c>
      <c r="AD3859" t="s">
        <v>9386</v>
      </c>
      <c r="AI3859" t="s">
        <v>30966</v>
      </c>
      <c r="AJ3859" t="s">
        <v>30967</v>
      </c>
      <c r="AK3859" t="s">
        <v>7902</v>
      </c>
      <c r="AL3859">
        <v>3.49</v>
      </c>
      <c r="AM3859">
        <v>3.49</v>
      </c>
      <c r="AR3859" t="s">
        <v>10485</v>
      </c>
      <c r="AS3859" t="s">
        <v>2605</v>
      </c>
      <c r="AT3859" t="s">
        <v>402</v>
      </c>
      <c r="AU3859" t="s">
        <v>1530</v>
      </c>
      <c r="AV3859" t="s">
        <v>674</v>
      </c>
      <c r="AW3859" t="s">
        <v>17566</v>
      </c>
      <c r="AX3859" t="s">
        <v>2270</v>
      </c>
      <c r="AY3859" t="s">
        <v>30968</v>
      </c>
      <c r="AZ3859" t="s">
        <v>30969</v>
      </c>
      <c r="BA3859">
        <v>2</v>
      </c>
      <c r="BB3859">
        <v>719.19</v>
      </c>
      <c r="BC3859">
        <v>0.17</v>
      </c>
      <c r="BD3859">
        <v>33.81</v>
      </c>
      <c r="BE3859">
        <v>33.299999999999997</v>
      </c>
      <c r="BF3859">
        <v>32.6</v>
      </c>
      <c r="BG3859" t="s">
        <v>30970</v>
      </c>
      <c r="BH3859" t="s">
        <v>16583</v>
      </c>
      <c r="BI3859" t="s">
        <v>30969</v>
      </c>
      <c r="BJ3859" t="s">
        <v>101</v>
      </c>
      <c r="BK3859" t="s">
        <v>13571</v>
      </c>
      <c r="BL3859" t="s">
        <v>30971</v>
      </c>
      <c r="BM3859" t="s">
        <v>30972</v>
      </c>
      <c r="BN3859" t="s">
        <v>27621</v>
      </c>
    </row>
    <row r="3860" spans="1:66" x14ac:dyDescent="0.25">
      <c r="A3860" t="str">
        <f>HYPERLINK("https://elite.finviz.com/quote.ashx?t=NATR&amp;ty=c&amp;p=d&amp;b=1", "NATR")</f>
        <v>NATR</v>
      </c>
      <c r="B3860">
        <v>4</v>
      </c>
      <c r="C3860">
        <v>105.92</v>
      </c>
      <c r="D3860">
        <v>44.51</v>
      </c>
      <c r="E3860" t="s">
        <v>30973</v>
      </c>
      <c r="F3860" t="s">
        <v>67</v>
      </c>
      <c r="G3860" t="s">
        <v>2244</v>
      </c>
      <c r="H3860" t="s">
        <v>3269</v>
      </c>
      <c r="I3860" t="s">
        <v>70</v>
      </c>
      <c r="J3860" t="s">
        <v>321</v>
      </c>
      <c r="K3860">
        <v>285.17</v>
      </c>
      <c r="L3860">
        <v>16.170000000000002</v>
      </c>
      <c r="M3860" t="s">
        <v>7346</v>
      </c>
      <c r="N3860">
        <v>5920</v>
      </c>
      <c r="O3860">
        <v>21.68</v>
      </c>
      <c r="P3860">
        <v>18.48</v>
      </c>
      <c r="R3860">
        <v>0.62</v>
      </c>
      <c r="S3860">
        <v>1.81</v>
      </c>
      <c r="V3860" t="s">
        <v>30974</v>
      </c>
      <c r="Z3860" t="s">
        <v>164</v>
      </c>
      <c r="AA3860">
        <v>0.75</v>
      </c>
      <c r="AB3860" t="s">
        <v>25073</v>
      </c>
      <c r="AC3860" t="s">
        <v>5187</v>
      </c>
      <c r="AE3860" t="s">
        <v>5497</v>
      </c>
      <c r="AF3860" t="s">
        <v>84</v>
      </c>
      <c r="AG3860" t="s">
        <v>5685</v>
      </c>
      <c r="AH3860" t="s">
        <v>756</v>
      </c>
      <c r="AI3860" t="s">
        <v>30975</v>
      </c>
      <c r="AJ3860" t="s">
        <v>16454</v>
      </c>
      <c r="AK3860" t="s">
        <v>30976</v>
      </c>
      <c r="AL3860">
        <v>2.27</v>
      </c>
      <c r="AM3860">
        <v>1.35</v>
      </c>
      <c r="AN3860">
        <v>0.1</v>
      </c>
      <c r="AO3860" t="s">
        <v>6655</v>
      </c>
      <c r="AP3860" t="s">
        <v>615</v>
      </c>
      <c r="AQ3860" t="s">
        <v>2473</v>
      </c>
      <c r="AR3860" t="s">
        <v>3481</v>
      </c>
      <c r="AS3860" t="s">
        <v>1902</v>
      </c>
      <c r="AT3860" t="s">
        <v>405</v>
      </c>
      <c r="AU3860" t="s">
        <v>6156</v>
      </c>
      <c r="AV3860" t="s">
        <v>2824</v>
      </c>
      <c r="AW3860" t="s">
        <v>5085</v>
      </c>
      <c r="AX3860" t="s">
        <v>8273</v>
      </c>
      <c r="AY3860" t="s">
        <v>13438</v>
      </c>
      <c r="AZ3860" t="s">
        <v>19133</v>
      </c>
      <c r="BA3860">
        <v>1</v>
      </c>
      <c r="BB3860">
        <v>111.14</v>
      </c>
      <c r="BC3860">
        <v>0.19</v>
      </c>
      <c r="BD3860">
        <v>16.239999999999998</v>
      </c>
      <c r="BE3860">
        <v>16.3</v>
      </c>
      <c r="BF3860">
        <v>16.18</v>
      </c>
      <c r="BG3860" t="s">
        <v>30977</v>
      </c>
      <c r="BH3860" t="s">
        <v>28991</v>
      </c>
      <c r="BI3860" t="s">
        <v>30978</v>
      </c>
      <c r="BJ3860" t="s">
        <v>101</v>
      </c>
      <c r="BK3860" t="s">
        <v>330</v>
      </c>
      <c r="BL3860" t="s">
        <v>13929</v>
      </c>
      <c r="BM3860" t="s">
        <v>9003</v>
      </c>
      <c r="BN3860" t="s">
        <v>27621</v>
      </c>
    </row>
    <row r="3861" spans="1:66" x14ac:dyDescent="0.25">
      <c r="A3861" t="str">
        <f>HYPERLINK("https://elite.finviz.com/quote.ashx?t=CEPT&amp;ty=c&amp;p=d&amp;b=1", "CEPT")</f>
        <v>CEPT</v>
      </c>
      <c r="B3861">
        <v>4</v>
      </c>
      <c r="C3861">
        <v>105.92</v>
      </c>
      <c r="D3861">
        <v>44.51</v>
      </c>
      <c r="E3861" t="s">
        <v>30979</v>
      </c>
      <c r="F3861" t="s">
        <v>107</v>
      </c>
      <c r="G3861" t="s">
        <v>550</v>
      </c>
      <c r="H3861" t="s">
        <v>2120</v>
      </c>
      <c r="I3861" t="s">
        <v>70</v>
      </c>
      <c r="J3861" t="s">
        <v>321</v>
      </c>
      <c r="K3861">
        <v>267.75</v>
      </c>
      <c r="L3861">
        <v>10.5</v>
      </c>
      <c r="M3861" t="s">
        <v>2331</v>
      </c>
      <c r="N3861">
        <v>9032</v>
      </c>
      <c r="O3861">
        <v>250</v>
      </c>
      <c r="S3861">
        <v>1.33</v>
      </c>
      <c r="AA3861">
        <v>0.04</v>
      </c>
      <c r="AB3861" t="s">
        <v>30980</v>
      </c>
      <c r="AJ3861" t="s">
        <v>30981</v>
      </c>
      <c r="AK3861" t="s">
        <v>8784</v>
      </c>
      <c r="AL3861">
        <v>3.08</v>
      </c>
      <c r="AM3861">
        <v>3.08</v>
      </c>
      <c r="AN3861">
        <v>0</v>
      </c>
      <c r="AR3861" t="s">
        <v>1457</v>
      </c>
      <c r="AS3861" t="s">
        <v>6478</v>
      </c>
      <c r="AT3861" t="s">
        <v>770</v>
      </c>
      <c r="AU3861" t="s">
        <v>2649</v>
      </c>
      <c r="AV3861" t="s">
        <v>8225</v>
      </c>
      <c r="AW3861" t="s">
        <v>7861</v>
      </c>
      <c r="AX3861" t="s">
        <v>2274</v>
      </c>
      <c r="AY3861" t="s">
        <v>6688</v>
      </c>
      <c r="AZ3861" t="s">
        <v>2274</v>
      </c>
      <c r="BB3861">
        <v>140.63999999999999</v>
      </c>
      <c r="BC3861">
        <v>0.23</v>
      </c>
      <c r="BD3861">
        <v>10.57</v>
      </c>
      <c r="BE3861">
        <v>10.63</v>
      </c>
      <c r="BF3861">
        <v>10.48</v>
      </c>
      <c r="BG3861" t="s">
        <v>30982</v>
      </c>
      <c r="BH3861" t="s">
        <v>6688</v>
      </c>
      <c r="BI3861" t="s">
        <v>2274</v>
      </c>
      <c r="BJ3861" t="s">
        <v>101</v>
      </c>
      <c r="BK3861" t="s">
        <v>2109</v>
      </c>
      <c r="BN3861" t="s">
        <v>27621</v>
      </c>
    </row>
    <row r="3862" spans="1:66" x14ac:dyDescent="0.25">
      <c r="A3862" t="str">
        <f>HYPERLINK("https://elite.finviz.com/quote.ashx?t=EVAC&amp;ty=c&amp;p=d&amp;b=1", "EVAC")</f>
        <v>EVAC</v>
      </c>
      <c r="B3862">
        <v>4</v>
      </c>
      <c r="C3862">
        <v>105.92</v>
      </c>
      <c r="D3862">
        <v>44.51</v>
      </c>
      <c r="E3862" t="s">
        <v>30983</v>
      </c>
      <c r="F3862" t="s">
        <v>107</v>
      </c>
      <c r="G3862" t="s">
        <v>550</v>
      </c>
      <c r="H3862" t="s">
        <v>2120</v>
      </c>
      <c r="I3862" t="s">
        <v>70</v>
      </c>
      <c r="J3862" t="s">
        <v>71</v>
      </c>
      <c r="K3862">
        <v>586.12</v>
      </c>
      <c r="L3862">
        <v>9.93</v>
      </c>
      <c r="M3862" t="s">
        <v>6192</v>
      </c>
      <c r="N3862">
        <v>611</v>
      </c>
      <c r="AJ3862" t="s">
        <v>164</v>
      </c>
      <c r="AL3862">
        <v>0.01</v>
      </c>
      <c r="AM3862">
        <v>0.01</v>
      </c>
      <c r="AR3862" t="s">
        <v>6156</v>
      </c>
      <c r="AS3862" t="s">
        <v>4794</v>
      </c>
      <c r="AT3862" t="s">
        <v>7709</v>
      </c>
      <c r="AU3862" t="s">
        <v>3752</v>
      </c>
      <c r="AV3862" t="s">
        <v>3752</v>
      </c>
      <c r="AW3862" t="s">
        <v>6298</v>
      </c>
      <c r="AX3862" t="s">
        <v>698</v>
      </c>
      <c r="AY3862" t="s">
        <v>6298</v>
      </c>
      <c r="AZ3862" t="s">
        <v>698</v>
      </c>
      <c r="BB3862">
        <v>195.63</v>
      </c>
      <c r="BC3862">
        <v>0.01</v>
      </c>
      <c r="BD3862">
        <v>9.94</v>
      </c>
      <c r="BE3862">
        <v>9.9700000000000006</v>
      </c>
      <c r="BF3862">
        <v>9.9700000000000006</v>
      </c>
      <c r="BG3862" t="s">
        <v>30984</v>
      </c>
      <c r="BH3862" t="s">
        <v>6298</v>
      </c>
      <c r="BI3862" t="s">
        <v>698</v>
      </c>
      <c r="BJ3862" t="s">
        <v>101</v>
      </c>
      <c r="BN3862" t="s">
        <v>27621</v>
      </c>
    </row>
    <row r="3863" spans="1:66" x14ac:dyDescent="0.25">
      <c r="A3863" t="str">
        <f>HYPERLINK("https://elite.finviz.com/quote.ashx?t=SKYX&amp;ty=c&amp;p=d&amp;b=1", "SKYX")</f>
        <v>SKYX</v>
      </c>
      <c r="B3863">
        <v>4</v>
      </c>
      <c r="C3863">
        <v>105.92</v>
      </c>
      <c r="D3863">
        <v>44.52</v>
      </c>
      <c r="E3863" t="s">
        <v>30985</v>
      </c>
      <c r="F3863" t="s">
        <v>67</v>
      </c>
      <c r="G3863" t="s">
        <v>260</v>
      </c>
      <c r="H3863" t="s">
        <v>1128</v>
      </c>
      <c r="I3863" t="s">
        <v>70</v>
      </c>
      <c r="J3863" t="s">
        <v>321</v>
      </c>
      <c r="K3863">
        <v>130.36000000000001</v>
      </c>
      <c r="L3863">
        <v>1.17</v>
      </c>
      <c r="M3863" t="s">
        <v>2899</v>
      </c>
      <c r="N3863">
        <v>87910</v>
      </c>
      <c r="R3863">
        <v>1.46</v>
      </c>
      <c r="AA3863">
        <v>-0.36</v>
      </c>
      <c r="AB3863" t="s">
        <v>30986</v>
      </c>
      <c r="AC3863" t="s">
        <v>6989</v>
      </c>
      <c r="AD3863" t="s">
        <v>17935</v>
      </c>
      <c r="AE3863" t="s">
        <v>2064</v>
      </c>
      <c r="AF3863" t="s">
        <v>30987</v>
      </c>
      <c r="AG3863" t="s">
        <v>30988</v>
      </c>
      <c r="AH3863" t="s">
        <v>6392</v>
      </c>
      <c r="AI3863" t="s">
        <v>4168</v>
      </c>
      <c r="AJ3863" t="s">
        <v>164</v>
      </c>
      <c r="AK3863" t="s">
        <v>1369</v>
      </c>
      <c r="AL3863">
        <v>0.7</v>
      </c>
      <c r="AM3863">
        <v>0.6</v>
      </c>
      <c r="AN3863">
        <v>6.98</v>
      </c>
      <c r="AO3863" t="s">
        <v>2567</v>
      </c>
      <c r="AP3863" t="s">
        <v>29594</v>
      </c>
      <c r="AQ3863" t="s">
        <v>30135</v>
      </c>
      <c r="AR3863" t="s">
        <v>5455</v>
      </c>
      <c r="AS3863" t="s">
        <v>4133</v>
      </c>
      <c r="AT3863" t="s">
        <v>2998</v>
      </c>
      <c r="AU3863" t="s">
        <v>5577</v>
      </c>
      <c r="AV3863" t="s">
        <v>4236</v>
      </c>
      <c r="AW3863" t="s">
        <v>2901</v>
      </c>
      <c r="AX3863" t="s">
        <v>7352</v>
      </c>
      <c r="AY3863" t="s">
        <v>14043</v>
      </c>
      <c r="AZ3863" t="s">
        <v>3129</v>
      </c>
      <c r="BA3863">
        <v>1</v>
      </c>
      <c r="BB3863">
        <v>561.34</v>
      </c>
      <c r="BC3863">
        <v>0.56000000000000005</v>
      </c>
      <c r="BD3863">
        <v>1.18</v>
      </c>
      <c r="BE3863">
        <v>1.2</v>
      </c>
      <c r="BF3863">
        <v>1.1599999999999999</v>
      </c>
      <c r="BG3863" t="s">
        <v>30989</v>
      </c>
      <c r="BH3863" t="s">
        <v>24556</v>
      </c>
      <c r="BI3863" t="s">
        <v>6045</v>
      </c>
      <c r="BJ3863" t="s">
        <v>101</v>
      </c>
      <c r="BK3863" t="s">
        <v>2203</v>
      </c>
      <c r="BL3863" t="s">
        <v>4317</v>
      </c>
      <c r="BM3863" t="s">
        <v>10659</v>
      </c>
      <c r="BN3863" t="s">
        <v>27621</v>
      </c>
    </row>
    <row r="3864" spans="1:66" x14ac:dyDescent="0.25">
      <c r="A3864" t="str">
        <f>HYPERLINK("https://elite.finviz.com/quote.ashx?t=LPLA&amp;ty=c&amp;p=d&amp;b=1", "LPLA")</f>
        <v>LPLA</v>
      </c>
      <c r="B3864">
        <v>4</v>
      </c>
      <c r="C3864">
        <v>105.92</v>
      </c>
      <c r="D3864">
        <v>44.55</v>
      </c>
      <c r="E3864" t="s">
        <v>30990</v>
      </c>
      <c r="F3864" t="s">
        <v>107</v>
      </c>
      <c r="G3864" t="s">
        <v>550</v>
      </c>
      <c r="H3864" t="s">
        <v>551</v>
      </c>
      <c r="I3864" t="s">
        <v>70</v>
      </c>
      <c r="J3864" t="s">
        <v>321</v>
      </c>
      <c r="K3864">
        <v>27233</v>
      </c>
      <c r="L3864">
        <v>340.39</v>
      </c>
      <c r="M3864" t="s">
        <v>1488</v>
      </c>
      <c r="N3864">
        <v>105224</v>
      </c>
      <c r="O3864">
        <v>23.28</v>
      </c>
      <c r="P3864">
        <v>14.74</v>
      </c>
      <c r="Q3864">
        <v>1.1299999999999999</v>
      </c>
      <c r="R3864">
        <v>1.93</v>
      </c>
      <c r="S3864">
        <v>5.37</v>
      </c>
      <c r="T3864" t="s">
        <v>2642</v>
      </c>
      <c r="U3864">
        <v>1.2</v>
      </c>
      <c r="V3864" t="s">
        <v>3046</v>
      </c>
      <c r="W3864" t="s">
        <v>164</v>
      </c>
      <c r="X3864" t="s">
        <v>6593</v>
      </c>
      <c r="Y3864" t="s">
        <v>3482</v>
      </c>
      <c r="Z3864" t="s">
        <v>637</v>
      </c>
      <c r="AA3864">
        <v>14.62</v>
      </c>
      <c r="AB3864" t="s">
        <v>4165</v>
      </c>
      <c r="AC3864" t="s">
        <v>3840</v>
      </c>
      <c r="AD3864" t="s">
        <v>10934</v>
      </c>
      <c r="AE3864" t="s">
        <v>5487</v>
      </c>
      <c r="AF3864" t="s">
        <v>9149</v>
      </c>
      <c r="AG3864" t="s">
        <v>728</v>
      </c>
      <c r="AH3864" t="s">
        <v>15487</v>
      </c>
      <c r="AI3864" t="s">
        <v>3372</v>
      </c>
      <c r="AJ3864" t="s">
        <v>7568</v>
      </c>
      <c r="AK3864" t="s">
        <v>30991</v>
      </c>
      <c r="AL3864">
        <v>2.78</v>
      </c>
      <c r="AM3864">
        <v>2.78</v>
      </c>
      <c r="AN3864">
        <v>1.53</v>
      </c>
      <c r="AO3864" t="s">
        <v>8883</v>
      </c>
      <c r="AP3864" t="s">
        <v>11027</v>
      </c>
      <c r="AQ3864" t="s">
        <v>3687</v>
      </c>
      <c r="AR3864" t="s">
        <v>7088</v>
      </c>
      <c r="AS3864" t="s">
        <v>2146</v>
      </c>
      <c r="AT3864" t="s">
        <v>745</v>
      </c>
      <c r="AU3864" t="s">
        <v>15594</v>
      </c>
      <c r="AV3864" t="s">
        <v>5928</v>
      </c>
      <c r="AW3864" t="s">
        <v>5133</v>
      </c>
      <c r="AX3864" t="s">
        <v>437</v>
      </c>
      <c r="AY3864" t="s">
        <v>5133</v>
      </c>
      <c r="AZ3864" t="s">
        <v>8197</v>
      </c>
      <c r="BA3864">
        <v>1.76</v>
      </c>
      <c r="BB3864">
        <v>877.75</v>
      </c>
      <c r="BC3864">
        <v>0.42</v>
      </c>
      <c r="BD3864">
        <v>336.52</v>
      </c>
      <c r="BE3864">
        <v>344.39</v>
      </c>
      <c r="BF3864">
        <v>336.46</v>
      </c>
      <c r="BG3864" t="s">
        <v>30992</v>
      </c>
      <c r="BH3864" t="s">
        <v>5133</v>
      </c>
      <c r="BI3864" t="s">
        <v>30993</v>
      </c>
      <c r="BJ3864" t="s">
        <v>101</v>
      </c>
      <c r="BK3864" t="s">
        <v>10896</v>
      </c>
      <c r="BL3864" t="s">
        <v>714</v>
      </c>
      <c r="BM3864" t="s">
        <v>9293</v>
      </c>
      <c r="BN3864" t="s">
        <v>27621</v>
      </c>
    </row>
    <row r="3865" spans="1:66" x14ac:dyDescent="0.25">
      <c r="A3865" t="str">
        <f>HYPERLINK("https://elite.finviz.com/quote.ashx?t=VMD&amp;ty=c&amp;p=d&amp;b=1", "VMD")</f>
        <v>VMD</v>
      </c>
      <c r="B3865">
        <v>4</v>
      </c>
      <c r="C3865">
        <v>105.92</v>
      </c>
      <c r="D3865">
        <v>44.55</v>
      </c>
      <c r="E3865" t="s">
        <v>30994</v>
      </c>
      <c r="F3865" t="s">
        <v>67</v>
      </c>
      <c r="G3865" t="s">
        <v>428</v>
      </c>
      <c r="H3865" t="s">
        <v>2051</v>
      </c>
      <c r="I3865" t="s">
        <v>70</v>
      </c>
      <c r="J3865" t="s">
        <v>321</v>
      </c>
      <c r="K3865">
        <v>256.33999999999997</v>
      </c>
      <c r="L3865">
        <v>6.61</v>
      </c>
      <c r="M3865" t="s">
        <v>7646</v>
      </c>
      <c r="N3865">
        <v>12969</v>
      </c>
      <c r="O3865">
        <v>19.5</v>
      </c>
      <c r="P3865">
        <v>11.49</v>
      </c>
      <c r="Q3865">
        <v>0.8</v>
      </c>
      <c r="R3865">
        <v>1.06</v>
      </c>
      <c r="S3865">
        <v>1.87</v>
      </c>
      <c r="Z3865" t="s">
        <v>164</v>
      </c>
      <c r="AA3865">
        <v>0.34</v>
      </c>
      <c r="AB3865" t="s">
        <v>3688</v>
      </c>
      <c r="AC3865" t="s">
        <v>3303</v>
      </c>
      <c r="AD3865" t="s">
        <v>3623</v>
      </c>
      <c r="AE3865" t="s">
        <v>6965</v>
      </c>
      <c r="AF3865" t="s">
        <v>14831</v>
      </c>
      <c r="AG3865" t="s">
        <v>18081</v>
      </c>
      <c r="AH3865" t="s">
        <v>5082</v>
      </c>
      <c r="AI3865" t="s">
        <v>11702</v>
      </c>
      <c r="AJ3865" t="s">
        <v>6345</v>
      </c>
      <c r="AK3865" t="s">
        <v>18467</v>
      </c>
      <c r="AL3865">
        <v>1.48</v>
      </c>
      <c r="AM3865">
        <v>1.37</v>
      </c>
      <c r="AN3865">
        <v>0.05</v>
      </c>
      <c r="AO3865" t="s">
        <v>2069</v>
      </c>
      <c r="AP3865" t="s">
        <v>1691</v>
      </c>
      <c r="AQ3865" t="s">
        <v>3036</v>
      </c>
      <c r="AR3865" t="s">
        <v>1932</v>
      </c>
      <c r="AS3865" t="s">
        <v>170</v>
      </c>
      <c r="AT3865" t="s">
        <v>4516</v>
      </c>
      <c r="AU3865" t="s">
        <v>1444</v>
      </c>
      <c r="AV3865" t="s">
        <v>10011</v>
      </c>
      <c r="AW3865" t="s">
        <v>8311</v>
      </c>
      <c r="AX3865" t="s">
        <v>7654</v>
      </c>
      <c r="AY3865" t="s">
        <v>9029</v>
      </c>
      <c r="AZ3865" t="s">
        <v>7654</v>
      </c>
      <c r="BA3865">
        <v>1</v>
      </c>
      <c r="BB3865">
        <v>258.68</v>
      </c>
      <c r="BC3865">
        <v>0.18</v>
      </c>
      <c r="BD3865">
        <v>6.68</v>
      </c>
      <c r="BE3865">
        <v>6.67</v>
      </c>
      <c r="BF3865">
        <v>6.61</v>
      </c>
      <c r="BG3865" t="s">
        <v>30995</v>
      </c>
      <c r="BH3865" t="s">
        <v>30996</v>
      </c>
      <c r="BI3865" t="s">
        <v>30997</v>
      </c>
      <c r="BJ3865" t="s">
        <v>101</v>
      </c>
      <c r="BK3865" t="s">
        <v>3622</v>
      </c>
      <c r="BL3865" t="s">
        <v>10064</v>
      </c>
      <c r="BM3865" t="s">
        <v>10064</v>
      </c>
      <c r="BN3865" t="s">
        <v>27621</v>
      </c>
    </row>
    <row r="3866" spans="1:66" x14ac:dyDescent="0.25">
      <c r="A3866" t="str">
        <f>HYPERLINK("https://elite.finviz.com/quote.ashx?t=SENEA&amp;ty=c&amp;p=d&amp;b=1", "SENEA")</f>
        <v>SENEA</v>
      </c>
      <c r="B3866">
        <v>4</v>
      </c>
      <c r="C3866">
        <v>105.92</v>
      </c>
      <c r="D3866">
        <v>44.56</v>
      </c>
      <c r="E3866" t="s">
        <v>30998</v>
      </c>
      <c r="F3866" t="s">
        <v>67</v>
      </c>
      <c r="G3866" t="s">
        <v>2244</v>
      </c>
      <c r="H3866" t="s">
        <v>3269</v>
      </c>
      <c r="I3866" t="s">
        <v>70</v>
      </c>
      <c r="J3866" t="s">
        <v>321</v>
      </c>
      <c r="K3866">
        <v>723.35</v>
      </c>
      <c r="L3866">
        <v>105.08</v>
      </c>
      <c r="M3866" t="s">
        <v>6842</v>
      </c>
      <c r="N3866">
        <v>3160</v>
      </c>
      <c r="O3866">
        <v>16.850000000000001</v>
      </c>
      <c r="R3866">
        <v>0.46</v>
      </c>
      <c r="S3866">
        <v>1.1200000000000001</v>
      </c>
      <c r="Z3866" t="s">
        <v>164</v>
      </c>
      <c r="AA3866">
        <v>6.23</v>
      </c>
      <c r="AB3866" t="s">
        <v>2821</v>
      </c>
      <c r="AC3866" t="s">
        <v>1837</v>
      </c>
      <c r="AE3866" t="s">
        <v>3181</v>
      </c>
      <c r="AF3866" t="s">
        <v>5554</v>
      </c>
      <c r="AG3866" t="s">
        <v>6121</v>
      </c>
      <c r="AH3866" t="s">
        <v>13522</v>
      </c>
      <c r="AJ3866" t="s">
        <v>164</v>
      </c>
      <c r="AK3866" t="s">
        <v>9427</v>
      </c>
      <c r="AL3866">
        <v>4.1100000000000003</v>
      </c>
      <c r="AM3866">
        <v>0.66</v>
      </c>
      <c r="AN3866">
        <v>0.49</v>
      </c>
      <c r="AO3866" t="s">
        <v>3141</v>
      </c>
      <c r="AP3866" t="s">
        <v>1749</v>
      </c>
      <c r="AQ3866" t="s">
        <v>4945</v>
      </c>
      <c r="AR3866" t="s">
        <v>1932</v>
      </c>
      <c r="AS3866" t="s">
        <v>5121</v>
      </c>
      <c r="AT3866" t="s">
        <v>6105</v>
      </c>
      <c r="AU3866" t="s">
        <v>4879</v>
      </c>
      <c r="AV3866" t="s">
        <v>4834</v>
      </c>
      <c r="AW3866" t="s">
        <v>4929</v>
      </c>
      <c r="AX3866" t="s">
        <v>2809</v>
      </c>
      <c r="AY3866" t="s">
        <v>4929</v>
      </c>
      <c r="AZ3866" t="s">
        <v>4379</v>
      </c>
      <c r="BB3866">
        <v>62.47</v>
      </c>
      <c r="BC3866">
        <v>0.18</v>
      </c>
      <c r="BD3866">
        <v>104.5</v>
      </c>
      <c r="BE3866">
        <v>105.66</v>
      </c>
      <c r="BF3866">
        <v>104.49</v>
      </c>
      <c r="BG3866" t="s">
        <v>30999</v>
      </c>
      <c r="BH3866" t="s">
        <v>4929</v>
      </c>
      <c r="BI3866" t="s">
        <v>31000</v>
      </c>
      <c r="BJ3866" t="s">
        <v>101</v>
      </c>
      <c r="BK3866" t="s">
        <v>5554</v>
      </c>
      <c r="BL3866" t="s">
        <v>7255</v>
      </c>
      <c r="BM3866" t="s">
        <v>10197</v>
      </c>
      <c r="BN3866" t="s">
        <v>27621</v>
      </c>
    </row>
    <row r="3867" spans="1:66" x14ac:dyDescent="0.25">
      <c r="A3867" t="str">
        <f>HYPERLINK("https://elite.finviz.com/quote.ashx?t=CING&amp;ty=c&amp;p=d&amp;b=1", "CING")</f>
        <v>CING</v>
      </c>
      <c r="B3867">
        <v>4</v>
      </c>
      <c r="C3867">
        <v>105.92</v>
      </c>
      <c r="D3867">
        <v>44.56</v>
      </c>
      <c r="E3867" t="s">
        <v>31001</v>
      </c>
      <c r="F3867" t="s">
        <v>107</v>
      </c>
      <c r="G3867" t="s">
        <v>428</v>
      </c>
      <c r="H3867" t="s">
        <v>429</v>
      </c>
      <c r="I3867" t="s">
        <v>70</v>
      </c>
      <c r="J3867" t="s">
        <v>321</v>
      </c>
      <c r="K3867">
        <v>20.13</v>
      </c>
      <c r="L3867">
        <v>3.72</v>
      </c>
      <c r="M3867" t="s">
        <v>6359</v>
      </c>
      <c r="N3867">
        <v>28856</v>
      </c>
      <c r="S3867">
        <v>3.3</v>
      </c>
      <c r="AA3867">
        <v>-5.77</v>
      </c>
      <c r="AB3867" t="s">
        <v>14917</v>
      </c>
      <c r="AC3867" t="s">
        <v>6398</v>
      </c>
      <c r="AD3867" t="s">
        <v>11866</v>
      </c>
      <c r="AI3867" t="s">
        <v>16487</v>
      </c>
      <c r="AJ3867" t="s">
        <v>164</v>
      </c>
      <c r="AK3867" t="s">
        <v>5027</v>
      </c>
      <c r="AL3867">
        <v>1.52</v>
      </c>
      <c r="AM3867">
        <v>1.52</v>
      </c>
      <c r="AN3867">
        <v>1.19</v>
      </c>
      <c r="AR3867" t="s">
        <v>3723</v>
      </c>
      <c r="AS3867" t="s">
        <v>229</v>
      </c>
      <c r="AT3867" t="s">
        <v>5765</v>
      </c>
      <c r="AU3867" t="s">
        <v>17165</v>
      </c>
      <c r="AV3867" t="s">
        <v>19663</v>
      </c>
      <c r="AW3867" t="s">
        <v>4918</v>
      </c>
      <c r="AX3867" t="s">
        <v>262</v>
      </c>
      <c r="AY3867" t="s">
        <v>4918</v>
      </c>
      <c r="AZ3867" t="s">
        <v>2439</v>
      </c>
      <c r="BA3867">
        <v>1</v>
      </c>
      <c r="BB3867">
        <v>140.63</v>
      </c>
      <c r="BC3867">
        <v>0.72</v>
      </c>
      <c r="BD3867">
        <v>3.79</v>
      </c>
      <c r="BE3867">
        <v>3.8</v>
      </c>
      <c r="BF3867">
        <v>3.7</v>
      </c>
      <c r="BG3867" t="s">
        <v>31002</v>
      </c>
      <c r="BH3867" t="s">
        <v>5416</v>
      </c>
      <c r="BI3867" t="s">
        <v>31003</v>
      </c>
      <c r="BJ3867" t="s">
        <v>101</v>
      </c>
      <c r="BK3867" t="s">
        <v>3376</v>
      </c>
      <c r="BL3867" t="s">
        <v>20918</v>
      </c>
      <c r="BM3867" t="s">
        <v>14268</v>
      </c>
      <c r="BN3867" t="s">
        <v>27621</v>
      </c>
    </row>
    <row r="3868" spans="1:66" x14ac:dyDescent="0.25">
      <c r="A3868" t="str">
        <f>HYPERLINK("https://elite.finviz.com/quote.ashx?t=BRIA&amp;ty=c&amp;p=d&amp;b=1", "BRIA")</f>
        <v>BRIA</v>
      </c>
      <c r="B3868">
        <v>4</v>
      </c>
      <c r="C3868">
        <v>105.92</v>
      </c>
      <c r="D3868">
        <v>44.57</v>
      </c>
      <c r="E3868" t="s">
        <v>31004</v>
      </c>
      <c r="F3868" t="s">
        <v>107</v>
      </c>
      <c r="G3868" t="s">
        <v>813</v>
      </c>
      <c r="H3868" t="s">
        <v>4488</v>
      </c>
      <c r="I3868" t="s">
        <v>70</v>
      </c>
      <c r="J3868" t="s">
        <v>383</v>
      </c>
      <c r="L3868">
        <v>2.14</v>
      </c>
      <c r="M3868" t="s">
        <v>6533</v>
      </c>
      <c r="N3868">
        <v>15336</v>
      </c>
      <c r="T3868" t="s">
        <v>8925</v>
      </c>
      <c r="U3868">
        <v>0.13</v>
      </c>
      <c r="V3868" t="s">
        <v>3833</v>
      </c>
      <c r="AR3868" t="s">
        <v>8852</v>
      </c>
      <c r="AS3868" t="s">
        <v>602</v>
      </c>
      <c r="AT3868" t="s">
        <v>388</v>
      </c>
      <c r="AU3868" t="s">
        <v>19240</v>
      </c>
      <c r="AV3868" t="s">
        <v>25040</v>
      </c>
      <c r="AW3868" t="s">
        <v>20969</v>
      </c>
      <c r="AX3868" t="s">
        <v>5864</v>
      </c>
      <c r="AY3868" t="s">
        <v>20969</v>
      </c>
      <c r="AZ3868" t="s">
        <v>8365</v>
      </c>
      <c r="BA3868">
        <v>1</v>
      </c>
      <c r="BB3868">
        <v>616.62</v>
      </c>
      <c r="BC3868">
        <v>0.09</v>
      </c>
      <c r="BD3868">
        <v>2.1800000000000002</v>
      </c>
      <c r="BE3868">
        <v>2.16</v>
      </c>
      <c r="BF3868">
        <v>2.13</v>
      </c>
      <c r="BG3868" t="s">
        <v>31005</v>
      </c>
      <c r="BH3868" t="s">
        <v>20969</v>
      </c>
      <c r="BI3868" t="s">
        <v>8365</v>
      </c>
      <c r="BJ3868" t="s">
        <v>101</v>
      </c>
      <c r="BK3868" t="s">
        <v>12206</v>
      </c>
      <c r="BL3868" t="s">
        <v>22921</v>
      </c>
      <c r="BN3868" t="s">
        <v>27621</v>
      </c>
    </row>
    <row r="3869" spans="1:66" x14ac:dyDescent="0.25">
      <c r="A3869" t="str">
        <f>HYPERLINK("https://elite.finviz.com/quote.ashx?t=CWEN&amp;ty=c&amp;p=d&amp;b=1", "CWEN")</f>
        <v>CWEN</v>
      </c>
      <c r="B3869">
        <v>4</v>
      </c>
      <c r="C3869">
        <v>105.92</v>
      </c>
      <c r="D3869">
        <v>44.58</v>
      </c>
      <c r="E3869" t="s">
        <v>31006</v>
      </c>
      <c r="F3869" t="s">
        <v>107</v>
      </c>
      <c r="G3869" t="s">
        <v>287</v>
      </c>
      <c r="H3869" t="s">
        <v>288</v>
      </c>
      <c r="I3869" t="s">
        <v>70</v>
      </c>
      <c r="J3869" t="s">
        <v>71</v>
      </c>
      <c r="K3869">
        <v>5723.49</v>
      </c>
      <c r="L3869">
        <v>28.55</v>
      </c>
      <c r="M3869" t="s">
        <v>8179</v>
      </c>
      <c r="N3869">
        <v>119870</v>
      </c>
      <c r="O3869">
        <v>44.31</v>
      </c>
      <c r="P3869">
        <v>36.229999999999997</v>
      </c>
      <c r="Q3869">
        <v>12.77</v>
      </c>
      <c r="R3869">
        <v>3.89</v>
      </c>
      <c r="S3869">
        <v>1.82</v>
      </c>
      <c r="T3869" t="s">
        <v>464</v>
      </c>
      <c r="U3869">
        <v>1.74</v>
      </c>
      <c r="V3869" t="s">
        <v>2187</v>
      </c>
      <c r="W3869" t="s">
        <v>5114</v>
      </c>
      <c r="X3869" t="s">
        <v>3228</v>
      </c>
      <c r="Y3869" t="s">
        <v>10611</v>
      </c>
      <c r="Z3869" t="s">
        <v>31007</v>
      </c>
      <c r="AA3869">
        <v>0.64</v>
      </c>
      <c r="AB3869" t="s">
        <v>7807</v>
      </c>
      <c r="AD3869" t="s">
        <v>2941</v>
      </c>
      <c r="AE3869" t="s">
        <v>8425</v>
      </c>
      <c r="AF3869" t="s">
        <v>4275</v>
      </c>
      <c r="AG3869" t="s">
        <v>2816</v>
      </c>
      <c r="AH3869" t="s">
        <v>1574</v>
      </c>
      <c r="AI3869" t="s">
        <v>23343</v>
      </c>
      <c r="AJ3869" t="s">
        <v>164</v>
      </c>
      <c r="AK3869" t="s">
        <v>31008</v>
      </c>
      <c r="AL3869">
        <v>1.42</v>
      </c>
      <c r="AM3869">
        <v>1.34</v>
      </c>
      <c r="AN3869">
        <v>5.05</v>
      </c>
      <c r="AO3869" t="s">
        <v>18267</v>
      </c>
      <c r="AP3869" t="s">
        <v>6747</v>
      </c>
      <c r="AQ3869" t="s">
        <v>322</v>
      </c>
      <c r="AR3869" t="s">
        <v>1760</v>
      </c>
      <c r="AS3869" t="s">
        <v>6336</v>
      </c>
      <c r="AT3869" t="s">
        <v>1324</v>
      </c>
      <c r="AU3869" t="s">
        <v>13734</v>
      </c>
      <c r="AV3869" t="s">
        <v>298</v>
      </c>
      <c r="AW3869" t="s">
        <v>4866</v>
      </c>
      <c r="AX3869" t="s">
        <v>4916</v>
      </c>
      <c r="AY3869" t="s">
        <v>4866</v>
      </c>
      <c r="AZ3869" t="s">
        <v>13470</v>
      </c>
      <c r="BA3869">
        <v>1.25</v>
      </c>
      <c r="BB3869">
        <v>959.59</v>
      </c>
      <c r="BC3869">
        <v>0.44</v>
      </c>
      <c r="BD3869">
        <v>28.35</v>
      </c>
      <c r="BE3869">
        <v>28.77</v>
      </c>
      <c r="BF3869">
        <v>28.38</v>
      </c>
      <c r="BG3869" t="s">
        <v>31009</v>
      </c>
      <c r="BH3869" t="s">
        <v>29237</v>
      </c>
      <c r="BI3869" t="s">
        <v>31010</v>
      </c>
      <c r="BJ3869" t="s">
        <v>101</v>
      </c>
      <c r="BK3869" t="s">
        <v>7454</v>
      </c>
      <c r="BL3869" t="s">
        <v>2845</v>
      </c>
      <c r="BM3869" t="s">
        <v>3780</v>
      </c>
      <c r="BN3869" t="s">
        <v>27621</v>
      </c>
    </row>
    <row r="3870" spans="1:66" x14ac:dyDescent="0.25">
      <c r="A3870" t="str">
        <f>HYPERLINK("https://elite.finviz.com/quote.ashx?t=IPSC&amp;ty=c&amp;p=d&amp;b=1", "IPSC")</f>
        <v>IPSC</v>
      </c>
      <c r="B3870">
        <v>4</v>
      </c>
      <c r="C3870">
        <v>105.92</v>
      </c>
      <c r="D3870">
        <v>44.6</v>
      </c>
      <c r="E3870" t="s">
        <v>31011</v>
      </c>
      <c r="F3870" t="s">
        <v>107</v>
      </c>
      <c r="G3870" t="s">
        <v>428</v>
      </c>
      <c r="H3870" t="s">
        <v>429</v>
      </c>
      <c r="I3870" t="s">
        <v>70</v>
      </c>
      <c r="J3870" t="s">
        <v>321</v>
      </c>
      <c r="K3870">
        <v>42.29</v>
      </c>
      <c r="L3870">
        <v>0.49</v>
      </c>
      <c r="M3870" t="s">
        <v>6719</v>
      </c>
      <c r="N3870">
        <v>213780</v>
      </c>
      <c r="R3870">
        <v>0.37</v>
      </c>
      <c r="S3870">
        <v>0.2</v>
      </c>
      <c r="AA3870">
        <v>-0.28000000000000003</v>
      </c>
      <c r="AB3870" t="s">
        <v>451</v>
      </c>
      <c r="AC3870" t="s">
        <v>12156</v>
      </c>
      <c r="AD3870" t="s">
        <v>6532</v>
      </c>
      <c r="AE3870" t="s">
        <v>31012</v>
      </c>
      <c r="AH3870" t="s">
        <v>579</v>
      </c>
      <c r="AI3870" t="s">
        <v>7568</v>
      </c>
      <c r="AJ3870" t="s">
        <v>6192</v>
      </c>
      <c r="AK3870" t="s">
        <v>4745</v>
      </c>
      <c r="AL3870">
        <v>10.72</v>
      </c>
      <c r="AM3870">
        <v>10.72</v>
      </c>
      <c r="AN3870">
        <v>0.25</v>
      </c>
      <c r="AO3870" t="s">
        <v>11598</v>
      </c>
      <c r="AP3870" t="s">
        <v>28236</v>
      </c>
      <c r="AQ3870" t="s">
        <v>5196</v>
      </c>
      <c r="AR3870" t="s">
        <v>5370</v>
      </c>
      <c r="AS3870" t="s">
        <v>334</v>
      </c>
      <c r="AT3870" t="s">
        <v>1086</v>
      </c>
      <c r="AU3870" t="s">
        <v>3892</v>
      </c>
      <c r="AV3870" t="s">
        <v>5720</v>
      </c>
      <c r="AW3870" t="s">
        <v>20996</v>
      </c>
      <c r="AX3870" t="s">
        <v>3115</v>
      </c>
      <c r="AY3870" t="s">
        <v>31013</v>
      </c>
      <c r="AZ3870" t="s">
        <v>1117</v>
      </c>
      <c r="BA3870">
        <v>1</v>
      </c>
      <c r="BB3870">
        <v>823.31</v>
      </c>
      <c r="BC3870">
        <v>0.92</v>
      </c>
      <c r="BD3870">
        <v>0.49</v>
      </c>
      <c r="BE3870">
        <v>0.52</v>
      </c>
      <c r="BF3870">
        <v>0.48</v>
      </c>
      <c r="BG3870" t="s">
        <v>31014</v>
      </c>
      <c r="BH3870" t="s">
        <v>31015</v>
      </c>
      <c r="BI3870" t="s">
        <v>1117</v>
      </c>
      <c r="BJ3870" t="s">
        <v>101</v>
      </c>
      <c r="BK3870" t="s">
        <v>4021</v>
      </c>
      <c r="BL3870" t="s">
        <v>8722</v>
      </c>
      <c r="BM3870" t="s">
        <v>12111</v>
      </c>
      <c r="BN3870" t="s">
        <v>27621</v>
      </c>
    </row>
    <row r="3871" spans="1:66" x14ac:dyDescent="0.25">
      <c r="A3871" t="str">
        <f>HYPERLINK("https://elite.finviz.com/quote.ashx?t=TXMD&amp;ty=c&amp;p=d&amp;b=1", "TXMD")</f>
        <v>TXMD</v>
      </c>
      <c r="B3871">
        <v>4</v>
      </c>
      <c r="C3871">
        <v>105.92</v>
      </c>
      <c r="D3871">
        <v>44.61</v>
      </c>
      <c r="E3871" t="s">
        <v>31016</v>
      </c>
      <c r="F3871" t="s">
        <v>107</v>
      </c>
      <c r="G3871" t="s">
        <v>428</v>
      </c>
      <c r="H3871" t="s">
        <v>1296</v>
      </c>
      <c r="I3871" t="s">
        <v>70</v>
      </c>
      <c r="J3871" t="s">
        <v>321</v>
      </c>
      <c r="K3871">
        <v>12.39</v>
      </c>
      <c r="L3871">
        <v>1.07</v>
      </c>
      <c r="M3871" t="s">
        <v>2759</v>
      </c>
      <c r="N3871">
        <v>4055</v>
      </c>
      <c r="R3871">
        <v>4.84</v>
      </c>
      <c r="S3871">
        <v>0.45</v>
      </c>
      <c r="AA3871">
        <v>-0.04</v>
      </c>
      <c r="AB3871" t="s">
        <v>22423</v>
      </c>
      <c r="AC3871" t="s">
        <v>7420</v>
      </c>
      <c r="AE3871" t="s">
        <v>16300</v>
      </c>
      <c r="AF3871" t="s">
        <v>7525</v>
      </c>
      <c r="AG3871" t="s">
        <v>12044</v>
      </c>
      <c r="AH3871" t="s">
        <v>31017</v>
      </c>
      <c r="AJ3871" t="s">
        <v>2185</v>
      </c>
      <c r="AK3871" t="s">
        <v>2525</v>
      </c>
      <c r="AL3871">
        <v>2.39</v>
      </c>
      <c r="AM3871">
        <v>2.39</v>
      </c>
      <c r="AN3871">
        <v>0.24</v>
      </c>
      <c r="AO3871" t="s">
        <v>14036</v>
      </c>
      <c r="AP3871" t="s">
        <v>31018</v>
      </c>
      <c r="AQ3871" t="s">
        <v>23149</v>
      </c>
      <c r="AR3871" t="s">
        <v>4256</v>
      </c>
      <c r="AS3871" t="s">
        <v>1088</v>
      </c>
      <c r="AT3871" t="s">
        <v>1864</v>
      </c>
      <c r="AU3871" t="s">
        <v>405</v>
      </c>
      <c r="AV3871" t="s">
        <v>156</v>
      </c>
      <c r="AW3871" t="s">
        <v>4791</v>
      </c>
      <c r="AX3871" t="s">
        <v>4493</v>
      </c>
      <c r="AY3871" t="s">
        <v>23106</v>
      </c>
      <c r="AZ3871" t="s">
        <v>7870</v>
      </c>
      <c r="BA3871">
        <v>3</v>
      </c>
      <c r="BB3871">
        <v>22.45</v>
      </c>
      <c r="BC3871">
        <v>0.64</v>
      </c>
      <c r="BD3871">
        <v>1.06</v>
      </c>
      <c r="BE3871">
        <v>1.07</v>
      </c>
      <c r="BF3871">
        <v>1.05</v>
      </c>
      <c r="BG3871" t="s">
        <v>31019</v>
      </c>
      <c r="BH3871" t="s">
        <v>3320</v>
      </c>
      <c r="BI3871" t="s">
        <v>7870</v>
      </c>
      <c r="BJ3871" t="s">
        <v>101</v>
      </c>
      <c r="BK3871" t="s">
        <v>3444</v>
      </c>
      <c r="BL3871" t="s">
        <v>4493</v>
      </c>
      <c r="BM3871" t="s">
        <v>29097</v>
      </c>
      <c r="BN3871" t="s">
        <v>27621</v>
      </c>
    </row>
    <row r="3872" spans="1:66" x14ac:dyDescent="0.25">
      <c r="A3872" t="str">
        <f>HYPERLINK("https://elite.finviz.com/quote.ashx?t=ECBK&amp;ty=c&amp;p=d&amp;b=1", "ECBK")</f>
        <v>ECBK</v>
      </c>
      <c r="B3872">
        <v>4</v>
      </c>
      <c r="C3872">
        <v>105.92</v>
      </c>
      <c r="D3872">
        <v>44.62</v>
      </c>
      <c r="E3872" t="s">
        <v>31020</v>
      </c>
      <c r="F3872" t="s">
        <v>67</v>
      </c>
      <c r="G3872" t="s">
        <v>550</v>
      </c>
      <c r="H3872" t="s">
        <v>697</v>
      </c>
      <c r="I3872" t="s">
        <v>70</v>
      </c>
      <c r="J3872" t="s">
        <v>321</v>
      </c>
      <c r="K3872">
        <v>142.24</v>
      </c>
      <c r="L3872">
        <v>16.07</v>
      </c>
      <c r="M3872" t="s">
        <v>4689</v>
      </c>
      <c r="N3872">
        <v>2043</v>
      </c>
      <c r="O3872">
        <v>25.27</v>
      </c>
      <c r="R3872">
        <v>1.95</v>
      </c>
      <c r="S3872">
        <v>0.85</v>
      </c>
      <c r="Z3872" t="s">
        <v>164</v>
      </c>
      <c r="AA3872">
        <v>0.64</v>
      </c>
      <c r="AB3872" t="s">
        <v>710</v>
      </c>
      <c r="AC3872" t="s">
        <v>1488</v>
      </c>
      <c r="AE3872" t="s">
        <v>4096</v>
      </c>
      <c r="AF3872" t="s">
        <v>17636</v>
      </c>
      <c r="AG3872" t="s">
        <v>5115</v>
      </c>
      <c r="AH3872" t="s">
        <v>5747</v>
      </c>
      <c r="AJ3872" t="s">
        <v>1324</v>
      </c>
      <c r="AK3872" t="s">
        <v>12977</v>
      </c>
      <c r="AL3872">
        <v>1.18</v>
      </c>
      <c r="AN3872">
        <v>1.57</v>
      </c>
      <c r="AP3872" t="s">
        <v>4965</v>
      </c>
      <c r="AQ3872" t="s">
        <v>5319</v>
      </c>
      <c r="AR3872" t="s">
        <v>2449</v>
      </c>
      <c r="AS3872" t="s">
        <v>7322</v>
      </c>
      <c r="AT3872" t="s">
        <v>6152</v>
      </c>
      <c r="AU3872" t="s">
        <v>5895</v>
      </c>
      <c r="AV3872" t="s">
        <v>1087</v>
      </c>
      <c r="AW3872" t="s">
        <v>9240</v>
      </c>
      <c r="AX3872" t="s">
        <v>3601</v>
      </c>
      <c r="AY3872" t="s">
        <v>9240</v>
      </c>
      <c r="AZ3872" t="s">
        <v>8821</v>
      </c>
      <c r="BB3872">
        <v>27.88</v>
      </c>
      <c r="BC3872">
        <v>0.26</v>
      </c>
      <c r="BD3872">
        <v>15.91</v>
      </c>
      <c r="BE3872">
        <v>16.13</v>
      </c>
      <c r="BF3872">
        <v>16.09</v>
      </c>
      <c r="BG3872" t="s">
        <v>31021</v>
      </c>
      <c r="BH3872" t="s">
        <v>9240</v>
      </c>
      <c r="BI3872" t="s">
        <v>5534</v>
      </c>
      <c r="BJ3872" t="s">
        <v>101</v>
      </c>
      <c r="BK3872" t="s">
        <v>2293</v>
      </c>
      <c r="BL3872" t="s">
        <v>5620</v>
      </c>
      <c r="BM3872" t="s">
        <v>230</v>
      </c>
      <c r="BN3872" t="s">
        <v>27621</v>
      </c>
    </row>
    <row r="3873" spans="1:66" x14ac:dyDescent="0.25">
      <c r="A3873" t="str">
        <f>HYPERLINK("https://elite.finviz.com/quote.ashx?t=SPXC&amp;ty=c&amp;p=d&amp;b=1", "SPXC")</f>
        <v>SPXC</v>
      </c>
      <c r="B3873">
        <v>4</v>
      </c>
      <c r="C3873">
        <v>105.92</v>
      </c>
      <c r="D3873">
        <v>44.64</v>
      </c>
      <c r="E3873" t="s">
        <v>31022</v>
      </c>
      <c r="F3873" t="s">
        <v>67</v>
      </c>
      <c r="G3873" t="s">
        <v>260</v>
      </c>
      <c r="H3873" t="s">
        <v>3225</v>
      </c>
      <c r="I3873" t="s">
        <v>70</v>
      </c>
      <c r="J3873" t="s">
        <v>71</v>
      </c>
      <c r="K3873">
        <v>9066.91</v>
      </c>
      <c r="L3873">
        <v>183.48</v>
      </c>
      <c r="M3873" t="s">
        <v>2646</v>
      </c>
      <c r="N3873">
        <v>24245</v>
      </c>
      <c r="O3873">
        <v>41</v>
      </c>
      <c r="P3873">
        <v>24.71</v>
      </c>
      <c r="Q3873">
        <v>3.22</v>
      </c>
      <c r="R3873">
        <v>4.42</v>
      </c>
      <c r="S3873">
        <v>5.59</v>
      </c>
      <c r="Z3873" t="s">
        <v>164</v>
      </c>
      <c r="AA3873">
        <v>4.47</v>
      </c>
      <c r="AB3873" t="s">
        <v>12322</v>
      </c>
      <c r="AC3873" t="s">
        <v>13016</v>
      </c>
      <c r="AD3873" t="s">
        <v>2291</v>
      </c>
      <c r="AE3873" t="s">
        <v>4718</v>
      </c>
      <c r="AF3873" t="s">
        <v>1570</v>
      </c>
      <c r="AG3873" t="s">
        <v>5090</v>
      </c>
      <c r="AH3873" t="s">
        <v>185</v>
      </c>
      <c r="AI3873" t="s">
        <v>7727</v>
      </c>
      <c r="AJ3873" t="s">
        <v>1364</v>
      </c>
      <c r="AK3873" t="s">
        <v>31023</v>
      </c>
      <c r="AL3873">
        <v>1.97</v>
      </c>
      <c r="AM3873">
        <v>1.28</v>
      </c>
      <c r="AN3873">
        <v>0.66</v>
      </c>
      <c r="AO3873" t="s">
        <v>25321</v>
      </c>
      <c r="AP3873" t="s">
        <v>980</v>
      </c>
      <c r="AQ3873" t="s">
        <v>5914</v>
      </c>
      <c r="AR3873" t="s">
        <v>2080</v>
      </c>
      <c r="AS3873" t="s">
        <v>1438</v>
      </c>
      <c r="AT3873" t="s">
        <v>9511</v>
      </c>
      <c r="AU3873" t="s">
        <v>3811</v>
      </c>
      <c r="AV3873" t="s">
        <v>9208</v>
      </c>
      <c r="AW3873" t="s">
        <v>14529</v>
      </c>
      <c r="AX3873" t="s">
        <v>2697</v>
      </c>
      <c r="AY3873" t="s">
        <v>14529</v>
      </c>
      <c r="AZ3873" t="s">
        <v>1068</v>
      </c>
      <c r="BA3873">
        <v>1.22</v>
      </c>
      <c r="BB3873">
        <v>374.64</v>
      </c>
      <c r="BC3873">
        <v>0.23</v>
      </c>
      <c r="BD3873">
        <v>182.95</v>
      </c>
      <c r="BE3873">
        <v>185.24</v>
      </c>
      <c r="BF3873">
        <v>182.02</v>
      </c>
      <c r="BG3873" t="s">
        <v>31024</v>
      </c>
      <c r="BH3873" t="s">
        <v>14529</v>
      </c>
      <c r="BI3873" t="s">
        <v>31025</v>
      </c>
      <c r="BJ3873" t="s">
        <v>101</v>
      </c>
      <c r="BK3873" t="s">
        <v>8650</v>
      </c>
      <c r="BL3873" t="s">
        <v>15342</v>
      </c>
      <c r="BM3873" t="s">
        <v>4648</v>
      </c>
      <c r="BN3873" t="s">
        <v>27621</v>
      </c>
    </row>
    <row r="3874" spans="1:66" x14ac:dyDescent="0.25">
      <c r="A3874" t="str">
        <f>HYPERLINK("https://elite.finviz.com/quote.ashx?t=ICHR&amp;ty=c&amp;p=d&amp;b=1", "ICHR")</f>
        <v>ICHR</v>
      </c>
      <c r="B3874">
        <v>4</v>
      </c>
      <c r="C3874">
        <v>105.92</v>
      </c>
      <c r="D3874">
        <v>44.66</v>
      </c>
      <c r="E3874" t="s">
        <v>31026</v>
      </c>
      <c r="F3874" t="s">
        <v>67</v>
      </c>
      <c r="G3874" t="s">
        <v>108</v>
      </c>
      <c r="H3874" t="s">
        <v>2097</v>
      </c>
      <c r="I3874" t="s">
        <v>70</v>
      </c>
      <c r="J3874" t="s">
        <v>321</v>
      </c>
      <c r="K3874">
        <v>576.9</v>
      </c>
      <c r="L3874">
        <v>16.809999999999999</v>
      </c>
      <c r="M3874" t="s">
        <v>7137</v>
      </c>
      <c r="N3874">
        <v>223180</v>
      </c>
      <c r="P3874">
        <v>15.5</v>
      </c>
      <c r="R3874">
        <v>0.62</v>
      </c>
      <c r="S3874">
        <v>0.83</v>
      </c>
      <c r="AA3874">
        <v>-0.61</v>
      </c>
      <c r="AD3874" t="s">
        <v>24494</v>
      </c>
      <c r="AE3874" t="s">
        <v>9523</v>
      </c>
      <c r="AF3874" t="s">
        <v>5509</v>
      </c>
      <c r="AG3874" t="s">
        <v>3389</v>
      </c>
      <c r="AH3874" t="s">
        <v>9684</v>
      </c>
      <c r="AI3874" t="s">
        <v>31027</v>
      </c>
      <c r="AJ3874" t="s">
        <v>1751</v>
      </c>
      <c r="AK3874" t="s">
        <v>31028</v>
      </c>
      <c r="AL3874">
        <v>3.22</v>
      </c>
      <c r="AM3874">
        <v>1.32</v>
      </c>
      <c r="AN3874">
        <v>0.24</v>
      </c>
      <c r="AO3874" t="s">
        <v>8188</v>
      </c>
      <c r="AP3874" t="s">
        <v>8634</v>
      </c>
      <c r="AQ3874" t="s">
        <v>3811</v>
      </c>
      <c r="AR3874" t="s">
        <v>3057</v>
      </c>
      <c r="AS3874" t="s">
        <v>275</v>
      </c>
      <c r="AT3874" t="s">
        <v>6597</v>
      </c>
      <c r="AU3874" t="s">
        <v>10591</v>
      </c>
      <c r="AV3874" t="s">
        <v>13783</v>
      </c>
      <c r="AW3874" t="s">
        <v>23170</v>
      </c>
      <c r="AX3874" t="s">
        <v>1813</v>
      </c>
      <c r="AY3874" t="s">
        <v>31029</v>
      </c>
      <c r="AZ3874" t="s">
        <v>1813</v>
      </c>
      <c r="BA3874">
        <v>1.86</v>
      </c>
      <c r="BB3874">
        <v>900.89</v>
      </c>
      <c r="BC3874">
        <v>0.87</v>
      </c>
      <c r="BD3874">
        <v>16.98</v>
      </c>
      <c r="BE3874">
        <v>16.88</v>
      </c>
      <c r="BF3874">
        <v>16.52</v>
      </c>
      <c r="BG3874" t="s">
        <v>31030</v>
      </c>
      <c r="BH3874" t="s">
        <v>31031</v>
      </c>
      <c r="BI3874" t="s">
        <v>31032</v>
      </c>
      <c r="BJ3874" t="s">
        <v>101</v>
      </c>
      <c r="BK3874" t="s">
        <v>18956</v>
      </c>
      <c r="BL3874" t="s">
        <v>5407</v>
      </c>
      <c r="BM3874" t="s">
        <v>31033</v>
      </c>
      <c r="BN3874" t="s">
        <v>27621</v>
      </c>
    </row>
    <row r="3875" spans="1:66" x14ac:dyDescent="0.25">
      <c r="A3875" t="str">
        <f>HYPERLINK("https://elite.finviz.com/quote.ashx?t=TNL&amp;ty=c&amp;p=d&amp;b=1", "TNL")</f>
        <v>TNL</v>
      </c>
      <c r="B3875">
        <v>4</v>
      </c>
      <c r="C3875">
        <v>105.92</v>
      </c>
      <c r="D3875">
        <v>44.67</v>
      </c>
      <c r="E3875" t="s">
        <v>31034</v>
      </c>
      <c r="F3875" t="s">
        <v>107</v>
      </c>
      <c r="G3875" t="s">
        <v>813</v>
      </c>
      <c r="H3875" t="s">
        <v>1997</v>
      </c>
      <c r="I3875" t="s">
        <v>70</v>
      </c>
      <c r="J3875" t="s">
        <v>71</v>
      </c>
      <c r="K3875">
        <v>3902.36</v>
      </c>
      <c r="L3875">
        <v>60.11</v>
      </c>
      <c r="M3875" t="s">
        <v>6463</v>
      </c>
      <c r="N3875">
        <v>37889</v>
      </c>
      <c r="O3875">
        <v>10.4</v>
      </c>
      <c r="P3875">
        <v>8.3000000000000007</v>
      </c>
      <c r="Q3875">
        <v>0.62</v>
      </c>
      <c r="R3875">
        <v>0.99</v>
      </c>
      <c r="T3875" t="s">
        <v>1100</v>
      </c>
      <c r="U3875">
        <v>2.1800000000000002</v>
      </c>
      <c r="V3875" t="s">
        <v>2620</v>
      </c>
      <c r="W3875" t="s">
        <v>821</v>
      </c>
      <c r="X3875" t="s">
        <v>87</v>
      </c>
      <c r="Y3875" t="s">
        <v>212</v>
      </c>
      <c r="Z3875" t="s">
        <v>18645</v>
      </c>
      <c r="AA3875">
        <v>5.78</v>
      </c>
      <c r="AB3875" t="s">
        <v>4088</v>
      </c>
      <c r="AC3875" t="s">
        <v>1083</v>
      </c>
      <c r="AD3875" t="s">
        <v>10519</v>
      </c>
      <c r="AE3875" t="s">
        <v>5425</v>
      </c>
      <c r="AF3875" t="s">
        <v>4128</v>
      </c>
      <c r="AG3875" t="s">
        <v>110</v>
      </c>
      <c r="AH3875" t="s">
        <v>2522</v>
      </c>
      <c r="AI3875" t="s">
        <v>1547</v>
      </c>
      <c r="AJ3875" t="s">
        <v>14774</v>
      </c>
      <c r="AK3875" t="s">
        <v>13126</v>
      </c>
      <c r="AL3875">
        <v>6.96</v>
      </c>
      <c r="AM3875">
        <v>5.07</v>
      </c>
      <c r="AO3875" t="s">
        <v>2702</v>
      </c>
      <c r="AP3875" t="s">
        <v>9496</v>
      </c>
      <c r="AQ3875" t="s">
        <v>7232</v>
      </c>
      <c r="AR3875" t="s">
        <v>3832</v>
      </c>
      <c r="AS3875" t="s">
        <v>3118</v>
      </c>
      <c r="AT3875" t="s">
        <v>2617</v>
      </c>
      <c r="AU3875" t="s">
        <v>1783</v>
      </c>
      <c r="AV3875" t="s">
        <v>5680</v>
      </c>
      <c r="AW3875" t="s">
        <v>6755</v>
      </c>
      <c r="AX3875" t="s">
        <v>2193</v>
      </c>
      <c r="AY3875" t="s">
        <v>6755</v>
      </c>
      <c r="AZ3875" t="s">
        <v>10784</v>
      </c>
      <c r="BA3875">
        <v>1.55</v>
      </c>
      <c r="BB3875">
        <v>703.51</v>
      </c>
      <c r="BC3875">
        <v>0.19</v>
      </c>
      <c r="BD3875">
        <v>59.64</v>
      </c>
      <c r="BE3875">
        <v>59.97</v>
      </c>
      <c r="BF3875">
        <v>59.84</v>
      </c>
      <c r="BG3875" t="s">
        <v>31035</v>
      </c>
      <c r="BH3875" t="s">
        <v>8311</v>
      </c>
      <c r="BI3875" t="s">
        <v>31036</v>
      </c>
      <c r="BJ3875" t="s">
        <v>101</v>
      </c>
      <c r="BK3875" t="s">
        <v>2133</v>
      </c>
      <c r="BL3875" t="s">
        <v>7713</v>
      </c>
      <c r="BM3875" t="s">
        <v>7138</v>
      </c>
      <c r="BN3875" t="s">
        <v>27621</v>
      </c>
    </row>
    <row r="3876" spans="1:66" x14ac:dyDescent="0.25">
      <c r="A3876" t="str">
        <f>HYPERLINK("https://elite.finviz.com/quote.ashx?t=SEG&amp;ty=c&amp;p=d&amp;b=1", "SEG")</f>
        <v>SEG</v>
      </c>
      <c r="B3876">
        <v>4</v>
      </c>
      <c r="C3876">
        <v>105.92</v>
      </c>
      <c r="D3876">
        <v>44.69</v>
      </c>
      <c r="E3876" t="s">
        <v>31037</v>
      </c>
      <c r="F3876" t="s">
        <v>67</v>
      </c>
      <c r="G3876" t="s">
        <v>68</v>
      </c>
      <c r="H3876" t="s">
        <v>7494</v>
      </c>
      <c r="I3876" t="s">
        <v>70</v>
      </c>
      <c r="J3876" t="s">
        <v>71</v>
      </c>
      <c r="K3876">
        <v>300.61</v>
      </c>
      <c r="L3876">
        <v>23.61</v>
      </c>
      <c r="M3876" t="s">
        <v>2418</v>
      </c>
      <c r="N3876">
        <v>7876</v>
      </c>
      <c r="R3876">
        <v>2.54</v>
      </c>
      <c r="S3876">
        <v>0.57999999999999996</v>
      </c>
      <c r="AA3876">
        <v>-12.65</v>
      </c>
      <c r="AH3876" t="s">
        <v>3103</v>
      </c>
      <c r="AJ3876" t="s">
        <v>164</v>
      </c>
      <c r="AK3876" t="s">
        <v>6220</v>
      </c>
      <c r="AL3876">
        <v>4.05</v>
      </c>
      <c r="AM3876">
        <v>4.05</v>
      </c>
      <c r="AN3876">
        <v>0.3</v>
      </c>
      <c r="AO3876" t="s">
        <v>9095</v>
      </c>
      <c r="AP3876" t="s">
        <v>31038</v>
      </c>
      <c r="AQ3876" t="s">
        <v>31039</v>
      </c>
      <c r="AR3876" t="s">
        <v>5780</v>
      </c>
      <c r="AS3876" t="s">
        <v>1926</v>
      </c>
      <c r="AT3876" t="s">
        <v>6161</v>
      </c>
      <c r="AU3876" t="s">
        <v>9500</v>
      </c>
      <c r="AV3876" t="s">
        <v>975</v>
      </c>
      <c r="AW3876" t="s">
        <v>23520</v>
      </c>
      <c r="AX3876" t="s">
        <v>2516</v>
      </c>
      <c r="AY3876" t="s">
        <v>31040</v>
      </c>
      <c r="AZ3876" t="s">
        <v>9986</v>
      </c>
      <c r="BB3876">
        <v>121</v>
      </c>
      <c r="BC3876">
        <v>0.23</v>
      </c>
      <c r="BD3876">
        <v>23.48</v>
      </c>
      <c r="BE3876">
        <v>23.66</v>
      </c>
      <c r="BF3876">
        <v>23.32</v>
      </c>
      <c r="BG3876" t="s">
        <v>31041</v>
      </c>
      <c r="BH3876" t="s">
        <v>31040</v>
      </c>
      <c r="BI3876" t="s">
        <v>9986</v>
      </c>
      <c r="BJ3876" t="s">
        <v>101</v>
      </c>
      <c r="BK3876" t="s">
        <v>9454</v>
      </c>
      <c r="BL3876" t="s">
        <v>3147</v>
      </c>
      <c r="BM3876" t="s">
        <v>3239</v>
      </c>
      <c r="BN3876" t="s">
        <v>27621</v>
      </c>
    </row>
    <row r="3877" spans="1:66" x14ac:dyDescent="0.25">
      <c r="A3877" t="str">
        <f>HYPERLINK("https://elite.finviz.com/quote.ashx?t=OABI&amp;ty=c&amp;p=d&amp;b=1", "OABI")</f>
        <v>OABI</v>
      </c>
      <c r="B3877">
        <v>4</v>
      </c>
      <c r="C3877">
        <v>105.92</v>
      </c>
      <c r="D3877">
        <v>44.69</v>
      </c>
      <c r="E3877" t="s">
        <v>31042</v>
      </c>
      <c r="F3877" t="s">
        <v>67</v>
      </c>
      <c r="G3877" t="s">
        <v>428</v>
      </c>
      <c r="H3877" t="s">
        <v>429</v>
      </c>
      <c r="I3877" t="s">
        <v>70</v>
      </c>
      <c r="J3877" t="s">
        <v>321</v>
      </c>
      <c r="K3877">
        <v>230.33</v>
      </c>
      <c r="L3877">
        <v>1.6</v>
      </c>
      <c r="M3877" t="s">
        <v>1933</v>
      </c>
      <c r="N3877">
        <v>51033</v>
      </c>
      <c r="R3877">
        <v>10</v>
      </c>
      <c r="S3877">
        <v>0.75</v>
      </c>
      <c r="AA3877">
        <v>-0.61</v>
      </c>
      <c r="AB3877" t="s">
        <v>11363</v>
      </c>
      <c r="AD3877" t="s">
        <v>7055</v>
      </c>
      <c r="AE3877" t="s">
        <v>8460</v>
      </c>
      <c r="AF3877" t="s">
        <v>5569</v>
      </c>
      <c r="AH3877" t="s">
        <v>26717</v>
      </c>
      <c r="AI3877" t="s">
        <v>5312</v>
      </c>
      <c r="AJ3877" t="s">
        <v>4794</v>
      </c>
      <c r="AK3877" t="s">
        <v>12275</v>
      </c>
      <c r="AL3877">
        <v>3.77</v>
      </c>
      <c r="AM3877">
        <v>3.77</v>
      </c>
      <c r="AN3877">
        <v>0.08</v>
      </c>
      <c r="AO3877" t="s">
        <v>12145</v>
      </c>
      <c r="AP3877" t="s">
        <v>31043</v>
      </c>
      <c r="AQ3877" t="s">
        <v>31044</v>
      </c>
      <c r="AR3877" t="s">
        <v>3496</v>
      </c>
      <c r="AS3877" t="s">
        <v>3602</v>
      </c>
      <c r="AT3877" t="s">
        <v>2486</v>
      </c>
      <c r="AU3877" t="s">
        <v>25804</v>
      </c>
      <c r="AV3877" t="s">
        <v>31045</v>
      </c>
      <c r="AW3877" t="s">
        <v>17295</v>
      </c>
      <c r="AX3877" t="s">
        <v>1496</v>
      </c>
      <c r="AY3877" t="s">
        <v>25529</v>
      </c>
      <c r="AZ3877" t="s">
        <v>3762</v>
      </c>
      <c r="BA3877">
        <v>1</v>
      </c>
      <c r="BB3877">
        <v>538.86</v>
      </c>
      <c r="BC3877">
        <v>0.34</v>
      </c>
      <c r="BD3877">
        <v>1.56</v>
      </c>
      <c r="BE3877">
        <v>1.6</v>
      </c>
      <c r="BF3877">
        <v>1.56</v>
      </c>
      <c r="BG3877" t="s">
        <v>31046</v>
      </c>
      <c r="BH3877" t="s">
        <v>28494</v>
      </c>
      <c r="BI3877" t="s">
        <v>3762</v>
      </c>
      <c r="BJ3877" t="s">
        <v>101</v>
      </c>
      <c r="BK3877" t="s">
        <v>11702</v>
      </c>
      <c r="BL3877" t="s">
        <v>31047</v>
      </c>
      <c r="BM3877" t="s">
        <v>6698</v>
      </c>
      <c r="BN3877" t="s">
        <v>27621</v>
      </c>
    </row>
    <row r="3878" spans="1:66" x14ac:dyDescent="0.25">
      <c r="A3878" t="str">
        <f>HYPERLINK("https://elite.finviz.com/quote.ashx?t=RENT&amp;ty=c&amp;p=d&amp;b=1", "RENT")</f>
        <v>RENT</v>
      </c>
      <c r="B3878">
        <v>4</v>
      </c>
      <c r="C3878">
        <v>105.92</v>
      </c>
      <c r="D3878">
        <v>44.7</v>
      </c>
      <c r="E3878" t="s">
        <v>31048</v>
      </c>
      <c r="F3878" t="s">
        <v>107</v>
      </c>
      <c r="G3878" t="s">
        <v>813</v>
      </c>
      <c r="H3878" t="s">
        <v>4488</v>
      </c>
      <c r="I3878" t="s">
        <v>70</v>
      </c>
      <c r="J3878" t="s">
        <v>321</v>
      </c>
      <c r="K3878">
        <v>19.940000000000001</v>
      </c>
      <c r="L3878">
        <v>4.87</v>
      </c>
      <c r="M3878" t="s">
        <v>5166</v>
      </c>
      <c r="N3878">
        <v>3652</v>
      </c>
      <c r="R3878">
        <v>7.0000000000000007E-2</v>
      </c>
      <c r="AA3878">
        <v>-21.51</v>
      </c>
      <c r="AB3878" t="s">
        <v>9057</v>
      </c>
      <c r="AC3878" t="s">
        <v>5046</v>
      </c>
      <c r="AE3878" t="s">
        <v>1083</v>
      </c>
      <c r="AF3878" t="s">
        <v>4523</v>
      </c>
      <c r="AG3878" t="s">
        <v>975</v>
      </c>
      <c r="AH3878" t="s">
        <v>1776</v>
      </c>
      <c r="AJ3878" t="s">
        <v>4149</v>
      </c>
      <c r="AK3878" t="s">
        <v>536</v>
      </c>
      <c r="AL3878">
        <v>0.93</v>
      </c>
      <c r="AM3878">
        <v>0.93</v>
      </c>
      <c r="AO3878" t="s">
        <v>3117</v>
      </c>
      <c r="AP3878" t="s">
        <v>9116</v>
      </c>
      <c r="AQ3878" t="s">
        <v>19597</v>
      </c>
      <c r="AR3878" t="s">
        <v>2150</v>
      </c>
      <c r="AS3878" t="s">
        <v>3171</v>
      </c>
      <c r="AT3878" t="s">
        <v>7856</v>
      </c>
      <c r="AU3878" t="s">
        <v>8670</v>
      </c>
      <c r="AV3878" t="s">
        <v>31049</v>
      </c>
      <c r="AW3878" t="s">
        <v>1106</v>
      </c>
      <c r="AX3878" t="s">
        <v>15034</v>
      </c>
      <c r="AY3878" t="s">
        <v>31050</v>
      </c>
      <c r="AZ3878" t="s">
        <v>2358</v>
      </c>
      <c r="BA3878">
        <v>3</v>
      </c>
      <c r="BB3878">
        <v>133.05000000000001</v>
      </c>
      <c r="BC3878">
        <v>0.1</v>
      </c>
      <c r="BD3878">
        <v>4.8099999999999996</v>
      </c>
      <c r="BE3878">
        <v>4.87</v>
      </c>
      <c r="BF3878">
        <v>4.79</v>
      </c>
      <c r="BG3878" t="s">
        <v>31051</v>
      </c>
      <c r="BH3878" t="s">
        <v>19929</v>
      </c>
      <c r="BI3878" t="s">
        <v>2358</v>
      </c>
      <c r="BJ3878" t="s">
        <v>101</v>
      </c>
      <c r="BK3878" t="s">
        <v>5660</v>
      </c>
      <c r="BL3878" t="s">
        <v>2197</v>
      </c>
      <c r="BM3878" t="s">
        <v>15671</v>
      </c>
      <c r="BN3878" t="s">
        <v>27621</v>
      </c>
    </row>
    <row r="3879" spans="1:66" x14ac:dyDescent="0.25">
      <c r="A3879" t="str">
        <f>HYPERLINK("https://elite.finviz.com/quote.ashx?t=BEEP&amp;ty=c&amp;p=d&amp;b=1", "BEEP")</f>
        <v>BEEP</v>
      </c>
      <c r="B3879">
        <v>4</v>
      </c>
      <c r="C3879">
        <v>105.92</v>
      </c>
      <c r="D3879">
        <v>44.72</v>
      </c>
      <c r="E3879" t="s">
        <v>31052</v>
      </c>
      <c r="F3879" t="s">
        <v>67</v>
      </c>
      <c r="G3879" t="s">
        <v>260</v>
      </c>
      <c r="H3879" t="s">
        <v>31053</v>
      </c>
      <c r="I3879" t="s">
        <v>70</v>
      </c>
      <c r="J3879" t="s">
        <v>321</v>
      </c>
      <c r="K3879">
        <v>144.16</v>
      </c>
      <c r="L3879">
        <v>3.4</v>
      </c>
      <c r="M3879" t="s">
        <v>164</v>
      </c>
      <c r="N3879">
        <v>10520</v>
      </c>
      <c r="R3879">
        <v>3.99</v>
      </c>
      <c r="S3879">
        <v>0.86</v>
      </c>
      <c r="AA3879">
        <v>-0.3</v>
      </c>
      <c r="AB3879" t="s">
        <v>28839</v>
      </c>
      <c r="AD3879" t="s">
        <v>1725</v>
      </c>
      <c r="AE3879" t="s">
        <v>4686</v>
      </c>
      <c r="AH3879" t="s">
        <v>6105</v>
      </c>
      <c r="AI3879" t="s">
        <v>19085</v>
      </c>
      <c r="AJ3879" t="s">
        <v>4507</v>
      </c>
      <c r="AK3879" t="s">
        <v>13267</v>
      </c>
      <c r="AL3879">
        <v>0.43</v>
      </c>
      <c r="AM3879">
        <v>0.43</v>
      </c>
      <c r="AN3879">
        <v>1.33</v>
      </c>
      <c r="AO3879" t="s">
        <v>17582</v>
      </c>
      <c r="AP3879" t="s">
        <v>322</v>
      </c>
      <c r="AQ3879" t="s">
        <v>17878</v>
      </c>
      <c r="AR3879" t="s">
        <v>1341</v>
      </c>
      <c r="AS3879" t="s">
        <v>6421</v>
      </c>
      <c r="AT3879" t="s">
        <v>8889</v>
      </c>
      <c r="AU3879" t="s">
        <v>6157</v>
      </c>
      <c r="AV3879" t="s">
        <v>7707</v>
      </c>
      <c r="AW3879" t="s">
        <v>4364</v>
      </c>
      <c r="AX3879" t="s">
        <v>7688</v>
      </c>
      <c r="AY3879" t="s">
        <v>15951</v>
      </c>
      <c r="AZ3879" t="s">
        <v>23897</v>
      </c>
      <c r="BA3879">
        <v>1</v>
      </c>
      <c r="BB3879">
        <v>76.02</v>
      </c>
      <c r="BC3879">
        <v>0.49</v>
      </c>
      <c r="BD3879">
        <v>3.4</v>
      </c>
      <c r="BE3879">
        <v>3.58</v>
      </c>
      <c r="BF3879">
        <v>3.37</v>
      </c>
      <c r="BG3879" t="s">
        <v>31054</v>
      </c>
      <c r="BH3879" t="s">
        <v>31055</v>
      </c>
      <c r="BI3879" t="s">
        <v>20800</v>
      </c>
      <c r="BJ3879" t="s">
        <v>101</v>
      </c>
      <c r="BK3879" t="s">
        <v>4858</v>
      </c>
      <c r="BL3879" t="s">
        <v>15495</v>
      </c>
      <c r="BM3879" t="s">
        <v>4621</v>
      </c>
      <c r="BN3879" t="s">
        <v>27621</v>
      </c>
    </row>
    <row r="3880" spans="1:66" x14ac:dyDescent="0.25">
      <c r="A3880" t="str">
        <f>HYPERLINK("https://elite.finviz.com/quote.ashx?t=TKR&amp;ty=c&amp;p=d&amp;b=1", "TKR")</f>
        <v>TKR</v>
      </c>
      <c r="B3880">
        <v>4</v>
      </c>
      <c r="C3880">
        <v>105.92</v>
      </c>
      <c r="D3880">
        <v>44.73</v>
      </c>
      <c r="E3880" t="s">
        <v>31056</v>
      </c>
      <c r="F3880" t="s">
        <v>107</v>
      </c>
      <c r="G3880" t="s">
        <v>260</v>
      </c>
      <c r="H3880" t="s">
        <v>16076</v>
      </c>
      <c r="I3880" t="s">
        <v>70</v>
      </c>
      <c r="J3880" t="s">
        <v>71</v>
      </c>
      <c r="K3880">
        <v>5246.21</v>
      </c>
      <c r="L3880">
        <v>75.33</v>
      </c>
      <c r="M3880" t="s">
        <v>3349</v>
      </c>
      <c r="N3880">
        <v>65060</v>
      </c>
      <c r="O3880">
        <v>17.13</v>
      </c>
      <c r="P3880">
        <v>12.48</v>
      </c>
      <c r="Q3880">
        <v>3.3</v>
      </c>
      <c r="R3880">
        <v>1.1599999999999999</v>
      </c>
      <c r="S3880">
        <v>1.7</v>
      </c>
      <c r="T3880" t="s">
        <v>2219</v>
      </c>
      <c r="U3880">
        <v>1.38</v>
      </c>
      <c r="V3880" t="s">
        <v>10236</v>
      </c>
      <c r="W3880" t="s">
        <v>4324</v>
      </c>
      <c r="X3880" t="s">
        <v>5672</v>
      </c>
      <c r="Y3880" t="s">
        <v>2493</v>
      </c>
      <c r="Z3880" t="s">
        <v>22478</v>
      </c>
      <c r="AA3880">
        <v>4.4000000000000004</v>
      </c>
      <c r="AB3880" t="s">
        <v>4881</v>
      </c>
      <c r="AC3880" t="s">
        <v>1488</v>
      </c>
      <c r="AD3880" t="s">
        <v>6226</v>
      </c>
      <c r="AE3880" t="s">
        <v>3559</v>
      </c>
      <c r="AF3880" t="s">
        <v>2736</v>
      </c>
      <c r="AG3880" t="s">
        <v>323</v>
      </c>
      <c r="AH3880" t="s">
        <v>240</v>
      </c>
      <c r="AI3880" t="s">
        <v>4744</v>
      </c>
      <c r="AJ3880" t="s">
        <v>171</v>
      </c>
      <c r="AK3880" t="s">
        <v>31057</v>
      </c>
      <c r="AL3880">
        <v>3.13</v>
      </c>
      <c r="AM3880">
        <v>1.72</v>
      </c>
      <c r="AN3880">
        <v>0.75</v>
      </c>
      <c r="AO3880" t="s">
        <v>3306</v>
      </c>
      <c r="AP3880" t="s">
        <v>3921</v>
      </c>
      <c r="AQ3880" t="s">
        <v>6584</v>
      </c>
      <c r="AR3880" t="s">
        <v>617</v>
      </c>
      <c r="AS3880" t="s">
        <v>1438</v>
      </c>
      <c r="AT3880" t="s">
        <v>1180</v>
      </c>
      <c r="AU3880" t="s">
        <v>7272</v>
      </c>
      <c r="AV3880" t="s">
        <v>6493</v>
      </c>
      <c r="AW3880" t="s">
        <v>8970</v>
      </c>
      <c r="AX3880" t="s">
        <v>754</v>
      </c>
      <c r="AY3880" t="s">
        <v>9071</v>
      </c>
      <c r="AZ3880" t="s">
        <v>11314</v>
      </c>
      <c r="BA3880">
        <v>2.6</v>
      </c>
      <c r="BB3880">
        <v>710.04</v>
      </c>
      <c r="BC3880">
        <v>0.32</v>
      </c>
      <c r="BD3880">
        <v>74.2</v>
      </c>
      <c r="BE3880">
        <v>75.33</v>
      </c>
      <c r="BF3880">
        <v>74.430000000000007</v>
      </c>
      <c r="BG3880" t="s">
        <v>31058</v>
      </c>
      <c r="BH3880" t="s">
        <v>2475</v>
      </c>
      <c r="BI3880" t="s">
        <v>31059</v>
      </c>
      <c r="BJ3880" t="s">
        <v>101</v>
      </c>
      <c r="BK3880" t="s">
        <v>4687</v>
      </c>
      <c r="BL3880" t="s">
        <v>3671</v>
      </c>
      <c r="BM3880" t="s">
        <v>9757</v>
      </c>
      <c r="BN3880" t="s">
        <v>27621</v>
      </c>
    </row>
    <row r="3881" spans="1:66" x14ac:dyDescent="0.25">
      <c r="A3881" t="str">
        <f>HYPERLINK("https://elite.finviz.com/quote.ashx?t=TTNP&amp;ty=c&amp;p=d&amp;b=1", "TTNP")</f>
        <v>TTNP</v>
      </c>
      <c r="B3881">
        <v>4</v>
      </c>
      <c r="C3881">
        <v>105.92</v>
      </c>
      <c r="D3881">
        <v>44.73</v>
      </c>
      <c r="E3881" t="s">
        <v>31060</v>
      </c>
      <c r="F3881" t="s">
        <v>107</v>
      </c>
      <c r="G3881" t="s">
        <v>428</v>
      </c>
      <c r="H3881" t="s">
        <v>429</v>
      </c>
      <c r="I3881" t="s">
        <v>70</v>
      </c>
      <c r="J3881" t="s">
        <v>321</v>
      </c>
      <c r="K3881">
        <v>5.47</v>
      </c>
      <c r="L3881">
        <v>4.1100000000000003</v>
      </c>
      <c r="M3881" t="s">
        <v>5258</v>
      </c>
      <c r="N3881">
        <v>2871</v>
      </c>
      <c r="S3881">
        <v>1.96</v>
      </c>
      <c r="AA3881">
        <v>-2.96</v>
      </c>
      <c r="AB3881" t="s">
        <v>2379</v>
      </c>
      <c r="AC3881" t="s">
        <v>14134</v>
      </c>
      <c r="AE3881" t="s">
        <v>579</v>
      </c>
      <c r="AJ3881" t="s">
        <v>164</v>
      </c>
      <c r="AK3881" t="s">
        <v>7437</v>
      </c>
      <c r="AL3881">
        <v>11.6</v>
      </c>
      <c r="AM3881">
        <v>11.6</v>
      </c>
      <c r="AN3881">
        <v>0</v>
      </c>
      <c r="AR3881" t="s">
        <v>353</v>
      </c>
      <c r="AS3881" t="s">
        <v>2796</v>
      </c>
      <c r="AT3881" t="s">
        <v>1866</v>
      </c>
      <c r="AU3881" t="s">
        <v>6755</v>
      </c>
      <c r="AV3881" t="s">
        <v>2609</v>
      </c>
      <c r="AW3881" t="s">
        <v>17028</v>
      </c>
      <c r="AX3881" t="s">
        <v>3734</v>
      </c>
      <c r="AY3881" t="s">
        <v>17896</v>
      </c>
      <c r="AZ3881" t="s">
        <v>4566</v>
      </c>
      <c r="BB3881">
        <v>46.94</v>
      </c>
      <c r="BC3881">
        <v>0.22</v>
      </c>
      <c r="BD3881">
        <v>4.03</v>
      </c>
      <c r="BE3881">
        <v>4.1500000000000004</v>
      </c>
      <c r="BF3881">
        <v>4.0999999999999996</v>
      </c>
      <c r="BG3881" t="s">
        <v>31061</v>
      </c>
      <c r="BH3881" t="s">
        <v>579</v>
      </c>
      <c r="BI3881" t="s">
        <v>4566</v>
      </c>
      <c r="BJ3881" t="s">
        <v>101</v>
      </c>
      <c r="BK3881" t="s">
        <v>2401</v>
      </c>
      <c r="BL3881" t="s">
        <v>2777</v>
      </c>
      <c r="BM3881" t="s">
        <v>14281</v>
      </c>
      <c r="BN3881" t="s">
        <v>27621</v>
      </c>
    </row>
    <row r="3882" spans="1:66" x14ac:dyDescent="0.25">
      <c r="A3882" t="str">
        <f>HYPERLINK("https://elite.finviz.com/quote.ashx?t=HCHL&amp;ty=c&amp;p=d&amp;b=1", "HCHL")</f>
        <v>HCHL</v>
      </c>
      <c r="B3882">
        <v>4</v>
      </c>
      <c r="C3882">
        <v>105.92</v>
      </c>
      <c r="D3882">
        <v>44.73</v>
      </c>
      <c r="E3882" t="s">
        <v>31062</v>
      </c>
      <c r="F3882" t="s">
        <v>107</v>
      </c>
      <c r="G3882" t="s">
        <v>813</v>
      </c>
      <c r="H3882" t="s">
        <v>2285</v>
      </c>
      <c r="I3882" t="s">
        <v>70</v>
      </c>
      <c r="J3882" t="s">
        <v>321</v>
      </c>
      <c r="L3882">
        <v>3.13</v>
      </c>
      <c r="M3882" t="s">
        <v>552</v>
      </c>
      <c r="N3882">
        <v>53291</v>
      </c>
      <c r="AR3882" t="s">
        <v>2398</v>
      </c>
      <c r="AS3882" t="s">
        <v>416</v>
      </c>
      <c r="AT3882" t="s">
        <v>9075</v>
      </c>
      <c r="AU3882" t="s">
        <v>613</v>
      </c>
      <c r="AV3882" t="s">
        <v>19182</v>
      </c>
      <c r="AW3882" t="s">
        <v>18695</v>
      </c>
      <c r="AX3882" t="s">
        <v>17711</v>
      </c>
      <c r="AY3882" t="s">
        <v>31063</v>
      </c>
      <c r="AZ3882" t="s">
        <v>17711</v>
      </c>
      <c r="BB3882">
        <v>197.68</v>
      </c>
      <c r="BC3882">
        <v>0.95</v>
      </c>
      <c r="BD3882">
        <v>3.26</v>
      </c>
      <c r="BE3882">
        <v>3.29</v>
      </c>
      <c r="BF3882">
        <v>3.13</v>
      </c>
      <c r="BG3882" t="s">
        <v>31064</v>
      </c>
      <c r="BH3882" t="s">
        <v>31063</v>
      </c>
      <c r="BI3882" t="s">
        <v>17711</v>
      </c>
      <c r="BJ3882" t="s">
        <v>101</v>
      </c>
      <c r="BK3882" t="s">
        <v>24284</v>
      </c>
      <c r="BN3882" t="s">
        <v>27621</v>
      </c>
    </row>
    <row r="3883" spans="1:66" x14ac:dyDescent="0.25">
      <c r="A3883" t="str">
        <f>HYPERLINK("https://elite.finviz.com/quote.ashx?t=PAYC&amp;ty=c&amp;p=d&amp;b=1", "PAYC")</f>
        <v>PAYC</v>
      </c>
      <c r="B3883">
        <v>4</v>
      </c>
      <c r="C3883">
        <v>105.92</v>
      </c>
      <c r="D3883">
        <v>44.74</v>
      </c>
      <c r="E3883" t="s">
        <v>31065</v>
      </c>
      <c r="F3883" t="s">
        <v>195</v>
      </c>
      <c r="G3883" t="s">
        <v>108</v>
      </c>
      <c r="H3883" t="s">
        <v>136</v>
      </c>
      <c r="I3883" t="s">
        <v>70</v>
      </c>
      <c r="J3883" t="s">
        <v>71</v>
      </c>
      <c r="K3883">
        <v>12573.59</v>
      </c>
      <c r="L3883">
        <v>217.25</v>
      </c>
      <c r="M3883" t="s">
        <v>4902</v>
      </c>
      <c r="N3883">
        <v>130257</v>
      </c>
      <c r="O3883">
        <v>29.39</v>
      </c>
      <c r="P3883">
        <v>21.5</v>
      </c>
      <c r="Q3883">
        <v>2.69</v>
      </c>
      <c r="R3883">
        <v>6.42</v>
      </c>
      <c r="S3883">
        <v>6.78</v>
      </c>
      <c r="T3883" t="s">
        <v>1765</v>
      </c>
      <c r="U3883">
        <v>1.5</v>
      </c>
      <c r="V3883" t="s">
        <v>10943</v>
      </c>
      <c r="W3883" t="s">
        <v>16126</v>
      </c>
      <c r="Z3883" t="s">
        <v>10760</v>
      </c>
      <c r="AA3883">
        <v>7.39</v>
      </c>
      <c r="AB3883" t="s">
        <v>14120</v>
      </c>
      <c r="AC3883" t="s">
        <v>1508</v>
      </c>
      <c r="AD3883" t="s">
        <v>2514</v>
      </c>
      <c r="AE3883" t="s">
        <v>7669</v>
      </c>
      <c r="AF3883" t="s">
        <v>5664</v>
      </c>
      <c r="AG3883" t="s">
        <v>4607</v>
      </c>
      <c r="AH3883" t="s">
        <v>11544</v>
      </c>
      <c r="AI3883" t="s">
        <v>11482</v>
      </c>
      <c r="AJ3883" t="s">
        <v>10262</v>
      </c>
      <c r="AK3883" t="s">
        <v>31066</v>
      </c>
      <c r="AL3883">
        <v>1.22</v>
      </c>
      <c r="AM3883">
        <v>1.22</v>
      </c>
      <c r="AN3883">
        <v>0.05</v>
      </c>
      <c r="AO3883" t="s">
        <v>30940</v>
      </c>
      <c r="AP3883" t="s">
        <v>10924</v>
      </c>
      <c r="AQ3883" t="s">
        <v>6892</v>
      </c>
      <c r="AR3883" t="s">
        <v>2219</v>
      </c>
      <c r="AS3883" t="s">
        <v>4891</v>
      </c>
      <c r="AT3883" t="s">
        <v>2176</v>
      </c>
      <c r="AU3883" t="s">
        <v>7959</v>
      </c>
      <c r="AV3883" t="s">
        <v>10958</v>
      </c>
      <c r="AW3883" t="s">
        <v>5934</v>
      </c>
      <c r="AX3883" t="s">
        <v>170</v>
      </c>
      <c r="AY3883" t="s">
        <v>14980</v>
      </c>
      <c r="AZ3883" t="s">
        <v>3742</v>
      </c>
      <c r="BA3883">
        <v>2.52</v>
      </c>
      <c r="BB3883">
        <v>625.79999999999995</v>
      </c>
      <c r="BC3883">
        <v>0.73</v>
      </c>
      <c r="BD3883">
        <v>214.85</v>
      </c>
      <c r="BE3883">
        <v>219.19</v>
      </c>
      <c r="BF3883">
        <v>216.09</v>
      </c>
      <c r="BG3883" t="s">
        <v>31067</v>
      </c>
      <c r="BH3883" t="s">
        <v>31068</v>
      </c>
      <c r="BI3883" t="s">
        <v>31069</v>
      </c>
      <c r="BJ3883" t="s">
        <v>101</v>
      </c>
      <c r="BK3883" t="s">
        <v>8520</v>
      </c>
      <c r="BL3883" t="s">
        <v>3005</v>
      </c>
      <c r="BM3883" t="s">
        <v>22442</v>
      </c>
      <c r="BN3883" t="s">
        <v>27621</v>
      </c>
    </row>
    <row r="3884" spans="1:66" x14ac:dyDescent="0.25">
      <c r="A3884" t="str">
        <f>HYPERLINK("https://elite.finviz.com/quote.ashx?t=VEEA&amp;ty=c&amp;p=d&amp;b=1", "VEEA")</f>
        <v>VEEA</v>
      </c>
      <c r="B3884">
        <v>4</v>
      </c>
      <c r="C3884">
        <v>105.92</v>
      </c>
      <c r="D3884">
        <v>44.76</v>
      </c>
      <c r="E3884" t="s">
        <v>31070</v>
      </c>
      <c r="F3884" t="s">
        <v>107</v>
      </c>
      <c r="G3884" t="s">
        <v>108</v>
      </c>
      <c r="H3884" t="s">
        <v>1322</v>
      </c>
      <c r="I3884" t="s">
        <v>70</v>
      </c>
      <c r="J3884" t="s">
        <v>321</v>
      </c>
      <c r="K3884">
        <v>31.9</v>
      </c>
      <c r="L3884">
        <v>0.64</v>
      </c>
      <c r="M3884" t="s">
        <v>4125</v>
      </c>
      <c r="N3884">
        <v>120079</v>
      </c>
      <c r="R3884">
        <v>187.65</v>
      </c>
      <c r="AA3884">
        <v>-1.59</v>
      </c>
      <c r="AK3884" t="s">
        <v>2384</v>
      </c>
      <c r="AL3884">
        <v>0.48</v>
      </c>
      <c r="AM3884">
        <v>0.18</v>
      </c>
      <c r="AO3884" t="s">
        <v>31071</v>
      </c>
      <c r="AP3884" t="s">
        <v>31072</v>
      </c>
      <c r="AQ3884" t="s">
        <v>31073</v>
      </c>
      <c r="AR3884" t="s">
        <v>6928</v>
      </c>
      <c r="AS3884" t="s">
        <v>5460</v>
      </c>
      <c r="AT3884" t="s">
        <v>369</v>
      </c>
      <c r="AU3884" t="s">
        <v>8397</v>
      </c>
      <c r="AV3884" t="s">
        <v>31074</v>
      </c>
      <c r="AW3884" t="s">
        <v>19654</v>
      </c>
      <c r="AX3884" t="s">
        <v>16644</v>
      </c>
      <c r="AY3884" t="s">
        <v>30804</v>
      </c>
      <c r="AZ3884" t="s">
        <v>16644</v>
      </c>
      <c r="BB3884">
        <v>436.67</v>
      </c>
      <c r="BC3884">
        <v>0.97</v>
      </c>
      <c r="BD3884">
        <v>0.61</v>
      </c>
      <c r="BE3884">
        <v>0.65</v>
      </c>
      <c r="BF3884">
        <v>0.6</v>
      </c>
      <c r="BG3884" t="s">
        <v>31075</v>
      </c>
      <c r="BH3884" t="s">
        <v>31076</v>
      </c>
      <c r="BI3884" t="s">
        <v>16644</v>
      </c>
      <c r="BJ3884" t="s">
        <v>101</v>
      </c>
      <c r="BK3884" t="s">
        <v>31077</v>
      </c>
      <c r="BL3884" t="s">
        <v>31078</v>
      </c>
      <c r="BM3884" t="s">
        <v>30804</v>
      </c>
      <c r="BN3884" t="s">
        <v>27621</v>
      </c>
    </row>
    <row r="3885" spans="1:66" x14ac:dyDescent="0.25">
      <c r="A3885" t="str">
        <f>HYPERLINK("https://elite.finviz.com/quote.ashx?t=LZB&amp;ty=c&amp;p=d&amp;b=1", "LZB")</f>
        <v>LZB</v>
      </c>
      <c r="B3885">
        <v>4</v>
      </c>
      <c r="C3885">
        <v>105.92</v>
      </c>
      <c r="D3885">
        <v>44.77</v>
      </c>
      <c r="E3885" t="s">
        <v>31079</v>
      </c>
      <c r="F3885" t="s">
        <v>67</v>
      </c>
      <c r="G3885" t="s">
        <v>813</v>
      </c>
      <c r="H3885" t="s">
        <v>3866</v>
      </c>
      <c r="I3885" t="s">
        <v>70</v>
      </c>
      <c r="J3885" t="s">
        <v>71</v>
      </c>
      <c r="K3885">
        <v>1420.21</v>
      </c>
      <c r="L3885">
        <v>34.47</v>
      </c>
      <c r="M3885" t="s">
        <v>3349</v>
      </c>
      <c r="N3885">
        <v>130349</v>
      </c>
      <c r="O3885">
        <v>15.79</v>
      </c>
      <c r="P3885">
        <v>12.32</v>
      </c>
      <c r="Q3885">
        <v>10.81</v>
      </c>
      <c r="R3885">
        <v>0.67</v>
      </c>
      <c r="S3885">
        <v>1.4</v>
      </c>
      <c r="T3885" t="s">
        <v>451</v>
      </c>
      <c r="U3885">
        <v>0.88</v>
      </c>
      <c r="V3885" t="s">
        <v>6223</v>
      </c>
      <c r="W3885" t="s">
        <v>11544</v>
      </c>
      <c r="X3885" t="s">
        <v>1115</v>
      </c>
      <c r="Y3885" t="s">
        <v>268</v>
      </c>
      <c r="Z3885" t="s">
        <v>2702</v>
      </c>
      <c r="AA3885">
        <v>2.1800000000000002</v>
      </c>
      <c r="AB3885" t="s">
        <v>2537</v>
      </c>
      <c r="AC3885" t="s">
        <v>296</v>
      </c>
      <c r="AD3885" t="s">
        <v>3024</v>
      </c>
      <c r="AE3885" t="s">
        <v>3544</v>
      </c>
      <c r="AF3885" t="s">
        <v>3114</v>
      </c>
      <c r="AG3885" t="s">
        <v>4530</v>
      </c>
      <c r="AH3885" t="s">
        <v>3495</v>
      </c>
      <c r="AI3885" t="s">
        <v>16801</v>
      </c>
      <c r="AJ3885" t="s">
        <v>15000</v>
      </c>
      <c r="AK3885" t="s">
        <v>31080</v>
      </c>
      <c r="AL3885">
        <v>1.91</v>
      </c>
      <c r="AM3885">
        <v>1.3</v>
      </c>
      <c r="AN3885">
        <v>0.49</v>
      </c>
      <c r="AO3885" t="s">
        <v>8434</v>
      </c>
      <c r="AP3885" t="s">
        <v>1215</v>
      </c>
      <c r="AQ3885" t="s">
        <v>3520</v>
      </c>
      <c r="AR3885" t="s">
        <v>2572</v>
      </c>
      <c r="AS3885" t="s">
        <v>714</v>
      </c>
      <c r="AT3885" t="s">
        <v>2899</v>
      </c>
      <c r="AU3885" t="s">
        <v>18188</v>
      </c>
      <c r="AV3885" t="s">
        <v>16239</v>
      </c>
      <c r="AW3885" t="s">
        <v>8294</v>
      </c>
      <c r="AX3885" t="s">
        <v>3507</v>
      </c>
      <c r="AY3885" t="s">
        <v>17896</v>
      </c>
      <c r="AZ3885" t="s">
        <v>3507</v>
      </c>
      <c r="BA3885">
        <v>2.33</v>
      </c>
      <c r="BB3885">
        <v>557.41</v>
      </c>
      <c r="BC3885">
        <v>0.82</v>
      </c>
      <c r="BD3885">
        <v>33.950000000000003</v>
      </c>
      <c r="BE3885">
        <v>35.090000000000003</v>
      </c>
      <c r="BF3885">
        <v>34.130000000000003</v>
      </c>
      <c r="BG3885" t="s">
        <v>31081</v>
      </c>
      <c r="BH3885" t="s">
        <v>17896</v>
      </c>
      <c r="BI3885" t="s">
        <v>31082</v>
      </c>
      <c r="BJ3885" t="s">
        <v>101</v>
      </c>
      <c r="BK3885" t="s">
        <v>4478</v>
      </c>
      <c r="BL3885" t="s">
        <v>14901</v>
      </c>
      <c r="BM3885" t="s">
        <v>15230</v>
      </c>
      <c r="BN3885" t="s">
        <v>27621</v>
      </c>
    </row>
    <row r="3886" spans="1:66" x14ac:dyDescent="0.25">
      <c r="A3886" t="str">
        <f>HYPERLINK("https://elite.finviz.com/quote.ashx?t=CFND&amp;ty=c&amp;p=d&amp;b=1", "CFND")</f>
        <v>CFND</v>
      </c>
      <c r="B3886">
        <v>4</v>
      </c>
      <c r="C3886">
        <v>105.92</v>
      </c>
      <c r="D3886">
        <v>44.83</v>
      </c>
      <c r="E3886" t="s">
        <v>31083</v>
      </c>
      <c r="F3886" t="s">
        <v>107</v>
      </c>
      <c r="G3886" t="s">
        <v>550</v>
      </c>
      <c r="H3886" t="s">
        <v>2597</v>
      </c>
      <c r="I3886" t="s">
        <v>70</v>
      </c>
      <c r="J3886" t="s">
        <v>71</v>
      </c>
      <c r="L3886">
        <v>8.3800000000000008</v>
      </c>
      <c r="M3886" t="s">
        <v>3463</v>
      </c>
      <c r="N3886">
        <v>1178</v>
      </c>
      <c r="AR3886" t="s">
        <v>4945</v>
      </c>
      <c r="AS3886" t="s">
        <v>2494</v>
      </c>
      <c r="AT3886" t="s">
        <v>430</v>
      </c>
      <c r="AU3886" t="s">
        <v>4707</v>
      </c>
      <c r="AV3886" t="s">
        <v>4707</v>
      </c>
      <c r="AW3886" t="s">
        <v>1446</v>
      </c>
      <c r="AX3886" t="s">
        <v>6315</v>
      </c>
      <c r="AY3886" t="s">
        <v>1446</v>
      </c>
      <c r="AZ3886" t="s">
        <v>6315</v>
      </c>
      <c r="BB3886">
        <v>131.63999999999999</v>
      </c>
      <c r="BC3886">
        <v>0.03</v>
      </c>
      <c r="BD3886">
        <v>8.33</v>
      </c>
      <c r="BE3886">
        <v>8.35</v>
      </c>
      <c r="BF3886">
        <v>8.23</v>
      </c>
      <c r="BG3886" t="s">
        <v>31084</v>
      </c>
      <c r="BH3886" t="s">
        <v>1446</v>
      </c>
      <c r="BI3886" t="s">
        <v>6315</v>
      </c>
      <c r="BJ3886" t="s">
        <v>101</v>
      </c>
      <c r="BN3886" t="s">
        <v>27621</v>
      </c>
    </row>
    <row r="3887" spans="1:66" x14ac:dyDescent="0.25">
      <c r="A3887" t="str">
        <f>HYPERLINK("https://elite.finviz.com/quote.ashx?t=MDBH&amp;ty=c&amp;p=d&amp;b=1", "MDBH")</f>
        <v>MDBH</v>
      </c>
      <c r="B3887">
        <v>4</v>
      </c>
      <c r="C3887">
        <v>105.92</v>
      </c>
      <c r="D3887">
        <v>44.85</v>
      </c>
      <c r="E3887" t="s">
        <v>31085</v>
      </c>
      <c r="F3887" t="s">
        <v>107</v>
      </c>
      <c r="G3887" t="s">
        <v>550</v>
      </c>
      <c r="H3887" t="s">
        <v>551</v>
      </c>
      <c r="I3887" t="s">
        <v>70</v>
      </c>
      <c r="J3887" t="s">
        <v>321</v>
      </c>
      <c r="K3887">
        <v>34.83</v>
      </c>
      <c r="L3887">
        <v>3.5</v>
      </c>
      <c r="M3887" t="s">
        <v>164</v>
      </c>
      <c r="N3887">
        <v>4144</v>
      </c>
      <c r="O3887">
        <v>4.8899999999999997</v>
      </c>
      <c r="R3887">
        <v>8.84</v>
      </c>
      <c r="S3887">
        <v>0.56000000000000005</v>
      </c>
      <c r="Z3887" t="s">
        <v>164</v>
      </c>
      <c r="AA3887">
        <v>0.72</v>
      </c>
      <c r="AE3887" t="s">
        <v>31086</v>
      </c>
      <c r="AF3887" t="s">
        <v>2431</v>
      </c>
      <c r="AG3887" t="s">
        <v>3645</v>
      </c>
      <c r="AH3887" t="s">
        <v>31087</v>
      </c>
      <c r="AJ3887" t="s">
        <v>8228</v>
      </c>
      <c r="AK3887" t="s">
        <v>2609</v>
      </c>
      <c r="AL3887">
        <v>11.44</v>
      </c>
      <c r="AM3887">
        <v>11.44</v>
      </c>
      <c r="AN3887">
        <v>0.01</v>
      </c>
      <c r="AP3887" t="s">
        <v>31088</v>
      </c>
      <c r="AQ3887" t="s">
        <v>31089</v>
      </c>
      <c r="AR3887" t="s">
        <v>8966</v>
      </c>
      <c r="AS3887" t="s">
        <v>2744</v>
      </c>
      <c r="AT3887" t="s">
        <v>81</v>
      </c>
      <c r="AU3887" t="s">
        <v>9018</v>
      </c>
      <c r="AV3887" t="s">
        <v>31090</v>
      </c>
      <c r="AW3887" t="s">
        <v>25102</v>
      </c>
      <c r="AX3887" t="s">
        <v>10073</v>
      </c>
      <c r="AY3887" t="s">
        <v>8846</v>
      </c>
      <c r="AZ3887" t="s">
        <v>10073</v>
      </c>
      <c r="BB3887">
        <v>8.52</v>
      </c>
      <c r="BC3887">
        <v>1.73</v>
      </c>
      <c r="BD3887">
        <v>3.5</v>
      </c>
      <c r="BE3887">
        <v>3.59</v>
      </c>
      <c r="BF3887">
        <v>3.48</v>
      </c>
      <c r="BG3887" t="s">
        <v>31091</v>
      </c>
      <c r="BH3887" t="s">
        <v>17805</v>
      </c>
      <c r="BI3887" t="s">
        <v>10073</v>
      </c>
      <c r="BJ3887" t="s">
        <v>101</v>
      </c>
      <c r="BK3887" t="s">
        <v>16276</v>
      </c>
      <c r="BL3887" t="s">
        <v>19942</v>
      </c>
      <c r="BM3887" t="s">
        <v>31092</v>
      </c>
      <c r="BN3887" t="s">
        <v>27621</v>
      </c>
    </row>
    <row r="3888" spans="1:66" x14ac:dyDescent="0.25">
      <c r="A3888" t="str">
        <f>HYPERLINK("https://elite.finviz.com/quote.ashx?t=RAND&amp;ty=c&amp;p=d&amp;b=1", "RAND")</f>
        <v>RAND</v>
      </c>
      <c r="B3888">
        <v>4</v>
      </c>
      <c r="C3888">
        <v>105.92</v>
      </c>
      <c r="D3888">
        <v>44.88</v>
      </c>
      <c r="E3888" t="s">
        <v>31093</v>
      </c>
      <c r="F3888" t="s">
        <v>107</v>
      </c>
      <c r="G3888" t="s">
        <v>550</v>
      </c>
      <c r="H3888" t="s">
        <v>2597</v>
      </c>
      <c r="I3888" t="s">
        <v>70</v>
      </c>
      <c r="J3888" t="s">
        <v>321</v>
      </c>
      <c r="K3888">
        <v>43.39</v>
      </c>
      <c r="L3888">
        <v>14.89</v>
      </c>
      <c r="M3888" t="s">
        <v>4552</v>
      </c>
      <c r="N3888">
        <v>2719</v>
      </c>
      <c r="R3888">
        <v>5.45</v>
      </c>
      <c r="S3888">
        <v>0.78</v>
      </c>
      <c r="T3888" t="s">
        <v>6304</v>
      </c>
      <c r="U3888">
        <v>5.07</v>
      </c>
      <c r="V3888" t="s">
        <v>4882</v>
      </c>
      <c r="W3888" t="s">
        <v>31094</v>
      </c>
      <c r="X3888" t="s">
        <v>31095</v>
      </c>
      <c r="Z3888" t="s">
        <v>31096</v>
      </c>
      <c r="AA3888">
        <v>-2.48</v>
      </c>
      <c r="AH3888" t="s">
        <v>1427</v>
      </c>
      <c r="AJ3888" t="s">
        <v>4507</v>
      </c>
      <c r="AK3888" t="s">
        <v>3832</v>
      </c>
      <c r="AR3888" t="s">
        <v>295</v>
      </c>
      <c r="AS3888" t="s">
        <v>4795</v>
      </c>
      <c r="AT3888" t="s">
        <v>1554</v>
      </c>
      <c r="AU3888" t="s">
        <v>9635</v>
      </c>
      <c r="AV3888" t="s">
        <v>16945</v>
      </c>
      <c r="AW3888" t="s">
        <v>24173</v>
      </c>
      <c r="AX3888" t="s">
        <v>3507</v>
      </c>
      <c r="AY3888" t="s">
        <v>27320</v>
      </c>
      <c r="AZ3888" t="s">
        <v>3507</v>
      </c>
      <c r="BB3888">
        <v>5.3</v>
      </c>
      <c r="BC3888">
        <v>1.82</v>
      </c>
      <c r="BD3888">
        <v>14.71</v>
      </c>
      <c r="BE3888">
        <v>15.32</v>
      </c>
      <c r="BF3888">
        <v>15.31</v>
      </c>
      <c r="BG3888" t="s">
        <v>31097</v>
      </c>
      <c r="BH3888" t="s">
        <v>10368</v>
      </c>
      <c r="BI3888" t="s">
        <v>31098</v>
      </c>
      <c r="BJ3888" t="s">
        <v>101</v>
      </c>
      <c r="BK3888" t="s">
        <v>944</v>
      </c>
      <c r="BL3888" t="s">
        <v>22918</v>
      </c>
      <c r="BM3888" t="s">
        <v>18364</v>
      </c>
      <c r="BN3888" t="s">
        <v>27621</v>
      </c>
    </row>
    <row r="3889" spans="1:66" x14ac:dyDescent="0.25">
      <c r="A3889" t="str">
        <f>HYPERLINK("https://elite.finviz.com/quote.ashx?t=IBTA&amp;ty=c&amp;p=d&amp;b=1", "IBTA")</f>
        <v>IBTA</v>
      </c>
      <c r="B3889">
        <v>4</v>
      </c>
      <c r="C3889">
        <v>105.92</v>
      </c>
      <c r="D3889">
        <v>44.91</v>
      </c>
      <c r="E3889" t="s">
        <v>31099</v>
      </c>
      <c r="F3889" t="s">
        <v>67</v>
      </c>
      <c r="G3889" t="s">
        <v>108</v>
      </c>
      <c r="H3889" t="s">
        <v>136</v>
      </c>
      <c r="I3889" t="s">
        <v>70</v>
      </c>
      <c r="J3889" t="s">
        <v>71</v>
      </c>
      <c r="K3889">
        <v>757.86</v>
      </c>
      <c r="L3889">
        <v>26.69</v>
      </c>
      <c r="M3889" t="s">
        <v>2826</v>
      </c>
      <c r="N3889">
        <v>61248</v>
      </c>
      <c r="O3889">
        <v>9.11</v>
      </c>
      <c r="R3889">
        <v>2.06</v>
      </c>
      <c r="S3889">
        <v>2.14</v>
      </c>
      <c r="Z3889" t="s">
        <v>164</v>
      </c>
      <c r="AA3889">
        <v>2.93</v>
      </c>
      <c r="AE3889" t="s">
        <v>4093</v>
      </c>
      <c r="AF3889" t="s">
        <v>15533</v>
      </c>
      <c r="AH3889" t="s">
        <v>3753</v>
      </c>
      <c r="AI3889" t="s">
        <v>31100</v>
      </c>
      <c r="AJ3889" t="s">
        <v>4277</v>
      </c>
      <c r="AK3889" t="s">
        <v>24734</v>
      </c>
      <c r="AL3889">
        <v>2.37</v>
      </c>
      <c r="AM3889">
        <v>2.37</v>
      </c>
      <c r="AN3889">
        <v>7.0000000000000007E-2</v>
      </c>
      <c r="AO3889" t="s">
        <v>5791</v>
      </c>
      <c r="AP3889" t="s">
        <v>660</v>
      </c>
      <c r="AQ3889" t="s">
        <v>5690</v>
      </c>
      <c r="AR3889" t="s">
        <v>3670</v>
      </c>
      <c r="AS3889" t="s">
        <v>4299</v>
      </c>
      <c r="AT3889" t="s">
        <v>2760</v>
      </c>
      <c r="AU3889" t="s">
        <v>23553</v>
      </c>
      <c r="AV3889" t="s">
        <v>30763</v>
      </c>
      <c r="AW3889" t="s">
        <v>11588</v>
      </c>
      <c r="AX3889" t="s">
        <v>1085</v>
      </c>
      <c r="AY3889" t="s">
        <v>10368</v>
      </c>
      <c r="AZ3889" t="s">
        <v>1085</v>
      </c>
      <c r="BA3889">
        <v>2.89</v>
      </c>
      <c r="BB3889">
        <v>545.78</v>
      </c>
      <c r="BC3889">
        <v>0.4</v>
      </c>
      <c r="BD3889">
        <v>27.05</v>
      </c>
      <c r="BE3889">
        <v>27.32</v>
      </c>
      <c r="BF3889">
        <v>26.6</v>
      </c>
      <c r="BG3889" t="s">
        <v>31101</v>
      </c>
      <c r="BH3889" t="s">
        <v>31102</v>
      </c>
      <c r="BI3889" t="s">
        <v>1085</v>
      </c>
      <c r="BJ3889" t="s">
        <v>101</v>
      </c>
      <c r="BK3889" t="s">
        <v>9269</v>
      </c>
      <c r="BL3889" t="s">
        <v>31103</v>
      </c>
      <c r="BM3889" t="s">
        <v>31104</v>
      </c>
      <c r="BN3889" t="s">
        <v>27621</v>
      </c>
    </row>
    <row r="3890" spans="1:66" x14ac:dyDescent="0.25">
      <c r="A3890" t="str">
        <f>HYPERLINK("https://elite.finviz.com/quote.ashx?t=ALZN&amp;ty=c&amp;p=d&amp;b=1", "ALZN")</f>
        <v>ALZN</v>
      </c>
      <c r="B3890">
        <v>4</v>
      </c>
      <c r="C3890">
        <v>105.92</v>
      </c>
      <c r="D3890">
        <v>44.91</v>
      </c>
      <c r="E3890" t="s">
        <v>31105</v>
      </c>
      <c r="F3890" t="s">
        <v>107</v>
      </c>
      <c r="G3890" t="s">
        <v>428</v>
      </c>
      <c r="H3890" t="s">
        <v>429</v>
      </c>
      <c r="I3890" t="s">
        <v>70</v>
      </c>
      <c r="J3890" t="s">
        <v>321</v>
      </c>
      <c r="K3890">
        <v>7.39</v>
      </c>
      <c r="L3890">
        <v>2.36</v>
      </c>
      <c r="M3890" t="s">
        <v>2468</v>
      </c>
      <c r="N3890">
        <v>28653</v>
      </c>
      <c r="S3890">
        <v>1.38</v>
      </c>
      <c r="AA3890">
        <v>-8.67</v>
      </c>
      <c r="AB3890" t="s">
        <v>31106</v>
      </c>
      <c r="AC3890" t="s">
        <v>21821</v>
      </c>
      <c r="AD3890" t="s">
        <v>10344</v>
      </c>
      <c r="AI3890" t="s">
        <v>920</v>
      </c>
      <c r="AJ3890" t="s">
        <v>25212</v>
      </c>
      <c r="AK3890" t="s">
        <v>580</v>
      </c>
      <c r="AL3890">
        <v>6.03</v>
      </c>
      <c r="AM3890">
        <v>6.03</v>
      </c>
      <c r="AN3890">
        <v>0</v>
      </c>
      <c r="AR3890" t="s">
        <v>5027</v>
      </c>
      <c r="AS3890" t="s">
        <v>4697</v>
      </c>
      <c r="AT3890" t="s">
        <v>5159</v>
      </c>
      <c r="AU3890" t="s">
        <v>4540</v>
      </c>
      <c r="AV3890" t="s">
        <v>31107</v>
      </c>
      <c r="AW3890" t="s">
        <v>8695</v>
      </c>
      <c r="AX3890" t="s">
        <v>176</v>
      </c>
      <c r="AY3890" t="s">
        <v>31108</v>
      </c>
      <c r="AZ3890" t="s">
        <v>176</v>
      </c>
      <c r="BA3890">
        <v>2</v>
      </c>
      <c r="BB3890">
        <v>155.33000000000001</v>
      </c>
      <c r="BC3890">
        <v>0.66</v>
      </c>
      <c r="BD3890">
        <v>2.36</v>
      </c>
      <c r="BE3890">
        <v>2.37</v>
      </c>
      <c r="BF3890">
        <v>2.35</v>
      </c>
      <c r="BG3890" t="s">
        <v>31109</v>
      </c>
      <c r="BH3890" t="s">
        <v>3320</v>
      </c>
      <c r="BI3890" t="s">
        <v>176</v>
      </c>
      <c r="BJ3890" t="s">
        <v>101</v>
      </c>
      <c r="BK3890" t="s">
        <v>27528</v>
      </c>
      <c r="BL3890" t="s">
        <v>31110</v>
      </c>
      <c r="BM3890" t="s">
        <v>24254</v>
      </c>
      <c r="BN3890" t="s">
        <v>27621</v>
      </c>
    </row>
    <row r="3891" spans="1:66" x14ac:dyDescent="0.25">
      <c r="A3891" t="str">
        <f>HYPERLINK("https://elite.finviz.com/quote.ashx?t=CACI&amp;ty=c&amp;p=d&amp;b=1", "CACI")</f>
        <v>CACI</v>
      </c>
      <c r="B3891">
        <v>4</v>
      </c>
      <c r="C3891">
        <v>105.92</v>
      </c>
      <c r="D3891">
        <v>44.92</v>
      </c>
      <c r="E3891" t="s">
        <v>31111</v>
      </c>
      <c r="F3891" t="s">
        <v>107</v>
      </c>
      <c r="G3891" t="s">
        <v>108</v>
      </c>
      <c r="H3891" t="s">
        <v>1322</v>
      </c>
      <c r="I3891" t="s">
        <v>70</v>
      </c>
      <c r="J3891" t="s">
        <v>71</v>
      </c>
      <c r="K3891">
        <v>10532.11</v>
      </c>
      <c r="L3891">
        <v>478.87</v>
      </c>
      <c r="M3891" t="s">
        <v>2418</v>
      </c>
      <c r="N3891">
        <v>36194</v>
      </c>
      <c r="O3891">
        <v>21.43</v>
      </c>
      <c r="P3891">
        <v>15.66</v>
      </c>
      <c r="Q3891">
        <v>2.1800000000000002</v>
      </c>
      <c r="R3891">
        <v>1.22</v>
      </c>
      <c r="S3891">
        <v>2.7</v>
      </c>
      <c r="Z3891" t="s">
        <v>164</v>
      </c>
      <c r="AA3891">
        <v>22.35</v>
      </c>
      <c r="AB3891" t="s">
        <v>13468</v>
      </c>
      <c r="AC3891" t="s">
        <v>9196</v>
      </c>
      <c r="AD3891" t="s">
        <v>2877</v>
      </c>
      <c r="AE3891" t="s">
        <v>1609</v>
      </c>
      <c r="AF3891" t="s">
        <v>5128</v>
      </c>
      <c r="AG3891" t="s">
        <v>4815</v>
      </c>
      <c r="AH3891" t="s">
        <v>1470</v>
      </c>
      <c r="AI3891" t="s">
        <v>9474</v>
      </c>
      <c r="AJ3891" t="s">
        <v>17477</v>
      </c>
      <c r="AK3891" t="s">
        <v>16506</v>
      </c>
      <c r="AL3891">
        <v>1.47</v>
      </c>
      <c r="AM3891">
        <v>1.37</v>
      </c>
      <c r="AN3891">
        <v>0.86</v>
      </c>
      <c r="AO3891" t="s">
        <v>4803</v>
      </c>
      <c r="AP3891" t="s">
        <v>716</v>
      </c>
      <c r="AQ3891" t="s">
        <v>2932</v>
      </c>
      <c r="AR3891" t="s">
        <v>2941</v>
      </c>
      <c r="AS3891" t="s">
        <v>2619</v>
      </c>
      <c r="AT3891" t="s">
        <v>525</v>
      </c>
      <c r="AU3891" t="s">
        <v>1226</v>
      </c>
      <c r="AV3891" t="s">
        <v>5404</v>
      </c>
      <c r="AW3891" t="s">
        <v>2354</v>
      </c>
      <c r="AX3891" t="s">
        <v>464</v>
      </c>
      <c r="AY3891" t="s">
        <v>14006</v>
      </c>
      <c r="AZ3891" t="s">
        <v>29037</v>
      </c>
      <c r="BA3891">
        <v>1.4</v>
      </c>
      <c r="BB3891">
        <v>237.83</v>
      </c>
      <c r="BC3891">
        <v>0.54</v>
      </c>
      <c r="BD3891">
        <v>476.24</v>
      </c>
      <c r="BE3891">
        <v>485.11</v>
      </c>
      <c r="BF3891">
        <v>476.24</v>
      </c>
      <c r="BG3891" t="s">
        <v>31112</v>
      </c>
      <c r="BH3891" t="s">
        <v>14006</v>
      </c>
      <c r="BI3891" t="s">
        <v>31113</v>
      </c>
      <c r="BJ3891" t="s">
        <v>101</v>
      </c>
      <c r="BK3891" t="s">
        <v>3035</v>
      </c>
      <c r="BL3891" t="s">
        <v>3683</v>
      </c>
      <c r="BM3891" t="s">
        <v>3485</v>
      </c>
      <c r="BN3891" t="s">
        <v>27621</v>
      </c>
    </row>
    <row r="3892" spans="1:66" x14ac:dyDescent="0.25">
      <c r="A3892" t="str">
        <f>HYPERLINK("https://elite.finviz.com/quote.ashx?t=PCB&amp;ty=c&amp;p=d&amp;b=1", "PCB")</f>
        <v>PCB</v>
      </c>
      <c r="B3892">
        <v>4</v>
      </c>
      <c r="C3892">
        <v>105.92</v>
      </c>
      <c r="D3892">
        <v>44.94</v>
      </c>
      <c r="E3892" t="s">
        <v>31114</v>
      </c>
      <c r="F3892" t="s">
        <v>67</v>
      </c>
      <c r="G3892" t="s">
        <v>550</v>
      </c>
      <c r="H3892" t="s">
        <v>697</v>
      </c>
      <c r="I3892" t="s">
        <v>70</v>
      </c>
      <c r="J3892" t="s">
        <v>321</v>
      </c>
      <c r="K3892">
        <v>303.49</v>
      </c>
      <c r="L3892">
        <v>21.15</v>
      </c>
      <c r="M3892" t="s">
        <v>4902</v>
      </c>
      <c r="N3892">
        <v>6210</v>
      </c>
      <c r="O3892">
        <v>9.91</v>
      </c>
      <c r="P3892">
        <v>8.1300000000000008</v>
      </c>
      <c r="R3892">
        <v>1.52</v>
      </c>
      <c r="S3892">
        <v>0.99</v>
      </c>
      <c r="T3892" t="s">
        <v>2493</v>
      </c>
      <c r="U3892">
        <v>0.78</v>
      </c>
      <c r="V3892" t="s">
        <v>1762</v>
      </c>
      <c r="W3892" t="s">
        <v>3520</v>
      </c>
      <c r="X3892" t="s">
        <v>7217</v>
      </c>
      <c r="Y3892" t="s">
        <v>1456</v>
      </c>
      <c r="Z3892" t="s">
        <v>13270</v>
      </c>
      <c r="AA3892">
        <v>2.13</v>
      </c>
      <c r="AB3892" t="s">
        <v>20527</v>
      </c>
      <c r="AC3892" t="s">
        <v>911</v>
      </c>
      <c r="AE3892" t="s">
        <v>8372</v>
      </c>
      <c r="AF3892" t="s">
        <v>22146</v>
      </c>
      <c r="AG3892" t="s">
        <v>9097</v>
      </c>
      <c r="AH3892" t="s">
        <v>6085</v>
      </c>
      <c r="AI3892" t="s">
        <v>8441</v>
      </c>
      <c r="AJ3892" t="s">
        <v>4881</v>
      </c>
      <c r="AK3892" t="s">
        <v>20400</v>
      </c>
      <c r="AL3892">
        <v>0.1</v>
      </c>
      <c r="AN3892">
        <v>0.17</v>
      </c>
      <c r="AP3892" t="s">
        <v>10317</v>
      </c>
      <c r="AQ3892" t="s">
        <v>10806</v>
      </c>
      <c r="AR3892" t="s">
        <v>6151</v>
      </c>
      <c r="AS3892" t="s">
        <v>3494</v>
      </c>
      <c r="AT3892" t="s">
        <v>7808</v>
      </c>
      <c r="AU3892" t="s">
        <v>525</v>
      </c>
      <c r="AV3892" t="s">
        <v>2385</v>
      </c>
      <c r="AW3892" t="s">
        <v>2934</v>
      </c>
      <c r="AX3892" t="s">
        <v>1474</v>
      </c>
      <c r="AY3892" t="s">
        <v>2934</v>
      </c>
      <c r="AZ3892" t="s">
        <v>12218</v>
      </c>
      <c r="BA3892">
        <v>3</v>
      </c>
      <c r="BB3892">
        <v>25.91</v>
      </c>
      <c r="BC3892">
        <v>0.85</v>
      </c>
      <c r="BD3892">
        <v>20.92</v>
      </c>
      <c r="BE3892">
        <v>21.2</v>
      </c>
      <c r="BF3892">
        <v>20.99</v>
      </c>
      <c r="BG3892" t="s">
        <v>31115</v>
      </c>
      <c r="BH3892" t="s">
        <v>31116</v>
      </c>
      <c r="BI3892" t="s">
        <v>31117</v>
      </c>
      <c r="BJ3892" t="s">
        <v>101</v>
      </c>
      <c r="BK3892" t="s">
        <v>1837</v>
      </c>
      <c r="BL3892" t="s">
        <v>2656</v>
      </c>
      <c r="BM3892" t="s">
        <v>8916</v>
      </c>
      <c r="BN3892" t="s">
        <v>27621</v>
      </c>
    </row>
    <row r="3893" spans="1:66" x14ac:dyDescent="0.25">
      <c r="A3893" t="str">
        <f>HYPERLINK("https://elite.finviz.com/quote.ashx?t=DPZ&amp;ty=c&amp;p=d&amp;b=1", "DPZ")</f>
        <v>DPZ</v>
      </c>
      <c r="B3893">
        <v>4</v>
      </c>
      <c r="C3893">
        <v>105.92</v>
      </c>
      <c r="D3893">
        <v>44.95</v>
      </c>
      <c r="E3893" t="s">
        <v>31118</v>
      </c>
      <c r="F3893" t="s">
        <v>195</v>
      </c>
      <c r="G3893" t="s">
        <v>813</v>
      </c>
      <c r="H3893" t="s">
        <v>2285</v>
      </c>
      <c r="I3893" t="s">
        <v>70</v>
      </c>
      <c r="J3893" t="s">
        <v>321</v>
      </c>
      <c r="K3893">
        <v>14830.29</v>
      </c>
      <c r="L3893">
        <v>436.8</v>
      </c>
      <c r="M3893" t="s">
        <v>4677</v>
      </c>
      <c r="N3893">
        <v>322950</v>
      </c>
      <c r="O3893">
        <v>25.36</v>
      </c>
      <c r="P3893">
        <v>22.4</v>
      </c>
      <c r="Q3893">
        <v>2.96</v>
      </c>
      <c r="R3893">
        <v>3.1</v>
      </c>
      <c r="T3893" t="s">
        <v>2449</v>
      </c>
      <c r="U3893">
        <v>6.73</v>
      </c>
      <c r="V3893" t="s">
        <v>3833</v>
      </c>
      <c r="W3893" t="s">
        <v>5727</v>
      </c>
      <c r="X3893" t="s">
        <v>8302</v>
      </c>
      <c r="Y3893" t="s">
        <v>555</v>
      </c>
      <c r="Z3893" t="s">
        <v>256</v>
      </c>
      <c r="AA3893">
        <v>17.22</v>
      </c>
      <c r="AB3893" t="s">
        <v>5999</v>
      </c>
      <c r="AC3893" t="s">
        <v>7898</v>
      </c>
      <c r="AD3893" t="s">
        <v>2053</v>
      </c>
      <c r="AE3893" t="s">
        <v>891</v>
      </c>
      <c r="AF3893" t="s">
        <v>2742</v>
      </c>
      <c r="AG3893" t="s">
        <v>4957</v>
      </c>
      <c r="AH3893" t="s">
        <v>3443</v>
      </c>
      <c r="AI3893" t="s">
        <v>17548</v>
      </c>
      <c r="AJ3893" t="s">
        <v>575</v>
      </c>
      <c r="AK3893" t="s">
        <v>31119</v>
      </c>
      <c r="AL3893">
        <v>0.6</v>
      </c>
      <c r="AM3893">
        <v>0.56000000000000005</v>
      </c>
      <c r="AO3893" t="s">
        <v>7908</v>
      </c>
      <c r="AP3893" t="s">
        <v>9006</v>
      </c>
      <c r="AQ3893" t="s">
        <v>302</v>
      </c>
      <c r="AR3893" t="s">
        <v>907</v>
      </c>
      <c r="AS3893" t="s">
        <v>2087</v>
      </c>
      <c r="AT3893" t="s">
        <v>4155</v>
      </c>
      <c r="AU3893" t="s">
        <v>11513</v>
      </c>
      <c r="AV3893" t="s">
        <v>3622</v>
      </c>
      <c r="AW3893" t="s">
        <v>8311</v>
      </c>
      <c r="AX3893" t="s">
        <v>4125</v>
      </c>
      <c r="AY3893" t="s">
        <v>4363</v>
      </c>
      <c r="AZ3893" t="s">
        <v>6448</v>
      </c>
      <c r="BA3893">
        <v>2.11</v>
      </c>
      <c r="BB3893">
        <v>675.08</v>
      </c>
      <c r="BC3893">
        <v>1.69</v>
      </c>
      <c r="BD3893">
        <v>422.75</v>
      </c>
      <c r="BE3893">
        <v>438.2</v>
      </c>
      <c r="BF3893">
        <v>429.39</v>
      </c>
      <c r="BG3893" t="s">
        <v>31120</v>
      </c>
      <c r="BH3893" t="s">
        <v>25196</v>
      </c>
      <c r="BI3893" t="s">
        <v>31121</v>
      </c>
      <c r="BJ3893" t="s">
        <v>101</v>
      </c>
      <c r="BK3893" t="s">
        <v>9475</v>
      </c>
      <c r="BL3893" t="s">
        <v>5506</v>
      </c>
      <c r="BM3893" t="s">
        <v>92</v>
      </c>
      <c r="BN3893" t="s">
        <v>27621</v>
      </c>
    </row>
    <row r="3894" spans="1:66" x14ac:dyDescent="0.25">
      <c r="A3894" t="str">
        <f>HYPERLINK("https://elite.finviz.com/quote.ashx?t=SPWH&amp;ty=c&amp;p=d&amp;b=1", "SPWH")</f>
        <v>SPWH</v>
      </c>
      <c r="B3894">
        <v>4</v>
      </c>
      <c r="C3894">
        <v>105.92</v>
      </c>
      <c r="D3894">
        <v>44.95</v>
      </c>
      <c r="E3894" t="s">
        <v>31122</v>
      </c>
      <c r="F3894" t="s">
        <v>107</v>
      </c>
      <c r="G3894" t="s">
        <v>813</v>
      </c>
      <c r="H3894" t="s">
        <v>2262</v>
      </c>
      <c r="I3894" t="s">
        <v>70</v>
      </c>
      <c r="J3894" t="s">
        <v>321</v>
      </c>
      <c r="K3894">
        <v>112.02</v>
      </c>
      <c r="L3894">
        <v>2.91</v>
      </c>
      <c r="M3894" t="s">
        <v>4879</v>
      </c>
      <c r="N3894">
        <v>41016</v>
      </c>
      <c r="R3894">
        <v>0.09</v>
      </c>
      <c r="S3894">
        <v>0.54</v>
      </c>
      <c r="AA3894">
        <v>-0.98</v>
      </c>
      <c r="AE3894" t="s">
        <v>7742</v>
      </c>
      <c r="AF3894" t="s">
        <v>11592</v>
      </c>
      <c r="AG3894" t="s">
        <v>2777</v>
      </c>
      <c r="AH3894" t="s">
        <v>2201</v>
      </c>
      <c r="AI3894" t="s">
        <v>1779</v>
      </c>
      <c r="AJ3894" t="s">
        <v>3520</v>
      </c>
      <c r="AK3894" t="s">
        <v>31123</v>
      </c>
      <c r="AL3894">
        <v>1.19</v>
      </c>
      <c r="AM3894">
        <v>0.06</v>
      </c>
      <c r="AN3894">
        <v>2.75</v>
      </c>
      <c r="AO3894" t="s">
        <v>12978</v>
      </c>
      <c r="AP3894" t="s">
        <v>4436</v>
      </c>
      <c r="AQ3894" t="s">
        <v>7884</v>
      </c>
      <c r="AR3894" t="s">
        <v>1452</v>
      </c>
      <c r="AS3894" t="s">
        <v>296</v>
      </c>
      <c r="AT3894" t="s">
        <v>10958</v>
      </c>
      <c r="AU3894" t="s">
        <v>19459</v>
      </c>
      <c r="AV3894" t="s">
        <v>2485</v>
      </c>
      <c r="AW3894" t="s">
        <v>19691</v>
      </c>
      <c r="AX3894" t="s">
        <v>7068</v>
      </c>
      <c r="AY3894" t="s">
        <v>31124</v>
      </c>
      <c r="AZ3894" t="s">
        <v>31125</v>
      </c>
      <c r="BA3894">
        <v>1.4</v>
      </c>
      <c r="BB3894">
        <v>460.52</v>
      </c>
      <c r="BC3894">
        <v>0.31</v>
      </c>
      <c r="BD3894">
        <v>2.95</v>
      </c>
      <c r="BE3894">
        <v>2.99</v>
      </c>
      <c r="BF3894">
        <v>2.9</v>
      </c>
      <c r="BG3894" t="s">
        <v>31126</v>
      </c>
      <c r="BH3894" t="s">
        <v>31127</v>
      </c>
      <c r="BI3894" t="s">
        <v>31125</v>
      </c>
      <c r="BJ3894" t="s">
        <v>101</v>
      </c>
      <c r="BK3894" t="s">
        <v>21423</v>
      </c>
      <c r="BL3894" t="s">
        <v>31128</v>
      </c>
      <c r="BM3894" t="s">
        <v>1981</v>
      </c>
      <c r="BN3894" t="s">
        <v>27621</v>
      </c>
    </row>
    <row r="3895" spans="1:66" x14ac:dyDescent="0.25">
      <c r="A3895" t="str">
        <f>HYPERLINK("https://elite.finviz.com/quote.ashx?t=CTBI&amp;ty=c&amp;p=d&amp;b=1", "CTBI")</f>
        <v>CTBI</v>
      </c>
      <c r="B3895">
        <v>4</v>
      </c>
      <c r="C3895">
        <v>105.92</v>
      </c>
      <c r="D3895">
        <v>44.97</v>
      </c>
      <c r="E3895" t="s">
        <v>31129</v>
      </c>
      <c r="F3895" t="s">
        <v>67</v>
      </c>
      <c r="G3895" t="s">
        <v>550</v>
      </c>
      <c r="H3895" t="s">
        <v>697</v>
      </c>
      <c r="I3895" t="s">
        <v>70</v>
      </c>
      <c r="J3895" t="s">
        <v>321</v>
      </c>
      <c r="K3895">
        <v>1014.72</v>
      </c>
      <c r="L3895">
        <v>56.03</v>
      </c>
      <c r="M3895" t="s">
        <v>4237</v>
      </c>
      <c r="N3895">
        <v>8006</v>
      </c>
      <c r="O3895">
        <v>11.03</v>
      </c>
      <c r="P3895">
        <v>10.14</v>
      </c>
      <c r="R3895">
        <v>2.6</v>
      </c>
      <c r="S3895">
        <v>1.26</v>
      </c>
      <c r="T3895" t="s">
        <v>6121</v>
      </c>
      <c r="U3895">
        <v>1.94</v>
      </c>
      <c r="V3895" t="s">
        <v>3833</v>
      </c>
      <c r="W3895" t="s">
        <v>4189</v>
      </c>
      <c r="X3895" t="s">
        <v>7210</v>
      </c>
      <c r="Y3895" t="s">
        <v>2235</v>
      </c>
      <c r="Z3895" t="s">
        <v>12926</v>
      </c>
      <c r="AA3895">
        <v>5.08</v>
      </c>
      <c r="AB3895" t="s">
        <v>3466</v>
      </c>
      <c r="AC3895" t="s">
        <v>3545</v>
      </c>
      <c r="AE3895" t="s">
        <v>5839</v>
      </c>
      <c r="AF3895" t="s">
        <v>11856</v>
      </c>
      <c r="AG3895" t="s">
        <v>6981</v>
      </c>
      <c r="AH3895" t="s">
        <v>3064</v>
      </c>
      <c r="AI3895" t="s">
        <v>290</v>
      </c>
      <c r="AJ3895" t="s">
        <v>6182</v>
      </c>
      <c r="AK3895" t="s">
        <v>31130</v>
      </c>
      <c r="AL3895">
        <v>0.13</v>
      </c>
      <c r="AN3895">
        <v>0.38</v>
      </c>
      <c r="AP3895" t="s">
        <v>3260</v>
      </c>
      <c r="AQ3895" t="s">
        <v>4930</v>
      </c>
      <c r="AR3895" t="s">
        <v>2720</v>
      </c>
      <c r="AS3895" t="s">
        <v>908</v>
      </c>
      <c r="AT3895" t="s">
        <v>9498</v>
      </c>
      <c r="AU3895" t="s">
        <v>148</v>
      </c>
      <c r="AV3895" t="s">
        <v>4678</v>
      </c>
      <c r="AW3895" t="s">
        <v>5748</v>
      </c>
      <c r="AX3895" t="s">
        <v>8125</v>
      </c>
      <c r="AY3895" t="s">
        <v>2364</v>
      </c>
      <c r="AZ3895" t="s">
        <v>21488</v>
      </c>
      <c r="BA3895">
        <v>1.33</v>
      </c>
      <c r="BB3895">
        <v>58.43</v>
      </c>
      <c r="BC3895">
        <v>0.49</v>
      </c>
      <c r="BD3895">
        <v>56</v>
      </c>
      <c r="BE3895">
        <v>56.5</v>
      </c>
      <c r="BF3895">
        <v>55.9</v>
      </c>
      <c r="BG3895" t="s">
        <v>31131</v>
      </c>
      <c r="BH3895" t="s">
        <v>2364</v>
      </c>
      <c r="BI3895" t="s">
        <v>31132</v>
      </c>
      <c r="BJ3895" t="s">
        <v>101</v>
      </c>
      <c r="BK3895" t="s">
        <v>1871</v>
      </c>
      <c r="BL3895" t="s">
        <v>2447</v>
      </c>
      <c r="BM3895" t="s">
        <v>8837</v>
      </c>
      <c r="BN3895" t="s">
        <v>27621</v>
      </c>
    </row>
    <row r="3896" spans="1:66" x14ac:dyDescent="0.25">
      <c r="A3896" t="str">
        <f>HYPERLINK("https://elite.finviz.com/quote.ashx?t=GFF&amp;ty=c&amp;p=d&amp;b=1", "GFF")</f>
        <v>GFF</v>
      </c>
      <c r="B3896">
        <v>4</v>
      </c>
      <c r="C3896">
        <v>105.92</v>
      </c>
      <c r="D3896">
        <v>44.98</v>
      </c>
      <c r="E3896" t="s">
        <v>31133</v>
      </c>
      <c r="F3896" t="s">
        <v>67</v>
      </c>
      <c r="G3896" t="s">
        <v>260</v>
      </c>
      <c r="H3896" t="s">
        <v>3225</v>
      </c>
      <c r="I3896" t="s">
        <v>70</v>
      </c>
      <c r="J3896" t="s">
        <v>71</v>
      </c>
      <c r="K3896">
        <v>3498.88</v>
      </c>
      <c r="L3896">
        <v>75.150000000000006</v>
      </c>
      <c r="M3896" t="s">
        <v>7464</v>
      </c>
      <c r="N3896">
        <v>24895</v>
      </c>
      <c r="O3896">
        <v>56.07</v>
      </c>
      <c r="P3896">
        <v>12.03</v>
      </c>
      <c r="Q3896">
        <v>4.57</v>
      </c>
      <c r="R3896">
        <v>1.39</v>
      </c>
      <c r="S3896">
        <v>54.85</v>
      </c>
      <c r="T3896" t="s">
        <v>4801</v>
      </c>
      <c r="U3896">
        <v>0.72</v>
      </c>
      <c r="V3896" t="s">
        <v>4882</v>
      </c>
      <c r="W3896" t="s">
        <v>10378</v>
      </c>
      <c r="X3896" t="s">
        <v>8462</v>
      </c>
      <c r="Y3896" t="s">
        <v>14942</v>
      </c>
      <c r="Z3896" t="s">
        <v>10200</v>
      </c>
      <c r="AA3896">
        <v>1.34</v>
      </c>
      <c r="AB3896" t="s">
        <v>31134</v>
      </c>
      <c r="AC3896" t="s">
        <v>21512</v>
      </c>
      <c r="AD3896" t="s">
        <v>7221</v>
      </c>
      <c r="AE3896" t="s">
        <v>16782</v>
      </c>
      <c r="AF3896" t="s">
        <v>2385</v>
      </c>
      <c r="AG3896" t="s">
        <v>2700</v>
      </c>
      <c r="AH3896" t="s">
        <v>1052</v>
      </c>
      <c r="AI3896" t="s">
        <v>3226</v>
      </c>
      <c r="AJ3896" t="s">
        <v>164</v>
      </c>
      <c r="AK3896" t="s">
        <v>18004</v>
      </c>
      <c r="AL3896">
        <v>2.7</v>
      </c>
      <c r="AM3896">
        <v>1.38</v>
      </c>
      <c r="AN3896">
        <v>25.43</v>
      </c>
      <c r="AO3896" t="s">
        <v>15701</v>
      </c>
      <c r="AP3896" t="s">
        <v>3451</v>
      </c>
      <c r="AQ3896" t="s">
        <v>5780</v>
      </c>
      <c r="AR3896" t="s">
        <v>1439</v>
      </c>
      <c r="AS3896" t="s">
        <v>179</v>
      </c>
      <c r="AT3896" t="s">
        <v>10469</v>
      </c>
      <c r="AU3896" t="s">
        <v>5195</v>
      </c>
      <c r="AV3896" t="s">
        <v>6151</v>
      </c>
      <c r="AW3896" t="s">
        <v>14960</v>
      </c>
      <c r="AX3896" t="s">
        <v>4087</v>
      </c>
      <c r="AY3896" t="s">
        <v>5714</v>
      </c>
      <c r="AZ3896" t="s">
        <v>17808</v>
      </c>
      <c r="BA3896">
        <v>1.1200000000000001</v>
      </c>
      <c r="BB3896">
        <v>391.09</v>
      </c>
      <c r="BC3896">
        <v>0.22</v>
      </c>
      <c r="BD3896">
        <v>74.83</v>
      </c>
      <c r="BE3896">
        <v>75.650000000000006</v>
      </c>
      <c r="BF3896">
        <v>74.819999999999993</v>
      </c>
      <c r="BG3896" t="s">
        <v>31135</v>
      </c>
      <c r="BH3896" t="s">
        <v>5714</v>
      </c>
      <c r="BI3896" t="s">
        <v>31136</v>
      </c>
      <c r="BJ3896" t="s">
        <v>101</v>
      </c>
      <c r="BK3896" t="s">
        <v>5736</v>
      </c>
      <c r="BL3896" t="s">
        <v>5885</v>
      </c>
      <c r="BM3896" t="s">
        <v>2450</v>
      </c>
      <c r="BN3896" t="s">
        <v>27621</v>
      </c>
    </row>
    <row r="3897" spans="1:66" x14ac:dyDescent="0.25">
      <c r="A3897" t="str">
        <f>HYPERLINK("https://elite.finviz.com/quote.ashx?t=KREF&amp;ty=c&amp;p=d&amp;b=1", "KREF")</f>
        <v>KREF</v>
      </c>
      <c r="B3897">
        <v>4</v>
      </c>
      <c r="C3897">
        <v>105.92</v>
      </c>
      <c r="D3897">
        <v>44.99</v>
      </c>
      <c r="E3897" t="s">
        <v>31137</v>
      </c>
      <c r="F3897" t="s">
        <v>67</v>
      </c>
      <c r="G3897" t="s">
        <v>68</v>
      </c>
      <c r="H3897" t="s">
        <v>5566</v>
      </c>
      <c r="I3897" t="s">
        <v>70</v>
      </c>
      <c r="J3897" t="s">
        <v>71</v>
      </c>
      <c r="K3897">
        <v>616.4</v>
      </c>
      <c r="L3897">
        <v>9.35</v>
      </c>
      <c r="M3897" t="s">
        <v>3736</v>
      </c>
      <c r="N3897">
        <v>82412</v>
      </c>
      <c r="P3897">
        <v>11.57</v>
      </c>
      <c r="R3897">
        <v>1.2</v>
      </c>
      <c r="S3897">
        <v>0.68</v>
      </c>
      <c r="T3897" t="s">
        <v>5838</v>
      </c>
      <c r="U3897">
        <v>1</v>
      </c>
      <c r="V3897" t="s">
        <v>198</v>
      </c>
      <c r="W3897" t="s">
        <v>28806</v>
      </c>
      <c r="X3897" t="s">
        <v>12798</v>
      </c>
      <c r="Y3897" t="s">
        <v>9330</v>
      </c>
      <c r="Z3897" t="s">
        <v>31138</v>
      </c>
      <c r="AA3897">
        <v>-0.66</v>
      </c>
      <c r="AB3897" t="s">
        <v>15368</v>
      </c>
      <c r="AC3897" t="s">
        <v>17318</v>
      </c>
      <c r="AE3897" t="s">
        <v>10680</v>
      </c>
      <c r="AF3897" t="s">
        <v>17189</v>
      </c>
      <c r="AG3897" t="s">
        <v>6860</v>
      </c>
      <c r="AH3897" t="s">
        <v>10000</v>
      </c>
      <c r="AI3897" t="s">
        <v>31139</v>
      </c>
      <c r="AJ3897" t="s">
        <v>164</v>
      </c>
      <c r="AK3897" t="s">
        <v>16577</v>
      </c>
      <c r="AL3897">
        <v>7.61</v>
      </c>
      <c r="AM3897">
        <v>1.98</v>
      </c>
      <c r="AN3897">
        <v>4.3600000000000003</v>
      </c>
      <c r="AO3897" t="s">
        <v>31140</v>
      </c>
      <c r="AP3897" t="s">
        <v>3528</v>
      </c>
      <c r="AQ3897" t="s">
        <v>6735</v>
      </c>
      <c r="AR3897" t="s">
        <v>4493</v>
      </c>
      <c r="AS3897" t="s">
        <v>5071</v>
      </c>
      <c r="AT3897" t="s">
        <v>5778</v>
      </c>
      <c r="AU3897" t="s">
        <v>1842</v>
      </c>
      <c r="AV3897" t="s">
        <v>6480</v>
      </c>
      <c r="AW3897" t="s">
        <v>2354</v>
      </c>
      <c r="AX3897" t="s">
        <v>2019</v>
      </c>
      <c r="AY3897" t="s">
        <v>9874</v>
      </c>
      <c r="AZ3897" t="s">
        <v>12293</v>
      </c>
      <c r="BA3897">
        <v>1.4</v>
      </c>
      <c r="BB3897">
        <v>705.76</v>
      </c>
      <c r="BC3897">
        <v>0.41</v>
      </c>
      <c r="BD3897">
        <v>9.32</v>
      </c>
      <c r="BE3897">
        <v>9.43</v>
      </c>
      <c r="BF3897">
        <v>9.32</v>
      </c>
      <c r="BG3897" t="s">
        <v>31141</v>
      </c>
      <c r="BH3897" t="s">
        <v>4973</v>
      </c>
      <c r="BI3897" t="s">
        <v>9633</v>
      </c>
      <c r="BJ3897" t="s">
        <v>101</v>
      </c>
      <c r="BK3897" t="s">
        <v>1934</v>
      </c>
      <c r="BL3897" t="s">
        <v>4894</v>
      </c>
      <c r="BM3897" t="s">
        <v>14535</v>
      </c>
      <c r="BN3897" t="s">
        <v>27621</v>
      </c>
    </row>
    <row r="3898" spans="1:66" x14ac:dyDescent="0.25">
      <c r="A3898" t="str">
        <f>HYPERLINK("https://elite.finviz.com/quote.ashx?t=OPTX&amp;ty=c&amp;p=d&amp;b=1", "OPTX")</f>
        <v>OPTX</v>
      </c>
      <c r="B3898">
        <v>4</v>
      </c>
      <c r="C3898">
        <v>105.92</v>
      </c>
      <c r="D3898">
        <v>45.01</v>
      </c>
      <c r="E3898" t="s">
        <v>31142</v>
      </c>
      <c r="F3898" t="s">
        <v>107</v>
      </c>
      <c r="G3898" t="s">
        <v>108</v>
      </c>
      <c r="H3898" t="s">
        <v>3346</v>
      </c>
      <c r="I3898" t="s">
        <v>70</v>
      </c>
      <c r="J3898" t="s">
        <v>321</v>
      </c>
      <c r="K3898">
        <v>55.22</v>
      </c>
      <c r="L3898">
        <v>1.5</v>
      </c>
      <c r="M3898" t="s">
        <v>10568</v>
      </c>
      <c r="N3898">
        <v>21186</v>
      </c>
      <c r="O3898">
        <v>36.35</v>
      </c>
      <c r="R3898">
        <v>1.0900000000000001</v>
      </c>
      <c r="S3898">
        <v>4.55</v>
      </c>
      <c r="AA3898">
        <v>0.04</v>
      </c>
      <c r="AJ3898" t="s">
        <v>164</v>
      </c>
      <c r="AK3898" t="s">
        <v>5253</v>
      </c>
      <c r="AL3898">
        <v>1.34</v>
      </c>
      <c r="AM3898">
        <v>0.63</v>
      </c>
      <c r="AN3898">
        <v>0.93</v>
      </c>
      <c r="AO3898" t="s">
        <v>3192</v>
      </c>
      <c r="AP3898" t="s">
        <v>4547</v>
      </c>
      <c r="AQ3898" t="s">
        <v>305</v>
      </c>
      <c r="AR3898" t="s">
        <v>127</v>
      </c>
      <c r="AS3898" t="s">
        <v>511</v>
      </c>
      <c r="AT3898" t="s">
        <v>6798</v>
      </c>
      <c r="AU3898" t="s">
        <v>7054</v>
      </c>
      <c r="AV3898" t="s">
        <v>9889</v>
      </c>
      <c r="AW3898" t="s">
        <v>30917</v>
      </c>
      <c r="AX3898" t="s">
        <v>14157</v>
      </c>
      <c r="AY3898" t="s">
        <v>3219</v>
      </c>
      <c r="AZ3898" t="s">
        <v>19985</v>
      </c>
      <c r="BB3898">
        <v>171.07</v>
      </c>
      <c r="BC3898">
        <v>0.44</v>
      </c>
      <c r="BD3898">
        <v>1.54</v>
      </c>
      <c r="BE3898">
        <v>1.53</v>
      </c>
      <c r="BF3898">
        <v>1.5</v>
      </c>
      <c r="BG3898" t="s">
        <v>31143</v>
      </c>
      <c r="BH3898" t="s">
        <v>9392</v>
      </c>
      <c r="BI3898" t="s">
        <v>19985</v>
      </c>
      <c r="BJ3898" t="s">
        <v>101</v>
      </c>
      <c r="BK3898" t="s">
        <v>2823</v>
      </c>
      <c r="BL3898" t="s">
        <v>2274</v>
      </c>
      <c r="BM3898" t="s">
        <v>9373</v>
      </c>
      <c r="BN3898" t="s">
        <v>27621</v>
      </c>
    </row>
    <row r="3899" spans="1:66" x14ac:dyDescent="0.25">
      <c r="A3899" t="str">
        <f>HYPERLINK("https://elite.finviz.com/quote.ashx?t=EDBL&amp;ty=c&amp;p=d&amp;b=1", "EDBL")</f>
        <v>EDBL</v>
      </c>
      <c r="B3899">
        <v>4</v>
      </c>
      <c r="C3899">
        <v>105.92</v>
      </c>
      <c r="D3899">
        <v>45.07</v>
      </c>
      <c r="E3899" t="s">
        <v>31144</v>
      </c>
      <c r="F3899" t="s">
        <v>107</v>
      </c>
      <c r="G3899" t="s">
        <v>2244</v>
      </c>
      <c r="H3899" t="s">
        <v>5735</v>
      </c>
      <c r="I3899" t="s">
        <v>70</v>
      </c>
      <c r="J3899" t="s">
        <v>321</v>
      </c>
      <c r="K3899">
        <v>5.38</v>
      </c>
      <c r="L3899">
        <v>1.84</v>
      </c>
      <c r="M3899" t="s">
        <v>148</v>
      </c>
      <c r="N3899">
        <v>23818</v>
      </c>
      <c r="R3899">
        <v>0.44</v>
      </c>
      <c r="S3899">
        <v>3.27</v>
      </c>
      <c r="AA3899">
        <v>-35.71</v>
      </c>
      <c r="AB3899" t="s">
        <v>19113</v>
      </c>
      <c r="AC3899" t="s">
        <v>3459</v>
      </c>
      <c r="AE3899" t="s">
        <v>2118</v>
      </c>
      <c r="AF3899" t="s">
        <v>419</v>
      </c>
      <c r="AG3899" t="s">
        <v>8415</v>
      </c>
      <c r="AH3899" t="s">
        <v>23574</v>
      </c>
      <c r="AJ3899" t="s">
        <v>22471</v>
      </c>
      <c r="AK3899" t="s">
        <v>193</v>
      </c>
      <c r="AL3899">
        <v>1.49</v>
      </c>
      <c r="AM3899">
        <v>1.1399999999999999</v>
      </c>
      <c r="AN3899">
        <v>0.17</v>
      </c>
      <c r="AO3899" t="s">
        <v>5128</v>
      </c>
      <c r="AP3899" t="s">
        <v>31145</v>
      </c>
      <c r="AQ3899" t="s">
        <v>31146</v>
      </c>
      <c r="AR3899" t="s">
        <v>1691</v>
      </c>
      <c r="AS3899" t="s">
        <v>5847</v>
      </c>
      <c r="AT3899" t="s">
        <v>9136</v>
      </c>
      <c r="AU3899" t="s">
        <v>2266</v>
      </c>
      <c r="AV3899" t="s">
        <v>13004</v>
      </c>
      <c r="AW3899" t="s">
        <v>18450</v>
      </c>
      <c r="AX3899" t="s">
        <v>5618</v>
      </c>
      <c r="AY3899" t="s">
        <v>14538</v>
      </c>
      <c r="AZ3899" t="s">
        <v>5618</v>
      </c>
      <c r="BA3899">
        <v>1</v>
      </c>
      <c r="BB3899">
        <v>161.27000000000001</v>
      </c>
      <c r="BC3899">
        <v>0.52</v>
      </c>
      <c r="BD3899">
        <v>1.85</v>
      </c>
      <c r="BE3899">
        <v>1.85</v>
      </c>
      <c r="BF3899">
        <v>1.82</v>
      </c>
      <c r="BG3899" t="s">
        <v>31147</v>
      </c>
      <c r="BH3899" t="s">
        <v>579</v>
      </c>
      <c r="BI3899" t="s">
        <v>5618</v>
      </c>
      <c r="BJ3899" t="s">
        <v>101</v>
      </c>
      <c r="BK3899" t="s">
        <v>13313</v>
      </c>
      <c r="BL3899" t="s">
        <v>30092</v>
      </c>
      <c r="BM3899" t="s">
        <v>25406</v>
      </c>
      <c r="BN3899" t="s">
        <v>27621</v>
      </c>
    </row>
    <row r="3900" spans="1:66" x14ac:dyDescent="0.25">
      <c r="A3900" t="str">
        <f>HYPERLINK("https://elite.finviz.com/quote.ashx?t=DERM&amp;ty=c&amp;p=d&amp;b=1", "DERM")</f>
        <v>DERM</v>
      </c>
      <c r="B3900">
        <v>4</v>
      </c>
      <c r="C3900">
        <v>105.92</v>
      </c>
      <c r="D3900">
        <v>45.07</v>
      </c>
      <c r="E3900" t="s">
        <v>31148</v>
      </c>
      <c r="F3900" t="s">
        <v>67</v>
      </c>
      <c r="G3900" t="s">
        <v>428</v>
      </c>
      <c r="H3900" t="s">
        <v>1296</v>
      </c>
      <c r="I3900" t="s">
        <v>70</v>
      </c>
      <c r="J3900" t="s">
        <v>321</v>
      </c>
      <c r="K3900">
        <v>184.17</v>
      </c>
      <c r="L3900">
        <v>7</v>
      </c>
      <c r="M3900" t="s">
        <v>907</v>
      </c>
      <c r="N3900">
        <v>9643</v>
      </c>
      <c r="P3900">
        <v>20.29</v>
      </c>
      <c r="R3900">
        <v>3.27</v>
      </c>
      <c r="S3900">
        <v>8.5399999999999991</v>
      </c>
      <c r="AA3900">
        <v>-0.39</v>
      </c>
      <c r="AB3900" t="s">
        <v>3105</v>
      </c>
      <c r="AE3900" t="s">
        <v>448</v>
      </c>
      <c r="AF3900" t="s">
        <v>308</v>
      </c>
      <c r="AG3900" t="s">
        <v>1064</v>
      </c>
      <c r="AH3900" t="s">
        <v>2610</v>
      </c>
      <c r="AI3900" t="s">
        <v>29358</v>
      </c>
      <c r="AJ3900" t="s">
        <v>2745</v>
      </c>
      <c r="AK3900" t="s">
        <v>4925</v>
      </c>
      <c r="AL3900">
        <v>1.27</v>
      </c>
      <c r="AM3900">
        <v>0.95</v>
      </c>
      <c r="AN3900">
        <v>1.31</v>
      </c>
      <c r="AO3900" t="s">
        <v>13986</v>
      </c>
      <c r="AP3900" t="s">
        <v>21420</v>
      </c>
      <c r="AQ3900" t="s">
        <v>24145</v>
      </c>
      <c r="AR3900" t="s">
        <v>3119</v>
      </c>
      <c r="AS3900" t="s">
        <v>4142</v>
      </c>
      <c r="AT3900" t="s">
        <v>7176</v>
      </c>
      <c r="AU3900" t="s">
        <v>944</v>
      </c>
      <c r="AV3900" t="s">
        <v>709</v>
      </c>
      <c r="AW3900" t="s">
        <v>9933</v>
      </c>
      <c r="AX3900" t="s">
        <v>7978</v>
      </c>
      <c r="AY3900" t="s">
        <v>9933</v>
      </c>
      <c r="AZ3900" t="s">
        <v>16519</v>
      </c>
      <c r="BA3900">
        <v>1</v>
      </c>
      <c r="BB3900">
        <v>168.87</v>
      </c>
      <c r="BC3900">
        <v>0.2</v>
      </c>
      <c r="BD3900">
        <v>6.9</v>
      </c>
      <c r="BE3900">
        <v>7.01</v>
      </c>
      <c r="BF3900">
        <v>6.87</v>
      </c>
      <c r="BG3900" t="s">
        <v>31149</v>
      </c>
      <c r="BH3900" t="s">
        <v>25691</v>
      </c>
      <c r="BI3900" t="s">
        <v>31150</v>
      </c>
      <c r="BJ3900" t="s">
        <v>101</v>
      </c>
      <c r="BK3900" t="s">
        <v>1225</v>
      </c>
      <c r="BL3900" t="s">
        <v>7969</v>
      </c>
      <c r="BM3900" t="s">
        <v>6399</v>
      </c>
      <c r="BN3900" t="s">
        <v>27621</v>
      </c>
    </row>
    <row r="3901" spans="1:66" x14ac:dyDescent="0.25">
      <c r="A3901" t="str">
        <f>HYPERLINK("https://elite.finviz.com/quote.ashx?t=FARM&amp;ty=c&amp;p=d&amp;b=1", "FARM")</f>
        <v>FARM</v>
      </c>
      <c r="B3901">
        <v>4</v>
      </c>
      <c r="C3901">
        <v>105.92</v>
      </c>
      <c r="D3901">
        <v>45.1</v>
      </c>
      <c r="E3901" t="s">
        <v>31151</v>
      </c>
      <c r="F3901" t="s">
        <v>107</v>
      </c>
      <c r="G3901" t="s">
        <v>2244</v>
      </c>
      <c r="H3901" t="s">
        <v>3269</v>
      </c>
      <c r="I3901" t="s">
        <v>70</v>
      </c>
      <c r="J3901" t="s">
        <v>321</v>
      </c>
      <c r="K3901">
        <v>38.44</v>
      </c>
      <c r="L3901">
        <v>1.78</v>
      </c>
      <c r="M3901" t="s">
        <v>6842</v>
      </c>
      <c r="N3901">
        <v>31937</v>
      </c>
      <c r="R3901">
        <v>0.11</v>
      </c>
      <c r="S3901">
        <v>0.88</v>
      </c>
      <c r="V3901" t="s">
        <v>31152</v>
      </c>
      <c r="AA3901">
        <v>-0.68</v>
      </c>
      <c r="AB3901" t="s">
        <v>607</v>
      </c>
      <c r="AC3901" t="s">
        <v>5933</v>
      </c>
      <c r="AE3901" t="s">
        <v>141</v>
      </c>
      <c r="AF3901" t="s">
        <v>7437</v>
      </c>
      <c r="AG3901" t="s">
        <v>11592</v>
      </c>
      <c r="AH3901" t="s">
        <v>458</v>
      </c>
      <c r="AI3901" t="s">
        <v>13220</v>
      </c>
      <c r="AJ3901" t="s">
        <v>164</v>
      </c>
      <c r="AK3901" t="s">
        <v>359</v>
      </c>
      <c r="AL3901">
        <v>1.2</v>
      </c>
      <c r="AM3901">
        <v>0.5</v>
      </c>
      <c r="AN3901">
        <v>1.23</v>
      </c>
      <c r="AO3901" t="s">
        <v>31153</v>
      </c>
      <c r="AP3901" t="s">
        <v>4689</v>
      </c>
      <c r="AQ3901" t="s">
        <v>11675</v>
      </c>
      <c r="AR3901" t="s">
        <v>6378</v>
      </c>
      <c r="AS3901" t="s">
        <v>4819</v>
      </c>
      <c r="AT3901" t="s">
        <v>11795</v>
      </c>
      <c r="AU3901" t="s">
        <v>4634</v>
      </c>
      <c r="AV3901" t="s">
        <v>12274</v>
      </c>
      <c r="AW3901" t="s">
        <v>3139</v>
      </c>
      <c r="AX3901" t="s">
        <v>13695</v>
      </c>
      <c r="AY3901" t="s">
        <v>30127</v>
      </c>
      <c r="AZ3901" t="s">
        <v>10378</v>
      </c>
      <c r="BA3901">
        <v>1</v>
      </c>
      <c r="BB3901">
        <v>203.92</v>
      </c>
      <c r="BC3901">
        <v>0.56000000000000005</v>
      </c>
      <c r="BD3901">
        <v>1.77</v>
      </c>
      <c r="BE3901">
        <v>1.84</v>
      </c>
      <c r="BF3901">
        <v>1.76</v>
      </c>
      <c r="BG3901" t="s">
        <v>31154</v>
      </c>
      <c r="BH3901" t="s">
        <v>26688</v>
      </c>
      <c r="BI3901" t="s">
        <v>10378</v>
      </c>
      <c r="BJ3901" t="s">
        <v>101</v>
      </c>
      <c r="BK3901" t="s">
        <v>5022</v>
      </c>
      <c r="BL3901" t="s">
        <v>10366</v>
      </c>
      <c r="BM3901" t="s">
        <v>9741</v>
      </c>
      <c r="BN3901" t="s">
        <v>27621</v>
      </c>
    </row>
    <row r="3902" spans="1:66" x14ac:dyDescent="0.25">
      <c r="A3902" t="str">
        <f>HYPERLINK("https://elite.finviz.com/quote.ashx?t=DHIL&amp;ty=c&amp;p=d&amp;b=1", "DHIL")</f>
        <v>DHIL</v>
      </c>
      <c r="B3902">
        <v>4</v>
      </c>
      <c r="C3902">
        <v>105.92</v>
      </c>
      <c r="D3902">
        <v>45.1</v>
      </c>
      <c r="E3902" t="s">
        <v>31155</v>
      </c>
      <c r="F3902" t="s">
        <v>67</v>
      </c>
      <c r="G3902" t="s">
        <v>550</v>
      </c>
      <c r="H3902" t="s">
        <v>2597</v>
      </c>
      <c r="I3902" t="s">
        <v>70</v>
      </c>
      <c r="J3902" t="s">
        <v>321</v>
      </c>
      <c r="K3902">
        <v>382.99</v>
      </c>
      <c r="L3902">
        <v>140.54</v>
      </c>
      <c r="M3902" t="s">
        <v>3752</v>
      </c>
      <c r="N3902">
        <v>3611</v>
      </c>
      <c r="O3902">
        <v>7.98</v>
      </c>
      <c r="R3902">
        <v>2.48</v>
      </c>
      <c r="S3902">
        <v>2.2400000000000002</v>
      </c>
      <c r="T3902" t="s">
        <v>4744</v>
      </c>
      <c r="U3902">
        <v>6</v>
      </c>
      <c r="V3902" t="s">
        <v>4882</v>
      </c>
      <c r="W3902" t="s">
        <v>164</v>
      </c>
      <c r="X3902" t="s">
        <v>5699</v>
      </c>
      <c r="Z3902" t="s">
        <v>9785</v>
      </c>
      <c r="AA3902">
        <v>17.600000000000001</v>
      </c>
      <c r="AB3902" t="s">
        <v>2705</v>
      </c>
      <c r="AC3902" t="s">
        <v>15000</v>
      </c>
      <c r="AE3902" t="s">
        <v>3050</v>
      </c>
      <c r="AF3902" t="s">
        <v>7811</v>
      </c>
      <c r="AG3902" t="s">
        <v>1764</v>
      </c>
      <c r="AH3902" t="s">
        <v>3566</v>
      </c>
      <c r="AJ3902" t="s">
        <v>8179</v>
      </c>
      <c r="AK3902" t="s">
        <v>31156</v>
      </c>
      <c r="AL3902">
        <v>3.34</v>
      </c>
      <c r="AM3902">
        <v>3.34</v>
      </c>
      <c r="AN3902">
        <v>0.04</v>
      </c>
      <c r="AO3902" t="s">
        <v>31157</v>
      </c>
      <c r="AP3902" t="s">
        <v>8536</v>
      </c>
      <c r="AQ3902" t="s">
        <v>4047</v>
      </c>
      <c r="AR3902" t="s">
        <v>3118</v>
      </c>
      <c r="AS3902" t="s">
        <v>2217</v>
      </c>
      <c r="AT3902" t="s">
        <v>5388</v>
      </c>
      <c r="AU3902" t="s">
        <v>2978</v>
      </c>
      <c r="AV3902" t="s">
        <v>1000</v>
      </c>
      <c r="AW3902" t="s">
        <v>967</v>
      </c>
      <c r="AX3902" t="s">
        <v>229</v>
      </c>
      <c r="AY3902" t="s">
        <v>18228</v>
      </c>
      <c r="AZ3902" t="s">
        <v>2699</v>
      </c>
      <c r="BB3902">
        <v>34.090000000000003</v>
      </c>
      <c r="BC3902">
        <v>0.37</v>
      </c>
      <c r="BD3902">
        <v>140.61000000000001</v>
      </c>
      <c r="BE3902">
        <v>141.94999999999999</v>
      </c>
      <c r="BF3902">
        <v>140.43</v>
      </c>
      <c r="BG3902" t="s">
        <v>31158</v>
      </c>
      <c r="BH3902" t="s">
        <v>27368</v>
      </c>
      <c r="BI3902" t="s">
        <v>31159</v>
      </c>
      <c r="BJ3902" t="s">
        <v>101</v>
      </c>
      <c r="BK3902" t="s">
        <v>1080</v>
      </c>
      <c r="BL3902" t="s">
        <v>8542</v>
      </c>
      <c r="BM3902" t="s">
        <v>23695</v>
      </c>
      <c r="BN3902" t="s">
        <v>27621</v>
      </c>
    </row>
    <row r="3903" spans="1:66" x14ac:dyDescent="0.25">
      <c r="A3903" t="str">
        <f>HYPERLINK("https://elite.finviz.com/quote.ashx?t=HY&amp;ty=c&amp;p=d&amp;b=1", "HY")</f>
        <v>HY</v>
      </c>
      <c r="B3903">
        <v>4</v>
      </c>
      <c r="C3903">
        <v>105.92</v>
      </c>
      <c r="D3903">
        <v>45.11</v>
      </c>
      <c r="E3903" t="s">
        <v>31160</v>
      </c>
      <c r="F3903" t="s">
        <v>67</v>
      </c>
      <c r="G3903" t="s">
        <v>260</v>
      </c>
      <c r="H3903" t="s">
        <v>320</v>
      </c>
      <c r="I3903" t="s">
        <v>70</v>
      </c>
      <c r="J3903" t="s">
        <v>71</v>
      </c>
      <c r="K3903">
        <v>644.17999999999995</v>
      </c>
      <c r="L3903">
        <v>36.35</v>
      </c>
      <c r="M3903" t="s">
        <v>1022</v>
      </c>
      <c r="N3903">
        <v>3580</v>
      </c>
      <c r="O3903">
        <v>29.17</v>
      </c>
      <c r="P3903">
        <v>13.41</v>
      </c>
      <c r="R3903">
        <v>0.16</v>
      </c>
      <c r="S3903">
        <v>1.18</v>
      </c>
      <c r="T3903" t="s">
        <v>316</v>
      </c>
      <c r="U3903">
        <v>1.42</v>
      </c>
      <c r="V3903" t="s">
        <v>4882</v>
      </c>
      <c r="W3903" t="s">
        <v>4686</v>
      </c>
      <c r="X3903" t="s">
        <v>387</v>
      </c>
      <c r="Y3903" t="s">
        <v>2339</v>
      </c>
      <c r="Z3903" t="s">
        <v>6965</v>
      </c>
      <c r="AA3903">
        <v>1.25</v>
      </c>
      <c r="AC3903" t="s">
        <v>10782</v>
      </c>
      <c r="AD3903" t="s">
        <v>15231</v>
      </c>
      <c r="AE3903" t="s">
        <v>3164</v>
      </c>
      <c r="AF3903" t="s">
        <v>2377</v>
      </c>
      <c r="AG3903" t="s">
        <v>5336</v>
      </c>
      <c r="AH3903" t="s">
        <v>23650</v>
      </c>
      <c r="AI3903" t="s">
        <v>31161</v>
      </c>
      <c r="AJ3903" t="s">
        <v>164</v>
      </c>
      <c r="AK3903" t="s">
        <v>12998</v>
      </c>
      <c r="AL3903">
        <v>1.4</v>
      </c>
      <c r="AM3903">
        <v>0.65</v>
      </c>
      <c r="AN3903">
        <v>0.87</v>
      </c>
      <c r="AO3903" t="s">
        <v>16555</v>
      </c>
      <c r="AP3903" t="s">
        <v>5026</v>
      </c>
      <c r="AQ3903" t="s">
        <v>6842</v>
      </c>
      <c r="AR3903" t="s">
        <v>170</v>
      </c>
      <c r="AS3903" t="s">
        <v>4294</v>
      </c>
      <c r="AT3903" t="s">
        <v>1820</v>
      </c>
      <c r="AU3903" t="s">
        <v>3232</v>
      </c>
      <c r="AV3903" t="s">
        <v>6816</v>
      </c>
      <c r="AW3903" t="s">
        <v>21008</v>
      </c>
      <c r="AX3903" t="s">
        <v>2892</v>
      </c>
      <c r="AY3903" t="s">
        <v>27115</v>
      </c>
      <c r="AZ3903" t="s">
        <v>2772</v>
      </c>
      <c r="BA3903">
        <v>2</v>
      </c>
      <c r="BB3903">
        <v>76.66</v>
      </c>
      <c r="BC3903">
        <v>0.17</v>
      </c>
      <c r="BD3903">
        <v>36.11</v>
      </c>
      <c r="BE3903">
        <v>36.729999999999997</v>
      </c>
      <c r="BF3903">
        <v>36.49</v>
      </c>
      <c r="BG3903" t="s">
        <v>31162</v>
      </c>
      <c r="BH3903" t="s">
        <v>10835</v>
      </c>
      <c r="BI3903" t="s">
        <v>31163</v>
      </c>
      <c r="BJ3903" t="s">
        <v>101</v>
      </c>
      <c r="BK3903" t="s">
        <v>22016</v>
      </c>
      <c r="BL3903" t="s">
        <v>31164</v>
      </c>
      <c r="BM3903" t="s">
        <v>31165</v>
      </c>
      <c r="BN3903" t="s">
        <v>27621</v>
      </c>
    </row>
    <row r="3904" spans="1:66" x14ac:dyDescent="0.25">
      <c r="A3904" t="str">
        <f>HYPERLINK("https://elite.finviz.com/quote.ashx?t=ULH&amp;ty=c&amp;p=d&amp;b=1", "ULH")</f>
        <v>ULH</v>
      </c>
      <c r="B3904">
        <v>4</v>
      </c>
      <c r="C3904">
        <v>105.92</v>
      </c>
      <c r="D3904">
        <v>45.11</v>
      </c>
      <c r="E3904" t="s">
        <v>31166</v>
      </c>
      <c r="F3904" t="s">
        <v>67</v>
      </c>
      <c r="G3904" t="s">
        <v>260</v>
      </c>
      <c r="H3904" t="s">
        <v>6190</v>
      </c>
      <c r="I3904" t="s">
        <v>70</v>
      </c>
      <c r="J3904" t="s">
        <v>321</v>
      </c>
      <c r="K3904">
        <v>627.96</v>
      </c>
      <c r="L3904">
        <v>23.85</v>
      </c>
      <c r="M3904" t="s">
        <v>907</v>
      </c>
      <c r="N3904">
        <v>3699</v>
      </c>
      <c r="O3904">
        <v>10.3</v>
      </c>
      <c r="P3904">
        <v>10.41</v>
      </c>
      <c r="R3904">
        <v>0.38</v>
      </c>
      <c r="S3904">
        <v>0.96</v>
      </c>
      <c r="T3904" t="s">
        <v>5084</v>
      </c>
      <c r="U3904">
        <v>0.42</v>
      </c>
      <c r="V3904" t="s">
        <v>4882</v>
      </c>
      <c r="W3904" t="s">
        <v>164</v>
      </c>
      <c r="X3904" t="s">
        <v>164</v>
      </c>
      <c r="Y3904" t="s">
        <v>815</v>
      </c>
      <c r="Z3904" t="s">
        <v>466</v>
      </c>
      <c r="AA3904">
        <v>2.3199999999999998</v>
      </c>
      <c r="AB3904" t="s">
        <v>233</v>
      </c>
      <c r="AC3904" t="s">
        <v>20298</v>
      </c>
      <c r="AE3904" t="s">
        <v>5301</v>
      </c>
      <c r="AF3904" t="s">
        <v>1952</v>
      </c>
      <c r="AG3904" t="s">
        <v>5164</v>
      </c>
      <c r="AH3904" t="s">
        <v>4405</v>
      </c>
      <c r="AI3904" t="s">
        <v>11702</v>
      </c>
      <c r="AJ3904" t="s">
        <v>164</v>
      </c>
      <c r="AK3904" t="s">
        <v>15078</v>
      </c>
      <c r="AL3904">
        <v>1.28</v>
      </c>
      <c r="AM3904">
        <v>1.28</v>
      </c>
      <c r="AN3904">
        <v>1.39</v>
      </c>
      <c r="AO3904" t="s">
        <v>5459</v>
      </c>
      <c r="AP3904" t="s">
        <v>1159</v>
      </c>
      <c r="AQ3904" t="s">
        <v>2494</v>
      </c>
      <c r="AR3904" t="s">
        <v>7284</v>
      </c>
      <c r="AS3904" t="s">
        <v>1872</v>
      </c>
      <c r="AT3904" t="s">
        <v>1175</v>
      </c>
      <c r="AU3904" t="s">
        <v>2288</v>
      </c>
      <c r="AV3904" t="s">
        <v>557</v>
      </c>
      <c r="AW3904" t="s">
        <v>5074</v>
      </c>
      <c r="AX3904" t="s">
        <v>464</v>
      </c>
      <c r="AY3904" t="s">
        <v>5093</v>
      </c>
      <c r="AZ3904" t="s">
        <v>10541</v>
      </c>
      <c r="BA3904">
        <v>3</v>
      </c>
      <c r="BB3904">
        <v>41.5</v>
      </c>
      <c r="BC3904">
        <v>0.32</v>
      </c>
      <c r="BD3904">
        <v>23.51</v>
      </c>
      <c r="BE3904">
        <v>24.05</v>
      </c>
      <c r="BF3904">
        <v>23.51</v>
      </c>
      <c r="BG3904" t="s">
        <v>31167</v>
      </c>
      <c r="BH3904" t="s">
        <v>5093</v>
      </c>
      <c r="BI3904" t="s">
        <v>31168</v>
      </c>
      <c r="BJ3904" t="s">
        <v>101</v>
      </c>
      <c r="BK3904" t="s">
        <v>2335</v>
      </c>
      <c r="BL3904" t="s">
        <v>16215</v>
      </c>
      <c r="BM3904" t="s">
        <v>15627</v>
      </c>
      <c r="BN3904" t="s">
        <v>27621</v>
      </c>
    </row>
    <row r="3905" spans="1:66" x14ac:dyDescent="0.25">
      <c r="A3905" t="str">
        <f>HYPERLINK("https://elite.finviz.com/quote.ashx?t=ASRV&amp;ty=c&amp;p=d&amp;b=1", "ASRV")</f>
        <v>ASRV</v>
      </c>
      <c r="B3905">
        <v>4</v>
      </c>
      <c r="C3905">
        <v>105.92</v>
      </c>
      <c r="D3905">
        <v>45.13</v>
      </c>
      <c r="E3905" t="s">
        <v>31169</v>
      </c>
      <c r="F3905" t="s">
        <v>107</v>
      </c>
      <c r="G3905" t="s">
        <v>550</v>
      </c>
      <c r="H3905" t="s">
        <v>697</v>
      </c>
      <c r="I3905" t="s">
        <v>70</v>
      </c>
      <c r="J3905" t="s">
        <v>321</v>
      </c>
      <c r="K3905">
        <v>47.29</v>
      </c>
      <c r="L3905">
        <v>2.86</v>
      </c>
      <c r="M3905" t="s">
        <v>4539</v>
      </c>
      <c r="N3905">
        <v>957</v>
      </c>
      <c r="O3905">
        <v>12.78</v>
      </c>
      <c r="R3905">
        <v>0.55000000000000004</v>
      </c>
      <c r="S3905">
        <v>0.43</v>
      </c>
      <c r="T3905" t="s">
        <v>2721</v>
      </c>
      <c r="U3905">
        <v>0.12</v>
      </c>
      <c r="V3905" t="s">
        <v>4827</v>
      </c>
      <c r="W3905" t="s">
        <v>164</v>
      </c>
      <c r="X3905" t="s">
        <v>6593</v>
      </c>
      <c r="Y3905" t="s">
        <v>3482</v>
      </c>
      <c r="Z3905" t="s">
        <v>31170</v>
      </c>
      <c r="AA3905">
        <v>0.22</v>
      </c>
      <c r="AB3905" t="s">
        <v>24507</v>
      </c>
      <c r="AC3905" t="s">
        <v>17451</v>
      </c>
      <c r="AE3905" t="s">
        <v>3951</v>
      </c>
      <c r="AF3905" t="s">
        <v>5308</v>
      </c>
      <c r="AG3905" t="s">
        <v>10926</v>
      </c>
      <c r="AH3905" t="s">
        <v>3443</v>
      </c>
      <c r="AJ3905" t="s">
        <v>2646</v>
      </c>
      <c r="AK3905" t="s">
        <v>9005</v>
      </c>
      <c r="AL3905">
        <v>0.17</v>
      </c>
      <c r="AN3905">
        <v>0.74</v>
      </c>
      <c r="AP3905" t="s">
        <v>5611</v>
      </c>
      <c r="AQ3905" t="s">
        <v>5497</v>
      </c>
      <c r="AR3905" t="s">
        <v>5779</v>
      </c>
      <c r="AS3905" t="s">
        <v>1088</v>
      </c>
      <c r="AT3905" t="s">
        <v>4501</v>
      </c>
      <c r="AU3905" t="s">
        <v>9085</v>
      </c>
      <c r="AV3905" t="s">
        <v>7453</v>
      </c>
      <c r="AW3905" t="s">
        <v>5934</v>
      </c>
      <c r="AX3905" t="s">
        <v>10714</v>
      </c>
      <c r="AY3905" t="s">
        <v>11532</v>
      </c>
      <c r="AZ3905" t="s">
        <v>143</v>
      </c>
      <c r="BB3905">
        <v>18.97</v>
      </c>
      <c r="BC3905">
        <v>0.18</v>
      </c>
      <c r="BD3905">
        <v>2.86</v>
      </c>
      <c r="BE3905">
        <v>2.86</v>
      </c>
      <c r="BF3905">
        <v>2.85</v>
      </c>
      <c r="BG3905" t="s">
        <v>31171</v>
      </c>
      <c r="BH3905" t="s">
        <v>31172</v>
      </c>
      <c r="BI3905" t="s">
        <v>31173</v>
      </c>
      <c r="BJ3905" t="s">
        <v>101</v>
      </c>
      <c r="BK3905" t="s">
        <v>3114</v>
      </c>
      <c r="BL3905" t="s">
        <v>1253</v>
      </c>
      <c r="BM3905" t="s">
        <v>9703</v>
      </c>
      <c r="BN3905" t="s">
        <v>27621</v>
      </c>
    </row>
    <row r="3906" spans="1:66" x14ac:dyDescent="0.25">
      <c r="A3906" t="str">
        <f>HYPERLINK("https://elite.finviz.com/quote.ashx?t=NKTX&amp;ty=c&amp;p=d&amp;b=1", "NKTX")</f>
        <v>NKTX</v>
      </c>
      <c r="B3906">
        <v>4</v>
      </c>
      <c r="C3906">
        <v>105.92</v>
      </c>
      <c r="D3906">
        <v>45.14</v>
      </c>
      <c r="E3906" t="s">
        <v>31174</v>
      </c>
      <c r="F3906" t="s">
        <v>67</v>
      </c>
      <c r="G3906" t="s">
        <v>428</v>
      </c>
      <c r="H3906" t="s">
        <v>429</v>
      </c>
      <c r="I3906" t="s">
        <v>70</v>
      </c>
      <c r="J3906" t="s">
        <v>321</v>
      </c>
      <c r="K3906">
        <v>141.69</v>
      </c>
      <c r="L3906">
        <v>2</v>
      </c>
      <c r="M3906" t="s">
        <v>4538</v>
      </c>
      <c r="N3906">
        <v>99930</v>
      </c>
      <c r="S3906">
        <v>0.4</v>
      </c>
      <c r="AA3906">
        <v>-1.48</v>
      </c>
      <c r="AB3906" t="s">
        <v>3875</v>
      </c>
      <c r="AC3906" t="s">
        <v>17136</v>
      </c>
      <c r="AD3906" t="s">
        <v>6392</v>
      </c>
      <c r="AI3906" t="s">
        <v>7068</v>
      </c>
      <c r="AJ3906" t="s">
        <v>1249</v>
      </c>
      <c r="AK3906" t="s">
        <v>10460</v>
      </c>
      <c r="AL3906">
        <v>15.67</v>
      </c>
      <c r="AM3906">
        <v>15.67</v>
      </c>
      <c r="AN3906">
        <v>0.22</v>
      </c>
      <c r="AR3906" t="s">
        <v>6183</v>
      </c>
      <c r="AS3906" t="s">
        <v>8966</v>
      </c>
      <c r="AT3906" t="s">
        <v>5120</v>
      </c>
      <c r="AU3906" t="s">
        <v>8346</v>
      </c>
      <c r="AV3906" t="s">
        <v>2965</v>
      </c>
      <c r="AW3906" t="s">
        <v>10504</v>
      </c>
      <c r="AX3906" t="s">
        <v>7654</v>
      </c>
      <c r="AY3906" t="s">
        <v>13196</v>
      </c>
      <c r="AZ3906" t="s">
        <v>14700</v>
      </c>
      <c r="BA3906">
        <v>1.29</v>
      </c>
      <c r="BB3906">
        <v>580.1</v>
      </c>
      <c r="BC3906">
        <v>0.61</v>
      </c>
      <c r="BD3906">
        <v>2</v>
      </c>
      <c r="BE3906">
        <v>2.0299999999999998</v>
      </c>
      <c r="BF3906">
        <v>1.98</v>
      </c>
      <c r="BG3906" t="s">
        <v>31175</v>
      </c>
      <c r="BH3906" t="s">
        <v>31176</v>
      </c>
      <c r="BI3906" t="s">
        <v>6363</v>
      </c>
      <c r="BJ3906" t="s">
        <v>101</v>
      </c>
      <c r="BK3906" t="s">
        <v>9140</v>
      </c>
      <c r="BL3906" t="s">
        <v>5745</v>
      </c>
      <c r="BM3906" t="s">
        <v>9802</v>
      </c>
      <c r="BN3906" t="s">
        <v>27621</v>
      </c>
    </row>
    <row r="3907" spans="1:66" x14ac:dyDescent="0.25">
      <c r="A3907" t="str">
        <f>HYPERLINK("https://elite.finviz.com/quote.ashx?t=ICON&amp;ty=c&amp;p=d&amp;b=1", "ICON")</f>
        <v>ICON</v>
      </c>
      <c r="B3907">
        <v>4</v>
      </c>
      <c r="C3907">
        <v>105.92</v>
      </c>
      <c r="D3907">
        <v>45.16</v>
      </c>
      <c r="E3907" t="s">
        <v>31177</v>
      </c>
      <c r="F3907" t="s">
        <v>107</v>
      </c>
      <c r="G3907" t="s">
        <v>260</v>
      </c>
      <c r="H3907" t="s">
        <v>2696</v>
      </c>
      <c r="I3907" t="s">
        <v>70</v>
      </c>
      <c r="J3907" t="s">
        <v>321</v>
      </c>
      <c r="L3907">
        <v>2.12</v>
      </c>
      <c r="M3907" t="s">
        <v>6204</v>
      </c>
      <c r="N3907">
        <v>11029</v>
      </c>
      <c r="T3907" t="s">
        <v>31178</v>
      </c>
      <c r="U3907">
        <v>3.47</v>
      </c>
      <c r="V3907" t="s">
        <v>31179</v>
      </c>
      <c r="AR3907" t="s">
        <v>3758</v>
      </c>
      <c r="AS3907" t="s">
        <v>5090</v>
      </c>
      <c r="AT3907" t="s">
        <v>193</v>
      </c>
      <c r="AU3907" t="s">
        <v>11528</v>
      </c>
      <c r="AV3907" t="s">
        <v>31180</v>
      </c>
      <c r="AW3907" t="s">
        <v>26685</v>
      </c>
      <c r="AX3907" t="s">
        <v>2947</v>
      </c>
      <c r="AY3907" t="s">
        <v>16813</v>
      </c>
      <c r="AZ3907" t="s">
        <v>12218</v>
      </c>
      <c r="BA3907">
        <v>1</v>
      </c>
      <c r="BB3907">
        <v>102.64</v>
      </c>
      <c r="BC3907">
        <v>0.38</v>
      </c>
      <c r="BD3907">
        <v>2.17</v>
      </c>
      <c r="BE3907">
        <v>2.15</v>
      </c>
      <c r="BF3907">
        <v>2.1</v>
      </c>
      <c r="BG3907" t="s">
        <v>31181</v>
      </c>
      <c r="BH3907" t="s">
        <v>26591</v>
      </c>
      <c r="BI3907" t="s">
        <v>12218</v>
      </c>
      <c r="BJ3907" t="s">
        <v>101</v>
      </c>
      <c r="BK3907" t="s">
        <v>8156</v>
      </c>
      <c r="BL3907" t="s">
        <v>7962</v>
      </c>
      <c r="BM3907" t="s">
        <v>29976</v>
      </c>
      <c r="BN3907" t="s">
        <v>27621</v>
      </c>
    </row>
    <row r="3908" spans="1:66" x14ac:dyDescent="0.25">
      <c r="A3908" t="str">
        <f>HYPERLINK("https://elite.finviz.com/quote.ashx?t=GNE&amp;ty=c&amp;p=d&amp;b=1", "GNE")</f>
        <v>GNE</v>
      </c>
      <c r="B3908">
        <v>4</v>
      </c>
      <c r="C3908">
        <v>105.92</v>
      </c>
      <c r="D3908">
        <v>45.16</v>
      </c>
      <c r="E3908" t="s">
        <v>31182</v>
      </c>
      <c r="F3908" t="s">
        <v>67</v>
      </c>
      <c r="G3908" t="s">
        <v>287</v>
      </c>
      <c r="H3908" t="s">
        <v>676</v>
      </c>
      <c r="I3908" t="s">
        <v>70</v>
      </c>
      <c r="J3908" t="s">
        <v>71</v>
      </c>
      <c r="K3908">
        <v>407.3</v>
      </c>
      <c r="L3908">
        <v>15.25</v>
      </c>
      <c r="M3908" t="s">
        <v>4494</v>
      </c>
      <c r="N3908">
        <v>7385</v>
      </c>
      <c r="O3908">
        <v>47.91</v>
      </c>
      <c r="R3908">
        <v>0.89</v>
      </c>
      <c r="S3908">
        <v>2.0699999999999998</v>
      </c>
      <c r="T3908" t="s">
        <v>4256</v>
      </c>
      <c r="U3908">
        <v>0.3</v>
      </c>
      <c r="V3908" t="s">
        <v>893</v>
      </c>
      <c r="W3908" t="s">
        <v>164</v>
      </c>
      <c r="Y3908" t="s">
        <v>164</v>
      </c>
      <c r="Z3908" t="s">
        <v>31183</v>
      </c>
      <c r="AA3908">
        <v>0.32</v>
      </c>
      <c r="AB3908" t="s">
        <v>11305</v>
      </c>
      <c r="AC3908" t="s">
        <v>11749</v>
      </c>
      <c r="AE3908" t="s">
        <v>749</v>
      </c>
      <c r="AF3908" t="s">
        <v>4223</v>
      </c>
      <c r="AG3908" t="s">
        <v>3530</v>
      </c>
      <c r="AH3908" t="s">
        <v>22563</v>
      </c>
      <c r="AJ3908" t="s">
        <v>7709</v>
      </c>
      <c r="AK3908" t="s">
        <v>5962</v>
      </c>
      <c r="AL3908">
        <v>1.99</v>
      </c>
      <c r="AM3908">
        <v>1.85</v>
      </c>
      <c r="AN3908">
        <v>0.05</v>
      </c>
      <c r="AO3908" t="s">
        <v>20141</v>
      </c>
      <c r="AP3908" t="s">
        <v>4856</v>
      </c>
      <c r="AQ3908" t="s">
        <v>1303</v>
      </c>
      <c r="AR3908" t="s">
        <v>2542</v>
      </c>
      <c r="AS3908" t="s">
        <v>4916</v>
      </c>
      <c r="AT3908" t="s">
        <v>2734</v>
      </c>
      <c r="AU3908" t="s">
        <v>16742</v>
      </c>
      <c r="AV3908" t="s">
        <v>12495</v>
      </c>
      <c r="AW3908" t="s">
        <v>6277</v>
      </c>
      <c r="AX3908" t="s">
        <v>7117</v>
      </c>
      <c r="AY3908" t="s">
        <v>16315</v>
      </c>
      <c r="AZ3908" t="s">
        <v>10519</v>
      </c>
      <c r="BA3908">
        <v>1</v>
      </c>
      <c r="BB3908">
        <v>225.53</v>
      </c>
      <c r="BC3908">
        <v>0.12</v>
      </c>
      <c r="BD3908">
        <v>15.23</v>
      </c>
      <c r="BE3908">
        <v>15.4</v>
      </c>
      <c r="BF3908">
        <v>15.28</v>
      </c>
      <c r="BG3908" t="s">
        <v>31184</v>
      </c>
      <c r="BH3908" t="s">
        <v>27928</v>
      </c>
      <c r="BI3908" t="s">
        <v>31185</v>
      </c>
      <c r="BJ3908" t="s">
        <v>101</v>
      </c>
      <c r="BK3908" t="s">
        <v>31186</v>
      </c>
      <c r="BL3908" t="s">
        <v>5036</v>
      </c>
      <c r="BM3908" t="s">
        <v>2752</v>
      </c>
      <c r="BN3908" t="s">
        <v>27621</v>
      </c>
    </row>
    <row r="3909" spans="1:66" x14ac:dyDescent="0.25">
      <c r="A3909" t="str">
        <f>HYPERLINK("https://elite.finviz.com/quote.ashx?t=NRIX&amp;ty=c&amp;p=d&amp;b=1", "NRIX")</f>
        <v>NRIX</v>
      </c>
      <c r="B3909">
        <v>4</v>
      </c>
      <c r="C3909">
        <v>105.92</v>
      </c>
      <c r="D3909">
        <v>45.17</v>
      </c>
      <c r="E3909" t="s">
        <v>31187</v>
      </c>
      <c r="F3909" t="s">
        <v>67</v>
      </c>
      <c r="G3909" t="s">
        <v>428</v>
      </c>
      <c r="H3909" t="s">
        <v>429</v>
      </c>
      <c r="I3909" t="s">
        <v>70</v>
      </c>
      <c r="J3909" t="s">
        <v>321</v>
      </c>
      <c r="K3909">
        <v>670.08</v>
      </c>
      <c r="L3909">
        <v>8.77</v>
      </c>
      <c r="M3909" t="s">
        <v>4173</v>
      </c>
      <c r="N3909">
        <v>185796</v>
      </c>
      <c r="R3909">
        <v>7.58</v>
      </c>
      <c r="S3909">
        <v>1.5</v>
      </c>
      <c r="AA3909">
        <v>-2.61</v>
      </c>
      <c r="AB3909" t="s">
        <v>8053</v>
      </c>
      <c r="AC3909" t="s">
        <v>26595</v>
      </c>
      <c r="AD3909" t="s">
        <v>1258</v>
      </c>
      <c r="AE3909" t="s">
        <v>16294</v>
      </c>
      <c r="AF3909" t="s">
        <v>12471</v>
      </c>
      <c r="AG3909" t="s">
        <v>904</v>
      </c>
      <c r="AH3909" t="s">
        <v>28953</v>
      </c>
      <c r="AI3909" t="s">
        <v>12397</v>
      </c>
      <c r="AJ3909" t="s">
        <v>1863</v>
      </c>
      <c r="AK3909" t="s">
        <v>15633</v>
      </c>
      <c r="AL3909">
        <v>6.82</v>
      </c>
      <c r="AM3909">
        <v>6.82</v>
      </c>
      <c r="AN3909">
        <v>0.12</v>
      </c>
      <c r="AO3909" t="s">
        <v>9989</v>
      </c>
      <c r="AP3909" t="s">
        <v>31188</v>
      </c>
      <c r="AQ3909" t="s">
        <v>31189</v>
      </c>
      <c r="AR3909" t="s">
        <v>5611</v>
      </c>
      <c r="AS3909" t="s">
        <v>3981</v>
      </c>
      <c r="AT3909" t="s">
        <v>9618</v>
      </c>
      <c r="AU3909" t="s">
        <v>15540</v>
      </c>
      <c r="AV3909" t="s">
        <v>10313</v>
      </c>
      <c r="AW3909" t="s">
        <v>25727</v>
      </c>
      <c r="AX3909" t="s">
        <v>9936</v>
      </c>
      <c r="AY3909" t="s">
        <v>31190</v>
      </c>
      <c r="AZ3909" t="s">
        <v>1767</v>
      </c>
      <c r="BA3909">
        <v>1.33</v>
      </c>
      <c r="BB3909">
        <v>901.04</v>
      </c>
      <c r="BC3909">
        <v>0.73</v>
      </c>
      <c r="BD3909">
        <v>8.33</v>
      </c>
      <c r="BE3909">
        <v>8.82</v>
      </c>
      <c r="BF3909">
        <v>8.33</v>
      </c>
      <c r="BG3909" t="s">
        <v>31191</v>
      </c>
      <c r="BH3909" t="s">
        <v>31192</v>
      </c>
      <c r="BI3909" t="s">
        <v>31193</v>
      </c>
      <c r="BJ3909" t="s">
        <v>101</v>
      </c>
      <c r="BK3909" t="s">
        <v>27854</v>
      </c>
      <c r="BL3909" t="s">
        <v>8863</v>
      </c>
      <c r="BM3909" t="s">
        <v>17388</v>
      </c>
      <c r="BN3909" t="s">
        <v>27621</v>
      </c>
    </row>
    <row r="3910" spans="1:66" x14ac:dyDescent="0.25">
      <c r="A3910" t="str">
        <f>HYPERLINK("https://elite.finviz.com/quote.ashx?t=SPRB&amp;ty=c&amp;p=d&amp;b=1", "SPRB")</f>
        <v>SPRB</v>
      </c>
      <c r="B3910">
        <v>4</v>
      </c>
      <c r="C3910">
        <v>105.92</v>
      </c>
      <c r="D3910">
        <v>45.18</v>
      </c>
      <c r="E3910" t="s">
        <v>31194</v>
      </c>
      <c r="F3910" t="s">
        <v>107</v>
      </c>
      <c r="G3910" t="s">
        <v>428</v>
      </c>
      <c r="H3910" t="s">
        <v>429</v>
      </c>
      <c r="I3910" t="s">
        <v>70</v>
      </c>
      <c r="J3910" t="s">
        <v>321</v>
      </c>
      <c r="K3910">
        <v>4.47</v>
      </c>
      <c r="L3910">
        <v>7.95</v>
      </c>
      <c r="M3910" t="s">
        <v>2273</v>
      </c>
      <c r="N3910">
        <v>117</v>
      </c>
      <c r="R3910">
        <v>3.44</v>
      </c>
      <c r="S3910">
        <v>0.34</v>
      </c>
      <c r="AA3910">
        <v>-85.92</v>
      </c>
      <c r="AB3910" t="s">
        <v>3614</v>
      </c>
      <c r="AC3910" t="s">
        <v>24199</v>
      </c>
      <c r="AD3910" t="s">
        <v>12358</v>
      </c>
      <c r="AE3910" t="s">
        <v>27315</v>
      </c>
      <c r="AH3910" t="s">
        <v>579</v>
      </c>
      <c r="AI3910" t="s">
        <v>12755</v>
      </c>
      <c r="AJ3910" t="s">
        <v>164</v>
      </c>
      <c r="AK3910" t="s">
        <v>6344</v>
      </c>
      <c r="AL3910">
        <v>2.6</v>
      </c>
      <c r="AM3910">
        <v>2.6</v>
      </c>
      <c r="AN3910">
        <v>0.14000000000000001</v>
      </c>
      <c r="AO3910" t="s">
        <v>17144</v>
      </c>
      <c r="AP3910" t="s">
        <v>31195</v>
      </c>
      <c r="AQ3910" t="s">
        <v>31196</v>
      </c>
      <c r="AR3910" t="s">
        <v>2635</v>
      </c>
      <c r="AS3910" t="s">
        <v>7553</v>
      </c>
      <c r="AT3910" t="s">
        <v>12128</v>
      </c>
      <c r="AU3910" t="s">
        <v>13982</v>
      </c>
      <c r="AV3910" t="s">
        <v>31197</v>
      </c>
      <c r="AW3910" t="s">
        <v>30627</v>
      </c>
      <c r="AX3910" t="s">
        <v>10331</v>
      </c>
      <c r="AY3910" t="s">
        <v>9246</v>
      </c>
      <c r="AZ3910" t="s">
        <v>3912</v>
      </c>
      <c r="BA3910">
        <v>3</v>
      </c>
      <c r="BB3910">
        <v>7.16</v>
      </c>
      <c r="BC3910">
        <v>0.06</v>
      </c>
      <c r="BD3910">
        <v>7.75</v>
      </c>
      <c r="BE3910">
        <v>7.82</v>
      </c>
      <c r="BF3910">
        <v>7.82</v>
      </c>
      <c r="BG3910" t="s">
        <v>31198</v>
      </c>
      <c r="BH3910" t="s">
        <v>5416</v>
      </c>
      <c r="BI3910" t="s">
        <v>3912</v>
      </c>
      <c r="BJ3910" t="s">
        <v>101</v>
      </c>
      <c r="BK3910" t="s">
        <v>9309</v>
      </c>
      <c r="BL3910" t="s">
        <v>20451</v>
      </c>
      <c r="BM3910" t="s">
        <v>31199</v>
      </c>
      <c r="BN3910" t="s">
        <v>27621</v>
      </c>
    </row>
    <row r="3911" spans="1:66" x14ac:dyDescent="0.25">
      <c r="A3911" t="str">
        <f>HYPERLINK("https://elite.finviz.com/quote.ashx?t=SPOK&amp;ty=c&amp;p=d&amp;b=1", "SPOK")</f>
        <v>SPOK</v>
      </c>
      <c r="B3911">
        <v>4</v>
      </c>
      <c r="C3911">
        <v>105.92</v>
      </c>
      <c r="D3911">
        <v>45.18</v>
      </c>
      <c r="E3911" t="s">
        <v>31200</v>
      </c>
      <c r="F3911" t="s">
        <v>67</v>
      </c>
      <c r="G3911" t="s">
        <v>428</v>
      </c>
      <c r="H3911" t="s">
        <v>2075</v>
      </c>
      <c r="I3911" t="s">
        <v>70</v>
      </c>
      <c r="J3911" t="s">
        <v>321</v>
      </c>
      <c r="K3911">
        <v>358.59</v>
      </c>
      <c r="L3911">
        <v>17.420000000000002</v>
      </c>
      <c r="M3911" t="s">
        <v>1022</v>
      </c>
      <c r="N3911">
        <v>10242</v>
      </c>
      <c r="O3911">
        <v>21.08</v>
      </c>
      <c r="P3911">
        <v>21.5</v>
      </c>
      <c r="R3911">
        <v>2.5499999999999998</v>
      </c>
      <c r="S3911">
        <v>2.37</v>
      </c>
      <c r="T3911" t="s">
        <v>3688</v>
      </c>
      <c r="U3911">
        <v>1.25</v>
      </c>
      <c r="V3911" t="s">
        <v>10236</v>
      </c>
      <c r="W3911" t="s">
        <v>164</v>
      </c>
      <c r="X3911" t="s">
        <v>7495</v>
      </c>
      <c r="Y3911" t="s">
        <v>2710</v>
      </c>
      <c r="Z3911" t="s">
        <v>31201</v>
      </c>
      <c r="AA3911">
        <v>0.83</v>
      </c>
      <c r="AE3911" t="s">
        <v>2201</v>
      </c>
      <c r="AF3911" t="s">
        <v>4065</v>
      </c>
      <c r="AG3911" t="s">
        <v>6130</v>
      </c>
      <c r="AH3911" t="s">
        <v>2732</v>
      </c>
      <c r="AI3911" t="s">
        <v>10317</v>
      </c>
      <c r="AJ3911" t="s">
        <v>31202</v>
      </c>
      <c r="AK3911" t="s">
        <v>18971</v>
      </c>
      <c r="AL3911">
        <v>1.24</v>
      </c>
      <c r="AM3911">
        <v>1.24</v>
      </c>
      <c r="AN3911">
        <v>0.05</v>
      </c>
      <c r="AO3911" t="s">
        <v>7771</v>
      </c>
      <c r="AP3911" t="s">
        <v>663</v>
      </c>
      <c r="AQ3911" t="s">
        <v>709</v>
      </c>
      <c r="AR3911" t="s">
        <v>2572</v>
      </c>
      <c r="AS3911" t="s">
        <v>4267</v>
      </c>
      <c r="AT3911" t="s">
        <v>5388</v>
      </c>
      <c r="AU3911" t="s">
        <v>3811</v>
      </c>
      <c r="AV3911" t="s">
        <v>1302</v>
      </c>
      <c r="AW3911" t="s">
        <v>8343</v>
      </c>
      <c r="AX3911" t="s">
        <v>3173</v>
      </c>
      <c r="AY3911" t="s">
        <v>8343</v>
      </c>
      <c r="AZ3911" t="s">
        <v>11889</v>
      </c>
      <c r="BA3911">
        <v>1</v>
      </c>
      <c r="BB3911">
        <v>130.29</v>
      </c>
      <c r="BC3911">
        <v>0.28000000000000003</v>
      </c>
      <c r="BD3911">
        <v>17.3</v>
      </c>
      <c r="BE3911">
        <v>17.440000000000001</v>
      </c>
      <c r="BF3911">
        <v>17.3</v>
      </c>
      <c r="BG3911" t="s">
        <v>31203</v>
      </c>
      <c r="BH3911" t="s">
        <v>8119</v>
      </c>
      <c r="BI3911" t="s">
        <v>31204</v>
      </c>
      <c r="BJ3911" t="s">
        <v>101</v>
      </c>
      <c r="BK3911" t="s">
        <v>3358</v>
      </c>
      <c r="BL3911" t="s">
        <v>2196</v>
      </c>
      <c r="BM3911" t="s">
        <v>3525</v>
      </c>
      <c r="BN3911" t="s">
        <v>27621</v>
      </c>
    </row>
    <row r="3912" spans="1:66" x14ac:dyDescent="0.25">
      <c r="A3912" t="str">
        <f>HYPERLINK("https://elite.finviz.com/quote.ashx?t=DCTH&amp;ty=c&amp;p=d&amp;b=1", "DCTH")</f>
        <v>DCTH</v>
      </c>
      <c r="B3912">
        <v>4</v>
      </c>
      <c r="C3912">
        <v>105.92</v>
      </c>
      <c r="D3912">
        <v>45.18</v>
      </c>
      <c r="E3912" t="s">
        <v>31205</v>
      </c>
      <c r="F3912" t="s">
        <v>67</v>
      </c>
      <c r="G3912" t="s">
        <v>428</v>
      </c>
      <c r="H3912" t="s">
        <v>2051</v>
      </c>
      <c r="I3912" t="s">
        <v>70</v>
      </c>
      <c r="J3912" t="s">
        <v>321</v>
      </c>
      <c r="K3912">
        <v>379.2</v>
      </c>
      <c r="L3912">
        <v>10.84</v>
      </c>
      <c r="M3912" t="s">
        <v>2906</v>
      </c>
      <c r="N3912">
        <v>109776</v>
      </c>
      <c r="O3912">
        <v>238.24</v>
      </c>
      <c r="P3912">
        <v>19.510000000000002</v>
      </c>
      <c r="R3912">
        <v>5.4</v>
      </c>
      <c r="S3912">
        <v>3.61</v>
      </c>
      <c r="AA3912">
        <v>0.05</v>
      </c>
      <c r="AB3912" t="s">
        <v>6091</v>
      </c>
      <c r="AC3912" t="s">
        <v>15943</v>
      </c>
      <c r="AE3912" t="s">
        <v>31206</v>
      </c>
      <c r="AF3912" t="s">
        <v>31207</v>
      </c>
      <c r="AG3912" t="s">
        <v>13871</v>
      </c>
      <c r="AH3912" t="s">
        <v>31208</v>
      </c>
      <c r="AI3912" t="s">
        <v>31209</v>
      </c>
      <c r="AJ3912" t="s">
        <v>164</v>
      </c>
      <c r="AK3912" t="s">
        <v>11943</v>
      </c>
      <c r="AL3912">
        <v>10.88</v>
      </c>
      <c r="AM3912">
        <v>9.8699999999999992</v>
      </c>
      <c r="AN3912">
        <v>0.01</v>
      </c>
      <c r="AO3912" t="s">
        <v>27798</v>
      </c>
      <c r="AP3912" t="s">
        <v>5114</v>
      </c>
      <c r="AQ3912" t="s">
        <v>4204</v>
      </c>
      <c r="AR3912" t="s">
        <v>1050</v>
      </c>
      <c r="AS3912" t="s">
        <v>2721</v>
      </c>
      <c r="AT3912" t="s">
        <v>7865</v>
      </c>
      <c r="AU3912" t="s">
        <v>11260</v>
      </c>
      <c r="AV3912" t="s">
        <v>658</v>
      </c>
      <c r="AW3912" t="s">
        <v>14841</v>
      </c>
      <c r="AX3912" t="s">
        <v>3335</v>
      </c>
      <c r="AY3912" t="s">
        <v>3347</v>
      </c>
      <c r="AZ3912" t="s">
        <v>18935</v>
      </c>
      <c r="BA3912">
        <v>1</v>
      </c>
      <c r="BB3912">
        <v>771.39</v>
      </c>
      <c r="BC3912">
        <v>0.5</v>
      </c>
      <c r="BD3912">
        <v>10.86</v>
      </c>
      <c r="BE3912">
        <v>11.04</v>
      </c>
      <c r="BF3912">
        <v>10.79</v>
      </c>
      <c r="BG3912" t="s">
        <v>31210</v>
      </c>
      <c r="BH3912" t="s">
        <v>579</v>
      </c>
      <c r="BI3912" t="s">
        <v>31211</v>
      </c>
      <c r="BJ3912" t="s">
        <v>101</v>
      </c>
      <c r="BK3912" t="s">
        <v>31212</v>
      </c>
      <c r="BL3912" t="s">
        <v>299</v>
      </c>
      <c r="BM3912" t="s">
        <v>315</v>
      </c>
      <c r="BN3912" t="s">
        <v>27621</v>
      </c>
    </row>
    <row r="3913" spans="1:66" x14ac:dyDescent="0.25">
      <c r="A3913" t="str">
        <f>HYPERLINK("https://elite.finviz.com/quote.ashx?t=CATX&amp;ty=c&amp;p=d&amp;b=1", "CATX")</f>
        <v>CATX</v>
      </c>
      <c r="B3913">
        <v>4</v>
      </c>
      <c r="C3913">
        <v>105.92</v>
      </c>
      <c r="D3913">
        <v>45.19</v>
      </c>
      <c r="E3913" t="s">
        <v>31213</v>
      </c>
      <c r="F3913" t="s">
        <v>67</v>
      </c>
      <c r="G3913" t="s">
        <v>428</v>
      </c>
      <c r="H3913" t="s">
        <v>2051</v>
      </c>
      <c r="I3913" t="s">
        <v>70</v>
      </c>
      <c r="J3913" t="s">
        <v>383</v>
      </c>
      <c r="K3913">
        <v>239.5</v>
      </c>
      <c r="L3913">
        <v>3.22</v>
      </c>
      <c r="M3913" t="s">
        <v>1837</v>
      </c>
      <c r="N3913">
        <v>132005</v>
      </c>
      <c r="R3913">
        <v>193.14</v>
      </c>
      <c r="S3913">
        <v>0.9</v>
      </c>
      <c r="AA3913">
        <v>-1.32</v>
      </c>
      <c r="AB3913" t="s">
        <v>31214</v>
      </c>
      <c r="AC3913" t="s">
        <v>8115</v>
      </c>
      <c r="AD3913" t="s">
        <v>4707</v>
      </c>
      <c r="AF3913" t="s">
        <v>20380</v>
      </c>
      <c r="AG3913" t="s">
        <v>14765</v>
      </c>
      <c r="AH3913" t="s">
        <v>31215</v>
      </c>
      <c r="AI3913" t="s">
        <v>7867</v>
      </c>
      <c r="AJ3913" t="s">
        <v>2644</v>
      </c>
      <c r="AK3913" t="s">
        <v>17235</v>
      </c>
      <c r="AL3913">
        <v>15.09</v>
      </c>
      <c r="AM3913">
        <v>15.09</v>
      </c>
      <c r="AN3913">
        <v>0.01</v>
      </c>
      <c r="AO3913" t="s">
        <v>31216</v>
      </c>
      <c r="AP3913" t="s">
        <v>31217</v>
      </c>
      <c r="AQ3913" t="s">
        <v>31218</v>
      </c>
      <c r="AR3913" t="s">
        <v>336</v>
      </c>
      <c r="AS3913" t="s">
        <v>5999</v>
      </c>
      <c r="AT3913" t="s">
        <v>4408</v>
      </c>
      <c r="AU3913" t="s">
        <v>1156</v>
      </c>
      <c r="AV3913" t="s">
        <v>891</v>
      </c>
      <c r="AW3913" t="s">
        <v>20177</v>
      </c>
      <c r="AX3913" t="s">
        <v>506</v>
      </c>
      <c r="AY3913" t="s">
        <v>26979</v>
      </c>
      <c r="AZ3913" t="s">
        <v>2800</v>
      </c>
      <c r="BA3913">
        <v>1.1399999999999999</v>
      </c>
      <c r="BB3913">
        <v>871.06</v>
      </c>
      <c r="BC3913">
        <v>0.53</v>
      </c>
      <c r="BD3913">
        <v>3.19</v>
      </c>
      <c r="BE3913">
        <v>3.24</v>
      </c>
      <c r="BF3913">
        <v>3.16</v>
      </c>
      <c r="BG3913" t="s">
        <v>31219</v>
      </c>
      <c r="BH3913" t="s">
        <v>19702</v>
      </c>
      <c r="BI3913" t="s">
        <v>18202</v>
      </c>
      <c r="BJ3913" t="s">
        <v>101</v>
      </c>
      <c r="BK3913" t="s">
        <v>10666</v>
      </c>
      <c r="BL3913" t="s">
        <v>7741</v>
      </c>
      <c r="BM3913" t="s">
        <v>26016</v>
      </c>
      <c r="BN3913" t="s">
        <v>27621</v>
      </c>
    </row>
    <row r="3914" spans="1:66" x14ac:dyDescent="0.25">
      <c r="A3914" t="str">
        <f>HYPERLINK("https://elite.finviz.com/quote.ashx?t=ATMV&amp;ty=c&amp;p=d&amp;b=1", "ATMV")</f>
        <v>ATMV</v>
      </c>
      <c r="B3914">
        <v>4</v>
      </c>
      <c r="C3914">
        <v>105.92</v>
      </c>
      <c r="D3914">
        <v>45.24</v>
      </c>
      <c r="E3914" t="s">
        <v>31220</v>
      </c>
      <c r="F3914" t="s">
        <v>107</v>
      </c>
      <c r="G3914" t="s">
        <v>550</v>
      </c>
      <c r="H3914" t="s">
        <v>2120</v>
      </c>
      <c r="I3914" t="s">
        <v>70</v>
      </c>
      <c r="J3914" t="s">
        <v>321</v>
      </c>
      <c r="K3914">
        <v>48.22</v>
      </c>
      <c r="L3914">
        <v>12.51</v>
      </c>
      <c r="M3914" t="s">
        <v>5488</v>
      </c>
      <c r="N3914">
        <v>2287</v>
      </c>
      <c r="O3914">
        <v>61.41</v>
      </c>
      <c r="S3914">
        <v>2.95</v>
      </c>
      <c r="Z3914" t="s">
        <v>164</v>
      </c>
      <c r="AA3914">
        <v>0.2</v>
      </c>
      <c r="AJ3914" t="s">
        <v>164</v>
      </c>
      <c r="AK3914" t="s">
        <v>17582</v>
      </c>
      <c r="AL3914">
        <v>0.02</v>
      </c>
      <c r="AM3914">
        <v>0.02</v>
      </c>
      <c r="AN3914">
        <v>0.11</v>
      </c>
      <c r="AR3914" t="s">
        <v>18280</v>
      </c>
      <c r="AS3914" t="s">
        <v>9317</v>
      </c>
      <c r="AT3914" t="s">
        <v>2504</v>
      </c>
      <c r="AU3914" t="s">
        <v>608</v>
      </c>
      <c r="AV3914" t="s">
        <v>224</v>
      </c>
      <c r="AW3914" t="s">
        <v>31221</v>
      </c>
      <c r="AX3914" t="s">
        <v>10137</v>
      </c>
      <c r="AY3914" t="s">
        <v>31221</v>
      </c>
      <c r="AZ3914" t="s">
        <v>10137</v>
      </c>
      <c r="BB3914">
        <v>56.02</v>
      </c>
      <c r="BC3914">
        <v>0.15</v>
      </c>
      <c r="BD3914">
        <v>13.35</v>
      </c>
      <c r="BE3914">
        <v>13.38</v>
      </c>
      <c r="BF3914">
        <v>11.6</v>
      </c>
      <c r="BG3914" t="s">
        <v>31222</v>
      </c>
      <c r="BH3914" t="s">
        <v>31221</v>
      </c>
      <c r="BI3914" t="s">
        <v>2567</v>
      </c>
      <c r="BJ3914" t="s">
        <v>101</v>
      </c>
      <c r="BK3914" t="s">
        <v>2877</v>
      </c>
      <c r="BL3914" t="s">
        <v>3186</v>
      </c>
      <c r="BM3914" t="s">
        <v>7807</v>
      </c>
      <c r="BN3914" t="s">
        <v>27621</v>
      </c>
    </row>
    <row r="3915" spans="1:66" x14ac:dyDescent="0.25">
      <c r="A3915" t="str">
        <f>HYPERLINK("https://elite.finviz.com/quote.ashx?t=BOC&amp;ty=c&amp;p=d&amp;b=1", "BOC")</f>
        <v>BOC</v>
      </c>
      <c r="B3915">
        <v>4</v>
      </c>
      <c r="C3915">
        <v>105.92</v>
      </c>
      <c r="D3915">
        <v>45.24</v>
      </c>
      <c r="E3915" t="s">
        <v>31223</v>
      </c>
      <c r="F3915" t="s">
        <v>67</v>
      </c>
      <c r="G3915" t="s">
        <v>260</v>
      </c>
      <c r="H3915" t="s">
        <v>2508</v>
      </c>
      <c r="I3915" t="s">
        <v>70</v>
      </c>
      <c r="J3915" t="s">
        <v>71</v>
      </c>
      <c r="K3915">
        <v>412.67</v>
      </c>
      <c r="L3915">
        <v>13.12</v>
      </c>
      <c r="M3915" t="s">
        <v>84</v>
      </c>
      <c r="N3915">
        <v>10119</v>
      </c>
      <c r="O3915">
        <v>531.16999999999996</v>
      </c>
      <c r="R3915">
        <v>3.7</v>
      </c>
      <c r="S3915">
        <v>0.78</v>
      </c>
      <c r="AA3915">
        <v>0.02</v>
      </c>
      <c r="AC3915" t="s">
        <v>660</v>
      </c>
      <c r="AE3915" t="s">
        <v>9515</v>
      </c>
      <c r="AF3915" t="s">
        <v>13432</v>
      </c>
      <c r="AG3915" t="s">
        <v>6892</v>
      </c>
      <c r="AH3915" t="s">
        <v>2170</v>
      </c>
      <c r="AI3915" t="s">
        <v>15767</v>
      </c>
      <c r="AJ3915" t="s">
        <v>164</v>
      </c>
      <c r="AK3915" t="s">
        <v>31224</v>
      </c>
      <c r="AL3915">
        <v>2.0499999999999998</v>
      </c>
      <c r="AM3915">
        <v>2.0499999999999998</v>
      </c>
      <c r="AN3915">
        <v>0.2</v>
      </c>
      <c r="AO3915" t="s">
        <v>4295</v>
      </c>
      <c r="AP3915" t="s">
        <v>7193</v>
      </c>
      <c r="AQ3915" t="s">
        <v>5253</v>
      </c>
      <c r="AR3915" t="s">
        <v>7322</v>
      </c>
      <c r="AS3915" t="s">
        <v>2868</v>
      </c>
      <c r="AT3915" t="s">
        <v>789</v>
      </c>
      <c r="AU3915" t="s">
        <v>4938</v>
      </c>
      <c r="AV3915" t="s">
        <v>1529</v>
      </c>
      <c r="AW3915" t="s">
        <v>8670</v>
      </c>
      <c r="AX3915" t="s">
        <v>1215</v>
      </c>
      <c r="AY3915" t="s">
        <v>17649</v>
      </c>
      <c r="AZ3915" t="s">
        <v>1215</v>
      </c>
      <c r="BA3915">
        <v>2</v>
      </c>
      <c r="BB3915">
        <v>188.23</v>
      </c>
      <c r="BC3915">
        <v>0.19</v>
      </c>
      <c r="BD3915">
        <v>13.02</v>
      </c>
      <c r="BE3915">
        <v>13.12</v>
      </c>
      <c r="BF3915">
        <v>13.01</v>
      </c>
      <c r="BG3915" t="s">
        <v>31225</v>
      </c>
      <c r="BH3915" t="s">
        <v>31226</v>
      </c>
      <c r="BI3915" t="s">
        <v>4293</v>
      </c>
      <c r="BJ3915" t="s">
        <v>101</v>
      </c>
      <c r="BK3915" t="s">
        <v>14645</v>
      </c>
      <c r="BL3915" t="s">
        <v>10687</v>
      </c>
      <c r="BM3915" t="s">
        <v>8792</v>
      </c>
      <c r="BN3915" t="s">
        <v>27621</v>
      </c>
    </row>
    <row r="3916" spans="1:66" x14ac:dyDescent="0.25">
      <c r="A3916" t="str">
        <f>HYPERLINK("https://elite.finviz.com/quote.ashx?t=HBT&amp;ty=c&amp;p=d&amp;b=1", "HBT")</f>
        <v>HBT</v>
      </c>
      <c r="B3916">
        <v>4</v>
      </c>
      <c r="C3916">
        <v>105.92</v>
      </c>
      <c r="D3916">
        <v>45.25</v>
      </c>
      <c r="E3916" t="s">
        <v>31227</v>
      </c>
      <c r="F3916" t="s">
        <v>67</v>
      </c>
      <c r="G3916" t="s">
        <v>550</v>
      </c>
      <c r="H3916" t="s">
        <v>697</v>
      </c>
      <c r="I3916" t="s">
        <v>70</v>
      </c>
      <c r="J3916" t="s">
        <v>321</v>
      </c>
      <c r="K3916">
        <v>800.93</v>
      </c>
      <c r="L3916">
        <v>25.43</v>
      </c>
      <c r="M3916" t="s">
        <v>4809</v>
      </c>
      <c r="N3916">
        <v>3790</v>
      </c>
      <c r="O3916">
        <v>10.49</v>
      </c>
      <c r="P3916">
        <v>10.41</v>
      </c>
      <c r="R3916">
        <v>2.74</v>
      </c>
      <c r="S3916">
        <v>1.38</v>
      </c>
      <c r="T3916" t="s">
        <v>6770</v>
      </c>
      <c r="U3916">
        <v>0.82</v>
      </c>
      <c r="V3916" t="s">
        <v>6057</v>
      </c>
      <c r="W3916" t="s">
        <v>1199</v>
      </c>
      <c r="X3916" t="s">
        <v>2861</v>
      </c>
      <c r="Z3916" t="s">
        <v>8683</v>
      </c>
      <c r="AA3916">
        <v>2.42</v>
      </c>
      <c r="AB3916" t="s">
        <v>4324</v>
      </c>
      <c r="AC3916" t="s">
        <v>502</v>
      </c>
      <c r="AD3916" t="s">
        <v>6614</v>
      </c>
      <c r="AE3916" t="s">
        <v>2035</v>
      </c>
      <c r="AF3916" t="s">
        <v>1814</v>
      </c>
      <c r="AG3916" t="s">
        <v>8240</v>
      </c>
      <c r="AH3916" t="s">
        <v>4308</v>
      </c>
      <c r="AI3916" t="s">
        <v>2809</v>
      </c>
      <c r="AJ3916" t="s">
        <v>164</v>
      </c>
      <c r="AK3916" t="s">
        <v>16326</v>
      </c>
      <c r="AL3916">
        <v>0.06</v>
      </c>
      <c r="AN3916">
        <v>0.17</v>
      </c>
      <c r="AP3916" t="s">
        <v>27553</v>
      </c>
      <c r="AQ3916" t="s">
        <v>5690</v>
      </c>
      <c r="AR3916" t="s">
        <v>3494</v>
      </c>
      <c r="AS3916" t="s">
        <v>1599</v>
      </c>
      <c r="AT3916" t="s">
        <v>4501</v>
      </c>
      <c r="AU3916" t="s">
        <v>7270</v>
      </c>
      <c r="AV3916" t="s">
        <v>3057</v>
      </c>
      <c r="AW3916" t="s">
        <v>11702</v>
      </c>
      <c r="AX3916" t="s">
        <v>1955</v>
      </c>
      <c r="AY3916" t="s">
        <v>11702</v>
      </c>
      <c r="AZ3916" t="s">
        <v>17227</v>
      </c>
      <c r="BA3916">
        <v>2</v>
      </c>
      <c r="BB3916">
        <v>34.39</v>
      </c>
      <c r="BC3916">
        <v>0.39</v>
      </c>
      <c r="BD3916">
        <v>25.56</v>
      </c>
      <c r="BE3916">
        <v>25.95</v>
      </c>
      <c r="BF3916">
        <v>25.95</v>
      </c>
      <c r="BG3916" t="s">
        <v>31228</v>
      </c>
      <c r="BH3916" t="s">
        <v>11702</v>
      </c>
      <c r="BI3916" t="s">
        <v>31229</v>
      </c>
      <c r="BJ3916" t="s">
        <v>101</v>
      </c>
      <c r="BK3916" t="s">
        <v>4849</v>
      </c>
      <c r="BL3916" t="s">
        <v>6587</v>
      </c>
      <c r="BM3916" t="s">
        <v>7419</v>
      </c>
      <c r="BN3916" t="s">
        <v>27621</v>
      </c>
    </row>
    <row r="3917" spans="1:66" x14ac:dyDescent="0.25">
      <c r="A3917" t="str">
        <f>HYPERLINK("https://elite.finviz.com/quote.ashx?t=MODD&amp;ty=c&amp;p=d&amp;b=1", "MODD")</f>
        <v>MODD</v>
      </c>
      <c r="B3917">
        <v>4</v>
      </c>
      <c r="C3917">
        <v>105.92</v>
      </c>
      <c r="D3917">
        <v>45.28</v>
      </c>
      <c r="E3917" t="s">
        <v>31230</v>
      </c>
      <c r="F3917" t="s">
        <v>107</v>
      </c>
      <c r="G3917" t="s">
        <v>428</v>
      </c>
      <c r="H3917" t="s">
        <v>2051</v>
      </c>
      <c r="I3917" t="s">
        <v>70</v>
      </c>
      <c r="J3917" t="s">
        <v>321</v>
      </c>
      <c r="K3917">
        <v>38.69</v>
      </c>
      <c r="L3917">
        <v>0.7</v>
      </c>
      <c r="M3917" t="s">
        <v>2197</v>
      </c>
      <c r="N3917">
        <v>112178</v>
      </c>
      <c r="S3917">
        <v>3.27</v>
      </c>
      <c r="AA3917">
        <v>-0.51</v>
      </c>
      <c r="AB3917" t="s">
        <v>20765</v>
      </c>
      <c r="AC3917" t="s">
        <v>5193</v>
      </c>
      <c r="AI3917" t="s">
        <v>164</v>
      </c>
      <c r="AJ3917" t="s">
        <v>164</v>
      </c>
      <c r="AK3917" t="s">
        <v>1163</v>
      </c>
      <c r="AL3917">
        <v>4.04</v>
      </c>
      <c r="AM3917">
        <v>4.04</v>
      </c>
      <c r="AN3917">
        <v>0.06</v>
      </c>
      <c r="AR3917" t="s">
        <v>3429</v>
      </c>
      <c r="AS3917" t="s">
        <v>723</v>
      </c>
      <c r="AT3917" t="s">
        <v>3328</v>
      </c>
      <c r="AU3917" t="s">
        <v>3328</v>
      </c>
      <c r="AV3917" t="s">
        <v>31231</v>
      </c>
      <c r="AW3917" t="s">
        <v>6395</v>
      </c>
      <c r="AX3917" t="s">
        <v>661</v>
      </c>
      <c r="AY3917" t="s">
        <v>8339</v>
      </c>
      <c r="AZ3917" t="s">
        <v>821</v>
      </c>
      <c r="BA3917">
        <v>1</v>
      </c>
      <c r="BB3917">
        <v>488.03</v>
      </c>
      <c r="BC3917">
        <v>0.82</v>
      </c>
      <c r="BD3917">
        <v>0.7</v>
      </c>
      <c r="BE3917">
        <v>0.7</v>
      </c>
      <c r="BF3917">
        <v>0.69</v>
      </c>
      <c r="BG3917" t="s">
        <v>31232</v>
      </c>
      <c r="BH3917" t="s">
        <v>31233</v>
      </c>
      <c r="BI3917" t="s">
        <v>1001</v>
      </c>
      <c r="BJ3917" t="s">
        <v>101</v>
      </c>
      <c r="BK3917" t="s">
        <v>3500</v>
      </c>
      <c r="BL3917" t="s">
        <v>30223</v>
      </c>
      <c r="BM3917" t="s">
        <v>31234</v>
      </c>
      <c r="BN3917" t="s">
        <v>27621</v>
      </c>
    </row>
    <row r="3918" spans="1:66" x14ac:dyDescent="0.25">
      <c r="A3918" t="str">
        <f>HYPERLINK("https://elite.finviz.com/quote.ashx?t=FELE&amp;ty=c&amp;p=d&amp;b=1", "FELE")</f>
        <v>FELE</v>
      </c>
      <c r="B3918">
        <v>4</v>
      </c>
      <c r="C3918">
        <v>105.92</v>
      </c>
      <c r="D3918">
        <v>45.29</v>
      </c>
      <c r="E3918" t="s">
        <v>31235</v>
      </c>
      <c r="F3918" t="s">
        <v>67</v>
      </c>
      <c r="G3918" t="s">
        <v>260</v>
      </c>
      <c r="H3918" t="s">
        <v>261</v>
      </c>
      <c r="I3918" t="s">
        <v>70</v>
      </c>
      <c r="J3918" t="s">
        <v>321</v>
      </c>
      <c r="K3918">
        <v>4192.01</v>
      </c>
      <c r="L3918">
        <v>94.24</v>
      </c>
      <c r="M3918" t="s">
        <v>2642</v>
      </c>
      <c r="N3918">
        <v>18865</v>
      </c>
      <c r="O3918">
        <v>24.37</v>
      </c>
      <c r="P3918">
        <v>19.64</v>
      </c>
      <c r="R3918">
        <v>2.04</v>
      </c>
      <c r="S3918">
        <v>3.32</v>
      </c>
      <c r="T3918" t="s">
        <v>2219</v>
      </c>
      <c r="U3918">
        <v>1.04</v>
      </c>
      <c r="V3918" t="s">
        <v>2420</v>
      </c>
      <c r="W3918" t="s">
        <v>821</v>
      </c>
      <c r="X3918" t="s">
        <v>5224</v>
      </c>
      <c r="Y3918" t="s">
        <v>8051</v>
      </c>
      <c r="Z3918" t="s">
        <v>116</v>
      </c>
      <c r="AA3918">
        <v>3.87</v>
      </c>
      <c r="AB3918" t="s">
        <v>4907</v>
      </c>
      <c r="AC3918" t="s">
        <v>5798</v>
      </c>
      <c r="AE3918" t="s">
        <v>2876</v>
      </c>
      <c r="AF3918" t="s">
        <v>437</v>
      </c>
      <c r="AG3918" t="s">
        <v>1133</v>
      </c>
      <c r="AH3918" t="s">
        <v>6791</v>
      </c>
      <c r="AI3918" t="s">
        <v>2087</v>
      </c>
      <c r="AJ3918" t="s">
        <v>4431</v>
      </c>
      <c r="AK3918" t="s">
        <v>5414</v>
      </c>
      <c r="AL3918">
        <v>1.72</v>
      </c>
      <c r="AM3918">
        <v>0.77</v>
      </c>
      <c r="AN3918">
        <v>0.27</v>
      </c>
      <c r="AO3918" t="s">
        <v>870</v>
      </c>
      <c r="AP3918" t="s">
        <v>11867</v>
      </c>
      <c r="AQ3918" t="s">
        <v>2428</v>
      </c>
      <c r="AR3918" t="s">
        <v>908</v>
      </c>
      <c r="AS3918" t="s">
        <v>617</v>
      </c>
      <c r="AT3918" t="s">
        <v>298</v>
      </c>
      <c r="AU3918" t="s">
        <v>4065</v>
      </c>
      <c r="AV3918" t="s">
        <v>8425</v>
      </c>
      <c r="AW3918" t="s">
        <v>7402</v>
      </c>
      <c r="AX3918" t="s">
        <v>2542</v>
      </c>
      <c r="AY3918" t="s">
        <v>12607</v>
      </c>
      <c r="AZ3918" t="s">
        <v>7225</v>
      </c>
      <c r="BA3918">
        <v>2</v>
      </c>
      <c r="BB3918">
        <v>257.29000000000002</v>
      </c>
      <c r="BC3918">
        <v>0.26</v>
      </c>
      <c r="BD3918">
        <v>93.9</v>
      </c>
      <c r="BE3918">
        <v>94.5</v>
      </c>
      <c r="BF3918">
        <v>93.78</v>
      </c>
      <c r="BG3918" t="s">
        <v>31236</v>
      </c>
      <c r="BH3918" t="s">
        <v>12607</v>
      </c>
      <c r="BI3918" t="s">
        <v>31237</v>
      </c>
      <c r="BJ3918" t="s">
        <v>101</v>
      </c>
      <c r="BK3918" t="s">
        <v>3520</v>
      </c>
      <c r="BL3918" t="s">
        <v>79</v>
      </c>
      <c r="BM3918" t="s">
        <v>9635</v>
      </c>
      <c r="BN3918" t="s">
        <v>27621</v>
      </c>
    </row>
    <row r="3919" spans="1:66" x14ac:dyDescent="0.25">
      <c r="A3919" t="str">
        <f>HYPERLINK("https://elite.finviz.com/quote.ashx?t=APYX&amp;ty=c&amp;p=d&amp;b=1", "APYX")</f>
        <v>APYX</v>
      </c>
      <c r="B3919">
        <v>4</v>
      </c>
      <c r="C3919">
        <v>105.92</v>
      </c>
      <c r="D3919">
        <v>45.29</v>
      </c>
      <c r="E3919" t="s">
        <v>31238</v>
      </c>
      <c r="F3919" t="s">
        <v>107</v>
      </c>
      <c r="G3919" t="s">
        <v>428</v>
      </c>
      <c r="H3919" t="s">
        <v>2051</v>
      </c>
      <c r="I3919" t="s">
        <v>70</v>
      </c>
      <c r="J3919" t="s">
        <v>321</v>
      </c>
      <c r="K3919">
        <v>75.260000000000005</v>
      </c>
      <c r="L3919">
        <v>1.99</v>
      </c>
      <c r="M3919" t="s">
        <v>4316</v>
      </c>
      <c r="N3919">
        <v>3851</v>
      </c>
      <c r="R3919">
        <v>1.62</v>
      </c>
      <c r="S3919">
        <v>10.37</v>
      </c>
      <c r="AA3919">
        <v>-0.45</v>
      </c>
      <c r="AB3919" t="s">
        <v>2088</v>
      </c>
      <c r="AC3919" t="s">
        <v>7262</v>
      </c>
      <c r="AD3919" t="s">
        <v>3858</v>
      </c>
      <c r="AE3919" t="s">
        <v>11567</v>
      </c>
      <c r="AF3919" t="s">
        <v>2003</v>
      </c>
      <c r="AG3919" t="s">
        <v>3920</v>
      </c>
      <c r="AH3919" t="s">
        <v>677</v>
      </c>
      <c r="AI3919" t="s">
        <v>3205</v>
      </c>
      <c r="AJ3919" t="s">
        <v>164</v>
      </c>
      <c r="AK3919" t="s">
        <v>16294</v>
      </c>
      <c r="AL3919">
        <v>4.72</v>
      </c>
      <c r="AM3919">
        <v>3.95</v>
      </c>
      <c r="AN3919">
        <v>5.39</v>
      </c>
      <c r="AO3919" t="s">
        <v>4949</v>
      </c>
      <c r="AP3919" t="s">
        <v>12198</v>
      </c>
      <c r="AQ3919" t="s">
        <v>18925</v>
      </c>
      <c r="AR3919" t="s">
        <v>5726</v>
      </c>
      <c r="AS3919" t="s">
        <v>8960</v>
      </c>
      <c r="AT3919" t="s">
        <v>12575</v>
      </c>
      <c r="AU3919" t="s">
        <v>5246</v>
      </c>
      <c r="AV3919" t="s">
        <v>14500</v>
      </c>
      <c r="AW3919" t="s">
        <v>21209</v>
      </c>
      <c r="AX3919" t="s">
        <v>6792</v>
      </c>
      <c r="AY3919" t="s">
        <v>24339</v>
      </c>
      <c r="AZ3919" t="s">
        <v>31239</v>
      </c>
      <c r="BA3919">
        <v>2.33</v>
      </c>
      <c r="BB3919">
        <v>85.06</v>
      </c>
      <c r="BC3919">
        <v>0.16</v>
      </c>
      <c r="BD3919">
        <v>2.0499999999999998</v>
      </c>
      <c r="BE3919">
        <v>2.06</v>
      </c>
      <c r="BF3919">
        <v>2</v>
      </c>
      <c r="BG3919" t="s">
        <v>31240</v>
      </c>
      <c r="BH3919" t="s">
        <v>314</v>
      </c>
      <c r="BI3919" t="s">
        <v>31241</v>
      </c>
      <c r="BJ3919" t="s">
        <v>101</v>
      </c>
      <c r="BK3919" t="s">
        <v>8230</v>
      </c>
      <c r="BL3919" t="s">
        <v>23488</v>
      </c>
      <c r="BM3919" t="s">
        <v>5317</v>
      </c>
      <c r="BN3919" t="s">
        <v>27621</v>
      </c>
    </row>
    <row r="3920" spans="1:66" x14ac:dyDescent="0.25">
      <c r="A3920" t="str">
        <f>HYPERLINK("https://elite.finviz.com/quote.ashx?t=BL&amp;ty=c&amp;p=d&amp;b=1", "BL")</f>
        <v>BL</v>
      </c>
      <c r="B3920">
        <v>4</v>
      </c>
      <c r="C3920">
        <v>105.92</v>
      </c>
      <c r="D3920">
        <v>45.31</v>
      </c>
      <c r="E3920" t="s">
        <v>31242</v>
      </c>
      <c r="F3920" t="s">
        <v>67</v>
      </c>
      <c r="G3920" t="s">
        <v>108</v>
      </c>
      <c r="H3920" t="s">
        <v>136</v>
      </c>
      <c r="I3920" t="s">
        <v>70</v>
      </c>
      <c r="J3920" t="s">
        <v>321</v>
      </c>
      <c r="K3920">
        <v>3267.67</v>
      </c>
      <c r="L3920">
        <v>52.8</v>
      </c>
      <c r="M3920" t="s">
        <v>306</v>
      </c>
      <c r="N3920">
        <v>73893</v>
      </c>
      <c r="O3920">
        <v>42.48</v>
      </c>
      <c r="P3920">
        <v>22.56</v>
      </c>
      <c r="Q3920">
        <v>4.74</v>
      </c>
      <c r="R3920">
        <v>4.8499999999999996</v>
      </c>
      <c r="S3920">
        <v>7.89</v>
      </c>
      <c r="Z3920" t="s">
        <v>164</v>
      </c>
      <c r="AA3920">
        <v>1.24</v>
      </c>
      <c r="AD3920" t="s">
        <v>875</v>
      </c>
      <c r="AE3920" t="s">
        <v>4293</v>
      </c>
      <c r="AF3920" t="s">
        <v>7400</v>
      </c>
      <c r="AG3920" t="s">
        <v>5627</v>
      </c>
      <c r="AH3920" t="s">
        <v>3121</v>
      </c>
      <c r="AI3920" t="s">
        <v>1547</v>
      </c>
      <c r="AJ3920" t="s">
        <v>1249</v>
      </c>
      <c r="AK3920" t="s">
        <v>31243</v>
      </c>
      <c r="AL3920">
        <v>1.64</v>
      </c>
      <c r="AM3920">
        <v>1.64</v>
      </c>
      <c r="AN3920">
        <v>2.23</v>
      </c>
      <c r="AO3920" t="s">
        <v>31244</v>
      </c>
      <c r="AP3920" t="s">
        <v>1950</v>
      </c>
      <c r="AQ3920" t="s">
        <v>7883</v>
      </c>
      <c r="AR3920" t="s">
        <v>5736</v>
      </c>
      <c r="AS3920" t="s">
        <v>901</v>
      </c>
      <c r="AT3920" t="s">
        <v>1356</v>
      </c>
      <c r="AU3920" t="s">
        <v>9075</v>
      </c>
      <c r="AV3920" t="s">
        <v>11805</v>
      </c>
      <c r="AW3920" t="s">
        <v>5939</v>
      </c>
      <c r="AX3920" t="s">
        <v>4852</v>
      </c>
      <c r="AY3920" t="s">
        <v>11946</v>
      </c>
      <c r="AZ3920" t="s">
        <v>2966</v>
      </c>
      <c r="BA3920">
        <v>2.4700000000000002</v>
      </c>
      <c r="BB3920">
        <v>743.17</v>
      </c>
      <c r="BC3920">
        <v>0.35</v>
      </c>
      <c r="BD3920">
        <v>52.48</v>
      </c>
      <c r="BE3920">
        <v>52.91</v>
      </c>
      <c r="BF3920">
        <v>52.3</v>
      </c>
      <c r="BG3920" t="s">
        <v>31245</v>
      </c>
      <c r="BH3920" t="s">
        <v>31246</v>
      </c>
      <c r="BI3920" t="s">
        <v>1536</v>
      </c>
      <c r="BJ3920" t="s">
        <v>101</v>
      </c>
      <c r="BK3920" t="s">
        <v>15764</v>
      </c>
      <c r="BL3920" t="s">
        <v>6226</v>
      </c>
      <c r="BM3920" t="s">
        <v>6770</v>
      </c>
      <c r="BN3920" t="s">
        <v>27621</v>
      </c>
    </row>
    <row r="3921" spans="1:66" x14ac:dyDescent="0.25">
      <c r="A3921" t="str">
        <f>HYPERLINK("https://elite.finviz.com/quote.ashx?t=AMN&amp;ty=c&amp;p=d&amp;b=1", "AMN")</f>
        <v>AMN</v>
      </c>
      <c r="B3921">
        <v>4</v>
      </c>
      <c r="C3921">
        <v>105.92</v>
      </c>
      <c r="D3921">
        <v>45.32</v>
      </c>
      <c r="E3921" t="s">
        <v>31247</v>
      </c>
      <c r="F3921" t="s">
        <v>67</v>
      </c>
      <c r="G3921" t="s">
        <v>428</v>
      </c>
      <c r="H3921" t="s">
        <v>3160</v>
      </c>
      <c r="I3921" t="s">
        <v>70</v>
      </c>
      <c r="J3921" t="s">
        <v>71</v>
      </c>
      <c r="K3921">
        <v>711.68</v>
      </c>
      <c r="L3921">
        <v>18.57</v>
      </c>
      <c r="M3921" t="s">
        <v>1453</v>
      </c>
      <c r="N3921">
        <v>96496</v>
      </c>
      <c r="P3921">
        <v>17.649999999999999</v>
      </c>
      <c r="R3921">
        <v>0.26</v>
      </c>
      <c r="S3921">
        <v>1.17</v>
      </c>
      <c r="AA3921">
        <v>-7.77</v>
      </c>
      <c r="AD3921" t="s">
        <v>14534</v>
      </c>
      <c r="AE3921" t="s">
        <v>26136</v>
      </c>
      <c r="AF3921" t="s">
        <v>10972</v>
      </c>
      <c r="AG3921" t="s">
        <v>7541</v>
      </c>
      <c r="AH3921" t="s">
        <v>25804</v>
      </c>
      <c r="AI3921" t="s">
        <v>11469</v>
      </c>
      <c r="AJ3921" t="s">
        <v>164</v>
      </c>
      <c r="AK3921" t="s">
        <v>31248</v>
      </c>
      <c r="AL3921">
        <v>1</v>
      </c>
      <c r="AM3921">
        <v>1</v>
      </c>
      <c r="AN3921">
        <v>1.57</v>
      </c>
      <c r="AO3921" t="s">
        <v>1185</v>
      </c>
      <c r="AP3921" t="s">
        <v>5420</v>
      </c>
      <c r="AQ3921" t="s">
        <v>14502</v>
      </c>
      <c r="AR3921" t="s">
        <v>5554</v>
      </c>
      <c r="AS3921" t="s">
        <v>3343</v>
      </c>
      <c r="AT3921" t="s">
        <v>9160</v>
      </c>
      <c r="AU3921" t="s">
        <v>997</v>
      </c>
      <c r="AV3921" t="s">
        <v>15397</v>
      </c>
      <c r="AW3921" t="s">
        <v>2988</v>
      </c>
      <c r="AX3921" t="s">
        <v>12187</v>
      </c>
      <c r="AY3921" t="s">
        <v>25094</v>
      </c>
      <c r="AZ3921" t="s">
        <v>12187</v>
      </c>
      <c r="BA3921">
        <v>2.44</v>
      </c>
      <c r="BB3921">
        <v>969.25</v>
      </c>
      <c r="BC3921">
        <v>0.35</v>
      </c>
      <c r="BD3921">
        <v>17.91</v>
      </c>
      <c r="BE3921">
        <v>18.579999999999998</v>
      </c>
      <c r="BF3921">
        <v>17.93</v>
      </c>
      <c r="BG3921" t="s">
        <v>31249</v>
      </c>
      <c r="BH3921" t="s">
        <v>31250</v>
      </c>
      <c r="BI3921" t="s">
        <v>31251</v>
      </c>
      <c r="BJ3921" t="s">
        <v>101</v>
      </c>
      <c r="BK3921" t="s">
        <v>10906</v>
      </c>
      <c r="BL3921" t="s">
        <v>1335</v>
      </c>
      <c r="BM3921" t="s">
        <v>14784</v>
      </c>
      <c r="BN3921" t="s">
        <v>27621</v>
      </c>
    </row>
    <row r="3922" spans="1:66" x14ac:dyDescent="0.25">
      <c r="A3922" t="str">
        <f>HYPERLINK("https://elite.finviz.com/quote.ashx?t=PMT&amp;ty=c&amp;p=d&amp;b=1", "PMT")</f>
        <v>PMT</v>
      </c>
      <c r="B3922">
        <v>4</v>
      </c>
      <c r="C3922">
        <v>105.92</v>
      </c>
      <c r="D3922">
        <v>45.33</v>
      </c>
      <c r="E3922" t="s">
        <v>31252</v>
      </c>
      <c r="F3922" t="s">
        <v>67</v>
      </c>
      <c r="G3922" t="s">
        <v>68</v>
      </c>
      <c r="H3922" t="s">
        <v>5566</v>
      </c>
      <c r="I3922" t="s">
        <v>70</v>
      </c>
      <c r="J3922" t="s">
        <v>71</v>
      </c>
      <c r="K3922">
        <v>1052.04</v>
      </c>
      <c r="L3922">
        <v>12.09</v>
      </c>
      <c r="M3922" t="s">
        <v>4539</v>
      </c>
      <c r="N3922">
        <v>60666</v>
      </c>
      <c r="O3922">
        <v>16.690000000000001</v>
      </c>
      <c r="P3922">
        <v>7.86</v>
      </c>
      <c r="Q3922">
        <v>2.65</v>
      </c>
      <c r="R3922">
        <v>0.68</v>
      </c>
      <c r="S3922">
        <v>0.79</v>
      </c>
      <c r="T3922" t="s">
        <v>2709</v>
      </c>
      <c r="U3922">
        <v>1.6</v>
      </c>
      <c r="V3922" t="s">
        <v>5056</v>
      </c>
      <c r="W3922" t="s">
        <v>164</v>
      </c>
      <c r="X3922" t="s">
        <v>15164</v>
      </c>
      <c r="Y3922" t="s">
        <v>3322</v>
      </c>
      <c r="Z3922" t="s">
        <v>31253</v>
      </c>
      <c r="AA3922">
        <v>0.72</v>
      </c>
      <c r="AB3922" t="s">
        <v>31254</v>
      </c>
      <c r="AC3922" t="s">
        <v>6205</v>
      </c>
      <c r="AD3922" t="s">
        <v>336</v>
      </c>
      <c r="AE3922" t="s">
        <v>6493</v>
      </c>
      <c r="AF3922" t="s">
        <v>747</v>
      </c>
      <c r="AG3922" t="s">
        <v>5120</v>
      </c>
      <c r="AH3922" t="s">
        <v>3184</v>
      </c>
      <c r="AI3922" t="s">
        <v>31255</v>
      </c>
      <c r="AJ3922" t="s">
        <v>5055</v>
      </c>
      <c r="AK3922" t="s">
        <v>26974</v>
      </c>
      <c r="AL3922">
        <v>0.05</v>
      </c>
      <c r="AM3922">
        <v>0.05</v>
      </c>
      <c r="AN3922">
        <v>7.8</v>
      </c>
      <c r="AO3922" t="s">
        <v>25262</v>
      </c>
      <c r="AP3922" t="s">
        <v>9863</v>
      </c>
      <c r="AQ3922" t="s">
        <v>1751</v>
      </c>
      <c r="AR3922" t="s">
        <v>3024</v>
      </c>
      <c r="AS3922" t="s">
        <v>6990</v>
      </c>
      <c r="AT3922" t="s">
        <v>4953</v>
      </c>
      <c r="AU3922" t="s">
        <v>7568</v>
      </c>
      <c r="AV3922" t="s">
        <v>137</v>
      </c>
      <c r="AW3922" t="s">
        <v>9704</v>
      </c>
      <c r="AX3922" t="s">
        <v>4189</v>
      </c>
      <c r="AY3922" t="s">
        <v>9120</v>
      </c>
      <c r="AZ3922" t="s">
        <v>4189</v>
      </c>
      <c r="BA3922">
        <v>3</v>
      </c>
      <c r="BB3922">
        <v>795.75</v>
      </c>
      <c r="BC3922">
        <v>0.27</v>
      </c>
      <c r="BD3922">
        <v>12.08</v>
      </c>
      <c r="BE3922">
        <v>12.19</v>
      </c>
      <c r="BF3922">
        <v>12.1</v>
      </c>
      <c r="BG3922" t="s">
        <v>31256</v>
      </c>
      <c r="BH3922" t="s">
        <v>26991</v>
      </c>
      <c r="BI3922" t="s">
        <v>31257</v>
      </c>
      <c r="BJ3922" t="s">
        <v>101</v>
      </c>
      <c r="BK3922" t="s">
        <v>16056</v>
      </c>
      <c r="BL3922" t="s">
        <v>1094</v>
      </c>
      <c r="BM3922" t="s">
        <v>6907</v>
      </c>
      <c r="BN3922" t="s">
        <v>27621</v>
      </c>
    </row>
    <row r="3923" spans="1:66" x14ac:dyDescent="0.25">
      <c r="A3923" t="str">
        <f>HYPERLINK("https://elite.finviz.com/quote.ashx?t=GRCE&amp;ty=c&amp;p=d&amp;b=1", "GRCE")</f>
        <v>GRCE</v>
      </c>
      <c r="B3923">
        <v>4</v>
      </c>
      <c r="C3923">
        <v>105.92</v>
      </c>
      <c r="D3923">
        <v>45.36</v>
      </c>
      <c r="E3923" t="s">
        <v>31258</v>
      </c>
      <c r="F3923" t="s">
        <v>107</v>
      </c>
      <c r="G3923" t="s">
        <v>428</v>
      </c>
      <c r="H3923" t="s">
        <v>429</v>
      </c>
      <c r="I3923" t="s">
        <v>70</v>
      </c>
      <c r="J3923" t="s">
        <v>321</v>
      </c>
      <c r="K3923">
        <v>42.45</v>
      </c>
      <c r="L3923">
        <v>3.07</v>
      </c>
      <c r="M3923" t="s">
        <v>124</v>
      </c>
      <c r="N3923">
        <v>7584</v>
      </c>
      <c r="S3923">
        <v>0.67</v>
      </c>
      <c r="AA3923">
        <v>-0.82</v>
      </c>
      <c r="AB3923" t="s">
        <v>3337</v>
      </c>
      <c r="AC3923" t="s">
        <v>25398</v>
      </c>
      <c r="AI3923" t="s">
        <v>4104</v>
      </c>
      <c r="AJ3923" t="s">
        <v>164</v>
      </c>
      <c r="AK3923" t="s">
        <v>7389</v>
      </c>
      <c r="AL3923">
        <v>8.8699999999999992</v>
      </c>
      <c r="AM3923">
        <v>8.8699999999999992</v>
      </c>
      <c r="AN3923">
        <v>0</v>
      </c>
      <c r="AR3923" t="s">
        <v>633</v>
      </c>
      <c r="AS3923" t="s">
        <v>2108</v>
      </c>
      <c r="AT3923" t="s">
        <v>3937</v>
      </c>
      <c r="AU3923" t="s">
        <v>133</v>
      </c>
      <c r="AV3923" t="s">
        <v>4782</v>
      </c>
      <c r="AW3923" t="s">
        <v>23695</v>
      </c>
      <c r="AX3923" t="s">
        <v>127</v>
      </c>
      <c r="AY3923" t="s">
        <v>26160</v>
      </c>
      <c r="AZ3923" t="s">
        <v>118</v>
      </c>
      <c r="BA3923">
        <v>1</v>
      </c>
      <c r="BB3923">
        <v>80.09</v>
      </c>
      <c r="BC3923">
        <v>0.33</v>
      </c>
      <c r="BD3923">
        <v>3.08</v>
      </c>
      <c r="BE3923">
        <v>3.07</v>
      </c>
      <c r="BF3923">
        <v>3.04</v>
      </c>
      <c r="BG3923" t="s">
        <v>31259</v>
      </c>
      <c r="BH3923" t="s">
        <v>1432</v>
      </c>
      <c r="BI3923" t="s">
        <v>29529</v>
      </c>
      <c r="BJ3923" t="s">
        <v>101</v>
      </c>
      <c r="BK3923" t="s">
        <v>3542</v>
      </c>
      <c r="BL3923" t="s">
        <v>643</v>
      </c>
      <c r="BM3923" t="s">
        <v>7789</v>
      </c>
      <c r="BN3923" t="s">
        <v>27621</v>
      </c>
    </row>
    <row r="3924" spans="1:66" x14ac:dyDescent="0.25">
      <c r="A3924" t="str">
        <f>HYPERLINK("https://elite.finviz.com/quote.ashx?t=SKLZ&amp;ty=c&amp;p=d&amp;b=1", "SKLZ")</f>
        <v>SKLZ</v>
      </c>
      <c r="B3924">
        <v>4</v>
      </c>
      <c r="C3924">
        <v>105.92</v>
      </c>
      <c r="D3924">
        <v>45.36</v>
      </c>
      <c r="E3924" t="s">
        <v>31260</v>
      </c>
      <c r="F3924" t="s">
        <v>107</v>
      </c>
      <c r="G3924" t="s">
        <v>598</v>
      </c>
      <c r="H3924" t="s">
        <v>7474</v>
      </c>
      <c r="I3924" t="s">
        <v>70</v>
      </c>
      <c r="J3924" t="s">
        <v>71</v>
      </c>
      <c r="K3924">
        <v>131.47</v>
      </c>
      <c r="L3924">
        <v>7.37</v>
      </c>
      <c r="M3924" t="s">
        <v>4759</v>
      </c>
      <c r="N3924">
        <v>6300</v>
      </c>
      <c r="R3924">
        <v>1.39</v>
      </c>
      <c r="S3924">
        <v>0.8</v>
      </c>
      <c r="AA3924">
        <v>-4.2</v>
      </c>
      <c r="AB3924" t="s">
        <v>28188</v>
      </c>
      <c r="AC3924" t="s">
        <v>14249</v>
      </c>
      <c r="AD3924" t="s">
        <v>4538</v>
      </c>
      <c r="AE3924" t="s">
        <v>21008</v>
      </c>
      <c r="AF3924" t="s">
        <v>17876</v>
      </c>
      <c r="AG3924" t="s">
        <v>8607</v>
      </c>
      <c r="AH3924" t="s">
        <v>6348</v>
      </c>
      <c r="AI3924" t="s">
        <v>31261</v>
      </c>
      <c r="AJ3924" t="s">
        <v>164</v>
      </c>
      <c r="AK3924" t="s">
        <v>3258</v>
      </c>
      <c r="AL3924">
        <v>4.1900000000000004</v>
      </c>
      <c r="AM3924">
        <v>5.8</v>
      </c>
      <c r="AN3924">
        <v>0.9</v>
      </c>
      <c r="AO3924" t="s">
        <v>27160</v>
      </c>
      <c r="AP3924" t="s">
        <v>26534</v>
      </c>
      <c r="AQ3924" t="s">
        <v>3991</v>
      </c>
      <c r="AR3924" t="s">
        <v>2361</v>
      </c>
      <c r="AS3924" t="s">
        <v>891</v>
      </c>
      <c r="AT3924" t="s">
        <v>1787</v>
      </c>
      <c r="AU3924" t="s">
        <v>7289</v>
      </c>
      <c r="AV3924" t="s">
        <v>7287</v>
      </c>
      <c r="AW3924" t="s">
        <v>299</v>
      </c>
      <c r="AX3924" t="s">
        <v>5127</v>
      </c>
      <c r="AY3924" t="s">
        <v>299</v>
      </c>
      <c r="AZ3924" t="s">
        <v>24842</v>
      </c>
      <c r="BA3924">
        <v>2</v>
      </c>
      <c r="BB3924">
        <v>97.21</v>
      </c>
      <c r="BC3924">
        <v>0.23</v>
      </c>
      <c r="BD3924">
        <v>7.3</v>
      </c>
      <c r="BE3924">
        <v>7.37</v>
      </c>
      <c r="BF3924">
        <v>7.28</v>
      </c>
      <c r="BG3924" t="s">
        <v>31262</v>
      </c>
      <c r="BH3924" t="s">
        <v>18608</v>
      </c>
      <c r="BI3924" t="s">
        <v>24842</v>
      </c>
      <c r="BJ3924" t="s">
        <v>101</v>
      </c>
      <c r="BK3924" t="s">
        <v>1396</v>
      </c>
      <c r="BL3924" t="s">
        <v>15565</v>
      </c>
      <c r="BM3924" t="s">
        <v>19283</v>
      </c>
      <c r="BN3924" t="s">
        <v>27621</v>
      </c>
    </row>
    <row r="3925" spans="1:66" x14ac:dyDescent="0.25">
      <c r="A3925" t="str">
        <f>HYPERLINK("https://elite.finviz.com/quote.ashx?t=AVNW&amp;ty=c&amp;p=d&amp;b=1", "AVNW")</f>
        <v>AVNW</v>
      </c>
      <c r="B3925">
        <v>4</v>
      </c>
      <c r="C3925">
        <v>105.92</v>
      </c>
      <c r="D3925">
        <v>45.36</v>
      </c>
      <c r="E3925" t="s">
        <v>31263</v>
      </c>
      <c r="F3925" t="s">
        <v>67</v>
      </c>
      <c r="G3925" t="s">
        <v>108</v>
      </c>
      <c r="H3925" t="s">
        <v>1921</v>
      </c>
      <c r="I3925" t="s">
        <v>70</v>
      </c>
      <c r="J3925" t="s">
        <v>321</v>
      </c>
      <c r="K3925">
        <v>287.12</v>
      </c>
      <c r="L3925">
        <v>22.43</v>
      </c>
      <c r="M3925" t="s">
        <v>1249</v>
      </c>
      <c r="N3925">
        <v>6185</v>
      </c>
      <c r="O3925">
        <v>246.45</v>
      </c>
      <c r="P3925">
        <v>6.9</v>
      </c>
      <c r="R3925">
        <v>0.66</v>
      </c>
      <c r="S3925">
        <v>1.07</v>
      </c>
      <c r="Z3925" t="s">
        <v>164</v>
      </c>
      <c r="AA3925">
        <v>0.09</v>
      </c>
      <c r="AB3925" t="s">
        <v>31264</v>
      </c>
      <c r="AC3925" t="s">
        <v>9898</v>
      </c>
      <c r="AE3925" t="s">
        <v>2772</v>
      </c>
      <c r="AF3925" t="s">
        <v>915</v>
      </c>
      <c r="AG3925" t="s">
        <v>8345</v>
      </c>
      <c r="AH3925" t="s">
        <v>6478</v>
      </c>
      <c r="AI3925" t="s">
        <v>20898</v>
      </c>
      <c r="AJ3925" t="s">
        <v>1783</v>
      </c>
      <c r="AK3925" t="s">
        <v>22483</v>
      </c>
      <c r="AL3925">
        <v>1.64</v>
      </c>
      <c r="AM3925">
        <v>1.35</v>
      </c>
      <c r="AN3925">
        <v>0.35</v>
      </c>
      <c r="AO3925" t="s">
        <v>14663</v>
      </c>
      <c r="AP3925" t="s">
        <v>6121</v>
      </c>
      <c r="AQ3925" t="s">
        <v>698</v>
      </c>
      <c r="AR3925" t="s">
        <v>4495</v>
      </c>
      <c r="AS3925" t="s">
        <v>3520</v>
      </c>
      <c r="AT3925" t="s">
        <v>9022</v>
      </c>
      <c r="AU3925" t="s">
        <v>2007</v>
      </c>
      <c r="AV3925" t="s">
        <v>267</v>
      </c>
      <c r="AW3925" t="s">
        <v>6040</v>
      </c>
      <c r="AX3925" t="s">
        <v>864</v>
      </c>
      <c r="AY3925" t="s">
        <v>2528</v>
      </c>
      <c r="AZ3925" t="s">
        <v>6707</v>
      </c>
      <c r="BA3925">
        <v>1</v>
      </c>
      <c r="BB3925">
        <v>103.23</v>
      </c>
      <c r="BC3925">
        <v>0.21</v>
      </c>
      <c r="BD3925">
        <v>22.43</v>
      </c>
      <c r="BE3925">
        <v>22.74</v>
      </c>
      <c r="BF3925">
        <v>22.34</v>
      </c>
      <c r="BG3925" t="s">
        <v>31265</v>
      </c>
      <c r="BH3925" t="s">
        <v>14273</v>
      </c>
      <c r="BI3925" t="s">
        <v>31266</v>
      </c>
      <c r="BJ3925" t="s">
        <v>101</v>
      </c>
      <c r="BK3925" t="s">
        <v>7300</v>
      </c>
      <c r="BL3925" t="s">
        <v>1552</v>
      </c>
      <c r="BM3925" t="s">
        <v>1648</v>
      </c>
      <c r="BN3925" t="s">
        <v>27621</v>
      </c>
    </row>
    <row r="3926" spans="1:66" x14ac:dyDescent="0.25">
      <c r="A3926" t="str">
        <f>HYPERLINK("https://elite.finviz.com/quote.ashx?t=SHEN&amp;ty=c&amp;p=d&amp;b=1", "SHEN")</f>
        <v>SHEN</v>
      </c>
      <c r="B3926">
        <v>4</v>
      </c>
      <c r="C3926">
        <v>105.92</v>
      </c>
      <c r="D3926">
        <v>45.38</v>
      </c>
      <c r="E3926" t="s">
        <v>31267</v>
      </c>
      <c r="F3926" t="s">
        <v>67</v>
      </c>
      <c r="G3926" t="s">
        <v>598</v>
      </c>
      <c r="H3926" t="s">
        <v>6147</v>
      </c>
      <c r="I3926" t="s">
        <v>70</v>
      </c>
      <c r="J3926" t="s">
        <v>321</v>
      </c>
      <c r="K3926">
        <v>726.83</v>
      </c>
      <c r="L3926">
        <v>13.24</v>
      </c>
      <c r="M3926" t="s">
        <v>2362</v>
      </c>
      <c r="N3926">
        <v>19650</v>
      </c>
      <c r="R3926">
        <v>2.08</v>
      </c>
      <c r="S3926">
        <v>0.81</v>
      </c>
      <c r="V3926" t="s">
        <v>31268</v>
      </c>
      <c r="AA3926">
        <v>-0.66</v>
      </c>
      <c r="AE3926" t="s">
        <v>1205</v>
      </c>
      <c r="AF3926" t="s">
        <v>1575</v>
      </c>
      <c r="AG3926" t="s">
        <v>419</v>
      </c>
      <c r="AH3926" t="s">
        <v>5187</v>
      </c>
      <c r="AI3926" t="s">
        <v>3450</v>
      </c>
      <c r="AJ3926" t="s">
        <v>4302</v>
      </c>
      <c r="AK3926" t="s">
        <v>30537</v>
      </c>
      <c r="AL3926">
        <v>0.69</v>
      </c>
      <c r="AM3926">
        <v>0.69</v>
      </c>
      <c r="AN3926">
        <v>0.57999999999999996</v>
      </c>
      <c r="AO3926" t="s">
        <v>13312</v>
      </c>
      <c r="AP3926" t="s">
        <v>6985</v>
      </c>
      <c r="AQ3926" t="s">
        <v>14813</v>
      </c>
      <c r="AR3926" t="s">
        <v>5736</v>
      </c>
      <c r="AS3926" t="s">
        <v>2941</v>
      </c>
      <c r="AT3926" t="s">
        <v>5824</v>
      </c>
      <c r="AU3926" t="s">
        <v>10568</v>
      </c>
      <c r="AV3926" t="s">
        <v>1050</v>
      </c>
      <c r="AW3926" t="s">
        <v>3988</v>
      </c>
      <c r="AX3926" t="s">
        <v>4109</v>
      </c>
      <c r="AY3926" t="s">
        <v>25781</v>
      </c>
      <c r="AZ3926" t="s">
        <v>8980</v>
      </c>
      <c r="BA3926">
        <v>2.5</v>
      </c>
      <c r="BB3926">
        <v>335.36</v>
      </c>
      <c r="BC3926">
        <v>0.21</v>
      </c>
      <c r="BD3926">
        <v>13.17</v>
      </c>
      <c r="BE3926">
        <v>13.26</v>
      </c>
      <c r="BF3926">
        <v>13.12</v>
      </c>
      <c r="BG3926" t="s">
        <v>31269</v>
      </c>
      <c r="BH3926" t="s">
        <v>12174</v>
      </c>
      <c r="BI3926" t="s">
        <v>31270</v>
      </c>
      <c r="BJ3926" t="s">
        <v>101</v>
      </c>
      <c r="BK3926" t="s">
        <v>345</v>
      </c>
      <c r="BL3926" t="s">
        <v>6659</v>
      </c>
      <c r="BM3926" t="s">
        <v>13879</v>
      </c>
      <c r="BN3926" t="s">
        <v>27621</v>
      </c>
    </row>
    <row r="3927" spans="1:66" x14ac:dyDescent="0.25">
      <c r="A3927" t="str">
        <f>HYPERLINK("https://elite.finviz.com/quote.ashx?t=FEAM&amp;ty=c&amp;p=d&amp;b=1", "FEAM")</f>
        <v>FEAM</v>
      </c>
      <c r="B3927">
        <v>4</v>
      </c>
      <c r="C3927">
        <v>105.92</v>
      </c>
      <c r="D3927">
        <v>45.39</v>
      </c>
      <c r="E3927" t="s">
        <v>31271</v>
      </c>
      <c r="F3927" t="s">
        <v>107</v>
      </c>
      <c r="G3927" t="s">
        <v>355</v>
      </c>
      <c r="H3927" t="s">
        <v>1147</v>
      </c>
      <c r="I3927" t="s">
        <v>70</v>
      </c>
      <c r="J3927" t="s">
        <v>321</v>
      </c>
      <c r="K3927">
        <v>81.69</v>
      </c>
      <c r="L3927">
        <v>3.64</v>
      </c>
      <c r="M3927" t="s">
        <v>164</v>
      </c>
      <c r="N3927">
        <v>21116</v>
      </c>
      <c r="S3927">
        <v>0.99</v>
      </c>
      <c r="AA3927">
        <v>-16.11</v>
      </c>
      <c r="AI3927" t="s">
        <v>31272</v>
      </c>
      <c r="AJ3927" t="s">
        <v>6478</v>
      </c>
      <c r="AK3927" t="s">
        <v>4255</v>
      </c>
      <c r="AL3927">
        <v>0.74</v>
      </c>
      <c r="AM3927">
        <v>0.74</v>
      </c>
      <c r="AN3927">
        <v>0</v>
      </c>
      <c r="AR3927" t="s">
        <v>463</v>
      </c>
      <c r="AS3927" t="s">
        <v>2515</v>
      </c>
      <c r="AT3927" t="s">
        <v>9087</v>
      </c>
      <c r="AU3927" t="s">
        <v>12466</v>
      </c>
      <c r="AV3927" t="s">
        <v>29123</v>
      </c>
      <c r="AW3927" t="s">
        <v>31273</v>
      </c>
      <c r="AX3927" t="s">
        <v>8327</v>
      </c>
      <c r="AY3927" t="s">
        <v>31274</v>
      </c>
      <c r="AZ3927" t="s">
        <v>5669</v>
      </c>
      <c r="BA3927">
        <v>1</v>
      </c>
      <c r="BB3927">
        <v>66.44</v>
      </c>
      <c r="BC3927">
        <v>1.1299999999999999</v>
      </c>
      <c r="BD3927">
        <v>3.64</v>
      </c>
      <c r="BE3927">
        <v>3.74</v>
      </c>
      <c r="BF3927">
        <v>3.64</v>
      </c>
      <c r="BG3927" t="s">
        <v>31275</v>
      </c>
      <c r="BH3927" t="s">
        <v>8704</v>
      </c>
      <c r="BI3927" t="s">
        <v>5669</v>
      </c>
      <c r="BJ3927" t="s">
        <v>101</v>
      </c>
      <c r="BK3927" t="s">
        <v>3625</v>
      </c>
      <c r="BL3927" t="s">
        <v>13001</v>
      </c>
      <c r="BM3927" t="s">
        <v>31276</v>
      </c>
      <c r="BN3927" t="s">
        <v>27621</v>
      </c>
    </row>
    <row r="3928" spans="1:66" x14ac:dyDescent="0.25">
      <c r="A3928" t="str">
        <f>HYPERLINK("https://elite.finviz.com/quote.ashx?t=MATX&amp;ty=c&amp;p=d&amp;b=1", "MATX")</f>
        <v>MATX</v>
      </c>
      <c r="B3928">
        <v>4</v>
      </c>
      <c r="C3928">
        <v>105.92</v>
      </c>
      <c r="D3928">
        <v>45.4</v>
      </c>
      <c r="E3928" t="s">
        <v>31277</v>
      </c>
      <c r="F3928" t="s">
        <v>67</v>
      </c>
      <c r="G3928" t="s">
        <v>260</v>
      </c>
      <c r="H3928" t="s">
        <v>2696</v>
      </c>
      <c r="I3928" t="s">
        <v>70</v>
      </c>
      <c r="J3928" t="s">
        <v>71</v>
      </c>
      <c r="K3928">
        <v>3283.28</v>
      </c>
      <c r="L3928">
        <v>103.28</v>
      </c>
      <c r="M3928" t="s">
        <v>183</v>
      </c>
      <c r="N3928">
        <v>18562</v>
      </c>
      <c r="O3928">
        <v>6.98</v>
      </c>
      <c r="P3928">
        <v>10.45</v>
      </c>
      <c r="R3928">
        <v>0.95</v>
      </c>
      <c r="S3928">
        <v>1.25</v>
      </c>
      <c r="T3928" t="s">
        <v>4856</v>
      </c>
      <c r="U3928">
        <v>1.38</v>
      </c>
      <c r="V3928" t="s">
        <v>2420</v>
      </c>
      <c r="W3928" t="s">
        <v>995</v>
      </c>
      <c r="X3928" t="s">
        <v>2351</v>
      </c>
      <c r="Y3928" t="s">
        <v>5912</v>
      </c>
      <c r="Z3928" t="s">
        <v>12048</v>
      </c>
      <c r="AA3928">
        <v>14.79</v>
      </c>
      <c r="AB3928" t="s">
        <v>19697</v>
      </c>
      <c r="AC3928" t="s">
        <v>17361</v>
      </c>
      <c r="AD3928" t="s">
        <v>6538</v>
      </c>
      <c r="AE3928" t="s">
        <v>607</v>
      </c>
      <c r="AF3928" t="s">
        <v>8534</v>
      </c>
      <c r="AG3928" t="s">
        <v>582</v>
      </c>
      <c r="AH3928" t="s">
        <v>4431</v>
      </c>
      <c r="AI3928" t="s">
        <v>2962</v>
      </c>
      <c r="AJ3928" t="s">
        <v>2560</v>
      </c>
      <c r="AK3928" t="s">
        <v>30606</v>
      </c>
      <c r="AL3928">
        <v>0.78</v>
      </c>
      <c r="AM3928">
        <v>0.78</v>
      </c>
      <c r="AN3928">
        <v>0.25</v>
      </c>
      <c r="AO3928" t="s">
        <v>11052</v>
      </c>
      <c r="AP3928" t="s">
        <v>830</v>
      </c>
      <c r="AQ3928" t="s">
        <v>1716</v>
      </c>
      <c r="AR3928" t="s">
        <v>714</v>
      </c>
      <c r="AS3928" t="s">
        <v>679</v>
      </c>
      <c r="AT3928" t="s">
        <v>7137</v>
      </c>
      <c r="AU3928" t="s">
        <v>8937</v>
      </c>
      <c r="AV3928" t="s">
        <v>7237</v>
      </c>
      <c r="AW3928" t="s">
        <v>16396</v>
      </c>
      <c r="AX3928" t="s">
        <v>305</v>
      </c>
      <c r="AY3928" t="s">
        <v>2177</v>
      </c>
      <c r="AZ3928" t="s">
        <v>3921</v>
      </c>
      <c r="BA3928">
        <v>2</v>
      </c>
      <c r="BB3928">
        <v>362.54</v>
      </c>
      <c r="BC3928">
        <v>0.18</v>
      </c>
      <c r="BD3928">
        <v>103.13</v>
      </c>
      <c r="BE3928">
        <v>104.1</v>
      </c>
      <c r="BF3928">
        <v>102.67</v>
      </c>
      <c r="BG3928" t="s">
        <v>31278</v>
      </c>
      <c r="BH3928" t="s">
        <v>2177</v>
      </c>
      <c r="BI3928" t="s">
        <v>31279</v>
      </c>
      <c r="BJ3928" t="s">
        <v>101</v>
      </c>
      <c r="BK3928" t="s">
        <v>3051</v>
      </c>
      <c r="BL3928" t="s">
        <v>11631</v>
      </c>
      <c r="BM3928" t="s">
        <v>6544</v>
      </c>
      <c r="BN3928" t="s">
        <v>27621</v>
      </c>
    </row>
    <row r="3929" spans="1:66" x14ac:dyDescent="0.25">
      <c r="A3929" t="str">
        <f>HYPERLINK("https://elite.finviz.com/quote.ashx?t=CNA&amp;ty=c&amp;p=d&amp;b=1", "CNA")</f>
        <v>CNA</v>
      </c>
      <c r="B3929">
        <v>4</v>
      </c>
      <c r="C3929">
        <v>105.92</v>
      </c>
      <c r="D3929">
        <v>45.41</v>
      </c>
      <c r="E3929" t="s">
        <v>31280</v>
      </c>
      <c r="F3929" t="s">
        <v>107</v>
      </c>
      <c r="G3929" t="s">
        <v>550</v>
      </c>
      <c r="H3929" t="s">
        <v>4407</v>
      </c>
      <c r="I3929" t="s">
        <v>70</v>
      </c>
      <c r="J3929" t="s">
        <v>71</v>
      </c>
      <c r="K3929">
        <v>12539.93</v>
      </c>
      <c r="L3929">
        <v>46.33</v>
      </c>
      <c r="M3929" t="s">
        <v>3019</v>
      </c>
      <c r="N3929">
        <v>30181</v>
      </c>
      <c r="O3929">
        <v>14.4</v>
      </c>
      <c r="P3929">
        <v>9.2200000000000006</v>
      </c>
      <c r="Q3929">
        <v>3.25</v>
      </c>
      <c r="R3929">
        <v>0.86</v>
      </c>
      <c r="S3929">
        <v>1.18</v>
      </c>
      <c r="T3929" t="s">
        <v>4128</v>
      </c>
      <c r="U3929">
        <v>1.8</v>
      </c>
      <c r="V3929" t="s">
        <v>1440</v>
      </c>
      <c r="W3929" t="s">
        <v>995</v>
      </c>
      <c r="X3929" t="s">
        <v>2732</v>
      </c>
      <c r="Y3929" t="s">
        <v>2235</v>
      </c>
      <c r="Z3929" t="s">
        <v>23505</v>
      </c>
      <c r="AA3929">
        <v>3.22</v>
      </c>
      <c r="AB3929" t="s">
        <v>3415</v>
      </c>
      <c r="AC3929" t="s">
        <v>530</v>
      </c>
      <c r="AD3929" t="s">
        <v>5885</v>
      </c>
      <c r="AE3929" t="s">
        <v>2174</v>
      </c>
      <c r="AF3929" t="s">
        <v>7767</v>
      </c>
      <c r="AG3929" t="s">
        <v>3036</v>
      </c>
      <c r="AH3929" t="s">
        <v>3983</v>
      </c>
      <c r="AI3929" t="s">
        <v>2815</v>
      </c>
      <c r="AJ3929" t="s">
        <v>7689</v>
      </c>
      <c r="AK3929" t="s">
        <v>31281</v>
      </c>
      <c r="AL3929">
        <v>0.41</v>
      </c>
      <c r="AN3929">
        <v>0.28000000000000003</v>
      </c>
      <c r="AP3929" t="s">
        <v>712</v>
      </c>
      <c r="AQ3929" t="s">
        <v>7090</v>
      </c>
      <c r="AR3929" t="s">
        <v>2202</v>
      </c>
      <c r="AS3929" t="s">
        <v>3349</v>
      </c>
      <c r="AT3929" t="s">
        <v>1413</v>
      </c>
      <c r="AU3929" t="s">
        <v>1820</v>
      </c>
      <c r="AV3929" t="s">
        <v>3172</v>
      </c>
      <c r="AW3929" t="s">
        <v>3436</v>
      </c>
      <c r="AX3929" t="s">
        <v>8276</v>
      </c>
      <c r="AY3929" t="s">
        <v>11333</v>
      </c>
      <c r="AZ3929" t="s">
        <v>1243</v>
      </c>
      <c r="BA3929">
        <v>3.33</v>
      </c>
      <c r="BB3929">
        <v>564.37</v>
      </c>
      <c r="BC3929">
        <v>0.19</v>
      </c>
      <c r="BD3929">
        <v>45.68</v>
      </c>
      <c r="BE3929">
        <v>46.51</v>
      </c>
      <c r="BF3929">
        <v>46.12</v>
      </c>
      <c r="BG3929" t="s">
        <v>31282</v>
      </c>
      <c r="BH3929" t="s">
        <v>11333</v>
      </c>
      <c r="BI3929" t="s">
        <v>31283</v>
      </c>
      <c r="BJ3929" t="s">
        <v>101</v>
      </c>
      <c r="BK3929" t="s">
        <v>1364</v>
      </c>
      <c r="BL3929" t="s">
        <v>843</v>
      </c>
      <c r="BM3929" t="s">
        <v>5789</v>
      </c>
      <c r="BN3929" t="s">
        <v>27621</v>
      </c>
    </row>
    <row r="3930" spans="1:66" x14ac:dyDescent="0.25">
      <c r="A3930" t="str">
        <f>HYPERLINK("https://elite.finviz.com/quote.ashx?t=MCBS&amp;ty=c&amp;p=d&amp;b=1", "MCBS")</f>
        <v>MCBS</v>
      </c>
      <c r="B3930">
        <v>4</v>
      </c>
      <c r="C3930">
        <v>105.92</v>
      </c>
      <c r="D3930">
        <v>45.42</v>
      </c>
      <c r="E3930" t="s">
        <v>31284</v>
      </c>
      <c r="F3930" t="s">
        <v>67</v>
      </c>
      <c r="G3930" t="s">
        <v>550</v>
      </c>
      <c r="H3930" t="s">
        <v>697</v>
      </c>
      <c r="I3930" t="s">
        <v>70</v>
      </c>
      <c r="J3930" t="s">
        <v>321</v>
      </c>
      <c r="K3930">
        <v>733.19</v>
      </c>
      <c r="L3930">
        <v>28.71</v>
      </c>
      <c r="M3930" t="s">
        <v>6871</v>
      </c>
      <c r="N3930">
        <v>6620</v>
      </c>
      <c r="O3930">
        <v>11.17</v>
      </c>
      <c r="P3930">
        <v>8.9700000000000006</v>
      </c>
      <c r="R3930">
        <v>3.07</v>
      </c>
      <c r="S3930">
        <v>1.68</v>
      </c>
      <c r="T3930" t="s">
        <v>3035</v>
      </c>
      <c r="U3930">
        <v>0.94</v>
      </c>
      <c r="V3930" t="s">
        <v>10483</v>
      </c>
      <c r="W3930" t="s">
        <v>1224</v>
      </c>
      <c r="X3930" t="s">
        <v>3375</v>
      </c>
      <c r="Y3930" t="s">
        <v>5775</v>
      </c>
      <c r="Z3930" t="s">
        <v>1654</v>
      </c>
      <c r="AA3930">
        <v>2.57</v>
      </c>
      <c r="AB3930" t="s">
        <v>5084</v>
      </c>
      <c r="AC3930" t="s">
        <v>2150</v>
      </c>
      <c r="AE3930" t="s">
        <v>5102</v>
      </c>
      <c r="AF3930" t="s">
        <v>5394</v>
      </c>
      <c r="AG3930" t="s">
        <v>4088</v>
      </c>
      <c r="AH3930" t="s">
        <v>4316</v>
      </c>
      <c r="AI3930" t="s">
        <v>2356</v>
      </c>
      <c r="AJ3930" t="s">
        <v>164</v>
      </c>
      <c r="AK3930" t="s">
        <v>11250</v>
      </c>
      <c r="AL3930">
        <v>0.55000000000000004</v>
      </c>
      <c r="AN3930">
        <v>0.99</v>
      </c>
      <c r="AP3930" t="s">
        <v>7342</v>
      </c>
      <c r="AQ3930" t="s">
        <v>14730</v>
      </c>
      <c r="AR3930" t="s">
        <v>206</v>
      </c>
      <c r="AS3930" t="s">
        <v>2307</v>
      </c>
      <c r="AT3930" t="s">
        <v>4149</v>
      </c>
      <c r="AU3930" t="s">
        <v>110</v>
      </c>
      <c r="AV3930" t="s">
        <v>5365</v>
      </c>
      <c r="AW3930" t="s">
        <v>10338</v>
      </c>
      <c r="AX3930" t="s">
        <v>3228</v>
      </c>
      <c r="AY3930" t="s">
        <v>13007</v>
      </c>
      <c r="AZ3930" t="s">
        <v>5240</v>
      </c>
      <c r="BA3930">
        <v>3</v>
      </c>
      <c r="BB3930">
        <v>39.97</v>
      </c>
      <c r="BC3930">
        <v>0.59</v>
      </c>
      <c r="BD3930">
        <v>28.8</v>
      </c>
      <c r="BE3930">
        <v>28.9</v>
      </c>
      <c r="BF3930">
        <v>28.58</v>
      </c>
      <c r="BG3930" t="s">
        <v>31285</v>
      </c>
      <c r="BH3930" t="s">
        <v>13007</v>
      </c>
      <c r="BI3930" t="s">
        <v>31286</v>
      </c>
      <c r="BJ3930" t="s">
        <v>101</v>
      </c>
      <c r="BK3930" t="s">
        <v>581</v>
      </c>
      <c r="BL3930" t="s">
        <v>323</v>
      </c>
      <c r="BM3930" t="s">
        <v>11801</v>
      </c>
      <c r="BN3930" t="s">
        <v>27621</v>
      </c>
    </row>
    <row r="3931" spans="1:66" x14ac:dyDescent="0.25">
      <c r="A3931" t="str">
        <f>HYPERLINK("https://elite.finviz.com/quote.ashx?t=LNN&amp;ty=c&amp;p=d&amp;b=1", "LNN")</f>
        <v>LNN</v>
      </c>
      <c r="B3931">
        <v>4</v>
      </c>
      <c r="C3931">
        <v>105.92</v>
      </c>
      <c r="D3931">
        <v>45.42</v>
      </c>
      <c r="E3931" t="s">
        <v>31287</v>
      </c>
      <c r="F3931" t="s">
        <v>67</v>
      </c>
      <c r="G3931" t="s">
        <v>260</v>
      </c>
      <c r="H3931" t="s">
        <v>320</v>
      </c>
      <c r="I3931" t="s">
        <v>70</v>
      </c>
      <c r="J3931" t="s">
        <v>71</v>
      </c>
      <c r="K3931">
        <v>1492.9</v>
      </c>
      <c r="L3931">
        <v>137.44</v>
      </c>
      <c r="M3931" t="s">
        <v>337</v>
      </c>
      <c r="N3931">
        <v>41596</v>
      </c>
      <c r="O3931">
        <v>19.739999999999998</v>
      </c>
      <c r="P3931">
        <v>20.95</v>
      </c>
      <c r="Q3931">
        <v>4.1900000000000004</v>
      </c>
      <c r="R3931">
        <v>2.2000000000000002</v>
      </c>
      <c r="S3931">
        <v>2.82</v>
      </c>
      <c r="T3931" t="s">
        <v>2610</v>
      </c>
      <c r="U3931">
        <v>1.45</v>
      </c>
      <c r="V3931" t="s">
        <v>3046</v>
      </c>
      <c r="W3931" t="s">
        <v>6937</v>
      </c>
      <c r="X3931" t="s">
        <v>4658</v>
      </c>
      <c r="Y3931" t="s">
        <v>2742</v>
      </c>
      <c r="Z3931" t="s">
        <v>6843</v>
      </c>
      <c r="AA3931">
        <v>6.96</v>
      </c>
      <c r="AB3931" t="s">
        <v>10648</v>
      </c>
      <c r="AC3931" t="s">
        <v>31288</v>
      </c>
      <c r="AD3931" t="s">
        <v>3343</v>
      </c>
      <c r="AE3931" t="s">
        <v>8274</v>
      </c>
      <c r="AF3931" t="s">
        <v>1599</v>
      </c>
      <c r="AG3931" t="s">
        <v>2232</v>
      </c>
      <c r="AH3931" t="s">
        <v>3375</v>
      </c>
      <c r="AI3931" t="s">
        <v>5022</v>
      </c>
      <c r="AJ3931" t="s">
        <v>798</v>
      </c>
      <c r="AK3931" t="s">
        <v>31289</v>
      </c>
      <c r="AL3931">
        <v>3.64</v>
      </c>
      <c r="AM3931">
        <v>2.64</v>
      </c>
      <c r="AN3931">
        <v>0.26</v>
      </c>
      <c r="AO3931" t="s">
        <v>10781</v>
      </c>
      <c r="AP3931" t="s">
        <v>3186</v>
      </c>
      <c r="AQ3931" t="s">
        <v>11159</v>
      </c>
      <c r="AR3931" t="s">
        <v>5968</v>
      </c>
      <c r="AS3931" t="s">
        <v>6692</v>
      </c>
      <c r="AT3931" t="s">
        <v>2768</v>
      </c>
      <c r="AU3931" t="s">
        <v>2965</v>
      </c>
      <c r="AV3931" t="s">
        <v>465</v>
      </c>
      <c r="AW3931" t="s">
        <v>17477</v>
      </c>
      <c r="AX3931" t="s">
        <v>903</v>
      </c>
      <c r="AY3931" t="s">
        <v>16810</v>
      </c>
      <c r="AZ3931" t="s">
        <v>13491</v>
      </c>
      <c r="BA3931">
        <v>2.2000000000000002</v>
      </c>
      <c r="BB3931">
        <v>121.7</v>
      </c>
      <c r="BC3931">
        <v>1.2</v>
      </c>
      <c r="BD3931">
        <v>138.01</v>
      </c>
      <c r="BE3931">
        <v>139.58000000000001</v>
      </c>
      <c r="BF3931">
        <v>137.35</v>
      </c>
      <c r="BG3931" t="s">
        <v>31290</v>
      </c>
      <c r="BH3931" t="s">
        <v>15473</v>
      </c>
      <c r="BI3931" t="s">
        <v>31291</v>
      </c>
      <c r="BJ3931" t="s">
        <v>101</v>
      </c>
      <c r="BK3931" t="s">
        <v>14948</v>
      </c>
      <c r="BL3931" t="s">
        <v>2385</v>
      </c>
      <c r="BM3931" t="s">
        <v>6810</v>
      </c>
      <c r="BN3931" t="s">
        <v>27621</v>
      </c>
    </row>
    <row r="3932" spans="1:66" x14ac:dyDescent="0.25">
      <c r="A3932" t="str">
        <f>HYPERLINK("https://elite.finviz.com/quote.ashx?t=GUG&amp;ty=c&amp;p=d&amp;b=1", "GUG")</f>
        <v>GUG</v>
      </c>
      <c r="B3932">
        <v>4</v>
      </c>
      <c r="C3932">
        <v>105.92</v>
      </c>
      <c r="D3932">
        <v>45.42</v>
      </c>
      <c r="E3932" t="s">
        <v>31292</v>
      </c>
      <c r="F3932" t="s">
        <v>107</v>
      </c>
      <c r="G3932" t="s">
        <v>550</v>
      </c>
      <c r="H3932" t="s">
        <v>2597</v>
      </c>
      <c r="I3932" t="s">
        <v>70</v>
      </c>
      <c r="J3932" t="s">
        <v>71</v>
      </c>
      <c r="K3932">
        <v>515.30999999999995</v>
      </c>
      <c r="L3932">
        <v>15.62</v>
      </c>
      <c r="M3932" t="s">
        <v>2638</v>
      </c>
      <c r="N3932">
        <v>9740</v>
      </c>
      <c r="O3932">
        <v>11.16</v>
      </c>
      <c r="T3932" t="s">
        <v>1078</v>
      </c>
      <c r="U3932">
        <v>1.43</v>
      </c>
      <c r="V3932" t="s">
        <v>3833</v>
      </c>
      <c r="W3932" t="s">
        <v>164</v>
      </c>
      <c r="Z3932" t="s">
        <v>4111</v>
      </c>
      <c r="AA3932">
        <v>1.4</v>
      </c>
      <c r="AK3932" t="s">
        <v>3617</v>
      </c>
      <c r="AR3932" t="s">
        <v>2509</v>
      </c>
      <c r="AS3932" t="s">
        <v>4552</v>
      </c>
      <c r="AT3932" t="s">
        <v>7089</v>
      </c>
      <c r="AU3932" t="s">
        <v>1547</v>
      </c>
      <c r="AV3932" t="s">
        <v>909</v>
      </c>
      <c r="AW3932" t="s">
        <v>156</v>
      </c>
      <c r="AX3932" t="s">
        <v>2317</v>
      </c>
      <c r="AY3932" t="s">
        <v>4667</v>
      </c>
      <c r="AZ3932" t="s">
        <v>4593</v>
      </c>
      <c r="BB3932">
        <v>81.84</v>
      </c>
      <c r="BC3932">
        <v>0.42</v>
      </c>
      <c r="BD3932">
        <v>15.64</v>
      </c>
      <c r="BE3932">
        <v>15.65</v>
      </c>
      <c r="BF3932">
        <v>15.6</v>
      </c>
      <c r="BG3932" t="s">
        <v>31293</v>
      </c>
      <c r="BH3932" t="s">
        <v>13413</v>
      </c>
      <c r="BI3932" t="s">
        <v>10300</v>
      </c>
      <c r="BJ3932" t="s">
        <v>101</v>
      </c>
      <c r="BK3932" t="s">
        <v>2003</v>
      </c>
      <c r="BL3932" t="s">
        <v>2361</v>
      </c>
      <c r="BM3932" t="s">
        <v>701</v>
      </c>
      <c r="BN3932" t="s">
        <v>27621</v>
      </c>
    </row>
    <row r="3933" spans="1:66" x14ac:dyDescent="0.25">
      <c r="A3933" t="str">
        <f>HYPERLINK("https://elite.finviz.com/quote.ashx?t=SPB&amp;ty=c&amp;p=d&amp;b=1", "SPB")</f>
        <v>SPB</v>
      </c>
      <c r="B3933">
        <v>4</v>
      </c>
      <c r="C3933">
        <v>105.92</v>
      </c>
      <c r="D3933">
        <v>45.42</v>
      </c>
      <c r="E3933" t="s">
        <v>31294</v>
      </c>
      <c r="F3933" t="s">
        <v>67</v>
      </c>
      <c r="G3933" t="s">
        <v>2244</v>
      </c>
      <c r="H3933" t="s">
        <v>5311</v>
      </c>
      <c r="I3933" t="s">
        <v>70</v>
      </c>
      <c r="J3933" t="s">
        <v>71</v>
      </c>
      <c r="K3933">
        <v>1279.0999999999999</v>
      </c>
      <c r="L3933">
        <v>52.84</v>
      </c>
      <c r="M3933" t="s">
        <v>5158</v>
      </c>
      <c r="N3933">
        <v>29128</v>
      </c>
      <c r="O3933">
        <v>19.739999999999998</v>
      </c>
      <c r="P3933">
        <v>11.72</v>
      </c>
      <c r="Q3933">
        <v>2.76</v>
      </c>
      <c r="R3933">
        <v>0.45</v>
      </c>
      <c r="S3933">
        <v>0.68</v>
      </c>
      <c r="T3933" t="s">
        <v>6726</v>
      </c>
      <c r="U3933">
        <v>1.88</v>
      </c>
      <c r="V3933" t="s">
        <v>2882</v>
      </c>
      <c r="W3933" t="s">
        <v>164</v>
      </c>
      <c r="X3933" t="s">
        <v>164</v>
      </c>
      <c r="Y3933" t="s">
        <v>164</v>
      </c>
      <c r="Z3933" t="s">
        <v>5105</v>
      </c>
      <c r="AA3933">
        <v>2.68</v>
      </c>
      <c r="AB3933" t="s">
        <v>5606</v>
      </c>
      <c r="AD3933" t="s">
        <v>1767</v>
      </c>
      <c r="AE3933" t="s">
        <v>6276</v>
      </c>
      <c r="AF3933" t="s">
        <v>1564</v>
      </c>
      <c r="AG3933" t="s">
        <v>4121</v>
      </c>
      <c r="AH3933" t="s">
        <v>2752</v>
      </c>
      <c r="AI3933" t="s">
        <v>6002</v>
      </c>
      <c r="AJ3933" t="s">
        <v>6246</v>
      </c>
      <c r="AK3933" t="s">
        <v>31295</v>
      </c>
      <c r="AL3933">
        <v>2.42</v>
      </c>
      <c r="AM3933">
        <v>1.5</v>
      </c>
      <c r="AN3933">
        <v>0.4</v>
      </c>
      <c r="AO3933" t="s">
        <v>12624</v>
      </c>
      <c r="AP3933" t="s">
        <v>3450</v>
      </c>
      <c r="AQ3933" t="s">
        <v>1933</v>
      </c>
      <c r="AR3933" t="s">
        <v>3173</v>
      </c>
      <c r="AS3933" t="s">
        <v>205</v>
      </c>
      <c r="AT3933" t="s">
        <v>1863</v>
      </c>
      <c r="AU3933" t="s">
        <v>4274</v>
      </c>
      <c r="AV3933" t="s">
        <v>21420</v>
      </c>
      <c r="AW3933" t="s">
        <v>11786</v>
      </c>
      <c r="AX3933" t="s">
        <v>715</v>
      </c>
      <c r="AY3933" t="s">
        <v>24923</v>
      </c>
      <c r="AZ3933" t="s">
        <v>4690</v>
      </c>
      <c r="BA3933">
        <v>1.8</v>
      </c>
      <c r="BB3933">
        <v>564.72</v>
      </c>
      <c r="BC3933">
        <v>0.18</v>
      </c>
      <c r="BD3933">
        <v>52.17</v>
      </c>
      <c r="BE3933">
        <v>52.9</v>
      </c>
      <c r="BF3933">
        <v>52.31</v>
      </c>
      <c r="BG3933" t="s">
        <v>31296</v>
      </c>
      <c r="BH3933" t="s">
        <v>31297</v>
      </c>
      <c r="BI3933" t="s">
        <v>31298</v>
      </c>
      <c r="BJ3933" t="s">
        <v>101</v>
      </c>
      <c r="BK3933" t="s">
        <v>7709</v>
      </c>
      <c r="BL3933" t="s">
        <v>10129</v>
      </c>
      <c r="BM3933" t="s">
        <v>26360</v>
      </c>
      <c r="BN3933" t="s">
        <v>27621</v>
      </c>
    </row>
    <row r="3934" spans="1:66" x14ac:dyDescent="0.25">
      <c r="A3934" t="str">
        <f>HYPERLINK("https://elite.finviz.com/quote.ashx?t=CMCT&amp;ty=c&amp;p=d&amp;b=1", "CMCT")</f>
        <v>CMCT</v>
      </c>
      <c r="B3934">
        <v>4</v>
      </c>
      <c r="C3934">
        <v>105.92</v>
      </c>
      <c r="D3934">
        <v>45.43</v>
      </c>
      <c r="E3934" t="s">
        <v>31299</v>
      </c>
      <c r="F3934" t="s">
        <v>107</v>
      </c>
      <c r="G3934" t="s">
        <v>68</v>
      </c>
      <c r="H3934" t="s">
        <v>69</v>
      </c>
      <c r="I3934" t="s">
        <v>70</v>
      </c>
      <c r="J3934" t="s">
        <v>321</v>
      </c>
      <c r="K3934">
        <v>5.3</v>
      </c>
      <c r="L3934">
        <v>6.71</v>
      </c>
      <c r="M3934" t="s">
        <v>82</v>
      </c>
      <c r="N3934">
        <v>7965</v>
      </c>
      <c r="R3934">
        <v>0.04</v>
      </c>
      <c r="V3934" t="s">
        <v>31300</v>
      </c>
      <c r="AA3934">
        <v>-389.31</v>
      </c>
      <c r="AB3934" t="s">
        <v>11872</v>
      </c>
      <c r="AE3934" t="s">
        <v>7750</v>
      </c>
      <c r="AF3934" t="s">
        <v>9387</v>
      </c>
      <c r="AG3934" t="s">
        <v>5059</v>
      </c>
      <c r="AH3934" t="s">
        <v>13907</v>
      </c>
      <c r="AJ3934" t="s">
        <v>164</v>
      </c>
      <c r="AK3934" t="s">
        <v>4892</v>
      </c>
      <c r="AL3934">
        <v>0.56999999999999995</v>
      </c>
      <c r="AM3934">
        <v>0.56999999999999995</v>
      </c>
      <c r="AN3934">
        <v>1.79</v>
      </c>
      <c r="AO3934" t="s">
        <v>6569</v>
      </c>
      <c r="AP3934" t="s">
        <v>416</v>
      </c>
      <c r="AQ3934" t="s">
        <v>27341</v>
      </c>
      <c r="AR3934" t="s">
        <v>1160</v>
      </c>
      <c r="AS3934" t="s">
        <v>1468</v>
      </c>
      <c r="AT3934" t="s">
        <v>7380</v>
      </c>
      <c r="AU3934" t="s">
        <v>4673</v>
      </c>
      <c r="AV3934" t="s">
        <v>31301</v>
      </c>
      <c r="AW3934" t="s">
        <v>29356</v>
      </c>
      <c r="AX3934" t="s">
        <v>1628</v>
      </c>
      <c r="AY3934" t="s">
        <v>21809</v>
      </c>
      <c r="AZ3934" t="s">
        <v>25545</v>
      </c>
      <c r="BA3934">
        <v>3</v>
      </c>
      <c r="BB3934">
        <v>319.12</v>
      </c>
      <c r="BC3934">
        <v>0.09</v>
      </c>
      <c r="BD3934">
        <v>6.98</v>
      </c>
      <c r="BE3934">
        <v>6.75</v>
      </c>
      <c r="BF3934">
        <v>6.71</v>
      </c>
      <c r="BG3934" t="s">
        <v>31302</v>
      </c>
      <c r="BH3934" t="s">
        <v>3107</v>
      </c>
      <c r="BI3934" t="s">
        <v>25545</v>
      </c>
      <c r="BJ3934" t="s">
        <v>101</v>
      </c>
      <c r="BK3934" t="s">
        <v>805</v>
      </c>
      <c r="BL3934" t="s">
        <v>442</v>
      </c>
      <c r="BM3934" t="s">
        <v>12443</v>
      </c>
      <c r="BN3934" t="s">
        <v>27621</v>
      </c>
    </row>
    <row r="3935" spans="1:66" x14ac:dyDescent="0.25">
      <c r="A3935" t="str">
        <f>HYPERLINK("https://elite.finviz.com/quote.ashx?t=SXTP&amp;ty=c&amp;p=d&amp;b=1", "SXTP")</f>
        <v>SXTP</v>
      </c>
      <c r="B3935">
        <v>4</v>
      </c>
      <c r="C3935">
        <v>105.92</v>
      </c>
      <c r="D3935">
        <v>45.44</v>
      </c>
      <c r="E3935" t="s">
        <v>31303</v>
      </c>
      <c r="F3935" t="s">
        <v>107</v>
      </c>
      <c r="G3935" t="s">
        <v>428</v>
      </c>
      <c r="H3935" t="s">
        <v>429</v>
      </c>
      <c r="I3935" t="s">
        <v>70</v>
      </c>
      <c r="J3935" t="s">
        <v>321</v>
      </c>
      <c r="K3935">
        <v>5.63</v>
      </c>
      <c r="L3935">
        <v>1.37</v>
      </c>
      <c r="M3935" t="s">
        <v>9075</v>
      </c>
      <c r="N3935">
        <v>4050</v>
      </c>
      <c r="R3935">
        <v>5.8</v>
      </c>
      <c r="AA3935">
        <v>-11.31</v>
      </c>
      <c r="AB3935" t="s">
        <v>11506</v>
      </c>
      <c r="AC3935" t="s">
        <v>10812</v>
      </c>
      <c r="AE3935" t="s">
        <v>31304</v>
      </c>
      <c r="AF3935" t="s">
        <v>31305</v>
      </c>
      <c r="AG3935" t="s">
        <v>23708</v>
      </c>
      <c r="AH3935" t="s">
        <v>31306</v>
      </c>
      <c r="AI3935" t="s">
        <v>2232</v>
      </c>
      <c r="AJ3935" t="s">
        <v>2732</v>
      </c>
      <c r="AK3935" t="s">
        <v>2585</v>
      </c>
      <c r="AL3935">
        <v>2.27</v>
      </c>
      <c r="AM3935">
        <v>1.8</v>
      </c>
      <c r="AN3935">
        <v>0.06</v>
      </c>
      <c r="AO3935" t="s">
        <v>20757</v>
      </c>
      <c r="AP3935" t="s">
        <v>31307</v>
      </c>
      <c r="AQ3935" t="s">
        <v>31308</v>
      </c>
      <c r="AR3935" t="s">
        <v>6475</v>
      </c>
      <c r="AS3935" t="s">
        <v>7231</v>
      </c>
      <c r="AT3935" t="s">
        <v>3845</v>
      </c>
      <c r="AU3935" t="s">
        <v>5253</v>
      </c>
      <c r="AV3935" t="s">
        <v>31309</v>
      </c>
      <c r="AW3935" t="s">
        <v>2126</v>
      </c>
      <c r="AX3935" t="s">
        <v>2905</v>
      </c>
      <c r="AY3935" t="s">
        <v>6549</v>
      </c>
      <c r="AZ3935" t="s">
        <v>2905</v>
      </c>
      <c r="BA3935">
        <v>1</v>
      </c>
      <c r="BB3935">
        <v>539.03</v>
      </c>
      <c r="BC3935">
        <v>0.03</v>
      </c>
      <c r="BD3935">
        <v>1.39</v>
      </c>
      <c r="BE3935">
        <v>1.38</v>
      </c>
      <c r="BF3935">
        <v>1.35</v>
      </c>
      <c r="BG3935" t="s">
        <v>31310</v>
      </c>
      <c r="BH3935" t="s">
        <v>7370</v>
      </c>
      <c r="BI3935" t="s">
        <v>2905</v>
      </c>
      <c r="BJ3935" t="s">
        <v>101</v>
      </c>
      <c r="BK3935" t="s">
        <v>20891</v>
      </c>
      <c r="BL3935" t="s">
        <v>25451</v>
      </c>
      <c r="BM3935" t="s">
        <v>11365</v>
      </c>
      <c r="BN3935" t="s">
        <v>27621</v>
      </c>
    </row>
    <row r="3936" spans="1:66" x14ac:dyDescent="0.25">
      <c r="A3936" t="str">
        <f>HYPERLINK("https://elite.finviz.com/quote.ashx?t=BYSI&amp;ty=c&amp;p=d&amp;b=1", "BYSI")</f>
        <v>BYSI</v>
      </c>
      <c r="B3936">
        <v>4</v>
      </c>
      <c r="C3936">
        <v>105.92</v>
      </c>
      <c r="D3936">
        <v>45.45</v>
      </c>
      <c r="E3936" t="s">
        <v>31311</v>
      </c>
      <c r="F3936" t="s">
        <v>107</v>
      </c>
      <c r="G3936" t="s">
        <v>428</v>
      </c>
      <c r="H3936" t="s">
        <v>429</v>
      </c>
      <c r="I3936" t="s">
        <v>70</v>
      </c>
      <c r="J3936" t="s">
        <v>321</v>
      </c>
      <c r="K3936">
        <v>70.58</v>
      </c>
      <c r="L3936">
        <v>1.75</v>
      </c>
      <c r="M3936" t="s">
        <v>2841</v>
      </c>
      <c r="N3936">
        <v>66</v>
      </c>
      <c r="R3936">
        <v>37.54</v>
      </c>
      <c r="AA3936">
        <v>-0.4</v>
      </c>
      <c r="AB3936" t="s">
        <v>5155</v>
      </c>
      <c r="AC3936" t="s">
        <v>20778</v>
      </c>
      <c r="AH3936" t="s">
        <v>579</v>
      </c>
      <c r="AJ3936" t="s">
        <v>3423</v>
      </c>
      <c r="AK3936" t="s">
        <v>3482</v>
      </c>
      <c r="AL3936">
        <v>2.19</v>
      </c>
      <c r="AM3936">
        <v>2.19</v>
      </c>
      <c r="AP3936" t="s">
        <v>31312</v>
      </c>
      <c r="AQ3936" t="s">
        <v>31313</v>
      </c>
      <c r="AR3936" t="s">
        <v>3507</v>
      </c>
      <c r="AS3936" t="s">
        <v>6330</v>
      </c>
      <c r="AT3936" t="s">
        <v>5606</v>
      </c>
      <c r="AU3936" t="s">
        <v>7091</v>
      </c>
      <c r="AV3936" t="s">
        <v>1269</v>
      </c>
      <c r="AW3936" t="s">
        <v>23112</v>
      </c>
      <c r="AX3936" t="s">
        <v>3372</v>
      </c>
      <c r="AY3936" t="s">
        <v>22285</v>
      </c>
      <c r="AZ3936" t="s">
        <v>21104</v>
      </c>
      <c r="BA3936">
        <v>2</v>
      </c>
      <c r="BB3936">
        <v>29.39</v>
      </c>
      <c r="BC3936">
        <v>0.01</v>
      </c>
      <c r="BD3936">
        <v>1.68</v>
      </c>
      <c r="BE3936">
        <v>1.7</v>
      </c>
      <c r="BF3936">
        <v>1.7</v>
      </c>
      <c r="BG3936" t="s">
        <v>31314</v>
      </c>
      <c r="BH3936" t="s">
        <v>31315</v>
      </c>
      <c r="BI3936" t="s">
        <v>31316</v>
      </c>
      <c r="BJ3936" t="s">
        <v>101</v>
      </c>
      <c r="BK3936" t="s">
        <v>19926</v>
      </c>
      <c r="BL3936" t="s">
        <v>1001</v>
      </c>
      <c r="BM3936" t="s">
        <v>20477</v>
      </c>
      <c r="BN3936" t="s">
        <v>27621</v>
      </c>
    </row>
    <row r="3937" spans="1:66" x14ac:dyDescent="0.25">
      <c r="A3937" t="str">
        <f>HYPERLINK("https://elite.finviz.com/quote.ashx?t=GIPR&amp;ty=c&amp;p=d&amp;b=1", "GIPR")</f>
        <v>GIPR</v>
      </c>
      <c r="B3937">
        <v>4</v>
      </c>
      <c r="C3937">
        <v>105.92</v>
      </c>
      <c r="D3937">
        <v>45.48</v>
      </c>
      <c r="E3937" t="s">
        <v>31317</v>
      </c>
      <c r="F3937" t="s">
        <v>107</v>
      </c>
      <c r="G3937" t="s">
        <v>68</v>
      </c>
      <c r="H3937" t="s">
        <v>4656</v>
      </c>
      <c r="I3937" t="s">
        <v>70</v>
      </c>
      <c r="J3937" t="s">
        <v>321</v>
      </c>
      <c r="K3937">
        <v>5.39</v>
      </c>
      <c r="L3937">
        <v>0.99</v>
      </c>
      <c r="M3937" t="s">
        <v>10469</v>
      </c>
      <c r="N3937">
        <v>53141</v>
      </c>
      <c r="P3937">
        <v>0.78</v>
      </c>
      <c r="R3937">
        <v>0.55000000000000004</v>
      </c>
      <c r="V3937" t="s">
        <v>25973</v>
      </c>
      <c r="AA3937">
        <v>-1.91</v>
      </c>
      <c r="AB3937" t="s">
        <v>31318</v>
      </c>
      <c r="AC3937" t="s">
        <v>3327</v>
      </c>
      <c r="AE3937" t="s">
        <v>3047</v>
      </c>
      <c r="AF3937" t="s">
        <v>3768</v>
      </c>
      <c r="AG3937" t="s">
        <v>1724</v>
      </c>
      <c r="AH3937" t="s">
        <v>6674</v>
      </c>
      <c r="AI3937" t="s">
        <v>31319</v>
      </c>
      <c r="AJ3937" t="s">
        <v>5258</v>
      </c>
      <c r="AK3937" t="s">
        <v>6028</v>
      </c>
      <c r="AL3937">
        <v>0.2</v>
      </c>
      <c r="AM3937">
        <v>0.2</v>
      </c>
      <c r="AO3937" t="s">
        <v>865</v>
      </c>
      <c r="AP3937" t="s">
        <v>15316</v>
      </c>
      <c r="AQ3937" t="s">
        <v>31320</v>
      </c>
      <c r="AR3937" t="s">
        <v>2193</v>
      </c>
      <c r="AS3937" t="s">
        <v>3003</v>
      </c>
      <c r="AT3937" t="s">
        <v>4920</v>
      </c>
      <c r="AU3937" t="s">
        <v>9513</v>
      </c>
      <c r="AV3937" t="s">
        <v>20284</v>
      </c>
      <c r="AW3937" t="s">
        <v>31321</v>
      </c>
      <c r="AX3937" t="s">
        <v>29155</v>
      </c>
      <c r="AY3937" t="s">
        <v>31322</v>
      </c>
      <c r="AZ3937" t="s">
        <v>29155</v>
      </c>
      <c r="BA3937">
        <v>1</v>
      </c>
      <c r="BB3937">
        <v>216.54</v>
      </c>
      <c r="BC3937">
        <v>0.87</v>
      </c>
      <c r="BD3937">
        <v>1.02</v>
      </c>
      <c r="BE3937">
        <v>1.05</v>
      </c>
      <c r="BF3937">
        <v>0.96</v>
      </c>
      <c r="BG3937" t="s">
        <v>31323</v>
      </c>
      <c r="BH3937" t="s">
        <v>24126</v>
      </c>
      <c r="BI3937" t="s">
        <v>29155</v>
      </c>
      <c r="BJ3937" t="s">
        <v>101</v>
      </c>
      <c r="BK3937" t="s">
        <v>19540</v>
      </c>
      <c r="BL3937" t="s">
        <v>25878</v>
      </c>
      <c r="BM3937" t="s">
        <v>25527</v>
      </c>
      <c r="BN3937" t="s">
        <v>27621</v>
      </c>
    </row>
    <row r="3938" spans="1:66" x14ac:dyDescent="0.25">
      <c r="A3938" t="str">
        <f>HYPERLINK("https://elite.finviz.com/quote.ashx?t=LRN&amp;ty=c&amp;p=d&amp;b=1", "LRN")</f>
        <v>LRN</v>
      </c>
      <c r="B3938">
        <v>4</v>
      </c>
      <c r="C3938">
        <v>105.92</v>
      </c>
      <c r="D3938">
        <v>45.49</v>
      </c>
      <c r="E3938" t="s">
        <v>31324</v>
      </c>
      <c r="F3938" t="s">
        <v>67</v>
      </c>
      <c r="G3938" t="s">
        <v>2244</v>
      </c>
      <c r="H3938" t="s">
        <v>2483</v>
      </c>
      <c r="I3938" t="s">
        <v>70</v>
      </c>
      <c r="J3938" t="s">
        <v>71</v>
      </c>
      <c r="K3938">
        <v>6407.49</v>
      </c>
      <c r="L3938">
        <v>146.87</v>
      </c>
      <c r="M3938" t="s">
        <v>5777</v>
      </c>
      <c r="N3938">
        <v>105262</v>
      </c>
      <c r="O3938">
        <v>24.41</v>
      </c>
      <c r="P3938">
        <v>16.29</v>
      </c>
      <c r="Q3938">
        <v>1.28</v>
      </c>
      <c r="R3938">
        <v>2.66</v>
      </c>
      <c r="S3938">
        <v>4.32</v>
      </c>
      <c r="Z3938" t="s">
        <v>164</v>
      </c>
      <c r="AA3938">
        <v>6.02</v>
      </c>
      <c r="AB3938" t="s">
        <v>3037</v>
      </c>
      <c r="AC3938" t="s">
        <v>31325</v>
      </c>
      <c r="AD3938" t="s">
        <v>7762</v>
      </c>
      <c r="AE3938" t="s">
        <v>3834</v>
      </c>
      <c r="AF3938" t="s">
        <v>794</v>
      </c>
      <c r="AG3938" t="s">
        <v>7969</v>
      </c>
      <c r="AH3938" t="s">
        <v>12927</v>
      </c>
      <c r="AI3938" t="s">
        <v>25339</v>
      </c>
      <c r="AJ3938" t="s">
        <v>5789</v>
      </c>
      <c r="AK3938" t="s">
        <v>31326</v>
      </c>
      <c r="AL3938">
        <v>5.39</v>
      </c>
      <c r="AM3938">
        <v>5.27</v>
      </c>
      <c r="AN3938">
        <v>0.37</v>
      </c>
      <c r="AO3938" t="s">
        <v>9262</v>
      </c>
      <c r="AP3938" t="s">
        <v>3888</v>
      </c>
      <c r="AQ3938" t="s">
        <v>8594</v>
      </c>
      <c r="AR3938" t="s">
        <v>1438</v>
      </c>
      <c r="AS3938" t="s">
        <v>2941</v>
      </c>
      <c r="AT3938" t="s">
        <v>12274</v>
      </c>
      <c r="AU3938" t="s">
        <v>13117</v>
      </c>
      <c r="AV3938" t="s">
        <v>8808</v>
      </c>
      <c r="AW3938" t="s">
        <v>15334</v>
      </c>
      <c r="AX3938" t="s">
        <v>13222</v>
      </c>
      <c r="AY3938" t="s">
        <v>15334</v>
      </c>
      <c r="AZ3938" t="s">
        <v>31327</v>
      </c>
      <c r="BA3938">
        <v>1.57</v>
      </c>
      <c r="BB3938">
        <v>728.45</v>
      </c>
      <c r="BC3938">
        <v>0.51</v>
      </c>
      <c r="BD3938">
        <v>147.61000000000001</v>
      </c>
      <c r="BE3938">
        <v>148.29</v>
      </c>
      <c r="BF3938">
        <v>146.09</v>
      </c>
      <c r="BG3938" t="s">
        <v>31328</v>
      </c>
      <c r="BH3938" t="s">
        <v>15334</v>
      </c>
      <c r="BI3938" t="s">
        <v>31329</v>
      </c>
      <c r="BJ3938" t="s">
        <v>101</v>
      </c>
      <c r="BK3938" t="s">
        <v>7388</v>
      </c>
      <c r="BL3938" t="s">
        <v>8437</v>
      </c>
      <c r="BM3938" t="s">
        <v>29848</v>
      </c>
      <c r="BN3938" t="s">
        <v>27621</v>
      </c>
    </row>
    <row r="3939" spans="1:66" x14ac:dyDescent="0.25">
      <c r="A3939" t="str">
        <f>HYPERLINK("https://elite.finviz.com/quote.ashx?t=BMRA&amp;ty=c&amp;p=d&amp;b=1", "BMRA")</f>
        <v>BMRA</v>
      </c>
      <c r="B3939">
        <v>4</v>
      </c>
      <c r="C3939">
        <v>105.92</v>
      </c>
      <c r="D3939">
        <v>45.49</v>
      </c>
      <c r="E3939" t="s">
        <v>31330</v>
      </c>
      <c r="F3939" t="s">
        <v>107</v>
      </c>
      <c r="G3939" t="s">
        <v>428</v>
      </c>
      <c r="H3939" t="s">
        <v>2051</v>
      </c>
      <c r="I3939" t="s">
        <v>70</v>
      </c>
      <c r="J3939" t="s">
        <v>321</v>
      </c>
      <c r="K3939">
        <v>8.16</v>
      </c>
      <c r="L3939">
        <v>2.9</v>
      </c>
      <c r="M3939" t="s">
        <v>975</v>
      </c>
      <c r="N3939">
        <v>6082</v>
      </c>
      <c r="R3939">
        <v>1.54</v>
      </c>
      <c r="S3939">
        <v>1.8</v>
      </c>
      <c r="AA3939">
        <v>-2.16</v>
      </c>
      <c r="AB3939" t="s">
        <v>10542</v>
      </c>
      <c r="AC3939" t="s">
        <v>5574</v>
      </c>
      <c r="AE3939" t="s">
        <v>9498</v>
      </c>
      <c r="AF3939" t="s">
        <v>23099</v>
      </c>
      <c r="AG3939" t="s">
        <v>5639</v>
      </c>
      <c r="AH3939" t="s">
        <v>16897</v>
      </c>
      <c r="AJ3939" t="s">
        <v>164</v>
      </c>
      <c r="AK3939" t="s">
        <v>2789</v>
      </c>
      <c r="AL3939">
        <v>2.8</v>
      </c>
      <c r="AM3939">
        <v>1.95</v>
      </c>
      <c r="AN3939">
        <v>0.11</v>
      </c>
      <c r="AO3939" t="s">
        <v>10114</v>
      </c>
      <c r="AP3939" t="s">
        <v>25970</v>
      </c>
      <c r="AQ3939" t="s">
        <v>28577</v>
      </c>
      <c r="AR3939" t="s">
        <v>926</v>
      </c>
      <c r="AS3939" t="s">
        <v>2772</v>
      </c>
      <c r="AT3939" t="s">
        <v>7346</v>
      </c>
      <c r="AU3939" t="s">
        <v>11615</v>
      </c>
      <c r="AV3939" t="s">
        <v>17845</v>
      </c>
      <c r="AW3939" t="s">
        <v>9760</v>
      </c>
      <c r="AX3939" t="s">
        <v>11140</v>
      </c>
      <c r="AY3939" t="s">
        <v>10995</v>
      </c>
      <c r="AZ3939" t="s">
        <v>359</v>
      </c>
      <c r="BA3939">
        <v>1</v>
      </c>
      <c r="BB3939">
        <v>810.25</v>
      </c>
      <c r="BC3939">
        <v>0.03</v>
      </c>
      <c r="BD3939">
        <v>2.8</v>
      </c>
      <c r="BE3939">
        <v>2.86</v>
      </c>
      <c r="BF3939">
        <v>2.76</v>
      </c>
      <c r="BG3939" t="s">
        <v>31331</v>
      </c>
      <c r="BH3939" t="s">
        <v>31332</v>
      </c>
      <c r="BI3939" t="s">
        <v>10945</v>
      </c>
      <c r="BJ3939" t="s">
        <v>101</v>
      </c>
      <c r="BK3939" t="s">
        <v>8073</v>
      </c>
      <c r="BL3939" t="s">
        <v>24671</v>
      </c>
      <c r="BM3939" t="s">
        <v>3887</v>
      </c>
      <c r="BN3939" t="s">
        <v>27621</v>
      </c>
    </row>
    <row r="3940" spans="1:66" x14ac:dyDescent="0.25">
      <c r="A3940" t="str">
        <f>HYPERLINK("https://elite.finviz.com/quote.ashx?t=MLAB&amp;ty=c&amp;p=d&amp;b=1", "MLAB")</f>
        <v>MLAB</v>
      </c>
      <c r="B3940">
        <v>4</v>
      </c>
      <c r="C3940">
        <v>105.92</v>
      </c>
      <c r="D3940">
        <v>45.5</v>
      </c>
      <c r="E3940" t="s">
        <v>31333</v>
      </c>
      <c r="F3940" t="s">
        <v>67</v>
      </c>
      <c r="G3940" t="s">
        <v>108</v>
      </c>
      <c r="H3940" t="s">
        <v>9222</v>
      </c>
      <c r="I3940" t="s">
        <v>70</v>
      </c>
      <c r="J3940" t="s">
        <v>321</v>
      </c>
      <c r="K3940">
        <v>355.56</v>
      </c>
      <c r="L3940">
        <v>64.63</v>
      </c>
      <c r="M3940" t="s">
        <v>6245</v>
      </c>
      <c r="N3940">
        <v>15854</v>
      </c>
      <c r="P3940">
        <v>8.39</v>
      </c>
      <c r="R3940">
        <v>1.47</v>
      </c>
      <c r="S3940">
        <v>2.06</v>
      </c>
      <c r="T3940" t="s">
        <v>1338</v>
      </c>
      <c r="U3940">
        <v>0.64</v>
      </c>
      <c r="V3940" t="s">
        <v>4882</v>
      </c>
      <c r="W3940" t="s">
        <v>164</v>
      </c>
      <c r="X3940" t="s">
        <v>164</v>
      </c>
      <c r="Y3940" t="s">
        <v>164</v>
      </c>
      <c r="AA3940">
        <v>-0.14000000000000001</v>
      </c>
      <c r="AE3940" t="s">
        <v>5658</v>
      </c>
      <c r="AF3940" t="s">
        <v>9789</v>
      </c>
      <c r="AG3940" t="s">
        <v>4455</v>
      </c>
      <c r="AH3940" t="s">
        <v>352</v>
      </c>
      <c r="AI3940" t="s">
        <v>2876</v>
      </c>
      <c r="AJ3940" t="s">
        <v>8053</v>
      </c>
      <c r="AK3940" t="s">
        <v>13174</v>
      </c>
      <c r="AL3940">
        <v>0.66</v>
      </c>
      <c r="AM3940">
        <v>0.47</v>
      </c>
      <c r="AN3940">
        <v>1.07</v>
      </c>
      <c r="AO3940" t="s">
        <v>2057</v>
      </c>
      <c r="AP3940" t="s">
        <v>1772</v>
      </c>
      <c r="AQ3940" t="s">
        <v>2402</v>
      </c>
      <c r="AR3940" t="s">
        <v>1955</v>
      </c>
      <c r="AS3940" t="s">
        <v>2386</v>
      </c>
      <c r="AT3940" t="s">
        <v>2826</v>
      </c>
      <c r="AU3940" t="s">
        <v>11567</v>
      </c>
      <c r="AV3940" t="s">
        <v>20938</v>
      </c>
      <c r="AW3940" t="s">
        <v>22494</v>
      </c>
      <c r="AX3940" t="s">
        <v>830</v>
      </c>
      <c r="AY3940" t="s">
        <v>31334</v>
      </c>
      <c r="AZ3940" t="s">
        <v>830</v>
      </c>
      <c r="BA3940">
        <v>2.33</v>
      </c>
      <c r="BB3940">
        <v>170.16</v>
      </c>
      <c r="BC3940">
        <v>0.33</v>
      </c>
      <c r="BD3940">
        <v>64.14</v>
      </c>
      <c r="BE3940">
        <v>65.959999999999994</v>
      </c>
      <c r="BF3940">
        <v>63.97</v>
      </c>
      <c r="BG3940" t="s">
        <v>31335</v>
      </c>
      <c r="BH3940" t="s">
        <v>31336</v>
      </c>
      <c r="BI3940" t="s">
        <v>31337</v>
      </c>
      <c r="BJ3940" t="s">
        <v>101</v>
      </c>
      <c r="BK3940" t="s">
        <v>2830</v>
      </c>
      <c r="BL3940" t="s">
        <v>23995</v>
      </c>
      <c r="BM3940" t="s">
        <v>24647</v>
      </c>
      <c r="BN3940" t="s">
        <v>27621</v>
      </c>
    </row>
    <row r="3941" spans="1:66" x14ac:dyDescent="0.25">
      <c r="A3941" t="str">
        <f>HYPERLINK("https://elite.finviz.com/quote.ashx?t=SBC&amp;ty=c&amp;p=d&amp;b=1", "SBC")</f>
        <v>SBC</v>
      </c>
      <c r="B3941">
        <v>4</v>
      </c>
      <c r="C3941">
        <v>105.92</v>
      </c>
      <c r="D3941">
        <v>45.51</v>
      </c>
      <c r="E3941" t="s">
        <v>31338</v>
      </c>
      <c r="F3941" t="s">
        <v>67</v>
      </c>
      <c r="G3941" t="s">
        <v>260</v>
      </c>
      <c r="H3941" t="s">
        <v>2879</v>
      </c>
      <c r="I3941" t="s">
        <v>70</v>
      </c>
      <c r="J3941" t="s">
        <v>321</v>
      </c>
      <c r="K3941">
        <v>434.45</v>
      </c>
      <c r="L3941">
        <v>4.2300000000000004</v>
      </c>
      <c r="M3941" t="s">
        <v>2426</v>
      </c>
      <c r="N3941">
        <v>3750</v>
      </c>
      <c r="O3941">
        <v>13</v>
      </c>
      <c r="P3941">
        <v>8.81</v>
      </c>
      <c r="R3941">
        <v>2.31</v>
      </c>
      <c r="S3941">
        <v>1.78</v>
      </c>
      <c r="Z3941" t="s">
        <v>164</v>
      </c>
      <c r="AA3941">
        <v>0.33</v>
      </c>
      <c r="AB3941" t="s">
        <v>31339</v>
      </c>
      <c r="AI3941" t="s">
        <v>31340</v>
      </c>
      <c r="AJ3941" t="s">
        <v>164</v>
      </c>
      <c r="AK3941" t="s">
        <v>4308</v>
      </c>
      <c r="AL3941">
        <v>3.98</v>
      </c>
      <c r="AM3941">
        <v>3.73</v>
      </c>
      <c r="AN3941">
        <v>0.06</v>
      </c>
      <c r="AO3941" t="s">
        <v>20166</v>
      </c>
      <c r="AP3941" t="s">
        <v>21108</v>
      </c>
      <c r="AQ3941" t="s">
        <v>672</v>
      </c>
      <c r="AR3941" t="s">
        <v>3758</v>
      </c>
      <c r="AS3941" t="s">
        <v>5455</v>
      </c>
      <c r="AT3941" t="s">
        <v>4529</v>
      </c>
      <c r="AU3941" t="s">
        <v>2969</v>
      </c>
      <c r="AV3941" t="s">
        <v>7165</v>
      </c>
      <c r="AW3941" t="s">
        <v>18474</v>
      </c>
      <c r="AX3941" t="s">
        <v>9841</v>
      </c>
      <c r="AY3941" t="s">
        <v>30986</v>
      </c>
      <c r="AZ3941" t="s">
        <v>12069</v>
      </c>
      <c r="BA3941">
        <v>2</v>
      </c>
      <c r="BB3941">
        <v>98.95</v>
      </c>
      <c r="BC3941">
        <v>0.13</v>
      </c>
      <c r="BD3941">
        <v>4.25</v>
      </c>
      <c r="BE3941">
        <v>4.26</v>
      </c>
      <c r="BF3941">
        <v>4.22</v>
      </c>
      <c r="BG3941" t="s">
        <v>31341</v>
      </c>
      <c r="BH3941" t="s">
        <v>31342</v>
      </c>
      <c r="BI3941" t="s">
        <v>12069</v>
      </c>
      <c r="BJ3941" t="s">
        <v>101</v>
      </c>
      <c r="BK3941" t="s">
        <v>10064</v>
      </c>
      <c r="BL3941" t="s">
        <v>17831</v>
      </c>
      <c r="BM3941" t="s">
        <v>6418</v>
      </c>
      <c r="BN3941" t="s">
        <v>27621</v>
      </c>
    </row>
    <row r="3942" spans="1:66" x14ac:dyDescent="0.25">
      <c r="A3942" t="str">
        <f>HYPERLINK("https://elite.finviz.com/quote.ashx?t=PKST&amp;ty=c&amp;p=d&amp;b=1", "PKST")</f>
        <v>PKST</v>
      </c>
      <c r="B3942">
        <v>4</v>
      </c>
      <c r="C3942">
        <v>105.92</v>
      </c>
      <c r="D3942">
        <v>45.56</v>
      </c>
      <c r="E3942" t="s">
        <v>31343</v>
      </c>
      <c r="F3942" t="s">
        <v>67</v>
      </c>
      <c r="G3942" t="s">
        <v>68</v>
      </c>
      <c r="H3942" t="s">
        <v>69</v>
      </c>
      <c r="I3942" t="s">
        <v>70</v>
      </c>
      <c r="J3942" t="s">
        <v>71</v>
      </c>
      <c r="K3942">
        <v>481.36</v>
      </c>
      <c r="L3942">
        <v>13.08</v>
      </c>
      <c r="M3942" t="s">
        <v>2694</v>
      </c>
      <c r="N3942">
        <v>20022</v>
      </c>
      <c r="P3942">
        <v>13.38</v>
      </c>
      <c r="R3942">
        <v>2.15</v>
      </c>
      <c r="S3942">
        <v>0.65</v>
      </c>
      <c r="T3942" t="s">
        <v>351</v>
      </c>
      <c r="U3942">
        <v>0.68</v>
      </c>
      <c r="V3942" t="s">
        <v>198</v>
      </c>
      <c r="W3942" t="s">
        <v>1746</v>
      </c>
      <c r="Y3942" t="s">
        <v>24794</v>
      </c>
      <c r="AA3942">
        <v>-8.89</v>
      </c>
      <c r="AE3942" t="s">
        <v>15150</v>
      </c>
      <c r="AF3942" t="s">
        <v>7155</v>
      </c>
      <c r="AG3942" t="s">
        <v>6827</v>
      </c>
      <c r="AH3942" t="s">
        <v>9087</v>
      </c>
      <c r="AI3942" t="s">
        <v>31344</v>
      </c>
      <c r="AJ3942" t="s">
        <v>164</v>
      </c>
      <c r="AK3942" t="s">
        <v>31345</v>
      </c>
      <c r="AL3942">
        <v>37.46</v>
      </c>
      <c r="AM3942">
        <v>37.46</v>
      </c>
      <c r="AN3942">
        <v>1.8</v>
      </c>
      <c r="AO3942" t="s">
        <v>4176</v>
      </c>
      <c r="AP3942" t="s">
        <v>1054</v>
      </c>
      <c r="AQ3942" t="s">
        <v>31346</v>
      </c>
      <c r="AR3942" t="s">
        <v>7484</v>
      </c>
      <c r="AS3942" t="s">
        <v>6150</v>
      </c>
      <c r="AT3942" t="s">
        <v>91</v>
      </c>
      <c r="AU3942" t="s">
        <v>1864</v>
      </c>
      <c r="AV3942" t="s">
        <v>1474</v>
      </c>
      <c r="AW3942" t="s">
        <v>5741</v>
      </c>
      <c r="AX3942" t="s">
        <v>7033</v>
      </c>
      <c r="AY3942" t="s">
        <v>12738</v>
      </c>
      <c r="AZ3942" t="s">
        <v>8728</v>
      </c>
      <c r="BA3942">
        <v>2</v>
      </c>
      <c r="BB3942">
        <v>168.52</v>
      </c>
      <c r="BC3942">
        <v>0.42</v>
      </c>
      <c r="BD3942">
        <v>13.2</v>
      </c>
      <c r="BE3942">
        <v>13.27</v>
      </c>
      <c r="BF3942">
        <v>13</v>
      </c>
      <c r="BG3942" t="s">
        <v>31347</v>
      </c>
      <c r="BH3942" t="s">
        <v>29535</v>
      </c>
      <c r="BI3942" t="s">
        <v>29529</v>
      </c>
      <c r="BJ3942" t="s">
        <v>101</v>
      </c>
      <c r="BK3942" t="s">
        <v>1866</v>
      </c>
      <c r="BL3942" t="s">
        <v>2736</v>
      </c>
      <c r="BM3942" t="s">
        <v>12166</v>
      </c>
      <c r="BN3942" t="s">
        <v>27621</v>
      </c>
    </row>
    <row r="3943" spans="1:66" x14ac:dyDescent="0.25">
      <c r="A3943" t="str">
        <f>HYPERLINK("https://elite.finviz.com/quote.ashx?t=TOWN&amp;ty=c&amp;p=d&amp;b=1", "TOWN")</f>
        <v>TOWN</v>
      </c>
      <c r="B3943">
        <v>4</v>
      </c>
      <c r="C3943">
        <v>105.92</v>
      </c>
      <c r="D3943">
        <v>45.58</v>
      </c>
      <c r="E3943" t="s">
        <v>31348</v>
      </c>
      <c r="F3943" t="s">
        <v>67</v>
      </c>
      <c r="G3943" t="s">
        <v>550</v>
      </c>
      <c r="H3943" t="s">
        <v>697</v>
      </c>
      <c r="I3943" t="s">
        <v>70</v>
      </c>
      <c r="J3943" t="s">
        <v>321</v>
      </c>
      <c r="K3943">
        <v>2877.33</v>
      </c>
      <c r="L3943">
        <v>35.5</v>
      </c>
      <c r="M3943" t="s">
        <v>2215</v>
      </c>
      <c r="N3943">
        <v>55982</v>
      </c>
      <c r="O3943">
        <v>15.39</v>
      </c>
      <c r="P3943">
        <v>10.039999999999999</v>
      </c>
      <c r="Q3943">
        <v>0.64</v>
      </c>
      <c r="R3943">
        <v>2.74</v>
      </c>
      <c r="S3943">
        <v>1.2</v>
      </c>
      <c r="T3943" t="s">
        <v>4873</v>
      </c>
      <c r="U3943">
        <v>1.02</v>
      </c>
      <c r="V3943" t="s">
        <v>2598</v>
      </c>
      <c r="W3943" t="s">
        <v>5968</v>
      </c>
      <c r="X3943" t="s">
        <v>5864</v>
      </c>
      <c r="Y3943" t="s">
        <v>5739</v>
      </c>
      <c r="Z3943" t="s">
        <v>9427</v>
      </c>
      <c r="AA3943">
        <v>2.31</v>
      </c>
      <c r="AB3943" t="s">
        <v>3048</v>
      </c>
      <c r="AC3943" t="s">
        <v>1438</v>
      </c>
      <c r="AD3943" t="s">
        <v>14038</v>
      </c>
      <c r="AE3943" t="s">
        <v>3050</v>
      </c>
      <c r="AF3943" t="s">
        <v>1609</v>
      </c>
      <c r="AG3943" t="s">
        <v>5726</v>
      </c>
      <c r="AH3943" t="s">
        <v>1215</v>
      </c>
      <c r="AI3943" t="s">
        <v>15421</v>
      </c>
      <c r="AK3943" t="s">
        <v>20265</v>
      </c>
      <c r="AL3943">
        <v>0.24</v>
      </c>
      <c r="AN3943">
        <v>0.16</v>
      </c>
      <c r="AP3943" t="s">
        <v>3457</v>
      </c>
      <c r="AQ3943" t="s">
        <v>949</v>
      </c>
      <c r="AR3943" t="s">
        <v>2145</v>
      </c>
      <c r="AS3943" t="s">
        <v>5084</v>
      </c>
      <c r="AT3943" t="s">
        <v>1864</v>
      </c>
      <c r="AU3943" t="s">
        <v>1864</v>
      </c>
      <c r="AV3943" t="s">
        <v>4267</v>
      </c>
      <c r="AW3943" t="s">
        <v>2934</v>
      </c>
      <c r="AX3943" t="s">
        <v>1087</v>
      </c>
      <c r="AY3943" t="s">
        <v>9240</v>
      </c>
      <c r="AZ3943" t="s">
        <v>4607</v>
      </c>
      <c r="BA3943">
        <v>1.75</v>
      </c>
      <c r="BB3943">
        <v>316.95999999999998</v>
      </c>
      <c r="BC3943">
        <v>0.62</v>
      </c>
      <c r="BD3943">
        <v>35.49</v>
      </c>
      <c r="BE3943">
        <v>35.880000000000003</v>
      </c>
      <c r="BF3943">
        <v>35.46</v>
      </c>
      <c r="BG3943" t="s">
        <v>31349</v>
      </c>
      <c r="BH3943" t="s">
        <v>9240</v>
      </c>
      <c r="BI3943" t="s">
        <v>31350</v>
      </c>
      <c r="BJ3943" t="s">
        <v>101</v>
      </c>
      <c r="BK3943" t="s">
        <v>3035</v>
      </c>
      <c r="BL3943" t="s">
        <v>5577</v>
      </c>
      <c r="BM3943" t="s">
        <v>8960</v>
      </c>
      <c r="BN3943" t="s">
        <v>27621</v>
      </c>
    </row>
    <row r="3944" spans="1:66" x14ac:dyDescent="0.25">
      <c r="A3944" t="str">
        <f>HYPERLINK("https://elite.finviz.com/quote.ashx?t=UHG&amp;ty=c&amp;p=d&amp;b=1", "UHG")</f>
        <v>UHG</v>
      </c>
      <c r="B3944">
        <v>4</v>
      </c>
      <c r="C3944">
        <v>105.92</v>
      </c>
      <c r="D3944">
        <v>45.63</v>
      </c>
      <c r="E3944" t="s">
        <v>31351</v>
      </c>
      <c r="F3944" t="s">
        <v>107</v>
      </c>
      <c r="G3944" t="s">
        <v>813</v>
      </c>
      <c r="H3944" t="s">
        <v>5054</v>
      </c>
      <c r="I3944" t="s">
        <v>70</v>
      </c>
      <c r="J3944" t="s">
        <v>321</v>
      </c>
      <c r="K3944">
        <v>234.03</v>
      </c>
      <c r="L3944">
        <v>3.98</v>
      </c>
      <c r="M3944" t="s">
        <v>6245</v>
      </c>
      <c r="N3944">
        <v>11120</v>
      </c>
      <c r="O3944">
        <v>64.61</v>
      </c>
      <c r="R3944">
        <v>0.52</v>
      </c>
      <c r="S3944">
        <v>2.84</v>
      </c>
      <c r="Z3944" t="s">
        <v>164</v>
      </c>
      <c r="AA3944">
        <v>0.06</v>
      </c>
      <c r="AB3944" t="s">
        <v>31352</v>
      </c>
      <c r="AE3944" t="s">
        <v>262</v>
      </c>
      <c r="AH3944" t="s">
        <v>4927</v>
      </c>
      <c r="AJ3944" t="s">
        <v>5380</v>
      </c>
      <c r="AK3944" t="s">
        <v>8379</v>
      </c>
      <c r="AL3944">
        <v>1.84</v>
      </c>
      <c r="AM3944">
        <v>0.46</v>
      </c>
      <c r="AN3944">
        <v>1.63</v>
      </c>
      <c r="AO3944" t="s">
        <v>17163</v>
      </c>
      <c r="AP3944" t="s">
        <v>2808</v>
      </c>
      <c r="AQ3944" t="s">
        <v>5166</v>
      </c>
      <c r="AR3944" t="s">
        <v>7935</v>
      </c>
      <c r="AS3944" t="s">
        <v>3957</v>
      </c>
      <c r="AT3944" t="s">
        <v>3622</v>
      </c>
      <c r="AU3944" t="s">
        <v>5309</v>
      </c>
      <c r="AV3944" t="s">
        <v>17831</v>
      </c>
      <c r="AW3944" t="s">
        <v>17276</v>
      </c>
      <c r="AX3944" t="s">
        <v>5738</v>
      </c>
      <c r="AY3944" t="s">
        <v>17757</v>
      </c>
      <c r="AZ3944" t="s">
        <v>31353</v>
      </c>
      <c r="BB3944">
        <v>167.17</v>
      </c>
      <c r="BC3944">
        <v>0.24</v>
      </c>
      <c r="BD3944">
        <v>3.95</v>
      </c>
      <c r="BE3944">
        <v>4.12</v>
      </c>
      <c r="BF3944">
        <v>4</v>
      </c>
      <c r="BG3944" t="s">
        <v>31354</v>
      </c>
      <c r="BH3944" t="s">
        <v>30809</v>
      </c>
      <c r="BI3944" t="s">
        <v>31353</v>
      </c>
      <c r="BJ3944" t="s">
        <v>101</v>
      </c>
      <c r="BK3944" t="s">
        <v>2039</v>
      </c>
      <c r="BL3944" t="s">
        <v>2915</v>
      </c>
      <c r="BM3944" t="s">
        <v>31355</v>
      </c>
      <c r="BN3944" t="s">
        <v>27621</v>
      </c>
    </row>
    <row r="3945" spans="1:66" x14ac:dyDescent="0.25">
      <c r="A3945" t="str">
        <f>HYPERLINK("https://elite.finviz.com/quote.ashx?t=FLGC&amp;ty=c&amp;p=d&amp;b=1", "FLGC")</f>
        <v>FLGC</v>
      </c>
      <c r="B3945">
        <v>4</v>
      </c>
      <c r="C3945">
        <v>105.92</v>
      </c>
      <c r="D3945">
        <v>45.63</v>
      </c>
      <c r="E3945" t="s">
        <v>31356</v>
      </c>
      <c r="F3945" t="s">
        <v>107</v>
      </c>
      <c r="G3945" t="s">
        <v>428</v>
      </c>
      <c r="H3945" t="s">
        <v>1296</v>
      </c>
      <c r="I3945" t="s">
        <v>70</v>
      </c>
      <c r="J3945" t="s">
        <v>321</v>
      </c>
      <c r="K3945">
        <v>12.63</v>
      </c>
      <c r="L3945">
        <v>21.7</v>
      </c>
      <c r="M3945" t="s">
        <v>2893</v>
      </c>
      <c r="N3945">
        <v>4376</v>
      </c>
      <c r="R3945">
        <v>0.24</v>
      </c>
      <c r="S3945">
        <v>3.12</v>
      </c>
      <c r="AA3945">
        <v>-34.43</v>
      </c>
      <c r="AB3945" t="s">
        <v>9005</v>
      </c>
      <c r="AC3945" t="s">
        <v>19919</v>
      </c>
      <c r="AE3945" t="s">
        <v>24577</v>
      </c>
      <c r="AF3945" t="s">
        <v>31357</v>
      </c>
      <c r="AH3945" t="s">
        <v>8889</v>
      </c>
      <c r="AI3945" t="s">
        <v>2254</v>
      </c>
      <c r="AJ3945" t="s">
        <v>164</v>
      </c>
      <c r="AK3945" t="s">
        <v>1751</v>
      </c>
      <c r="AL3945">
        <v>0.96</v>
      </c>
      <c r="AM3945">
        <v>0.61</v>
      </c>
      <c r="AN3945">
        <v>1.93</v>
      </c>
      <c r="AO3945" t="s">
        <v>5763</v>
      </c>
      <c r="AP3945" t="s">
        <v>3936</v>
      </c>
      <c r="AQ3945" t="s">
        <v>12394</v>
      </c>
      <c r="AR3945" t="s">
        <v>2165</v>
      </c>
      <c r="AS3945" t="s">
        <v>485</v>
      </c>
      <c r="AT3945" t="s">
        <v>2249</v>
      </c>
      <c r="AU3945" t="s">
        <v>3998</v>
      </c>
      <c r="AV3945" t="s">
        <v>7506</v>
      </c>
      <c r="AW3945" t="s">
        <v>727</v>
      </c>
      <c r="AX3945" t="s">
        <v>6852</v>
      </c>
      <c r="AY3945" t="s">
        <v>9931</v>
      </c>
      <c r="AZ3945" t="s">
        <v>6852</v>
      </c>
      <c r="BA3945">
        <v>1</v>
      </c>
      <c r="BB3945">
        <v>37.32</v>
      </c>
      <c r="BC3945">
        <v>0.41</v>
      </c>
      <c r="BD3945">
        <v>22.53</v>
      </c>
      <c r="BE3945">
        <v>22.77</v>
      </c>
      <c r="BF3945">
        <v>21.7</v>
      </c>
      <c r="BG3945" t="s">
        <v>31358</v>
      </c>
      <c r="BH3945" t="s">
        <v>14200</v>
      </c>
      <c r="BI3945" t="s">
        <v>6852</v>
      </c>
      <c r="BJ3945" t="s">
        <v>101</v>
      </c>
      <c r="BK3945" t="s">
        <v>20212</v>
      </c>
      <c r="BL3945" t="s">
        <v>18646</v>
      </c>
      <c r="BM3945" t="s">
        <v>14511</v>
      </c>
      <c r="BN3945" t="s">
        <v>27621</v>
      </c>
    </row>
    <row r="3946" spans="1:66" x14ac:dyDescent="0.25">
      <c r="A3946" t="str">
        <f>HYPERLINK("https://elite.finviz.com/quote.ashx?t=VVX&amp;ty=c&amp;p=d&amp;b=1", "VVX")</f>
        <v>VVX</v>
      </c>
      <c r="B3946">
        <v>4</v>
      </c>
      <c r="C3946">
        <v>105.92</v>
      </c>
      <c r="D3946">
        <v>45.68</v>
      </c>
      <c r="E3946" t="s">
        <v>31359</v>
      </c>
      <c r="F3946" t="s">
        <v>67</v>
      </c>
      <c r="G3946" t="s">
        <v>260</v>
      </c>
      <c r="H3946" t="s">
        <v>4779</v>
      </c>
      <c r="I3946" t="s">
        <v>70</v>
      </c>
      <c r="J3946" t="s">
        <v>71</v>
      </c>
      <c r="K3946">
        <v>1718.2</v>
      </c>
      <c r="L3946">
        <v>54.19</v>
      </c>
      <c r="M3946" t="s">
        <v>2734</v>
      </c>
      <c r="N3946">
        <v>191498</v>
      </c>
      <c r="O3946">
        <v>24.41</v>
      </c>
      <c r="P3946">
        <v>9.7200000000000006</v>
      </c>
      <c r="Q3946">
        <v>1.68</v>
      </c>
      <c r="R3946">
        <v>0.4</v>
      </c>
      <c r="S3946">
        <v>1.61</v>
      </c>
      <c r="Z3946" t="s">
        <v>164</v>
      </c>
      <c r="AA3946">
        <v>2.2200000000000002</v>
      </c>
      <c r="AB3946" t="s">
        <v>17652</v>
      </c>
      <c r="AC3946" t="s">
        <v>4654</v>
      </c>
      <c r="AD3946" t="s">
        <v>3525</v>
      </c>
      <c r="AE3946" t="s">
        <v>3887</v>
      </c>
      <c r="AF3946" t="s">
        <v>3816</v>
      </c>
      <c r="AG3946" t="s">
        <v>606</v>
      </c>
      <c r="AH3946" t="s">
        <v>2216</v>
      </c>
      <c r="AI3946" t="s">
        <v>6926</v>
      </c>
      <c r="AJ3946" t="s">
        <v>29704</v>
      </c>
      <c r="AK3946" t="s">
        <v>5417</v>
      </c>
      <c r="AL3946">
        <v>1.2</v>
      </c>
      <c r="AM3946">
        <v>1.1499999999999999</v>
      </c>
      <c r="AN3946">
        <v>1.07</v>
      </c>
      <c r="AO3946" t="s">
        <v>7436</v>
      </c>
      <c r="AP3946" t="s">
        <v>3520</v>
      </c>
      <c r="AQ3946" t="s">
        <v>7423</v>
      </c>
      <c r="AR3946" t="s">
        <v>912</v>
      </c>
      <c r="AS3946" t="s">
        <v>4495</v>
      </c>
      <c r="AT3946" t="s">
        <v>7948</v>
      </c>
      <c r="AU3946" t="s">
        <v>2426</v>
      </c>
      <c r="AV3946" t="s">
        <v>7854</v>
      </c>
      <c r="AW3946" t="s">
        <v>4054</v>
      </c>
      <c r="AX3946" t="s">
        <v>6965</v>
      </c>
      <c r="AY3946" t="s">
        <v>26174</v>
      </c>
      <c r="AZ3946" t="s">
        <v>11983</v>
      </c>
      <c r="BA3946">
        <v>2.09</v>
      </c>
      <c r="BB3946">
        <v>353.62</v>
      </c>
      <c r="BC3946">
        <v>1.91</v>
      </c>
      <c r="BD3946">
        <v>53.74</v>
      </c>
      <c r="BE3946">
        <v>55.24</v>
      </c>
      <c r="BF3946">
        <v>54.06</v>
      </c>
      <c r="BG3946" t="s">
        <v>31360</v>
      </c>
      <c r="BH3946" t="s">
        <v>26174</v>
      </c>
      <c r="BI3946" t="s">
        <v>31361</v>
      </c>
      <c r="BJ3946" t="s">
        <v>101</v>
      </c>
      <c r="BK3946" t="s">
        <v>6068</v>
      </c>
      <c r="BL3946" t="s">
        <v>7767</v>
      </c>
      <c r="BM3946" t="s">
        <v>1225</v>
      </c>
      <c r="BN3946" t="s">
        <v>27621</v>
      </c>
    </row>
    <row r="3947" spans="1:66" x14ac:dyDescent="0.25">
      <c r="A3947" t="str">
        <f>HYPERLINK("https://elite.finviz.com/quote.ashx?t=SAMG&amp;ty=c&amp;p=d&amp;b=1", "SAMG")</f>
        <v>SAMG</v>
      </c>
      <c r="B3947">
        <v>4</v>
      </c>
      <c r="C3947">
        <v>105.92</v>
      </c>
      <c r="D3947">
        <v>45.68</v>
      </c>
      <c r="E3947" t="s">
        <v>31362</v>
      </c>
      <c r="F3947" t="s">
        <v>67</v>
      </c>
      <c r="G3947" t="s">
        <v>550</v>
      </c>
      <c r="H3947" t="s">
        <v>2597</v>
      </c>
      <c r="I3947" t="s">
        <v>70</v>
      </c>
      <c r="J3947" t="s">
        <v>321</v>
      </c>
      <c r="K3947">
        <v>200.44</v>
      </c>
      <c r="L3947">
        <v>15.95</v>
      </c>
      <c r="M3947" t="s">
        <v>2745</v>
      </c>
      <c r="N3947">
        <v>7253</v>
      </c>
      <c r="O3947">
        <v>18.28</v>
      </c>
      <c r="P3947">
        <v>11.45</v>
      </c>
      <c r="Q3947">
        <v>1.1100000000000001</v>
      </c>
      <c r="R3947">
        <v>1.61</v>
      </c>
      <c r="S3947">
        <v>2.1</v>
      </c>
      <c r="T3947" t="s">
        <v>2316</v>
      </c>
      <c r="U3947">
        <v>0.81</v>
      </c>
      <c r="V3947" t="s">
        <v>2620</v>
      </c>
      <c r="W3947" t="s">
        <v>3602</v>
      </c>
      <c r="X3947" t="s">
        <v>4641</v>
      </c>
      <c r="Y3947" t="s">
        <v>896</v>
      </c>
      <c r="Z3947" t="s">
        <v>31363</v>
      </c>
      <c r="AA3947">
        <v>0.87</v>
      </c>
      <c r="AB3947" t="s">
        <v>11993</v>
      </c>
      <c r="AC3947" t="s">
        <v>2642</v>
      </c>
      <c r="AD3947" t="s">
        <v>16280</v>
      </c>
      <c r="AE3947" t="s">
        <v>9651</v>
      </c>
      <c r="AF3947" t="s">
        <v>14331</v>
      </c>
      <c r="AG3947" t="s">
        <v>162</v>
      </c>
      <c r="AH3947" t="s">
        <v>2768</v>
      </c>
      <c r="AI3947" t="s">
        <v>8084</v>
      </c>
      <c r="AJ3947" t="s">
        <v>164</v>
      </c>
      <c r="AK3947" t="s">
        <v>23087</v>
      </c>
      <c r="AL3947">
        <v>1.8</v>
      </c>
      <c r="AM3947">
        <v>1.8</v>
      </c>
      <c r="AN3947">
        <v>0.33</v>
      </c>
      <c r="AP3947" t="s">
        <v>2392</v>
      </c>
      <c r="AQ3947" t="s">
        <v>7935</v>
      </c>
      <c r="AR3947" t="s">
        <v>2640</v>
      </c>
      <c r="AS3947" t="s">
        <v>5258</v>
      </c>
      <c r="AT3947" t="s">
        <v>5721</v>
      </c>
      <c r="AU3947" t="s">
        <v>6256</v>
      </c>
      <c r="AV3947" t="s">
        <v>7582</v>
      </c>
      <c r="AW3947" t="s">
        <v>2538</v>
      </c>
      <c r="AX3947" t="s">
        <v>4690</v>
      </c>
      <c r="AY3947" t="s">
        <v>24199</v>
      </c>
      <c r="AZ3947" t="s">
        <v>15044</v>
      </c>
      <c r="BA3947">
        <v>1</v>
      </c>
      <c r="BB3947">
        <v>28.78</v>
      </c>
      <c r="BC3947">
        <v>0.9</v>
      </c>
      <c r="BD3947">
        <v>15.96</v>
      </c>
      <c r="BE3947">
        <v>16</v>
      </c>
      <c r="BF3947">
        <v>15.82</v>
      </c>
      <c r="BG3947" t="s">
        <v>31364</v>
      </c>
      <c r="BH3947" t="s">
        <v>24682</v>
      </c>
      <c r="BI3947" t="s">
        <v>31365</v>
      </c>
      <c r="BJ3947" t="s">
        <v>101</v>
      </c>
      <c r="BK3947" t="s">
        <v>3950</v>
      </c>
      <c r="BL3947" t="s">
        <v>2136</v>
      </c>
      <c r="BM3947" t="s">
        <v>3998</v>
      </c>
      <c r="BN3947" t="s">
        <v>27621</v>
      </c>
    </row>
    <row r="3948" spans="1:66" x14ac:dyDescent="0.25">
      <c r="A3948" t="str">
        <f>HYPERLINK("https://elite.finviz.com/quote.ashx?t=AMZE&amp;ty=c&amp;p=d&amp;b=1", "AMZE")</f>
        <v>AMZE</v>
      </c>
      <c r="B3948">
        <v>4</v>
      </c>
      <c r="C3948">
        <v>105.92</v>
      </c>
      <c r="D3948">
        <v>45.72</v>
      </c>
      <c r="E3948" t="s">
        <v>31366</v>
      </c>
      <c r="F3948" t="s">
        <v>107</v>
      </c>
      <c r="G3948" t="s">
        <v>2244</v>
      </c>
      <c r="H3948" t="s">
        <v>2245</v>
      </c>
      <c r="I3948" t="s">
        <v>70</v>
      </c>
      <c r="J3948" t="s">
        <v>383</v>
      </c>
      <c r="K3948">
        <v>18.510000000000002</v>
      </c>
      <c r="L3948">
        <v>2.92</v>
      </c>
      <c r="M3948" t="s">
        <v>5748</v>
      </c>
      <c r="N3948">
        <v>8562</v>
      </c>
      <c r="R3948">
        <v>17.63</v>
      </c>
      <c r="S3948">
        <v>0.21</v>
      </c>
      <c r="AA3948">
        <v>-6.86</v>
      </c>
      <c r="AB3948" t="s">
        <v>8783</v>
      </c>
      <c r="AC3948" t="s">
        <v>15234</v>
      </c>
      <c r="AE3948" t="s">
        <v>10941</v>
      </c>
      <c r="AF3948" t="s">
        <v>13644</v>
      </c>
      <c r="AH3948" t="s">
        <v>31367</v>
      </c>
      <c r="AJ3948" t="s">
        <v>87</v>
      </c>
      <c r="AK3948" t="s">
        <v>4849</v>
      </c>
      <c r="AL3948">
        <v>0.05</v>
      </c>
      <c r="AM3948">
        <v>0.04</v>
      </c>
      <c r="AN3948">
        <v>0.09</v>
      </c>
      <c r="AO3948" t="s">
        <v>23968</v>
      </c>
      <c r="AP3948" t="s">
        <v>31368</v>
      </c>
      <c r="AQ3948" t="s">
        <v>31369</v>
      </c>
      <c r="AR3948" t="s">
        <v>5082</v>
      </c>
      <c r="AS3948" t="s">
        <v>10359</v>
      </c>
      <c r="AT3948" t="s">
        <v>6674</v>
      </c>
      <c r="AU3948" t="s">
        <v>6727</v>
      </c>
      <c r="AV3948" t="s">
        <v>31190</v>
      </c>
      <c r="AW3948" t="s">
        <v>19267</v>
      </c>
      <c r="AX3948" t="s">
        <v>13485</v>
      </c>
      <c r="AY3948" t="s">
        <v>30520</v>
      </c>
      <c r="AZ3948" t="s">
        <v>13485</v>
      </c>
      <c r="BA3948">
        <v>1</v>
      </c>
      <c r="BB3948">
        <v>106.69</v>
      </c>
      <c r="BC3948">
        <v>0.28999999999999998</v>
      </c>
      <c r="BD3948">
        <v>3.11</v>
      </c>
      <c r="BE3948">
        <v>3.05</v>
      </c>
      <c r="BF3948">
        <v>2.92</v>
      </c>
      <c r="BG3948" t="s">
        <v>31370</v>
      </c>
      <c r="BH3948" t="s">
        <v>1349</v>
      </c>
      <c r="BI3948" t="s">
        <v>13485</v>
      </c>
      <c r="BJ3948" t="s">
        <v>101</v>
      </c>
      <c r="BK3948" t="s">
        <v>26452</v>
      </c>
      <c r="BL3948" t="s">
        <v>31371</v>
      </c>
      <c r="BM3948" t="s">
        <v>9250</v>
      </c>
      <c r="BN3948" t="s">
        <v>27621</v>
      </c>
    </row>
    <row r="3949" spans="1:66" x14ac:dyDescent="0.25">
      <c r="A3949" t="str">
        <f>HYPERLINK("https://elite.finviz.com/quote.ashx?t=VATE&amp;ty=c&amp;p=d&amp;b=1", "VATE")</f>
        <v>VATE</v>
      </c>
      <c r="B3949">
        <v>4</v>
      </c>
      <c r="C3949">
        <v>105.92</v>
      </c>
      <c r="D3949">
        <v>45.73</v>
      </c>
      <c r="E3949" t="s">
        <v>31372</v>
      </c>
      <c r="F3949" t="s">
        <v>107</v>
      </c>
      <c r="G3949" t="s">
        <v>260</v>
      </c>
      <c r="H3949" t="s">
        <v>2944</v>
      </c>
      <c r="I3949" t="s">
        <v>70</v>
      </c>
      <c r="J3949" t="s">
        <v>71</v>
      </c>
      <c r="K3949">
        <v>64.349999999999994</v>
      </c>
      <c r="L3949">
        <v>4.82</v>
      </c>
      <c r="M3949" t="s">
        <v>4275</v>
      </c>
      <c r="N3949">
        <v>1947</v>
      </c>
      <c r="R3949">
        <v>0.06</v>
      </c>
      <c r="V3949" t="s">
        <v>31373</v>
      </c>
      <c r="AA3949">
        <v>-6.04</v>
      </c>
      <c r="AB3949" t="s">
        <v>2389</v>
      </c>
      <c r="AC3949" t="s">
        <v>3290</v>
      </c>
      <c r="AE3949" t="s">
        <v>14023</v>
      </c>
      <c r="AF3949" t="s">
        <v>9854</v>
      </c>
      <c r="AG3949" t="s">
        <v>4849</v>
      </c>
      <c r="AH3949" t="s">
        <v>24563</v>
      </c>
      <c r="AJ3949" t="s">
        <v>164</v>
      </c>
      <c r="AK3949" t="s">
        <v>3546</v>
      </c>
      <c r="AL3949">
        <v>0.46</v>
      </c>
      <c r="AM3949">
        <v>0.43</v>
      </c>
      <c r="AO3949" t="s">
        <v>2631</v>
      </c>
      <c r="AP3949" t="s">
        <v>179</v>
      </c>
      <c r="AQ3949" t="s">
        <v>8073</v>
      </c>
      <c r="AR3949" t="s">
        <v>2492</v>
      </c>
      <c r="AS3949" t="s">
        <v>8050</v>
      </c>
      <c r="AT3949" t="s">
        <v>2431</v>
      </c>
      <c r="AU3949" t="s">
        <v>9019</v>
      </c>
      <c r="AV3949" t="s">
        <v>18097</v>
      </c>
      <c r="AW3949" t="s">
        <v>31374</v>
      </c>
      <c r="AX3949" t="s">
        <v>419</v>
      </c>
      <c r="AY3949" t="s">
        <v>31375</v>
      </c>
      <c r="AZ3949" t="s">
        <v>12938</v>
      </c>
      <c r="BA3949">
        <v>1</v>
      </c>
      <c r="BB3949">
        <v>29.42</v>
      </c>
      <c r="BC3949">
        <v>0.24</v>
      </c>
      <c r="BD3949">
        <v>4.75</v>
      </c>
      <c r="BE3949">
        <v>4.8899999999999997</v>
      </c>
      <c r="BF3949">
        <v>4.8099999999999996</v>
      </c>
      <c r="BG3949" t="s">
        <v>31376</v>
      </c>
      <c r="BH3949" t="s">
        <v>31377</v>
      </c>
      <c r="BI3949" t="s">
        <v>12938</v>
      </c>
      <c r="BJ3949" t="s">
        <v>101</v>
      </c>
      <c r="BK3949" t="s">
        <v>7408</v>
      </c>
      <c r="BL3949" t="s">
        <v>11788</v>
      </c>
      <c r="BM3949" t="s">
        <v>3457</v>
      </c>
      <c r="BN3949" t="s">
        <v>27621</v>
      </c>
    </row>
    <row r="3950" spans="1:66" x14ac:dyDescent="0.25">
      <c r="A3950" t="str">
        <f>HYPERLINK("https://elite.finviz.com/quote.ashx?t=CFBK&amp;ty=c&amp;p=d&amp;b=1", "CFBK")</f>
        <v>CFBK</v>
      </c>
      <c r="B3950">
        <v>4</v>
      </c>
      <c r="C3950">
        <v>105.92</v>
      </c>
      <c r="D3950">
        <v>45.81</v>
      </c>
      <c r="E3950" t="s">
        <v>31378</v>
      </c>
      <c r="F3950" t="s">
        <v>67</v>
      </c>
      <c r="G3950" t="s">
        <v>550</v>
      </c>
      <c r="H3950" t="s">
        <v>697</v>
      </c>
      <c r="I3950" t="s">
        <v>70</v>
      </c>
      <c r="J3950" t="s">
        <v>321</v>
      </c>
      <c r="K3950">
        <v>157.12</v>
      </c>
      <c r="L3950">
        <v>24.37</v>
      </c>
      <c r="M3950" t="s">
        <v>2646</v>
      </c>
      <c r="N3950">
        <v>1944</v>
      </c>
      <c r="O3950">
        <v>8.77</v>
      </c>
      <c r="P3950">
        <v>6.55</v>
      </c>
      <c r="R3950">
        <v>1.25</v>
      </c>
      <c r="S3950">
        <v>0.89</v>
      </c>
      <c r="T3950" t="s">
        <v>343</v>
      </c>
      <c r="U3950">
        <v>0.28999999999999998</v>
      </c>
      <c r="V3950" t="s">
        <v>10903</v>
      </c>
      <c r="W3950" t="s">
        <v>9159</v>
      </c>
      <c r="X3950" t="s">
        <v>11397</v>
      </c>
      <c r="Z3950" t="s">
        <v>231</v>
      </c>
      <c r="AA3950">
        <v>2.78</v>
      </c>
      <c r="AB3950" t="s">
        <v>11932</v>
      </c>
      <c r="AC3950" t="s">
        <v>141</v>
      </c>
      <c r="AE3950" t="s">
        <v>3670</v>
      </c>
      <c r="AF3950" t="s">
        <v>5749</v>
      </c>
      <c r="AG3950" t="s">
        <v>142</v>
      </c>
      <c r="AH3950" t="s">
        <v>4269</v>
      </c>
      <c r="AI3950" t="s">
        <v>1955</v>
      </c>
      <c r="AJ3950" t="s">
        <v>8357</v>
      </c>
      <c r="AK3950" t="s">
        <v>5908</v>
      </c>
      <c r="AL3950">
        <v>0.95</v>
      </c>
      <c r="AN3950">
        <v>0.69</v>
      </c>
      <c r="AP3950" t="s">
        <v>20367</v>
      </c>
      <c r="AQ3950" t="s">
        <v>6748</v>
      </c>
      <c r="AR3950" t="s">
        <v>5258</v>
      </c>
      <c r="AS3950" t="s">
        <v>5263</v>
      </c>
      <c r="AT3950" t="s">
        <v>6449</v>
      </c>
      <c r="AU3950" t="s">
        <v>1249</v>
      </c>
      <c r="AV3950" t="s">
        <v>901</v>
      </c>
      <c r="AW3950" t="s">
        <v>5355</v>
      </c>
      <c r="AX3950" t="s">
        <v>454</v>
      </c>
      <c r="AY3950" t="s">
        <v>1039</v>
      </c>
      <c r="AZ3950" t="s">
        <v>10765</v>
      </c>
      <c r="BA3950">
        <v>1</v>
      </c>
      <c r="BB3950">
        <v>33.950000000000003</v>
      </c>
      <c r="BC3950">
        <v>0.2</v>
      </c>
      <c r="BD3950">
        <v>24.3</v>
      </c>
      <c r="BE3950">
        <v>24.42</v>
      </c>
      <c r="BF3950">
        <v>24.26</v>
      </c>
      <c r="BG3950" t="s">
        <v>31379</v>
      </c>
      <c r="BH3950" t="s">
        <v>31380</v>
      </c>
      <c r="BI3950" t="s">
        <v>31381</v>
      </c>
      <c r="BJ3950" t="s">
        <v>101</v>
      </c>
      <c r="BK3950" t="s">
        <v>4294</v>
      </c>
      <c r="BL3950" t="s">
        <v>801</v>
      </c>
      <c r="BM3950" t="s">
        <v>10200</v>
      </c>
      <c r="BN3950" t="s">
        <v>27621</v>
      </c>
    </row>
    <row r="3951" spans="1:66" x14ac:dyDescent="0.25">
      <c r="A3951" t="str">
        <f>HYPERLINK("https://elite.finviz.com/quote.ashx?t=CPHC&amp;ty=c&amp;p=d&amp;b=1", "CPHC")</f>
        <v>CPHC</v>
      </c>
      <c r="B3951">
        <v>4</v>
      </c>
      <c r="C3951">
        <v>105.92</v>
      </c>
      <c r="D3951">
        <v>45.82</v>
      </c>
      <c r="E3951" t="s">
        <v>31382</v>
      </c>
      <c r="F3951" t="s">
        <v>107</v>
      </c>
      <c r="G3951" t="s">
        <v>813</v>
      </c>
      <c r="H3951" t="s">
        <v>2763</v>
      </c>
      <c r="I3951" t="s">
        <v>70</v>
      </c>
      <c r="J3951" t="s">
        <v>321</v>
      </c>
      <c r="K3951">
        <v>84.23</v>
      </c>
      <c r="L3951">
        <v>16.559999999999999</v>
      </c>
      <c r="M3951" t="s">
        <v>2642</v>
      </c>
      <c r="N3951">
        <v>1518</v>
      </c>
      <c r="O3951">
        <v>541.17999999999995</v>
      </c>
      <c r="R3951">
        <v>1.4</v>
      </c>
      <c r="S3951">
        <v>1.01</v>
      </c>
      <c r="T3951" t="s">
        <v>2274</v>
      </c>
      <c r="U3951">
        <v>0.28000000000000003</v>
      </c>
      <c r="V3951" t="s">
        <v>198</v>
      </c>
      <c r="W3951" t="s">
        <v>164</v>
      </c>
      <c r="X3951" t="s">
        <v>8149</v>
      </c>
      <c r="Y3951" t="s">
        <v>164</v>
      </c>
      <c r="Z3951" t="s">
        <v>31383</v>
      </c>
      <c r="AA3951">
        <v>0.03</v>
      </c>
      <c r="AB3951" t="s">
        <v>28761</v>
      </c>
      <c r="AC3951" t="s">
        <v>137</v>
      </c>
      <c r="AE3951" t="s">
        <v>4920</v>
      </c>
      <c r="AF3951" t="s">
        <v>3463</v>
      </c>
      <c r="AG3951" t="s">
        <v>3169</v>
      </c>
      <c r="AH3951" t="s">
        <v>2149</v>
      </c>
      <c r="AJ3951" t="s">
        <v>164</v>
      </c>
      <c r="AK3951" t="s">
        <v>6063</v>
      </c>
      <c r="AL3951">
        <v>1.94</v>
      </c>
      <c r="AM3951">
        <v>1.92</v>
      </c>
      <c r="AN3951">
        <v>0</v>
      </c>
      <c r="AO3951" t="s">
        <v>12632</v>
      </c>
      <c r="AP3951" t="s">
        <v>5163</v>
      </c>
      <c r="AQ3951" t="s">
        <v>4266</v>
      </c>
      <c r="AR3951" t="s">
        <v>4891</v>
      </c>
      <c r="AS3951" t="s">
        <v>6692</v>
      </c>
      <c r="AT3951" t="s">
        <v>1547</v>
      </c>
      <c r="AU3951" t="s">
        <v>944</v>
      </c>
      <c r="AV3951" t="s">
        <v>15315</v>
      </c>
      <c r="AW3951" t="s">
        <v>6700</v>
      </c>
      <c r="AX3951" t="s">
        <v>4204</v>
      </c>
      <c r="AY3951" t="s">
        <v>2541</v>
      </c>
      <c r="AZ3951" t="s">
        <v>4204</v>
      </c>
      <c r="BB3951">
        <v>3.56</v>
      </c>
      <c r="BC3951">
        <v>1.52</v>
      </c>
      <c r="BD3951">
        <v>16.5</v>
      </c>
      <c r="BE3951">
        <v>16.829999999999998</v>
      </c>
      <c r="BF3951">
        <v>16.25</v>
      </c>
      <c r="BG3951" t="s">
        <v>31384</v>
      </c>
      <c r="BH3951" t="s">
        <v>13599</v>
      </c>
      <c r="BI3951" t="s">
        <v>31385</v>
      </c>
      <c r="BJ3951" t="s">
        <v>101</v>
      </c>
      <c r="BK3951" t="s">
        <v>6918</v>
      </c>
      <c r="BL3951" t="s">
        <v>157</v>
      </c>
      <c r="BM3951" t="s">
        <v>2914</v>
      </c>
      <c r="BN3951" t="s">
        <v>27621</v>
      </c>
    </row>
    <row r="3952" spans="1:66" x14ac:dyDescent="0.25">
      <c r="A3952" t="str">
        <f>HYPERLINK("https://elite.finviz.com/quote.ashx?t=GLIBA&amp;ty=c&amp;p=d&amp;b=1", "GLIBA")</f>
        <v>GLIBA</v>
      </c>
      <c r="B3952">
        <v>4</v>
      </c>
      <c r="C3952">
        <v>105.92</v>
      </c>
      <c r="D3952">
        <v>45.82</v>
      </c>
      <c r="E3952" t="s">
        <v>31386</v>
      </c>
      <c r="F3952" t="s">
        <v>107</v>
      </c>
      <c r="G3952" t="s">
        <v>598</v>
      </c>
      <c r="H3952" t="s">
        <v>6147</v>
      </c>
      <c r="I3952" t="s">
        <v>70</v>
      </c>
      <c r="J3952" t="s">
        <v>321</v>
      </c>
      <c r="K3952">
        <v>1012.31</v>
      </c>
      <c r="L3952">
        <v>35.54</v>
      </c>
      <c r="M3952" t="s">
        <v>4494</v>
      </c>
      <c r="N3952">
        <v>10939</v>
      </c>
      <c r="S3952">
        <v>0.69</v>
      </c>
      <c r="AF3952" t="s">
        <v>1454</v>
      </c>
      <c r="AG3952" t="s">
        <v>908</v>
      </c>
      <c r="AH3952" t="s">
        <v>2064</v>
      </c>
      <c r="AJ3952" t="s">
        <v>4902</v>
      </c>
      <c r="AK3952" t="s">
        <v>6336</v>
      </c>
      <c r="AL3952">
        <v>1.42</v>
      </c>
      <c r="AM3952">
        <v>1.42</v>
      </c>
      <c r="AN3952">
        <v>0.72</v>
      </c>
      <c r="AR3952" t="s">
        <v>4800</v>
      </c>
      <c r="AS3952" t="s">
        <v>901</v>
      </c>
      <c r="AT3952" t="s">
        <v>133</v>
      </c>
      <c r="AU3952" t="s">
        <v>2331</v>
      </c>
      <c r="AV3952" t="s">
        <v>6182</v>
      </c>
      <c r="AW3952" t="s">
        <v>6227</v>
      </c>
      <c r="AX3952" t="s">
        <v>7232</v>
      </c>
      <c r="AY3952" t="s">
        <v>6227</v>
      </c>
      <c r="AZ3952" t="s">
        <v>86</v>
      </c>
      <c r="BB3952">
        <v>85.27</v>
      </c>
      <c r="BC3952">
        <v>0.45</v>
      </c>
      <c r="BD3952">
        <v>35.5</v>
      </c>
      <c r="BE3952">
        <v>35.590000000000003</v>
      </c>
      <c r="BF3952">
        <v>35.299999999999997</v>
      </c>
      <c r="BG3952" t="s">
        <v>31387</v>
      </c>
      <c r="BH3952" t="s">
        <v>6227</v>
      </c>
      <c r="BI3952" t="s">
        <v>86</v>
      </c>
      <c r="BJ3952" t="s">
        <v>101</v>
      </c>
      <c r="BN3952" t="s">
        <v>27621</v>
      </c>
    </row>
    <row r="3953" spans="1:66" x14ac:dyDescent="0.25">
      <c r="A3953" t="str">
        <f>HYPERLINK("https://elite.finviz.com/quote.ashx?t=VABK&amp;ty=c&amp;p=d&amp;b=1", "VABK")</f>
        <v>VABK</v>
      </c>
      <c r="B3953">
        <v>4</v>
      </c>
      <c r="C3953">
        <v>105.92</v>
      </c>
      <c r="D3953">
        <v>45.89</v>
      </c>
      <c r="E3953" t="s">
        <v>31388</v>
      </c>
      <c r="F3953" t="s">
        <v>67</v>
      </c>
      <c r="G3953" t="s">
        <v>550</v>
      </c>
      <c r="H3953" t="s">
        <v>697</v>
      </c>
      <c r="I3953" t="s">
        <v>70</v>
      </c>
      <c r="J3953" t="s">
        <v>321</v>
      </c>
      <c r="K3953">
        <v>210.99</v>
      </c>
      <c r="L3953">
        <v>39.130000000000003</v>
      </c>
      <c r="M3953" t="s">
        <v>3493</v>
      </c>
      <c r="N3953">
        <v>1305</v>
      </c>
      <c r="O3953">
        <v>11.83</v>
      </c>
      <c r="R3953">
        <v>2.54</v>
      </c>
      <c r="S3953">
        <v>1.24</v>
      </c>
      <c r="T3953" t="s">
        <v>2822</v>
      </c>
      <c r="U3953">
        <v>1.38</v>
      </c>
      <c r="V3953" t="s">
        <v>3046</v>
      </c>
      <c r="W3953" t="s">
        <v>164</v>
      </c>
      <c r="X3953" t="s">
        <v>5187</v>
      </c>
      <c r="Y3953" t="s">
        <v>6975</v>
      </c>
      <c r="Z3953" t="s">
        <v>13241</v>
      </c>
      <c r="AA3953">
        <v>3.31</v>
      </c>
      <c r="AB3953" t="s">
        <v>7727</v>
      </c>
      <c r="AC3953" t="s">
        <v>454</v>
      </c>
      <c r="AE3953" t="s">
        <v>92</v>
      </c>
      <c r="AF3953" t="s">
        <v>13322</v>
      </c>
      <c r="AG3953" t="s">
        <v>245</v>
      </c>
      <c r="AH3953" t="s">
        <v>8228</v>
      </c>
      <c r="AJ3953" t="s">
        <v>164</v>
      </c>
      <c r="AK3953" t="s">
        <v>21264</v>
      </c>
      <c r="AL3953">
        <v>0.05</v>
      </c>
      <c r="AN3953">
        <v>0.42</v>
      </c>
      <c r="AP3953" t="s">
        <v>11747</v>
      </c>
      <c r="AQ3953" t="s">
        <v>5095</v>
      </c>
      <c r="AR3953" t="s">
        <v>1933</v>
      </c>
      <c r="AS3953" t="s">
        <v>4299</v>
      </c>
      <c r="AT3953" t="s">
        <v>9938</v>
      </c>
      <c r="AU3953" t="s">
        <v>211</v>
      </c>
      <c r="AV3953" t="s">
        <v>10226</v>
      </c>
      <c r="AW3953" t="s">
        <v>20045</v>
      </c>
      <c r="AX3953" t="s">
        <v>3952</v>
      </c>
      <c r="AY3953" t="s">
        <v>20045</v>
      </c>
      <c r="AZ3953" t="s">
        <v>1999</v>
      </c>
      <c r="BB3953">
        <v>21.19</v>
      </c>
      <c r="BC3953">
        <v>0.22</v>
      </c>
      <c r="BD3953">
        <v>38.78</v>
      </c>
      <c r="BE3953">
        <v>39</v>
      </c>
      <c r="BF3953">
        <v>38.799999999999997</v>
      </c>
      <c r="BG3953" t="s">
        <v>31389</v>
      </c>
      <c r="BH3953" t="s">
        <v>18254</v>
      </c>
      <c r="BI3953" t="s">
        <v>31390</v>
      </c>
      <c r="BJ3953" t="s">
        <v>101</v>
      </c>
      <c r="BK3953" t="s">
        <v>8276</v>
      </c>
      <c r="BL3953" t="s">
        <v>6378</v>
      </c>
      <c r="BM3953" t="s">
        <v>1580</v>
      </c>
      <c r="BN3953" t="s">
        <v>27621</v>
      </c>
    </row>
    <row r="3954" spans="1:66" x14ac:dyDescent="0.25">
      <c r="A3954" t="str">
        <f>HYPERLINK("https://elite.finviz.com/quote.ashx?t=BLIN&amp;ty=c&amp;p=d&amp;b=1", "BLIN")</f>
        <v>BLIN</v>
      </c>
      <c r="B3954">
        <v>4</v>
      </c>
      <c r="C3954">
        <v>105.92</v>
      </c>
      <c r="D3954">
        <v>45.89</v>
      </c>
      <c r="E3954" t="s">
        <v>31391</v>
      </c>
      <c r="F3954" t="s">
        <v>107</v>
      </c>
      <c r="G3954" t="s">
        <v>108</v>
      </c>
      <c r="H3954" t="s">
        <v>109</v>
      </c>
      <c r="I3954" t="s">
        <v>70</v>
      </c>
      <c r="J3954" t="s">
        <v>321</v>
      </c>
      <c r="K3954">
        <v>16.170000000000002</v>
      </c>
      <c r="L3954">
        <v>1.34</v>
      </c>
      <c r="M3954" t="s">
        <v>1364</v>
      </c>
      <c r="N3954">
        <v>5393</v>
      </c>
      <c r="R3954">
        <v>1.05</v>
      </c>
      <c r="S3954">
        <v>1.63</v>
      </c>
      <c r="AA3954">
        <v>-0.27</v>
      </c>
      <c r="AB3954" t="s">
        <v>965</v>
      </c>
      <c r="AC3954" t="s">
        <v>1535</v>
      </c>
      <c r="AE3954" t="s">
        <v>4901</v>
      </c>
      <c r="AF3954" t="s">
        <v>754</v>
      </c>
      <c r="AG3954" t="s">
        <v>2625</v>
      </c>
      <c r="AH3954" t="s">
        <v>6149</v>
      </c>
      <c r="AI3954" t="s">
        <v>5672</v>
      </c>
      <c r="AJ3954" t="s">
        <v>10865</v>
      </c>
      <c r="AK3954" t="s">
        <v>1999</v>
      </c>
      <c r="AL3954">
        <v>0.77</v>
      </c>
      <c r="AM3954">
        <v>0.77</v>
      </c>
      <c r="AN3954">
        <v>0.05</v>
      </c>
      <c r="AO3954" t="s">
        <v>23792</v>
      </c>
      <c r="AP3954" t="s">
        <v>14274</v>
      </c>
      <c r="AQ3954" t="s">
        <v>12059</v>
      </c>
      <c r="AR3954" t="s">
        <v>6028</v>
      </c>
      <c r="AS3954" t="s">
        <v>3948</v>
      </c>
      <c r="AT3954" t="s">
        <v>7646</v>
      </c>
      <c r="AU3954" t="s">
        <v>2498</v>
      </c>
      <c r="AV3954" t="s">
        <v>3109</v>
      </c>
      <c r="AW3954" t="s">
        <v>31392</v>
      </c>
      <c r="AX3954" t="s">
        <v>7436</v>
      </c>
      <c r="AY3954" t="s">
        <v>22303</v>
      </c>
      <c r="AZ3954" t="s">
        <v>5022</v>
      </c>
      <c r="BA3954">
        <v>1</v>
      </c>
      <c r="BB3954">
        <v>83.65</v>
      </c>
      <c r="BC3954">
        <v>0.23</v>
      </c>
      <c r="BD3954">
        <v>1.34</v>
      </c>
      <c r="BE3954">
        <v>1.34</v>
      </c>
      <c r="BF3954">
        <v>1.32</v>
      </c>
      <c r="BG3954" t="s">
        <v>31393</v>
      </c>
      <c r="BH3954" t="s">
        <v>3265</v>
      </c>
      <c r="BI3954" t="s">
        <v>31394</v>
      </c>
      <c r="BJ3954" t="s">
        <v>101</v>
      </c>
      <c r="BK3954" t="s">
        <v>1884</v>
      </c>
      <c r="BL3954" t="s">
        <v>9513</v>
      </c>
      <c r="BM3954" t="s">
        <v>9864</v>
      </c>
      <c r="BN3954" t="s">
        <v>27621</v>
      </c>
    </row>
    <row r="3955" spans="1:66" x14ac:dyDescent="0.25">
      <c r="A3955" t="str">
        <f>HYPERLINK("https://elite.finviz.com/quote.ashx?t=ELVN&amp;ty=c&amp;p=d&amp;b=1", "ELVN")</f>
        <v>ELVN</v>
      </c>
      <c r="B3955">
        <v>4</v>
      </c>
      <c r="C3955">
        <v>105.92</v>
      </c>
      <c r="D3955">
        <v>45.89</v>
      </c>
      <c r="E3955" t="s">
        <v>31395</v>
      </c>
      <c r="F3955" t="s">
        <v>67</v>
      </c>
      <c r="G3955" t="s">
        <v>428</v>
      </c>
      <c r="H3955" t="s">
        <v>429</v>
      </c>
      <c r="I3955" t="s">
        <v>70</v>
      </c>
      <c r="J3955" t="s">
        <v>321</v>
      </c>
      <c r="K3955">
        <v>1123.0999999999999</v>
      </c>
      <c r="L3955">
        <v>18.96</v>
      </c>
      <c r="M3955" t="s">
        <v>6975</v>
      </c>
      <c r="N3955">
        <v>86431</v>
      </c>
      <c r="S3955">
        <v>2.2999999999999998</v>
      </c>
      <c r="AA3955">
        <v>-2</v>
      </c>
      <c r="AB3955" t="s">
        <v>14359</v>
      </c>
      <c r="AC3955" t="s">
        <v>14050</v>
      </c>
      <c r="AD3955" t="s">
        <v>2575</v>
      </c>
      <c r="AI3955" t="s">
        <v>11639</v>
      </c>
      <c r="AJ3955" t="s">
        <v>655</v>
      </c>
      <c r="AK3955" t="s">
        <v>9648</v>
      </c>
      <c r="AL3955">
        <v>32.58</v>
      </c>
      <c r="AM3955">
        <v>32.58</v>
      </c>
      <c r="AN3955">
        <v>0</v>
      </c>
      <c r="AR3955" t="s">
        <v>272</v>
      </c>
      <c r="AS3955" t="s">
        <v>7971</v>
      </c>
      <c r="AT3955" t="s">
        <v>11896</v>
      </c>
      <c r="AU3955" t="s">
        <v>8520</v>
      </c>
      <c r="AV3955" t="s">
        <v>4635</v>
      </c>
      <c r="AW3955" t="s">
        <v>6788</v>
      </c>
      <c r="AX3955" t="s">
        <v>5726</v>
      </c>
      <c r="AY3955" t="s">
        <v>26685</v>
      </c>
      <c r="AZ3955" t="s">
        <v>9763</v>
      </c>
      <c r="BA3955">
        <v>1.1000000000000001</v>
      </c>
      <c r="BB3955">
        <v>500.71</v>
      </c>
      <c r="BC3955">
        <v>0.61</v>
      </c>
      <c r="BD3955">
        <v>18.57</v>
      </c>
      <c r="BE3955">
        <v>19.07</v>
      </c>
      <c r="BF3955">
        <v>18.28</v>
      </c>
      <c r="BG3955" t="s">
        <v>31396</v>
      </c>
      <c r="BH3955" t="s">
        <v>19904</v>
      </c>
      <c r="BI3955" t="s">
        <v>31397</v>
      </c>
      <c r="BJ3955" t="s">
        <v>101</v>
      </c>
      <c r="BK3955" t="s">
        <v>11615</v>
      </c>
      <c r="BL3955" t="s">
        <v>6349</v>
      </c>
      <c r="BM3955" t="s">
        <v>7957</v>
      </c>
      <c r="BN3955" t="s">
        <v>27621</v>
      </c>
    </row>
    <row r="3956" spans="1:66" x14ac:dyDescent="0.25">
      <c r="A3956" t="str">
        <f>HYPERLINK("https://elite.finviz.com/quote.ashx?t=CHCO&amp;ty=c&amp;p=d&amp;b=1", "CHCO")</f>
        <v>CHCO</v>
      </c>
      <c r="B3956">
        <v>4</v>
      </c>
      <c r="C3956">
        <v>105.92</v>
      </c>
      <c r="D3956">
        <v>45.9</v>
      </c>
      <c r="E3956" t="s">
        <v>31398</v>
      </c>
      <c r="F3956" t="s">
        <v>67</v>
      </c>
      <c r="G3956" t="s">
        <v>550</v>
      </c>
      <c r="H3956" t="s">
        <v>697</v>
      </c>
      <c r="I3956" t="s">
        <v>70</v>
      </c>
      <c r="J3956" t="s">
        <v>321</v>
      </c>
      <c r="K3956">
        <v>1800.12</v>
      </c>
      <c r="L3956">
        <v>124.19</v>
      </c>
      <c r="M3956" t="s">
        <v>3495</v>
      </c>
      <c r="N3956">
        <v>56341</v>
      </c>
      <c r="O3956">
        <v>14.97</v>
      </c>
      <c r="P3956">
        <v>14.8</v>
      </c>
      <c r="R3956">
        <v>4.63</v>
      </c>
      <c r="S3956">
        <v>2.36</v>
      </c>
      <c r="T3956" t="s">
        <v>2619</v>
      </c>
      <c r="U3956">
        <v>3.16</v>
      </c>
      <c r="V3956" t="s">
        <v>7373</v>
      </c>
      <c r="W3956" t="s">
        <v>4835</v>
      </c>
      <c r="X3956" t="s">
        <v>2192</v>
      </c>
      <c r="Y3956" t="s">
        <v>2066</v>
      </c>
      <c r="Z3956" t="s">
        <v>25531</v>
      </c>
      <c r="AA3956">
        <v>8.3000000000000007</v>
      </c>
      <c r="AB3956" t="s">
        <v>13358</v>
      </c>
      <c r="AC3956" t="s">
        <v>2515</v>
      </c>
      <c r="AE3956" t="s">
        <v>5389</v>
      </c>
      <c r="AF3956" t="s">
        <v>4314</v>
      </c>
      <c r="AG3956" t="s">
        <v>7236</v>
      </c>
      <c r="AH3956" t="s">
        <v>3958</v>
      </c>
      <c r="AI3956" t="s">
        <v>87</v>
      </c>
      <c r="AJ3956" t="s">
        <v>3634</v>
      </c>
      <c r="AK3956" t="s">
        <v>25326</v>
      </c>
      <c r="AL3956">
        <v>0.06</v>
      </c>
      <c r="AN3956">
        <v>0.64</v>
      </c>
      <c r="AP3956" t="s">
        <v>16250</v>
      </c>
      <c r="AQ3956" t="s">
        <v>4721</v>
      </c>
      <c r="AR3956" t="s">
        <v>633</v>
      </c>
      <c r="AS3956" t="s">
        <v>1439</v>
      </c>
      <c r="AT3956" t="s">
        <v>3172</v>
      </c>
      <c r="AU3956" t="s">
        <v>3950</v>
      </c>
      <c r="AV3956" t="s">
        <v>2383</v>
      </c>
      <c r="AW3956" t="s">
        <v>972</v>
      </c>
      <c r="AX3956" t="s">
        <v>1063</v>
      </c>
      <c r="AY3956" t="s">
        <v>19464</v>
      </c>
      <c r="AZ3956" t="s">
        <v>14500</v>
      </c>
      <c r="BA3956">
        <v>3</v>
      </c>
      <c r="BB3956">
        <v>115.7</v>
      </c>
      <c r="BC3956">
        <v>1.72</v>
      </c>
      <c r="BD3956">
        <v>125.03</v>
      </c>
      <c r="BE3956">
        <v>127.08</v>
      </c>
      <c r="BF3956">
        <v>125.17</v>
      </c>
      <c r="BG3956" t="s">
        <v>31399</v>
      </c>
      <c r="BH3956" t="s">
        <v>19464</v>
      </c>
      <c r="BI3956" t="s">
        <v>31400</v>
      </c>
      <c r="BJ3956" t="s">
        <v>101</v>
      </c>
      <c r="BK3956" t="s">
        <v>6245</v>
      </c>
      <c r="BL3956" t="s">
        <v>8818</v>
      </c>
      <c r="BM3956" t="s">
        <v>274</v>
      </c>
      <c r="BN3956" t="s">
        <v>27621</v>
      </c>
    </row>
    <row r="3957" spans="1:66" x14ac:dyDescent="0.25">
      <c r="A3957" t="str">
        <f>HYPERLINK("https://elite.finviz.com/quote.ashx?t=EVTC&amp;ty=c&amp;p=d&amp;b=1", "EVTC")</f>
        <v>EVTC</v>
      </c>
      <c r="B3957">
        <v>4</v>
      </c>
      <c r="C3957">
        <v>105.92</v>
      </c>
      <c r="D3957">
        <v>45.9</v>
      </c>
      <c r="E3957" t="s">
        <v>31401</v>
      </c>
      <c r="F3957" t="s">
        <v>67</v>
      </c>
      <c r="G3957" t="s">
        <v>108</v>
      </c>
      <c r="H3957" t="s">
        <v>109</v>
      </c>
      <c r="I3957" t="s">
        <v>70</v>
      </c>
      <c r="J3957" t="s">
        <v>71</v>
      </c>
      <c r="K3957">
        <v>2172.83</v>
      </c>
      <c r="L3957">
        <v>33.96</v>
      </c>
      <c r="M3957" t="s">
        <v>6842</v>
      </c>
      <c r="N3957">
        <v>27429</v>
      </c>
      <c r="O3957">
        <v>15.95</v>
      </c>
      <c r="P3957">
        <v>9.31</v>
      </c>
      <c r="Q3957">
        <v>2.48</v>
      </c>
      <c r="R3957">
        <v>2.4500000000000002</v>
      </c>
      <c r="S3957">
        <v>3.55</v>
      </c>
      <c r="T3957" t="s">
        <v>3112</v>
      </c>
      <c r="U3957">
        <v>0.2</v>
      </c>
      <c r="V3957" t="s">
        <v>4827</v>
      </c>
      <c r="W3957" t="s">
        <v>164</v>
      </c>
      <c r="X3957" t="s">
        <v>164</v>
      </c>
      <c r="Y3957" t="s">
        <v>164</v>
      </c>
      <c r="Z3957" t="s">
        <v>7976</v>
      </c>
      <c r="AA3957">
        <v>2.13</v>
      </c>
      <c r="AB3957" t="s">
        <v>12610</v>
      </c>
      <c r="AC3957" t="s">
        <v>3521</v>
      </c>
      <c r="AD3957" t="s">
        <v>1474</v>
      </c>
      <c r="AE3957" t="s">
        <v>12316</v>
      </c>
      <c r="AF3957" t="s">
        <v>2291</v>
      </c>
      <c r="AG3957" t="s">
        <v>8209</v>
      </c>
      <c r="AH3957" t="s">
        <v>10132</v>
      </c>
      <c r="AI3957" t="s">
        <v>1776</v>
      </c>
      <c r="AJ3957" t="s">
        <v>5663</v>
      </c>
      <c r="AK3957" t="s">
        <v>29863</v>
      </c>
      <c r="AL3957">
        <v>2.2000000000000002</v>
      </c>
      <c r="AM3957">
        <v>2.2000000000000002</v>
      </c>
      <c r="AN3957">
        <v>1.55</v>
      </c>
      <c r="AO3957" t="s">
        <v>17140</v>
      </c>
      <c r="AP3957" t="s">
        <v>14500</v>
      </c>
      <c r="AQ3957" t="s">
        <v>1847</v>
      </c>
      <c r="AR3957" t="s">
        <v>2175</v>
      </c>
      <c r="AS3957" t="s">
        <v>2219</v>
      </c>
      <c r="AT3957" t="s">
        <v>4955</v>
      </c>
      <c r="AU3957" t="s">
        <v>6149</v>
      </c>
      <c r="AV3957" t="s">
        <v>5686</v>
      </c>
      <c r="AW3957" t="s">
        <v>11990</v>
      </c>
      <c r="AX3957" t="s">
        <v>8818</v>
      </c>
      <c r="AY3957" t="s">
        <v>7469</v>
      </c>
      <c r="AZ3957" t="s">
        <v>1676</v>
      </c>
      <c r="BA3957">
        <v>2.17</v>
      </c>
      <c r="BB3957">
        <v>337.51</v>
      </c>
      <c r="BC3957">
        <v>0.28999999999999998</v>
      </c>
      <c r="BD3957">
        <v>33.770000000000003</v>
      </c>
      <c r="BE3957">
        <v>33.94</v>
      </c>
      <c r="BF3957">
        <v>33.75</v>
      </c>
      <c r="BG3957" t="s">
        <v>31402</v>
      </c>
      <c r="BH3957" t="s">
        <v>29859</v>
      </c>
      <c r="BI3957" t="s">
        <v>31403</v>
      </c>
      <c r="BJ3957" t="s">
        <v>101</v>
      </c>
      <c r="BK3957" t="s">
        <v>7964</v>
      </c>
      <c r="BL3957" t="s">
        <v>2271</v>
      </c>
      <c r="BM3957" t="s">
        <v>2734</v>
      </c>
      <c r="BN3957" t="s">
        <v>27621</v>
      </c>
    </row>
    <row r="3958" spans="1:66" x14ac:dyDescent="0.25">
      <c r="A3958" t="str">
        <f>HYPERLINK("https://elite.finviz.com/quote.ashx?t=GTEC&amp;ty=c&amp;p=d&amp;b=1", "GTEC")</f>
        <v>GTEC</v>
      </c>
      <c r="B3958">
        <v>4</v>
      </c>
      <c r="C3958">
        <v>105.92</v>
      </c>
      <c r="D3958">
        <v>45.9</v>
      </c>
      <c r="E3958" t="s">
        <v>31404</v>
      </c>
      <c r="F3958" t="s">
        <v>107</v>
      </c>
      <c r="G3958" t="s">
        <v>813</v>
      </c>
      <c r="H3958" t="s">
        <v>814</v>
      </c>
      <c r="I3958" t="s">
        <v>70</v>
      </c>
      <c r="J3958" t="s">
        <v>321</v>
      </c>
      <c r="K3958">
        <v>23.66</v>
      </c>
      <c r="L3958">
        <v>1.36</v>
      </c>
      <c r="M3958" t="s">
        <v>164</v>
      </c>
      <c r="N3958">
        <v>27184</v>
      </c>
      <c r="O3958">
        <v>2.2599999999999998</v>
      </c>
      <c r="R3958">
        <v>0.28999999999999998</v>
      </c>
      <c r="S3958">
        <v>0.34</v>
      </c>
      <c r="Z3958" t="s">
        <v>164</v>
      </c>
      <c r="AA3958">
        <v>0.6</v>
      </c>
      <c r="AB3958" t="s">
        <v>8592</v>
      </c>
      <c r="AC3958" t="s">
        <v>13468</v>
      </c>
      <c r="AE3958" t="s">
        <v>613</v>
      </c>
      <c r="AF3958" t="s">
        <v>7285</v>
      </c>
      <c r="AG3958" t="s">
        <v>341</v>
      </c>
      <c r="AH3958" t="s">
        <v>3509</v>
      </c>
      <c r="AJ3958" t="s">
        <v>164</v>
      </c>
      <c r="AK3958" t="s">
        <v>5258</v>
      </c>
      <c r="AL3958">
        <v>1.68</v>
      </c>
      <c r="AM3958">
        <v>1.22</v>
      </c>
      <c r="AN3958">
        <v>0.34</v>
      </c>
      <c r="AO3958" t="s">
        <v>17921</v>
      </c>
      <c r="AP3958" t="s">
        <v>11641</v>
      </c>
      <c r="AQ3958" t="s">
        <v>10114</v>
      </c>
      <c r="AR3958" t="s">
        <v>4093</v>
      </c>
      <c r="AS3958" t="s">
        <v>1302</v>
      </c>
      <c r="AT3958" t="s">
        <v>6732</v>
      </c>
      <c r="AU3958" t="s">
        <v>3415</v>
      </c>
      <c r="AV3958" t="s">
        <v>4814</v>
      </c>
      <c r="AW3958" t="s">
        <v>24183</v>
      </c>
      <c r="AX3958" t="s">
        <v>758</v>
      </c>
      <c r="AY3958" t="s">
        <v>21742</v>
      </c>
      <c r="AZ3958" t="s">
        <v>758</v>
      </c>
      <c r="BA3958">
        <v>1</v>
      </c>
      <c r="BB3958">
        <v>178.47</v>
      </c>
      <c r="BC3958">
        <v>0.54</v>
      </c>
      <c r="BD3958">
        <v>1.36</v>
      </c>
      <c r="BE3958">
        <v>1.37</v>
      </c>
      <c r="BF3958">
        <v>1.34</v>
      </c>
      <c r="BG3958" t="s">
        <v>31405</v>
      </c>
      <c r="BH3958" t="s">
        <v>16973</v>
      </c>
      <c r="BI3958" t="s">
        <v>8592</v>
      </c>
      <c r="BJ3958" t="s">
        <v>101</v>
      </c>
      <c r="BK3958" t="s">
        <v>415</v>
      </c>
      <c r="BL3958" t="s">
        <v>29378</v>
      </c>
      <c r="BM3958" t="s">
        <v>14547</v>
      </c>
      <c r="BN3958" t="s">
        <v>27621</v>
      </c>
    </row>
    <row r="3959" spans="1:66" x14ac:dyDescent="0.25">
      <c r="A3959" t="str">
        <f>HYPERLINK("https://elite.finviz.com/quote.ashx?t=INBK&amp;ty=c&amp;p=d&amp;b=1", "INBK")</f>
        <v>INBK</v>
      </c>
      <c r="B3959">
        <v>4</v>
      </c>
      <c r="C3959">
        <v>105.92</v>
      </c>
      <c r="D3959">
        <v>45.91</v>
      </c>
      <c r="E3959" t="s">
        <v>31406</v>
      </c>
      <c r="F3959" t="s">
        <v>67</v>
      </c>
      <c r="G3959" t="s">
        <v>550</v>
      </c>
      <c r="H3959" t="s">
        <v>697</v>
      </c>
      <c r="I3959" t="s">
        <v>70</v>
      </c>
      <c r="J3959" t="s">
        <v>321</v>
      </c>
      <c r="K3959">
        <v>207.37</v>
      </c>
      <c r="L3959">
        <v>23.8</v>
      </c>
      <c r="M3959" t="s">
        <v>2468</v>
      </c>
      <c r="N3959">
        <v>5504</v>
      </c>
      <c r="O3959">
        <v>13.52</v>
      </c>
      <c r="P3959">
        <v>4.9400000000000004</v>
      </c>
      <c r="R3959">
        <v>0.59</v>
      </c>
      <c r="S3959">
        <v>0.53</v>
      </c>
      <c r="T3959" t="s">
        <v>4689</v>
      </c>
      <c r="U3959">
        <v>0.24</v>
      </c>
      <c r="V3959" t="s">
        <v>198</v>
      </c>
      <c r="W3959" t="s">
        <v>164</v>
      </c>
      <c r="X3959" t="s">
        <v>164</v>
      </c>
      <c r="Y3959" t="s">
        <v>164</v>
      </c>
      <c r="Z3959" t="s">
        <v>10132</v>
      </c>
      <c r="AA3959">
        <v>1.76</v>
      </c>
      <c r="AB3959" t="s">
        <v>6591</v>
      </c>
      <c r="AC3959" t="s">
        <v>3456</v>
      </c>
      <c r="AE3959" t="s">
        <v>7399</v>
      </c>
      <c r="AF3959" t="s">
        <v>13359</v>
      </c>
      <c r="AG3959" t="s">
        <v>9497</v>
      </c>
      <c r="AH3959" t="s">
        <v>5591</v>
      </c>
      <c r="AI3959" t="s">
        <v>18430</v>
      </c>
      <c r="AJ3959" t="s">
        <v>164</v>
      </c>
      <c r="AK3959" t="s">
        <v>13188</v>
      </c>
      <c r="AL3959">
        <v>0.17</v>
      </c>
      <c r="AN3959">
        <v>0.95</v>
      </c>
      <c r="AP3959" t="s">
        <v>4323</v>
      </c>
      <c r="AQ3959" t="s">
        <v>4530</v>
      </c>
      <c r="AR3959" t="s">
        <v>2543</v>
      </c>
      <c r="AS3959" t="s">
        <v>4499</v>
      </c>
      <c r="AT3959" t="s">
        <v>708</v>
      </c>
      <c r="AU3959" t="s">
        <v>8357</v>
      </c>
      <c r="AV3959" t="s">
        <v>4115</v>
      </c>
      <c r="AW3959" t="s">
        <v>16318</v>
      </c>
      <c r="AX3959" t="s">
        <v>4450</v>
      </c>
      <c r="AY3959" t="s">
        <v>28837</v>
      </c>
      <c r="AZ3959" t="s">
        <v>7254</v>
      </c>
      <c r="BA3959">
        <v>2.2000000000000002</v>
      </c>
      <c r="BB3959">
        <v>49.68</v>
      </c>
      <c r="BC3959">
        <v>0.39</v>
      </c>
      <c r="BD3959">
        <v>23.85</v>
      </c>
      <c r="BE3959">
        <v>24.03</v>
      </c>
      <c r="BF3959">
        <v>24</v>
      </c>
      <c r="BG3959" t="s">
        <v>31407</v>
      </c>
      <c r="BH3959" t="s">
        <v>6983</v>
      </c>
      <c r="BI3959" t="s">
        <v>31408</v>
      </c>
      <c r="BJ3959" t="s">
        <v>101</v>
      </c>
      <c r="BK3959" t="s">
        <v>14968</v>
      </c>
      <c r="BL3959" t="s">
        <v>12908</v>
      </c>
      <c r="BM3959" t="s">
        <v>9462</v>
      </c>
      <c r="BN3959" t="s">
        <v>27621</v>
      </c>
    </row>
    <row r="3960" spans="1:66" x14ac:dyDescent="0.25">
      <c r="A3960" t="str">
        <f>HYPERLINK("https://elite.finviz.com/quote.ashx?t=DLHC&amp;ty=c&amp;p=d&amp;b=1", "DLHC")</f>
        <v>DLHC</v>
      </c>
      <c r="B3960">
        <v>4</v>
      </c>
      <c r="C3960">
        <v>105.92</v>
      </c>
      <c r="D3960">
        <v>45.95</v>
      </c>
      <c r="E3960" t="s">
        <v>31409</v>
      </c>
      <c r="F3960" t="s">
        <v>107</v>
      </c>
      <c r="G3960" t="s">
        <v>260</v>
      </c>
      <c r="H3960" t="s">
        <v>1077</v>
      </c>
      <c r="I3960" t="s">
        <v>70</v>
      </c>
      <c r="J3960" t="s">
        <v>321</v>
      </c>
      <c r="K3960">
        <v>79.56</v>
      </c>
      <c r="L3960">
        <v>5.53</v>
      </c>
      <c r="M3960" t="s">
        <v>2642</v>
      </c>
      <c r="N3960">
        <v>576</v>
      </c>
      <c r="O3960">
        <v>17.45</v>
      </c>
      <c r="R3960">
        <v>0.22</v>
      </c>
      <c r="S3960">
        <v>0.7</v>
      </c>
      <c r="Z3960" t="s">
        <v>164</v>
      </c>
      <c r="AA3960">
        <v>0.32</v>
      </c>
      <c r="AB3960" t="s">
        <v>3239</v>
      </c>
      <c r="AC3960" t="s">
        <v>5370</v>
      </c>
      <c r="AE3960" t="s">
        <v>14813</v>
      </c>
      <c r="AF3960" t="s">
        <v>2121</v>
      </c>
      <c r="AG3960" t="s">
        <v>5759</v>
      </c>
      <c r="AH3960" t="s">
        <v>6023</v>
      </c>
      <c r="AI3960" t="s">
        <v>164</v>
      </c>
      <c r="AJ3960" t="s">
        <v>16508</v>
      </c>
      <c r="AK3960" t="s">
        <v>11503</v>
      </c>
      <c r="AL3960">
        <v>1.08</v>
      </c>
      <c r="AM3960">
        <v>1.08</v>
      </c>
      <c r="AN3960">
        <v>1.37</v>
      </c>
      <c r="AO3960" t="s">
        <v>3042</v>
      </c>
      <c r="AP3960" t="s">
        <v>7210</v>
      </c>
      <c r="AQ3960" t="s">
        <v>5745</v>
      </c>
      <c r="AR3960" t="s">
        <v>908</v>
      </c>
      <c r="AS3960" t="s">
        <v>3208</v>
      </c>
      <c r="AT3960" t="s">
        <v>2190</v>
      </c>
      <c r="AU3960" t="s">
        <v>123</v>
      </c>
      <c r="AV3960" t="s">
        <v>4634</v>
      </c>
      <c r="AW3960" t="s">
        <v>5205</v>
      </c>
      <c r="AX3960" t="s">
        <v>2339</v>
      </c>
      <c r="AY3960" t="s">
        <v>21518</v>
      </c>
      <c r="AZ3960" t="s">
        <v>31410</v>
      </c>
      <c r="BA3960">
        <v>1</v>
      </c>
      <c r="BB3960">
        <v>44.02</v>
      </c>
      <c r="BC3960">
        <v>0.05</v>
      </c>
      <c r="BD3960">
        <v>5.51</v>
      </c>
      <c r="BE3960">
        <v>5.53</v>
      </c>
      <c r="BF3960">
        <v>5.53</v>
      </c>
      <c r="BG3960" t="s">
        <v>31411</v>
      </c>
      <c r="BH3960" t="s">
        <v>24522</v>
      </c>
      <c r="BI3960" t="s">
        <v>31412</v>
      </c>
      <c r="BJ3960" t="s">
        <v>101</v>
      </c>
      <c r="BK3960" t="s">
        <v>2418</v>
      </c>
      <c r="BL3960" t="s">
        <v>1368</v>
      </c>
      <c r="BM3960" t="s">
        <v>31318</v>
      </c>
      <c r="BN3960" t="s">
        <v>27621</v>
      </c>
    </row>
    <row r="3961" spans="1:66" x14ac:dyDescent="0.25">
      <c r="A3961" t="str">
        <f>HYPERLINK("https://elite.finviz.com/quote.ashx?t=GLP&amp;ty=c&amp;p=d&amp;b=1", "GLP")</f>
        <v>GLP</v>
      </c>
      <c r="B3961">
        <v>4</v>
      </c>
      <c r="C3961">
        <v>105.92</v>
      </c>
      <c r="D3961">
        <v>45.96</v>
      </c>
      <c r="E3961" t="s">
        <v>31413</v>
      </c>
      <c r="F3961" t="s">
        <v>107</v>
      </c>
      <c r="G3961" t="s">
        <v>1048</v>
      </c>
      <c r="H3961" t="s">
        <v>3915</v>
      </c>
      <c r="I3961" t="s">
        <v>70</v>
      </c>
      <c r="J3961" t="s">
        <v>71</v>
      </c>
      <c r="K3961">
        <v>1712.02</v>
      </c>
      <c r="L3961">
        <v>50.36</v>
      </c>
      <c r="M3961" t="s">
        <v>2423</v>
      </c>
      <c r="N3961">
        <v>24353</v>
      </c>
      <c r="O3961">
        <v>19.329999999999998</v>
      </c>
      <c r="P3961">
        <v>14.51</v>
      </c>
      <c r="Q3961">
        <v>1.28</v>
      </c>
      <c r="R3961">
        <v>0.1</v>
      </c>
      <c r="S3961">
        <v>2.8</v>
      </c>
      <c r="T3961" t="s">
        <v>5152</v>
      </c>
      <c r="U3961">
        <v>2.97</v>
      </c>
      <c r="V3961" t="s">
        <v>1762</v>
      </c>
      <c r="W3961" t="s">
        <v>635</v>
      </c>
      <c r="X3961" t="s">
        <v>2446</v>
      </c>
      <c r="Y3961" t="s">
        <v>1310</v>
      </c>
      <c r="Z3961" t="s">
        <v>31414</v>
      </c>
      <c r="AA3961">
        <v>2.6</v>
      </c>
      <c r="AB3961" t="s">
        <v>15526</v>
      </c>
      <c r="AC3961" t="s">
        <v>3996</v>
      </c>
      <c r="AD3961" t="s">
        <v>6721</v>
      </c>
      <c r="AE3961" t="s">
        <v>5592</v>
      </c>
      <c r="AF3961" t="s">
        <v>2849</v>
      </c>
      <c r="AG3961" t="s">
        <v>3057</v>
      </c>
      <c r="AH3961" t="s">
        <v>2385</v>
      </c>
      <c r="AI3961" t="s">
        <v>5085</v>
      </c>
      <c r="AJ3961" t="s">
        <v>2333</v>
      </c>
      <c r="AK3961" t="s">
        <v>29210</v>
      </c>
      <c r="AL3961">
        <v>1.18</v>
      </c>
      <c r="AM3961">
        <v>0.7</v>
      </c>
      <c r="AN3961">
        <v>2.94</v>
      </c>
      <c r="AO3961" t="s">
        <v>170</v>
      </c>
      <c r="AP3961" t="s">
        <v>9136</v>
      </c>
      <c r="AQ3961" t="s">
        <v>3336</v>
      </c>
      <c r="AR3961" t="s">
        <v>4976</v>
      </c>
      <c r="AS3961" t="s">
        <v>5121</v>
      </c>
      <c r="AT3961" t="s">
        <v>4149</v>
      </c>
      <c r="AU3961" t="s">
        <v>2372</v>
      </c>
      <c r="AV3961" t="s">
        <v>5574</v>
      </c>
      <c r="AW3961" t="s">
        <v>1929</v>
      </c>
      <c r="AX3961" t="s">
        <v>3454</v>
      </c>
      <c r="AY3961" t="s">
        <v>2036</v>
      </c>
      <c r="AZ3961" t="s">
        <v>1038</v>
      </c>
      <c r="BA3961">
        <v>3</v>
      </c>
      <c r="BB3961">
        <v>55.1</v>
      </c>
      <c r="BC3961">
        <v>1.56</v>
      </c>
      <c r="BD3961">
        <v>50.16</v>
      </c>
      <c r="BE3961">
        <v>50.57</v>
      </c>
      <c r="BF3961">
        <v>49.98</v>
      </c>
      <c r="BG3961" t="s">
        <v>31415</v>
      </c>
      <c r="BH3961" t="s">
        <v>2036</v>
      </c>
      <c r="BI3961" t="s">
        <v>31416</v>
      </c>
      <c r="BJ3961" t="s">
        <v>101</v>
      </c>
      <c r="BK3961" t="s">
        <v>2969</v>
      </c>
      <c r="BL3961" t="s">
        <v>1092</v>
      </c>
      <c r="BM3961" t="s">
        <v>9841</v>
      </c>
      <c r="BN3961" t="s">
        <v>27621</v>
      </c>
    </row>
    <row r="3962" spans="1:66" x14ac:dyDescent="0.25">
      <c r="A3962" t="str">
        <f>HYPERLINK("https://elite.finviz.com/quote.ashx?t=COKE&amp;ty=c&amp;p=d&amp;b=1", "COKE")</f>
        <v>COKE</v>
      </c>
      <c r="B3962">
        <v>4</v>
      </c>
      <c r="C3962">
        <v>105.92</v>
      </c>
      <c r="D3962">
        <v>45.99</v>
      </c>
      <c r="E3962" t="s">
        <v>31417</v>
      </c>
      <c r="F3962" t="s">
        <v>107</v>
      </c>
      <c r="G3962" t="s">
        <v>2244</v>
      </c>
      <c r="H3962" t="s">
        <v>4568</v>
      </c>
      <c r="I3962" t="s">
        <v>70</v>
      </c>
      <c r="J3962" t="s">
        <v>321</v>
      </c>
      <c r="K3962">
        <v>10007.08</v>
      </c>
      <c r="L3962">
        <v>115.18</v>
      </c>
      <c r="M3962" t="s">
        <v>581</v>
      </c>
      <c r="N3962">
        <v>79076</v>
      </c>
      <c r="O3962">
        <v>19.18</v>
      </c>
      <c r="R3962">
        <v>1.44</v>
      </c>
      <c r="S3962">
        <v>6.14</v>
      </c>
      <c r="T3962" t="s">
        <v>6117</v>
      </c>
      <c r="U3962">
        <v>1</v>
      </c>
      <c r="V3962" t="s">
        <v>12255</v>
      </c>
      <c r="W3962" t="s">
        <v>1647</v>
      </c>
      <c r="X3962" t="s">
        <v>8149</v>
      </c>
      <c r="Y3962" t="s">
        <v>7463</v>
      </c>
      <c r="Z3962" t="s">
        <v>3777</v>
      </c>
      <c r="AA3962">
        <v>6</v>
      </c>
      <c r="AB3962" t="s">
        <v>4441</v>
      </c>
      <c r="AC3962" t="s">
        <v>31418</v>
      </c>
      <c r="AE3962" t="s">
        <v>4294</v>
      </c>
      <c r="AF3962" t="s">
        <v>3746</v>
      </c>
      <c r="AG3962" t="s">
        <v>2816</v>
      </c>
      <c r="AH3962" t="s">
        <v>4677</v>
      </c>
      <c r="AJ3962" t="s">
        <v>5242</v>
      </c>
      <c r="AK3962" t="s">
        <v>22125</v>
      </c>
      <c r="AL3962">
        <v>2.04</v>
      </c>
      <c r="AM3962">
        <v>1.78</v>
      </c>
      <c r="AN3962">
        <v>1.17</v>
      </c>
      <c r="AO3962" t="s">
        <v>23434</v>
      </c>
      <c r="AP3962" t="s">
        <v>4109</v>
      </c>
      <c r="AQ3962" t="s">
        <v>418</v>
      </c>
      <c r="AR3962" t="s">
        <v>1761</v>
      </c>
      <c r="AS3962" t="s">
        <v>3635</v>
      </c>
      <c r="AT3962" t="s">
        <v>6137</v>
      </c>
      <c r="AU3962" t="s">
        <v>11369</v>
      </c>
      <c r="AV3962" t="s">
        <v>14645</v>
      </c>
      <c r="AW3962" t="s">
        <v>5932</v>
      </c>
      <c r="AX3962" t="s">
        <v>5497</v>
      </c>
      <c r="AY3962" t="s">
        <v>15626</v>
      </c>
      <c r="AZ3962" t="s">
        <v>369</v>
      </c>
      <c r="BA3962">
        <v>3</v>
      </c>
      <c r="BB3962">
        <v>596.95000000000005</v>
      </c>
      <c r="BC3962">
        <v>0.47</v>
      </c>
      <c r="BD3962">
        <v>113.93</v>
      </c>
      <c r="BE3962">
        <v>115.9</v>
      </c>
      <c r="BF3962">
        <v>113.97</v>
      </c>
      <c r="BG3962" t="s">
        <v>31419</v>
      </c>
      <c r="BH3962" t="s">
        <v>15626</v>
      </c>
      <c r="BI3962" t="s">
        <v>31420</v>
      </c>
      <c r="BJ3962" t="s">
        <v>101</v>
      </c>
      <c r="BK3962" t="s">
        <v>3035</v>
      </c>
      <c r="BL3962" t="s">
        <v>1905</v>
      </c>
      <c r="BM3962" t="s">
        <v>10475</v>
      </c>
      <c r="BN3962" t="s">
        <v>27621</v>
      </c>
    </row>
    <row r="3963" spans="1:66" x14ac:dyDescent="0.25">
      <c r="A3963" t="str">
        <f>HYPERLINK("https://elite.finviz.com/quote.ashx?t=INKT&amp;ty=c&amp;p=d&amp;b=1", "INKT")</f>
        <v>INKT</v>
      </c>
      <c r="B3963">
        <v>4</v>
      </c>
      <c r="C3963">
        <v>105.92</v>
      </c>
      <c r="D3963">
        <v>45.99</v>
      </c>
      <c r="E3963" t="s">
        <v>31421</v>
      </c>
      <c r="F3963" t="s">
        <v>107</v>
      </c>
      <c r="G3963" t="s">
        <v>428</v>
      </c>
      <c r="H3963" t="s">
        <v>429</v>
      </c>
      <c r="I3963" t="s">
        <v>70</v>
      </c>
      <c r="J3963" t="s">
        <v>321</v>
      </c>
      <c r="K3963">
        <v>63.14</v>
      </c>
      <c r="L3963">
        <v>13.96</v>
      </c>
      <c r="M3963" t="s">
        <v>248</v>
      </c>
      <c r="N3963">
        <v>15559</v>
      </c>
      <c r="AA3963">
        <v>-2.84</v>
      </c>
      <c r="AB3963" t="s">
        <v>21530</v>
      </c>
      <c r="AC3963" t="s">
        <v>10519</v>
      </c>
      <c r="AD3963" t="s">
        <v>10983</v>
      </c>
      <c r="AI3963" t="s">
        <v>9746</v>
      </c>
      <c r="AJ3963" t="s">
        <v>164</v>
      </c>
      <c r="AK3963" t="s">
        <v>4856</v>
      </c>
      <c r="AL3963">
        <v>0.15</v>
      </c>
      <c r="AM3963">
        <v>0.15</v>
      </c>
      <c r="AR3963" t="s">
        <v>3505</v>
      </c>
      <c r="AS3963" t="s">
        <v>1700</v>
      </c>
      <c r="AT3963" t="s">
        <v>5742</v>
      </c>
      <c r="AU3963" t="s">
        <v>4007</v>
      </c>
      <c r="AV3963" t="s">
        <v>6495</v>
      </c>
      <c r="AW3963" t="s">
        <v>31029</v>
      </c>
      <c r="AX3963" t="s">
        <v>7381</v>
      </c>
      <c r="AY3963" t="s">
        <v>31422</v>
      </c>
      <c r="AZ3963" t="s">
        <v>31423</v>
      </c>
      <c r="BA3963">
        <v>1</v>
      </c>
      <c r="BB3963">
        <v>987.84</v>
      </c>
      <c r="BC3963">
        <v>0.06</v>
      </c>
      <c r="BD3963">
        <v>13.61</v>
      </c>
      <c r="BE3963">
        <v>14.3</v>
      </c>
      <c r="BF3963">
        <v>13.92</v>
      </c>
      <c r="BG3963" t="s">
        <v>31424</v>
      </c>
      <c r="BH3963" t="s">
        <v>31425</v>
      </c>
      <c r="BI3963" t="s">
        <v>31423</v>
      </c>
      <c r="BJ3963" t="s">
        <v>101</v>
      </c>
      <c r="BK3963" t="s">
        <v>1647</v>
      </c>
      <c r="BL3963" t="s">
        <v>30302</v>
      </c>
      <c r="BM3963" t="s">
        <v>5201</v>
      </c>
      <c r="BN3963" t="s">
        <v>27621</v>
      </c>
    </row>
    <row r="3964" spans="1:66" x14ac:dyDescent="0.25">
      <c r="A3964" t="str">
        <f>HYPERLINK("https://elite.finviz.com/quote.ashx?t=GGG&amp;ty=c&amp;p=d&amp;b=1", "GGG")</f>
        <v>GGG</v>
      </c>
      <c r="B3964">
        <v>4</v>
      </c>
      <c r="C3964">
        <v>105.92</v>
      </c>
      <c r="D3964">
        <v>45.99</v>
      </c>
      <c r="E3964" t="s">
        <v>31426</v>
      </c>
      <c r="F3964" t="s">
        <v>107</v>
      </c>
      <c r="G3964" t="s">
        <v>260</v>
      </c>
      <c r="H3964" t="s">
        <v>261</v>
      </c>
      <c r="I3964" t="s">
        <v>70</v>
      </c>
      <c r="J3964" t="s">
        <v>71</v>
      </c>
      <c r="K3964">
        <v>13977.96</v>
      </c>
      <c r="L3964">
        <v>84.36</v>
      </c>
      <c r="M3964" t="s">
        <v>3226</v>
      </c>
      <c r="N3964">
        <v>60399</v>
      </c>
      <c r="O3964">
        <v>29.91</v>
      </c>
      <c r="P3964">
        <v>26.47</v>
      </c>
      <c r="Q3964">
        <v>3.6</v>
      </c>
      <c r="R3964">
        <v>6.45</v>
      </c>
      <c r="S3964">
        <v>5.59</v>
      </c>
      <c r="T3964" t="s">
        <v>1559</v>
      </c>
      <c r="U3964">
        <v>1.08</v>
      </c>
      <c r="V3964" t="s">
        <v>29509</v>
      </c>
      <c r="W3964" t="s">
        <v>5658</v>
      </c>
      <c r="X3964" t="s">
        <v>2376</v>
      </c>
      <c r="Y3964" t="s">
        <v>9570</v>
      </c>
      <c r="Z3964" t="s">
        <v>839</v>
      </c>
      <c r="AA3964">
        <v>2.82</v>
      </c>
      <c r="AB3964" t="s">
        <v>2493</v>
      </c>
      <c r="AC3964" t="s">
        <v>2448</v>
      </c>
      <c r="AD3964" t="s">
        <v>5528</v>
      </c>
      <c r="AE3964" t="s">
        <v>6572</v>
      </c>
      <c r="AF3964" t="s">
        <v>4276</v>
      </c>
      <c r="AG3964" t="s">
        <v>1063</v>
      </c>
      <c r="AH3964" t="s">
        <v>3542</v>
      </c>
      <c r="AI3964" t="s">
        <v>7285</v>
      </c>
      <c r="AJ3964" t="s">
        <v>4828</v>
      </c>
      <c r="AK3964" t="s">
        <v>5723</v>
      </c>
      <c r="AL3964">
        <v>3.55</v>
      </c>
      <c r="AM3964">
        <v>2.52</v>
      </c>
      <c r="AN3964">
        <v>0.02</v>
      </c>
      <c r="AO3964" t="s">
        <v>17934</v>
      </c>
      <c r="AP3964" t="s">
        <v>10099</v>
      </c>
      <c r="AQ3964" t="s">
        <v>2556</v>
      </c>
      <c r="AR3964" t="s">
        <v>5380</v>
      </c>
      <c r="AS3964" t="s">
        <v>6829</v>
      </c>
      <c r="AT3964" t="s">
        <v>2331</v>
      </c>
      <c r="AU3964" t="s">
        <v>8634</v>
      </c>
      <c r="AV3964" t="s">
        <v>2906</v>
      </c>
      <c r="AW3964" t="s">
        <v>6074</v>
      </c>
      <c r="AX3964" t="s">
        <v>5369</v>
      </c>
      <c r="AY3964" t="s">
        <v>1851</v>
      </c>
      <c r="AZ3964" t="s">
        <v>10763</v>
      </c>
      <c r="BA3964">
        <v>2.4</v>
      </c>
      <c r="BB3964">
        <v>723.65</v>
      </c>
      <c r="BC3964">
        <v>0.28999999999999998</v>
      </c>
      <c r="BD3964">
        <v>84.04</v>
      </c>
      <c r="BE3964">
        <v>84.52</v>
      </c>
      <c r="BF3964">
        <v>83.86</v>
      </c>
      <c r="BG3964" t="s">
        <v>31427</v>
      </c>
      <c r="BH3964" t="s">
        <v>8023</v>
      </c>
      <c r="BI3964" t="s">
        <v>31428</v>
      </c>
      <c r="BJ3964" t="s">
        <v>101</v>
      </c>
      <c r="BK3964" t="s">
        <v>1313</v>
      </c>
      <c r="BL3964" t="s">
        <v>6192</v>
      </c>
      <c r="BM3964" t="s">
        <v>5879</v>
      </c>
      <c r="BN3964" t="s">
        <v>27621</v>
      </c>
    </row>
    <row r="3965" spans="1:66" x14ac:dyDescent="0.25">
      <c r="A3965" t="str">
        <f>HYPERLINK("https://elite.finviz.com/quote.ashx?t=WEYS&amp;ty=c&amp;p=d&amp;b=1", "WEYS")</f>
        <v>WEYS</v>
      </c>
      <c r="B3965">
        <v>4</v>
      </c>
      <c r="C3965">
        <v>105.92</v>
      </c>
      <c r="D3965">
        <v>45.99</v>
      </c>
      <c r="E3965" t="s">
        <v>31429</v>
      </c>
      <c r="F3965" t="s">
        <v>67</v>
      </c>
      <c r="G3965" t="s">
        <v>813</v>
      </c>
      <c r="H3965" t="s">
        <v>4043</v>
      </c>
      <c r="I3965" t="s">
        <v>70</v>
      </c>
      <c r="J3965" t="s">
        <v>321</v>
      </c>
      <c r="K3965">
        <v>283.41000000000003</v>
      </c>
      <c r="L3965">
        <v>29.71</v>
      </c>
      <c r="M3965" t="s">
        <v>3495</v>
      </c>
      <c r="N3965">
        <v>1723</v>
      </c>
      <c r="O3965">
        <v>11.07</v>
      </c>
      <c r="R3965">
        <v>1.01</v>
      </c>
      <c r="S3965">
        <v>1.1399999999999999</v>
      </c>
      <c r="T3965" t="s">
        <v>975</v>
      </c>
      <c r="U3965">
        <v>1.06</v>
      </c>
      <c r="V3965" t="s">
        <v>1440</v>
      </c>
      <c r="W3965" t="s">
        <v>4795</v>
      </c>
      <c r="X3965" t="s">
        <v>4600</v>
      </c>
      <c r="Y3965" t="s">
        <v>7423</v>
      </c>
      <c r="Z3965" t="s">
        <v>9968</v>
      </c>
      <c r="AA3965">
        <v>2.68</v>
      </c>
      <c r="AB3965" t="s">
        <v>10200</v>
      </c>
      <c r="AC3965" t="s">
        <v>1700</v>
      </c>
      <c r="AE3965" t="s">
        <v>677</v>
      </c>
      <c r="AF3965" t="s">
        <v>4658</v>
      </c>
      <c r="AG3965" t="s">
        <v>3027</v>
      </c>
      <c r="AH3965" t="s">
        <v>12181</v>
      </c>
      <c r="AJ3965" t="s">
        <v>7709</v>
      </c>
      <c r="AK3965" t="s">
        <v>20209</v>
      </c>
      <c r="AL3965">
        <v>8.91</v>
      </c>
      <c r="AM3965">
        <v>5.49</v>
      </c>
      <c r="AN3965">
        <v>0.05</v>
      </c>
      <c r="AO3965" t="s">
        <v>31430</v>
      </c>
      <c r="AP3965" t="s">
        <v>5446</v>
      </c>
      <c r="AQ3965" t="s">
        <v>605</v>
      </c>
      <c r="AR3965" t="s">
        <v>903</v>
      </c>
      <c r="AS3965" t="s">
        <v>304</v>
      </c>
      <c r="AT3965" t="s">
        <v>3172</v>
      </c>
      <c r="AU3965" t="s">
        <v>10581</v>
      </c>
      <c r="AV3965" t="s">
        <v>15221</v>
      </c>
      <c r="AW3965" t="s">
        <v>704</v>
      </c>
      <c r="AX3965" t="s">
        <v>4966</v>
      </c>
      <c r="AY3965" t="s">
        <v>441</v>
      </c>
      <c r="AZ3965" t="s">
        <v>4594</v>
      </c>
      <c r="BA3965">
        <v>3</v>
      </c>
      <c r="BB3965">
        <v>13.52</v>
      </c>
      <c r="BC3965">
        <v>0.45</v>
      </c>
      <c r="BD3965">
        <v>29.91</v>
      </c>
      <c r="BE3965">
        <v>30.09</v>
      </c>
      <c r="BF3965">
        <v>29.85</v>
      </c>
      <c r="BG3965" t="s">
        <v>31431</v>
      </c>
      <c r="BH3965" t="s">
        <v>7396</v>
      </c>
      <c r="BI3965" t="s">
        <v>31432</v>
      </c>
      <c r="BJ3965" t="s">
        <v>101</v>
      </c>
      <c r="BK3965" t="s">
        <v>2813</v>
      </c>
      <c r="BL3965" t="s">
        <v>6739</v>
      </c>
      <c r="BM3965" t="s">
        <v>2023</v>
      </c>
      <c r="BN3965" t="s">
        <v>27621</v>
      </c>
    </row>
    <row r="3966" spans="1:66" x14ac:dyDescent="0.25">
      <c r="A3966" t="str">
        <f>HYPERLINK("https://elite.finviz.com/quote.ashx?t=GNLN&amp;ty=c&amp;p=d&amp;b=1", "GNLN")</f>
        <v>GNLN</v>
      </c>
      <c r="B3966">
        <v>4</v>
      </c>
      <c r="C3966">
        <v>105.92</v>
      </c>
      <c r="D3966">
        <v>46</v>
      </c>
      <c r="E3966" t="s">
        <v>31433</v>
      </c>
      <c r="F3966" t="s">
        <v>107</v>
      </c>
      <c r="G3966" t="s">
        <v>2244</v>
      </c>
      <c r="H3966" t="s">
        <v>7643</v>
      </c>
      <c r="I3966" t="s">
        <v>70</v>
      </c>
      <c r="J3966" t="s">
        <v>321</v>
      </c>
      <c r="K3966">
        <v>4.74</v>
      </c>
      <c r="L3966">
        <v>3.42</v>
      </c>
      <c r="M3966" t="s">
        <v>3493</v>
      </c>
      <c r="N3966">
        <v>5300</v>
      </c>
      <c r="R3966">
        <v>0.6</v>
      </c>
      <c r="S3966">
        <v>0.24</v>
      </c>
      <c r="AA3966">
        <v>-4855.24</v>
      </c>
      <c r="AB3966" t="s">
        <v>31434</v>
      </c>
      <c r="AC3966" t="s">
        <v>1060</v>
      </c>
      <c r="AE3966" t="s">
        <v>10261</v>
      </c>
      <c r="AF3966" t="s">
        <v>27251</v>
      </c>
      <c r="AG3966" t="s">
        <v>31435</v>
      </c>
      <c r="AH3966" t="s">
        <v>28625</v>
      </c>
      <c r="AK3966" t="s">
        <v>7780</v>
      </c>
      <c r="AL3966">
        <v>2.38</v>
      </c>
      <c r="AM3966">
        <v>0.95</v>
      </c>
      <c r="AN3966">
        <v>0.03</v>
      </c>
      <c r="AO3966" t="s">
        <v>4702</v>
      </c>
      <c r="AP3966" t="s">
        <v>31436</v>
      </c>
      <c r="AQ3966" t="s">
        <v>31437</v>
      </c>
      <c r="AR3966" t="s">
        <v>5527</v>
      </c>
      <c r="AS3966" t="s">
        <v>5319</v>
      </c>
      <c r="AT3966" t="s">
        <v>4203</v>
      </c>
      <c r="AU3966" t="s">
        <v>1373</v>
      </c>
      <c r="AV3966" t="s">
        <v>15445</v>
      </c>
      <c r="AW3966" t="s">
        <v>26348</v>
      </c>
      <c r="AX3966" t="s">
        <v>3327</v>
      </c>
      <c r="AY3966" t="s">
        <v>3107</v>
      </c>
      <c r="AZ3966" t="s">
        <v>6166</v>
      </c>
      <c r="BA3966">
        <v>3</v>
      </c>
      <c r="BB3966">
        <v>740.34</v>
      </c>
      <c r="BC3966">
        <v>0.03</v>
      </c>
      <c r="BD3966">
        <v>3.39</v>
      </c>
      <c r="BE3966">
        <v>3.41</v>
      </c>
      <c r="BF3966">
        <v>3.37</v>
      </c>
      <c r="BG3966" t="s">
        <v>31438</v>
      </c>
      <c r="BH3966" t="s">
        <v>579</v>
      </c>
      <c r="BI3966" t="s">
        <v>6166</v>
      </c>
      <c r="BJ3966" t="s">
        <v>101</v>
      </c>
      <c r="BK3966" t="s">
        <v>18151</v>
      </c>
      <c r="BL3966" t="s">
        <v>3881</v>
      </c>
      <c r="BM3966" t="s">
        <v>2855</v>
      </c>
      <c r="BN3966" t="s">
        <v>27621</v>
      </c>
    </row>
    <row r="3967" spans="1:66" x14ac:dyDescent="0.25">
      <c r="A3967" t="str">
        <f>HYPERLINK("https://elite.finviz.com/quote.ashx?t=BPRN&amp;ty=c&amp;p=d&amp;b=1", "BPRN")</f>
        <v>BPRN</v>
      </c>
      <c r="B3967">
        <v>4</v>
      </c>
      <c r="C3967">
        <v>105.92</v>
      </c>
      <c r="D3967">
        <v>46</v>
      </c>
      <c r="E3967" t="s">
        <v>31439</v>
      </c>
      <c r="F3967" t="s">
        <v>67</v>
      </c>
      <c r="G3967" t="s">
        <v>550</v>
      </c>
      <c r="H3967" t="s">
        <v>697</v>
      </c>
      <c r="I3967" t="s">
        <v>70</v>
      </c>
      <c r="J3967" t="s">
        <v>321</v>
      </c>
      <c r="K3967">
        <v>215.96</v>
      </c>
      <c r="L3967">
        <v>32.01</v>
      </c>
      <c r="M3967" t="s">
        <v>1202</v>
      </c>
      <c r="N3967">
        <v>1058</v>
      </c>
      <c r="O3967">
        <v>33.96</v>
      </c>
      <c r="P3967">
        <v>8.86</v>
      </c>
      <c r="R3967">
        <v>1.54</v>
      </c>
      <c r="S3967">
        <v>0.83</v>
      </c>
      <c r="T3967" t="s">
        <v>749</v>
      </c>
      <c r="U3967">
        <v>1.2</v>
      </c>
      <c r="V3967" t="s">
        <v>2859</v>
      </c>
      <c r="W3967" t="s">
        <v>164</v>
      </c>
      <c r="X3967" t="s">
        <v>5050</v>
      </c>
      <c r="Y3967" t="s">
        <v>25039</v>
      </c>
      <c r="Z3967" t="s">
        <v>31440</v>
      </c>
      <c r="AA3967">
        <v>0.94</v>
      </c>
      <c r="AB3967" t="s">
        <v>26174</v>
      </c>
      <c r="AC3967" t="s">
        <v>5577</v>
      </c>
      <c r="AE3967" t="s">
        <v>2163</v>
      </c>
      <c r="AF3967" t="s">
        <v>2441</v>
      </c>
      <c r="AG3967" t="s">
        <v>13222</v>
      </c>
      <c r="AH3967" t="s">
        <v>2656</v>
      </c>
      <c r="AI3967" t="s">
        <v>31441</v>
      </c>
      <c r="AJ3967" t="s">
        <v>2185</v>
      </c>
      <c r="AK3967" t="s">
        <v>7702</v>
      </c>
      <c r="AL3967">
        <v>0.02</v>
      </c>
      <c r="AN3967">
        <v>0.12</v>
      </c>
      <c r="AP3967" t="s">
        <v>7898</v>
      </c>
      <c r="AQ3967" t="s">
        <v>2107</v>
      </c>
      <c r="AR3967" t="s">
        <v>6990</v>
      </c>
      <c r="AS3967" t="s">
        <v>4267</v>
      </c>
      <c r="AT3967" t="s">
        <v>7808</v>
      </c>
      <c r="AU3967" t="s">
        <v>3999</v>
      </c>
      <c r="AV3967" t="s">
        <v>6842</v>
      </c>
      <c r="AW3967" t="s">
        <v>11663</v>
      </c>
      <c r="AX3967" t="s">
        <v>11494</v>
      </c>
      <c r="AY3967" t="s">
        <v>25781</v>
      </c>
      <c r="AZ3967" t="s">
        <v>1422</v>
      </c>
      <c r="BA3967">
        <v>2.33</v>
      </c>
      <c r="BB3967">
        <v>9.69</v>
      </c>
      <c r="BC3967">
        <v>0.39</v>
      </c>
      <c r="BD3967">
        <v>32.200000000000003</v>
      </c>
      <c r="BE3967">
        <v>32.200000000000003</v>
      </c>
      <c r="BF3967">
        <v>32.200000000000003</v>
      </c>
      <c r="BG3967" t="s">
        <v>31442</v>
      </c>
      <c r="BH3967" t="s">
        <v>25781</v>
      </c>
      <c r="BI3967" t="s">
        <v>31443</v>
      </c>
      <c r="BJ3967" t="s">
        <v>101</v>
      </c>
      <c r="BK3967" t="s">
        <v>1559</v>
      </c>
      <c r="BL3967" t="s">
        <v>4873</v>
      </c>
      <c r="BM3967" t="s">
        <v>27350</v>
      </c>
      <c r="BN3967" t="s">
        <v>27621</v>
      </c>
    </row>
    <row r="3968" spans="1:66" x14ac:dyDescent="0.25">
      <c r="A3968" t="str">
        <f>HYPERLINK("https://elite.finviz.com/quote.ashx?t=STEL&amp;ty=c&amp;p=d&amp;b=1", "STEL")</f>
        <v>STEL</v>
      </c>
      <c r="B3968">
        <v>4</v>
      </c>
      <c r="C3968">
        <v>105.92</v>
      </c>
      <c r="D3968">
        <v>46.01</v>
      </c>
      <c r="E3968" t="s">
        <v>31444</v>
      </c>
      <c r="F3968" t="s">
        <v>67</v>
      </c>
      <c r="G3968" t="s">
        <v>550</v>
      </c>
      <c r="H3968" t="s">
        <v>697</v>
      </c>
      <c r="I3968" t="s">
        <v>70</v>
      </c>
      <c r="J3968" t="s">
        <v>71</v>
      </c>
      <c r="K3968">
        <v>1555.47</v>
      </c>
      <c r="L3968">
        <v>30.29</v>
      </c>
      <c r="M3968" t="s">
        <v>2638</v>
      </c>
      <c r="N3968">
        <v>12572</v>
      </c>
      <c r="O3968">
        <v>14.23</v>
      </c>
      <c r="P3968">
        <v>15.41</v>
      </c>
      <c r="R3968">
        <v>2.5499999999999998</v>
      </c>
      <c r="S3968">
        <v>0.97</v>
      </c>
      <c r="T3968" t="s">
        <v>2219</v>
      </c>
      <c r="U3968">
        <v>0.56000000000000005</v>
      </c>
      <c r="V3968" t="s">
        <v>3833</v>
      </c>
      <c r="W3968" t="s">
        <v>3118</v>
      </c>
      <c r="X3968" t="s">
        <v>3463</v>
      </c>
      <c r="Y3968" t="s">
        <v>2932</v>
      </c>
      <c r="Z3968" t="s">
        <v>1516</v>
      </c>
      <c r="AA3968">
        <v>2.13</v>
      </c>
      <c r="AB3968" t="s">
        <v>19863</v>
      </c>
      <c r="AC3968" t="s">
        <v>5158</v>
      </c>
      <c r="AE3968" t="s">
        <v>14569</v>
      </c>
      <c r="AF3968" t="s">
        <v>6042</v>
      </c>
      <c r="AG3968" t="s">
        <v>12851</v>
      </c>
      <c r="AH3968" t="s">
        <v>1258</v>
      </c>
      <c r="AI3968" t="s">
        <v>18015</v>
      </c>
      <c r="AJ3968" t="s">
        <v>164</v>
      </c>
      <c r="AK3968" t="s">
        <v>21835</v>
      </c>
      <c r="AL3968">
        <v>0.1</v>
      </c>
      <c r="AN3968">
        <v>0.1</v>
      </c>
      <c r="AP3968" t="s">
        <v>2779</v>
      </c>
      <c r="AQ3968" t="s">
        <v>13792</v>
      </c>
      <c r="AR3968" t="s">
        <v>2430</v>
      </c>
      <c r="AS3968" t="s">
        <v>5420</v>
      </c>
      <c r="AT3968" t="s">
        <v>1444</v>
      </c>
      <c r="AU3968" t="s">
        <v>6194</v>
      </c>
      <c r="AV3968" t="s">
        <v>3053</v>
      </c>
      <c r="AW3968" t="s">
        <v>2355</v>
      </c>
      <c r="AX3968" t="s">
        <v>2884</v>
      </c>
      <c r="AY3968" t="s">
        <v>2355</v>
      </c>
      <c r="AZ3968" t="s">
        <v>5926</v>
      </c>
      <c r="BA3968">
        <v>2.8</v>
      </c>
      <c r="BB3968">
        <v>282.99</v>
      </c>
      <c r="BC3968">
        <v>0.16</v>
      </c>
      <c r="BD3968">
        <v>30.32</v>
      </c>
      <c r="BE3968">
        <v>30.64</v>
      </c>
      <c r="BF3968">
        <v>30.21</v>
      </c>
      <c r="BG3968" t="s">
        <v>31445</v>
      </c>
      <c r="BH3968" t="s">
        <v>8477</v>
      </c>
      <c r="BI3968" t="s">
        <v>20802</v>
      </c>
      <c r="BJ3968" t="s">
        <v>101</v>
      </c>
      <c r="BK3968" t="s">
        <v>2447</v>
      </c>
      <c r="BL3968" t="s">
        <v>6456</v>
      </c>
      <c r="BM3968" t="s">
        <v>10359</v>
      </c>
      <c r="BN3968" t="s">
        <v>27621</v>
      </c>
    </row>
    <row r="3969" spans="1:66" x14ac:dyDescent="0.25">
      <c r="A3969" t="str">
        <f>HYPERLINK("https://elite.finviz.com/quote.ashx?t=SGLY&amp;ty=c&amp;p=d&amp;b=1", "SGLY")</f>
        <v>SGLY</v>
      </c>
      <c r="B3969">
        <v>4</v>
      </c>
      <c r="C3969">
        <v>105.92</v>
      </c>
      <c r="D3969">
        <v>46.05</v>
      </c>
      <c r="E3969" t="s">
        <v>31446</v>
      </c>
      <c r="F3969" t="s">
        <v>107</v>
      </c>
      <c r="G3969" t="s">
        <v>260</v>
      </c>
      <c r="H3969" t="s">
        <v>7853</v>
      </c>
      <c r="I3969" t="s">
        <v>70</v>
      </c>
      <c r="J3969" t="s">
        <v>321</v>
      </c>
      <c r="K3969">
        <v>4.54</v>
      </c>
      <c r="L3969">
        <v>1.08</v>
      </c>
      <c r="M3969" t="s">
        <v>7124</v>
      </c>
      <c r="N3969">
        <v>5083</v>
      </c>
      <c r="R3969">
        <v>2.09</v>
      </c>
      <c r="S3969">
        <v>0.33</v>
      </c>
      <c r="AA3969">
        <v>-1.05</v>
      </c>
      <c r="AB3969" t="s">
        <v>17222</v>
      </c>
      <c r="AC3969" t="s">
        <v>17140</v>
      </c>
      <c r="AE3969" t="s">
        <v>30001</v>
      </c>
      <c r="AF3969" t="s">
        <v>9585</v>
      </c>
      <c r="AG3969" t="s">
        <v>28056</v>
      </c>
      <c r="AH3969" t="s">
        <v>3464</v>
      </c>
      <c r="AK3969" t="s">
        <v>1933</v>
      </c>
      <c r="AL3969">
        <v>2.64</v>
      </c>
      <c r="AM3969">
        <v>2.64</v>
      </c>
      <c r="AN3969">
        <v>0.01</v>
      </c>
      <c r="AO3969" t="s">
        <v>9475</v>
      </c>
      <c r="AP3969" t="s">
        <v>31447</v>
      </c>
      <c r="AQ3969" t="s">
        <v>31448</v>
      </c>
      <c r="AR3969" t="s">
        <v>11141</v>
      </c>
      <c r="AS3969" t="s">
        <v>3064</v>
      </c>
      <c r="AT3969" t="s">
        <v>2538</v>
      </c>
      <c r="AU3969" t="s">
        <v>227</v>
      </c>
      <c r="AV3969" t="s">
        <v>12014</v>
      </c>
      <c r="AW3969" t="s">
        <v>20050</v>
      </c>
      <c r="AX3969" t="s">
        <v>3068</v>
      </c>
      <c r="AY3969" t="s">
        <v>20500</v>
      </c>
      <c r="AZ3969" t="s">
        <v>31449</v>
      </c>
      <c r="BA3969">
        <v>1</v>
      </c>
      <c r="BB3969">
        <v>52.2</v>
      </c>
      <c r="BC3969">
        <v>0.35</v>
      </c>
      <c r="BD3969">
        <v>1.07</v>
      </c>
      <c r="BE3969">
        <v>1.0900000000000001</v>
      </c>
      <c r="BF3969">
        <v>1.05</v>
      </c>
      <c r="BG3969" t="s">
        <v>31450</v>
      </c>
      <c r="BH3969" t="s">
        <v>3107</v>
      </c>
      <c r="BI3969" t="s">
        <v>31449</v>
      </c>
      <c r="BJ3969" t="s">
        <v>101</v>
      </c>
      <c r="BK3969" t="s">
        <v>7150</v>
      </c>
      <c r="BL3969" t="s">
        <v>9742</v>
      </c>
      <c r="BM3969" t="s">
        <v>25253</v>
      </c>
      <c r="BN3969" t="s">
        <v>27621</v>
      </c>
    </row>
    <row r="3970" spans="1:66" x14ac:dyDescent="0.25">
      <c r="A3970" t="str">
        <f>HYPERLINK("https://elite.finviz.com/quote.ashx?t=NRDY&amp;ty=c&amp;p=d&amp;b=1", "NRDY")</f>
        <v>NRDY</v>
      </c>
      <c r="B3970">
        <v>4</v>
      </c>
      <c r="C3970">
        <v>105.92</v>
      </c>
      <c r="D3970">
        <v>46.08</v>
      </c>
      <c r="E3970" t="s">
        <v>31451</v>
      </c>
      <c r="F3970" t="s">
        <v>67</v>
      </c>
      <c r="G3970" t="s">
        <v>108</v>
      </c>
      <c r="H3970" t="s">
        <v>136</v>
      </c>
      <c r="I3970" t="s">
        <v>70</v>
      </c>
      <c r="J3970" t="s">
        <v>71</v>
      </c>
      <c r="K3970">
        <v>245.16</v>
      </c>
      <c r="L3970">
        <v>1.32</v>
      </c>
      <c r="M3970" t="s">
        <v>3227</v>
      </c>
      <c r="N3970">
        <v>83349</v>
      </c>
      <c r="R3970">
        <v>1.37</v>
      </c>
      <c r="S3970">
        <v>5.0199999999999996</v>
      </c>
      <c r="AA3970">
        <v>-0.38</v>
      </c>
      <c r="AB3970" t="s">
        <v>14593</v>
      </c>
      <c r="AC3970" t="s">
        <v>31452</v>
      </c>
      <c r="AD3970" t="s">
        <v>23602</v>
      </c>
      <c r="AE3970" t="s">
        <v>704</v>
      </c>
      <c r="AF3970" t="s">
        <v>237</v>
      </c>
      <c r="AH3970" t="s">
        <v>16624</v>
      </c>
      <c r="AI3970" t="s">
        <v>18361</v>
      </c>
      <c r="AJ3970" t="s">
        <v>2294</v>
      </c>
      <c r="AK3970" t="s">
        <v>15593</v>
      </c>
      <c r="AL3970">
        <v>2.13</v>
      </c>
      <c r="AM3970">
        <v>2.13</v>
      </c>
      <c r="AN3970">
        <v>0</v>
      </c>
      <c r="AO3970" t="s">
        <v>24274</v>
      </c>
      <c r="AP3970" t="s">
        <v>31453</v>
      </c>
      <c r="AQ3970" t="s">
        <v>17246</v>
      </c>
      <c r="AR3970" t="s">
        <v>3204</v>
      </c>
      <c r="AS3970" t="s">
        <v>121</v>
      </c>
      <c r="AT3970" t="s">
        <v>1564</v>
      </c>
      <c r="AU3970" t="s">
        <v>3704</v>
      </c>
      <c r="AV3970" t="s">
        <v>21505</v>
      </c>
      <c r="AW3970" t="s">
        <v>8686</v>
      </c>
      <c r="AX3970" t="s">
        <v>7436</v>
      </c>
      <c r="AY3970" t="s">
        <v>19444</v>
      </c>
      <c r="AZ3970" t="s">
        <v>5461</v>
      </c>
      <c r="BA3970">
        <v>3</v>
      </c>
      <c r="BB3970">
        <v>471.57</v>
      </c>
      <c r="BC3970">
        <v>0.63</v>
      </c>
      <c r="BD3970">
        <v>1.32</v>
      </c>
      <c r="BE3970">
        <v>1.32</v>
      </c>
      <c r="BF3970">
        <v>1.3</v>
      </c>
      <c r="BG3970" t="s">
        <v>31454</v>
      </c>
      <c r="BH3970" t="s">
        <v>31455</v>
      </c>
      <c r="BI3970" t="s">
        <v>31456</v>
      </c>
      <c r="BJ3970" t="s">
        <v>101</v>
      </c>
      <c r="BK3970" t="s">
        <v>23410</v>
      </c>
      <c r="BL3970" t="s">
        <v>11746</v>
      </c>
      <c r="BM3970" t="s">
        <v>31457</v>
      </c>
      <c r="BN3970" t="s">
        <v>27621</v>
      </c>
    </row>
    <row r="3971" spans="1:66" x14ac:dyDescent="0.25">
      <c r="A3971" t="str">
        <f>HYPERLINK("https://elite.finviz.com/quote.ashx?t=BLBX&amp;ty=c&amp;p=d&amp;b=1", "BLBX")</f>
        <v>BLBX</v>
      </c>
      <c r="B3971">
        <v>4</v>
      </c>
      <c r="C3971">
        <v>105.92</v>
      </c>
      <c r="D3971">
        <v>46.1</v>
      </c>
      <c r="E3971" t="s">
        <v>31458</v>
      </c>
      <c r="F3971" t="s">
        <v>107</v>
      </c>
      <c r="G3971" t="s">
        <v>108</v>
      </c>
      <c r="H3971" t="s">
        <v>136</v>
      </c>
      <c r="I3971" t="s">
        <v>70</v>
      </c>
      <c r="J3971" t="s">
        <v>321</v>
      </c>
      <c r="K3971">
        <v>23.46</v>
      </c>
      <c r="L3971">
        <v>6.19</v>
      </c>
      <c r="M3971" t="s">
        <v>2219</v>
      </c>
      <c r="N3971">
        <v>14688</v>
      </c>
      <c r="R3971">
        <v>10.02</v>
      </c>
      <c r="S3971">
        <v>6.3</v>
      </c>
      <c r="AA3971">
        <v>-1.07</v>
      </c>
      <c r="AB3971" t="s">
        <v>3757</v>
      </c>
      <c r="AC3971" t="s">
        <v>4114</v>
      </c>
      <c r="AE3971" t="s">
        <v>20060</v>
      </c>
      <c r="AF3971" t="s">
        <v>28236</v>
      </c>
      <c r="AG3971" t="s">
        <v>11036</v>
      </c>
      <c r="AH3971" t="s">
        <v>16531</v>
      </c>
      <c r="AI3971" t="s">
        <v>6970</v>
      </c>
      <c r="AJ3971" t="s">
        <v>164</v>
      </c>
      <c r="AK3971" t="s">
        <v>275</v>
      </c>
      <c r="AL3971">
        <v>0.2</v>
      </c>
      <c r="AM3971">
        <v>0.2</v>
      </c>
      <c r="AN3971">
        <v>0.64</v>
      </c>
      <c r="AO3971" t="s">
        <v>7716</v>
      </c>
      <c r="AP3971" t="s">
        <v>31459</v>
      </c>
      <c r="AQ3971" t="s">
        <v>31460</v>
      </c>
      <c r="AR3971" t="s">
        <v>2776</v>
      </c>
      <c r="AS3971" t="s">
        <v>2823</v>
      </c>
      <c r="AT3971" t="s">
        <v>1175</v>
      </c>
      <c r="AU3971" t="s">
        <v>6195</v>
      </c>
      <c r="AV3971" t="s">
        <v>8570</v>
      </c>
      <c r="AW3971" t="s">
        <v>22411</v>
      </c>
      <c r="AX3971" t="s">
        <v>4965</v>
      </c>
      <c r="AY3971" t="s">
        <v>22411</v>
      </c>
      <c r="AZ3971" t="s">
        <v>12151</v>
      </c>
      <c r="BA3971">
        <v>1</v>
      </c>
      <c r="BB3971">
        <v>69.69</v>
      </c>
      <c r="BC3971">
        <v>0.75</v>
      </c>
      <c r="BD3971">
        <v>6.08</v>
      </c>
      <c r="BE3971">
        <v>6.2</v>
      </c>
      <c r="BF3971">
        <v>6.11</v>
      </c>
      <c r="BG3971" t="s">
        <v>31461</v>
      </c>
      <c r="BH3971" t="s">
        <v>19581</v>
      </c>
      <c r="BI3971" t="s">
        <v>31462</v>
      </c>
      <c r="BJ3971" t="s">
        <v>101</v>
      </c>
      <c r="BK3971" t="s">
        <v>5102</v>
      </c>
      <c r="BL3971" t="s">
        <v>5921</v>
      </c>
      <c r="BM3971" t="s">
        <v>31463</v>
      </c>
      <c r="BN3971" t="s">
        <v>27621</v>
      </c>
    </row>
    <row r="3972" spans="1:66" x14ac:dyDescent="0.25">
      <c r="A3972" t="str">
        <f>HYPERLINK("https://elite.finviz.com/quote.ashx?t=IHT&amp;ty=c&amp;p=d&amp;b=1", "IHT")</f>
        <v>IHT</v>
      </c>
      <c r="B3972">
        <v>4</v>
      </c>
      <c r="C3972">
        <v>105.92</v>
      </c>
      <c r="D3972">
        <v>46.1</v>
      </c>
      <c r="E3972" t="s">
        <v>31464</v>
      </c>
      <c r="F3972" t="s">
        <v>107</v>
      </c>
      <c r="G3972" t="s">
        <v>68</v>
      </c>
      <c r="H3972" t="s">
        <v>4145</v>
      </c>
      <c r="I3972" t="s">
        <v>70</v>
      </c>
      <c r="J3972" t="s">
        <v>383</v>
      </c>
      <c r="K3972">
        <v>21.98</v>
      </c>
      <c r="L3972">
        <v>1.84</v>
      </c>
      <c r="M3972" t="s">
        <v>969</v>
      </c>
      <c r="N3972">
        <v>36464</v>
      </c>
      <c r="R3972">
        <v>2.95</v>
      </c>
      <c r="S3972">
        <v>4.07</v>
      </c>
      <c r="T3972" t="s">
        <v>581</v>
      </c>
      <c r="U3972">
        <v>0.02</v>
      </c>
      <c r="V3972" t="s">
        <v>12255</v>
      </c>
      <c r="W3972" t="s">
        <v>164</v>
      </c>
      <c r="X3972" t="s">
        <v>164</v>
      </c>
      <c r="Y3972" t="s">
        <v>164</v>
      </c>
      <c r="AA3972">
        <v>-0.16</v>
      </c>
      <c r="AC3972" t="s">
        <v>2317</v>
      </c>
      <c r="AE3972" t="s">
        <v>6105</v>
      </c>
      <c r="AF3972" t="s">
        <v>7210</v>
      </c>
      <c r="AG3972" t="s">
        <v>4873</v>
      </c>
      <c r="AH3972" t="s">
        <v>8293</v>
      </c>
      <c r="AJ3972" t="s">
        <v>4703</v>
      </c>
      <c r="AK3972" t="s">
        <v>4658</v>
      </c>
      <c r="AL3972">
        <v>1.17</v>
      </c>
      <c r="AM3972">
        <v>1.17</v>
      </c>
      <c r="AN3972">
        <v>3.37</v>
      </c>
      <c r="AO3972" t="s">
        <v>2001</v>
      </c>
      <c r="AP3972" t="s">
        <v>2488</v>
      </c>
      <c r="AQ3972" t="s">
        <v>6606</v>
      </c>
      <c r="AR3972" t="s">
        <v>1090</v>
      </c>
      <c r="AS3972" t="s">
        <v>4068</v>
      </c>
      <c r="AT3972" t="s">
        <v>10533</v>
      </c>
      <c r="AU3972" t="s">
        <v>2433</v>
      </c>
      <c r="AV3972" t="s">
        <v>4209</v>
      </c>
      <c r="AW3972" t="s">
        <v>19077</v>
      </c>
      <c r="AX3972" t="s">
        <v>223</v>
      </c>
      <c r="AY3972" t="s">
        <v>19077</v>
      </c>
      <c r="AZ3972" t="s">
        <v>223</v>
      </c>
      <c r="BB3972">
        <v>577.36</v>
      </c>
      <c r="BC3972">
        <v>0.22</v>
      </c>
      <c r="BD3972">
        <v>1.82</v>
      </c>
      <c r="BE3972">
        <v>1.86</v>
      </c>
      <c r="BF3972">
        <v>1.79</v>
      </c>
      <c r="BG3972" t="s">
        <v>31465</v>
      </c>
      <c r="BH3972" t="s">
        <v>31466</v>
      </c>
      <c r="BI3972" t="s">
        <v>31467</v>
      </c>
      <c r="BJ3972" t="s">
        <v>101</v>
      </c>
      <c r="BK3972" t="s">
        <v>2480</v>
      </c>
      <c r="BL3972" t="s">
        <v>24626</v>
      </c>
      <c r="BM3972" t="s">
        <v>7798</v>
      </c>
      <c r="BN3972" t="s">
        <v>27621</v>
      </c>
    </row>
    <row r="3973" spans="1:66" x14ac:dyDescent="0.25">
      <c r="A3973" t="str">
        <f>HYPERLINK("https://elite.finviz.com/quote.ashx?t=NL&amp;ty=c&amp;p=d&amp;b=1", "NL")</f>
        <v>NL</v>
      </c>
      <c r="B3973">
        <v>4</v>
      </c>
      <c r="C3973">
        <v>105.92</v>
      </c>
      <c r="D3973">
        <v>46.11</v>
      </c>
      <c r="E3973" t="s">
        <v>31468</v>
      </c>
      <c r="F3973" t="s">
        <v>67</v>
      </c>
      <c r="G3973" t="s">
        <v>260</v>
      </c>
      <c r="H3973" t="s">
        <v>4162</v>
      </c>
      <c r="I3973" t="s">
        <v>70</v>
      </c>
      <c r="J3973" t="s">
        <v>71</v>
      </c>
      <c r="K3973">
        <v>293.67</v>
      </c>
      <c r="L3973">
        <v>6.01</v>
      </c>
      <c r="M3973" t="s">
        <v>1933</v>
      </c>
      <c r="N3973">
        <v>5492</v>
      </c>
      <c r="O3973">
        <v>5.48</v>
      </c>
      <c r="R3973">
        <v>1.92</v>
      </c>
      <c r="S3973">
        <v>0.74</v>
      </c>
      <c r="T3973" t="s">
        <v>7118</v>
      </c>
      <c r="U3973">
        <v>0.34</v>
      </c>
      <c r="V3973" t="s">
        <v>4548</v>
      </c>
      <c r="W3973" t="s">
        <v>2169</v>
      </c>
      <c r="X3973" t="s">
        <v>1115</v>
      </c>
      <c r="Z3973" t="s">
        <v>865</v>
      </c>
      <c r="AA3973">
        <v>1.1000000000000001</v>
      </c>
      <c r="AB3973" t="s">
        <v>12048</v>
      </c>
      <c r="AC3973" t="s">
        <v>4424</v>
      </c>
      <c r="AE3973" t="s">
        <v>4408</v>
      </c>
      <c r="AF3973" t="s">
        <v>1417</v>
      </c>
      <c r="AG3973" t="s">
        <v>2317</v>
      </c>
      <c r="AH3973" t="s">
        <v>4462</v>
      </c>
      <c r="AJ3973" t="s">
        <v>164</v>
      </c>
      <c r="AK3973" t="s">
        <v>6528</v>
      </c>
      <c r="AL3973">
        <v>5.41</v>
      </c>
      <c r="AM3973">
        <v>4.4400000000000004</v>
      </c>
      <c r="AN3973">
        <v>0</v>
      </c>
      <c r="AO3973" t="s">
        <v>16280</v>
      </c>
      <c r="AP3973" t="s">
        <v>1423</v>
      </c>
      <c r="AQ3973" t="s">
        <v>16508</v>
      </c>
      <c r="AR3973" t="s">
        <v>6459</v>
      </c>
      <c r="AS3973" t="s">
        <v>3433</v>
      </c>
      <c r="AT3973" t="s">
        <v>7391</v>
      </c>
      <c r="AU3973" t="s">
        <v>7907</v>
      </c>
      <c r="AV3973" t="s">
        <v>6991</v>
      </c>
      <c r="AW3973" t="s">
        <v>11638</v>
      </c>
      <c r="AX3973" t="s">
        <v>3531</v>
      </c>
      <c r="AY3973" t="s">
        <v>21170</v>
      </c>
      <c r="AZ3973" t="s">
        <v>15372</v>
      </c>
      <c r="BA3973">
        <v>5</v>
      </c>
      <c r="BB3973">
        <v>36.21</v>
      </c>
      <c r="BC3973">
        <v>0.54</v>
      </c>
      <c r="BD3973">
        <v>5.86</v>
      </c>
      <c r="BE3973">
        <v>6.01</v>
      </c>
      <c r="BF3973">
        <v>5.95</v>
      </c>
      <c r="BG3973" t="s">
        <v>31469</v>
      </c>
      <c r="BH3973" t="s">
        <v>31470</v>
      </c>
      <c r="BI3973" t="s">
        <v>31471</v>
      </c>
      <c r="BJ3973" t="s">
        <v>101</v>
      </c>
      <c r="BK3973" t="s">
        <v>1000</v>
      </c>
      <c r="BL3973" t="s">
        <v>7506</v>
      </c>
      <c r="BM3973" t="s">
        <v>10461</v>
      </c>
      <c r="BN3973" t="s">
        <v>27621</v>
      </c>
    </row>
    <row r="3974" spans="1:66" x14ac:dyDescent="0.25">
      <c r="A3974" t="str">
        <f>HYPERLINK("https://elite.finviz.com/quote.ashx?t=ITW&amp;ty=c&amp;p=d&amp;b=1", "ITW")</f>
        <v>ITW</v>
      </c>
      <c r="B3974">
        <v>4</v>
      </c>
      <c r="C3974">
        <v>105.92</v>
      </c>
      <c r="D3974">
        <v>46.14</v>
      </c>
      <c r="E3974" t="s">
        <v>31472</v>
      </c>
      <c r="F3974" t="s">
        <v>195</v>
      </c>
      <c r="G3974" t="s">
        <v>260</v>
      </c>
      <c r="H3974" t="s">
        <v>261</v>
      </c>
      <c r="I3974" t="s">
        <v>70</v>
      </c>
      <c r="J3974" t="s">
        <v>71</v>
      </c>
      <c r="K3974">
        <v>75788.81</v>
      </c>
      <c r="L3974">
        <v>260</v>
      </c>
      <c r="M3974" t="s">
        <v>969</v>
      </c>
      <c r="N3974">
        <v>92173</v>
      </c>
      <c r="O3974">
        <v>22.82</v>
      </c>
      <c r="P3974">
        <v>23.2</v>
      </c>
      <c r="Q3974">
        <v>33.549999999999997</v>
      </c>
      <c r="R3974">
        <v>4.8</v>
      </c>
      <c r="S3974">
        <v>23.61</v>
      </c>
      <c r="T3974" t="s">
        <v>1761</v>
      </c>
      <c r="U3974">
        <v>6</v>
      </c>
      <c r="V3974" t="s">
        <v>198</v>
      </c>
      <c r="W3974" t="s">
        <v>7942</v>
      </c>
      <c r="X3974" t="s">
        <v>274</v>
      </c>
      <c r="Y3974" t="s">
        <v>9751</v>
      </c>
      <c r="Z3974" t="s">
        <v>25712</v>
      </c>
      <c r="AA3974">
        <v>11.4</v>
      </c>
      <c r="AB3974" t="s">
        <v>2740</v>
      </c>
      <c r="AC3974" t="s">
        <v>5864</v>
      </c>
      <c r="AD3974" t="s">
        <v>5253</v>
      </c>
      <c r="AE3974" t="s">
        <v>7598</v>
      </c>
      <c r="AF3974" t="s">
        <v>4294</v>
      </c>
      <c r="AG3974" t="s">
        <v>3208</v>
      </c>
      <c r="AH3974" t="s">
        <v>227</v>
      </c>
      <c r="AI3974" t="s">
        <v>3871</v>
      </c>
      <c r="AJ3974" t="s">
        <v>1086</v>
      </c>
      <c r="AK3974" t="s">
        <v>24111</v>
      </c>
      <c r="AL3974">
        <v>1.59</v>
      </c>
      <c r="AM3974">
        <v>1.1499999999999999</v>
      </c>
      <c r="AN3974">
        <v>2.78</v>
      </c>
      <c r="AO3974" t="s">
        <v>17600</v>
      </c>
      <c r="AP3974" t="s">
        <v>664</v>
      </c>
      <c r="AQ3974" t="s">
        <v>4851</v>
      </c>
      <c r="AR3974" t="s">
        <v>5577</v>
      </c>
      <c r="AS3974" t="s">
        <v>1559</v>
      </c>
      <c r="AT3974" t="s">
        <v>7568</v>
      </c>
      <c r="AU3974" t="s">
        <v>1358</v>
      </c>
      <c r="AV3974" t="s">
        <v>3208</v>
      </c>
      <c r="AW3974" t="s">
        <v>3665</v>
      </c>
      <c r="AX3974" t="s">
        <v>2484</v>
      </c>
      <c r="AY3974" t="s">
        <v>10431</v>
      </c>
      <c r="AZ3974" t="s">
        <v>5793</v>
      </c>
      <c r="BA3974">
        <v>3.38</v>
      </c>
      <c r="BB3974">
        <v>940.73</v>
      </c>
      <c r="BC3974">
        <v>0.35</v>
      </c>
      <c r="BD3974">
        <v>257.89</v>
      </c>
      <c r="BE3974">
        <v>260.11</v>
      </c>
      <c r="BF3974">
        <v>257.89</v>
      </c>
      <c r="BG3974" t="s">
        <v>31473</v>
      </c>
      <c r="BH3974" t="s">
        <v>10431</v>
      </c>
      <c r="BI3974" t="s">
        <v>31474</v>
      </c>
      <c r="BJ3974" t="s">
        <v>101</v>
      </c>
      <c r="BK3974" t="s">
        <v>121</v>
      </c>
      <c r="BL3974" t="s">
        <v>1391</v>
      </c>
      <c r="BM3974" t="s">
        <v>2216</v>
      </c>
      <c r="BN3974" t="s">
        <v>27621</v>
      </c>
    </row>
    <row r="3975" spans="1:66" x14ac:dyDescent="0.25">
      <c r="A3975" t="str">
        <f>HYPERLINK("https://elite.finviz.com/quote.ashx?t=NERV&amp;ty=c&amp;p=d&amp;b=1", "NERV")</f>
        <v>NERV</v>
      </c>
      <c r="B3975">
        <v>4</v>
      </c>
      <c r="C3975">
        <v>105.92</v>
      </c>
      <c r="D3975">
        <v>46.14</v>
      </c>
      <c r="E3975" t="s">
        <v>31475</v>
      </c>
      <c r="F3975" t="s">
        <v>107</v>
      </c>
      <c r="G3975" t="s">
        <v>428</v>
      </c>
      <c r="H3975" t="s">
        <v>429</v>
      </c>
      <c r="I3975" t="s">
        <v>70</v>
      </c>
      <c r="J3975" t="s">
        <v>321</v>
      </c>
      <c r="K3975">
        <v>14.61</v>
      </c>
      <c r="L3975">
        <v>2.09</v>
      </c>
      <c r="M3975" t="s">
        <v>3905</v>
      </c>
      <c r="N3975">
        <v>3641</v>
      </c>
      <c r="O3975">
        <v>1.41</v>
      </c>
      <c r="Z3975" t="s">
        <v>164</v>
      </c>
      <c r="AA3975">
        <v>1.48</v>
      </c>
      <c r="AJ3975" t="s">
        <v>164</v>
      </c>
      <c r="AK3975" t="s">
        <v>14588</v>
      </c>
      <c r="AL3975">
        <v>6.15</v>
      </c>
      <c r="AM3975">
        <v>6.15</v>
      </c>
      <c r="AR3975" t="s">
        <v>2378</v>
      </c>
      <c r="AS3975" t="s">
        <v>336</v>
      </c>
      <c r="AT3975" t="s">
        <v>2827</v>
      </c>
      <c r="AU3975" t="s">
        <v>3999</v>
      </c>
      <c r="AV3975" t="s">
        <v>9280</v>
      </c>
      <c r="AW3975" t="s">
        <v>25156</v>
      </c>
      <c r="AX3975" t="s">
        <v>6081</v>
      </c>
      <c r="AY3975" t="s">
        <v>11825</v>
      </c>
      <c r="AZ3975" t="s">
        <v>31476</v>
      </c>
      <c r="BA3975">
        <v>3</v>
      </c>
      <c r="BB3975">
        <v>25.4</v>
      </c>
      <c r="BC3975">
        <v>0.51</v>
      </c>
      <c r="BD3975">
        <v>2.16</v>
      </c>
      <c r="BE3975">
        <v>2.14</v>
      </c>
      <c r="BF3975">
        <v>2.08</v>
      </c>
      <c r="BG3975" t="s">
        <v>31477</v>
      </c>
      <c r="BH3975" t="s">
        <v>31478</v>
      </c>
      <c r="BI3975" t="s">
        <v>31476</v>
      </c>
      <c r="BJ3975" t="s">
        <v>101</v>
      </c>
      <c r="BK3975" t="s">
        <v>4314</v>
      </c>
      <c r="BL3975" t="s">
        <v>5127</v>
      </c>
      <c r="BM3975" t="s">
        <v>23834</v>
      </c>
      <c r="BN3975" t="s">
        <v>27621</v>
      </c>
    </row>
    <row r="3976" spans="1:66" x14ac:dyDescent="0.25">
      <c r="A3976" t="str">
        <f>HYPERLINK("https://elite.finviz.com/quote.ashx?t=ALUR&amp;ty=c&amp;p=d&amp;b=1", "ALUR")</f>
        <v>ALUR</v>
      </c>
      <c r="B3976">
        <v>4</v>
      </c>
      <c r="C3976">
        <v>105.92</v>
      </c>
      <c r="D3976">
        <v>46.15</v>
      </c>
      <c r="E3976" t="s">
        <v>31479</v>
      </c>
      <c r="F3976" t="s">
        <v>107</v>
      </c>
      <c r="G3976" t="s">
        <v>428</v>
      </c>
      <c r="H3976" t="s">
        <v>2051</v>
      </c>
      <c r="I3976" t="s">
        <v>70</v>
      </c>
      <c r="J3976" t="s">
        <v>71</v>
      </c>
      <c r="K3976">
        <v>16.61</v>
      </c>
      <c r="L3976">
        <v>2.14</v>
      </c>
      <c r="M3976" t="s">
        <v>1495</v>
      </c>
      <c r="N3976">
        <v>11428</v>
      </c>
      <c r="R3976">
        <v>0.83</v>
      </c>
      <c r="AA3976">
        <v>-2.4</v>
      </c>
      <c r="AC3976" t="s">
        <v>31480</v>
      </c>
      <c r="AD3976" t="s">
        <v>4925</v>
      </c>
      <c r="AE3976" t="s">
        <v>27043</v>
      </c>
      <c r="AH3976" t="s">
        <v>21823</v>
      </c>
      <c r="AI3976" t="s">
        <v>31481</v>
      </c>
      <c r="AJ3976" t="s">
        <v>192</v>
      </c>
      <c r="AK3976" t="s">
        <v>20405</v>
      </c>
      <c r="AL3976">
        <v>2.02</v>
      </c>
      <c r="AM3976">
        <v>1.7</v>
      </c>
      <c r="AO3976" t="s">
        <v>29427</v>
      </c>
      <c r="AP3976" t="s">
        <v>31482</v>
      </c>
      <c r="AQ3976" t="s">
        <v>14511</v>
      </c>
      <c r="AR3976" t="s">
        <v>2174</v>
      </c>
      <c r="AS3976" t="s">
        <v>6419</v>
      </c>
      <c r="AT3976" t="s">
        <v>1554</v>
      </c>
      <c r="AU3976" t="s">
        <v>6939</v>
      </c>
      <c r="AV3976" t="s">
        <v>31483</v>
      </c>
      <c r="AW3976" t="s">
        <v>14233</v>
      </c>
      <c r="AX3976" t="s">
        <v>9636</v>
      </c>
      <c r="AY3976" t="s">
        <v>31484</v>
      </c>
      <c r="AZ3976" t="s">
        <v>9636</v>
      </c>
      <c r="BA3976">
        <v>1.67</v>
      </c>
      <c r="BB3976">
        <v>102.08</v>
      </c>
      <c r="BC3976">
        <v>0.4</v>
      </c>
      <c r="BD3976">
        <v>1.99</v>
      </c>
      <c r="BE3976">
        <v>2.08</v>
      </c>
      <c r="BF3976">
        <v>2.0099999999999998</v>
      </c>
      <c r="BG3976" t="s">
        <v>31485</v>
      </c>
      <c r="BH3976" t="s">
        <v>1523</v>
      </c>
      <c r="BI3976" t="s">
        <v>9636</v>
      </c>
      <c r="BJ3976" t="s">
        <v>101</v>
      </c>
      <c r="BK3976" t="s">
        <v>7469</v>
      </c>
      <c r="BL3976" t="s">
        <v>21347</v>
      </c>
      <c r="BM3976" t="s">
        <v>27288</v>
      </c>
      <c r="BN3976" t="s">
        <v>27621</v>
      </c>
    </row>
    <row r="3977" spans="1:66" x14ac:dyDescent="0.25">
      <c r="A3977" t="str">
        <f>HYPERLINK("https://elite.finviz.com/quote.ashx?t=MDIA&amp;ty=c&amp;p=d&amp;b=1", "MDIA")</f>
        <v>MDIA</v>
      </c>
      <c r="B3977">
        <v>4</v>
      </c>
      <c r="C3977">
        <v>105.92</v>
      </c>
      <c r="D3977">
        <v>46.2</v>
      </c>
      <c r="E3977" t="s">
        <v>31486</v>
      </c>
      <c r="F3977" t="s">
        <v>107</v>
      </c>
      <c r="G3977" t="s">
        <v>598</v>
      </c>
      <c r="H3977" t="s">
        <v>4546</v>
      </c>
      <c r="I3977" t="s">
        <v>70</v>
      </c>
      <c r="J3977" t="s">
        <v>321</v>
      </c>
      <c r="K3977">
        <v>70.05</v>
      </c>
      <c r="L3977">
        <v>1.3</v>
      </c>
      <c r="M3977" t="s">
        <v>4945</v>
      </c>
      <c r="N3977">
        <v>350</v>
      </c>
      <c r="O3977">
        <v>4.4400000000000004</v>
      </c>
      <c r="R3977">
        <v>0.56999999999999995</v>
      </c>
      <c r="S3977">
        <v>0.72</v>
      </c>
      <c r="AA3977">
        <v>0.28999999999999998</v>
      </c>
      <c r="AB3977" t="s">
        <v>19938</v>
      </c>
      <c r="AE3977" t="s">
        <v>31487</v>
      </c>
      <c r="AF3977" t="s">
        <v>9305</v>
      </c>
      <c r="AG3977" t="s">
        <v>15021</v>
      </c>
      <c r="AH3977" t="s">
        <v>12265</v>
      </c>
      <c r="AJ3977" t="s">
        <v>5242</v>
      </c>
      <c r="AK3977" t="s">
        <v>8179</v>
      </c>
      <c r="AL3977">
        <v>0.53</v>
      </c>
      <c r="AM3977">
        <v>0.53</v>
      </c>
      <c r="AN3977">
        <v>1.61</v>
      </c>
      <c r="AO3977" t="s">
        <v>8311</v>
      </c>
      <c r="AP3977" t="s">
        <v>23235</v>
      </c>
      <c r="AQ3977" t="s">
        <v>11052</v>
      </c>
      <c r="AR3977" t="s">
        <v>3066</v>
      </c>
      <c r="AS3977" t="s">
        <v>1310</v>
      </c>
      <c r="AT3977" t="s">
        <v>5913</v>
      </c>
      <c r="AU3977" t="s">
        <v>5257</v>
      </c>
      <c r="AV3977" t="s">
        <v>6315</v>
      </c>
      <c r="AW3977" t="s">
        <v>5372</v>
      </c>
      <c r="AX3977" t="s">
        <v>16280</v>
      </c>
      <c r="AY3977" t="s">
        <v>31488</v>
      </c>
      <c r="AZ3977" t="s">
        <v>12615</v>
      </c>
      <c r="BB3977">
        <v>291.85000000000002</v>
      </c>
      <c r="BC3977">
        <v>0</v>
      </c>
      <c r="BD3977">
        <v>1.27</v>
      </c>
      <c r="BE3977">
        <v>1.32</v>
      </c>
      <c r="BF3977">
        <v>1.29</v>
      </c>
      <c r="BG3977" t="s">
        <v>31489</v>
      </c>
      <c r="BH3977" t="s">
        <v>31490</v>
      </c>
      <c r="BI3977" t="s">
        <v>31491</v>
      </c>
      <c r="BJ3977" t="s">
        <v>101</v>
      </c>
      <c r="BK3977" t="s">
        <v>15086</v>
      </c>
      <c r="BL3977" t="s">
        <v>7068</v>
      </c>
      <c r="BM3977" t="s">
        <v>3226</v>
      </c>
      <c r="BN3977" t="s">
        <v>27621</v>
      </c>
    </row>
    <row r="3978" spans="1:66" x14ac:dyDescent="0.25">
      <c r="A3978" t="str">
        <f>HYPERLINK("https://elite.finviz.com/quote.ashx?t=CVM&amp;ty=c&amp;p=d&amp;b=1", "CVM")</f>
        <v>CVM</v>
      </c>
      <c r="B3978">
        <v>4</v>
      </c>
      <c r="C3978">
        <v>105.92</v>
      </c>
      <c r="D3978">
        <v>46.22</v>
      </c>
      <c r="E3978" t="s">
        <v>31492</v>
      </c>
      <c r="F3978" t="s">
        <v>107</v>
      </c>
      <c r="G3978" t="s">
        <v>428</v>
      </c>
      <c r="H3978" t="s">
        <v>429</v>
      </c>
      <c r="I3978" t="s">
        <v>70</v>
      </c>
      <c r="J3978" t="s">
        <v>383</v>
      </c>
      <c r="K3978">
        <v>69.62</v>
      </c>
      <c r="L3978">
        <v>8.7100000000000009</v>
      </c>
      <c r="M3978" t="s">
        <v>342</v>
      </c>
      <c r="N3978">
        <v>10919</v>
      </c>
      <c r="S3978">
        <v>6.6</v>
      </c>
      <c r="AA3978">
        <v>-9.82</v>
      </c>
      <c r="AB3978" t="s">
        <v>5627</v>
      </c>
      <c r="AC3978" t="s">
        <v>5025</v>
      </c>
      <c r="AD3978" t="s">
        <v>6171</v>
      </c>
      <c r="AJ3978" t="s">
        <v>2542</v>
      </c>
      <c r="AK3978" t="s">
        <v>3687</v>
      </c>
      <c r="AL3978">
        <v>0.47</v>
      </c>
      <c r="AM3978">
        <v>0.37</v>
      </c>
      <c r="AN3978">
        <v>1.42</v>
      </c>
      <c r="AR3978" t="s">
        <v>6584</v>
      </c>
      <c r="AS3978" t="s">
        <v>2555</v>
      </c>
      <c r="AT3978" t="s">
        <v>8974</v>
      </c>
      <c r="AU3978" t="s">
        <v>7867</v>
      </c>
      <c r="AV3978" t="s">
        <v>5070</v>
      </c>
      <c r="AW3978" t="s">
        <v>14856</v>
      </c>
      <c r="AX3978" t="s">
        <v>31493</v>
      </c>
      <c r="AY3978" t="s">
        <v>31494</v>
      </c>
      <c r="AZ3978" t="s">
        <v>25580</v>
      </c>
      <c r="BA3978">
        <v>1</v>
      </c>
      <c r="BB3978">
        <v>794.42</v>
      </c>
      <c r="BC3978">
        <v>0.05</v>
      </c>
      <c r="BD3978">
        <v>8.51</v>
      </c>
      <c r="BE3978">
        <v>8.74</v>
      </c>
      <c r="BF3978">
        <v>8.51</v>
      </c>
      <c r="BG3978" t="s">
        <v>31495</v>
      </c>
      <c r="BH3978" t="s">
        <v>579</v>
      </c>
      <c r="BI3978" t="s">
        <v>25580</v>
      </c>
      <c r="BJ3978" t="s">
        <v>101</v>
      </c>
      <c r="BK3978" t="s">
        <v>31496</v>
      </c>
      <c r="BL3978" t="s">
        <v>5769</v>
      </c>
      <c r="BM3978" t="s">
        <v>24801</v>
      </c>
      <c r="BN3978" t="s">
        <v>27621</v>
      </c>
    </row>
    <row r="3979" spans="1:66" x14ac:dyDescent="0.25">
      <c r="A3979" t="str">
        <f>HYPERLINK("https://elite.finviz.com/quote.ashx?t=CIX&amp;ty=c&amp;p=d&amp;b=1", "CIX")</f>
        <v>CIX</v>
      </c>
      <c r="B3979">
        <v>4</v>
      </c>
      <c r="C3979">
        <v>105.92</v>
      </c>
      <c r="D3979">
        <v>46.24</v>
      </c>
      <c r="E3979" t="s">
        <v>31497</v>
      </c>
      <c r="F3979" t="s">
        <v>67</v>
      </c>
      <c r="G3979" t="s">
        <v>260</v>
      </c>
      <c r="H3979" t="s">
        <v>4162</v>
      </c>
      <c r="I3979" t="s">
        <v>70</v>
      </c>
      <c r="J3979" t="s">
        <v>383</v>
      </c>
      <c r="K3979">
        <v>296.74</v>
      </c>
      <c r="L3979">
        <v>24.08</v>
      </c>
      <c r="M3979" t="s">
        <v>4538</v>
      </c>
      <c r="N3979">
        <v>848</v>
      </c>
      <c r="O3979">
        <v>15.97</v>
      </c>
      <c r="R3979">
        <v>1.94</v>
      </c>
      <c r="S3979">
        <v>1.99</v>
      </c>
      <c r="T3979" t="s">
        <v>5100</v>
      </c>
      <c r="U3979">
        <v>1.17</v>
      </c>
      <c r="V3979" t="s">
        <v>4548</v>
      </c>
      <c r="W3979" t="s">
        <v>1746</v>
      </c>
      <c r="X3979" t="s">
        <v>5699</v>
      </c>
      <c r="Y3979" t="s">
        <v>6042</v>
      </c>
      <c r="Z3979" t="s">
        <v>20277</v>
      </c>
      <c r="AA3979">
        <v>1.51</v>
      </c>
      <c r="AB3979" t="s">
        <v>2646</v>
      </c>
      <c r="AC3979" t="s">
        <v>3761</v>
      </c>
      <c r="AE3979" t="s">
        <v>6105</v>
      </c>
      <c r="AF3979" t="s">
        <v>1417</v>
      </c>
      <c r="AG3979" t="s">
        <v>2317</v>
      </c>
      <c r="AH3979" t="s">
        <v>4462</v>
      </c>
      <c r="AJ3979" t="s">
        <v>164</v>
      </c>
      <c r="AK3979" t="s">
        <v>2796</v>
      </c>
      <c r="AL3979">
        <v>7.49</v>
      </c>
      <c r="AM3979">
        <v>5.2</v>
      </c>
      <c r="AN3979">
        <v>0</v>
      </c>
      <c r="AO3979" t="s">
        <v>11538</v>
      </c>
      <c r="AP3979" t="s">
        <v>18007</v>
      </c>
      <c r="AQ3979" t="s">
        <v>7345</v>
      </c>
      <c r="AR3979" t="s">
        <v>744</v>
      </c>
      <c r="AS3979" t="s">
        <v>6430</v>
      </c>
      <c r="AT3979" t="s">
        <v>4901</v>
      </c>
      <c r="AU3979" t="s">
        <v>9087</v>
      </c>
      <c r="AV3979" t="s">
        <v>11369</v>
      </c>
      <c r="AW3979" t="s">
        <v>8804</v>
      </c>
      <c r="AX3979" t="s">
        <v>2629</v>
      </c>
      <c r="AY3979" t="s">
        <v>24173</v>
      </c>
      <c r="AZ3979" t="s">
        <v>8028</v>
      </c>
      <c r="BB3979">
        <v>8.92</v>
      </c>
      <c r="BC3979">
        <v>0.34</v>
      </c>
      <c r="BD3979">
        <v>24.14</v>
      </c>
      <c r="BE3979">
        <v>24.59</v>
      </c>
      <c r="BF3979">
        <v>24.59</v>
      </c>
      <c r="BG3979" t="s">
        <v>31498</v>
      </c>
      <c r="BH3979" t="s">
        <v>4990</v>
      </c>
      <c r="BI3979" t="s">
        <v>31499</v>
      </c>
      <c r="BJ3979" t="s">
        <v>101</v>
      </c>
      <c r="BK3979" t="s">
        <v>5932</v>
      </c>
      <c r="BL3979" t="s">
        <v>6498</v>
      </c>
      <c r="BM3979" t="s">
        <v>6349</v>
      </c>
      <c r="BN3979" t="s">
        <v>27621</v>
      </c>
    </row>
    <row r="3980" spans="1:66" x14ac:dyDescent="0.25">
      <c r="A3980" t="str">
        <f>HYPERLINK("https://elite.finviz.com/quote.ashx?t=ZDGE&amp;ty=c&amp;p=d&amp;b=1", "ZDGE")</f>
        <v>ZDGE</v>
      </c>
      <c r="B3980">
        <v>4</v>
      </c>
      <c r="C3980">
        <v>105.92</v>
      </c>
      <c r="D3980">
        <v>46.24</v>
      </c>
      <c r="E3980" t="s">
        <v>31500</v>
      </c>
      <c r="F3980" t="s">
        <v>107</v>
      </c>
      <c r="G3980" t="s">
        <v>598</v>
      </c>
      <c r="H3980" t="s">
        <v>599</v>
      </c>
      <c r="I3980" t="s">
        <v>70</v>
      </c>
      <c r="J3980" t="s">
        <v>383</v>
      </c>
      <c r="K3980">
        <v>41.91</v>
      </c>
      <c r="L3980">
        <v>3.08</v>
      </c>
      <c r="M3980" t="s">
        <v>3550</v>
      </c>
      <c r="N3980">
        <v>1017</v>
      </c>
      <c r="P3980">
        <v>21.96</v>
      </c>
      <c r="R3980">
        <v>1.42</v>
      </c>
      <c r="S3980">
        <v>1.48</v>
      </c>
      <c r="AA3980">
        <v>-0.13</v>
      </c>
      <c r="AC3980" t="s">
        <v>2110</v>
      </c>
      <c r="AD3980" t="s">
        <v>1005</v>
      </c>
      <c r="AE3980" t="s">
        <v>5745</v>
      </c>
      <c r="AF3980" t="s">
        <v>11482</v>
      </c>
      <c r="AG3980" t="s">
        <v>12178</v>
      </c>
      <c r="AH3980" t="s">
        <v>6478</v>
      </c>
      <c r="AI3980" t="s">
        <v>13093</v>
      </c>
      <c r="AJ3980" t="s">
        <v>8293</v>
      </c>
      <c r="AK3980" t="s">
        <v>4272</v>
      </c>
      <c r="AL3980">
        <v>3.39</v>
      </c>
      <c r="AM3980">
        <v>3.39</v>
      </c>
      <c r="AN3980">
        <v>0</v>
      </c>
      <c r="AO3980" t="s">
        <v>5823</v>
      </c>
      <c r="AP3980" t="s">
        <v>5661</v>
      </c>
      <c r="AQ3980" t="s">
        <v>5857</v>
      </c>
      <c r="AR3980" t="s">
        <v>3957</v>
      </c>
      <c r="AS3980" t="s">
        <v>272</v>
      </c>
      <c r="AT3980" t="s">
        <v>211</v>
      </c>
      <c r="AU3980" t="s">
        <v>7151</v>
      </c>
      <c r="AV3980" t="s">
        <v>8855</v>
      </c>
      <c r="AW3980" t="s">
        <v>16502</v>
      </c>
      <c r="AX3980" t="s">
        <v>5114</v>
      </c>
      <c r="AY3980" t="s">
        <v>16502</v>
      </c>
      <c r="AZ3980" t="s">
        <v>12519</v>
      </c>
      <c r="BA3980">
        <v>1</v>
      </c>
      <c r="BB3980">
        <v>61.99</v>
      </c>
      <c r="BC3980">
        <v>0.06</v>
      </c>
      <c r="BD3980">
        <v>3.03</v>
      </c>
      <c r="BE3980">
        <v>3.08</v>
      </c>
      <c r="BF3980">
        <v>3.07</v>
      </c>
      <c r="BG3980" t="s">
        <v>31501</v>
      </c>
      <c r="BH3980" t="s">
        <v>31502</v>
      </c>
      <c r="BI3980" t="s">
        <v>31503</v>
      </c>
      <c r="BJ3980" t="s">
        <v>101</v>
      </c>
      <c r="BK3980" t="s">
        <v>2013</v>
      </c>
      <c r="BL3980" t="s">
        <v>15177</v>
      </c>
      <c r="BM3980" t="s">
        <v>4475</v>
      </c>
      <c r="BN3980" t="s">
        <v>27621</v>
      </c>
    </row>
    <row r="3981" spans="1:66" x14ac:dyDescent="0.25">
      <c r="A3981" t="str">
        <f>HYPERLINK("https://elite.finviz.com/quote.ashx?t=NXGL&amp;ty=c&amp;p=d&amp;b=1", "NXGL")</f>
        <v>NXGL</v>
      </c>
      <c r="B3981">
        <v>4</v>
      </c>
      <c r="C3981">
        <v>105.92</v>
      </c>
      <c r="D3981">
        <v>46.24</v>
      </c>
      <c r="E3981" t="s">
        <v>31504</v>
      </c>
      <c r="F3981" t="s">
        <v>107</v>
      </c>
      <c r="G3981" t="s">
        <v>428</v>
      </c>
      <c r="H3981" t="s">
        <v>2161</v>
      </c>
      <c r="I3981" t="s">
        <v>70</v>
      </c>
      <c r="J3981" t="s">
        <v>321</v>
      </c>
      <c r="K3981">
        <v>25.14</v>
      </c>
      <c r="L3981">
        <v>2.36</v>
      </c>
      <c r="M3981" t="s">
        <v>5000</v>
      </c>
      <c r="N3981">
        <v>12575</v>
      </c>
      <c r="P3981">
        <v>14.75</v>
      </c>
      <c r="R3981">
        <v>2.15</v>
      </c>
      <c r="S3981">
        <v>3.87</v>
      </c>
      <c r="AA3981">
        <v>-0.4</v>
      </c>
      <c r="AB3981" t="s">
        <v>3231</v>
      </c>
      <c r="AC3981" t="s">
        <v>23489</v>
      </c>
      <c r="AE3981" t="s">
        <v>31505</v>
      </c>
      <c r="AF3981" t="s">
        <v>12423</v>
      </c>
      <c r="AG3981" t="s">
        <v>3528</v>
      </c>
      <c r="AH3981" t="s">
        <v>1261</v>
      </c>
      <c r="AI3981" t="s">
        <v>19926</v>
      </c>
      <c r="AJ3981" t="s">
        <v>655</v>
      </c>
      <c r="AK3981" t="s">
        <v>5697</v>
      </c>
      <c r="AL3981">
        <v>1.74</v>
      </c>
      <c r="AM3981">
        <v>0.98</v>
      </c>
      <c r="AN3981">
        <v>0.56999999999999995</v>
      </c>
      <c r="AO3981" t="s">
        <v>12108</v>
      </c>
      <c r="AP3981" t="s">
        <v>15027</v>
      </c>
      <c r="AQ3981" t="s">
        <v>24376</v>
      </c>
      <c r="AR3981" t="s">
        <v>5527</v>
      </c>
      <c r="AS3981" t="s">
        <v>11494</v>
      </c>
      <c r="AT3981" t="s">
        <v>3559</v>
      </c>
      <c r="AU3981" t="s">
        <v>3328</v>
      </c>
      <c r="AV3981" t="s">
        <v>10979</v>
      </c>
      <c r="AW3981" t="s">
        <v>1221</v>
      </c>
      <c r="AX3981" t="s">
        <v>8650</v>
      </c>
      <c r="AY3981" t="s">
        <v>31506</v>
      </c>
      <c r="AZ3981" t="s">
        <v>511</v>
      </c>
      <c r="BA3981">
        <v>1</v>
      </c>
      <c r="BB3981">
        <v>49.77</v>
      </c>
      <c r="BC3981">
        <v>0.9</v>
      </c>
      <c r="BD3981">
        <v>2.4</v>
      </c>
      <c r="BE3981">
        <v>2.5</v>
      </c>
      <c r="BF3981">
        <v>2.37</v>
      </c>
      <c r="BG3981" t="s">
        <v>31507</v>
      </c>
      <c r="BH3981" t="s">
        <v>31506</v>
      </c>
      <c r="BI3981" t="s">
        <v>31508</v>
      </c>
      <c r="BJ3981" t="s">
        <v>101</v>
      </c>
      <c r="BK3981" t="s">
        <v>5000</v>
      </c>
      <c r="BL3981" t="s">
        <v>1451</v>
      </c>
      <c r="BM3981" t="s">
        <v>18739</v>
      </c>
      <c r="BN3981" t="s">
        <v>27621</v>
      </c>
    </row>
    <row r="3982" spans="1:66" x14ac:dyDescent="0.25">
      <c r="A3982" t="str">
        <f>HYPERLINK("https://elite.finviz.com/quote.ashx?t=VRA&amp;ty=c&amp;p=d&amp;b=1", "VRA")</f>
        <v>VRA</v>
      </c>
      <c r="B3982">
        <v>4</v>
      </c>
      <c r="C3982">
        <v>105.92</v>
      </c>
      <c r="D3982">
        <v>46.26</v>
      </c>
      <c r="E3982" t="s">
        <v>31509</v>
      </c>
      <c r="F3982" t="s">
        <v>107</v>
      </c>
      <c r="G3982" t="s">
        <v>813</v>
      </c>
      <c r="H3982" t="s">
        <v>4043</v>
      </c>
      <c r="I3982" t="s">
        <v>70</v>
      </c>
      <c r="J3982" t="s">
        <v>321</v>
      </c>
      <c r="K3982">
        <v>56.71</v>
      </c>
      <c r="L3982">
        <v>2.0299999999999998</v>
      </c>
      <c r="M3982" t="s">
        <v>4273</v>
      </c>
      <c r="N3982">
        <v>51393</v>
      </c>
      <c r="P3982">
        <v>40.6</v>
      </c>
      <c r="R3982">
        <v>0.19</v>
      </c>
      <c r="S3982">
        <v>0.4</v>
      </c>
      <c r="AA3982">
        <v>-2.98</v>
      </c>
      <c r="AE3982" t="s">
        <v>8545</v>
      </c>
      <c r="AF3982" t="s">
        <v>3239</v>
      </c>
      <c r="AG3982" t="s">
        <v>2604</v>
      </c>
      <c r="AH3982" t="s">
        <v>20130</v>
      </c>
      <c r="AI3982" t="s">
        <v>11616</v>
      </c>
      <c r="AJ3982" t="s">
        <v>5593</v>
      </c>
      <c r="AK3982" t="s">
        <v>5821</v>
      </c>
      <c r="AL3982">
        <v>2.4300000000000002</v>
      </c>
      <c r="AM3982">
        <v>0.75</v>
      </c>
      <c r="AN3982">
        <v>0.61</v>
      </c>
      <c r="AO3982" t="s">
        <v>10022</v>
      </c>
      <c r="AP3982" t="s">
        <v>11925</v>
      </c>
      <c r="AQ3982" t="s">
        <v>3072</v>
      </c>
      <c r="AR3982" t="s">
        <v>2385</v>
      </c>
      <c r="AS3982" t="s">
        <v>5025</v>
      </c>
      <c r="AT3982" t="s">
        <v>2288</v>
      </c>
      <c r="AU3982" t="s">
        <v>8763</v>
      </c>
      <c r="AV3982" t="s">
        <v>23188</v>
      </c>
      <c r="AW3982" t="s">
        <v>11322</v>
      </c>
      <c r="AX3982" t="s">
        <v>11641</v>
      </c>
      <c r="AY3982" t="s">
        <v>28403</v>
      </c>
      <c r="AZ3982" t="s">
        <v>3168</v>
      </c>
      <c r="BA3982">
        <v>1</v>
      </c>
      <c r="BB3982">
        <v>260.70999999999998</v>
      </c>
      <c r="BC3982">
        <v>0.69</v>
      </c>
      <c r="BD3982">
        <v>2.04</v>
      </c>
      <c r="BE3982">
        <v>2.08</v>
      </c>
      <c r="BF3982">
        <v>2.0099999999999998</v>
      </c>
      <c r="BG3982" t="s">
        <v>31510</v>
      </c>
      <c r="BH3982" t="s">
        <v>2992</v>
      </c>
      <c r="BI3982" t="s">
        <v>3168</v>
      </c>
      <c r="BJ3982" t="s">
        <v>101</v>
      </c>
      <c r="BK3982" t="s">
        <v>2136</v>
      </c>
      <c r="BL3982" t="s">
        <v>16318</v>
      </c>
      <c r="BM3982" t="s">
        <v>6619</v>
      </c>
      <c r="BN3982" t="s">
        <v>27621</v>
      </c>
    </row>
    <row r="3983" spans="1:66" x14ac:dyDescent="0.25">
      <c r="A3983" t="str">
        <f>HYPERLINK("https://elite.finviz.com/quote.ashx?t=YHGJ&amp;ty=c&amp;p=d&amp;b=1", "YHGJ")</f>
        <v>YHGJ</v>
      </c>
      <c r="B3983">
        <v>4</v>
      </c>
      <c r="C3983">
        <v>105.92</v>
      </c>
      <c r="D3983">
        <v>46.26</v>
      </c>
      <c r="E3983" t="s">
        <v>31511</v>
      </c>
      <c r="F3983" t="s">
        <v>107</v>
      </c>
      <c r="G3983" t="s">
        <v>813</v>
      </c>
      <c r="H3983" t="s">
        <v>7355</v>
      </c>
      <c r="I3983" t="s">
        <v>70</v>
      </c>
      <c r="J3983" t="s">
        <v>321</v>
      </c>
      <c r="K3983">
        <v>15.77</v>
      </c>
      <c r="L3983">
        <v>0.56999999999999995</v>
      </c>
      <c r="M3983" t="s">
        <v>171</v>
      </c>
      <c r="N3983">
        <v>1167</v>
      </c>
      <c r="R3983">
        <v>0.83</v>
      </c>
      <c r="S3983">
        <v>1.59</v>
      </c>
      <c r="V3983" t="s">
        <v>31512</v>
      </c>
      <c r="AA3983">
        <v>-0.05</v>
      </c>
      <c r="AB3983" t="s">
        <v>14219</v>
      </c>
      <c r="AC3983" t="s">
        <v>8766</v>
      </c>
      <c r="AE3983" t="s">
        <v>1772</v>
      </c>
      <c r="AF3983" t="s">
        <v>11663</v>
      </c>
      <c r="AG3983" t="s">
        <v>4647</v>
      </c>
      <c r="AH3983" t="s">
        <v>7390</v>
      </c>
      <c r="AJ3983" t="s">
        <v>164</v>
      </c>
      <c r="AK3983" t="s">
        <v>2201</v>
      </c>
      <c r="AL3983">
        <v>1.49</v>
      </c>
      <c r="AM3983">
        <v>0.49</v>
      </c>
      <c r="AN3983">
        <v>0.83</v>
      </c>
      <c r="AO3983" t="s">
        <v>7381</v>
      </c>
      <c r="AP3983" t="s">
        <v>2176</v>
      </c>
      <c r="AQ3983" t="s">
        <v>134</v>
      </c>
      <c r="AR3983" t="s">
        <v>723</v>
      </c>
      <c r="AS3983" t="s">
        <v>8372</v>
      </c>
      <c r="AT3983" t="s">
        <v>9087</v>
      </c>
      <c r="AU3983" t="s">
        <v>6157</v>
      </c>
      <c r="AV3983" t="s">
        <v>12039</v>
      </c>
      <c r="AW3983" t="s">
        <v>25166</v>
      </c>
      <c r="AX3983" t="s">
        <v>7295</v>
      </c>
      <c r="AY3983" t="s">
        <v>6634</v>
      </c>
      <c r="AZ3983" t="s">
        <v>22206</v>
      </c>
      <c r="BA3983">
        <v>1</v>
      </c>
      <c r="BB3983">
        <v>73.12</v>
      </c>
      <c r="BC3983">
        <v>0.06</v>
      </c>
      <c r="BD3983">
        <v>0.56999999999999995</v>
      </c>
      <c r="BE3983">
        <v>0.56000000000000005</v>
      </c>
      <c r="BF3983">
        <v>0.56000000000000005</v>
      </c>
      <c r="BG3983" t="s">
        <v>31513</v>
      </c>
      <c r="BH3983" t="s">
        <v>31514</v>
      </c>
      <c r="BI3983" t="s">
        <v>24156</v>
      </c>
      <c r="BJ3983" t="s">
        <v>101</v>
      </c>
      <c r="BK3983" t="s">
        <v>11703</v>
      </c>
      <c r="BL3983" t="s">
        <v>28004</v>
      </c>
      <c r="BM3983" t="s">
        <v>2177</v>
      </c>
      <c r="BN3983" t="s">
        <v>27621</v>
      </c>
    </row>
    <row r="3984" spans="1:66" x14ac:dyDescent="0.25">
      <c r="A3984" t="str">
        <f>HYPERLINK("https://elite.finviz.com/quote.ashx?t=IBOC&amp;ty=c&amp;p=d&amp;b=1", "IBOC")</f>
        <v>IBOC</v>
      </c>
      <c r="B3984">
        <v>4</v>
      </c>
      <c r="C3984">
        <v>105.92</v>
      </c>
      <c r="D3984">
        <v>46.31</v>
      </c>
      <c r="E3984" t="s">
        <v>31515</v>
      </c>
      <c r="F3984" t="s">
        <v>67</v>
      </c>
      <c r="G3984" t="s">
        <v>550</v>
      </c>
      <c r="H3984" t="s">
        <v>697</v>
      </c>
      <c r="I3984" t="s">
        <v>70</v>
      </c>
      <c r="J3984" t="s">
        <v>321</v>
      </c>
      <c r="K3984">
        <v>4311.79</v>
      </c>
      <c r="L3984">
        <v>69.37</v>
      </c>
      <c r="M3984" t="s">
        <v>4494</v>
      </c>
      <c r="N3984">
        <v>24606</v>
      </c>
      <c r="O3984">
        <v>10.49</v>
      </c>
      <c r="R3984">
        <v>4.1399999999999997</v>
      </c>
      <c r="S3984">
        <v>1.43</v>
      </c>
      <c r="T3984" t="s">
        <v>6692</v>
      </c>
      <c r="U3984">
        <v>1.4</v>
      </c>
      <c r="V3984" t="s">
        <v>3046</v>
      </c>
      <c r="W3984" t="s">
        <v>995</v>
      </c>
      <c r="X3984" t="s">
        <v>5370</v>
      </c>
      <c r="Y3984" t="s">
        <v>2235</v>
      </c>
      <c r="Z3984" t="s">
        <v>8533</v>
      </c>
      <c r="AA3984">
        <v>6.61</v>
      </c>
      <c r="AB3984" t="s">
        <v>10809</v>
      </c>
      <c r="AC3984" t="s">
        <v>16733</v>
      </c>
      <c r="AE3984" t="s">
        <v>3856</v>
      </c>
      <c r="AF3984" t="s">
        <v>8057</v>
      </c>
      <c r="AG3984" t="s">
        <v>6344</v>
      </c>
      <c r="AH3984" t="s">
        <v>6842</v>
      </c>
      <c r="AJ3984" t="s">
        <v>1225</v>
      </c>
      <c r="AK3984" t="s">
        <v>30874</v>
      </c>
      <c r="AL3984">
        <v>0.15</v>
      </c>
      <c r="AN3984">
        <v>0.26</v>
      </c>
      <c r="AP3984" t="s">
        <v>10650</v>
      </c>
      <c r="AQ3984" t="s">
        <v>14739</v>
      </c>
      <c r="AR3984" t="s">
        <v>2082</v>
      </c>
      <c r="AS3984" t="s">
        <v>910</v>
      </c>
      <c r="AT3984" t="s">
        <v>1510</v>
      </c>
      <c r="AU3984" t="s">
        <v>530</v>
      </c>
      <c r="AV3984" t="s">
        <v>1871</v>
      </c>
      <c r="AW3984" t="s">
        <v>2677</v>
      </c>
      <c r="AX3984" t="s">
        <v>246</v>
      </c>
      <c r="AY3984" t="s">
        <v>1884</v>
      </c>
      <c r="AZ3984" t="s">
        <v>10087</v>
      </c>
      <c r="BA3984">
        <v>3</v>
      </c>
      <c r="BB3984">
        <v>221.71</v>
      </c>
      <c r="BC3984">
        <v>0.39</v>
      </c>
      <c r="BD3984">
        <v>69.28</v>
      </c>
      <c r="BE3984">
        <v>69.88</v>
      </c>
      <c r="BF3984">
        <v>69.010000000000005</v>
      </c>
      <c r="BG3984" t="s">
        <v>31516</v>
      </c>
      <c r="BH3984" t="s">
        <v>1884</v>
      </c>
      <c r="BI3984" t="s">
        <v>31517</v>
      </c>
      <c r="BJ3984" t="s">
        <v>101</v>
      </c>
      <c r="BK3984" t="s">
        <v>3519</v>
      </c>
      <c r="BL3984" t="s">
        <v>4867</v>
      </c>
      <c r="BM3984" t="s">
        <v>11482</v>
      </c>
      <c r="BN3984" t="s">
        <v>27621</v>
      </c>
    </row>
    <row r="3985" spans="1:66" x14ac:dyDescent="0.25">
      <c r="A3985" t="str">
        <f>HYPERLINK("https://elite.finviz.com/quote.ashx?t=MTN&amp;ty=c&amp;p=d&amp;b=1", "MTN")</f>
        <v>MTN</v>
      </c>
      <c r="B3985">
        <v>4</v>
      </c>
      <c r="C3985">
        <v>105.92</v>
      </c>
      <c r="D3985">
        <v>46.36</v>
      </c>
      <c r="E3985" t="s">
        <v>31518</v>
      </c>
      <c r="F3985" t="s">
        <v>107</v>
      </c>
      <c r="G3985" t="s">
        <v>813</v>
      </c>
      <c r="H3985" t="s">
        <v>2763</v>
      </c>
      <c r="I3985" t="s">
        <v>70</v>
      </c>
      <c r="J3985" t="s">
        <v>71</v>
      </c>
      <c r="K3985">
        <v>5520.1</v>
      </c>
      <c r="L3985">
        <v>148.58000000000001</v>
      </c>
      <c r="M3985" t="s">
        <v>343</v>
      </c>
      <c r="N3985">
        <v>85508</v>
      </c>
      <c r="O3985">
        <v>19.010000000000002</v>
      </c>
      <c r="P3985">
        <v>19.309999999999999</v>
      </c>
      <c r="Q3985">
        <v>1.52</v>
      </c>
      <c r="R3985">
        <v>1.87</v>
      </c>
      <c r="S3985">
        <v>6.16</v>
      </c>
      <c r="T3985" t="s">
        <v>5152</v>
      </c>
      <c r="U3985">
        <v>8.8800000000000008</v>
      </c>
      <c r="V3985" t="s">
        <v>25161</v>
      </c>
      <c r="W3985" t="s">
        <v>2515</v>
      </c>
      <c r="Y3985" t="s">
        <v>2932</v>
      </c>
      <c r="Z3985" t="s">
        <v>31519</v>
      </c>
      <c r="AA3985">
        <v>7.81</v>
      </c>
      <c r="AB3985" t="s">
        <v>15766</v>
      </c>
      <c r="AC3985" t="s">
        <v>9600</v>
      </c>
      <c r="AD3985" t="s">
        <v>302</v>
      </c>
      <c r="AE3985" t="s">
        <v>4839</v>
      </c>
      <c r="AF3985" t="s">
        <v>5706</v>
      </c>
      <c r="AG3985" t="s">
        <v>246</v>
      </c>
      <c r="AH3985" t="s">
        <v>4759</v>
      </c>
      <c r="AI3985" t="s">
        <v>912</v>
      </c>
      <c r="AJ3985" t="s">
        <v>629</v>
      </c>
      <c r="AK3985" t="s">
        <v>31520</v>
      </c>
      <c r="AL3985">
        <v>0.61</v>
      </c>
      <c r="AM3985">
        <v>0.54</v>
      </c>
      <c r="AN3985">
        <v>3.3</v>
      </c>
      <c r="AO3985" t="s">
        <v>13585</v>
      </c>
      <c r="AP3985" t="s">
        <v>7206</v>
      </c>
      <c r="AQ3985" t="s">
        <v>9342</v>
      </c>
      <c r="AR3985" t="s">
        <v>451</v>
      </c>
      <c r="AS3985" t="s">
        <v>2643</v>
      </c>
      <c r="AT3985" t="s">
        <v>4938</v>
      </c>
      <c r="AU3985" t="s">
        <v>2218</v>
      </c>
      <c r="AV3985" t="s">
        <v>6538</v>
      </c>
      <c r="AW3985" t="s">
        <v>8794</v>
      </c>
      <c r="AX3985" t="s">
        <v>1453</v>
      </c>
      <c r="AY3985" t="s">
        <v>25764</v>
      </c>
      <c r="AZ3985" t="s">
        <v>9122</v>
      </c>
      <c r="BA3985">
        <v>2.46</v>
      </c>
      <c r="BB3985">
        <v>597.01</v>
      </c>
      <c r="BC3985">
        <v>0.5</v>
      </c>
      <c r="BD3985">
        <v>146.78</v>
      </c>
      <c r="BE3985">
        <v>149.65</v>
      </c>
      <c r="BF3985">
        <v>147.25</v>
      </c>
      <c r="BG3985" t="s">
        <v>31521</v>
      </c>
      <c r="BH3985" t="s">
        <v>31522</v>
      </c>
      <c r="BI3985" t="s">
        <v>31523</v>
      </c>
      <c r="BJ3985" t="s">
        <v>101</v>
      </c>
      <c r="BK3985" t="s">
        <v>15594</v>
      </c>
      <c r="BL3985" t="s">
        <v>18212</v>
      </c>
      <c r="BM3985" t="s">
        <v>24519</v>
      </c>
      <c r="BN3985" t="s">
        <v>27621</v>
      </c>
    </row>
    <row r="3986" spans="1:66" x14ac:dyDescent="0.25">
      <c r="A3986" t="str">
        <f>HYPERLINK("https://elite.finviz.com/quote.ashx?t=NCPL&amp;ty=c&amp;p=d&amp;b=1", "NCPL")</f>
        <v>NCPL</v>
      </c>
      <c r="B3986">
        <v>4</v>
      </c>
      <c r="C3986">
        <v>105.92</v>
      </c>
      <c r="D3986">
        <v>46.38</v>
      </c>
      <c r="E3986" t="s">
        <v>31524</v>
      </c>
      <c r="F3986" t="s">
        <v>107</v>
      </c>
      <c r="G3986" t="s">
        <v>550</v>
      </c>
      <c r="H3986" t="s">
        <v>551</v>
      </c>
      <c r="I3986" t="s">
        <v>70</v>
      </c>
      <c r="J3986" t="s">
        <v>321</v>
      </c>
      <c r="K3986">
        <v>11.22</v>
      </c>
      <c r="L3986">
        <v>2.2799999999999998</v>
      </c>
      <c r="M3986" t="s">
        <v>3005</v>
      </c>
      <c r="N3986">
        <v>56306</v>
      </c>
      <c r="R3986">
        <v>12.19</v>
      </c>
      <c r="S3986">
        <v>0.47</v>
      </c>
      <c r="AA3986">
        <v>-14.55</v>
      </c>
      <c r="AE3986" t="s">
        <v>14351</v>
      </c>
      <c r="AF3986" t="s">
        <v>24627</v>
      </c>
      <c r="AG3986" t="s">
        <v>8048</v>
      </c>
      <c r="AH3986" t="s">
        <v>18015</v>
      </c>
      <c r="AJ3986" t="s">
        <v>164</v>
      </c>
      <c r="AK3986" t="s">
        <v>521</v>
      </c>
      <c r="AL3986">
        <v>1.04</v>
      </c>
      <c r="AM3986">
        <v>1.04</v>
      </c>
      <c r="AN3986">
        <v>0.13</v>
      </c>
      <c r="AO3986" t="s">
        <v>31525</v>
      </c>
      <c r="AP3986" t="s">
        <v>31526</v>
      </c>
      <c r="AQ3986" t="s">
        <v>31527</v>
      </c>
      <c r="AR3986" t="s">
        <v>4077</v>
      </c>
      <c r="AS3986" t="s">
        <v>6456</v>
      </c>
      <c r="AT3986" t="s">
        <v>1902</v>
      </c>
      <c r="AU3986" t="s">
        <v>7439</v>
      </c>
      <c r="AV3986" t="s">
        <v>19766</v>
      </c>
      <c r="AW3986" t="s">
        <v>7805</v>
      </c>
      <c r="AX3986" t="s">
        <v>6260</v>
      </c>
      <c r="AY3986" t="s">
        <v>30872</v>
      </c>
      <c r="AZ3986" t="s">
        <v>22664</v>
      </c>
      <c r="BA3986">
        <v>1</v>
      </c>
      <c r="BB3986">
        <v>439.19</v>
      </c>
      <c r="BC3986">
        <v>0.46</v>
      </c>
      <c r="BD3986">
        <v>2.37</v>
      </c>
      <c r="BE3986">
        <v>2.37</v>
      </c>
      <c r="BF3986">
        <v>2.2599999999999998</v>
      </c>
      <c r="BG3986" t="s">
        <v>31528</v>
      </c>
      <c r="BH3986" t="s">
        <v>579</v>
      </c>
      <c r="BI3986" t="s">
        <v>22664</v>
      </c>
      <c r="BJ3986" t="s">
        <v>101</v>
      </c>
      <c r="BK3986" t="s">
        <v>21750</v>
      </c>
      <c r="BL3986" t="s">
        <v>14244</v>
      </c>
      <c r="BM3986" t="s">
        <v>13714</v>
      </c>
      <c r="BN3986" t="s">
        <v>27621</v>
      </c>
    </row>
    <row r="3987" spans="1:66" x14ac:dyDescent="0.25">
      <c r="A3987" t="str">
        <f>HYPERLINK("https://elite.finviz.com/quote.ashx?t=NTRP&amp;ty=c&amp;p=d&amp;b=1", "NTRP")</f>
        <v>NTRP</v>
      </c>
      <c r="B3987">
        <v>4</v>
      </c>
      <c r="C3987">
        <v>105.92</v>
      </c>
      <c r="D3987">
        <v>46.39</v>
      </c>
      <c r="E3987" t="s">
        <v>31529</v>
      </c>
      <c r="F3987" t="s">
        <v>107</v>
      </c>
      <c r="G3987" t="s">
        <v>813</v>
      </c>
      <c r="H3987" t="s">
        <v>1997</v>
      </c>
      <c r="I3987" t="s">
        <v>70</v>
      </c>
      <c r="J3987" t="s">
        <v>321</v>
      </c>
      <c r="K3987">
        <v>28.8</v>
      </c>
      <c r="L3987">
        <v>3.59</v>
      </c>
      <c r="M3987" t="s">
        <v>5859</v>
      </c>
      <c r="N3987">
        <v>5223</v>
      </c>
      <c r="R3987">
        <v>64</v>
      </c>
      <c r="S3987">
        <v>4.1399999999999997</v>
      </c>
      <c r="AA3987">
        <v>-4.97</v>
      </c>
      <c r="AB3987" t="s">
        <v>9309</v>
      </c>
      <c r="AC3987" t="s">
        <v>14164</v>
      </c>
      <c r="AF3987" t="s">
        <v>30641</v>
      </c>
      <c r="AG3987" t="s">
        <v>8229</v>
      </c>
      <c r="AH3987" t="s">
        <v>8145</v>
      </c>
      <c r="AJ3987" t="s">
        <v>2275</v>
      </c>
      <c r="AK3987" t="s">
        <v>4849</v>
      </c>
      <c r="AL3987">
        <v>0.57999999999999996</v>
      </c>
      <c r="AM3987">
        <v>0.57999999999999996</v>
      </c>
      <c r="AN3987">
        <v>0.35</v>
      </c>
      <c r="AO3987" t="s">
        <v>31530</v>
      </c>
      <c r="AP3987" t="s">
        <v>31531</v>
      </c>
      <c r="AQ3987" t="s">
        <v>31532</v>
      </c>
      <c r="AR3987" t="s">
        <v>616</v>
      </c>
      <c r="AS3987" t="s">
        <v>262</v>
      </c>
      <c r="AT3987" t="s">
        <v>6345</v>
      </c>
      <c r="AU3987" t="s">
        <v>4691</v>
      </c>
      <c r="AV3987" t="s">
        <v>10666</v>
      </c>
      <c r="AW3987" t="s">
        <v>7844</v>
      </c>
      <c r="AX3987" t="s">
        <v>8530</v>
      </c>
      <c r="AY3987" t="s">
        <v>20471</v>
      </c>
      <c r="AZ3987" t="s">
        <v>31533</v>
      </c>
      <c r="BA3987">
        <v>1</v>
      </c>
      <c r="BB3987">
        <v>22.02</v>
      </c>
      <c r="BC3987">
        <v>0.84</v>
      </c>
      <c r="BD3987">
        <v>3.4</v>
      </c>
      <c r="BE3987">
        <v>3.65</v>
      </c>
      <c r="BF3987">
        <v>3.39</v>
      </c>
      <c r="BG3987" t="s">
        <v>31534</v>
      </c>
      <c r="BH3987" t="s">
        <v>3320</v>
      </c>
      <c r="BJ3987" t="s">
        <v>101</v>
      </c>
      <c r="BK3987" t="s">
        <v>4891</v>
      </c>
      <c r="BL3987" t="s">
        <v>17847</v>
      </c>
      <c r="BM3987" t="s">
        <v>8844</v>
      </c>
      <c r="BN3987" t="s">
        <v>27621</v>
      </c>
    </row>
    <row r="3988" spans="1:66" x14ac:dyDescent="0.25">
      <c r="A3988" t="str">
        <f>HYPERLINK("https://elite.finviz.com/quote.ashx?t=FONR&amp;ty=c&amp;p=d&amp;b=1", "FONR")</f>
        <v>FONR</v>
      </c>
      <c r="B3988">
        <v>4</v>
      </c>
      <c r="C3988">
        <v>105.92</v>
      </c>
      <c r="D3988">
        <v>46.4</v>
      </c>
      <c r="E3988" t="s">
        <v>31535</v>
      </c>
      <c r="F3988" t="s">
        <v>107</v>
      </c>
      <c r="G3988" t="s">
        <v>428</v>
      </c>
      <c r="H3988" t="s">
        <v>4202</v>
      </c>
      <c r="I3988" t="s">
        <v>70</v>
      </c>
      <c r="J3988" t="s">
        <v>321</v>
      </c>
      <c r="K3988">
        <v>96.69</v>
      </c>
      <c r="L3988">
        <v>15.32</v>
      </c>
      <c r="M3988" t="s">
        <v>4782</v>
      </c>
      <c r="N3988">
        <v>1132</v>
      </c>
      <c r="O3988">
        <v>12.49</v>
      </c>
      <c r="R3988">
        <v>0.93</v>
      </c>
      <c r="S3988">
        <v>0.56000000000000005</v>
      </c>
      <c r="Z3988" t="s">
        <v>164</v>
      </c>
      <c r="AA3988">
        <v>1.23</v>
      </c>
      <c r="AB3988" t="s">
        <v>1828</v>
      </c>
      <c r="AC3988" t="s">
        <v>3493</v>
      </c>
      <c r="AE3988" t="s">
        <v>6829</v>
      </c>
      <c r="AF3988" t="s">
        <v>1599</v>
      </c>
      <c r="AG3988" t="s">
        <v>289</v>
      </c>
      <c r="AH3988" t="s">
        <v>2316</v>
      </c>
      <c r="AJ3988" t="s">
        <v>164</v>
      </c>
      <c r="AK3988" t="s">
        <v>31536</v>
      </c>
      <c r="AL3988">
        <v>8.4499999999999993</v>
      </c>
      <c r="AM3988">
        <v>8.2799999999999994</v>
      </c>
      <c r="AN3988">
        <v>0.23</v>
      </c>
      <c r="AO3988" t="s">
        <v>15850</v>
      </c>
      <c r="AP3988" t="s">
        <v>821</v>
      </c>
      <c r="AQ3988" t="s">
        <v>438</v>
      </c>
      <c r="AR3988" t="s">
        <v>3118</v>
      </c>
      <c r="AS3988" t="s">
        <v>7338</v>
      </c>
      <c r="AT3988" t="s">
        <v>3940</v>
      </c>
      <c r="AU3988" t="s">
        <v>3937</v>
      </c>
      <c r="AV3988" t="s">
        <v>2472</v>
      </c>
      <c r="AW3988" t="s">
        <v>14672</v>
      </c>
      <c r="AX3988" t="s">
        <v>2195</v>
      </c>
      <c r="AY3988" t="s">
        <v>8999</v>
      </c>
      <c r="AZ3988" t="s">
        <v>9081</v>
      </c>
      <c r="BB3988">
        <v>18.91</v>
      </c>
      <c r="BC3988">
        <v>0.21</v>
      </c>
      <c r="BD3988">
        <v>15.22</v>
      </c>
      <c r="BE3988">
        <v>15.14</v>
      </c>
      <c r="BF3988">
        <v>15.13</v>
      </c>
      <c r="BG3988" t="s">
        <v>31537</v>
      </c>
      <c r="BH3988" t="s">
        <v>31538</v>
      </c>
      <c r="BI3988" t="s">
        <v>31539</v>
      </c>
      <c r="BJ3988" t="s">
        <v>101</v>
      </c>
      <c r="BK3988" t="s">
        <v>2383</v>
      </c>
      <c r="BL3988" t="s">
        <v>4518</v>
      </c>
      <c r="BM3988" t="s">
        <v>8974</v>
      </c>
      <c r="BN3988" t="s">
        <v>27621</v>
      </c>
    </row>
    <row r="3989" spans="1:66" x14ac:dyDescent="0.25">
      <c r="A3989" t="str">
        <f>HYPERLINK("https://elite.finviz.com/quote.ashx?t=STRT&amp;ty=c&amp;p=d&amp;b=1", "STRT")</f>
        <v>STRT</v>
      </c>
      <c r="B3989">
        <v>4</v>
      </c>
      <c r="C3989">
        <v>105.92</v>
      </c>
      <c r="D3989">
        <v>46.42</v>
      </c>
      <c r="E3989" t="s">
        <v>31540</v>
      </c>
      <c r="F3989" t="s">
        <v>67</v>
      </c>
      <c r="G3989" t="s">
        <v>813</v>
      </c>
      <c r="H3989" t="s">
        <v>814</v>
      </c>
      <c r="I3989" t="s">
        <v>70</v>
      </c>
      <c r="J3989" t="s">
        <v>321</v>
      </c>
      <c r="K3989">
        <v>277.39</v>
      </c>
      <c r="L3989">
        <v>66.680000000000007</v>
      </c>
      <c r="M3989" t="s">
        <v>2426</v>
      </c>
      <c r="N3989">
        <v>6076</v>
      </c>
      <c r="O3989">
        <v>14.58</v>
      </c>
      <c r="P3989">
        <v>10.66</v>
      </c>
      <c r="Q3989">
        <v>0.65</v>
      </c>
      <c r="R3989">
        <v>0.49</v>
      </c>
      <c r="S3989">
        <v>1.22</v>
      </c>
      <c r="V3989" t="s">
        <v>26790</v>
      </c>
      <c r="Z3989" t="s">
        <v>164</v>
      </c>
      <c r="AA3989">
        <v>4.57</v>
      </c>
      <c r="AB3989" t="s">
        <v>3603</v>
      </c>
      <c r="AD3989" t="s">
        <v>5794</v>
      </c>
      <c r="AE3989" t="s">
        <v>3855</v>
      </c>
      <c r="AF3989" t="s">
        <v>2450</v>
      </c>
      <c r="AG3989" t="s">
        <v>710</v>
      </c>
      <c r="AH3989" t="s">
        <v>3506</v>
      </c>
      <c r="AI3989" t="s">
        <v>31541</v>
      </c>
      <c r="AJ3989" t="s">
        <v>10983</v>
      </c>
      <c r="AK3989" t="s">
        <v>29986</v>
      </c>
      <c r="AL3989">
        <v>2.4300000000000002</v>
      </c>
      <c r="AM3989">
        <v>1.89</v>
      </c>
      <c r="AN3989">
        <v>0.05</v>
      </c>
      <c r="AO3989" t="s">
        <v>3734</v>
      </c>
      <c r="AP3989" t="s">
        <v>2419</v>
      </c>
      <c r="AQ3989" t="s">
        <v>6770</v>
      </c>
      <c r="AR3989" t="s">
        <v>3521</v>
      </c>
      <c r="AS3989" t="s">
        <v>4795</v>
      </c>
      <c r="AT3989" t="s">
        <v>5824</v>
      </c>
      <c r="AU3989" t="s">
        <v>298</v>
      </c>
      <c r="AV3989" t="s">
        <v>7026</v>
      </c>
      <c r="AW3989" t="s">
        <v>19360</v>
      </c>
      <c r="AX3989" t="s">
        <v>5551</v>
      </c>
      <c r="AY3989" t="s">
        <v>19360</v>
      </c>
      <c r="AZ3989" t="s">
        <v>29699</v>
      </c>
      <c r="BA3989">
        <v>1</v>
      </c>
      <c r="BB3989">
        <v>106.9</v>
      </c>
      <c r="BC3989">
        <v>0.2</v>
      </c>
      <c r="BD3989">
        <v>66.989999999999995</v>
      </c>
      <c r="BE3989">
        <v>67.19</v>
      </c>
      <c r="BF3989">
        <v>66.67</v>
      </c>
      <c r="BG3989" t="s">
        <v>31542</v>
      </c>
      <c r="BH3989" t="s">
        <v>8140</v>
      </c>
      <c r="BI3989" t="s">
        <v>31543</v>
      </c>
      <c r="BJ3989" t="s">
        <v>101</v>
      </c>
      <c r="BK3989" t="s">
        <v>5212</v>
      </c>
      <c r="BL3989" t="s">
        <v>21951</v>
      </c>
      <c r="BM3989" t="s">
        <v>4942</v>
      </c>
      <c r="BN3989" t="s">
        <v>27621</v>
      </c>
    </row>
    <row r="3990" spans="1:66" x14ac:dyDescent="0.25">
      <c r="A3990" t="str">
        <f>HYPERLINK("https://elite.finviz.com/quote.ashx?t=WSO&amp;ty=c&amp;p=d&amp;b=1", "WSO")</f>
        <v>WSO</v>
      </c>
      <c r="B3990">
        <v>4</v>
      </c>
      <c r="C3990">
        <v>105.92</v>
      </c>
      <c r="D3990">
        <v>46.44</v>
      </c>
      <c r="E3990" t="s">
        <v>31544</v>
      </c>
      <c r="F3990" t="s">
        <v>107</v>
      </c>
      <c r="G3990" t="s">
        <v>260</v>
      </c>
      <c r="H3990" t="s">
        <v>8107</v>
      </c>
      <c r="I3990" t="s">
        <v>70</v>
      </c>
      <c r="J3990" t="s">
        <v>71</v>
      </c>
      <c r="K3990">
        <v>16124.22</v>
      </c>
      <c r="L3990">
        <v>395.69</v>
      </c>
      <c r="M3990" t="s">
        <v>1657</v>
      </c>
      <c r="N3990">
        <v>48492</v>
      </c>
      <c r="O3990">
        <v>30.29</v>
      </c>
      <c r="P3990">
        <v>27.01</v>
      </c>
      <c r="Q3990">
        <v>4.55</v>
      </c>
      <c r="R3990">
        <v>2.15</v>
      </c>
      <c r="S3990">
        <v>5.23</v>
      </c>
      <c r="T3990" t="s">
        <v>4658</v>
      </c>
      <c r="U3990">
        <v>11.4</v>
      </c>
      <c r="V3990" t="s">
        <v>18335</v>
      </c>
      <c r="W3990" t="s">
        <v>3468</v>
      </c>
      <c r="X3990" t="s">
        <v>292</v>
      </c>
      <c r="Y3990" t="s">
        <v>3553</v>
      </c>
      <c r="Z3990" t="s">
        <v>31545</v>
      </c>
      <c r="AA3990">
        <v>13.06</v>
      </c>
      <c r="AB3990" t="s">
        <v>296</v>
      </c>
      <c r="AC3990" t="s">
        <v>5468</v>
      </c>
      <c r="AD3990" t="s">
        <v>8593</v>
      </c>
      <c r="AE3990" t="s">
        <v>5055</v>
      </c>
      <c r="AF3990" t="s">
        <v>6330</v>
      </c>
      <c r="AG3990" t="s">
        <v>9342</v>
      </c>
      <c r="AH3990" t="s">
        <v>9279</v>
      </c>
      <c r="AI3990" t="s">
        <v>8470</v>
      </c>
      <c r="AJ3990" t="s">
        <v>3227</v>
      </c>
      <c r="AK3990" t="s">
        <v>719</v>
      </c>
      <c r="AL3990">
        <v>3.08</v>
      </c>
      <c r="AM3990">
        <v>1.26</v>
      </c>
      <c r="AN3990">
        <v>0.16</v>
      </c>
      <c r="AO3990" t="s">
        <v>18109</v>
      </c>
      <c r="AP3990" t="s">
        <v>1066</v>
      </c>
      <c r="AQ3990" t="s">
        <v>3429</v>
      </c>
      <c r="AR3990" t="s">
        <v>3208</v>
      </c>
      <c r="AS3990" t="s">
        <v>2619</v>
      </c>
      <c r="AT3990" t="s">
        <v>439</v>
      </c>
      <c r="AU3990" t="s">
        <v>15506</v>
      </c>
      <c r="AV3990" t="s">
        <v>27485</v>
      </c>
      <c r="AW3990" t="s">
        <v>7719</v>
      </c>
      <c r="AX3990" t="s">
        <v>4052</v>
      </c>
      <c r="AY3990" t="s">
        <v>2353</v>
      </c>
      <c r="AZ3990" t="s">
        <v>4052</v>
      </c>
      <c r="BA3990">
        <v>2.78</v>
      </c>
      <c r="BB3990">
        <v>395.79</v>
      </c>
      <c r="BC3990">
        <v>0.43</v>
      </c>
      <c r="BD3990">
        <v>393.75</v>
      </c>
      <c r="BE3990">
        <v>398.77</v>
      </c>
      <c r="BF3990">
        <v>391.52</v>
      </c>
      <c r="BG3990" t="s">
        <v>31546</v>
      </c>
      <c r="BH3990" t="s">
        <v>2353</v>
      </c>
      <c r="BI3990" t="s">
        <v>31547</v>
      </c>
      <c r="BJ3990" t="s">
        <v>101</v>
      </c>
      <c r="BK3990" t="s">
        <v>19376</v>
      </c>
      <c r="BL3990" t="s">
        <v>12663</v>
      </c>
      <c r="BM3990" t="s">
        <v>2914</v>
      </c>
      <c r="BN3990" t="s">
        <v>27621</v>
      </c>
    </row>
    <row r="3991" spans="1:66" x14ac:dyDescent="0.25">
      <c r="A3991" t="str">
        <f>HYPERLINK("https://elite.finviz.com/quote.ashx?t=RBC&amp;ty=c&amp;p=d&amp;b=1", "RBC")</f>
        <v>RBC</v>
      </c>
      <c r="B3991">
        <v>4</v>
      </c>
      <c r="C3991">
        <v>105.92</v>
      </c>
      <c r="D3991">
        <v>46.44</v>
      </c>
      <c r="E3991" t="s">
        <v>31548</v>
      </c>
      <c r="F3991" t="s">
        <v>107</v>
      </c>
      <c r="G3991" t="s">
        <v>260</v>
      </c>
      <c r="H3991" t="s">
        <v>16076</v>
      </c>
      <c r="I3991" t="s">
        <v>70</v>
      </c>
      <c r="J3991" t="s">
        <v>71</v>
      </c>
      <c r="K3991">
        <v>12031.66</v>
      </c>
      <c r="L3991">
        <v>381.2</v>
      </c>
      <c r="M3991" t="s">
        <v>8228</v>
      </c>
      <c r="N3991">
        <v>14723</v>
      </c>
      <c r="O3991">
        <v>47.94</v>
      </c>
      <c r="P3991">
        <v>28.91</v>
      </c>
      <c r="Q3991">
        <v>3.46</v>
      </c>
      <c r="R3991">
        <v>7.22</v>
      </c>
      <c r="S3991">
        <v>3.86</v>
      </c>
      <c r="Z3991" t="s">
        <v>164</v>
      </c>
      <c r="AA3991">
        <v>7.95</v>
      </c>
      <c r="AB3991" t="s">
        <v>31549</v>
      </c>
      <c r="AC3991" t="s">
        <v>2250</v>
      </c>
      <c r="AD3991" t="s">
        <v>340</v>
      </c>
      <c r="AE3991" t="s">
        <v>7682</v>
      </c>
      <c r="AF3991" t="s">
        <v>11212</v>
      </c>
      <c r="AG3991" t="s">
        <v>3117</v>
      </c>
      <c r="AH3991" t="s">
        <v>5151</v>
      </c>
      <c r="AI3991" t="s">
        <v>975</v>
      </c>
      <c r="AJ3991" t="s">
        <v>25156</v>
      </c>
      <c r="AK3991" t="s">
        <v>24095</v>
      </c>
      <c r="AL3991">
        <v>3.33</v>
      </c>
      <c r="AM3991">
        <v>1.33</v>
      </c>
      <c r="AN3991">
        <v>0.31</v>
      </c>
      <c r="AO3991" t="s">
        <v>2512</v>
      </c>
      <c r="AP3991" t="s">
        <v>16257</v>
      </c>
      <c r="AQ3991" t="s">
        <v>4941</v>
      </c>
      <c r="AR3991" t="s">
        <v>4276</v>
      </c>
      <c r="AS3991" t="s">
        <v>5660</v>
      </c>
      <c r="AT3991" t="s">
        <v>3890</v>
      </c>
      <c r="AU3991" t="s">
        <v>7332</v>
      </c>
      <c r="AV3991" t="s">
        <v>4999</v>
      </c>
      <c r="AW3991" t="s">
        <v>6660</v>
      </c>
      <c r="AX3991" t="s">
        <v>2473</v>
      </c>
      <c r="AY3991" t="s">
        <v>6660</v>
      </c>
      <c r="AZ3991" t="s">
        <v>25003</v>
      </c>
      <c r="BA3991">
        <v>1.67</v>
      </c>
      <c r="BB3991">
        <v>178.67</v>
      </c>
      <c r="BC3991">
        <v>0.28999999999999998</v>
      </c>
      <c r="BD3991">
        <v>379.44</v>
      </c>
      <c r="BE3991">
        <v>383.02</v>
      </c>
      <c r="BF3991">
        <v>377.08</v>
      </c>
      <c r="BG3991" t="s">
        <v>31550</v>
      </c>
      <c r="BH3991" t="s">
        <v>6660</v>
      </c>
      <c r="BI3991" t="s">
        <v>31551</v>
      </c>
      <c r="BJ3991" t="s">
        <v>101</v>
      </c>
      <c r="BK3991" t="s">
        <v>3227</v>
      </c>
      <c r="BL3991" t="s">
        <v>1581</v>
      </c>
      <c r="BM3991" t="s">
        <v>9107</v>
      </c>
      <c r="BN3991" t="s">
        <v>27621</v>
      </c>
    </row>
    <row r="3992" spans="1:66" x14ac:dyDescent="0.25">
      <c r="A3992" t="str">
        <f>HYPERLINK("https://elite.finviz.com/quote.ashx?t=NWTG&amp;ty=c&amp;p=d&amp;b=1", "NWTG")</f>
        <v>NWTG</v>
      </c>
      <c r="B3992">
        <v>4</v>
      </c>
      <c r="C3992">
        <v>105.92</v>
      </c>
      <c r="D3992">
        <v>46.45</v>
      </c>
      <c r="E3992" t="s">
        <v>31552</v>
      </c>
      <c r="F3992" t="s">
        <v>107</v>
      </c>
      <c r="G3992" t="s">
        <v>813</v>
      </c>
      <c r="H3992" t="s">
        <v>5941</v>
      </c>
      <c r="I3992" t="s">
        <v>70</v>
      </c>
      <c r="J3992" t="s">
        <v>321</v>
      </c>
      <c r="K3992">
        <v>8.39</v>
      </c>
      <c r="L3992">
        <v>1.82</v>
      </c>
      <c r="M3992" t="s">
        <v>9511</v>
      </c>
      <c r="N3992">
        <v>26926</v>
      </c>
      <c r="R3992">
        <v>1.51</v>
      </c>
      <c r="S3992">
        <v>1.88</v>
      </c>
      <c r="AA3992">
        <v>-27.61</v>
      </c>
      <c r="AB3992" t="s">
        <v>31553</v>
      </c>
      <c r="AC3992" t="s">
        <v>31554</v>
      </c>
      <c r="AE3992" t="s">
        <v>31555</v>
      </c>
      <c r="AF3992" t="s">
        <v>31556</v>
      </c>
      <c r="AG3992" t="s">
        <v>28568</v>
      </c>
      <c r="AH3992" t="s">
        <v>31557</v>
      </c>
      <c r="AI3992" t="s">
        <v>21773</v>
      </c>
      <c r="AJ3992" t="s">
        <v>31558</v>
      </c>
      <c r="AK3992" t="s">
        <v>2619</v>
      </c>
      <c r="AL3992">
        <v>2.66</v>
      </c>
      <c r="AM3992">
        <v>2.16</v>
      </c>
      <c r="AN3992">
        <v>0.02</v>
      </c>
      <c r="AO3992" t="s">
        <v>12615</v>
      </c>
      <c r="AP3992" t="s">
        <v>31559</v>
      </c>
      <c r="AQ3992" t="s">
        <v>31560</v>
      </c>
      <c r="AR3992" t="s">
        <v>4128</v>
      </c>
      <c r="AS3992" t="s">
        <v>238</v>
      </c>
      <c r="AT3992" t="s">
        <v>2162</v>
      </c>
      <c r="AU3992" t="s">
        <v>8357</v>
      </c>
      <c r="AV3992" t="s">
        <v>29076</v>
      </c>
      <c r="AW3992" t="s">
        <v>17088</v>
      </c>
      <c r="AX3992" t="s">
        <v>6809</v>
      </c>
      <c r="AY3992" t="s">
        <v>15568</v>
      </c>
      <c r="AZ3992" t="s">
        <v>9776</v>
      </c>
      <c r="BB3992">
        <v>148.51</v>
      </c>
      <c r="BC3992">
        <v>0.64</v>
      </c>
      <c r="BD3992">
        <v>1.85</v>
      </c>
      <c r="BE3992">
        <v>1.87</v>
      </c>
      <c r="BF3992">
        <v>1.8</v>
      </c>
      <c r="BG3992" t="s">
        <v>31561</v>
      </c>
      <c r="BH3992" t="s">
        <v>3265</v>
      </c>
      <c r="BI3992" t="s">
        <v>9776</v>
      </c>
      <c r="BJ3992" t="s">
        <v>101</v>
      </c>
      <c r="BK3992" t="s">
        <v>17690</v>
      </c>
      <c r="BL3992" t="s">
        <v>6226</v>
      </c>
      <c r="BM3992" t="s">
        <v>20394</v>
      </c>
      <c r="BN3992" t="s">
        <v>27621</v>
      </c>
    </row>
    <row r="3993" spans="1:66" x14ac:dyDescent="0.25">
      <c r="A3993" t="str">
        <f>HYPERLINK("https://elite.finviz.com/quote.ashx?t=SIEB&amp;ty=c&amp;p=d&amp;b=1", "SIEB")</f>
        <v>SIEB</v>
      </c>
      <c r="B3993">
        <v>4</v>
      </c>
      <c r="C3993">
        <v>105.92</v>
      </c>
      <c r="D3993">
        <v>46.45</v>
      </c>
      <c r="E3993" t="s">
        <v>31562</v>
      </c>
      <c r="F3993" t="s">
        <v>67</v>
      </c>
      <c r="G3993" t="s">
        <v>550</v>
      </c>
      <c r="H3993" t="s">
        <v>551</v>
      </c>
      <c r="I3993" t="s">
        <v>70</v>
      </c>
      <c r="J3993" t="s">
        <v>321</v>
      </c>
      <c r="K3993">
        <v>118.05</v>
      </c>
      <c r="L3993">
        <v>2.92</v>
      </c>
      <c r="M3993" t="s">
        <v>5058</v>
      </c>
      <c r="N3993">
        <v>5132</v>
      </c>
      <c r="O3993">
        <v>12.29</v>
      </c>
      <c r="R3993">
        <v>1.37</v>
      </c>
      <c r="S3993">
        <v>1.33</v>
      </c>
      <c r="V3993" t="s">
        <v>31563</v>
      </c>
      <c r="Z3993" t="s">
        <v>164</v>
      </c>
      <c r="AA3993">
        <v>0.24</v>
      </c>
      <c r="AB3993" t="s">
        <v>9223</v>
      </c>
      <c r="AC3993" t="s">
        <v>17690</v>
      </c>
      <c r="AE3993" t="s">
        <v>268</v>
      </c>
      <c r="AF3993" t="s">
        <v>2378</v>
      </c>
      <c r="AG3993" t="s">
        <v>9122</v>
      </c>
      <c r="AH3993" t="s">
        <v>25646</v>
      </c>
      <c r="AJ3993" t="s">
        <v>164</v>
      </c>
      <c r="AK3993" t="s">
        <v>484</v>
      </c>
      <c r="AL3993">
        <v>0.62</v>
      </c>
      <c r="AM3993">
        <v>0.62</v>
      </c>
      <c r="AN3993">
        <v>0.09</v>
      </c>
      <c r="AO3993" t="s">
        <v>21979</v>
      </c>
      <c r="AP3993" t="s">
        <v>3290</v>
      </c>
      <c r="AQ3993" t="s">
        <v>5265</v>
      </c>
      <c r="AR3993" t="s">
        <v>4957</v>
      </c>
      <c r="AS3993" t="s">
        <v>2066</v>
      </c>
      <c r="AT3993" t="s">
        <v>5111</v>
      </c>
      <c r="AU3993" t="s">
        <v>2813</v>
      </c>
      <c r="AV3993" t="s">
        <v>19806</v>
      </c>
      <c r="AW3993" t="s">
        <v>14280</v>
      </c>
      <c r="AX3993" t="s">
        <v>14815</v>
      </c>
      <c r="AY3993" t="s">
        <v>31564</v>
      </c>
      <c r="AZ3993" t="s">
        <v>12926</v>
      </c>
      <c r="BB3993">
        <v>107.29</v>
      </c>
      <c r="BC3993">
        <v>0.17</v>
      </c>
      <c r="BD3993">
        <v>2.88</v>
      </c>
      <c r="BE3993">
        <v>2.92</v>
      </c>
      <c r="BF3993">
        <v>2.88</v>
      </c>
      <c r="BG3993" t="s">
        <v>31565</v>
      </c>
      <c r="BH3993" t="s">
        <v>30048</v>
      </c>
      <c r="BI3993" t="s">
        <v>31566</v>
      </c>
      <c r="BJ3993" t="s">
        <v>101</v>
      </c>
      <c r="BK3993" t="s">
        <v>16204</v>
      </c>
      <c r="BL3993" t="s">
        <v>316</v>
      </c>
      <c r="BM3993" t="s">
        <v>6044</v>
      </c>
      <c r="BN3993" t="s">
        <v>27621</v>
      </c>
    </row>
    <row r="3994" spans="1:66" x14ac:dyDescent="0.25">
      <c r="A3994" t="str">
        <f>HYPERLINK("https://elite.finviz.com/quote.ashx?t=PESI&amp;ty=c&amp;p=d&amp;b=1", "PESI")</f>
        <v>PESI</v>
      </c>
      <c r="B3994">
        <v>4</v>
      </c>
      <c r="C3994">
        <v>105.92</v>
      </c>
      <c r="D3994">
        <v>46.46</v>
      </c>
      <c r="E3994" t="s">
        <v>31567</v>
      </c>
      <c r="F3994" t="s">
        <v>67</v>
      </c>
      <c r="G3994" t="s">
        <v>260</v>
      </c>
      <c r="H3994" t="s">
        <v>1573</v>
      </c>
      <c r="I3994" t="s">
        <v>70</v>
      </c>
      <c r="J3994" t="s">
        <v>321</v>
      </c>
      <c r="K3994">
        <v>180.82</v>
      </c>
      <c r="L3994">
        <v>9.7899999999999991</v>
      </c>
      <c r="M3994" t="s">
        <v>3757</v>
      </c>
      <c r="N3994">
        <v>22653</v>
      </c>
      <c r="P3994">
        <v>20.83</v>
      </c>
      <c r="R3994">
        <v>3.01</v>
      </c>
      <c r="S3994">
        <v>3.18</v>
      </c>
      <c r="AA3994">
        <v>-1.1200000000000001</v>
      </c>
      <c r="AE3994" t="s">
        <v>8900</v>
      </c>
      <c r="AF3994" t="s">
        <v>7383</v>
      </c>
      <c r="AG3994" t="s">
        <v>2814</v>
      </c>
      <c r="AH3994" t="s">
        <v>5672</v>
      </c>
      <c r="AI3994" t="s">
        <v>164</v>
      </c>
      <c r="AJ3994" t="s">
        <v>171</v>
      </c>
      <c r="AK3994" t="s">
        <v>7467</v>
      </c>
      <c r="AL3994">
        <v>2.04</v>
      </c>
      <c r="AM3994">
        <v>1.97</v>
      </c>
      <c r="AN3994">
        <v>0.08</v>
      </c>
      <c r="AO3994" t="s">
        <v>3372</v>
      </c>
      <c r="AP3994" t="s">
        <v>23257</v>
      </c>
      <c r="AQ3994" t="s">
        <v>24682</v>
      </c>
      <c r="AR3994" t="s">
        <v>3496</v>
      </c>
      <c r="AS3994" t="s">
        <v>2447</v>
      </c>
      <c r="AT3994" t="s">
        <v>1272</v>
      </c>
      <c r="AU3994" t="s">
        <v>6266</v>
      </c>
      <c r="AV3994" t="s">
        <v>3950</v>
      </c>
      <c r="AW3994" t="s">
        <v>10844</v>
      </c>
      <c r="AX3994" t="s">
        <v>10829</v>
      </c>
      <c r="AY3994" t="s">
        <v>31453</v>
      </c>
      <c r="AZ3994" t="s">
        <v>3891</v>
      </c>
      <c r="BA3994">
        <v>1.5</v>
      </c>
      <c r="BB3994">
        <v>203.64</v>
      </c>
      <c r="BC3994">
        <v>0.39</v>
      </c>
      <c r="BD3994">
        <v>9.6199999999999992</v>
      </c>
      <c r="BE3994">
        <v>9.9499999999999993</v>
      </c>
      <c r="BF3994">
        <v>9.42</v>
      </c>
      <c r="BG3994" t="s">
        <v>31568</v>
      </c>
      <c r="BH3994" t="s">
        <v>12300</v>
      </c>
      <c r="BI3994" t="s">
        <v>31569</v>
      </c>
      <c r="BJ3994" t="s">
        <v>101</v>
      </c>
      <c r="BK3994" t="s">
        <v>6985</v>
      </c>
      <c r="BL3994" t="s">
        <v>3663</v>
      </c>
      <c r="BM3994" t="s">
        <v>19620</v>
      </c>
      <c r="BN3994" t="s">
        <v>27621</v>
      </c>
    </row>
    <row r="3995" spans="1:66" x14ac:dyDescent="0.25">
      <c r="A3995" t="str">
        <f>HYPERLINK("https://elite.finviz.com/quote.ashx?t=LDWY&amp;ty=c&amp;p=d&amp;b=1", "LDWY")</f>
        <v>LDWY</v>
      </c>
      <c r="B3995">
        <v>4</v>
      </c>
      <c r="C3995">
        <v>105.92</v>
      </c>
      <c r="D3995">
        <v>46.47</v>
      </c>
      <c r="E3995" t="s">
        <v>31570</v>
      </c>
      <c r="F3995" t="s">
        <v>107</v>
      </c>
      <c r="G3995" t="s">
        <v>598</v>
      </c>
      <c r="H3995" t="s">
        <v>1020</v>
      </c>
      <c r="I3995" t="s">
        <v>70</v>
      </c>
      <c r="J3995" t="s">
        <v>321</v>
      </c>
      <c r="K3995">
        <v>9.02</v>
      </c>
      <c r="L3995">
        <v>5.09</v>
      </c>
      <c r="M3995" t="s">
        <v>7193</v>
      </c>
      <c r="N3995">
        <v>57</v>
      </c>
      <c r="R3995">
        <v>0.19</v>
      </c>
      <c r="S3995">
        <v>0.74</v>
      </c>
      <c r="V3995" t="s">
        <v>31571</v>
      </c>
      <c r="AA3995">
        <v>-1.45</v>
      </c>
      <c r="AB3995" t="s">
        <v>1622</v>
      </c>
      <c r="AC3995" t="s">
        <v>183</v>
      </c>
      <c r="AE3995" t="s">
        <v>20774</v>
      </c>
      <c r="AF3995" t="s">
        <v>25369</v>
      </c>
      <c r="AG3995" t="s">
        <v>3003</v>
      </c>
      <c r="AH3995" t="s">
        <v>25531</v>
      </c>
      <c r="AJ3995" t="s">
        <v>164</v>
      </c>
      <c r="AK3995" t="s">
        <v>4850</v>
      </c>
      <c r="AL3995">
        <v>1.08</v>
      </c>
      <c r="AM3995">
        <v>0.59</v>
      </c>
      <c r="AN3995">
        <v>5.53</v>
      </c>
      <c r="AO3995" t="s">
        <v>3073</v>
      </c>
      <c r="AP3995" t="s">
        <v>81</v>
      </c>
      <c r="AQ3995" t="s">
        <v>7285</v>
      </c>
      <c r="AR3995" t="s">
        <v>1021</v>
      </c>
      <c r="AS3995" t="s">
        <v>954</v>
      </c>
      <c r="AT3995" t="s">
        <v>2845</v>
      </c>
      <c r="AU3995" t="s">
        <v>5000</v>
      </c>
      <c r="AV3995" t="s">
        <v>5127</v>
      </c>
      <c r="AW3995" t="s">
        <v>19999</v>
      </c>
      <c r="AX3995" t="s">
        <v>5011</v>
      </c>
      <c r="AY3995" t="s">
        <v>19999</v>
      </c>
      <c r="AZ3995" t="s">
        <v>23148</v>
      </c>
      <c r="BA3995">
        <v>3</v>
      </c>
      <c r="BB3995">
        <v>5.1100000000000003</v>
      </c>
      <c r="BC3995">
        <v>0.04</v>
      </c>
      <c r="BD3995">
        <v>5.23</v>
      </c>
      <c r="BE3995">
        <v>5.18</v>
      </c>
      <c r="BF3995">
        <v>5.18</v>
      </c>
      <c r="BG3995" t="s">
        <v>31572</v>
      </c>
      <c r="BH3995" t="s">
        <v>31573</v>
      </c>
      <c r="BI3995" t="s">
        <v>31574</v>
      </c>
      <c r="BJ3995" t="s">
        <v>101</v>
      </c>
      <c r="BK3995" t="s">
        <v>7699</v>
      </c>
      <c r="BL3995" t="s">
        <v>19022</v>
      </c>
      <c r="BM3995" t="s">
        <v>7728</v>
      </c>
      <c r="BN3995" t="s">
        <v>27621</v>
      </c>
    </row>
    <row r="3996" spans="1:66" x14ac:dyDescent="0.25">
      <c r="A3996" t="str">
        <f>HYPERLINK("https://elite.finviz.com/quote.ashx?t=SKYH&amp;ty=c&amp;p=d&amp;b=1", "SKYH")</f>
        <v>SKYH</v>
      </c>
      <c r="B3996">
        <v>4</v>
      </c>
      <c r="C3996">
        <v>105.92</v>
      </c>
      <c r="D3996">
        <v>46.48</v>
      </c>
      <c r="E3996" t="s">
        <v>31575</v>
      </c>
      <c r="F3996" t="s">
        <v>67</v>
      </c>
      <c r="G3996" t="s">
        <v>68</v>
      </c>
      <c r="H3996" t="s">
        <v>11109</v>
      </c>
      <c r="I3996" t="s">
        <v>70</v>
      </c>
      <c r="J3996" t="s">
        <v>71</v>
      </c>
      <c r="K3996">
        <v>763.79</v>
      </c>
      <c r="L3996">
        <v>10.06</v>
      </c>
      <c r="M3996" t="s">
        <v>164</v>
      </c>
      <c r="N3996">
        <v>10405</v>
      </c>
      <c r="R3996">
        <v>36.51</v>
      </c>
      <c r="S3996">
        <v>2.9</v>
      </c>
      <c r="AA3996">
        <v>-1.22</v>
      </c>
      <c r="AB3996" t="s">
        <v>15781</v>
      </c>
      <c r="AC3996" t="s">
        <v>4638</v>
      </c>
      <c r="AE3996" t="s">
        <v>16172</v>
      </c>
      <c r="AF3996" t="s">
        <v>31576</v>
      </c>
      <c r="AH3996" t="s">
        <v>31577</v>
      </c>
      <c r="AI3996" t="s">
        <v>22828</v>
      </c>
      <c r="AJ3996" t="s">
        <v>5365</v>
      </c>
      <c r="AK3996" t="s">
        <v>11975</v>
      </c>
      <c r="AL3996">
        <v>2.21</v>
      </c>
      <c r="AM3996">
        <v>2.21</v>
      </c>
      <c r="AN3996">
        <v>2.94</v>
      </c>
      <c r="AO3996" t="s">
        <v>8252</v>
      </c>
      <c r="AP3996" t="s">
        <v>31578</v>
      </c>
      <c r="AQ3996" t="s">
        <v>31579</v>
      </c>
      <c r="AR3996" t="s">
        <v>6121</v>
      </c>
      <c r="AS3996" t="s">
        <v>4687</v>
      </c>
      <c r="AT3996" t="s">
        <v>1067</v>
      </c>
      <c r="AU3996" t="s">
        <v>1444</v>
      </c>
      <c r="AV3996" t="s">
        <v>3102</v>
      </c>
      <c r="AW3996" t="s">
        <v>11990</v>
      </c>
      <c r="AX3996" t="s">
        <v>11494</v>
      </c>
      <c r="AY3996" t="s">
        <v>5856</v>
      </c>
      <c r="AZ3996" t="s">
        <v>1252</v>
      </c>
      <c r="BA3996">
        <v>1.33</v>
      </c>
      <c r="BB3996">
        <v>124.26</v>
      </c>
      <c r="BC3996">
        <v>0.28999999999999998</v>
      </c>
      <c r="BD3996">
        <v>10.06</v>
      </c>
      <c r="BE3996">
        <v>10.1</v>
      </c>
      <c r="BF3996">
        <v>10</v>
      </c>
      <c r="BG3996" t="s">
        <v>31580</v>
      </c>
      <c r="BH3996" t="s">
        <v>3097</v>
      </c>
      <c r="BI3996" t="s">
        <v>31581</v>
      </c>
      <c r="BJ3996" t="s">
        <v>101</v>
      </c>
      <c r="BK3996" t="s">
        <v>2233</v>
      </c>
      <c r="BL3996" t="s">
        <v>23989</v>
      </c>
      <c r="BM3996" t="s">
        <v>1451</v>
      </c>
      <c r="BN3996" t="s">
        <v>27621</v>
      </c>
    </row>
    <row r="3997" spans="1:66" x14ac:dyDescent="0.25">
      <c r="A3997" t="str">
        <f>HYPERLINK("https://elite.finviz.com/quote.ashx?t=INTZ&amp;ty=c&amp;p=d&amp;b=1", "INTZ")</f>
        <v>INTZ</v>
      </c>
      <c r="B3997">
        <v>4</v>
      </c>
      <c r="C3997">
        <v>105.92</v>
      </c>
      <c r="D3997">
        <v>46.48</v>
      </c>
      <c r="E3997" t="s">
        <v>31582</v>
      </c>
      <c r="F3997" t="s">
        <v>107</v>
      </c>
      <c r="G3997" t="s">
        <v>108</v>
      </c>
      <c r="H3997" t="s">
        <v>109</v>
      </c>
      <c r="I3997" t="s">
        <v>70</v>
      </c>
      <c r="J3997" t="s">
        <v>321</v>
      </c>
      <c r="K3997">
        <v>34.53</v>
      </c>
      <c r="L3997">
        <v>1.74</v>
      </c>
      <c r="M3997" t="s">
        <v>6117</v>
      </c>
      <c r="N3997">
        <v>42734</v>
      </c>
      <c r="R3997">
        <v>5.0599999999999996</v>
      </c>
      <c r="S3997">
        <v>2.97</v>
      </c>
      <c r="AA3997">
        <v>-0.84</v>
      </c>
      <c r="AB3997" t="s">
        <v>21233</v>
      </c>
      <c r="AE3997" t="s">
        <v>9539</v>
      </c>
      <c r="AF3997" t="s">
        <v>7557</v>
      </c>
      <c r="AG3997" t="s">
        <v>16527</v>
      </c>
      <c r="AH3997" t="s">
        <v>8673</v>
      </c>
      <c r="AI3997" t="s">
        <v>8543</v>
      </c>
      <c r="AJ3997" t="s">
        <v>4273</v>
      </c>
      <c r="AK3997" t="s">
        <v>5369</v>
      </c>
      <c r="AL3997">
        <v>3.23</v>
      </c>
      <c r="AM3997">
        <v>3.23</v>
      </c>
      <c r="AN3997">
        <v>0.15</v>
      </c>
      <c r="AO3997" t="s">
        <v>6577</v>
      </c>
      <c r="AP3997" t="s">
        <v>31583</v>
      </c>
      <c r="AQ3997" t="s">
        <v>31584</v>
      </c>
      <c r="AR3997" t="s">
        <v>2861</v>
      </c>
      <c r="AS3997" t="s">
        <v>8164</v>
      </c>
      <c r="AT3997" t="s">
        <v>3388</v>
      </c>
      <c r="AU3997" t="s">
        <v>1373</v>
      </c>
      <c r="AV3997" t="s">
        <v>5685</v>
      </c>
      <c r="AW3997" t="s">
        <v>23610</v>
      </c>
      <c r="AX3997" t="s">
        <v>3064</v>
      </c>
      <c r="AY3997" t="s">
        <v>25056</v>
      </c>
      <c r="AZ3997" t="s">
        <v>31585</v>
      </c>
      <c r="BA3997">
        <v>3</v>
      </c>
      <c r="BB3997">
        <v>286.88</v>
      </c>
      <c r="BC3997">
        <v>0.53</v>
      </c>
      <c r="BD3997">
        <v>1.72</v>
      </c>
      <c r="BE3997">
        <v>1.77</v>
      </c>
      <c r="BF3997">
        <v>1.72</v>
      </c>
      <c r="BG3997" t="s">
        <v>31586</v>
      </c>
      <c r="BH3997" t="s">
        <v>14593</v>
      </c>
      <c r="BI3997" t="s">
        <v>31585</v>
      </c>
      <c r="BJ3997" t="s">
        <v>101</v>
      </c>
      <c r="BK3997" t="s">
        <v>6686</v>
      </c>
      <c r="BL3997" t="s">
        <v>4433</v>
      </c>
      <c r="BM3997" t="s">
        <v>31587</v>
      </c>
      <c r="BN3997" t="s">
        <v>27621</v>
      </c>
    </row>
    <row r="3998" spans="1:66" x14ac:dyDescent="0.25">
      <c r="A3998" t="str">
        <f>HYPERLINK("https://elite.finviz.com/quote.ashx?t=ATEX&amp;ty=c&amp;p=d&amp;b=1", "ATEX")</f>
        <v>ATEX</v>
      </c>
      <c r="B3998">
        <v>4</v>
      </c>
      <c r="C3998">
        <v>105.92</v>
      </c>
      <c r="D3998">
        <v>46.48</v>
      </c>
      <c r="E3998" t="s">
        <v>31588</v>
      </c>
      <c r="F3998" t="s">
        <v>67</v>
      </c>
      <c r="G3998" t="s">
        <v>598</v>
      </c>
      <c r="H3998" t="s">
        <v>6147</v>
      </c>
      <c r="I3998" t="s">
        <v>70</v>
      </c>
      <c r="J3998" t="s">
        <v>321</v>
      </c>
      <c r="K3998">
        <v>407.97</v>
      </c>
      <c r="L3998">
        <v>21.77</v>
      </c>
      <c r="M3998" t="s">
        <v>5000</v>
      </c>
      <c r="N3998">
        <v>48319</v>
      </c>
      <c r="O3998">
        <v>13.94</v>
      </c>
      <c r="R3998">
        <v>68.91</v>
      </c>
      <c r="S3998">
        <v>2.2000000000000002</v>
      </c>
      <c r="AA3998">
        <v>1.56</v>
      </c>
      <c r="AB3998" t="s">
        <v>14472</v>
      </c>
      <c r="AC3998" t="s">
        <v>15814</v>
      </c>
      <c r="AE3998" t="s">
        <v>16940</v>
      </c>
      <c r="AF3998" t="s">
        <v>20294</v>
      </c>
      <c r="AG3998" t="s">
        <v>14099</v>
      </c>
      <c r="AH3998" t="s">
        <v>94</v>
      </c>
      <c r="AI3998" t="s">
        <v>31589</v>
      </c>
      <c r="AJ3998" t="s">
        <v>309</v>
      </c>
      <c r="AK3998" t="s">
        <v>31590</v>
      </c>
      <c r="AL3998">
        <v>1.54</v>
      </c>
      <c r="AM3998">
        <v>1.54</v>
      </c>
      <c r="AN3998">
        <v>0.03</v>
      </c>
      <c r="AO3998" t="s">
        <v>28985</v>
      </c>
      <c r="AP3998" t="s">
        <v>31591</v>
      </c>
      <c r="AQ3998" t="s">
        <v>31592</v>
      </c>
      <c r="AR3998" t="s">
        <v>5969</v>
      </c>
      <c r="AS3998" t="s">
        <v>122</v>
      </c>
      <c r="AT3998" t="s">
        <v>13366</v>
      </c>
      <c r="AU3998" t="s">
        <v>2518</v>
      </c>
      <c r="AV3998" t="s">
        <v>27854</v>
      </c>
      <c r="AW3998" t="s">
        <v>8416</v>
      </c>
      <c r="AX3998" t="s">
        <v>3983</v>
      </c>
      <c r="AY3998" t="s">
        <v>29164</v>
      </c>
      <c r="AZ3998" t="s">
        <v>3983</v>
      </c>
      <c r="BA3998">
        <v>1</v>
      </c>
      <c r="BB3998">
        <v>215.61</v>
      </c>
      <c r="BC3998">
        <v>0.79</v>
      </c>
      <c r="BD3998">
        <v>22.14</v>
      </c>
      <c r="BE3998">
        <v>22.37</v>
      </c>
      <c r="BF3998">
        <v>21.68</v>
      </c>
      <c r="BG3998" t="s">
        <v>31593</v>
      </c>
      <c r="BH3998" t="s">
        <v>2115</v>
      </c>
      <c r="BI3998" t="s">
        <v>4096</v>
      </c>
      <c r="BJ3998" t="s">
        <v>101</v>
      </c>
      <c r="BK3998" t="s">
        <v>14820</v>
      </c>
      <c r="BL3998" t="s">
        <v>10488</v>
      </c>
      <c r="BM3998" t="s">
        <v>20073</v>
      </c>
      <c r="BN3998" t="s">
        <v>27621</v>
      </c>
    </row>
    <row r="3999" spans="1:66" x14ac:dyDescent="0.25">
      <c r="A3999" t="str">
        <f>HYPERLINK("https://elite.finviz.com/quote.ashx?t=NVEC&amp;ty=c&amp;p=d&amp;b=1", "NVEC")</f>
        <v>NVEC</v>
      </c>
      <c r="B3999">
        <v>4</v>
      </c>
      <c r="C3999">
        <v>105.92</v>
      </c>
      <c r="D3999">
        <v>46.49</v>
      </c>
      <c r="E3999" t="s">
        <v>31594</v>
      </c>
      <c r="F3999" t="s">
        <v>67</v>
      </c>
      <c r="G3999" t="s">
        <v>108</v>
      </c>
      <c r="H3999" t="s">
        <v>1808</v>
      </c>
      <c r="I3999" t="s">
        <v>70</v>
      </c>
      <c r="J3999" t="s">
        <v>321</v>
      </c>
      <c r="K3999">
        <v>316.35000000000002</v>
      </c>
      <c r="L3999">
        <v>65.400000000000006</v>
      </c>
      <c r="M3999" t="s">
        <v>1086</v>
      </c>
      <c r="N3999">
        <v>2886</v>
      </c>
      <c r="O3999">
        <v>21.76</v>
      </c>
      <c r="R3999">
        <v>12.55</v>
      </c>
      <c r="S3999">
        <v>5.18</v>
      </c>
      <c r="T3999" t="s">
        <v>2174</v>
      </c>
      <c r="U3999">
        <v>4</v>
      </c>
      <c r="V3999" t="s">
        <v>4827</v>
      </c>
      <c r="W3999" t="s">
        <v>164</v>
      </c>
      <c r="X3999" t="s">
        <v>164</v>
      </c>
      <c r="Y3999" t="s">
        <v>164</v>
      </c>
      <c r="Z3999" t="s">
        <v>13617</v>
      </c>
      <c r="AA3999">
        <v>3.01</v>
      </c>
      <c r="AB3999" t="s">
        <v>2650</v>
      </c>
      <c r="AC3999" t="s">
        <v>6245</v>
      </c>
      <c r="AE3999" t="s">
        <v>6326</v>
      </c>
      <c r="AF3999" t="s">
        <v>4938</v>
      </c>
      <c r="AG3999" t="s">
        <v>2642</v>
      </c>
      <c r="AH3999" t="s">
        <v>10731</v>
      </c>
      <c r="AJ3999" t="s">
        <v>6156</v>
      </c>
      <c r="AK3999" t="s">
        <v>22804</v>
      </c>
      <c r="AL3999">
        <v>16.100000000000001</v>
      </c>
      <c r="AM3999">
        <v>11.51</v>
      </c>
      <c r="AN3999">
        <v>0.01</v>
      </c>
      <c r="AO3999" t="s">
        <v>31595</v>
      </c>
      <c r="AP3999" t="s">
        <v>16120</v>
      </c>
      <c r="AQ3999" t="s">
        <v>23518</v>
      </c>
      <c r="AR3999" t="s">
        <v>2202</v>
      </c>
      <c r="AS3999" t="s">
        <v>3842</v>
      </c>
      <c r="AT3999" t="s">
        <v>609</v>
      </c>
      <c r="AU3999" t="s">
        <v>8979</v>
      </c>
      <c r="AV3999" t="s">
        <v>2220</v>
      </c>
      <c r="AW3999" t="s">
        <v>27575</v>
      </c>
      <c r="AX3999" t="s">
        <v>4996</v>
      </c>
      <c r="AY3999" t="s">
        <v>25253</v>
      </c>
      <c r="AZ3999" t="s">
        <v>931</v>
      </c>
      <c r="BA3999">
        <v>3</v>
      </c>
      <c r="BB3999">
        <v>57.97</v>
      </c>
      <c r="BC3999">
        <v>0.18</v>
      </c>
      <c r="BD3999">
        <v>65.78</v>
      </c>
      <c r="BE3999">
        <v>65.73</v>
      </c>
      <c r="BF3999">
        <v>65.319999999999993</v>
      </c>
      <c r="BG3999" t="s">
        <v>31596</v>
      </c>
      <c r="BH3999" t="s">
        <v>31597</v>
      </c>
      <c r="BI3999" t="s">
        <v>31598</v>
      </c>
      <c r="BJ3999" t="s">
        <v>101</v>
      </c>
      <c r="BK3999" t="s">
        <v>2754</v>
      </c>
      <c r="BL3999" t="s">
        <v>6464</v>
      </c>
      <c r="BM3999" t="s">
        <v>7818</v>
      </c>
      <c r="BN3999" t="s">
        <v>27621</v>
      </c>
    </row>
    <row r="4000" spans="1:66" x14ac:dyDescent="0.25">
      <c r="A4000" t="str">
        <f>HYPERLINK("https://elite.finviz.com/quote.ashx?t=QNRX&amp;ty=c&amp;p=d&amp;b=1", "QNRX")</f>
        <v>QNRX</v>
      </c>
      <c r="B4000">
        <v>4</v>
      </c>
      <c r="C4000">
        <v>105.92</v>
      </c>
      <c r="D4000">
        <v>46.52</v>
      </c>
      <c r="E4000" t="s">
        <v>31599</v>
      </c>
      <c r="F4000" t="s">
        <v>107</v>
      </c>
      <c r="G4000" t="s">
        <v>428</v>
      </c>
      <c r="H4000" t="s">
        <v>429</v>
      </c>
      <c r="I4000" t="s">
        <v>70</v>
      </c>
      <c r="J4000" t="s">
        <v>321</v>
      </c>
      <c r="K4000">
        <v>4.32</v>
      </c>
      <c r="L4000">
        <v>7.32</v>
      </c>
      <c r="M4000" t="s">
        <v>2518</v>
      </c>
      <c r="N4000">
        <v>12577</v>
      </c>
      <c r="S4000">
        <v>1.69</v>
      </c>
      <c r="AA4000">
        <v>-479.54</v>
      </c>
      <c r="AB4000" t="s">
        <v>31600</v>
      </c>
      <c r="AC4000" t="s">
        <v>31601</v>
      </c>
      <c r="AD4000" t="s">
        <v>8440</v>
      </c>
      <c r="AI4000" t="s">
        <v>635</v>
      </c>
      <c r="AK4000" t="s">
        <v>7464</v>
      </c>
      <c r="AL4000">
        <v>1.95</v>
      </c>
      <c r="AM4000">
        <v>1.95</v>
      </c>
      <c r="AN4000">
        <v>0</v>
      </c>
      <c r="AR4000" t="s">
        <v>346</v>
      </c>
      <c r="AS4000" t="s">
        <v>8460</v>
      </c>
      <c r="AT4000" t="s">
        <v>17548</v>
      </c>
      <c r="AU4000" t="s">
        <v>79</v>
      </c>
      <c r="AV4000" t="s">
        <v>22857</v>
      </c>
      <c r="AW4000" t="s">
        <v>30665</v>
      </c>
      <c r="AX4000" t="s">
        <v>7106</v>
      </c>
      <c r="AY4000" t="s">
        <v>31602</v>
      </c>
      <c r="AZ4000" t="s">
        <v>4612</v>
      </c>
      <c r="BA4000">
        <v>1</v>
      </c>
      <c r="BB4000">
        <v>42.22</v>
      </c>
      <c r="BC4000">
        <v>1.05</v>
      </c>
      <c r="BD4000">
        <v>7.41</v>
      </c>
      <c r="BE4000">
        <v>7.35</v>
      </c>
      <c r="BF4000">
        <v>7.1</v>
      </c>
      <c r="BG4000" t="s">
        <v>31603</v>
      </c>
      <c r="BH4000" t="s">
        <v>579</v>
      </c>
      <c r="BI4000" t="s">
        <v>4612</v>
      </c>
      <c r="BJ4000" t="s">
        <v>101</v>
      </c>
      <c r="BK4000" t="s">
        <v>9571</v>
      </c>
      <c r="BL4000" t="s">
        <v>14750</v>
      </c>
      <c r="BM4000" t="s">
        <v>31604</v>
      </c>
      <c r="BN4000" t="s">
        <v>27621</v>
      </c>
    </row>
    <row r="4001" spans="1:66" x14ac:dyDescent="0.25">
      <c r="A4001" t="str">
        <f>HYPERLINK("https://elite.finviz.com/quote.ashx?t=ETD&amp;ty=c&amp;p=d&amp;b=1", "ETD")</f>
        <v>ETD</v>
      </c>
      <c r="B4001">
        <v>4</v>
      </c>
      <c r="C4001">
        <v>105.92</v>
      </c>
      <c r="D4001">
        <v>46.53</v>
      </c>
      <c r="E4001" t="s">
        <v>31605</v>
      </c>
      <c r="F4001" t="s">
        <v>67</v>
      </c>
      <c r="G4001" t="s">
        <v>813</v>
      </c>
      <c r="H4001" t="s">
        <v>3866</v>
      </c>
      <c r="I4001" t="s">
        <v>70</v>
      </c>
      <c r="J4001" t="s">
        <v>71</v>
      </c>
      <c r="K4001">
        <v>737.55</v>
      </c>
      <c r="L4001">
        <v>28.99</v>
      </c>
      <c r="M4001" t="s">
        <v>4552</v>
      </c>
      <c r="N4001">
        <v>37382</v>
      </c>
      <c r="O4001">
        <v>14.4</v>
      </c>
      <c r="P4001">
        <v>13.8</v>
      </c>
      <c r="R4001">
        <v>1.2</v>
      </c>
      <c r="S4001">
        <v>1.53</v>
      </c>
      <c r="T4001" t="s">
        <v>3957</v>
      </c>
      <c r="U4001">
        <v>1.55</v>
      </c>
      <c r="V4001" t="s">
        <v>8649</v>
      </c>
      <c r="W4001" t="s">
        <v>2174</v>
      </c>
      <c r="X4001" t="s">
        <v>3326</v>
      </c>
      <c r="Y4001" t="s">
        <v>2907</v>
      </c>
      <c r="Z4001" t="s">
        <v>31606</v>
      </c>
      <c r="AA4001">
        <v>2.0099999999999998</v>
      </c>
      <c r="AB4001" t="s">
        <v>2475</v>
      </c>
      <c r="AC4001" t="s">
        <v>6756</v>
      </c>
      <c r="AE4001" t="s">
        <v>4893</v>
      </c>
      <c r="AF4001" t="s">
        <v>2271</v>
      </c>
      <c r="AG4001" t="s">
        <v>2734</v>
      </c>
      <c r="AH4001" t="s">
        <v>8139</v>
      </c>
      <c r="AI4001" t="s">
        <v>2428</v>
      </c>
      <c r="AJ4001" t="s">
        <v>6614</v>
      </c>
      <c r="AK4001" t="s">
        <v>11640</v>
      </c>
      <c r="AL4001">
        <v>2.0299999999999998</v>
      </c>
      <c r="AM4001">
        <v>1.1100000000000001</v>
      </c>
      <c r="AN4001">
        <v>0.26</v>
      </c>
      <c r="AO4001" t="s">
        <v>11799</v>
      </c>
      <c r="AP4001" t="s">
        <v>341</v>
      </c>
      <c r="AQ4001" t="s">
        <v>224</v>
      </c>
      <c r="AR4001" t="s">
        <v>908</v>
      </c>
      <c r="AS4001" t="s">
        <v>2202</v>
      </c>
      <c r="AT4001" t="s">
        <v>609</v>
      </c>
      <c r="AU4001" t="s">
        <v>9075</v>
      </c>
      <c r="AV4001" t="s">
        <v>3173</v>
      </c>
      <c r="AW4001" t="s">
        <v>18212</v>
      </c>
      <c r="AX4001" t="s">
        <v>975</v>
      </c>
      <c r="AY4001" t="s">
        <v>3975</v>
      </c>
      <c r="AZ4001" t="s">
        <v>8576</v>
      </c>
      <c r="BA4001">
        <v>3</v>
      </c>
      <c r="BB4001">
        <v>266.24</v>
      </c>
      <c r="BC4001">
        <v>0.49</v>
      </c>
      <c r="BD4001">
        <v>28.64</v>
      </c>
      <c r="BE4001">
        <v>29.23</v>
      </c>
      <c r="BF4001">
        <v>28.94</v>
      </c>
      <c r="BG4001" t="s">
        <v>31607</v>
      </c>
      <c r="BH4001" t="s">
        <v>25363</v>
      </c>
      <c r="BI4001" t="s">
        <v>31608</v>
      </c>
      <c r="BJ4001" t="s">
        <v>101</v>
      </c>
      <c r="BK4001" t="s">
        <v>2523</v>
      </c>
      <c r="BL4001" t="s">
        <v>5969</v>
      </c>
      <c r="BM4001" t="s">
        <v>7557</v>
      </c>
      <c r="BN4001" t="s">
        <v>27621</v>
      </c>
    </row>
    <row r="4002" spans="1:66" x14ac:dyDescent="0.25">
      <c r="A4002" t="str">
        <f>HYPERLINK("https://elite.finviz.com/quote.ashx?t=SPFI&amp;ty=c&amp;p=d&amp;b=1", "SPFI")</f>
        <v>SPFI</v>
      </c>
      <c r="B4002">
        <v>4</v>
      </c>
      <c r="C4002">
        <v>105.92</v>
      </c>
      <c r="D4002">
        <v>46.57</v>
      </c>
      <c r="E4002" t="s">
        <v>31609</v>
      </c>
      <c r="F4002" t="s">
        <v>67</v>
      </c>
      <c r="G4002" t="s">
        <v>550</v>
      </c>
      <c r="H4002" t="s">
        <v>697</v>
      </c>
      <c r="I4002" t="s">
        <v>70</v>
      </c>
      <c r="J4002" t="s">
        <v>321</v>
      </c>
      <c r="K4002">
        <v>636.24</v>
      </c>
      <c r="L4002">
        <v>39.19</v>
      </c>
      <c r="M4002" t="s">
        <v>430</v>
      </c>
      <c r="N4002">
        <v>9599</v>
      </c>
      <c r="O4002">
        <v>12.23</v>
      </c>
      <c r="P4002">
        <v>11.28</v>
      </c>
      <c r="R4002">
        <v>2.17</v>
      </c>
      <c r="S4002">
        <v>1.4</v>
      </c>
      <c r="T4002" t="s">
        <v>6056</v>
      </c>
      <c r="U4002">
        <v>0.61</v>
      </c>
      <c r="V4002" t="s">
        <v>15179</v>
      </c>
      <c r="W4002" t="s">
        <v>2698</v>
      </c>
      <c r="X4002" t="s">
        <v>10300</v>
      </c>
      <c r="Y4002" t="s">
        <v>2659</v>
      </c>
      <c r="Z4002" t="s">
        <v>955</v>
      </c>
      <c r="AA4002">
        <v>3.2</v>
      </c>
      <c r="AB4002" t="s">
        <v>72</v>
      </c>
      <c r="AC4002" t="s">
        <v>11641</v>
      </c>
      <c r="AE4002" t="s">
        <v>7541</v>
      </c>
      <c r="AF4002" t="s">
        <v>3745</v>
      </c>
      <c r="AG4002" t="s">
        <v>3053</v>
      </c>
      <c r="AH4002" t="s">
        <v>614</v>
      </c>
      <c r="AI4002" t="s">
        <v>1297</v>
      </c>
      <c r="AJ4002" t="s">
        <v>6257</v>
      </c>
      <c r="AK4002" t="s">
        <v>13714</v>
      </c>
      <c r="AL4002">
        <v>0.22</v>
      </c>
      <c r="AN4002">
        <v>0.25</v>
      </c>
      <c r="AP4002" t="s">
        <v>1701</v>
      </c>
      <c r="AQ4002" t="s">
        <v>705</v>
      </c>
      <c r="AR4002" t="s">
        <v>5592</v>
      </c>
      <c r="AS4002" t="s">
        <v>307</v>
      </c>
      <c r="AT4002" t="s">
        <v>5824</v>
      </c>
      <c r="AU4002" t="s">
        <v>8374</v>
      </c>
      <c r="AV4002" t="s">
        <v>4867</v>
      </c>
      <c r="AW4002" t="s">
        <v>1164</v>
      </c>
      <c r="AX4002" t="s">
        <v>3064</v>
      </c>
      <c r="AY4002" t="s">
        <v>1164</v>
      </c>
      <c r="AZ4002" t="s">
        <v>1469</v>
      </c>
      <c r="BA4002">
        <v>1.25</v>
      </c>
      <c r="BB4002">
        <v>59.18</v>
      </c>
      <c r="BC4002">
        <v>0.57999999999999996</v>
      </c>
      <c r="BD4002">
        <v>39.1</v>
      </c>
      <c r="BE4002">
        <v>39.6</v>
      </c>
      <c r="BF4002">
        <v>39.14</v>
      </c>
      <c r="BG4002" t="s">
        <v>31610</v>
      </c>
      <c r="BH4002" t="s">
        <v>1164</v>
      </c>
      <c r="BI4002" t="s">
        <v>31611</v>
      </c>
      <c r="BJ4002" t="s">
        <v>101</v>
      </c>
      <c r="BK4002" t="s">
        <v>2635</v>
      </c>
      <c r="BL4002" t="s">
        <v>6746</v>
      </c>
      <c r="BM4002" t="s">
        <v>7086</v>
      </c>
      <c r="BN4002" t="s">
        <v>27621</v>
      </c>
    </row>
    <row r="4003" spans="1:66" x14ac:dyDescent="0.25">
      <c r="A4003" t="str">
        <f>HYPERLINK("https://elite.finviz.com/quote.ashx?t=ASUR&amp;ty=c&amp;p=d&amp;b=1", "ASUR")</f>
        <v>ASUR</v>
      </c>
      <c r="B4003">
        <v>4</v>
      </c>
      <c r="C4003">
        <v>105.92</v>
      </c>
      <c r="D4003">
        <v>46.58</v>
      </c>
      <c r="E4003" t="s">
        <v>31612</v>
      </c>
      <c r="F4003" t="s">
        <v>67</v>
      </c>
      <c r="G4003" t="s">
        <v>108</v>
      </c>
      <c r="H4003" t="s">
        <v>136</v>
      </c>
      <c r="I4003" t="s">
        <v>70</v>
      </c>
      <c r="J4003" t="s">
        <v>321</v>
      </c>
      <c r="K4003">
        <v>222.14</v>
      </c>
      <c r="L4003">
        <v>8.1</v>
      </c>
      <c r="M4003" t="s">
        <v>164</v>
      </c>
      <c r="N4003">
        <v>7854</v>
      </c>
      <c r="P4003">
        <v>7.84</v>
      </c>
      <c r="R4003">
        <v>1.78</v>
      </c>
      <c r="S4003">
        <v>1.1399999999999999</v>
      </c>
      <c r="AA4003">
        <v>-0.57999999999999996</v>
      </c>
      <c r="AC4003" t="s">
        <v>10386</v>
      </c>
      <c r="AE4003" t="s">
        <v>1927</v>
      </c>
      <c r="AF4003" t="s">
        <v>3190</v>
      </c>
      <c r="AG4003" t="s">
        <v>1585</v>
      </c>
      <c r="AH4003" t="s">
        <v>699</v>
      </c>
      <c r="AI4003" t="s">
        <v>20558</v>
      </c>
      <c r="AJ4003" t="s">
        <v>4849</v>
      </c>
      <c r="AK4003" t="s">
        <v>29914</v>
      </c>
      <c r="AL4003">
        <v>1.27</v>
      </c>
      <c r="AM4003">
        <v>1.27</v>
      </c>
      <c r="AN4003">
        <v>0.38</v>
      </c>
      <c r="AO4003" t="s">
        <v>31613</v>
      </c>
      <c r="AP4003" t="s">
        <v>14906</v>
      </c>
      <c r="AQ4003" t="s">
        <v>11949</v>
      </c>
      <c r="AR4003" t="s">
        <v>9130</v>
      </c>
      <c r="AS4003" t="s">
        <v>2495</v>
      </c>
      <c r="AT4003" t="s">
        <v>141</v>
      </c>
      <c r="AU4003" t="s">
        <v>8670</v>
      </c>
      <c r="AV4003" t="s">
        <v>4318</v>
      </c>
      <c r="AW4003" t="s">
        <v>15845</v>
      </c>
      <c r="AX4003" t="s">
        <v>5395</v>
      </c>
      <c r="AY4003" t="s">
        <v>14710</v>
      </c>
      <c r="AZ4003" t="s">
        <v>1090</v>
      </c>
      <c r="BA4003">
        <v>1</v>
      </c>
      <c r="BB4003">
        <v>104.23</v>
      </c>
      <c r="BC4003">
        <v>0.27</v>
      </c>
      <c r="BD4003">
        <v>8.1</v>
      </c>
      <c r="BE4003">
        <v>8.2100000000000009</v>
      </c>
      <c r="BF4003">
        <v>8.11</v>
      </c>
      <c r="BG4003" t="s">
        <v>31614</v>
      </c>
      <c r="BH4003" t="s">
        <v>14553</v>
      </c>
      <c r="BI4003" t="s">
        <v>22596</v>
      </c>
      <c r="BJ4003" t="s">
        <v>101</v>
      </c>
      <c r="BK4003" t="s">
        <v>16736</v>
      </c>
      <c r="BL4003" t="s">
        <v>251</v>
      </c>
      <c r="BM4003" t="s">
        <v>7856</v>
      </c>
      <c r="BN4003" t="s">
        <v>27621</v>
      </c>
    </row>
    <row r="4004" spans="1:66" x14ac:dyDescent="0.25">
      <c r="A4004" t="str">
        <f>HYPERLINK("https://elite.finviz.com/quote.ashx?t=CSWC&amp;ty=c&amp;p=d&amp;b=1", "CSWC")</f>
        <v>CSWC</v>
      </c>
      <c r="B4004">
        <v>4</v>
      </c>
      <c r="C4004">
        <v>105.92</v>
      </c>
      <c r="D4004">
        <v>46.59</v>
      </c>
      <c r="E4004" t="s">
        <v>31615</v>
      </c>
      <c r="F4004" t="s">
        <v>107</v>
      </c>
      <c r="G4004" t="s">
        <v>550</v>
      </c>
      <c r="H4004" t="s">
        <v>2597</v>
      </c>
      <c r="I4004" t="s">
        <v>70</v>
      </c>
      <c r="J4004" t="s">
        <v>321</v>
      </c>
      <c r="K4004">
        <v>1253.19</v>
      </c>
      <c r="L4004">
        <v>22.53</v>
      </c>
      <c r="M4004" t="s">
        <v>1249</v>
      </c>
      <c r="N4004">
        <v>77246</v>
      </c>
      <c r="O4004">
        <v>14.16</v>
      </c>
      <c r="P4004">
        <v>9.6300000000000008</v>
      </c>
      <c r="R4004">
        <v>6.83</v>
      </c>
      <c r="S4004">
        <v>1.36</v>
      </c>
      <c r="T4004" t="s">
        <v>2517</v>
      </c>
      <c r="U4004">
        <v>2.37</v>
      </c>
      <c r="V4004" t="s">
        <v>7373</v>
      </c>
      <c r="W4004" t="s">
        <v>6104</v>
      </c>
      <c r="X4004" t="s">
        <v>5579</v>
      </c>
      <c r="Y4004" t="s">
        <v>417</v>
      </c>
      <c r="Z4004" t="s">
        <v>31616</v>
      </c>
      <c r="AA4004">
        <v>1.59</v>
      </c>
      <c r="AB4004" t="s">
        <v>2023</v>
      </c>
      <c r="AD4004" t="s">
        <v>1175</v>
      </c>
      <c r="AE4004" t="s">
        <v>293</v>
      </c>
      <c r="AF4004" t="s">
        <v>12584</v>
      </c>
      <c r="AG4004" t="s">
        <v>5864</v>
      </c>
      <c r="AH4004" t="s">
        <v>18999</v>
      </c>
      <c r="AI4004" t="s">
        <v>3484</v>
      </c>
      <c r="AJ4004" t="s">
        <v>4539</v>
      </c>
      <c r="AK4004" t="s">
        <v>15533</v>
      </c>
      <c r="AL4004">
        <v>1.42</v>
      </c>
      <c r="AM4004">
        <v>1.42</v>
      </c>
      <c r="AN4004">
        <v>1.02</v>
      </c>
      <c r="AO4004" t="s">
        <v>13002</v>
      </c>
      <c r="AP4004" t="s">
        <v>14598</v>
      </c>
      <c r="AQ4004" t="s">
        <v>6047</v>
      </c>
      <c r="AR4004" t="s">
        <v>2217</v>
      </c>
      <c r="AS4004" t="s">
        <v>3976</v>
      </c>
      <c r="AT4004" t="s">
        <v>3113</v>
      </c>
      <c r="AU4004" t="s">
        <v>110</v>
      </c>
      <c r="AV4004" t="s">
        <v>4873</v>
      </c>
      <c r="AW4004" t="s">
        <v>308</v>
      </c>
      <c r="AX4004" t="s">
        <v>2146</v>
      </c>
      <c r="AY4004" t="s">
        <v>7480</v>
      </c>
      <c r="AZ4004" t="s">
        <v>1209</v>
      </c>
      <c r="BA4004">
        <v>2.12</v>
      </c>
      <c r="BB4004">
        <v>572.98</v>
      </c>
      <c r="BC4004">
        <v>0.47</v>
      </c>
      <c r="BD4004">
        <v>22.53</v>
      </c>
      <c r="BE4004">
        <v>22.74</v>
      </c>
      <c r="BF4004">
        <v>22.52</v>
      </c>
      <c r="BG4004" t="s">
        <v>31617</v>
      </c>
      <c r="BH4004" t="s">
        <v>1696</v>
      </c>
      <c r="BI4004" t="s">
        <v>31618</v>
      </c>
      <c r="BJ4004" t="s">
        <v>101</v>
      </c>
      <c r="BK4004" t="s">
        <v>7284</v>
      </c>
      <c r="BL4004" t="s">
        <v>3890</v>
      </c>
      <c r="BM4004" t="s">
        <v>1861</v>
      </c>
      <c r="BN4004" t="s">
        <v>27621</v>
      </c>
    </row>
    <row r="4005" spans="1:66" x14ac:dyDescent="0.25">
      <c r="A4005" t="str">
        <f>HYPERLINK("https://elite.finviz.com/quote.ashx?t=BKYI&amp;ty=c&amp;p=d&amp;b=1", "BKYI")</f>
        <v>BKYI</v>
      </c>
      <c r="B4005">
        <v>4</v>
      </c>
      <c r="C4005">
        <v>105.92</v>
      </c>
      <c r="D4005">
        <v>46.68</v>
      </c>
      <c r="E4005" t="s">
        <v>31619</v>
      </c>
      <c r="F4005" t="s">
        <v>107</v>
      </c>
      <c r="G4005" t="s">
        <v>260</v>
      </c>
      <c r="H4005" t="s">
        <v>4162</v>
      </c>
      <c r="I4005" t="s">
        <v>70</v>
      </c>
      <c r="J4005" t="s">
        <v>321</v>
      </c>
      <c r="K4005">
        <v>5.18</v>
      </c>
      <c r="L4005">
        <v>0.76</v>
      </c>
      <c r="M4005" t="s">
        <v>6194</v>
      </c>
      <c r="N4005">
        <v>50116</v>
      </c>
      <c r="R4005">
        <v>0.75</v>
      </c>
      <c r="S4005">
        <v>0.75</v>
      </c>
      <c r="AA4005">
        <v>-1.27</v>
      </c>
      <c r="AB4005" t="s">
        <v>12101</v>
      </c>
      <c r="AC4005" t="s">
        <v>6682</v>
      </c>
      <c r="AE4005" t="s">
        <v>11319</v>
      </c>
      <c r="AF4005" t="s">
        <v>5193</v>
      </c>
      <c r="AG4005" t="s">
        <v>6602</v>
      </c>
      <c r="AH4005" t="s">
        <v>10022</v>
      </c>
      <c r="AI4005" t="s">
        <v>8887</v>
      </c>
      <c r="AJ4005" t="s">
        <v>164</v>
      </c>
      <c r="AK4005" t="s">
        <v>2650</v>
      </c>
      <c r="AL4005">
        <v>1.1399999999999999</v>
      </c>
      <c r="AM4005">
        <v>1.05</v>
      </c>
      <c r="AN4005">
        <v>0.09</v>
      </c>
      <c r="AO4005" t="s">
        <v>14979</v>
      </c>
      <c r="AP4005" t="s">
        <v>31620</v>
      </c>
      <c r="AQ4005" t="s">
        <v>23083</v>
      </c>
      <c r="AR4005" t="s">
        <v>1749</v>
      </c>
      <c r="AS4005" t="s">
        <v>7971</v>
      </c>
      <c r="AT4005" t="s">
        <v>2950</v>
      </c>
      <c r="AU4005" t="s">
        <v>5195</v>
      </c>
      <c r="AV4005" t="s">
        <v>20282</v>
      </c>
      <c r="AW4005" t="s">
        <v>3010</v>
      </c>
      <c r="AX4005" t="s">
        <v>14933</v>
      </c>
      <c r="AY4005" t="s">
        <v>28970</v>
      </c>
      <c r="AZ4005" t="s">
        <v>16127</v>
      </c>
      <c r="BA4005">
        <v>1</v>
      </c>
      <c r="BB4005">
        <v>139.52000000000001</v>
      </c>
      <c r="BC4005">
        <v>1.28</v>
      </c>
      <c r="BD4005">
        <v>0.76</v>
      </c>
      <c r="BE4005">
        <v>0.76</v>
      </c>
      <c r="BF4005">
        <v>0.76</v>
      </c>
      <c r="BG4005" t="s">
        <v>31621</v>
      </c>
      <c r="BH4005" t="s">
        <v>579</v>
      </c>
      <c r="BI4005" t="s">
        <v>16127</v>
      </c>
      <c r="BJ4005" t="s">
        <v>101</v>
      </c>
      <c r="BK4005" t="s">
        <v>2746</v>
      </c>
      <c r="BL4005" t="s">
        <v>75</v>
      </c>
      <c r="BM4005" t="s">
        <v>21822</v>
      </c>
      <c r="BN4005" t="s">
        <v>27621</v>
      </c>
    </row>
    <row r="4006" spans="1:66" x14ac:dyDescent="0.25">
      <c r="A4006" t="str">
        <f>HYPERLINK("https://elite.finviz.com/quote.ashx?t=GTIM&amp;ty=c&amp;p=d&amp;b=1", "GTIM")</f>
        <v>GTIM</v>
      </c>
      <c r="B4006">
        <v>4</v>
      </c>
      <c r="C4006">
        <v>105.92</v>
      </c>
      <c r="D4006">
        <v>46.68</v>
      </c>
      <c r="E4006" t="s">
        <v>31622</v>
      </c>
      <c r="F4006" t="s">
        <v>107</v>
      </c>
      <c r="G4006" t="s">
        <v>813</v>
      </c>
      <c r="H4006" t="s">
        <v>2285</v>
      </c>
      <c r="I4006" t="s">
        <v>70</v>
      </c>
      <c r="J4006" t="s">
        <v>321</v>
      </c>
      <c r="K4006">
        <v>16.82</v>
      </c>
      <c r="L4006">
        <v>1.6</v>
      </c>
      <c r="M4006" t="s">
        <v>3027</v>
      </c>
      <c r="N4006">
        <v>191</v>
      </c>
      <c r="O4006">
        <v>13.62</v>
      </c>
      <c r="R4006">
        <v>0.12</v>
      </c>
      <c r="S4006">
        <v>0.51</v>
      </c>
      <c r="Z4006" t="s">
        <v>164</v>
      </c>
      <c r="AA4006">
        <v>0.12</v>
      </c>
      <c r="AB4006" t="s">
        <v>15054</v>
      </c>
      <c r="AE4006" t="s">
        <v>2339</v>
      </c>
      <c r="AF4006" t="s">
        <v>3343</v>
      </c>
      <c r="AG4006" t="s">
        <v>2316</v>
      </c>
      <c r="AH4006" t="s">
        <v>5778</v>
      </c>
      <c r="AI4006" t="s">
        <v>23073</v>
      </c>
      <c r="AJ4006" t="s">
        <v>2760</v>
      </c>
      <c r="AK4006" t="s">
        <v>5127</v>
      </c>
      <c r="AL4006">
        <v>0.43</v>
      </c>
      <c r="AM4006">
        <v>0.34</v>
      </c>
      <c r="AN4006">
        <v>1.31</v>
      </c>
      <c r="AO4006" t="s">
        <v>797</v>
      </c>
      <c r="AP4006" t="s">
        <v>4902</v>
      </c>
      <c r="AQ4006" t="s">
        <v>458</v>
      </c>
      <c r="AR4006" t="s">
        <v>975</v>
      </c>
      <c r="AS4006" t="s">
        <v>5045</v>
      </c>
      <c r="AT4006" t="s">
        <v>6359</v>
      </c>
      <c r="AU4006" t="s">
        <v>4955</v>
      </c>
      <c r="AV4006" t="s">
        <v>10077</v>
      </c>
      <c r="AW4006" t="s">
        <v>12901</v>
      </c>
      <c r="AX4006" t="s">
        <v>6393</v>
      </c>
      <c r="AY4006" t="s">
        <v>10023</v>
      </c>
      <c r="AZ4006" t="s">
        <v>6393</v>
      </c>
      <c r="BA4006">
        <v>1</v>
      </c>
      <c r="BB4006">
        <v>27.59</v>
      </c>
      <c r="BC4006">
        <v>0.02</v>
      </c>
      <c r="BD4006">
        <v>1.61</v>
      </c>
      <c r="BE4006">
        <v>1.61</v>
      </c>
      <c r="BF4006">
        <v>1.61</v>
      </c>
      <c r="BG4006" t="s">
        <v>31623</v>
      </c>
      <c r="BH4006" t="s">
        <v>31624</v>
      </c>
      <c r="BI4006" t="s">
        <v>31625</v>
      </c>
      <c r="BJ4006" t="s">
        <v>101</v>
      </c>
      <c r="BK4006" t="s">
        <v>3266</v>
      </c>
      <c r="BL4006" t="s">
        <v>1232</v>
      </c>
      <c r="BM4006" t="s">
        <v>16348</v>
      </c>
      <c r="BN4006" t="s">
        <v>27621</v>
      </c>
    </row>
    <row r="4007" spans="1:66" x14ac:dyDescent="0.25">
      <c r="A4007" t="str">
        <f>HYPERLINK("https://elite.finviz.com/quote.ashx?t=PXLW&amp;ty=c&amp;p=d&amp;b=1", "PXLW")</f>
        <v>PXLW</v>
      </c>
      <c r="B4007">
        <v>4</v>
      </c>
      <c r="C4007">
        <v>105.92</v>
      </c>
      <c r="D4007">
        <v>46.71</v>
      </c>
      <c r="E4007" t="s">
        <v>31626</v>
      </c>
      <c r="F4007" t="s">
        <v>107</v>
      </c>
      <c r="G4007" t="s">
        <v>108</v>
      </c>
      <c r="H4007" t="s">
        <v>1808</v>
      </c>
      <c r="I4007" t="s">
        <v>70</v>
      </c>
      <c r="J4007" t="s">
        <v>321</v>
      </c>
      <c r="K4007">
        <v>49.88</v>
      </c>
      <c r="L4007">
        <v>9.35</v>
      </c>
      <c r="M4007" t="s">
        <v>2554</v>
      </c>
      <c r="N4007">
        <v>5830</v>
      </c>
      <c r="R4007">
        <v>1.47</v>
      </c>
      <c r="AA4007">
        <v>-5.56</v>
      </c>
      <c r="AB4007" t="s">
        <v>6326</v>
      </c>
      <c r="AC4007" t="s">
        <v>11612</v>
      </c>
      <c r="AE4007" t="s">
        <v>31627</v>
      </c>
      <c r="AF4007" t="s">
        <v>7449</v>
      </c>
      <c r="AG4007" t="s">
        <v>16666</v>
      </c>
      <c r="AH4007" t="s">
        <v>5426</v>
      </c>
      <c r="AI4007" t="s">
        <v>902</v>
      </c>
      <c r="AJ4007" t="s">
        <v>6074</v>
      </c>
      <c r="AK4007" t="s">
        <v>10558</v>
      </c>
      <c r="AL4007">
        <v>2.8</v>
      </c>
      <c r="AM4007">
        <v>2.35</v>
      </c>
      <c r="AO4007" t="s">
        <v>15931</v>
      </c>
      <c r="AP4007" t="s">
        <v>23555</v>
      </c>
      <c r="AQ4007" t="s">
        <v>31628</v>
      </c>
      <c r="AR4007" t="s">
        <v>1775</v>
      </c>
      <c r="AS4007" t="s">
        <v>7435</v>
      </c>
      <c r="AT4007" t="s">
        <v>5766</v>
      </c>
      <c r="AU4007" t="s">
        <v>2206</v>
      </c>
      <c r="AV4007" t="s">
        <v>1395</v>
      </c>
      <c r="AW4007" t="s">
        <v>16888</v>
      </c>
      <c r="AX4007" t="s">
        <v>5933</v>
      </c>
      <c r="AY4007" t="s">
        <v>16888</v>
      </c>
      <c r="AZ4007" t="s">
        <v>16285</v>
      </c>
      <c r="BA4007">
        <v>1</v>
      </c>
      <c r="BB4007">
        <v>111.9</v>
      </c>
      <c r="BC4007">
        <v>0.19</v>
      </c>
      <c r="BD4007">
        <v>9.2200000000000006</v>
      </c>
      <c r="BE4007">
        <v>9.39</v>
      </c>
      <c r="BF4007">
        <v>9.19</v>
      </c>
      <c r="BG4007" t="s">
        <v>31629</v>
      </c>
      <c r="BH4007" t="s">
        <v>17722</v>
      </c>
      <c r="BI4007" t="s">
        <v>20833</v>
      </c>
      <c r="BJ4007" t="s">
        <v>101</v>
      </c>
      <c r="BK4007" t="s">
        <v>12022</v>
      </c>
      <c r="BL4007" t="s">
        <v>2463</v>
      </c>
      <c r="BM4007" t="s">
        <v>1297</v>
      </c>
      <c r="BN4007" t="s">
        <v>27621</v>
      </c>
    </row>
    <row r="4008" spans="1:66" x14ac:dyDescent="0.25">
      <c r="A4008" t="str">
        <f>HYPERLINK("https://elite.finviz.com/quote.ashx?t=EPM&amp;ty=c&amp;p=d&amp;b=1", "EPM")</f>
        <v>EPM</v>
      </c>
      <c r="B4008">
        <v>4</v>
      </c>
      <c r="C4008">
        <v>105.92</v>
      </c>
      <c r="D4008">
        <v>46.71</v>
      </c>
      <c r="E4008" t="s">
        <v>31630</v>
      </c>
      <c r="F4008" t="s">
        <v>67</v>
      </c>
      <c r="G4008" t="s">
        <v>1048</v>
      </c>
      <c r="H4008" t="s">
        <v>1049</v>
      </c>
      <c r="I4008" t="s">
        <v>70</v>
      </c>
      <c r="J4008" t="s">
        <v>383</v>
      </c>
      <c r="K4008">
        <v>172.48</v>
      </c>
      <c r="L4008">
        <v>5.0199999999999996</v>
      </c>
      <c r="M4008" t="s">
        <v>2186</v>
      </c>
      <c r="N4008">
        <v>48809</v>
      </c>
      <c r="O4008">
        <v>149.85</v>
      </c>
      <c r="R4008">
        <v>2.0099999999999998</v>
      </c>
      <c r="S4008">
        <v>2.4</v>
      </c>
      <c r="T4008" t="s">
        <v>1533</v>
      </c>
      <c r="U4008">
        <v>0.48</v>
      </c>
      <c r="V4008" t="s">
        <v>4676</v>
      </c>
      <c r="W4008" t="s">
        <v>164</v>
      </c>
      <c r="X4008" t="s">
        <v>1935</v>
      </c>
      <c r="Y4008" t="s">
        <v>5122</v>
      </c>
      <c r="Z4008" t="s">
        <v>31631</v>
      </c>
      <c r="AA4008">
        <v>0.03</v>
      </c>
      <c r="AB4008" t="s">
        <v>5906</v>
      </c>
      <c r="AC4008" t="s">
        <v>16286</v>
      </c>
      <c r="AE4008" t="s">
        <v>3227</v>
      </c>
      <c r="AF4008" t="s">
        <v>15221</v>
      </c>
      <c r="AG4008" t="s">
        <v>10580</v>
      </c>
      <c r="AH4008" t="s">
        <v>2103</v>
      </c>
      <c r="AI4008" t="s">
        <v>31632</v>
      </c>
      <c r="AJ4008" t="s">
        <v>164</v>
      </c>
      <c r="AK4008" t="s">
        <v>4611</v>
      </c>
      <c r="AL4008">
        <v>0.81</v>
      </c>
      <c r="AM4008">
        <v>0.81</v>
      </c>
      <c r="AN4008">
        <v>0.52</v>
      </c>
      <c r="AO4008" t="s">
        <v>3199</v>
      </c>
      <c r="AP4008" t="s">
        <v>2035</v>
      </c>
      <c r="AQ4008" t="s">
        <v>5692</v>
      </c>
      <c r="AR4008" t="s">
        <v>1981</v>
      </c>
      <c r="AS4008" t="s">
        <v>2496</v>
      </c>
      <c r="AT4008" t="s">
        <v>4646</v>
      </c>
      <c r="AU4008" t="s">
        <v>6192</v>
      </c>
      <c r="AV4008" t="s">
        <v>6493</v>
      </c>
      <c r="AW4008" t="s">
        <v>7469</v>
      </c>
      <c r="AX4008" t="s">
        <v>1468</v>
      </c>
      <c r="AY4008" t="s">
        <v>6589</v>
      </c>
      <c r="AZ4008" t="s">
        <v>12598</v>
      </c>
      <c r="BA4008">
        <v>2</v>
      </c>
      <c r="BB4008">
        <v>197.78</v>
      </c>
      <c r="BC4008">
        <v>0.88</v>
      </c>
      <c r="BD4008">
        <v>4.9400000000000004</v>
      </c>
      <c r="BE4008">
        <v>5.0599999999999996</v>
      </c>
      <c r="BF4008">
        <v>4.9400000000000004</v>
      </c>
      <c r="BG4008" t="s">
        <v>31633</v>
      </c>
      <c r="BH4008" t="s">
        <v>3265</v>
      </c>
      <c r="BI4008" t="s">
        <v>31634</v>
      </c>
      <c r="BJ4008" t="s">
        <v>101</v>
      </c>
      <c r="BK4008" t="s">
        <v>2424</v>
      </c>
      <c r="BL4008" t="s">
        <v>4688</v>
      </c>
      <c r="BM4008" t="s">
        <v>5480</v>
      </c>
      <c r="BN4008" t="s">
        <v>27621</v>
      </c>
    </row>
    <row r="4009" spans="1:66" x14ac:dyDescent="0.25">
      <c r="A4009" t="str">
        <f>HYPERLINK("https://elite.finviz.com/quote.ashx?t=FATN&amp;ty=c&amp;p=d&amp;b=1", "FATN")</f>
        <v>FATN</v>
      </c>
      <c r="B4009">
        <v>4</v>
      </c>
      <c r="C4009">
        <v>105.92</v>
      </c>
      <c r="D4009">
        <v>46.72</v>
      </c>
      <c r="E4009" t="s">
        <v>31635</v>
      </c>
      <c r="F4009" t="s">
        <v>107</v>
      </c>
      <c r="G4009" t="s">
        <v>108</v>
      </c>
      <c r="H4009" t="s">
        <v>109</v>
      </c>
      <c r="I4009" t="s">
        <v>70</v>
      </c>
      <c r="J4009" t="s">
        <v>321</v>
      </c>
      <c r="K4009">
        <v>85.75</v>
      </c>
      <c r="L4009">
        <v>6.2</v>
      </c>
      <c r="M4009" t="s">
        <v>15684</v>
      </c>
      <c r="N4009">
        <v>22456</v>
      </c>
      <c r="S4009">
        <v>4.2</v>
      </c>
      <c r="AB4009" t="s">
        <v>23650</v>
      </c>
      <c r="AF4009" t="s">
        <v>9136</v>
      </c>
      <c r="AH4009" t="s">
        <v>4707</v>
      </c>
      <c r="AJ4009" t="s">
        <v>164</v>
      </c>
      <c r="AK4009" t="s">
        <v>2362</v>
      </c>
      <c r="AL4009">
        <v>2.59</v>
      </c>
      <c r="AM4009">
        <v>2.5299999999999998</v>
      </c>
      <c r="AN4009">
        <v>0.31</v>
      </c>
      <c r="AR4009" t="s">
        <v>14831</v>
      </c>
      <c r="AS4009" t="s">
        <v>531</v>
      </c>
      <c r="AT4009" t="s">
        <v>8520</v>
      </c>
      <c r="AU4009" t="s">
        <v>1821</v>
      </c>
      <c r="AV4009" t="s">
        <v>23644</v>
      </c>
      <c r="AW4009" t="s">
        <v>3873</v>
      </c>
      <c r="AX4009" t="s">
        <v>2058</v>
      </c>
      <c r="AY4009" t="s">
        <v>30546</v>
      </c>
      <c r="AZ4009" t="s">
        <v>2058</v>
      </c>
      <c r="BB4009">
        <v>207.48</v>
      </c>
      <c r="BC4009">
        <v>0.38</v>
      </c>
      <c r="BD4009">
        <v>6.55</v>
      </c>
      <c r="BE4009">
        <v>6.67</v>
      </c>
      <c r="BF4009">
        <v>6.15</v>
      </c>
      <c r="BG4009" t="s">
        <v>31636</v>
      </c>
      <c r="BH4009" t="s">
        <v>30546</v>
      </c>
      <c r="BI4009" t="s">
        <v>2058</v>
      </c>
      <c r="BJ4009" t="s">
        <v>101</v>
      </c>
      <c r="BK4009" t="s">
        <v>5034</v>
      </c>
      <c r="BN4009" t="s">
        <v>27621</v>
      </c>
    </row>
    <row r="4010" spans="1:66" x14ac:dyDescent="0.25">
      <c r="A4010" t="str">
        <f>HYPERLINK("https://elite.finviz.com/quote.ashx?t=RLGT&amp;ty=c&amp;p=d&amp;b=1", "RLGT")</f>
        <v>RLGT</v>
      </c>
      <c r="B4010">
        <v>4</v>
      </c>
      <c r="C4010">
        <v>105.92</v>
      </c>
      <c r="D4010">
        <v>46.73</v>
      </c>
      <c r="E4010" t="s">
        <v>31637</v>
      </c>
      <c r="F4010" t="s">
        <v>67</v>
      </c>
      <c r="G4010" t="s">
        <v>260</v>
      </c>
      <c r="H4010" t="s">
        <v>7853</v>
      </c>
      <c r="I4010" t="s">
        <v>70</v>
      </c>
      <c r="J4010" t="s">
        <v>383</v>
      </c>
      <c r="K4010">
        <v>287.57</v>
      </c>
      <c r="L4010">
        <v>6.1</v>
      </c>
      <c r="M4010" t="s">
        <v>1657</v>
      </c>
      <c r="N4010">
        <v>14943</v>
      </c>
      <c r="O4010">
        <v>17.21</v>
      </c>
      <c r="P4010">
        <v>17.329999999999998</v>
      </c>
      <c r="R4010">
        <v>0.32</v>
      </c>
      <c r="S4010">
        <v>1.27</v>
      </c>
      <c r="Z4010" t="s">
        <v>164</v>
      </c>
      <c r="AA4010">
        <v>0.35</v>
      </c>
      <c r="AB4010" t="s">
        <v>31638</v>
      </c>
      <c r="AC4010" t="s">
        <v>7654</v>
      </c>
      <c r="AE4010" t="s">
        <v>302</v>
      </c>
      <c r="AF4010" t="s">
        <v>9038</v>
      </c>
      <c r="AG4010" t="s">
        <v>581</v>
      </c>
      <c r="AH4010" t="s">
        <v>2869</v>
      </c>
      <c r="AI4010" t="s">
        <v>12348</v>
      </c>
      <c r="AJ4010" t="s">
        <v>4191</v>
      </c>
      <c r="AK4010" t="s">
        <v>8873</v>
      </c>
      <c r="AL4010">
        <v>1.56</v>
      </c>
      <c r="AM4010">
        <v>1.56</v>
      </c>
      <c r="AN4010">
        <v>0.37</v>
      </c>
      <c r="AO4010" t="s">
        <v>7843</v>
      </c>
      <c r="AP4010" t="s">
        <v>1599</v>
      </c>
      <c r="AQ4010" t="s">
        <v>3118</v>
      </c>
      <c r="AR4010" t="s">
        <v>679</v>
      </c>
      <c r="AS4010" t="s">
        <v>465</v>
      </c>
      <c r="AT4010" t="s">
        <v>4131</v>
      </c>
      <c r="AU4010" t="s">
        <v>655</v>
      </c>
      <c r="AV4010" t="s">
        <v>4704</v>
      </c>
      <c r="AW4010" t="s">
        <v>8487</v>
      </c>
      <c r="AX4010" t="s">
        <v>1871</v>
      </c>
      <c r="AY4010" t="s">
        <v>25363</v>
      </c>
      <c r="AZ4010" t="s">
        <v>8356</v>
      </c>
      <c r="BA4010">
        <v>1</v>
      </c>
      <c r="BB4010">
        <v>151.82</v>
      </c>
      <c r="BC4010">
        <v>0.35</v>
      </c>
      <c r="BD4010">
        <v>6.07</v>
      </c>
      <c r="BE4010">
        <v>6.14</v>
      </c>
      <c r="BF4010">
        <v>6.06</v>
      </c>
      <c r="BG4010" t="s">
        <v>31639</v>
      </c>
      <c r="BH4010" t="s">
        <v>25727</v>
      </c>
      <c r="BI4010" t="s">
        <v>31640</v>
      </c>
      <c r="BJ4010" t="s">
        <v>101</v>
      </c>
      <c r="BK4010" t="s">
        <v>789</v>
      </c>
      <c r="BL4010" t="s">
        <v>7959</v>
      </c>
      <c r="BM4010" t="s">
        <v>3091</v>
      </c>
      <c r="BN4010" t="s">
        <v>27621</v>
      </c>
    </row>
    <row r="4011" spans="1:66" x14ac:dyDescent="0.25">
      <c r="A4011" t="str">
        <f>HYPERLINK("https://elite.finviz.com/quote.ashx?t=ALTO&amp;ty=c&amp;p=d&amp;b=1", "ALTO")</f>
        <v>ALTO</v>
      </c>
      <c r="B4011">
        <v>4</v>
      </c>
      <c r="C4011">
        <v>105.92</v>
      </c>
      <c r="D4011">
        <v>46.74</v>
      </c>
      <c r="E4011" t="s">
        <v>31641</v>
      </c>
      <c r="F4011" t="s">
        <v>107</v>
      </c>
      <c r="G4011" t="s">
        <v>355</v>
      </c>
      <c r="H4011" t="s">
        <v>1147</v>
      </c>
      <c r="I4011" t="s">
        <v>70</v>
      </c>
      <c r="J4011" t="s">
        <v>321</v>
      </c>
      <c r="K4011">
        <v>82.82</v>
      </c>
      <c r="L4011">
        <v>1.07</v>
      </c>
      <c r="M4011" t="s">
        <v>164</v>
      </c>
      <c r="N4011">
        <v>31286</v>
      </c>
      <c r="R4011">
        <v>0.09</v>
      </c>
      <c r="S4011">
        <v>0.4</v>
      </c>
      <c r="AA4011">
        <v>-0.92</v>
      </c>
      <c r="AC4011" t="s">
        <v>644</v>
      </c>
      <c r="AE4011" t="s">
        <v>7526</v>
      </c>
      <c r="AF4011" t="s">
        <v>3408</v>
      </c>
      <c r="AG4011" t="s">
        <v>5663</v>
      </c>
      <c r="AH4011" t="s">
        <v>15221</v>
      </c>
      <c r="AI4011" t="s">
        <v>31642</v>
      </c>
      <c r="AJ4011" t="s">
        <v>5549</v>
      </c>
      <c r="AK4011" t="s">
        <v>6267</v>
      </c>
      <c r="AL4011">
        <v>3.52</v>
      </c>
      <c r="AM4011">
        <v>2.25</v>
      </c>
      <c r="AN4011">
        <v>0.67</v>
      </c>
      <c r="AO4011" t="s">
        <v>609</v>
      </c>
      <c r="AP4011" t="s">
        <v>6092</v>
      </c>
      <c r="AQ4011" t="s">
        <v>9489</v>
      </c>
      <c r="AR4011" t="s">
        <v>2137</v>
      </c>
      <c r="AS4011" t="s">
        <v>1159</v>
      </c>
      <c r="AT4011" t="s">
        <v>7964</v>
      </c>
      <c r="AU4011" t="s">
        <v>3640</v>
      </c>
      <c r="AV4011" t="s">
        <v>25533</v>
      </c>
      <c r="AW4011" t="s">
        <v>8918</v>
      </c>
      <c r="AX4011" t="s">
        <v>685</v>
      </c>
      <c r="AY4011" t="s">
        <v>8263</v>
      </c>
      <c r="AZ4011" t="s">
        <v>9306</v>
      </c>
      <c r="BA4011">
        <v>1</v>
      </c>
      <c r="BB4011">
        <v>273.8</v>
      </c>
      <c r="BC4011">
        <v>0.4</v>
      </c>
      <c r="BD4011">
        <v>1.07</v>
      </c>
      <c r="BE4011">
        <v>1.08</v>
      </c>
      <c r="BF4011">
        <v>1.06</v>
      </c>
      <c r="BG4011" t="s">
        <v>31643</v>
      </c>
      <c r="BH4011" t="s">
        <v>3265</v>
      </c>
      <c r="BI4011" t="s">
        <v>31644</v>
      </c>
      <c r="BJ4011" t="s">
        <v>101</v>
      </c>
      <c r="BK4011" t="s">
        <v>6985</v>
      </c>
      <c r="BL4011" t="s">
        <v>10885</v>
      </c>
      <c r="BM4011" t="s">
        <v>15937</v>
      </c>
      <c r="BN4011" t="s">
        <v>27621</v>
      </c>
    </row>
    <row r="4012" spans="1:66" x14ac:dyDescent="0.25">
      <c r="A4012" t="str">
        <f>HYPERLINK("https://elite.finviz.com/quote.ashx?t=MANH&amp;ty=c&amp;p=d&amp;b=1", "MANH")</f>
        <v>MANH</v>
      </c>
      <c r="B4012">
        <v>4</v>
      </c>
      <c r="C4012">
        <v>105.92</v>
      </c>
      <c r="D4012">
        <v>46.75</v>
      </c>
      <c r="E4012" t="s">
        <v>31645</v>
      </c>
      <c r="F4012" t="s">
        <v>107</v>
      </c>
      <c r="G4012" t="s">
        <v>108</v>
      </c>
      <c r="H4012" t="s">
        <v>136</v>
      </c>
      <c r="I4012" t="s">
        <v>70</v>
      </c>
      <c r="J4012" t="s">
        <v>321</v>
      </c>
      <c r="K4012">
        <v>12786.69</v>
      </c>
      <c r="L4012">
        <v>211.46</v>
      </c>
      <c r="M4012" t="s">
        <v>7124</v>
      </c>
      <c r="N4012">
        <v>30208</v>
      </c>
      <c r="O4012">
        <v>58.93</v>
      </c>
      <c r="P4012">
        <v>40.32</v>
      </c>
      <c r="Q4012">
        <v>6.03</v>
      </c>
      <c r="R4012">
        <v>12.09</v>
      </c>
      <c r="S4012">
        <v>45.87</v>
      </c>
      <c r="Z4012" t="s">
        <v>164</v>
      </c>
      <c r="AA4012">
        <v>3.59</v>
      </c>
      <c r="AB4012" t="s">
        <v>13363</v>
      </c>
      <c r="AC4012" t="s">
        <v>233</v>
      </c>
      <c r="AD4012" t="s">
        <v>8650</v>
      </c>
      <c r="AE4012" t="s">
        <v>283</v>
      </c>
      <c r="AF4012" t="s">
        <v>5239</v>
      </c>
      <c r="AG4012" t="s">
        <v>847</v>
      </c>
      <c r="AH4012" t="s">
        <v>4976</v>
      </c>
      <c r="AI4012" t="s">
        <v>1999</v>
      </c>
      <c r="AJ4012" t="s">
        <v>4215</v>
      </c>
      <c r="AK4012" t="s">
        <v>31646</v>
      </c>
      <c r="AL4012">
        <v>1.1499999999999999</v>
      </c>
      <c r="AM4012">
        <v>1.1499999999999999</v>
      </c>
      <c r="AN4012">
        <v>0.17</v>
      </c>
      <c r="AO4012" t="s">
        <v>17796</v>
      </c>
      <c r="AP4012" t="s">
        <v>8874</v>
      </c>
      <c r="AQ4012" t="s">
        <v>5894</v>
      </c>
      <c r="AR4012" t="s">
        <v>3832</v>
      </c>
      <c r="AS4012" t="s">
        <v>4800</v>
      </c>
      <c r="AT4012" t="s">
        <v>6407</v>
      </c>
      <c r="AU4012" t="s">
        <v>13117</v>
      </c>
      <c r="AV4012" t="s">
        <v>4256</v>
      </c>
      <c r="AW4012" t="s">
        <v>335</v>
      </c>
      <c r="AX4012" t="s">
        <v>6684</v>
      </c>
      <c r="AY4012" t="s">
        <v>26648</v>
      </c>
      <c r="AZ4012" t="s">
        <v>20663</v>
      </c>
      <c r="BA4012">
        <v>2.38</v>
      </c>
      <c r="BB4012">
        <v>573.80999999999995</v>
      </c>
      <c r="BC4012">
        <v>0.19</v>
      </c>
      <c r="BD4012">
        <v>209.7</v>
      </c>
      <c r="BE4012">
        <v>211.62</v>
      </c>
      <c r="BF4012">
        <v>209.1</v>
      </c>
      <c r="BG4012" t="s">
        <v>31647</v>
      </c>
      <c r="BH4012" t="s">
        <v>26648</v>
      </c>
      <c r="BI4012" t="s">
        <v>31648</v>
      </c>
      <c r="BJ4012" t="s">
        <v>101</v>
      </c>
      <c r="BK4012" t="s">
        <v>1507</v>
      </c>
      <c r="BL4012" t="s">
        <v>14013</v>
      </c>
      <c r="BM4012" t="s">
        <v>15027</v>
      </c>
      <c r="BN4012" t="s">
        <v>27621</v>
      </c>
    </row>
    <row r="4013" spans="1:66" x14ac:dyDescent="0.25">
      <c r="A4013" t="str">
        <f>HYPERLINK("https://elite.finviz.com/quote.ashx?t=JBTM&amp;ty=c&amp;p=d&amp;b=1", "JBTM")</f>
        <v>JBTM</v>
      </c>
      <c r="B4013">
        <v>4</v>
      </c>
      <c r="C4013">
        <v>105.92</v>
      </c>
      <c r="D4013">
        <v>46.78</v>
      </c>
      <c r="E4013" t="s">
        <v>31649</v>
      </c>
      <c r="F4013" t="s">
        <v>67</v>
      </c>
      <c r="G4013" t="s">
        <v>260</v>
      </c>
      <c r="H4013" t="s">
        <v>261</v>
      </c>
      <c r="I4013" t="s">
        <v>70</v>
      </c>
      <c r="J4013" t="s">
        <v>71</v>
      </c>
      <c r="K4013">
        <v>7107.21</v>
      </c>
      <c r="L4013">
        <v>136.76</v>
      </c>
      <c r="M4013" t="s">
        <v>2290</v>
      </c>
      <c r="N4013">
        <v>136842</v>
      </c>
      <c r="P4013">
        <v>20.04</v>
      </c>
      <c r="R4013">
        <v>2.63</v>
      </c>
      <c r="S4013">
        <v>1.62</v>
      </c>
      <c r="T4013" t="s">
        <v>193</v>
      </c>
      <c r="U4013">
        <v>0.4</v>
      </c>
      <c r="V4013" t="s">
        <v>1440</v>
      </c>
      <c r="W4013" t="s">
        <v>164</v>
      </c>
      <c r="X4013" t="s">
        <v>164</v>
      </c>
      <c r="Y4013" t="s">
        <v>164</v>
      </c>
      <c r="Z4013" t="s">
        <v>4074</v>
      </c>
      <c r="AA4013">
        <v>-2.29</v>
      </c>
      <c r="AB4013" t="s">
        <v>3561</v>
      </c>
      <c r="AC4013" t="s">
        <v>12863</v>
      </c>
      <c r="AD4013" t="s">
        <v>15794</v>
      </c>
      <c r="AE4013" t="s">
        <v>3528</v>
      </c>
      <c r="AF4013" t="s">
        <v>4316</v>
      </c>
      <c r="AG4013" t="s">
        <v>6162</v>
      </c>
      <c r="AH4013" t="s">
        <v>2667</v>
      </c>
      <c r="AI4013" t="s">
        <v>9225</v>
      </c>
      <c r="AJ4013" t="s">
        <v>1998</v>
      </c>
      <c r="AK4013" t="s">
        <v>21437</v>
      </c>
      <c r="AL4013">
        <v>0.93</v>
      </c>
      <c r="AM4013">
        <v>0.53</v>
      </c>
      <c r="AN4013">
        <v>0.44</v>
      </c>
      <c r="AO4013" t="s">
        <v>12535</v>
      </c>
      <c r="AP4013" t="s">
        <v>4819</v>
      </c>
      <c r="AQ4013" t="s">
        <v>15172</v>
      </c>
      <c r="AR4013" t="s">
        <v>1599</v>
      </c>
      <c r="AS4013" t="s">
        <v>3208</v>
      </c>
      <c r="AT4013" t="s">
        <v>1864</v>
      </c>
      <c r="AU4013" t="s">
        <v>13366</v>
      </c>
      <c r="AV4013" t="s">
        <v>684</v>
      </c>
      <c r="AW4013" t="s">
        <v>500</v>
      </c>
      <c r="AX4013" t="s">
        <v>2678</v>
      </c>
      <c r="AY4013" t="s">
        <v>500</v>
      </c>
      <c r="AZ4013" t="s">
        <v>23357</v>
      </c>
      <c r="BA4013">
        <v>2.14</v>
      </c>
      <c r="BB4013">
        <v>556.33000000000004</v>
      </c>
      <c r="BC4013">
        <v>0.87</v>
      </c>
      <c r="BD4013">
        <v>136.30000000000001</v>
      </c>
      <c r="BE4013">
        <v>139.06</v>
      </c>
      <c r="BF4013">
        <v>135.86000000000001</v>
      </c>
      <c r="BG4013" t="s">
        <v>31650</v>
      </c>
      <c r="BH4013" t="s">
        <v>10420</v>
      </c>
      <c r="BI4013" t="s">
        <v>31651</v>
      </c>
      <c r="BJ4013" t="s">
        <v>101</v>
      </c>
      <c r="BK4013" t="s">
        <v>4829</v>
      </c>
      <c r="BL4013" t="s">
        <v>5864</v>
      </c>
      <c r="BM4013" t="s">
        <v>7690</v>
      </c>
      <c r="BN4013" t="s">
        <v>27621</v>
      </c>
    </row>
    <row r="4014" spans="1:66" x14ac:dyDescent="0.25">
      <c r="A4014" t="str">
        <f>HYPERLINK("https://elite.finviz.com/quote.ashx?t=IMMR&amp;ty=c&amp;p=d&amp;b=1", "IMMR")</f>
        <v>IMMR</v>
      </c>
      <c r="B4014">
        <v>4</v>
      </c>
      <c r="C4014">
        <v>105.92</v>
      </c>
      <c r="D4014">
        <v>46.79</v>
      </c>
      <c r="E4014" t="s">
        <v>31652</v>
      </c>
      <c r="F4014" t="s">
        <v>67</v>
      </c>
      <c r="G4014" t="s">
        <v>108</v>
      </c>
      <c r="H4014" t="s">
        <v>136</v>
      </c>
      <c r="I4014" t="s">
        <v>70</v>
      </c>
      <c r="J4014" t="s">
        <v>321</v>
      </c>
      <c r="K4014">
        <v>228.4</v>
      </c>
      <c r="L4014">
        <v>7.05</v>
      </c>
      <c r="M4014" t="s">
        <v>770</v>
      </c>
      <c r="N4014">
        <v>46035</v>
      </c>
      <c r="O4014">
        <v>2.7</v>
      </c>
      <c r="R4014">
        <v>0.18</v>
      </c>
      <c r="S4014">
        <v>0.72</v>
      </c>
      <c r="T4014" t="s">
        <v>4493</v>
      </c>
      <c r="U4014">
        <v>0.13</v>
      </c>
      <c r="V4014" t="s">
        <v>13902</v>
      </c>
      <c r="AA4014">
        <v>2.61</v>
      </c>
      <c r="AB4014" t="s">
        <v>31653</v>
      </c>
      <c r="AC4014" t="s">
        <v>10517</v>
      </c>
      <c r="AE4014" t="s">
        <v>31654</v>
      </c>
      <c r="AF4014" t="s">
        <v>891</v>
      </c>
      <c r="AG4014" t="s">
        <v>12589</v>
      </c>
      <c r="AH4014" t="s">
        <v>31655</v>
      </c>
      <c r="AI4014" t="s">
        <v>31656</v>
      </c>
      <c r="AJ4014" t="s">
        <v>4699</v>
      </c>
      <c r="AK4014" t="s">
        <v>31657</v>
      </c>
      <c r="AL4014">
        <v>1.72</v>
      </c>
      <c r="AM4014">
        <v>1.04</v>
      </c>
      <c r="AN4014">
        <v>1.01</v>
      </c>
      <c r="AO4014" t="s">
        <v>15109</v>
      </c>
      <c r="AP4014" t="s">
        <v>2861</v>
      </c>
      <c r="AQ4014" t="s">
        <v>1160</v>
      </c>
      <c r="AR4014" t="s">
        <v>4255</v>
      </c>
      <c r="AS4014" t="s">
        <v>2430</v>
      </c>
      <c r="AT4014" t="s">
        <v>148</v>
      </c>
      <c r="AU4014" t="s">
        <v>3495</v>
      </c>
      <c r="AV4014" t="s">
        <v>5964</v>
      </c>
      <c r="AW4014" t="s">
        <v>7525</v>
      </c>
      <c r="AX4014" t="s">
        <v>6459</v>
      </c>
      <c r="AY4014" t="s">
        <v>17843</v>
      </c>
      <c r="AZ4014" t="s">
        <v>875</v>
      </c>
      <c r="BA4014">
        <v>2</v>
      </c>
      <c r="BB4014">
        <v>415.84</v>
      </c>
      <c r="BC4014">
        <v>0.39</v>
      </c>
      <c r="BD4014">
        <v>7.06</v>
      </c>
      <c r="BE4014">
        <v>7.06</v>
      </c>
      <c r="BF4014">
        <v>7.01</v>
      </c>
      <c r="BG4014" t="s">
        <v>31658</v>
      </c>
      <c r="BH4014" t="s">
        <v>22338</v>
      </c>
      <c r="BI4014" t="s">
        <v>31659</v>
      </c>
      <c r="BJ4014" t="s">
        <v>101</v>
      </c>
      <c r="BK4014" t="s">
        <v>2332</v>
      </c>
      <c r="BL4014" t="s">
        <v>9083</v>
      </c>
      <c r="BM4014" t="s">
        <v>23606</v>
      </c>
      <c r="BN4014" t="s">
        <v>27621</v>
      </c>
    </row>
    <row r="4015" spans="1:66" x14ac:dyDescent="0.25">
      <c r="A4015" t="str">
        <f>HYPERLINK("https://elite.finviz.com/quote.ashx?t=CWEN-A&amp;ty=c&amp;p=d&amp;b=1", "CWEN-A")</f>
        <v>CWEN-A</v>
      </c>
      <c r="B4015">
        <v>4</v>
      </c>
      <c r="C4015">
        <v>105.92</v>
      </c>
      <c r="D4015">
        <v>46.79</v>
      </c>
      <c r="E4015" t="s">
        <v>31006</v>
      </c>
      <c r="F4015" t="s">
        <v>107</v>
      </c>
      <c r="G4015" t="s">
        <v>287</v>
      </c>
      <c r="H4015" t="s">
        <v>288</v>
      </c>
      <c r="I4015" t="s">
        <v>70</v>
      </c>
      <c r="J4015" t="s">
        <v>71</v>
      </c>
      <c r="K4015">
        <v>5734.97</v>
      </c>
      <c r="L4015">
        <v>27.21</v>
      </c>
      <c r="M4015" t="s">
        <v>2125</v>
      </c>
      <c r="N4015">
        <v>46651</v>
      </c>
      <c r="O4015">
        <v>42.24</v>
      </c>
      <c r="P4015">
        <v>34.53</v>
      </c>
      <c r="Q4015">
        <v>12.17</v>
      </c>
      <c r="R4015">
        <v>3.89</v>
      </c>
      <c r="S4015">
        <v>1.73</v>
      </c>
      <c r="T4015" t="s">
        <v>10237</v>
      </c>
      <c r="U4015">
        <v>1.74</v>
      </c>
      <c r="W4015" t="s">
        <v>5114</v>
      </c>
      <c r="X4015" t="s">
        <v>3228</v>
      </c>
      <c r="Y4015" t="s">
        <v>10611</v>
      </c>
      <c r="Z4015" t="s">
        <v>31007</v>
      </c>
      <c r="AA4015">
        <v>0.64</v>
      </c>
      <c r="AB4015" t="s">
        <v>7807</v>
      </c>
      <c r="AD4015" t="s">
        <v>2941</v>
      </c>
      <c r="AE4015" t="s">
        <v>8425</v>
      </c>
      <c r="AF4015" t="s">
        <v>4275</v>
      </c>
      <c r="AG4015" t="s">
        <v>2816</v>
      </c>
      <c r="AH4015" t="s">
        <v>1574</v>
      </c>
      <c r="AI4015" t="s">
        <v>23343</v>
      </c>
      <c r="AJ4015" t="s">
        <v>164</v>
      </c>
      <c r="AK4015" t="s">
        <v>2825</v>
      </c>
      <c r="AL4015">
        <v>1.42</v>
      </c>
      <c r="AM4015">
        <v>1.34</v>
      </c>
      <c r="AN4015">
        <v>5.05</v>
      </c>
      <c r="AO4015" t="s">
        <v>18267</v>
      </c>
      <c r="AP4015" t="s">
        <v>6747</v>
      </c>
      <c r="AQ4015" t="s">
        <v>322</v>
      </c>
      <c r="AR4015" t="s">
        <v>4856</v>
      </c>
      <c r="AS4015" t="s">
        <v>2175</v>
      </c>
      <c r="AT4015" t="s">
        <v>4801</v>
      </c>
      <c r="AU4015" t="s">
        <v>9600</v>
      </c>
      <c r="AV4015" t="s">
        <v>4538</v>
      </c>
      <c r="AW4015" t="s">
        <v>20524</v>
      </c>
      <c r="AX4015" t="s">
        <v>4294</v>
      </c>
      <c r="AY4015" t="s">
        <v>20524</v>
      </c>
      <c r="AZ4015" t="s">
        <v>3741</v>
      </c>
      <c r="BA4015">
        <v>1.25</v>
      </c>
      <c r="BB4015">
        <v>218.59</v>
      </c>
      <c r="BC4015">
        <v>0.75</v>
      </c>
      <c r="BD4015">
        <v>26.97</v>
      </c>
      <c r="BE4015">
        <v>27.42</v>
      </c>
      <c r="BF4015">
        <v>27.16</v>
      </c>
      <c r="BG4015" t="s">
        <v>31660</v>
      </c>
      <c r="BH4015" t="s">
        <v>15455</v>
      </c>
      <c r="BI4015" t="s">
        <v>31661</v>
      </c>
      <c r="BJ4015" t="s">
        <v>101</v>
      </c>
      <c r="BK4015" t="s">
        <v>1323</v>
      </c>
      <c r="BL4015" t="s">
        <v>405</v>
      </c>
      <c r="BM4015" t="s">
        <v>3466</v>
      </c>
      <c r="BN4015" t="s">
        <v>27621</v>
      </c>
    </row>
    <row r="4016" spans="1:66" x14ac:dyDescent="0.25">
      <c r="A4016" t="str">
        <f>HYPERLINK("https://elite.finviz.com/quote.ashx?t=MSAI&amp;ty=c&amp;p=d&amp;b=1", "MSAI")</f>
        <v>MSAI</v>
      </c>
      <c r="B4016">
        <v>4</v>
      </c>
      <c r="C4016">
        <v>105.92</v>
      </c>
      <c r="D4016">
        <v>46.83</v>
      </c>
      <c r="E4016" t="s">
        <v>31662</v>
      </c>
      <c r="F4016" t="s">
        <v>107</v>
      </c>
      <c r="G4016" t="s">
        <v>108</v>
      </c>
      <c r="H4016" t="s">
        <v>109</v>
      </c>
      <c r="I4016" t="s">
        <v>70</v>
      </c>
      <c r="J4016" t="s">
        <v>321</v>
      </c>
      <c r="K4016">
        <v>24.16</v>
      </c>
      <c r="L4016">
        <v>0.7</v>
      </c>
      <c r="M4016" t="s">
        <v>3454</v>
      </c>
      <c r="N4016">
        <v>9530</v>
      </c>
      <c r="R4016">
        <v>4.32</v>
      </c>
      <c r="S4016">
        <v>2.44</v>
      </c>
      <c r="AA4016">
        <v>-0.67</v>
      </c>
      <c r="AB4016" t="s">
        <v>31663</v>
      </c>
      <c r="AH4016" t="s">
        <v>13402</v>
      </c>
      <c r="AI4016" t="s">
        <v>16614</v>
      </c>
      <c r="AJ4016" t="s">
        <v>7429</v>
      </c>
      <c r="AK4016" t="s">
        <v>9986</v>
      </c>
      <c r="AL4016">
        <v>1.99</v>
      </c>
      <c r="AM4016">
        <v>1.06</v>
      </c>
      <c r="AN4016">
        <v>0.01</v>
      </c>
      <c r="AO4016" t="s">
        <v>4436</v>
      </c>
      <c r="AP4016" t="s">
        <v>31664</v>
      </c>
      <c r="AQ4016" t="s">
        <v>31665</v>
      </c>
      <c r="AR4016" t="s">
        <v>1495</v>
      </c>
      <c r="AS4016" t="s">
        <v>710</v>
      </c>
      <c r="AT4016" t="s">
        <v>4065</v>
      </c>
      <c r="AU4016" t="s">
        <v>8933</v>
      </c>
      <c r="AV4016" t="s">
        <v>11820</v>
      </c>
      <c r="AW4016" t="s">
        <v>8407</v>
      </c>
      <c r="AX4016" t="s">
        <v>2887</v>
      </c>
      <c r="AY4016" t="s">
        <v>31666</v>
      </c>
      <c r="AZ4016" t="s">
        <v>4871</v>
      </c>
      <c r="BA4016">
        <v>1</v>
      </c>
      <c r="BB4016">
        <v>119.4</v>
      </c>
      <c r="BC4016">
        <v>0.28000000000000003</v>
      </c>
      <c r="BD4016">
        <v>0.68</v>
      </c>
      <c r="BE4016">
        <v>0.7</v>
      </c>
      <c r="BF4016">
        <v>0.68</v>
      </c>
      <c r="BG4016" t="s">
        <v>31667</v>
      </c>
      <c r="BH4016" t="s">
        <v>28842</v>
      </c>
      <c r="BI4016" t="s">
        <v>4871</v>
      </c>
      <c r="BJ4016" t="s">
        <v>101</v>
      </c>
      <c r="BK4016" t="s">
        <v>1663</v>
      </c>
      <c r="BL4016" t="s">
        <v>31668</v>
      </c>
      <c r="BM4016" t="s">
        <v>26484</v>
      </c>
      <c r="BN4016" t="s">
        <v>27621</v>
      </c>
    </row>
    <row r="4017" spans="1:66" x14ac:dyDescent="0.25">
      <c r="A4017" t="str">
        <f>HYPERLINK("https://elite.finviz.com/quote.ashx?t=SSTK&amp;ty=c&amp;p=d&amp;b=1", "SSTK")</f>
        <v>SSTK</v>
      </c>
      <c r="B4017">
        <v>4</v>
      </c>
      <c r="C4017">
        <v>105.92</v>
      </c>
      <c r="D4017">
        <v>46.85</v>
      </c>
      <c r="E4017" t="s">
        <v>31669</v>
      </c>
      <c r="F4017" t="s">
        <v>67</v>
      </c>
      <c r="G4017" t="s">
        <v>598</v>
      </c>
      <c r="H4017" t="s">
        <v>599</v>
      </c>
      <c r="I4017" t="s">
        <v>70</v>
      </c>
      <c r="J4017" t="s">
        <v>71</v>
      </c>
      <c r="K4017">
        <v>729.79</v>
      </c>
      <c r="L4017">
        <v>20.57</v>
      </c>
      <c r="M4017" t="s">
        <v>497</v>
      </c>
      <c r="N4017">
        <v>17696</v>
      </c>
      <c r="O4017">
        <v>11.41</v>
      </c>
      <c r="P4017">
        <v>9.33</v>
      </c>
      <c r="R4017">
        <v>0.72</v>
      </c>
      <c r="S4017">
        <v>1.24</v>
      </c>
      <c r="T4017" t="s">
        <v>1886</v>
      </c>
      <c r="U4017">
        <v>1.29</v>
      </c>
      <c r="V4017" t="s">
        <v>6223</v>
      </c>
      <c r="W4017" t="s">
        <v>821</v>
      </c>
      <c r="X4017" t="s">
        <v>5224</v>
      </c>
      <c r="Z4017" t="s">
        <v>31670</v>
      </c>
      <c r="AA4017">
        <v>1.8</v>
      </c>
      <c r="AB4017" t="s">
        <v>14268</v>
      </c>
      <c r="AC4017" t="s">
        <v>10221</v>
      </c>
      <c r="AE4017" t="s">
        <v>10200</v>
      </c>
      <c r="AF4017" t="s">
        <v>9186</v>
      </c>
      <c r="AG4017" t="s">
        <v>6392</v>
      </c>
      <c r="AH4017" t="s">
        <v>8327</v>
      </c>
      <c r="AI4017" t="s">
        <v>12165</v>
      </c>
      <c r="AJ4017" t="s">
        <v>164</v>
      </c>
      <c r="AK4017" t="s">
        <v>21042</v>
      </c>
      <c r="AL4017">
        <v>0.49</v>
      </c>
      <c r="AM4017">
        <v>0.49</v>
      </c>
      <c r="AN4017">
        <v>0.51</v>
      </c>
      <c r="AO4017" t="s">
        <v>5065</v>
      </c>
      <c r="AP4017" t="s">
        <v>863</v>
      </c>
      <c r="AQ4017" t="s">
        <v>3777</v>
      </c>
      <c r="AR4017" t="s">
        <v>2700</v>
      </c>
      <c r="AS4017" t="s">
        <v>2522</v>
      </c>
      <c r="AT4017" t="s">
        <v>11830</v>
      </c>
      <c r="AU4017" t="s">
        <v>770</v>
      </c>
      <c r="AV4017" t="s">
        <v>703</v>
      </c>
      <c r="AW4017" t="s">
        <v>6660</v>
      </c>
      <c r="AX4017" t="s">
        <v>4747</v>
      </c>
      <c r="AY4017" t="s">
        <v>9604</v>
      </c>
      <c r="AZ4017" t="s">
        <v>29056</v>
      </c>
      <c r="BA4017">
        <v>2.33</v>
      </c>
      <c r="BB4017">
        <v>253.28</v>
      </c>
      <c r="BC4017">
        <v>0.25</v>
      </c>
      <c r="BD4017">
        <v>20.53</v>
      </c>
      <c r="BE4017">
        <v>20.88</v>
      </c>
      <c r="BF4017">
        <v>20.56</v>
      </c>
      <c r="BG4017" t="s">
        <v>31671</v>
      </c>
      <c r="BH4017" t="s">
        <v>31672</v>
      </c>
      <c r="BI4017" t="s">
        <v>29056</v>
      </c>
      <c r="BJ4017" t="s">
        <v>101</v>
      </c>
      <c r="BK4017" t="s">
        <v>7945</v>
      </c>
      <c r="BL4017" t="s">
        <v>5128</v>
      </c>
      <c r="BM4017" t="s">
        <v>24953</v>
      </c>
      <c r="BN4017" t="s">
        <v>27621</v>
      </c>
    </row>
    <row r="4018" spans="1:66" x14ac:dyDescent="0.25">
      <c r="A4018" t="str">
        <f>HYPERLINK("https://elite.finviz.com/quote.ashx?t=ONEW&amp;ty=c&amp;p=d&amp;b=1", "ONEW")</f>
        <v>ONEW</v>
      </c>
      <c r="B4018">
        <v>4</v>
      </c>
      <c r="C4018">
        <v>105.92</v>
      </c>
      <c r="D4018">
        <v>46.89</v>
      </c>
      <c r="E4018" t="s">
        <v>31673</v>
      </c>
      <c r="F4018" t="s">
        <v>67</v>
      </c>
      <c r="G4018" t="s">
        <v>813</v>
      </c>
      <c r="H4018" t="s">
        <v>2262</v>
      </c>
      <c r="I4018" t="s">
        <v>70</v>
      </c>
      <c r="J4018" t="s">
        <v>321</v>
      </c>
      <c r="K4018">
        <v>258.66000000000003</v>
      </c>
      <c r="L4018">
        <v>15.8</v>
      </c>
      <c r="M4018" t="s">
        <v>240</v>
      </c>
      <c r="N4018">
        <v>23506</v>
      </c>
      <c r="P4018">
        <v>12.88</v>
      </c>
      <c r="R4018">
        <v>0.14000000000000001</v>
      </c>
      <c r="S4018">
        <v>0.66</v>
      </c>
      <c r="V4018" t="s">
        <v>31674</v>
      </c>
      <c r="AA4018">
        <v>-0.81</v>
      </c>
      <c r="AD4018" t="s">
        <v>25391</v>
      </c>
      <c r="AE4018" t="s">
        <v>10774</v>
      </c>
      <c r="AF4018" t="s">
        <v>3560</v>
      </c>
      <c r="AG4018" t="s">
        <v>12687</v>
      </c>
      <c r="AH4018" t="s">
        <v>3118</v>
      </c>
      <c r="AI4018" t="s">
        <v>13104</v>
      </c>
      <c r="AJ4018" t="s">
        <v>4801</v>
      </c>
      <c r="AK4018" t="s">
        <v>20953</v>
      </c>
      <c r="AL4018">
        <v>1.23</v>
      </c>
      <c r="AM4018">
        <v>0.37</v>
      </c>
      <c r="AN4018">
        <v>2.52</v>
      </c>
      <c r="AO4018" t="s">
        <v>5471</v>
      </c>
      <c r="AP4018" t="s">
        <v>305</v>
      </c>
      <c r="AQ4018" t="s">
        <v>1202</v>
      </c>
      <c r="AR4018" t="s">
        <v>5554</v>
      </c>
      <c r="AS4018" t="s">
        <v>4142</v>
      </c>
      <c r="AT4018" t="s">
        <v>1413</v>
      </c>
      <c r="AU4018" t="s">
        <v>5070</v>
      </c>
      <c r="AV4018" t="s">
        <v>575</v>
      </c>
      <c r="AW4018" t="s">
        <v>25135</v>
      </c>
      <c r="AX4018" t="s">
        <v>4074</v>
      </c>
      <c r="AY4018" t="s">
        <v>23361</v>
      </c>
      <c r="AZ4018" t="s">
        <v>5364</v>
      </c>
      <c r="BA4018">
        <v>2</v>
      </c>
      <c r="BB4018">
        <v>130.12</v>
      </c>
      <c r="BC4018">
        <v>0.64</v>
      </c>
      <c r="BD4018">
        <v>15.92</v>
      </c>
      <c r="BE4018">
        <v>15.92</v>
      </c>
      <c r="BF4018">
        <v>15.43</v>
      </c>
      <c r="BG4018" t="s">
        <v>31675</v>
      </c>
      <c r="BH4018" t="s">
        <v>26437</v>
      </c>
      <c r="BI4018" t="s">
        <v>31676</v>
      </c>
      <c r="BJ4018" t="s">
        <v>101</v>
      </c>
      <c r="BK4018" t="s">
        <v>1342</v>
      </c>
      <c r="BL4018" t="s">
        <v>2632</v>
      </c>
      <c r="BM4018" t="s">
        <v>29100</v>
      </c>
      <c r="BN4018" t="s">
        <v>27621</v>
      </c>
    </row>
    <row r="4019" spans="1:66" x14ac:dyDescent="0.25">
      <c r="A4019" t="str">
        <f>HYPERLINK("https://elite.finviz.com/quote.ashx?t=ACTG&amp;ty=c&amp;p=d&amp;b=1", "ACTG")</f>
        <v>ACTG</v>
      </c>
      <c r="B4019">
        <v>4</v>
      </c>
      <c r="C4019">
        <v>105.92</v>
      </c>
      <c r="D4019">
        <v>46.89</v>
      </c>
      <c r="E4019" t="s">
        <v>31677</v>
      </c>
      <c r="F4019" t="s">
        <v>67</v>
      </c>
      <c r="G4019" t="s">
        <v>260</v>
      </c>
      <c r="H4019" t="s">
        <v>16271</v>
      </c>
      <c r="I4019" t="s">
        <v>70</v>
      </c>
      <c r="J4019" t="s">
        <v>321</v>
      </c>
      <c r="K4019">
        <v>315.86</v>
      </c>
      <c r="L4019">
        <v>3.28</v>
      </c>
      <c r="M4019" t="s">
        <v>84</v>
      </c>
      <c r="N4019">
        <v>14735</v>
      </c>
      <c r="R4019">
        <v>1.27</v>
      </c>
      <c r="S4019">
        <v>0.46</v>
      </c>
      <c r="V4019" t="s">
        <v>31678</v>
      </c>
      <c r="AA4019">
        <v>-0.06</v>
      </c>
      <c r="AC4019" t="s">
        <v>3118</v>
      </c>
      <c r="AE4019" t="s">
        <v>1386</v>
      </c>
      <c r="AF4019" t="s">
        <v>2371</v>
      </c>
      <c r="AG4019" t="s">
        <v>17175</v>
      </c>
      <c r="AH4019" t="s">
        <v>31679</v>
      </c>
      <c r="AI4019" t="s">
        <v>2914</v>
      </c>
      <c r="AJ4019" t="s">
        <v>822</v>
      </c>
      <c r="AK4019" t="s">
        <v>2153</v>
      </c>
      <c r="AL4019">
        <v>8.8000000000000007</v>
      </c>
      <c r="AM4019">
        <v>8.2899999999999991</v>
      </c>
      <c r="AN4019">
        <v>0.22</v>
      </c>
      <c r="AO4019" t="s">
        <v>21792</v>
      </c>
      <c r="AP4019" t="s">
        <v>2745</v>
      </c>
      <c r="AQ4019" t="s">
        <v>91</v>
      </c>
      <c r="AR4019" t="s">
        <v>1926</v>
      </c>
      <c r="AS4019" t="s">
        <v>1100</v>
      </c>
      <c r="AT4019" t="s">
        <v>1722</v>
      </c>
      <c r="AU4019" t="s">
        <v>3114</v>
      </c>
      <c r="AV4019" t="s">
        <v>968</v>
      </c>
      <c r="AW4019" t="s">
        <v>28644</v>
      </c>
      <c r="AX4019" t="s">
        <v>197</v>
      </c>
      <c r="AY4019" t="s">
        <v>25878</v>
      </c>
      <c r="AZ4019" t="s">
        <v>12021</v>
      </c>
      <c r="BA4019">
        <v>1</v>
      </c>
      <c r="BB4019">
        <v>199.19</v>
      </c>
      <c r="BC4019">
        <v>0.26</v>
      </c>
      <c r="BD4019">
        <v>3.25</v>
      </c>
      <c r="BE4019">
        <v>3.28</v>
      </c>
      <c r="BF4019">
        <v>3.25</v>
      </c>
      <c r="BG4019" t="s">
        <v>31680</v>
      </c>
      <c r="BH4019" t="s">
        <v>31681</v>
      </c>
      <c r="BI4019" t="s">
        <v>31682</v>
      </c>
      <c r="BJ4019" t="s">
        <v>101</v>
      </c>
      <c r="BK4019" t="s">
        <v>13219</v>
      </c>
      <c r="BL4019" t="s">
        <v>6204</v>
      </c>
      <c r="BM4019" t="s">
        <v>10193</v>
      </c>
      <c r="BN4019" t="s">
        <v>27621</v>
      </c>
    </row>
    <row r="4020" spans="1:66" x14ac:dyDescent="0.25">
      <c r="A4020" t="str">
        <f>HYPERLINK("https://elite.finviz.com/quote.ashx?t=STRO&amp;ty=c&amp;p=d&amp;b=1", "STRO")</f>
        <v>STRO</v>
      </c>
      <c r="B4020">
        <v>4</v>
      </c>
      <c r="C4020">
        <v>105.92</v>
      </c>
      <c r="D4020">
        <v>46.91</v>
      </c>
      <c r="E4020" t="s">
        <v>31683</v>
      </c>
      <c r="F4020" t="s">
        <v>107</v>
      </c>
      <c r="G4020" t="s">
        <v>428</v>
      </c>
      <c r="H4020" t="s">
        <v>429</v>
      </c>
      <c r="I4020" t="s">
        <v>70</v>
      </c>
      <c r="J4020" t="s">
        <v>321</v>
      </c>
      <c r="K4020">
        <v>73</v>
      </c>
      <c r="L4020">
        <v>0.86</v>
      </c>
      <c r="M4020" t="s">
        <v>7270</v>
      </c>
      <c r="N4020">
        <v>41575</v>
      </c>
      <c r="R4020">
        <v>0.7</v>
      </c>
      <c r="AA4020">
        <v>-2.52</v>
      </c>
      <c r="AB4020" t="s">
        <v>16810</v>
      </c>
      <c r="AC4020" t="s">
        <v>1770</v>
      </c>
      <c r="AD4020" t="s">
        <v>13458</v>
      </c>
      <c r="AE4020" t="s">
        <v>31684</v>
      </c>
      <c r="AF4020" t="s">
        <v>1324</v>
      </c>
      <c r="AG4020" t="s">
        <v>3507</v>
      </c>
      <c r="AH4020" t="s">
        <v>31685</v>
      </c>
      <c r="AI4020" t="s">
        <v>26700</v>
      </c>
      <c r="AJ4020" t="s">
        <v>164</v>
      </c>
      <c r="AK4020" t="s">
        <v>31686</v>
      </c>
      <c r="AL4020">
        <v>3.12</v>
      </c>
      <c r="AM4020">
        <v>3.12</v>
      </c>
      <c r="AO4020" t="s">
        <v>30933</v>
      </c>
      <c r="AP4020" t="s">
        <v>31687</v>
      </c>
      <c r="AQ4020" t="s">
        <v>31688</v>
      </c>
      <c r="AR4020" t="s">
        <v>223</v>
      </c>
      <c r="AS4020" t="s">
        <v>5911</v>
      </c>
      <c r="AT4020" t="s">
        <v>5355</v>
      </c>
      <c r="AU4020" t="s">
        <v>5789</v>
      </c>
      <c r="AV4020" t="s">
        <v>20092</v>
      </c>
      <c r="AW4020" t="s">
        <v>23521</v>
      </c>
      <c r="AX4020" t="s">
        <v>5680</v>
      </c>
      <c r="AY4020" t="s">
        <v>9336</v>
      </c>
      <c r="AZ4020" t="s">
        <v>18511</v>
      </c>
      <c r="BA4020">
        <v>2.1</v>
      </c>
      <c r="BB4020">
        <v>690.86</v>
      </c>
      <c r="BC4020">
        <v>0.21</v>
      </c>
      <c r="BD4020">
        <v>0.87</v>
      </c>
      <c r="BE4020">
        <v>0.86</v>
      </c>
      <c r="BF4020">
        <v>0.85</v>
      </c>
      <c r="BG4020" t="s">
        <v>31689</v>
      </c>
      <c r="BH4020" t="s">
        <v>31624</v>
      </c>
      <c r="BI4020" t="s">
        <v>18511</v>
      </c>
      <c r="BJ4020" t="s">
        <v>101</v>
      </c>
      <c r="BK4020" t="s">
        <v>420</v>
      </c>
      <c r="BL4020" t="s">
        <v>9225</v>
      </c>
      <c r="BM4020" t="s">
        <v>14580</v>
      </c>
      <c r="BN4020" t="s">
        <v>27621</v>
      </c>
    </row>
    <row r="4021" spans="1:66" x14ac:dyDescent="0.25">
      <c r="A4021" t="str">
        <f>HYPERLINK("https://elite.finviz.com/quote.ashx?t=DH&amp;ty=c&amp;p=d&amp;b=1", "DH")</f>
        <v>DH</v>
      </c>
      <c r="B4021">
        <v>4</v>
      </c>
      <c r="C4021">
        <v>105.92</v>
      </c>
      <c r="D4021">
        <v>46.92</v>
      </c>
      <c r="E4021" t="s">
        <v>31690</v>
      </c>
      <c r="F4021" t="s">
        <v>67</v>
      </c>
      <c r="G4021" t="s">
        <v>428</v>
      </c>
      <c r="H4021" t="s">
        <v>2075</v>
      </c>
      <c r="I4021" t="s">
        <v>70</v>
      </c>
      <c r="J4021" t="s">
        <v>321</v>
      </c>
      <c r="K4021">
        <v>561.94000000000005</v>
      </c>
      <c r="L4021">
        <v>3.94</v>
      </c>
      <c r="M4021" t="s">
        <v>4800</v>
      </c>
      <c r="N4021">
        <v>29151</v>
      </c>
      <c r="P4021">
        <v>15.15</v>
      </c>
      <c r="R4021">
        <v>2.29</v>
      </c>
      <c r="S4021">
        <v>1.36</v>
      </c>
      <c r="AA4021">
        <v>-2.66</v>
      </c>
      <c r="AB4021" t="s">
        <v>19123</v>
      </c>
      <c r="AC4021" t="s">
        <v>28950</v>
      </c>
      <c r="AD4021" t="s">
        <v>2677</v>
      </c>
      <c r="AE4021" t="s">
        <v>10228</v>
      </c>
      <c r="AF4021" t="s">
        <v>18834</v>
      </c>
      <c r="AG4021" t="s">
        <v>4292</v>
      </c>
      <c r="AH4021" t="s">
        <v>5742</v>
      </c>
      <c r="AI4021" t="s">
        <v>8536</v>
      </c>
      <c r="AJ4021" t="s">
        <v>164</v>
      </c>
      <c r="AK4021" t="s">
        <v>13662</v>
      </c>
      <c r="AL4021">
        <v>1.56</v>
      </c>
      <c r="AM4021">
        <v>1.56</v>
      </c>
      <c r="AN4021">
        <v>0.59</v>
      </c>
      <c r="AO4021" t="s">
        <v>20413</v>
      </c>
      <c r="AP4021" t="s">
        <v>759</v>
      </c>
      <c r="AQ4021" t="s">
        <v>31691</v>
      </c>
      <c r="AR4021" t="s">
        <v>5027</v>
      </c>
      <c r="AS4021" t="s">
        <v>247</v>
      </c>
      <c r="AT4021" t="s">
        <v>14569</v>
      </c>
      <c r="AU4021" t="s">
        <v>5312</v>
      </c>
      <c r="AV4021" t="s">
        <v>3520</v>
      </c>
      <c r="AW4021" t="s">
        <v>14560</v>
      </c>
      <c r="AX4021" t="s">
        <v>3405</v>
      </c>
      <c r="AY4021" t="s">
        <v>5030</v>
      </c>
      <c r="AZ4021" t="s">
        <v>9139</v>
      </c>
      <c r="BA4021">
        <v>2.69</v>
      </c>
      <c r="BB4021">
        <v>424.76</v>
      </c>
      <c r="BC4021">
        <v>0.24</v>
      </c>
      <c r="BD4021">
        <v>3.85</v>
      </c>
      <c r="BE4021">
        <v>3.94</v>
      </c>
      <c r="BF4021">
        <v>3.86</v>
      </c>
      <c r="BG4021" t="s">
        <v>31692</v>
      </c>
      <c r="BH4021" t="s">
        <v>23446</v>
      </c>
      <c r="BI4021" t="s">
        <v>9139</v>
      </c>
      <c r="BJ4021" t="s">
        <v>101</v>
      </c>
      <c r="BK4021" t="s">
        <v>2495</v>
      </c>
      <c r="BL4021" t="s">
        <v>12398</v>
      </c>
      <c r="BM4021" t="s">
        <v>11663</v>
      </c>
      <c r="BN4021" t="s">
        <v>27621</v>
      </c>
    </row>
    <row r="4022" spans="1:66" x14ac:dyDescent="0.25">
      <c r="A4022" t="str">
        <f>HYPERLINK("https://elite.finviz.com/quote.ashx?t=ZVIA&amp;ty=c&amp;p=d&amp;b=1", "ZVIA")</f>
        <v>ZVIA</v>
      </c>
      <c r="B4022">
        <v>4</v>
      </c>
      <c r="C4022">
        <v>105.92</v>
      </c>
      <c r="D4022">
        <v>46.92</v>
      </c>
      <c r="E4022" t="s">
        <v>31693</v>
      </c>
      <c r="F4022" t="s">
        <v>67</v>
      </c>
      <c r="G4022" t="s">
        <v>2244</v>
      </c>
      <c r="H4022" t="s">
        <v>4568</v>
      </c>
      <c r="I4022" t="s">
        <v>70</v>
      </c>
      <c r="J4022" t="s">
        <v>71</v>
      </c>
      <c r="K4022">
        <v>190.67</v>
      </c>
      <c r="L4022">
        <v>2.54</v>
      </c>
      <c r="M4022" t="s">
        <v>3814</v>
      </c>
      <c r="N4022">
        <v>112692</v>
      </c>
      <c r="R4022">
        <v>1.2</v>
      </c>
      <c r="S4022">
        <v>3.23</v>
      </c>
      <c r="AA4022">
        <v>-0.23</v>
      </c>
      <c r="AB4022" t="s">
        <v>11160</v>
      </c>
      <c r="AC4022" t="s">
        <v>16662</v>
      </c>
      <c r="AD4022" t="s">
        <v>9870</v>
      </c>
      <c r="AE4022" t="s">
        <v>575</v>
      </c>
      <c r="AF4022" t="s">
        <v>4395</v>
      </c>
      <c r="AG4022" t="s">
        <v>11871</v>
      </c>
      <c r="AH4022" t="s">
        <v>4852</v>
      </c>
      <c r="AI4022" t="s">
        <v>5808</v>
      </c>
      <c r="AJ4022" t="s">
        <v>9710</v>
      </c>
      <c r="AK4022" t="s">
        <v>26137</v>
      </c>
      <c r="AL4022">
        <v>2.34</v>
      </c>
      <c r="AM4022">
        <v>1.69</v>
      </c>
      <c r="AN4022">
        <v>0.02</v>
      </c>
      <c r="AO4022" t="s">
        <v>15585</v>
      </c>
      <c r="AP4022" t="s">
        <v>15366</v>
      </c>
      <c r="AQ4022" t="s">
        <v>12181</v>
      </c>
      <c r="AR4022" t="s">
        <v>3496</v>
      </c>
      <c r="AS4022" t="s">
        <v>5620</v>
      </c>
      <c r="AT4022" t="s">
        <v>2082</v>
      </c>
      <c r="AU4022" t="s">
        <v>16522</v>
      </c>
      <c r="AV4022" t="s">
        <v>7067</v>
      </c>
      <c r="AW4022" t="s">
        <v>16759</v>
      </c>
      <c r="AX4022" t="s">
        <v>2371</v>
      </c>
      <c r="AY4022" t="s">
        <v>31694</v>
      </c>
      <c r="AZ4022" t="s">
        <v>31695</v>
      </c>
      <c r="BA4022">
        <v>1.67</v>
      </c>
      <c r="BB4022">
        <v>824.85</v>
      </c>
      <c r="BC4022">
        <v>0.48</v>
      </c>
      <c r="BD4022">
        <v>2.63</v>
      </c>
      <c r="BE4022">
        <v>2.65</v>
      </c>
      <c r="BF4022">
        <v>2.5</v>
      </c>
      <c r="BG4022" t="s">
        <v>31696</v>
      </c>
      <c r="BH4022" t="s">
        <v>31697</v>
      </c>
      <c r="BI4022" t="s">
        <v>31698</v>
      </c>
      <c r="BJ4022" t="s">
        <v>101</v>
      </c>
      <c r="BK4022" t="s">
        <v>667</v>
      </c>
      <c r="BL4022" t="s">
        <v>14157</v>
      </c>
      <c r="BM4022" t="s">
        <v>31699</v>
      </c>
      <c r="BN4022" t="s">
        <v>27621</v>
      </c>
    </row>
    <row r="4023" spans="1:66" x14ac:dyDescent="0.25">
      <c r="A4023" t="str">
        <f>HYPERLINK("https://elite.finviz.com/quote.ashx?t=ACU&amp;ty=c&amp;p=d&amp;b=1", "ACU")</f>
        <v>ACU</v>
      </c>
      <c r="B4023">
        <v>4</v>
      </c>
      <c r="C4023">
        <v>105.92</v>
      </c>
      <c r="D4023">
        <v>46.93</v>
      </c>
      <c r="E4023" t="s">
        <v>31700</v>
      </c>
      <c r="F4023" t="s">
        <v>67</v>
      </c>
      <c r="G4023" t="s">
        <v>2244</v>
      </c>
      <c r="H4023" t="s">
        <v>5311</v>
      </c>
      <c r="I4023" t="s">
        <v>70</v>
      </c>
      <c r="J4023" t="s">
        <v>383</v>
      </c>
      <c r="K4023">
        <v>156.68</v>
      </c>
      <c r="L4023">
        <v>41.24</v>
      </c>
      <c r="M4023" t="s">
        <v>1358</v>
      </c>
      <c r="N4023">
        <v>1265</v>
      </c>
      <c r="O4023">
        <v>16.37</v>
      </c>
      <c r="P4023">
        <v>18.79</v>
      </c>
      <c r="R4023">
        <v>0.81</v>
      </c>
      <c r="S4023">
        <v>1.38</v>
      </c>
      <c r="T4023" t="s">
        <v>5116</v>
      </c>
      <c r="U4023">
        <v>0.61</v>
      </c>
      <c r="V4023" t="s">
        <v>4105</v>
      </c>
      <c r="W4023" t="s">
        <v>3981</v>
      </c>
      <c r="X4023" t="s">
        <v>585</v>
      </c>
      <c r="Y4023" t="s">
        <v>371</v>
      </c>
      <c r="Z4023" t="s">
        <v>15917</v>
      </c>
      <c r="AA4023">
        <v>2.52</v>
      </c>
      <c r="AB4023" t="s">
        <v>19240</v>
      </c>
      <c r="AC4023" t="s">
        <v>4718</v>
      </c>
      <c r="AD4023" t="s">
        <v>6403</v>
      </c>
      <c r="AE4023" t="s">
        <v>3047</v>
      </c>
      <c r="AF4023" t="s">
        <v>5660</v>
      </c>
      <c r="AG4023" t="s">
        <v>4742</v>
      </c>
      <c r="AH4023" t="s">
        <v>7193</v>
      </c>
      <c r="AI4023" t="s">
        <v>31701</v>
      </c>
      <c r="AJ4023" t="s">
        <v>4155</v>
      </c>
      <c r="AK4023" t="s">
        <v>19511</v>
      </c>
      <c r="AL4023">
        <v>4.32</v>
      </c>
      <c r="AM4023">
        <v>1.88</v>
      </c>
      <c r="AN4023">
        <v>0.3</v>
      </c>
      <c r="AO4023" t="s">
        <v>16235</v>
      </c>
      <c r="AP4023" t="s">
        <v>297</v>
      </c>
      <c r="AQ4023" t="s">
        <v>3066</v>
      </c>
      <c r="AR4023" t="s">
        <v>3613</v>
      </c>
      <c r="AS4023" t="s">
        <v>3244</v>
      </c>
      <c r="AT4023" t="s">
        <v>4531</v>
      </c>
      <c r="AU4023" t="s">
        <v>2741</v>
      </c>
      <c r="AV4023" t="s">
        <v>2493</v>
      </c>
      <c r="AW4023" t="s">
        <v>4692</v>
      </c>
      <c r="AX4023" t="s">
        <v>7542</v>
      </c>
      <c r="AY4023" t="s">
        <v>10972</v>
      </c>
      <c r="AZ4023" t="s">
        <v>7290</v>
      </c>
      <c r="BA4023">
        <v>1</v>
      </c>
      <c r="BB4023">
        <v>18.329999999999998</v>
      </c>
      <c r="BC4023">
        <v>0.24</v>
      </c>
      <c r="BD4023">
        <v>41.43</v>
      </c>
      <c r="BE4023">
        <v>41.65</v>
      </c>
      <c r="BF4023">
        <v>41.24</v>
      </c>
      <c r="BG4023" t="s">
        <v>31702</v>
      </c>
      <c r="BH4023" t="s">
        <v>6197</v>
      </c>
      <c r="BI4023" t="s">
        <v>31703</v>
      </c>
      <c r="BJ4023" t="s">
        <v>101</v>
      </c>
      <c r="BK4023" t="s">
        <v>2892</v>
      </c>
      <c r="BL4023" t="s">
        <v>4865</v>
      </c>
      <c r="BM4023" t="s">
        <v>4886</v>
      </c>
      <c r="BN4023" t="s">
        <v>27621</v>
      </c>
    </row>
    <row r="4024" spans="1:66" x14ac:dyDescent="0.25">
      <c r="A4024" t="str">
        <f>HYPERLINK("https://elite.finviz.com/quote.ashx?t=VENU&amp;ty=c&amp;p=d&amp;b=1", "VENU")</f>
        <v>VENU</v>
      </c>
      <c r="B4024">
        <v>4</v>
      </c>
      <c r="C4024">
        <v>105.92</v>
      </c>
      <c r="D4024">
        <v>46.95</v>
      </c>
      <c r="E4024" t="s">
        <v>31704</v>
      </c>
      <c r="F4024" t="s">
        <v>107</v>
      </c>
      <c r="G4024" t="s">
        <v>813</v>
      </c>
      <c r="H4024" t="s">
        <v>2285</v>
      </c>
      <c r="I4024" t="s">
        <v>70</v>
      </c>
      <c r="J4024" t="s">
        <v>383</v>
      </c>
      <c r="K4024">
        <v>554.6</v>
      </c>
      <c r="L4024">
        <v>12.73</v>
      </c>
      <c r="M4024" t="s">
        <v>6871</v>
      </c>
      <c r="N4024">
        <v>2483</v>
      </c>
      <c r="P4024">
        <v>1273</v>
      </c>
      <c r="R4024">
        <v>31.32</v>
      </c>
      <c r="S4024">
        <v>5.67</v>
      </c>
      <c r="AA4024">
        <v>-1.04</v>
      </c>
      <c r="AB4024" t="s">
        <v>31705</v>
      </c>
      <c r="AF4024" t="s">
        <v>15700</v>
      </c>
      <c r="AH4024" t="s">
        <v>8808</v>
      </c>
      <c r="AI4024" t="s">
        <v>1659</v>
      </c>
      <c r="AJ4024" t="s">
        <v>1067</v>
      </c>
      <c r="AK4024" t="s">
        <v>5672</v>
      </c>
      <c r="AL4024">
        <v>2.72</v>
      </c>
      <c r="AM4024">
        <v>2.71</v>
      </c>
      <c r="AN4024">
        <v>0.62</v>
      </c>
      <c r="AO4024" t="s">
        <v>8302</v>
      </c>
      <c r="AP4024" t="s">
        <v>31706</v>
      </c>
      <c r="AQ4024" t="s">
        <v>31707</v>
      </c>
      <c r="AR4024" t="s">
        <v>2839</v>
      </c>
      <c r="AS4024" t="s">
        <v>2932</v>
      </c>
      <c r="AT4024" t="s">
        <v>4547</v>
      </c>
      <c r="AU4024" t="s">
        <v>76</v>
      </c>
      <c r="AV4024" t="s">
        <v>13792</v>
      </c>
      <c r="AW4024" t="s">
        <v>12860</v>
      </c>
      <c r="AX4024" t="s">
        <v>2291</v>
      </c>
      <c r="AY4024" t="s">
        <v>12860</v>
      </c>
      <c r="AZ4024" t="s">
        <v>31708</v>
      </c>
      <c r="BA4024">
        <v>1</v>
      </c>
      <c r="BB4024">
        <v>135.91</v>
      </c>
      <c r="BC4024">
        <v>0.06</v>
      </c>
      <c r="BD4024">
        <v>12.77</v>
      </c>
      <c r="BE4024">
        <v>13.03</v>
      </c>
      <c r="BF4024">
        <v>12.76</v>
      </c>
      <c r="BG4024" t="s">
        <v>31709</v>
      </c>
      <c r="BH4024" t="s">
        <v>12860</v>
      </c>
      <c r="BI4024" t="s">
        <v>31708</v>
      </c>
      <c r="BJ4024" t="s">
        <v>101</v>
      </c>
      <c r="BK4024" t="s">
        <v>3122</v>
      </c>
      <c r="BL4024" t="s">
        <v>1911</v>
      </c>
      <c r="BN4024" t="s">
        <v>27621</v>
      </c>
    </row>
    <row r="4025" spans="1:66" x14ac:dyDescent="0.25">
      <c r="A4025" t="str">
        <f>HYPERLINK("https://elite.finviz.com/quote.ashx?t=SLSN&amp;ty=c&amp;p=d&amp;b=1", "SLSN")</f>
        <v>SLSN</v>
      </c>
      <c r="B4025">
        <v>4</v>
      </c>
      <c r="C4025">
        <v>105.92</v>
      </c>
      <c r="D4025">
        <v>46.97</v>
      </c>
      <c r="E4025" t="s">
        <v>31710</v>
      </c>
      <c r="F4025" t="s">
        <v>67</v>
      </c>
      <c r="G4025" t="s">
        <v>2244</v>
      </c>
      <c r="H4025" t="s">
        <v>5311</v>
      </c>
      <c r="I4025" t="s">
        <v>70</v>
      </c>
      <c r="J4025" t="s">
        <v>321</v>
      </c>
      <c r="K4025">
        <v>235.06</v>
      </c>
      <c r="L4025">
        <v>3.34</v>
      </c>
      <c r="M4025" t="s">
        <v>7484</v>
      </c>
      <c r="N4025">
        <v>7779</v>
      </c>
      <c r="O4025">
        <v>46.19</v>
      </c>
      <c r="R4025">
        <v>3.65</v>
      </c>
      <c r="S4025">
        <v>12.92</v>
      </c>
      <c r="Z4025" t="s">
        <v>164</v>
      </c>
      <c r="AA4025">
        <v>7.0000000000000007E-2</v>
      </c>
      <c r="AB4025" t="s">
        <v>2499</v>
      </c>
      <c r="AE4025" t="s">
        <v>15727</v>
      </c>
      <c r="AF4025" t="s">
        <v>6968</v>
      </c>
      <c r="AG4025" t="s">
        <v>7895</v>
      </c>
      <c r="AH4025" t="s">
        <v>21125</v>
      </c>
      <c r="AJ4025" t="s">
        <v>1547</v>
      </c>
      <c r="AK4025" t="s">
        <v>3958</v>
      </c>
      <c r="AL4025">
        <v>1.72</v>
      </c>
      <c r="AM4025">
        <v>0.84</v>
      </c>
      <c r="AN4025">
        <v>1.45</v>
      </c>
      <c r="AO4025" t="s">
        <v>9317</v>
      </c>
      <c r="AP4025" t="s">
        <v>10425</v>
      </c>
      <c r="AQ4025" t="s">
        <v>6791</v>
      </c>
      <c r="AR4025" t="s">
        <v>6183</v>
      </c>
      <c r="AS4025" t="s">
        <v>2231</v>
      </c>
      <c r="AT4025" t="s">
        <v>6265</v>
      </c>
      <c r="AU4025" t="s">
        <v>16493</v>
      </c>
      <c r="AV4025" t="s">
        <v>5027</v>
      </c>
      <c r="AW4025" t="s">
        <v>21319</v>
      </c>
      <c r="AX4025" t="s">
        <v>12986</v>
      </c>
      <c r="AY4025" t="s">
        <v>31711</v>
      </c>
      <c r="AZ4025" t="s">
        <v>31712</v>
      </c>
      <c r="BB4025">
        <v>93.83</v>
      </c>
      <c r="BC4025">
        <v>0.28999999999999998</v>
      </c>
      <c r="BD4025">
        <v>3.23</v>
      </c>
      <c r="BE4025">
        <v>3.39</v>
      </c>
      <c r="BF4025">
        <v>3.26</v>
      </c>
      <c r="BG4025" t="s">
        <v>31713</v>
      </c>
      <c r="BH4025" t="s">
        <v>978</v>
      </c>
      <c r="BI4025" t="s">
        <v>31714</v>
      </c>
      <c r="BJ4025" t="s">
        <v>101</v>
      </c>
      <c r="BK4025" t="s">
        <v>9245</v>
      </c>
      <c r="BL4025" t="s">
        <v>7932</v>
      </c>
      <c r="BM4025" t="s">
        <v>31715</v>
      </c>
      <c r="BN4025" t="s">
        <v>27621</v>
      </c>
    </row>
    <row r="4026" spans="1:66" x14ac:dyDescent="0.25">
      <c r="A4026" t="str">
        <f>HYPERLINK("https://elite.finviz.com/quote.ashx?t=KPRX&amp;ty=c&amp;p=d&amp;b=1", "KPRX")</f>
        <v>KPRX</v>
      </c>
      <c r="B4026">
        <v>4</v>
      </c>
      <c r="C4026">
        <v>105.92</v>
      </c>
      <c r="D4026">
        <v>47</v>
      </c>
      <c r="E4026" t="s">
        <v>31716</v>
      </c>
      <c r="F4026" t="s">
        <v>107</v>
      </c>
      <c r="G4026" t="s">
        <v>428</v>
      </c>
      <c r="H4026" t="s">
        <v>429</v>
      </c>
      <c r="I4026" t="s">
        <v>70</v>
      </c>
      <c r="J4026" t="s">
        <v>321</v>
      </c>
      <c r="K4026">
        <v>8.9600000000000009</v>
      </c>
      <c r="L4026">
        <v>2.61</v>
      </c>
      <c r="M4026" t="s">
        <v>5116</v>
      </c>
      <c r="N4026">
        <v>10315</v>
      </c>
      <c r="S4026">
        <v>0.4</v>
      </c>
      <c r="Z4026" t="s">
        <v>164</v>
      </c>
      <c r="AA4026">
        <v>-3.28</v>
      </c>
      <c r="AE4026" t="s">
        <v>579</v>
      </c>
      <c r="AG4026" t="s">
        <v>20765</v>
      </c>
      <c r="AH4026" t="s">
        <v>579</v>
      </c>
      <c r="AI4026" t="s">
        <v>6532</v>
      </c>
      <c r="AJ4026" t="s">
        <v>164</v>
      </c>
      <c r="AK4026" t="s">
        <v>13278</v>
      </c>
      <c r="AL4026">
        <v>7.76</v>
      </c>
      <c r="AM4026">
        <v>7.76</v>
      </c>
      <c r="AN4026">
        <v>0.03</v>
      </c>
      <c r="AR4026" t="s">
        <v>2384</v>
      </c>
      <c r="AS4026" t="s">
        <v>2419</v>
      </c>
      <c r="AT4026" t="s">
        <v>789</v>
      </c>
      <c r="AU4026" t="s">
        <v>4222</v>
      </c>
      <c r="AV4026" t="s">
        <v>2036</v>
      </c>
      <c r="AW4026" t="s">
        <v>10077</v>
      </c>
      <c r="AX4026" t="s">
        <v>9096</v>
      </c>
      <c r="AY4026" t="s">
        <v>12826</v>
      </c>
      <c r="AZ4026" t="s">
        <v>9096</v>
      </c>
      <c r="BA4026">
        <v>1</v>
      </c>
      <c r="BB4026">
        <v>57.97</v>
      </c>
      <c r="BC4026">
        <v>0.63</v>
      </c>
      <c r="BD4026">
        <v>2.57</v>
      </c>
      <c r="BE4026">
        <v>2.59</v>
      </c>
      <c r="BF4026">
        <v>2.57</v>
      </c>
      <c r="BG4026" t="s">
        <v>31717</v>
      </c>
      <c r="BH4026" t="s">
        <v>579</v>
      </c>
      <c r="BI4026" t="s">
        <v>9096</v>
      </c>
      <c r="BJ4026" t="s">
        <v>101</v>
      </c>
      <c r="BK4026" t="s">
        <v>10731</v>
      </c>
      <c r="BL4026" t="s">
        <v>7237</v>
      </c>
      <c r="BM4026" t="s">
        <v>805</v>
      </c>
      <c r="BN4026" t="s">
        <v>27621</v>
      </c>
    </row>
    <row r="4027" spans="1:66" x14ac:dyDescent="0.25">
      <c r="A4027" t="str">
        <f>HYPERLINK("https://elite.finviz.com/quote.ashx?t=FGBI&amp;ty=c&amp;p=d&amp;b=1", "FGBI")</f>
        <v>FGBI</v>
      </c>
      <c r="B4027">
        <v>4</v>
      </c>
      <c r="C4027">
        <v>105.92</v>
      </c>
      <c r="D4027">
        <v>47.01</v>
      </c>
      <c r="E4027" t="s">
        <v>31718</v>
      </c>
      <c r="F4027" t="s">
        <v>107</v>
      </c>
      <c r="G4027" t="s">
        <v>550</v>
      </c>
      <c r="H4027" t="s">
        <v>697</v>
      </c>
      <c r="I4027" t="s">
        <v>70</v>
      </c>
      <c r="J4027" t="s">
        <v>321</v>
      </c>
      <c r="K4027">
        <v>123.61</v>
      </c>
      <c r="L4027">
        <v>8.18</v>
      </c>
      <c r="M4027" t="s">
        <v>2374</v>
      </c>
      <c r="N4027">
        <v>155</v>
      </c>
      <c r="P4027">
        <v>13.63</v>
      </c>
      <c r="R4027">
        <v>0.53</v>
      </c>
      <c r="S4027">
        <v>0.44</v>
      </c>
      <c r="T4027" t="s">
        <v>1657</v>
      </c>
      <c r="U4027">
        <v>0.04</v>
      </c>
      <c r="V4027" t="s">
        <v>17449</v>
      </c>
      <c r="W4027" t="s">
        <v>14803</v>
      </c>
      <c r="X4027" t="s">
        <v>332</v>
      </c>
      <c r="Y4027" t="s">
        <v>3595</v>
      </c>
      <c r="Z4027" t="s">
        <v>1490</v>
      </c>
      <c r="AA4027">
        <v>-1.01</v>
      </c>
      <c r="AB4027" t="s">
        <v>14657</v>
      </c>
      <c r="AC4027" t="s">
        <v>15437</v>
      </c>
      <c r="AE4027" t="s">
        <v>9342</v>
      </c>
      <c r="AF4027" t="s">
        <v>7404</v>
      </c>
      <c r="AG4027" t="s">
        <v>14945</v>
      </c>
      <c r="AH4027" t="s">
        <v>5380</v>
      </c>
      <c r="AI4027" t="s">
        <v>31719</v>
      </c>
      <c r="AJ4027" t="s">
        <v>9130</v>
      </c>
      <c r="AK4027" t="s">
        <v>1772</v>
      </c>
      <c r="AL4027">
        <v>0.27</v>
      </c>
      <c r="AN4027">
        <v>0.75</v>
      </c>
      <c r="AP4027" t="s">
        <v>2934</v>
      </c>
      <c r="AQ4027" t="s">
        <v>5628</v>
      </c>
      <c r="AR4027" t="s">
        <v>102</v>
      </c>
      <c r="AS4027" t="s">
        <v>3832</v>
      </c>
      <c r="AT4027" t="s">
        <v>3172</v>
      </c>
      <c r="AU4027" t="s">
        <v>4065</v>
      </c>
      <c r="AV4027" t="s">
        <v>8115</v>
      </c>
      <c r="AW4027" t="s">
        <v>16883</v>
      </c>
      <c r="AX4027" t="s">
        <v>2776</v>
      </c>
      <c r="AY4027" t="s">
        <v>21067</v>
      </c>
      <c r="AZ4027" t="s">
        <v>2897</v>
      </c>
      <c r="BA4027">
        <v>3</v>
      </c>
      <c r="BB4027">
        <v>6.06</v>
      </c>
      <c r="BC4027">
        <v>0.09</v>
      </c>
      <c r="BD4027">
        <v>8.25</v>
      </c>
      <c r="BE4027">
        <v>8.18</v>
      </c>
      <c r="BF4027">
        <v>8.18</v>
      </c>
      <c r="BG4027" t="s">
        <v>31720</v>
      </c>
      <c r="BH4027" t="s">
        <v>5007</v>
      </c>
      <c r="BI4027" t="s">
        <v>8973</v>
      </c>
      <c r="BJ4027" t="s">
        <v>101</v>
      </c>
      <c r="BK4027" t="s">
        <v>2650</v>
      </c>
      <c r="BL4027" t="s">
        <v>7682</v>
      </c>
      <c r="BM4027" t="s">
        <v>22500</v>
      </c>
      <c r="BN4027" t="s">
        <v>27621</v>
      </c>
    </row>
    <row r="4028" spans="1:66" x14ac:dyDescent="0.25">
      <c r="A4028" t="str">
        <f>HYPERLINK("https://elite.finviz.com/quote.ashx?t=LNSR&amp;ty=c&amp;p=d&amp;b=1", "LNSR")</f>
        <v>LNSR</v>
      </c>
      <c r="B4028">
        <v>4</v>
      </c>
      <c r="C4028">
        <v>105.92</v>
      </c>
      <c r="D4028">
        <v>47.03</v>
      </c>
      <c r="E4028" t="s">
        <v>31721</v>
      </c>
      <c r="F4028" t="s">
        <v>67</v>
      </c>
      <c r="G4028" t="s">
        <v>428</v>
      </c>
      <c r="H4028" t="s">
        <v>2051</v>
      </c>
      <c r="I4028" t="s">
        <v>70</v>
      </c>
      <c r="J4028" t="s">
        <v>321</v>
      </c>
      <c r="K4028">
        <v>146.44</v>
      </c>
      <c r="L4028">
        <v>12.27</v>
      </c>
      <c r="M4028" t="s">
        <v>2195</v>
      </c>
      <c r="N4028">
        <v>6757</v>
      </c>
      <c r="R4028">
        <v>2.5099999999999998</v>
      </c>
      <c r="AA4028">
        <v>-4.21</v>
      </c>
      <c r="AB4028" t="s">
        <v>9731</v>
      </c>
      <c r="AC4028" t="s">
        <v>4194</v>
      </c>
      <c r="AE4028" t="s">
        <v>2966</v>
      </c>
      <c r="AF4028" t="s">
        <v>3238</v>
      </c>
      <c r="AG4028" t="s">
        <v>4079</v>
      </c>
      <c r="AH4028" t="s">
        <v>797</v>
      </c>
      <c r="AI4028" t="s">
        <v>31722</v>
      </c>
      <c r="AJ4028" t="s">
        <v>164</v>
      </c>
      <c r="AK4028" t="s">
        <v>13548</v>
      </c>
      <c r="AL4028">
        <v>1.52</v>
      </c>
      <c r="AM4028">
        <v>0.88</v>
      </c>
      <c r="AO4028" t="s">
        <v>12165</v>
      </c>
      <c r="AP4028" t="s">
        <v>23323</v>
      </c>
      <c r="AQ4028" t="s">
        <v>31723</v>
      </c>
      <c r="AR4028" t="s">
        <v>6430</v>
      </c>
      <c r="AS4028" t="s">
        <v>89</v>
      </c>
      <c r="AT4028" t="s">
        <v>2402</v>
      </c>
      <c r="AU4028" t="s">
        <v>4711</v>
      </c>
      <c r="AV4028" t="s">
        <v>3336</v>
      </c>
      <c r="AW4028" t="s">
        <v>5205</v>
      </c>
      <c r="AX4028" t="s">
        <v>636</v>
      </c>
      <c r="AY4028" t="s">
        <v>9421</v>
      </c>
      <c r="AZ4028" t="s">
        <v>31724</v>
      </c>
      <c r="BA4028">
        <v>3</v>
      </c>
      <c r="BB4028">
        <v>85.77</v>
      </c>
      <c r="BC4028">
        <v>0.28000000000000003</v>
      </c>
      <c r="BD4028">
        <v>12.06</v>
      </c>
      <c r="BE4028">
        <v>12.31</v>
      </c>
      <c r="BF4028">
        <v>12.06</v>
      </c>
      <c r="BG4028" t="s">
        <v>31725</v>
      </c>
      <c r="BH4028" t="s">
        <v>9421</v>
      </c>
      <c r="BI4028" t="s">
        <v>31726</v>
      </c>
      <c r="BJ4028" t="s">
        <v>101</v>
      </c>
      <c r="BK4028" t="s">
        <v>308</v>
      </c>
      <c r="BL4028" t="s">
        <v>4148</v>
      </c>
      <c r="BM4028" t="s">
        <v>31727</v>
      </c>
      <c r="BN4028" t="s">
        <v>27621</v>
      </c>
    </row>
    <row r="4029" spans="1:66" x14ac:dyDescent="0.25">
      <c r="A4029" t="str">
        <f>HYPERLINK("https://elite.finviz.com/quote.ashx?t=SOHO&amp;ty=c&amp;p=d&amp;b=1", "SOHO")</f>
        <v>SOHO</v>
      </c>
      <c r="B4029">
        <v>4</v>
      </c>
      <c r="C4029">
        <v>105.92</v>
      </c>
      <c r="D4029">
        <v>47.04</v>
      </c>
      <c r="E4029" t="s">
        <v>31728</v>
      </c>
      <c r="F4029" t="s">
        <v>107</v>
      </c>
      <c r="G4029" t="s">
        <v>68</v>
      </c>
      <c r="H4029" t="s">
        <v>4145</v>
      </c>
      <c r="I4029" t="s">
        <v>70</v>
      </c>
      <c r="J4029" t="s">
        <v>321</v>
      </c>
      <c r="K4029">
        <v>33.04</v>
      </c>
      <c r="L4029">
        <v>0.8</v>
      </c>
      <c r="M4029" t="s">
        <v>6430</v>
      </c>
      <c r="N4029">
        <v>15471</v>
      </c>
      <c r="R4029">
        <v>0.18</v>
      </c>
      <c r="S4029">
        <v>0.37</v>
      </c>
      <c r="V4029" t="s">
        <v>31729</v>
      </c>
      <c r="AA4029">
        <v>-0.33</v>
      </c>
      <c r="AB4029" t="s">
        <v>11734</v>
      </c>
      <c r="AC4029" t="s">
        <v>6378</v>
      </c>
      <c r="AE4029" t="s">
        <v>1952</v>
      </c>
      <c r="AF4029" t="s">
        <v>7068</v>
      </c>
      <c r="AG4029" t="s">
        <v>15000</v>
      </c>
      <c r="AH4029" t="s">
        <v>1269</v>
      </c>
      <c r="AJ4029" t="s">
        <v>164</v>
      </c>
      <c r="AK4029" t="s">
        <v>3667</v>
      </c>
      <c r="AL4029">
        <v>0.27</v>
      </c>
      <c r="AM4029">
        <v>0.27</v>
      </c>
      <c r="AN4029">
        <v>7.74</v>
      </c>
      <c r="AO4029" t="s">
        <v>8097</v>
      </c>
      <c r="AP4029" t="s">
        <v>7232</v>
      </c>
      <c r="AQ4029" t="s">
        <v>5763</v>
      </c>
      <c r="AR4029" t="s">
        <v>2912</v>
      </c>
      <c r="AS4029" t="s">
        <v>2555</v>
      </c>
      <c r="AT4029" t="s">
        <v>2357</v>
      </c>
      <c r="AU4029" t="s">
        <v>6152</v>
      </c>
      <c r="AV4029" t="s">
        <v>5928</v>
      </c>
      <c r="AW4029" t="s">
        <v>16580</v>
      </c>
      <c r="AX4029" t="s">
        <v>5024</v>
      </c>
      <c r="AY4029" t="s">
        <v>21445</v>
      </c>
      <c r="AZ4029" t="s">
        <v>4869</v>
      </c>
      <c r="BA4029">
        <v>3</v>
      </c>
      <c r="BB4029">
        <v>169.31</v>
      </c>
      <c r="BC4029">
        <v>0.32</v>
      </c>
      <c r="BD4029">
        <v>0.79</v>
      </c>
      <c r="BE4029">
        <v>0.85</v>
      </c>
      <c r="BF4029">
        <v>0.79</v>
      </c>
      <c r="BG4029" t="s">
        <v>31730</v>
      </c>
      <c r="BH4029" t="s">
        <v>26047</v>
      </c>
      <c r="BI4029" t="s">
        <v>4869</v>
      </c>
      <c r="BJ4029" t="s">
        <v>101</v>
      </c>
      <c r="BK4029" t="s">
        <v>7100</v>
      </c>
      <c r="BL4029" t="s">
        <v>16280</v>
      </c>
      <c r="BM4029" t="s">
        <v>31731</v>
      </c>
      <c r="BN4029" t="s">
        <v>27621</v>
      </c>
    </row>
    <row r="4030" spans="1:66" x14ac:dyDescent="0.25">
      <c r="A4030" t="str">
        <f>HYPERLINK("https://elite.finviz.com/quote.ashx?t=CEPO&amp;ty=c&amp;p=d&amp;b=1", "CEPO")</f>
        <v>CEPO</v>
      </c>
      <c r="B4030">
        <v>4</v>
      </c>
      <c r="C4030">
        <v>105.92</v>
      </c>
      <c r="D4030">
        <v>47.07</v>
      </c>
      <c r="E4030" t="s">
        <v>31732</v>
      </c>
      <c r="F4030" t="s">
        <v>107</v>
      </c>
      <c r="G4030" t="s">
        <v>550</v>
      </c>
      <c r="H4030" t="s">
        <v>2120</v>
      </c>
      <c r="I4030" t="s">
        <v>70</v>
      </c>
      <c r="J4030" t="s">
        <v>321</v>
      </c>
      <c r="K4030">
        <v>267.75</v>
      </c>
      <c r="L4030">
        <v>10.5</v>
      </c>
      <c r="M4030" t="s">
        <v>2638</v>
      </c>
      <c r="N4030">
        <v>25765</v>
      </c>
      <c r="O4030">
        <v>92.11</v>
      </c>
      <c r="S4030">
        <v>1.32</v>
      </c>
      <c r="AA4030">
        <v>0.11</v>
      </c>
      <c r="AB4030" t="s">
        <v>31733</v>
      </c>
      <c r="AJ4030" t="s">
        <v>164</v>
      </c>
      <c r="AK4030" t="s">
        <v>17518</v>
      </c>
      <c r="AL4030">
        <v>0.77</v>
      </c>
      <c r="AM4030">
        <v>0.77</v>
      </c>
      <c r="AN4030">
        <v>0</v>
      </c>
      <c r="AR4030" t="s">
        <v>344</v>
      </c>
      <c r="AS4030" t="s">
        <v>2734</v>
      </c>
      <c r="AT4030" t="s">
        <v>8179</v>
      </c>
      <c r="AU4030" t="s">
        <v>1356</v>
      </c>
      <c r="AV4030" t="s">
        <v>2827</v>
      </c>
      <c r="AW4030" t="s">
        <v>20332</v>
      </c>
      <c r="AX4030" t="s">
        <v>4891</v>
      </c>
      <c r="AY4030" t="s">
        <v>20332</v>
      </c>
      <c r="AZ4030" t="s">
        <v>4052</v>
      </c>
      <c r="BB4030">
        <v>555.13</v>
      </c>
      <c r="BC4030">
        <v>0.16</v>
      </c>
      <c r="BD4030">
        <v>10.51</v>
      </c>
      <c r="BE4030">
        <v>10.52</v>
      </c>
      <c r="BF4030">
        <v>10.44</v>
      </c>
      <c r="BG4030" t="s">
        <v>31734</v>
      </c>
      <c r="BH4030" t="s">
        <v>20332</v>
      </c>
      <c r="BI4030" t="s">
        <v>4052</v>
      </c>
      <c r="BJ4030" t="s">
        <v>101</v>
      </c>
      <c r="BK4030" t="s">
        <v>8829</v>
      </c>
      <c r="BL4030" t="s">
        <v>2333</v>
      </c>
      <c r="BN4030" t="s">
        <v>27621</v>
      </c>
    </row>
    <row r="4031" spans="1:66" x14ac:dyDescent="0.25">
      <c r="A4031" t="str">
        <f>HYPERLINK("https://elite.finviz.com/quote.ashx?t=CMCO&amp;ty=c&amp;p=d&amp;b=1", "CMCO")</f>
        <v>CMCO</v>
      </c>
      <c r="B4031">
        <v>4</v>
      </c>
      <c r="C4031">
        <v>105.92</v>
      </c>
      <c r="D4031">
        <v>47.07</v>
      </c>
      <c r="E4031" t="s">
        <v>31735</v>
      </c>
      <c r="F4031" t="s">
        <v>67</v>
      </c>
      <c r="G4031" t="s">
        <v>260</v>
      </c>
      <c r="H4031" t="s">
        <v>320</v>
      </c>
      <c r="I4031" t="s">
        <v>70</v>
      </c>
      <c r="J4031" t="s">
        <v>321</v>
      </c>
      <c r="K4031">
        <v>418.96</v>
      </c>
      <c r="L4031">
        <v>14.59</v>
      </c>
      <c r="M4031" t="s">
        <v>6155</v>
      </c>
      <c r="N4031">
        <v>31841</v>
      </c>
      <c r="P4031">
        <v>5.04</v>
      </c>
      <c r="R4031">
        <v>0.44</v>
      </c>
      <c r="S4031">
        <v>0.46</v>
      </c>
      <c r="T4031" t="s">
        <v>3118</v>
      </c>
      <c r="U4031">
        <v>0.28000000000000003</v>
      </c>
      <c r="V4031" t="s">
        <v>1762</v>
      </c>
      <c r="W4031" t="s">
        <v>164</v>
      </c>
      <c r="X4031" t="s">
        <v>8966</v>
      </c>
      <c r="Y4031" t="s">
        <v>7088</v>
      </c>
      <c r="AA4031">
        <v>-0.54</v>
      </c>
      <c r="AE4031" t="s">
        <v>8670</v>
      </c>
      <c r="AF4031" t="s">
        <v>617</v>
      </c>
      <c r="AG4031" t="s">
        <v>3205</v>
      </c>
      <c r="AH4031" t="s">
        <v>6127</v>
      </c>
      <c r="AI4031" t="s">
        <v>2585</v>
      </c>
      <c r="AJ4031" t="s">
        <v>6182</v>
      </c>
      <c r="AK4031" t="s">
        <v>31736</v>
      </c>
      <c r="AL4031">
        <v>1.85</v>
      </c>
      <c r="AM4031">
        <v>1.01</v>
      </c>
      <c r="AN4031">
        <v>0.6</v>
      </c>
      <c r="AO4031" t="s">
        <v>13722</v>
      </c>
      <c r="AP4031" t="s">
        <v>2419</v>
      </c>
      <c r="AQ4031" t="s">
        <v>9511</v>
      </c>
      <c r="AR4031" t="s">
        <v>121</v>
      </c>
      <c r="AS4031" t="s">
        <v>289</v>
      </c>
      <c r="AT4031" t="s">
        <v>123</v>
      </c>
      <c r="AU4031" t="s">
        <v>8053</v>
      </c>
      <c r="AV4031" t="s">
        <v>30354</v>
      </c>
      <c r="AW4031" t="s">
        <v>6529</v>
      </c>
      <c r="AX4031" t="s">
        <v>2406</v>
      </c>
      <c r="AY4031" t="s">
        <v>15309</v>
      </c>
      <c r="AZ4031" t="s">
        <v>9752</v>
      </c>
      <c r="BA4031">
        <v>1.5</v>
      </c>
      <c r="BB4031">
        <v>353.25</v>
      </c>
      <c r="BC4031">
        <v>0.32</v>
      </c>
      <c r="BD4031">
        <v>14.41</v>
      </c>
      <c r="BE4031">
        <v>14.66</v>
      </c>
      <c r="BF4031">
        <v>14.43</v>
      </c>
      <c r="BG4031" t="s">
        <v>31737</v>
      </c>
      <c r="BH4031" t="s">
        <v>28276</v>
      </c>
      <c r="BI4031" t="s">
        <v>31738</v>
      </c>
      <c r="BJ4031" t="s">
        <v>101</v>
      </c>
      <c r="BK4031" t="s">
        <v>5628</v>
      </c>
      <c r="BL4031" t="s">
        <v>15308</v>
      </c>
      <c r="BM4031" t="s">
        <v>31739</v>
      </c>
      <c r="BN4031" t="s">
        <v>27621</v>
      </c>
    </row>
    <row r="4032" spans="1:66" x14ac:dyDescent="0.25">
      <c r="A4032" t="str">
        <f>HYPERLINK("https://elite.finviz.com/quote.ashx?t=MSN&amp;ty=c&amp;p=d&amp;b=1", "MSN")</f>
        <v>MSN</v>
      </c>
      <c r="B4032">
        <v>4</v>
      </c>
      <c r="C4032">
        <v>105.92</v>
      </c>
      <c r="D4032">
        <v>47.11</v>
      </c>
      <c r="E4032" t="s">
        <v>31740</v>
      </c>
      <c r="F4032" t="s">
        <v>107</v>
      </c>
      <c r="G4032" t="s">
        <v>108</v>
      </c>
      <c r="H4032" t="s">
        <v>994</v>
      </c>
      <c r="I4032" t="s">
        <v>70</v>
      </c>
      <c r="J4032" t="s">
        <v>383</v>
      </c>
      <c r="K4032">
        <v>9.07</v>
      </c>
      <c r="L4032">
        <v>0.43</v>
      </c>
      <c r="M4032" t="s">
        <v>4168</v>
      </c>
      <c r="N4032">
        <v>80938</v>
      </c>
      <c r="R4032">
        <v>0.88</v>
      </c>
      <c r="S4032">
        <v>0.53</v>
      </c>
      <c r="V4032" t="s">
        <v>31741</v>
      </c>
      <c r="AA4032">
        <v>-0.23</v>
      </c>
      <c r="AB4032" t="s">
        <v>10170</v>
      </c>
      <c r="AC4032" t="s">
        <v>7808</v>
      </c>
      <c r="AE4032" t="s">
        <v>6028</v>
      </c>
      <c r="AF4032" t="s">
        <v>5618</v>
      </c>
      <c r="AG4032" t="s">
        <v>8086</v>
      </c>
      <c r="AH4032" t="s">
        <v>12623</v>
      </c>
      <c r="AJ4032" t="s">
        <v>164</v>
      </c>
      <c r="AK4032" t="s">
        <v>4690</v>
      </c>
      <c r="AL4032">
        <v>8.49</v>
      </c>
      <c r="AM4032">
        <v>6.53</v>
      </c>
      <c r="AN4032">
        <v>0.02</v>
      </c>
      <c r="AO4032" t="s">
        <v>7010</v>
      </c>
      <c r="AP4032" t="s">
        <v>6983</v>
      </c>
      <c r="AQ4032" t="s">
        <v>11190</v>
      </c>
      <c r="AR4032" t="s">
        <v>5847</v>
      </c>
      <c r="AS4032" t="s">
        <v>1454</v>
      </c>
      <c r="AT4032" t="s">
        <v>9085</v>
      </c>
      <c r="AU4032" t="s">
        <v>3937</v>
      </c>
      <c r="AV4032" t="s">
        <v>3896</v>
      </c>
      <c r="AW4032" t="s">
        <v>20602</v>
      </c>
      <c r="AX4032" t="s">
        <v>2297</v>
      </c>
      <c r="AY4032" t="s">
        <v>20602</v>
      </c>
      <c r="AZ4032" t="s">
        <v>31742</v>
      </c>
      <c r="BB4032">
        <v>805.58</v>
      </c>
      <c r="BC4032">
        <v>0.36</v>
      </c>
      <c r="BD4032">
        <v>0.45</v>
      </c>
      <c r="BE4032">
        <v>0.45</v>
      </c>
      <c r="BF4032">
        <v>0.4</v>
      </c>
      <c r="BG4032" t="s">
        <v>31743</v>
      </c>
      <c r="BH4032" t="s">
        <v>31744</v>
      </c>
      <c r="BI4032" t="s">
        <v>31745</v>
      </c>
      <c r="BJ4032" t="s">
        <v>101</v>
      </c>
      <c r="BK4032" t="s">
        <v>7898</v>
      </c>
      <c r="BL4032" t="s">
        <v>16855</v>
      </c>
      <c r="BM4032" t="s">
        <v>5368</v>
      </c>
      <c r="BN4032" t="s">
        <v>27621</v>
      </c>
    </row>
    <row r="4033" spans="1:66" x14ac:dyDescent="0.25">
      <c r="A4033" t="str">
        <f>HYPERLINK("https://elite.finviz.com/quote.ashx?t=MYSE&amp;ty=c&amp;p=d&amp;b=1", "MYSE")</f>
        <v>MYSE</v>
      </c>
      <c r="B4033">
        <v>4</v>
      </c>
      <c r="C4033">
        <v>105.92</v>
      </c>
      <c r="D4033">
        <v>47.12</v>
      </c>
      <c r="E4033" t="s">
        <v>31746</v>
      </c>
      <c r="F4033" t="s">
        <v>107</v>
      </c>
      <c r="G4033" t="s">
        <v>108</v>
      </c>
      <c r="H4033" t="s">
        <v>136</v>
      </c>
      <c r="I4033" t="s">
        <v>70</v>
      </c>
      <c r="J4033" t="s">
        <v>321</v>
      </c>
      <c r="K4033">
        <v>8.6199999999999992</v>
      </c>
      <c r="L4033">
        <v>2.08</v>
      </c>
      <c r="M4033" t="s">
        <v>164</v>
      </c>
      <c r="N4033">
        <v>2184</v>
      </c>
      <c r="S4033">
        <v>0.95</v>
      </c>
      <c r="AA4033">
        <v>-1.35</v>
      </c>
      <c r="AB4033" t="s">
        <v>15837</v>
      </c>
      <c r="AC4033" t="s">
        <v>7321</v>
      </c>
      <c r="AE4033" t="s">
        <v>28597</v>
      </c>
      <c r="AF4033" t="s">
        <v>31747</v>
      </c>
      <c r="AH4033" t="s">
        <v>31748</v>
      </c>
      <c r="AJ4033" t="s">
        <v>4760</v>
      </c>
      <c r="AK4033" t="s">
        <v>6525</v>
      </c>
      <c r="AL4033">
        <v>8.98</v>
      </c>
      <c r="AM4033">
        <v>8.98</v>
      </c>
      <c r="AN4033">
        <v>0.03</v>
      </c>
      <c r="AO4033" t="s">
        <v>31749</v>
      </c>
      <c r="AR4033" t="s">
        <v>5336</v>
      </c>
      <c r="AS4033" t="s">
        <v>5552</v>
      </c>
      <c r="AT4033" t="s">
        <v>3000</v>
      </c>
      <c r="AU4033" t="s">
        <v>4475</v>
      </c>
      <c r="AV4033" t="s">
        <v>11061</v>
      </c>
      <c r="AW4033" t="s">
        <v>8791</v>
      </c>
      <c r="AX4033" t="s">
        <v>2122</v>
      </c>
      <c r="AY4033" t="s">
        <v>27882</v>
      </c>
      <c r="AZ4033" t="s">
        <v>19482</v>
      </c>
      <c r="BB4033">
        <v>76.3</v>
      </c>
      <c r="BC4033">
        <v>0.1</v>
      </c>
      <c r="BD4033">
        <v>2.08</v>
      </c>
      <c r="BE4033">
        <v>2.08</v>
      </c>
      <c r="BF4033">
        <v>2.06</v>
      </c>
      <c r="BG4033" t="s">
        <v>31750</v>
      </c>
      <c r="BH4033" t="s">
        <v>31751</v>
      </c>
      <c r="BI4033" t="s">
        <v>31752</v>
      </c>
      <c r="BJ4033" t="s">
        <v>101</v>
      </c>
      <c r="BK4033" t="s">
        <v>3728</v>
      </c>
      <c r="BL4033" t="s">
        <v>31753</v>
      </c>
      <c r="BM4033" t="s">
        <v>4812</v>
      </c>
      <c r="BN4033" t="s">
        <v>27621</v>
      </c>
    </row>
    <row r="4034" spans="1:66" x14ac:dyDescent="0.25">
      <c r="A4034" t="str">
        <f>HYPERLINK("https://elite.finviz.com/quote.ashx?t=AIT&amp;ty=c&amp;p=d&amp;b=1", "AIT")</f>
        <v>AIT</v>
      </c>
      <c r="B4034">
        <v>4</v>
      </c>
      <c r="C4034">
        <v>105.92</v>
      </c>
      <c r="D4034">
        <v>47.15</v>
      </c>
      <c r="E4034" t="s">
        <v>31754</v>
      </c>
      <c r="F4034" t="s">
        <v>107</v>
      </c>
      <c r="G4034" t="s">
        <v>260</v>
      </c>
      <c r="H4034" t="s">
        <v>8107</v>
      </c>
      <c r="I4034" t="s">
        <v>70</v>
      </c>
      <c r="J4034" t="s">
        <v>71</v>
      </c>
      <c r="K4034">
        <v>9838.8700000000008</v>
      </c>
      <c r="L4034">
        <v>260.62</v>
      </c>
      <c r="M4034" t="s">
        <v>4623</v>
      </c>
      <c r="N4034">
        <v>14889</v>
      </c>
      <c r="O4034">
        <v>25.73</v>
      </c>
      <c r="P4034">
        <v>22.62</v>
      </c>
      <c r="Q4034">
        <v>3.59</v>
      </c>
      <c r="R4034">
        <v>2.16</v>
      </c>
      <c r="S4034">
        <v>5.35</v>
      </c>
      <c r="T4034" t="s">
        <v>3871</v>
      </c>
      <c r="U4034">
        <v>1.75</v>
      </c>
      <c r="V4034" t="s">
        <v>3046</v>
      </c>
      <c r="W4034" t="s">
        <v>21085</v>
      </c>
      <c r="X4034" t="s">
        <v>1960</v>
      </c>
      <c r="Y4034" t="s">
        <v>6106</v>
      </c>
      <c r="Z4034" t="s">
        <v>1626</v>
      </c>
      <c r="AA4034">
        <v>10.130000000000001</v>
      </c>
      <c r="AB4034" t="s">
        <v>310</v>
      </c>
      <c r="AC4034" t="s">
        <v>31755</v>
      </c>
      <c r="AD4034" t="s">
        <v>3688</v>
      </c>
      <c r="AE4034" t="s">
        <v>910</v>
      </c>
      <c r="AF4034" t="s">
        <v>464</v>
      </c>
      <c r="AG4034" t="s">
        <v>8852</v>
      </c>
      <c r="AH4034" t="s">
        <v>4995</v>
      </c>
      <c r="AI4034" t="s">
        <v>3672</v>
      </c>
      <c r="AJ4034" t="s">
        <v>2266</v>
      </c>
      <c r="AK4034" t="s">
        <v>18275</v>
      </c>
      <c r="AL4034">
        <v>3.32</v>
      </c>
      <c r="AM4034">
        <v>2.36</v>
      </c>
      <c r="AN4034">
        <v>0.42</v>
      </c>
      <c r="AO4034" t="s">
        <v>4503</v>
      </c>
      <c r="AP4034" t="s">
        <v>4068</v>
      </c>
      <c r="AQ4034" t="s">
        <v>2487</v>
      </c>
      <c r="AR4034" t="s">
        <v>4255</v>
      </c>
      <c r="AS4034" t="s">
        <v>5660</v>
      </c>
      <c r="AT4034" t="s">
        <v>11369</v>
      </c>
      <c r="AU4034" t="s">
        <v>2372</v>
      </c>
      <c r="AV4034" t="s">
        <v>1496</v>
      </c>
      <c r="AW4034" t="s">
        <v>3300</v>
      </c>
      <c r="AX4034" t="s">
        <v>2808</v>
      </c>
      <c r="AY4034" t="s">
        <v>5722</v>
      </c>
      <c r="AZ4034" t="s">
        <v>329</v>
      </c>
      <c r="BA4034">
        <v>1.8</v>
      </c>
      <c r="BB4034">
        <v>403.24</v>
      </c>
      <c r="BC4034">
        <v>0.13</v>
      </c>
      <c r="BD4034">
        <v>259.10000000000002</v>
      </c>
      <c r="BE4034">
        <v>262.3</v>
      </c>
      <c r="BF4034">
        <v>260.57</v>
      </c>
      <c r="BG4034" t="s">
        <v>31756</v>
      </c>
      <c r="BH4034" t="s">
        <v>5722</v>
      </c>
      <c r="BI4034" t="s">
        <v>31757</v>
      </c>
      <c r="BJ4034" t="s">
        <v>101</v>
      </c>
      <c r="BK4034" t="s">
        <v>302</v>
      </c>
      <c r="BL4034" t="s">
        <v>13830</v>
      </c>
      <c r="BM4034" t="s">
        <v>4116</v>
      </c>
      <c r="BN4034" t="s">
        <v>27621</v>
      </c>
    </row>
    <row r="4035" spans="1:66" x14ac:dyDescent="0.25">
      <c r="A4035" t="str">
        <f>HYPERLINK("https://elite.finviz.com/quote.ashx?t=LXU&amp;ty=c&amp;p=d&amp;b=1", "LXU")</f>
        <v>LXU</v>
      </c>
      <c r="B4035">
        <v>4</v>
      </c>
      <c r="C4035">
        <v>105.92</v>
      </c>
      <c r="D4035">
        <v>47.15</v>
      </c>
      <c r="E4035" t="s">
        <v>31758</v>
      </c>
      <c r="F4035" t="s">
        <v>67</v>
      </c>
      <c r="G4035" t="s">
        <v>355</v>
      </c>
      <c r="H4035" t="s">
        <v>5130</v>
      </c>
      <c r="I4035" t="s">
        <v>70</v>
      </c>
      <c r="J4035" t="s">
        <v>71</v>
      </c>
      <c r="K4035">
        <v>574.04999999999995</v>
      </c>
      <c r="L4035">
        <v>7.98</v>
      </c>
      <c r="M4035" t="s">
        <v>4328</v>
      </c>
      <c r="N4035">
        <v>30366</v>
      </c>
      <c r="P4035">
        <v>21.77</v>
      </c>
      <c r="R4035">
        <v>1.07</v>
      </c>
      <c r="S4035">
        <v>1.1599999999999999</v>
      </c>
      <c r="AA4035">
        <v>-0.46</v>
      </c>
      <c r="AB4035" t="s">
        <v>24094</v>
      </c>
      <c r="AC4035" t="s">
        <v>3603</v>
      </c>
      <c r="AE4035" t="s">
        <v>2742</v>
      </c>
      <c r="AF4035" t="s">
        <v>2190</v>
      </c>
      <c r="AG4035" t="s">
        <v>5847</v>
      </c>
      <c r="AH4035" t="s">
        <v>2446</v>
      </c>
      <c r="AI4035" t="s">
        <v>31759</v>
      </c>
      <c r="AJ4035" t="s">
        <v>5549</v>
      </c>
      <c r="AK4035" t="s">
        <v>15449</v>
      </c>
      <c r="AL4035">
        <v>2.64</v>
      </c>
      <c r="AM4035">
        <v>1.91</v>
      </c>
      <c r="AN4035">
        <v>0.99</v>
      </c>
      <c r="AO4035" t="s">
        <v>6106</v>
      </c>
      <c r="AP4035" t="s">
        <v>1067</v>
      </c>
      <c r="AQ4035" t="s">
        <v>5359</v>
      </c>
      <c r="AR4035" t="s">
        <v>3325</v>
      </c>
      <c r="AS4035" t="s">
        <v>3334</v>
      </c>
      <c r="AT4035" t="s">
        <v>5444</v>
      </c>
      <c r="AU4035" t="s">
        <v>1820</v>
      </c>
      <c r="AV4035" t="s">
        <v>1872</v>
      </c>
      <c r="AW4035" t="s">
        <v>9710</v>
      </c>
      <c r="AX4035" t="s">
        <v>7068</v>
      </c>
      <c r="AY4035" t="s">
        <v>7533</v>
      </c>
      <c r="AZ4035" t="s">
        <v>15535</v>
      </c>
      <c r="BA4035">
        <v>1.8</v>
      </c>
      <c r="BB4035">
        <v>399.16</v>
      </c>
      <c r="BC4035">
        <v>0.27</v>
      </c>
      <c r="BD4035">
        <v>8.07</v>
      </c>
      <c r="BE4035">
        <v>8.06</v>
      </c>
      <c r="BF4035">
        <v>7.95</v>
      </c>
      <c r="BG4035" t="s">
        <v>31760</v>
      </c>
      <c r="BH4035" t="s">
        <v>31761</v>
      </c>
      <c r="BI4035" t="s">
        <v>31762</v>
      </c>
      <c r="BJ4035" t="s">
        <v>101</v>
      </c>
      <c r="BK4035" t="s">
        <v>6056</v>
      </c>
      <c r="BL4035" t="s">
        <v>1360</v>
      </c>
      <c r="BM4035" t="s">
        <v>1279</v>
      </c>
      <c r="BN4035" t="s">
        <v>27621</v>
      </c>
    </row>
    <row r="4036" spans="1:66" x14ac:dyDescent="0.25">
      <c r="A4036" t="str">
        <f>HYPERLINK("https://elite.finviz.com/quote.ashx?t=ATRC&amp;ty=c&amp;p=d&amp;b=1", "ATRC")</f>
        <v>ATRC</v>
      </c>
      <c r="B4036">
        <v>4</v>
      </c>
      <c r="C4036">
        <v>105.92</v>
      </c>
      <c r="D4036">
        <v>47.18</v>
      </c>
      <c r="E4036" t="s">
        <v>31763</v>
      </c>
      <c r="F4036" t="s">
        <v>67</v>
      </c>
      <c r="G4036" t="s">
        <v>428</v>
      </c>
      <c r="H4036" t="s">
        <v>2161</v>
      </c>
      <c r="I4036" t="s">
        <v>70</v>
      </c>
      <c r="J4036" t="s">
        <v>321</v>
      </c>
      <c r="K4036">
        <v>1749.24</v>
      </c>
      <c r="L4036">
        <v>35.19</v>
      </c>
      <c r="M4036" t="s">
        <v>149</v>
      </c>
      <c r="N4036">
        <v>22351</v>
      </c>
      <c r="R4036">
        <v>3.5</v>
      </c>
      <c r="S4036">
        <v>3.77</v>
      </c>
      <c r="AA4036">
        <v>-0.77</v>
      </c>
      <c r="AC4036" t="s">
        <v>124</v>
      </c>
      <c r="AE4036" t="s">
        <v>3939</v>
      </c>
      <c r="AF4036" t="s">
        <v>14947</v>
      </c>
      <c r="AG4036" t="s">
        <v>10498</v>
      </c>
      <c r="AH4036" t="s">
        <v>2866</v>
      </c>
      <c r="AI4036" t="s">
        <v>829</v>
      </c>
      <c r="AJ4036" t="s">
        <v>4328</v>
      </c>
      <c r="AK4036" t="s">
        <v>10398</v>
      </c>
      <c r="AL4036">
        <v>3.94</v>
      </c>
      <c r="AM4036">
        <v>2.83</v>
      </c>
      <c r="AN4036">
        <v>0.17</v>
      </c>
      <c r="AO4036" t="s">
        <v>25326</v>
      </c>
      <c r="AP4036" t="s">
        <v>12274</v>
      </c>
      <c r="AQ4036" t="s">
        <v>9240</v>
      </c>
      <c r="AR4036" t="s">
        <v>1934</v>
      </c>
      <c r="AS4036" t="s">
        <v>6460</v>
      </c>
      <c r="AT4036" t="s">
        <v>5824</v>
      </c>
      <c r="AU4036" t="s">
        <v>5242</v>
      </c>
      <c r="AV4036" t="s">
        <v>4255</v>
      </c>
      <c r="AW4036" t="s">
        <v>5509</v>
      </c>
      <c r="AX4036" t="s">
        <v>5769</v>
      </c>
      <c r="AY4036" t="s">
        <v>16274</v>
      </c>
      <c r="AZ4036" t="s">
        <v>21713</v>
      </c>
      <c r="BA4036">
        <v>1</v>
      </c>
      <c r="BB4036">
        <v>515.24</v>
      </c>
      <c r="BC4036">
        <v>0.15</v>
      </c>
      <c r="BD4036">
        <v>35.03</v>
      </c>
      <c r="BE4036">
        <v>35.380000000000003</v>
      </c>
      <c r="BF4036">
        <v>35.020000000000003</v>
      </c>
      <c r="BG4036" t="s">
        <v>31764</v>
      </c>
      <c r="BH4036" t="s">
        <v>18171</v>
      </c>
      <c r="BI4036" t="s">
        <v>31765</v>
      </c>
      <c r="BJ4036" t="s">
        <v>101</v>
      </c>
      <c r="BK4036" t="s">
        <v>2984</v>
      </c>
      <c r="BL4036" t="s">
        <v>4710</v>
      </c>
      <c r="BM4036" t="s">
        <v>8694</v>
      </c>
      <c r="BN4036" t="s">
        <v>27621</v>
      </c>
    </row>
    <row r="4037" spans="1:66" x14ac:dyDescent="0.25">
      <c r="A4037" t="str">
        <f>HYPERLINK("https://elite.finviz.com/quote.ashx?t=GLIBK&amp;ty=c&amp;p=d&amp;b=1", "GLIBK")</f>
        <v>GLIBK</v>
      </c>
      <c r="B4037">
        <v>4</v>
      </c>
      <c r="C4037">
        <v>105.92</v>
      </c>
      <c r="D4037">
        <v>47.19</v>
      </c>
      <c r="E4037" t="s">
        <v>31386</v>
      </c>
      <c r="F4037" t="s">
        <v>107</v>
      </c>
      <c r="G4037" t="s">
        <v>598</v>
      </c>
      <c r="H4037" t="s">
        <v>6147</v>
      </c>
      <c r="I4037" t="s">
        <v>70</v>
      </c>
      <c r="J4037" t="s">
        <v>321</v>
      </c>
      <c r="K4037">
        <v>1013.04</v>
      </c>
      <c r="L4037">
        <v>35.26</v>
      </c>
      <c r="M4037" t="s">
        <v>1083</v>
      </c>
      <c r="N4037">
        <v>36433</v>
      </c>
      <c r="S4037">
        <v>0.69</v>
      </c>
      <c r="AF4037" t="s">
        <v>1454</v>
      </c>
      <c r="AG4037" t="s">
        <v>908</v>
      </c>
      <c r="AJ4037" t="s">
        <v>5027</v>
      </c>
      <c r="AK4037" t="s">
        <v>182</v>
      </c>
      <c r="AL4037">
        <v>1.42</v>
      </c>
      <c r="AM4037">
        <v>1.42</v>
      </c>
      <c r="AN4037">
        <v>0.72</v>
      </c>
      <c r="AR4037" t="s">
        <v>2941</v>
      </c>
      <c r="AS4037" t="s">
        <v>1769</v>
      </c>
      <c r="AT4037" t="s">
        <v>5000</v>
      </c>
      <c r="AU4037" t="s">
        <v>9084</v>
      </c>
      <c r="AV4037" t="s">
        <v>2757</v>
      </c>
      <c r="AW4037" t="s">
        <v>13090</v>
      </c>
      <c r="AX4037" t="s">
        <v>3491</v>
      </c>
      <c r="AY4037" t="s">
        <v>13090</v>
      </c>
      <c r="AZ4037" t="s">
        <v>6437</v>
      </c>
      <c r="BB4037">
        <v>472.72</v>
      </c>
      <c r="BC4037">
        <v>0.27</v>
      </c>
      <c r="BD4037">
        <v>35.19</v>
      </c>
      <c r="BE4037">
        <v>35.840000000000003</v>
      </c>
      <c r="BF4037">
        <v>34.99</v>
      </c>
      <c r="BG4037" t="s">
        <v>31766</v>
      </c>
      <c r="BH4037" t="s">
        <v>13090</v>
      </c>
      <c r="BI4037" t="s">
        <v>6437</v>
      </c>
      <c r="BJ4037" t="s">
        <v>101</v>
      </c>
      <c r="BN4037" t="s">
        <v>27621</v>
      </c>
    </row>
    <row r="4038" spans="1:66" x14ac:dyDescent="0.25">
      <c r="A4038" t="str">
        <f>HYPERLINK("https://elite.finviz.com/quote.ashx?t=LOKV&amp;ty=c&amp;p=d&amp;b=1", "LOKV")</f>
        <v>LOKV</v>
      </c>
      <c r="B4038">
        <v>4</v>
      </c>
      <c r="C4038">
        <v>105.92</v>
      </c>
      <c r="D4038">
        <v>47.23</v>
      </c>
      <c r="E4038" t="s">
        <v>31767</v>
      </c>
      <c r="F4038" t="s">
        <v>107</v>
      </c>
      <c r="G4038" t="s">
        <v>550</v>
      </c>
      <c r="H4038" t="s">
        <v>2120</v>
      </c>
      <c r="I4038" t="s">
        <v>70</v>
      </c>
      <c r="J4038" t="s">
        <v>321</v>
      </c>
      <c r="K4038">
        <v>292.95999999999998</v>
      </c>
      <c r="L4038">
        <v>10.19</v>
      </c>
      <c r="M4038" t="s">
        <v>5242</v>
      </c>
      <c r="N4038">
        <v>5244</v>
      </c>
      <c r="S4038">
        <v>1.32</v>
      </c>
      <c r="AK4038" t="s">
        <v>31768</v>
      </c>
      <c r="AL4038">
        <v>7.34</v>
      </c>
      <c r="AM4038">
        <v>7.34</v>
      </c>
      <c r="AN4038">
        <v>0</v>
      </c>
      <c r="AR4038" t="s">
        <v>2641</v>
      </c>
      <c r="AS4038" t="s">
        <v>3446</v>
      </c>
      <c r="AT4038" t="s">
        <v>580</v>
      </c>
      <c r="AU4038" t="s">
        <v>6298</v>
      </c>
      <c r="AV4038" t="s">
        <v>7568</v>
      </c>
      <c r="AW4038" t="s">
        <v>3423</v>
      </c>
      <c r="AX4038" t="s">
        <v>901</v>
      </c>
      <c r="AY4038" t="s">
        <v>10968</v>
      </c>
      <c r="AZ4038" t="s">
        <v>4323</v>
      </c>
      <c r="BB4038">
        <v>76.97</v>
      </c>
      <c r="BC4038">
        <v>0.24</v>
      </c>
      <c r="BD4038">
        <v>10.19</v>
      </c>
      <c r="BE4038">
        <v>10.19</v>
      </c>
      <c r="BF4038">
        <v>10.18</v>
      </c>
      <c r="BG4038" t="s">
        <v>31769</v>
      </c>
      <c r="BH4038" t="s">
        <v>10968</v>
      </c>
      <c r="BI4038" t="s">
        <v>4323</v>
      </c>
      <c r="BJ4038" t="s">
        <v>101</v>
      </c>
      <c r="BK4038" t="s">
        <v>10703</v>
      </c>
      <c r="BN4038" t="s">
        <v>27621</v>
      </c>
    </row>
    <row r="4039" spans="1:66" x14ac:dyDescent="0.25">
      <c r="A4039" t="str">
        <f>HYPERLINK("https://elite.finviz.com/quote.ashx?t=ATKR&amp;ty=c&amp;p=d&amp;b=1", "ATKR")</f>
        <v>ATKR</v>
      </c>
      <c r="B4039">
        <v>4</v>
      </c>
      <c r="C4039">
        <v>105.92</v>
      </c>
      <c r="D4039">
        <v>47.27</v>
      </c>
      <c r="E4039" t="s">
        <v>31770</v>
      </c>
      <c r="F4039" t="s">
        <v>67</v>
      </c>
      <c r="G4039" t="s">
        <v>260</v>
      </c>
      <c r="H4039" t="s">
        <v>1128</v>
      </c>
      <c r="I4039" t="s">
        <v>70</v>
      </c>
      <c r="J4039" t="s">
        <v>71</v>
      </c>
      <c r="K4039">
        <v>2022.71</v>
      </c>
      <c r="L4039">
        <v>60.1</v>
      </c>
      <c r="M4039" t="s">
        <v>6298</v>
      </c>
      <c r="N4039">
        <v>94497</v>
      </c>
      <c r="O4039">
        <v>19.29</v>
      </c>
      <c r="P4039">
        <v>10.99</v>
      </c>
      <c r="R4039">
        <v>0.7</v>
      </c>
      <c r="S4039">
        <v>1.38</v>
      </c>
      <c r="T4039" t="s">
        <v>581</v>
      </c>
      <c r="U4039">
        <v>1.3</v>
      </c>
      <c r="V4039" t="s">
        <v>10236</v>
      </c>
      <c r="Z4039" t="s">
        <v>2521</v>
      </c>
      <c r="AA4039">
        <v>3.11</v>
      </c>
      <c r="AB4039" t="s">
        <v>3976</v>
      </c>
      <c r="AC4039" t="s">
        <v>9304</v>
      </c>
      <c r="AD4039" t="s">
        <v>28742</v>
      </c>
      <c r="AE4039" t="s">
        <v>9083</v>
      </c>
      <c r="AF4039" t="s">
        <v>2735</v>
      </c>
      <c r="AG4039" t="s">
        <v>7361</v>
      </c>
      <c r="AH4039" t="s">
        <v>4802</v>
      </c>
      <c r="AI4039" t="s">
        <v>170</v>
      </c>
      <c r="AJ4039" t="s">
        <v>386</v>
      </c>
      <c r="AK4039" t="s">
        <v>31771</v>
      </c>
      <c r="AL4039">
        <v>3.09</v>
      </c>
      <c r="AM4039">
        <v>2.08</v>
      </c>
      <c r="AN4039">
        <v>0.64</v>
      </c>
      <c r="AO4039" t="s">
        <v>3078</v>
      </c>
      <c r="AP4039" t="s">
        <v>249</v>
      </c>
      <c r="AQ4039" t="s">
        <v>3481</v>
      </c>
      <c r="AR4039" t="s">
        <v>2808</v>
      </c>
      <c r="AS4039" t="s">
        <v>451</v>
      </c>
      <c r="AT4039" t="s">
        <v>141</v>
      </c>
      <c r="AU4039" t="s">
        <v>11628</v>
      </c>
      <c r="AV4039" t="s">
        <v>12760</v>
      </c>
      <c r="AW4039" t="s">
        <v>15473</v>
      </c>
      <c r="AX4039" t="s">
        <v>10577</v>
      </c>
      <c r="AY4039" t="s">
        <v>27682</v>
      </c>
      <c r="AZ4039" t="s">
        <v>15011</v>
      </c>
      <c r="BA4039">
        <v>2.4300000000000002</v>
      </c>
      <c r="BB4039">
        <v>627.20000000000005</v>
      </c>
      <c r="BC4039">
        <v>0.53</v>
      </c>
      <c r="BD4039">
        <v>60.52</v>
      </c>
      <c r="BE4039">
        <v>61.19</v>
      </c>
      <c r="BF4039">
        <v>59.86</v>
      </c>
      <c r="BG4039" t="s">
        <v>31772</v>
      </c>
      <c r="BH4039" t="s">
        <v>24005</v>
      </c>
      <c r="BI4039" t="s">
        <v>31773</v>
      </c>
      <c r="BJ4039" t="s">
        <v>101</v>
      </c>
      <c r="BK4039" t="s">
        <v>457</v>
      </c>
      <c r="BL4039" t="s">
        <v>4927</v>
      </c>
      <c r="BM4039" t="s">
        <v>17392</v>
      </c>
      <c r="BN4039" t="s">
        <v>27621</v>
      </c>
    </row>
    <row r="4040" spans="1:66" x14ac:dyDescent="0.25">
      <c r="A4040" t="str">
        <f>HYPERLINK("https://elite.finviz.com/quote.ashx?t=FLNT&amp;ty=c&amp;p=d&amp;b=1", "FLNT")</f>
        <v>FLNT</v>
      </c>
      <c r="B4040">
        <v>4</v>
      </c>
      <c r="C4040">
        <v>105.92</v>
      </c>
      <c r="D4040">
        <v>47.28</v>
      </c>
      <c r="E4040" t="s">
        <v>31774</v>
      </c>
      <c r="F4040" t="s">
        <v>107</v>
      </c>
      <c r="G4040" t="s">
        <v>598</v>
      </c>
      <c r="H4040" t="s">
        <v>1020</v>
      </c>
      <c r="I4040" t="s">
        <v>70</v>
      </c>
      <c r="J4040" t="s">
        <v>321</v>
      </c>
      <c r="K4040">
        <v>58.7</v>
      </c>
      <c r="L4040">
        <v>2.06</v>
      </c>
      <c r="M4040" t="s">
        <v>3634</v>
      </c>
      <c r="N4040">
        <v>17320</v>
      </c>
      <c r="R4040">
        <v>0.26</v>
      </c>
      <c r="S4040">
        <v>2.61</v>
      </c>
      <c r="AA4040">
        <v>-1.36</v>
      </c>
      <c r="AB4040" t="s">
        <v>26475</v>
      </c>
      <c r="AC4040" t="s">
        <v>25232</v>
      </c>
      <c r="AD4040" t="s">
        <v>26925</v>
      </c>
      <c r="AE4040" t="s">
        <v>1024</v>
      </c>
      <c r="AF4040" t="s">
        <v>5932</v>
      </c>
      <c r="AG4040" t="s">
        <v>1444</v>
      </c>
      <c r="AH4040" t="s">
        <v>14695</v>
      </c>
      <c r="AI4040" t="s">
        <v>10114</v>
      </c>
      <c r="AJ4040" t="s">
        <v>2906</v>
      </c>
      <c r="AK4040" t="s">
        <v>8712</v>
      </c>
      <c r="AL4040">
        <v>0.95</v>
      </c>
      <c r="AM4040">
        <v>0.95</v>
      </c>
      <c r="AN4040">
        <v>1.39</v>
      </c>
      <c r="AO4040" t="s">
        <v>17163</v>
      </c>
      <c r="AP4040" t="s">
        <v>15366</v>
      </c>
      <c r="AQ4040" t="s">
        <v>23553</v>
      </c>
      <c r="AR4040" t="s">
        <v>8852</v>
      </c>
      <c r="AS4040" t="s">
        <v>5212</v>
      </c>
      <c r="AT4040" t="s">
        <v>4763</v>
      </c>
      <c r="AU4040" t="s">
        <v>402</v>
      </c>
      <c r="AV4040" t="s">
        <v>6340</v>
      </c>
      <c r="AW4040" t="s">
        <v>29192</v>
      </c>
      <c r="AX4040" t="s">
        <v>4847</v>
      </c>
      <c r="AY4040" t="s">
        <v>31775</v>
      </c>
      <c r="AZ4040" t="s">
        <v>13757</v>
      </c>
      <c r="BA4040">
        <v>3</v>
      </c>
      <c r="BB4040">
        <v>666.44</v>
      </c>
      <c r="BC4040">
        <v>0.09</v>
      </c>
      <c r="BD4040">
        <v>2.08</v>
      </c>
      <c r="BE4040">
        <v>2.12</v>
      </c>
      <c r="BF4040">
        <v>2.0499999999999998</v>
      </c>
      <c r="BG4040" t="s">
        <v>31776</v>
      </c>
      <c r="BH4040" t="s">
        <v>11122</v>
      </c>
      <c r="BI4040" t="s">
        <v>13757</v>
      </c>
      <c r="BJ4040" t="s">
        <v>101</v>
      </c>
      <c r="BK4040" t="s">
        <v>1657</v>
      </c>
      <c r="BL4040" t="s">
        <v>7972</v>
      </c>
      <c r="BM4040" t="s">
        <v>26724</v>
      </c>
      <c r="BN4040" t="s">
        <v>27621</v>
      </c>
    </row>
    <row r="4041" spans="1:66" x14ac:dyDescent="0.25">
      <c r="A4041" t="str">
        <f>HYPERLINK("https://elite.finviz.com/quote.ashx?t=OLB&amp;ty=c&amp;p=d&amp;b=1", "OLB")</f>
        <v>OLB</v>
      </c>
      <c r="B4041">
        <v>4</v>
      </c>
      <c r="C4041">
        <v>105.92</v>
      </c>
      <c r="D4041">
        <v>47.28</v>
      </c>
      <c r="E4041" t="s">
        <v>31777</v>
      </c>
      <c r="F4041" t="s">
        <v>107</v>
      </c>
      <c r="G4041" t="s">
        <v>108</v>
      </c>
      <c r="H4041" t="s">
        <v>109</v>
      </c>
      <c r="I4041" t="s">
        <v>70</v>
      </c>
      <c r="J4041" t="s">
        <v>321</v>
      </c>
      <c r="K4041">
        <v>11.05</v>
      </c>
      <c r="L4041">
        <v>1.26</v>
      </c>
      <c r="M4041" t="s">
        <v>1067</v>
      </c>
      <c r="N4041">
        <v>18052</v>
      </c>
      <c r="R4041">
        <v>1.06</v>
      </c>
      <c r="S4041">
        <v>1.65</v>
      </c>
      <c r="AA4041">
        <v>-4.3600000000000003</v>
      </c>
      <c r="AB4041" t="s">
        <v>5885</v>
      </c>
      <c r="AC4041" t="s">
        <v>15979</v>
      </c>
      <c r="AE4041" t="s">
        <v>27195</v>
      </c>
      <c r="AF4041" t="s">
        <v>3929</v>
      </c>
      <c r="AG4041" t="s">
        <v>6459</v>
      </c>
      <c r="AH4041" t="s">
        <v>23538</v>
      </c>
      <c r="AJ4041" t="s">
        <v>164</v>
      </c>
      <c r="AK4041" t="s">
        <v>4395</v>
      </c>
      <c r="AL4041">
        <v>0.15</v>
      </c>
      <c r="AM4041">
        <v>0.15</v>
      </c>
      <c r="AN4041">
        <v>0.02</v>
      </c>
      <c r="AO4041" t="s">
        <v>20755</v>
      </c>
      <c r="AP4041" t="s">
        <v>26387</v>
      </c>
      <c r="AQ4041" t="s">
        <v>3881</v>
      </c>
      <c r="AR4041" t="s">
        <v>3115</v>
      </c>
      <c r="AS4041" t="s">
        <v>2984</v>
      </c>
      <c r="AT4041" t="s">
        <v>3757</v>
      </c>
      <c r="AU4041" t="s">
        <v>19119</v>
      </c>
      <c r="AV4041" t="s">
        <v>6734</v>
      </c>
      <c r="AW4041" t="s">
        <v>27719</v>
      </c>
      <c r="AX4041" t="s">
        <v>7631</v>
      </c>
      <c r="AY4041" t="s">
        <v>31778</v>
      </c>
      <c r="AZ4041" t="s">
        <v>7631</v>
      </c>
      <c r="BA4041">
        <v>1</v>
      </c>
      <c r="BB4041">
        <v>161.41</v>
      </c>
      <c r="BC4041">
        <v>0.4</v>
      </c>
      <c r="BD4041">
        <v>1.27</v>
      </c>
      <c r="BE4041">
        <v>1.28</v>
      </c>
      <c r="BF4041">
        <v>1.26</v>
      </c>
      <c r="BG4041" t="s">
        <v>31779</v>
      </c>
      <c r="BH4041" t="s">
        <v>5233</v>
      </c>
      <c r="BI4041" t="s">
        <v>31780</v>
      </c>
      <c r="BJ4041" t="s">
        <v>101</v>
      </c>
      <c r="BK4041" t="s">
        <v>31781</v>
      </c>
      <c r="BL4041" t="s">
        <v>6478</v>
      </c>
      <c r="BM4041" t="s">
        <v>11849</v>
      </c>
      <c r="BN4041" t="s">
        <v>27621</v>
      </c>
    </row>
    <row r="4042" spans="1:66" x14ac:dyDescent="0.25">
      <c r="A4042" t="str">
        <f>HYPERLINK("https://elite.finviz.com/quote.ashx?t=LUNG&amp;ty=c&amp;p=d&amp;b=1", "LUNG")</f>
        <v>LUNG</v>
      </c>
      <c r="B4042">
        <v>4</v>
      </c>
      <c r="C4042">
        <v>105.92</v>
      </c>
      <c r="D4042">
        <v>47.29</v>
      </c>
      <c r="E4042" t="s">
        <v>31782</v>
      </c>
      <c r="F4042" t="s">
        <v>67</v>
      </c>
      <c r="G4042" t="s">
        <v>428</v>
      </c>
      <c r="H4042" t="s">
        <v>2051</v>
      </c>
      <c r="I4042" t="s">
        <v>70</v>
      </c>
      <c r="J4042" t="s">
        <v>321</v>
      </c>
      <c r="K4042">
        <v>69.680000000000007</v>
      </c>
      <c r="L4042">
        <v>1.71</v>
      </c>
      <c r="M4042" t="s">
        <v>164</v>
      </c>
      <c r="N4042">
        <v>23410</v>
      </c>
      <c r="R4042">
        <v>0.77</v>
      </c>
      <c r="S4042">
        <v>1.01</v>
      </c>
      <c r="AA4042">
        <v>-1.43</v>
      </c>
      <c r="AB4042" t="s">
        <v>3466</v>
      </c>
      <c r="AC4042" t="s">
        <v>3175</v>
      </c>
      <c r="AD4042" t="s">
        <v>9096</v>
      </c>
      <c r="AE4042" t="s">
        <v>7969</v>
      </c>
      <c r="AF4042" t="s">
        <v>7290</v>
      </c>
      <c r="AG4042" t="s">
        <v>7123</v>
      </c>
      <c r="AH4042" t="s">
        <v>4941</v>
      </c>
      <c r="AI4042" t="s">
        <v>2233</v>
      </c>
      <c r="AJ4042" t="s">
        <v>4328</v>
      </c>
      <c r="AK4042" t="s">
        <v>19693</v>
      </c>
      <c r="AL4042">
        <v>5.34</v>
      </c>
      <c r="AM4042">
        <v>4.62</v>
      </c>
      <c r="AN4042">
        <v>0.82</v>
      </c>
      <c r="AO4042" t="s">
        <v>31783</v>
      </c>
      <c r="AP4042" t="s">
        <v>8846</v>
      </c>
      <c r="AQ4042" t="s">
        <v>31784</v>
      </c>
      <c r="AR4042" t="s">
        <v>2450</v>
      </c>
      <c r="AS4042" t="s">
        <v>7622</v>
      </c>
      <c r="AT4042" t="s">
        <v>581</v>
      </c>
      <c r="AU4042" t="s">
        <v>8792</v>
      </c>
      <c r="AV4042" t="s">
        <v>26430</v>
      </c>
      <c r="AW4042" t="s">
        <v>27955</v>
      </c>
      <c r="AX4042" t="s">
        <v>9208</v>
      </c>
      <c r="AY4042" t="s">
        <v>10026</v>
      </c>
      <c r="AZ4042" t="s">
        <v>9208</v>
      </c>
      <c r="BA4042">
        <v>1.67</v>
      </c>
      <c r="BB4042">
        <v>634.57000000000005</v>
      </c>
      <c r="BC4042">
        <v>0.13</v>
      </c>
      <c r="BD4042">
        <v>1.71</v>
      </c>
      <c r="BE4042">
        <v>1.75</v>
      </c>
      <c r="BF4042">
        <v>1.7</v>
      </c>
      <c r="BG4042" t="s">
        <v>31785</v>
      </c>
      <c r="BH4042" t="s">
        <v>27891</v>
      </c>
      <c r="BI4042" t="s">
        <v>9208</v>
      </c>
      <c r="BJ4042" t="s">
        <v>101</v>
      </c>
      <c r="BK4042" t="s">
        <v>31786</v>
      </c>
      <c r="BL4042" t="s">
        <v>31787</v>
      </c>
      <c r="BM4042" t="s">
        <v>31788</v>
      </c>
      <c r="BN4042" t="s">
        <v>27621</v>
      </c>
    </row>
    <row r="4043" spans="1:66" x14ac:dyDescent="0.25">
      <c r="A4043" t="str">
        <f>HYPERLINK("https://elite.finviz.com/quote.ashx?t=APGE&amp;ty=c&amp;p=d&amp;b=1", "APGE")</f>
        <v>APGE</v>
      </c>
      <c r="B4043">
        <v>4</v>
      </c>
      <c r="C4043">
        <v>105.92</v>
      </c>
      <c r="D4043">
        <v>47.3</v>
      </c>
      <c r="E4043" t="s">
        <v>31789</v>
      </c>
      <c r="F4043" t="s">
        <v>67</v>
      </c>
      <c r="G4043" t="s">
        <v>428</v>
      </c>
      <c r="H4043" t="s">
        <v>429</v>
      </c>
      <c r="I4043" t="s">
        <v>70</v>
      </c>
      <c r="J4043" t="s">
        <v>321</v>
      </c>
      <c r="K4043">
        <v>2210.36</v>
      </c>
      <c r="L4043">
        <v>37.090000000000003</v>
      </c>
      <c r="M4043" t="s">
        <v>4312</v>
      </c>
      <c r="N4043">
        <v>77928</v>
      </c>
      <c r="S4043">
        <v>3.57</v>
      </c>
      <c r="AA4043">
        <v>-4.08</v>
      </c>
      <c r="AB4043" t="s">
        <v>31790</v>
      </c>
      <c r="AD4043" t="s">
        <v>14463</v>
      </c>
      <c r="AI4043" t="s">
        <v>5574</v>
      </c>
      <c r="AJ4043" t="s">
        <v>2717</v>
      </c>
      <c r="AK4043" t="s">
        <v>6065</v>
      </c>
      <c r="AL4043">
        <v>16.36</v>
      </c>
      <c r="AM4043">
        <v>16.36</v>
      </c>
      <c r="AN4043">
        <v>0.02</v>
      </c>
      <c r="AR4043" t="s">
        <v>5100</v>
      </c>
      <c r="AS4043" t="s">
        <v>2472</v>
      </c>
      <c r="AT4043" t="s">
        <v>3484</v>
      </c>
      <c r="AU4043" t="s">
        <v>6265</v>
      </c>
      <c r="AV4043" t="s">
        <v>5294</v>
      </c>
      <c r="AW4043" t="s">
        <v>6939</v>
      </c>
      <c r="AX4043" t="s">
        <v>238</v>
      </c>
      <c r="AY4043" t="s">
        <v>20142</v>
      </c>
      <c r="AZ4043" t="s">
        <v>9257</v>
      </c>
      <c r="BA4043">
        <v>1</v>
      </c>
      <c r="BB4043">
        <v>784.82</v>
      </c>
      <c r="BC4043">
        <v>0.35</v>
      </c>
      <c r="BD4043">
        <v>37.520000000000003</v>
      </c>
      <c r="BE4043">
        <v>37.869999999999997</v>
      </c>
      <c r="BF4043">
        <v>36.85</v>
      </c>
      <c r="BG4043" t="s">
        <v>31791</v>
      </c>
      <c r="BH4043" t="s">
        <v>31792</v>
      </c>
      <c r="BI4043" t="s">
        <v>31793</v>
      </c>
      <c r="BJ4043" t="s">
        <v>101</v>
      </c>
      <c r="BK4043" t="s">
        <v>16239</v>
      </c>
      <c r="BL4043" t="s">
        <v>7532</v>
      </c>
      <c r="BM4043" t="s">
        <v>4918</v>
      </c>
      <c r="BN4043" t="s">
        <v>27621</v>
      </c>
    </row>
    <row r="4044" spans="1:66" x14ac:dyDescent="0.25">
      <c r="A4044" t="str">
        <f>HYPERLINK("https://elite.finviz.com/quote.ashx?t=ZNTL&amp;ty=c&amp;p=d&amp;b=1", "ZNTL")</f>
        <v>ZNTL</v>
      </c>
      <c r="B4044">
        <v>4</v>
      </c>
      <c r="C4044">
        <v>105.92</v>
      </c>
      <c r="D4044">
        <v>47.32</v>
      </c>
      <c r="E4044" t="s">
        <v>31794</v>
      </c>
      <c r="F4044" t="s">
        <v>107</v>
      </c>
      <c r="G4044" t="s">
        <v>428</v>
      </c>
      <c r="H4044" t="s">
        <v>429</v>
      </c>
      <c r="I4044" t="s">
        <v>70</v>
      </c>
      <c r="J4044" t="s">
        <v>321</v>
      </c>
      <c r="K4044">
        <v>109.28</v>
      </c>
      <c r="L4044">
        <v>1.51</v>
      </c>
      <c r="M4044" t="s">
        <v>2217</v>
      </c>
      <c r="N4044">
        <v>310597</v>
      </c>
      <c r="R4044">
        <v>4.07</v>
      </c>
      <c r="S4044">
        <v>0.4</v>
      </c>
      <c r="AA4044">
        <v>-2.2799999999999998</v>
      </c>
      <c r="AB4044" t="s">
        <v>1549</v>
      </c>
      <c r="AC4044" t="s">
        <v>4214</v>
      </c>
      <c r="AD4044" t="s">
        <v>224</v>
      </c>
      <c r="AE4044" t="s">
        <v>15562</v>
      </c>
      <c r="AI4044" t="s">
        <v>7129</v>
      </c>
      <c r="AJ4044" t="s">
        <v>183</v>
      </c>
      <c r="AK4044" t="s">
        <v>22483</v>
      </c>
      <c r="AL4044">
        <v>7.99</v>
      </c>
      <c r="AM4044">
        <v>7.99</v>
      </c>
      <c r="AN4044">
        <v>0.15</v>
      </c>
      <c r="AO4044" t="s">
        <v>31795</v>
      </c>
      <c r="AP4044" t="s">
        <v>31796</v>
      </c>
      <c r="AQ4044" t="s">
        <v>31797</v>
      </c>
      <c r="AR4044" t="s">
        <v>6008</v>
      </c>
      <c r="AS4044" t="s">
        <v>3121</v>
      </c>
      <c r="AT4044" t="s">
        <v>6105</v>
      </c>
      <c r="AU4044" t="s">
        <v>5365</v>
      </c>
      <c r="AV4044" t="s">
        <v>4194</v>
      </c>
      <c r="AW4044" t="s">
        <v>25253</v>
      </c>
      <c r="AX4044" t="s">
        <v>14942</v>
      </c>
      <c r="AY4044" t="s">
        <v>31798</v>
      </c>
      <c r="AZ4044" t="s">
        <v>1882</v>
      </c>
      <c r="BA4044">
        <v>2.11</v>
      </c>
      <c r="BB4044">
        <v>898.27</v>
      </c>
      <c r="BC4044">
        <v>1.23</v>
      </c>
      <c r="BD4044">
        <v>1.49</v>
      </c>
      <c r="BE4044">
        <v>1.57</v>
      </c>
      <c r="BF4044">
        <v>1.49</v>
      </c>
      <c r="BG4044" t="s">
        <v>13315</v>
      </c>
      <c r="BH4044" t="s">
        <v>31799</v>
      </c>
      <c r="BI4044" t="s">
        <v>1882</v>
      </c>
      <c r="BJ4044" t="s">
        <v>101</v>
      </c>
      <c r="BK4044" t="s">
        <v>13524</v>
      </c>
      <c r="BL4044" t="s">
        <v>11699</v>
      </c>
      <c r="BM4044" t="s">
        <v>31800</v>
      </c>
      <c r="BN4044" t="s">
        <v>27621</v>
      </c>
    </row>
    <row r="4045" spans="1:66" x14ac:dyDescent="0.25">
      <c r="A4045" t="str">
        <f>HYPERLINK("https://elite.finviz.com/quote.ashx?t=CYCN&amp;ty=c&amp;p=d&amp;b=1", "CYCN")</f>
        <v>CYCN</v>
      </c>
      <c r="B4045">
        <v>4</v>
      </c>
      <c r="C4045">
        <v>105.92</v>
      </c>
      <c r="D4045">
        <v>47.32</v>
      </c>
      <c r="E4045" t="s">
        <v>31801</v>
      </c>
      <c r="F4045" t="s">
        <v>107</v>
      </c>
      <c r="G4045" t="s">
        <v>428</v>
      </c>
      <c r="H4045" t="s">
        <v>429</v>
      </c>
      <c r="I4045" t="s">
        <v>70</v>
      </c>
      <c r="J4045" t="s">
        <v>321</v>
      </c>
      <c r="K4045">
        <v>8.25</v>
      </c>
      <c r="L4045">
        <v>2.4700000000000002</v>
      </c>
      <c r="M4045" t="s">
        <v>1766</v>
      </c>
      <c r="N4045">
        <v>86608</v>
      </c>
      <c r="R4045">
        <v>3.8</v>
      </c>
      <c r="S4045">
        <v>0.89</v>
      </c>
      <c r="AA4045">
        <v>-0.74</v>
      </c>
      <c r="AB4045" t="s">
        <v>12283</v>
      </c>
      <c r="AC4045" t="s">
        <v>23518</v>
      </c>
      <c r="AE4045" t="s">
        <v>30967</v>
      </c>
      <c r="AF4045" t="s">
        <v>21420</v>
      </c>
      <c r="AG4045" t="s">
        <v>360</v>
      </c>
      <c r="AJ4045" t="s">
        <v>164</v>
      </c>
      <c r="AK4045" t="s">
        <v>265</v>
      </c>
      <c r="AL4045">
        <v>5.03</v>
      </c>
      <c r="AM4045">
        <v>5.03</v>
      </c>
      <c r="AN4045">
        <v>0</v>
      </c>
      <c r="AO4045" t="s">
        <v>164</v>
      </c>
      <c r="AP4045" t="s">
        <v>31802</v>
      </c>
      <c r="AQ4045" t="s">
        <v>31803</v>
      </c>
      <c r="AR4045" t="s">
        <v>8558</v>
      </c>
      <c r="AS4045" t="s">
        <v>7976</v>
      </c>
      <c r="AT4045" t="s">
        <v>7176</v>
      </c>
      <c r="AU4045" t="s">
        <v>1074</v>
      </c>
      <c r="AV4045" t="s">
        <v>11768</v>
      </c>
      <c r="AW4045" t="s">
        <v>25073</v>
      </c>
      <c r="AX4045" t="s">
        <v>3451</v>
      </c>
      <c r="AY4045" t="s">
        <v>10523</v>
      </c>
      <c r="AZ4045" t="s">
        <v>25030</v>
      </c>
      <c r="BA4045">
        <v>1</v>
      </c>
      <c r="BB4045">
        <v>355.53</v>
      </c>
      <c r="BC4045">
        <v>0.86</v>
      </c>
      <c r="BD4045">
        <v>2.73</v>
      </c>
      <c r="BE4045">
        <v>2.75</v>
      </c>
      <c r="BF4045">
        <v>2.4300000000000002</v>
      </c>
      <c r="BG4045" t="s">
        <v>31804</v>
      </c>
      <c r="BH4045" t="s">
        <v>4459</v>
      </c>
      <c r="BI4045" t="s">
        <v>25030</v>
      </c>
      <c r="BJ4045" t="s">
        <v>101</v>
      </c>
      <c r="BK4045" t="s">
        <v>4654</v>
      </c>
      <c r="BL4045" t="s">
        <v>7285</v>
      </c>
      <c r="BM4045" t="s">
        <v>16402</v>
      </c>
      <c r="BN4045" t="s">
        <v>27621</v>
      </c>
    </row>
    <row r="4046" spans="1:66" x14ac:dyDescent="0.25">
      <c r="A4046" t="str">
        <f>HYPERLINK("https://elite.finviz.com/quote.ashx?t=EVER&amp;ty=c&amp;p=d&amp;b=1", "EVER")</f>
        <v>EVER</v>
      </c>
      <c r="B4046">
        <v>4</v>
      </c>
      <c r="C4046">
        <v>105.92</v>
      </c>
      <c r="D4046">
        <v>47.35</v>
      </c>
      <c r="E4046" t="s">
        <v>31805</v>
      </c>
      <c r="F4046" t="s">
        <v>67</v>
      </c>
      <c r="G4046" t="s">
        <v>598</v>
      </c>
      <c r="H4046" t="s">
        <v>599</v>
      </c>
      <c r="I4046" t="s">
        <v>70</v>
      </c>
      <c r="J4046" t="s">
        <v>321</v>
      </c>
      <c r="K4046">
        <v>865.36</v>
      </c>
      <c r="L4046">
        <v>23.7</v>
      </c>
      <c r="M4046" t="s">
        <v>4494</v>
      </c>
      <c r="N4046">
        <v>29882</v>
      </c>
      <c r="O4046">
        <v>19.09</v>
      </c>
      <c r="P4046">
        <v>14.93</v>
      </c>
      <c r="Q4046">
        <v>0.7</v>
      </c>
      <c r="R4046">
        <v>1.41</v>
      </c>
      <c r="S4046">
        <v>5.08</v>
      </c>
      <c r="Z4046" t="s">
        <v>164</v>
      </c>
      <c r="AA4046">
        <v>1.24</v>
      </c>
      <c r="AD4046" t="s">
        <v>2815</v>
      </c>
      <c r="AE4046" t="s">
        <v>11154</v>
      </c>
      <c r="AF4046" t="s">
        <v>2174</v>
      </c>
      <c r="AG4046" t="s">
        <v>1342</v>
      </c>
      <c r="AH4046" t="s">
        <v>16831</v>
      </c>
      <c r="AI4046" t="s">
        <v>3491</v>
      </c>
      <c r="AJ4046" t="s">
        <v>1156</v>
      </c>
      <c r="AK4046" t="s">
        <v>20622</v>
      </c>
      <c r="AL4046">
        <v>3.03</v>
      </c>
      <c r="AM4046">
        <v>3.03</v>
      </c>
      <c r="AN4046">
        <v>0.02</v>
      </c>
      <c r="AO4046" t="s">
        <v>31806</v>
      </c>
      <c r="AP4046" t="s">
        <v>5726</v>
      </c>
      <c r="AQ4046" t="s">
        <v>2521</v>
      </c>
      <c r="AR4046" t="s">
        <v>9651</v>
      </c>
      <c r="AS4046" t="s">
        <v>2764</v>
      </c>
      <c r="AT4046" t="s">
        <v>609</v>
      </c>
      <c r="AU4046" t="s">
        <v>5159</v>
      </c>
      <c r="AV4046" t="s">
        <v>3842</v>
      </c>
      <c r="AW4046" t="s">
        <v>1156</v>
      </c>
      <c r="AX4046" t="s">
        <v>2231</v>
      </c>
      <c r="AY4046" t="s">
        <v>17707</v>
      </c>
      <c r="AZ4046" t="s">
        <v>18049</v>
      </c>
      <c r="BA4046">
        <v>1.62</v>
      </c>
      <c r="BB4046">
        <v>456.53</v>
      </c>
      <c r="BC4046">
        <v>0.23</v>
      </c>
      <c r="BD4046">
        <v>23.67</v>
      </c>
      <c r="BE4046">
        <v>23.76</v>
      </c>
      <c r="BF4046">
        <v>23.6</v>
      </c>
      <c r="BG4046" t="s">
        <v>31807</v>
      </c>
      <c r="BH4046" t="s">
        <v>31808</v>
      </c>
      <c r="BI4046" t="s">
        <v>31809</v>
      </c>
      <c r="BJ4046" t="s">
        <v>101</v>
      </c>
      <c r="BK4046" t="s">
        <v>10568</v>
      </c>
      <c r="BL4046" t="s">
        <v>11481</v>
      </c>
      <c r="BM4046" t="s">
        <v>2376</v>
      </c>
      <c r="BN4046" t="s">
        <v>27621</v>
      </c>
    </row>
    <row r="4047" spans="1:66" x14ac:dyDescent="0.25">
      <c r="A4047" t="str">
        <f>HYPERLINK("https://elite.finviz.com/quote.ashx?t=APUS&amp;ty=c&amp;p=d&amp;b=1", "APUS")</f>
        <v>APUS</v>
      </c>
      <c r="B4047">
        <v>4</v>
      </c>
      <c r="C4047">
        <v>105.92</v>
      </c>
      <c r="D4047">
        <v>47.38</v>
      </c>
      <c r="E4047" t="s">
        <v>31810</v>
      </c>
      <c r="F4047" t="s">
        <v>107</v>
      </c>
      <c r="G4047" t="s">
        <v>428</v>
      </c>
      <c r="H4047" t="s">
        <v>1296</v>
      </c>
      <c r="I4047" t="s">
        <v>70</v>
      </c>
      <c r="J4047" t="s">
        <v>383</v>
      </c>
      <c r="K4047">
        <v>23.02</v>
      </c>
      <c r="L4047">
        <v>1.83</v>
      </c>
      <c r="M4047" t="s">
        <v>2619</v>
      </c>
      <c r="N4047">
        <v>25562</v>
      </c>
      <c r="S4047">
        <v>2.36</v>
      </c>
      <c r="AA4047">
        <v>-0.32</v>
      </c>
      <c r="AB4047" t="s">
        <v>26859</v>
      </c>
      <c r="AJ4047" t="s">
        <v>1772</v>
      </c>
      <c r="AK4047" t="s">
        <v>822</v>
      </c>
      <c r="AL4047">
        <v>12.79</v>
      </c>
      <c r="AM4047">
        <v>12.79</v>
      </c>
      <c r="AN4047">
        <v>0.05</v>
      </c>
      <c r="AR4047" t="s">
        <v>7858</v>
      </c>
      <c r="AS4047" t="s">
        <v>2849</v>
      </c>
      <c r="AT4047" t="s">
        <v>2814</v>
      </c>
      <c r="AU4047" t="s">
        <v>4537</v>
      </c>
      <c r="AV4047" t="s">
        <v>2294</v>
      </c>
      <c r="AW4047" t="s">
        <v>12829</v>
      </c>
      <c r="AX4047" t="s">
        <v>10345</v>
      </c>
      <c r="AY4047" t="s">
        <v>31811</v>
      </c>
      <c r="AZ4047" t="s">
        <v>8683</v>
      </c>
      <c r="BB4047">
        <v>128.99</v>
      </c>
      <c r="BC4047">
        <v>0.7</v>
      </c>
      <c r="BD4047">
        <v>1.78</v>
      </c>
      <c r="BE4047">
        <v>1.87</v>
      </c>
      <c r="BF4047">
        <v>1.79</v>
      </c>
      <c r="BG4047" t="s">
        <v>31812</v>
      </c>
      <c r="BH4047" t="s">
        <v>31811</v>
      </c>
      <c r="BI4047" t="s">
        <v>8683</v>
      </c>
      <c r="BJ4047" t="s">
        <v>101</v>
      </c>
      <c r="BK4047" t="s">
        <v>5929</v>
      </c>
      <c r="BN4047" t="s">
        <v>27621</v>
      </c>
    </row>
    <row r="4048" spans="1:66" x14ac:dyDescent="0.25">
      <c r="A4048" t="str">
        <f>HYPERLINK("https://elite.finviz.com/quote.ashx?t=FAT&amp;ty=c&amp;p=d&amp;b=1", "FAT")</f>
        <v>FAT</v>
      </c>
      <c r="B4048">
        <v>4</v>
      </c>
      <c r="C4048">
        <v>105.92</v>
      </c>
      <c r="D4048">
        <v>47.39</v>
      </c>
      <c r="E4048" t="s">
        <v>31813</v>
      </c>
      <c r="F4048" t="s">
        <v>107</v>
      </c>
      <c r="G4048" t="s">
        <v>813</v>
      </c>
      <c r="H4048" t="s">
        <v>2285</v>
      </c>
      <c r="I4048" t="s">
        <v>70</v>
      </c>
      <c r="J4048" t="s">
        <v>321</v>
      </c>
      <c r="K4048">
        <v>35.130000000000003</v>
      </c>
      <c r="L4048">
        <v>1.93</v>
      </c>
      <c r="M4048" t="s">
        <v>13745</v>
      </c>
      <c r="N4048">
        <v>9664</v>
      </c>
      <c r="R4048">
        <v>0.06</v>
      </c>
      <c r="T4048" t="s">
        <v>578</v>
      </c>
      <c r="U4048">
        <v>0.08</v>
      </c>
      <c r="V4048" t="s">
        <v>31814</v>
      </c>
      <c r="W4048" t="s">
        <v>164</v>
      </c>
      <c r="X4048" t="s">
        <v>6430</v>
      </c>
      <c r="AA4048">
        <v>-12.7</v>
      </c>
      <c r="AB4048" t="s">
        <v>31815</v>
      </c>
      <c r="AC4048" t="s">
        <v>31816</v>
      </c>
      <c r="AE4048" t="s">
        <v>4759</v>
      </c>
      <c r="AF4048" t="s">
        <v>7752</v>
      </c>
      <c r="AG4048" t="s">
        <v>17966</v>
      </c>
      <c r="AH4048" t="s">
        <v>12274</v>
      </c>
      <c r="AI4048" t="s">
        <v>31817</v>
      </c>
      <c r="AJ4048" t="s">
        <v>406</v>
      </c>
      <c r="AK4048" t="s">
        <v>2945</v>
      </c>
      <c r="AL4048">
        <v>0.21</v>
      </c>
      <c r="AM4048">
        <v>0.19</v>
      </c>
      <c r="AO4048" t="s">
        <v>116</v>
      </c>
      <c r="AP4048" t="s">
        <v>4317</v>
      </c>
      <c r="AQ4048" t="s">
        <v>28483</v>
      </c>
      <c r="AR4048" t="s">
        <v>13765</v>
      </c>
      <c r="AS4048" t="s">
        <v>2581</v>
      </c>
      <c r="AT4048" t="s">
        <v>4703</v>
      </c>
      <c r="AU4048" t="s">
        <v>9148</v>
      </c>
      <c r="AV4048" t="s">
        <v>24765</v>
      </c>
      <c r="AW4048" t="s">
        <v>24960</v>
      </c>
      <c r="AX4048" t="s">
        <v>2627</v>
      </c>
      <c r="AY4048" t="s">
        <v>16098</v>
      </c>
      <c r="AZ4048" t="s">
        <v>2627</v>
      </c>
      <c r="BA4048">
        <v>1</v>
      </c>
      <c r="BB4048">
        <v>60.45</v>
      </c>
      <c r="BC4048">
        <v>0.56000000000000005</v>
      </c>
      <c r="BD4048">
        <v>2.0099999999999998</v>
      </c>
      <c r="BE4048">
        <v>2.0299999999999998</v>
      </c>
      <c r="BF4048">
        <v>1.95</v>
      </c>
      <c r="BG4048" t="s">
        <v>31818</v>
      </c>
      <c r="BH4048" t="s">
        <v>9365</v>
      </c>
      <c r="BI4048" t="s">
        <v>31819</v>
      </c>
      <c r="BJ4048" t="s">
        <v>101</v>
      </c>
      <c r="BK4048" t="s">
        <v>16798</v>
      </c>
      <c r="BL4048" t="s">
        <v>28522</v>
      </c>
      <c r="BM4048" t="s">
        <v>6236</v>
      </c>
      <c r="BN4048" t="s">
        <v>27621</v>
      </c>
    </row>
    <row r="4049" spans="1:66" x14ac:dyDescent="0.25">
      <c r="A4049" t="str">
        <f>HYPERLINK("https://elite.finviz.com/quote.ashx?t=CVR&amp;ty=c&amp;p=d&amp;b=1", "CVR")</f>
        <v>CVR</v>
      </c>
      <c r="B4049">
        <v>4</v>
      </c>
      <c r="C4049">
        <v>105.92</v>
      </c>
      <c r="D4049">
        <v>47.42</v>
      </c>
      <c r="E4049" t="s">
        <v>31820</v>
      </c>
      <c r="F4049" t="s">
        <v>107</v>
      </c>
      <c r="G4049" t="s">
        <v>260</v>
      </c>
      <c r="H4049" t="s">
        <v>16076</v>
      </c>
      <c r="I4049" t="s">
        <v>70</v>
      </c>
      <c r="J4049" t="s">
        <v>383</v>
      </c>
      <c r="K4049">
        <v>10.029999999999999</v>
      </c>
      <c r="L4049">
        <v>10.38</v>
      </c>
      <c r="M4049" t="s">
        <v>6003</v>
      </c>
      <c r="N4049">
        <v>376</v>
      </c>
      <c r="R4049">
        <v>0.39</v>
      </c>
      <c r="S4049">
        <v>0.5</v>
      </c>
      <c r="T4049" t="s">
        <v>5166</v>
      </c>
      <c r="U4049">
        <v>0.12</v>
      </c>
      <c r="V4049" t="s">
        <v>4548</v>
      </c>
      <c r="W4049" t="s">
        <v>21616</v>
      </c>
      <c r="X4049" t="s">
        <v>3646</v>
      </c>
      <c r="Y4049" t="s">
        <v>1029</v>
      </c>
      <c r="AA4049">
        <v>-5.23</v>
      </c>
      <c r="AE4049" t="s">
        <v>11213</v>
      </c>
      <c r="AF4049" t="s">
        <v>1529</v>
      </c>
      <c r="AG4049" t="s">
        <v>11253</v>
      </c>
      <c r="AH4049" t="s">
        <v>12070</v>
      </c>
      <c r="AJ4049" t="s">
        <v>164</v>
      </c>
      <c r="AK4049" t="s">
        <v>10042</v>
      </c>
      <c r="AL4049">
        <v>6.77</v>
      </c>
      <c r="AM4049">
        <v>3.41</v>
      </c>
      <c r="AN4049">
        <v>0.05</v>
      </c>
      <c r="AO4049" t="s">
        <v>5152</v>
      </c>
      <c r="AP4049" t="s">
        <v>21008</v>
      </c>
      <c r="AQ4049" t="s">
        <v>5828</v>
      </c>
      <c r="AR4049" t="s">
        <v>3818</v>
      </c>
      <c r="AS4049" t="s">
        <v>197</v>
      </c>
      <c r="AT4049" t="s">
        <v>3544</v>
      </c>
      <c r="AU4049" t="s">
        <v>12921</v>
      </c>
      <c r="AV4049" t="s">
        <v>15118</v>
      </c>
      <c r="AW4049" t="s">
        <v>13478</v>
      </c>
      <c r="AX4049" t="s">
        <v>10541</v>
      </c>
      <c r="AY4049" t="s">
        <v>21421</v>
      </c>
      <c r="AZ4049" t="s">
        <v>3683</v>
      </c>
      <c r="BB4049">
        <v>3.57</v>
      </c>
      <c r="BC4049">
        <v>0.37</v>
      </c>
      <c r="BD4049">
        <v>10.15</v>
      </c>
      <c r="BE4049">
        <v>10.26</v>
      </c>
      <c r="BF4049">
        <v>10.1</v>
      </c>
      <c r="BG4049" t="s">
        <v>31821</v>
      </c>
      <c r="BH4049" t="s">
        <v>26605</v>
      </c>
      <c r="BI4049" t="s">
        <v>31822</v>
      </c>
      <c r="BJ4049" t="s">
        <v>101</v>
      </c>
      <c r="BK4049" t="s">
        <v>16898</v>
      </c>
      <c r="BL4049" t="s">
        <v>14402</v>
      </c>
      <c r="BM4049" t="s">
        <v>29126</v>
      </c>
      <c r="BN4049" t="s">
        <v>27621</v>
      </c>
    </row>
    <row r="4050" spans="1:66" x14ac:dyDescent="0.25">
      <c r="A4050" t="str">
        <f>HYPERLINK("https://elite.finviz.com/quote.ashx?t=JBSS&amp;ty=c&amp;p=d&amp;b=1", "JBSS")</f>
        <v>JBSS</v>
      </c>
      <c r="B4050">
        <v>4</v>
      </c>
      <c r="C4050">
        <v>105.92</v>
      </c>
      <c r="D4050">
        <v>47.44</v>
      </c>
      <c r="E4050" t="s">
        <v>31823</v>
      </c>
      <c r="F4050" t="s">
        <v>67</v>
      </c>
      <c r="G4050" t="s">
        <v>2244</v>
      </c>
      <c r="H4050" t="s">
        <v>3269</v>
      </c>
      <c r="I4050" t="s">
        <v>70</v>
      </c>
      <c r="J4050" t="s">
        <v>321</v>
      </c>
      <c r="K4050">
        <v>736.95</v>
      </c>
      <c r="L4050">
        <v>63.29</v>
      </c>
      <c r="M4050" t="s">
        <v>4271</v>
      </c>
      <c r="N4050">
        <v>4186</v>
      </c>
      <c r="O4050">
        <v>12.59</v>
      </c>
      <c r="P4050">
        <v>11.49</v>
      </c>
      <c r="Q4050">
        <v>1.6</v>
      </c>
      <c r="R4050">
        <v>0.67</v>
      </c>
      <c r="S4050">
        <v>2.04</v>
      </c>
      <c r="T4050" t="s">
        <v>3019</v>
      </c>
      <c r="U4050">
        <v>0.9</v>
      </c>
      <c r="V4050" t="s">
        <v>10236</v>
      </c>
      <c r="W4050" t="s">
        <v>229</v>
      </c>
      <c r="X4050" t="s">
        <v>8843</v>
      </c>
      <c r="Y4050" t="s">
        <v>1159</v>
      </c>
      <c r="Z4050" t="s">
        <v>7629</v>
      </c>
      <c r="AA4050">
        <v>5.03</v>
      </c>
      <c r="AB4050" t="s">
        <v>6152</v>
      </c>
      <c r="AC4050" t="s">
        <v>7780</v>
      </c>
      <c r="AD4050" t="s">
        <v>2678</v>
      </c>
      <c r="AE4050" t="s">
        <v>1934</v>
      </c>
      <c r="AF4050" t="s">
        <v>754</v>
      </c>
      <c r="AG4050" t="s">
        <v>5370</v>
      </c>
      <c r="AH4050" t="s">
        <v>2906</v>
      </c>
      <c r="AJ4050" t="s">
        <v>164</v>
      </c>
      <c r="AK4050" t="s">
        <v>23313</v>
      </c>
      <c r="AL4050">
        <v>2.2200000000000002</v>
      </c>
      <c r="AM4050">
        <v>0.59</v>
      </c>
      <c r="AN4050">
        <v>0.28000000000000003</v>
      </c>
      <c r="AO4050" t="s">
        <v>2171</v>
      </c>
      <c r="AP4050" t="s">
        <v>1771</v>
      </c>
      <c r="AQ4050" t="s">
        <v>3054</v>
      </c>
      <c r="AR4050" t="s">
        <v>4255</v>
      </c>
      <c r="AS4050" t="s">
        <v>744</v>
      </c>
      <c r="AT4050" t="s">
        <v>4086</v>
      </c>
      <c r="AU4050" t="s">
        <v>6449</v>
      </c>
      <c r="AV4050" t="s">
        <v>2236</v>
      </c>
      <c r="AW4050" t="s">
        <v>8230</v>
      </c>
      <c r="AX4050" t="s">
        <v>2841</v>
      </c>
      <c r="AY4050" t="s">
        <v>25584</v>
      </c>
      <c r="AZ4050" t="s">
        <v>7387</v>
      </c>
      <c r="BA4050">
        <v>2</v>
      </c>
      <c r="BB4050">
        <v>81.05</v>
      </c>
      <c r="BC4050">
        <v>0.18</v>
      </c>
      <c r="BD4050">
        <v>62.97</v>
      </c>
      <c r="BE4050">
        <v>63.58</v>
      </c>
      <c r="BF4050">
        <v>62.87</v>
      </c>
      <c r="BG4050" t="s">
        <v>31824</v>
      </c>
      <c r="BH4050" t="s">
        <v>29158</v>
      </c>
      <c r="BI4050" t="s">
        <v>31825</v>
      </c>
      <c r="BJ4050" t="s">
        <v>101</v>
      </c>
      <c r="BK4050" t="s">
        <v>6245</v>
      </c>
      <c r="BL4050" t="s">
        <v>6827</v>
      </c>
      <c r="BM4050" t="s">
        <v>22382</v>
      </c>
      <c r="BN4050" t="s">
        <v>27621</v>
      </c>
    </row>
    <row r="4051" spans="1:66" x14ac:dyDescent="0.25">
      <c r="A4051" t="str">
        <f>HYPERLINK("https://elite.finviz.com/quote.ashx?t=ATNI&amp;ty=c&amp;p=d&amp;b=1", "ATNI")</f>
        <v>ATNI</v>
      </c>
      <c r="B4051">
        <v>4</v>
      </c>
      <c r="C4051">
        <v>105.92</v>
      </c>
      <c r="D4051">
        <v>47.48</v>
      </c>
      <c r="E4051" t="s">
        <v>31826</v>
      </c>
      <c r="F4051" t="s">
        <v>67</v>
      </c>
      <c r="G4051" t="s">
        <v>598</v>
      </c>
      <c r="H4051" t="s">
        <v>6147</v>
      </c>
      <c r="I4051" t="s">
        <v>70</v>
      </c>
      <c r="J4051" t="s">
        <v>321</v>
      </c>
      <c r="K4051">
        <v>238.63</v>
      </c>
      <c r="L4051">
        <v>15.64</v>
      </c>
      <c r="M4051" t="s">
        <v>2745</v>
      </c>
      <c r="N4051">
        <v>2330</v>
      </c>
      <c r="P4051">
        <v>173.78</v>
      </c>
      <c r="R4051">
        <v>0.33</v>
      </c>
      <c r="S4051">
        <v>0.52</v>
      </c>
      <c r="T4051" t="s">
        <v>3372</v>
      </c>
      <c r="U4051">
        <v>0.99</v>
      </c>
      <c r="V4051" t="s">
        <v>198</v>
      </c>
      <c r="W4051" t="s">
        <v>4288</v>
      </c>
      <c r="X4051" t="s">
        <v>6068</v>
      </c>
      <c r="Y4051" t="s">
        <v>5114</v>
      </c>
      <c r="AA4051">
        <v>-3.36</v>
      </c>
      <c r="AB4051" t="s">
        <v>11358</v>
      </c>
      <c r="AC4051" t="s">
        <v>31827</v>
      </c>
      <c r="AE4051" t="s">
        <v>4073</v>
      </c>
      <c r="AF4051" t="s">
        <v>3723</v>
      </c>
      <c r="AG4051" t="s">
        <v>5838</v>
      </c>
      <c r="AH4051" t="s">
        <v>575</v>
      </c>
      <c r="AI4051" t="s">
        <v>31828</v>
      </c>
      <c r="AJ4051" t="s">
        <v>164</v>
      </c>
      <c r="AK4051" t="s">
        <v>3947</v>
      </c>
      <c r="AL4051">
        <v>1.22</v>
      </c>
      <c r="AM4051">
        <v>1.1599999999999999</v>
      </c>
      <c r="AN4051">
        <v>1.56</v>
      </c>
      <c r="AO4051" t="s">
        <v>2551</v>
      </c>
      <c r="AP4051" t="s">
        <v>165</v>
      </c>
      <c r="AQ4051" t="s">
        <v>5766</v>
      </c>
      <c r="AR4051" t="s">
        <v>3020</v>
      </c>
      <c r="AS4051" t="s">
        <v>7231</v>
      </c>
      <c r="AT4051" t="s">
        <v>11260</v>
      </c>
      <c r="AU4051" t="s">
        <v>4645</v>
      </c>
      <c r="AV4051" t="s">
        <v>6436</v>
      </c>
      <c r="AW4051" t="s">
        <v>3527</v>
      </c>
      <c r="AX4051" t="s">
        <v>7150</v>
      </c>
      <c r="AY4051" t="s">
        <v>31829</v>
      </c>
      <c r="AZ4051" t="s">
        <v>2338</v>
      </c>
      <c r="BA4051">
        <v>1</v>
      </c>
      <c r="BB4051">
        <v>40.04</v>
      </c>
      <c r="BC4051">
        <v>0.21</v>
      </c>
      <c r="BD4051">
        <v>15.65</v>
      </c>
      <c r="BE4051">
        <v>15.81</v>
      </c>
      <c r="BF4051">
        <v>15.81</v>
      </c>
      <c r="BG4051" t="s">
        <v>31830</v>
      </c>
      <c r="BH4051" t="s">
        <v>31831</v>
      </c>
      <c r="BI4051" t="s">
        <v>31832</v>
      </c>
      <c r="BJ4051" t="s">
        <v>101</v>
      </c>
      <c r="BK4051" t="s">
        <v>11445</v>
      </c>
      <c r="BL4051" t="s">
        <v>28851</v>
      </c>
      <c r="BM4051" t="s">
        <v>9089</v>
      </c>
      <c r="BN4051" t="s">
        <v>27621</v>
      </c>
    </row>
    <row r="4052" spans="1:66" x14ac:dyDescent="0.25">
      <c r="A4052" t="str">
        <f>HYPERLINK("https://elite.finviz.com/quote.ashx?t=SMSI&amp;ty=c&amp;p=d&amp;b=1", "SMSI")</f>
        <v>SMSI</v>
      </c>
      <c r="B4052">
        <v>4</v>
      </c>
      <c r="C4052">
        <v>105.92</v>
      </c>
      <c r="D4052">
        <v>47.49</v>
      </c>
      <c r="E4052" t="s">
        <v>31833</v>
      </c>
      <c r="F4052" t="s">
        <v>107</v>
      </c>
      <c r="G4052" t="s">
        <v>108</v>
      </c>
      <c r="H4052" t="s">
        <v>136</v>
      </c>
      <c r="I4052" t="s">
        <v>70</v>
      </c>
      <c r="J4052" t="s">
        <v>321</v>
      </c>
      <c r="K4052">
        <v>15.15</v>
      </c>
      <c r="L4052">
        <v>0.72</v>
      </c>
      <c r="M4052" t="s">
        <v>193</v>
      </c>
      <c r="N4052">
        <v>63034</v>
      </c>
      <c r="R4052">
        <v>0.81</v>
      </c>
      <c r="S4052">
        <v>0.62</v>
      </c>
      <c r="AA4052">
        <v>-1.85</v>
      </c>
      <c r="AB4052" t="s">
        <v>8843</v>
      </c>
      <c r="AE4052" t="s">
        <v>20729</v>
      </c>
      <c r="AF4052" t="s">
        <v>19714</v>
      </c>
      <c r="AG4052" t="s">
        <v>18956</v>
      </c>
      <c r="AH4052" t="s">
        <v>3977</v>
      </c>
      <c r="AI4052" t="s">
        <v>31834</v>
      </c>
      <c r="AJ4052" t="s">
        <v>164</v>
      </c>
      <c r="AK4052" t="s">
        <v>2150</v>
      </c>
      <c r="AL4052">
        <v>0.93</v>
      </c>
      <c r="AM4052">
        <v>0.93</v>
      </c>
      <c r="AN4052">
        <v>0.09</v>
      </c>
      <c r="AO4052" t="s">
        <v>18785</v>
      </c>
      <c r="AP4052" t="s">
        <v>31835</v>
      </c>
      <c r="AQ4052" t="s">
        <v>31836</v>
      </c>
      <c r="AR4052" t="s">
        <v>7403</v>
      </c>
      <c r="AS4052" t="s">
        <v>4077</v>
      </c>
      <c r="AT4052" t="s">
        <v>4707</v>
      </c>
      <c r="AU4052" t="s">
        <v>7646</v>
      </c>
      <c r="AV4052" t="s">
        <v>31837</v>
      </c>
      <c r="AW4052" t="s">
        <v>22287</v>
      </c>
      <c r="AX4052" t="s">
        <v>13830</v>
      </c>
      <c r="AY4052" t="s">
        <v>14294</v>
      </c>
      <c r="AZ4052" t="s">
        <v>5886</v>
      </c>
      <c r="BA4052">
        <v>1</v>
      </c>
      <c r="BB4052">
        <v>275.45</v>
      </c>
      <c r="BC4052">
        <v>0.81</v>
      </c>
      <c r="BD4052">
        <v>0.72</v>
      </c>
      <c r="BE4052">
        <v>0.75</v>
      </c>
      <c r="BF4052">
        <v>0.71</v>
      </c>
      <c r="BG4052" t="s">
        <v>31838</v>
      </c>
      <c r="BH4052" t="s">
        <v>8952</v>
      </c>
      <c r="BI4052" t="s">
        <v>13650</v>
      </c>
      <c r="BJ4052" t="s">
        <v>101</v>
      </c>
      <c r="BK4052" t="s">
        <v>27836</v>
      </c>
      <c r="BL4052" t="s">
        <v>1766</v>
      </c>
      <c r="BM4052" t="s">
        <v>4762</v>
      </c>
      <c r="BN4052" t="s">
        <v>27621</v>
      </c>
    </row>
    <row r="4053" spans="1:66" x14ac:dyDescent="0.25">
      <c r="A4053" t="str">
        <f>HYPERLINK("https://elite.finviz.com/quote.ashx?t=EIG&amp;ty=c&amp;p=d&amp;b=1", "EIG")</f>
        <v>EIG</v>
      </c>
      <c r="B4053">
        <v>4</v>
      </c>
      <c r="C4053">
        <v>105.92</v>
      </c>
      <c r="D4053">
        <v>47.49</v>
      </c>
      <c r="E4053" t="s">
        <v>31839</v>
      </c>
      <c r="F4053" t="s">
        <v>67</v>
      </c>
      <c r="G4053" t="s">
        <v>550</v>
      </c>
      <c r="H4053" t="s">
        <v>4675</v>
      </c>
      <c r="I4053" t="s">
        <v>70</v>
      </c>
      <c r="J4053" t="s">
        <v>71</v>
      </c>
      <c r="K4053">
        <v>990.77</v>
      </c>
      <c r="L4053">
        <v>42.14</v>
      </c>
      <c r="M4053" t="s">
        <v>3344</v>
      </c>
      <c r="N4053">
        <v>8277</v>
      </c>
      <c r="O4053">
        <v>10.26</v>
      </c>
      <c r="P4053">
        <v>15.53</v>
      </c>
      <c r="R4053">
        <v>1.1100000000000001</v>
      </c>
      <c r="S4053">
        <v>0.92</v>
      </c>
      <c r="T4053" t="s">
        <v>4873</v>
      </c>
      <c r="U4053">
        <v>1.24</v>
      </c>
      <c r="V4053" t="s">
        <v>8649</v>
      </c>
      <c r="W4053" t="s">
        <v>296</v>
      </c>
      <c r="X4053" t="s">
        <v>7118</v>
      </c>
      <c r="Y4053" t="s">
        <v>4077</v>
      </c>
      <c r="Z4053" t="s">
        <v>12371</v>
      </c>
      <c r="AA4053">
        <v>4.1100000000000003</v>
      </c>
      <c r="AB4053" t="s">
        <v>1981</v>
      </c>
      <c r="AC4053" t="s">
        <v>4809</v>
      </c>
      <c r="AD4053" t="s">
        <v>16923</v>
      </c>
      <c r="AE4053" t="s">
        <v>2640</v>
      </c>
      <c r="AF4053" t="s">
        <v>8535</v>
      </c>
      <c r="AG4053" t="s">
        <v>3447</v>
      </c>
      <c r="AH4053" t="s">
        <v>7775</v>
      </c>
      <c r="AI4053" t="s">
        <v>25789</v>
      </c>
      <c r="AJ4053" t="s">
        <v>7780</v>
      </c>
      <c r="AK4053" t="s">
        <v>5172</v>
      </c>
      <c r="AL4053">
        <v>0.37</v>
      </c>
      <c r="AN4053">
        <v>0</v>
      </c>
      <c r="AP4053" t="s">
        <v>1360</v>
      </c>
      <c r="AQ4053" t="s">
        <v>3532</v>
      </c>
      <c r="AR4053" t="s">
        <v>9136</v>
      </c>
      <c r="AS4053" t="s">
        <v>2449</v>
      </c>
      <c r="AT4053" t="s">
        <v>124</v>
      </c>
      <c r="AU4053" t="s">
        <v>5879</v>
      </c>
      <c r="AV4053" t="s">
        <v>7454</v>
      </c>
      <c r="AW4053" t="s">
        <v>1323</v>
      </c>
      <c r="AX4053" t="s">
        <v>4288</v>
      </c>
      <c r="AY4053" t="s">
        <v>24379</v>
      </c>
      <c r="AZ4053" t="s">
        <v>4288</v>
      </c>
      <c r="BA4053">
        <v>2.5</v>
      </c>
      <c r="BB4053">
        <v>204.43</v>
      </c>
      <c r="BC4053">
        <v>0.14000000000000001</v>
      </c>
      <c r="BD4053">
        <v>41.76</v>
      </c>
      <c r="BE4053">
        <v>42.24</v>
      </c>
      <c r="BF4053">
        <v>41.98</v>
      </c>
      <c r="BG4053" t="s">
        <v>31840</v>
      </c>
      <c r="BH4053" t="s">
        <v>24379</v>
      </c>
      <c r="BI4053" t="s">
        <v>31841</v>
      </c>
      <c r="BJ4053" t="s">
        <v>101</v>
      </c>
      <c r="BK4053" t="s">
        <v>7543</v>
      </c>
      <c r="BL4053" t="s">
        <v>20101</v>
      </c>
      <c r="BM4053" t="s">
        <v>8921</v>
      </c>
      <c r="BN4053" t="s">
        <v>27621</v>
      </c>
    </row>
    <row r="4054" spans="1:66" x14ac:dyDescent="0.25">
      <c r="A4054" t="str">
        <f>HYPERLINK("https://elite.finviz.com/quote.ashx?t=EXPO&amp;ty=c&amp;p=d&amp;b=1", "EXPO")</f>
        <v>EXPO</v>
      </c>
      <c r="B4054">
        <v>4</v>
      </c>
      <c r="C4054">
        <v>105.92</v>
      </c>
      <c r="D4054">
        <v>47.51</v>
      </c>
      <c r="E4054" t="s">
        <v>31842</v>
      </c>
      <c r="F4054" t="s">
        <v>67</v>
      </c>
      <c r="G4054" t="s">
        <v>260</v>
      </c>
      <c r="H4054" t="s">
        <v>2944</v>
      </c>
      <c r="I4054" t="s">
        <v>70</v>
      </c>
      <c r="J4054" t="s">
        <v>321</v>
      </c>
      <c r="K4054">
        <v>3523.97</v>
      </c>
      <c r="L4054">
        <v>69.78</v>
      </c>
      <c r="M4054" t="s">
        <v>5253</v>
      </c>
      <c r="N4054">
        <v>56334</v>
      </c>
      <c r="O4054">
        <v>35.020000000000003</v>
      </c>
      <c r="P4054">
        <v>32.39</v>
      </c>
      <c r="Q4054">
        <v>12.03</v>
      </c>
      <c r="R4054">
        <v>6.29</v>
      </c>
      <c r="S4054">
        <v>8.24</v>
      </c>
      <c r="T4054" t="s">
        <v>3257</v>
      </c>
      <c r="U4054">
        <v>1.18</v>
      </c>
      <c r="V4054" t="s">
        <v>4548</v>
      </c>
      <c r="W4054" t="s">
        <v>2698</v>
      </c>
      <c r="X4054" t="s">
        <v>4079</v>
      </c>
      <c r="Y4054" t="s">
        <v>845</v>
      </c>
      <c r="Z4054" t="s">
        <v>17155</v>
      </c>
      <c r="AA4054">
        <v>1.99</v>
      </c>
      <c r="AB4054" t="s">
        <v>2494</v>
      </c>
      <c r="AC4054" t="s">
        <v>4760</v>
      </c>
      <c r="AD4054" t="s">
        <v>4892</v>
      </c>
      <c r="AE4054" t="s">
        <v>2941</v>
      </c>
      <c r="AF4054" t="s">
        <v>2777</v>
      </c>
      <c r="AG4054" t="s">
        <v>370</v>
      </c>
      <c r="AH4054" t="s">
        <v>4689</v>
      </c>
      <c r="AI4054" t="s">
        <v>4641</v>
      </c>
      <c r="AJ4054" t="s">
        <v>3322</v>
      </c>
      <c r="AK4054" t="s">
        <v>30564</v>
      </c>
      <c r="AL4054">
        <v>3.15</v>
      </c>
      <c r="AM4054">
        <v>3.15</v>
      </c>
      <c r="AN4054">
        <v>0.19</v>
      </c>
      <c r="AO4054" t="s">
        <v>6169</v>
      </c>
      <c r="AP4054" t="s">
        <v>10384</v>
      </c>
      <c r="AQ4054" t="s">
        <v>9325</v>
      </c>
      <c r="AR4054" t="s">
        <v>206</v>
      </c>
      <c r="AS4054" t="s">
        <v>6003</v>
      </c>
      <c r="AT4054" t="s">
        <v>2965</v>
      </c>
      <c r="AU4054" t="s">
        <v>3484</v>
      </c>
      <c r="AV4054" t="s">
        <v>15169</v>
      </c>
      <c r="AW4054" t="s">
        <v>5857</v>
      </c>
      <c r="AX4054" t="s">
        <v>827</v>
      </c>
      <c r="AY4054" t="s">
        <v>28938</v>
      </c>
      <c r="AZ4054" t="s">
        <v>827</v>
      </c>
      <c r="BA4054">
        <v>2.33</v>
      </c>
      <c r="BB4054">
        <v>405.4</v>
      </c>
      <c r="BC4054">
        <v>0.49</v>
      </c>
      <c r="BD4054">
        <v>69.31</v>
      </c>
      <c r="BE4054">
        <v>69.92</v>
      </c>
      <c r="BF4054">
        <v>69.17</v>
      </c>
      <c r="BG4054" t="s">
        <v>31843</v>
      </c>
      <c r="BH4054" t="s">
        <v>26319</v>
      </c>
      <c r="BI4054" t="s">
        <v>31844</v>
      </c>
      <c r="BJ4054" t="s">
        <v>101</v>
      </c>
      <c r="BK4054" t="s">
        <v>625</v>
      </c>
      <c r="BL4054" t="s">
        <v>9095</v>
      </c>
      <c r="BM4054" t="s">
        <v>17566</v>
      </c>
      <c r="BN4054" t="s">
        <v>27621</v>
      </c>
    </row>
    <row r="4055" spans="1:66" x14ac:dyDescent="0.25">
      <c r="A4055" t="str">
        <f>HYPERLINK("https://elite.finviz.com/quote.ashx?t=UIS&amp;ty=c&amp;p=d&amp;b=1", "UIS")</f>
        <v>UIS</v>
      </c>
      <c r="B4055">
        <v>4</v>
      </c>
      <c r="C4055">
        <v>105.92</v>
      </c>
      <c r="D4055">
        <v>47.53</v>
      </c>
      <c r="E4055" t="s">
        <v>31845</v>
      </c>
      <c r="F4055" t="s">
        <v>67</v>
      </c>
      <c r="G4055" t="s">
        <v>108</v>
      </c>
      <c r="H4055" t="s">
        <v>1322</v>
      </c>
      <c r="I4055" t="s">
        <v>70</v>
      </c>
      <c r="J4055" t="s">
        <v>71</v>
      </c>
      <c r="K4055">
        <v>280.54000000000002</v>
      </c>
      <c r="L4055">
        <v>3.93</v>
      </c>
      <c r="M4055" t="s">
        <v>4494</v>
      </c>
      <c r="N4055">
        <v>154354</v>
      </c>
      <c r="P4055">
        <v>5.52</v>
      </c>
      <c r="R4055">
        <v>0.14000000000000001</v>
      </c>
      <c r="AA4055">
        <v>-1.18</v>
      </c>
      <c r="AB4055" t="s">
        <v>23658</v>
      </c>
      <c r="AC4055" t="s">
        <v>16676</v>
      </c>
      <c r="AD4055" t="s">
        <v>1470</v>
      </c>
      <c r="AE4055" t="s">
        <v>7243</v>
      </c>
      <c r="AF4055" t="s">
        <v>240</v>
      </c>
      <c r="AG4055" t="s">
        <v>3559</v>
      </c>
      <c r="AH4055" t="s">
        <v>2644</v>
      </c>
      <c r="AI4055" t="s">
        <v>17662</v>
      </c>
      <c r="AJ4055" t="s">
        <v>164</v>
      </c>
      <c r="AK4055" t="s">
        <v>26963</v>
      </c>
      <c r="AL4055">
        <v>1.65</v>
      </c>
      <c r="AM4055">
        <v>1.6</v>
      </c>
      <c r="AO4055" t="s">
        <v>16054</v>
      </c>
      <c r="AP4055" t="s">
        <v>2796</v>
      </c>
      <c r="AQ4055" t="s">
        <v>4432</v>
      </c>
      <c r="AR4055" t="s">
        <v>3433</v>
      </c>
      <c r="AS4055" t="s">
        <v>2838</v>
      </c>
      <c r="AT4055" t="s">
        <v>148</v>
      </c>
      <c r="AU4055" t="s">
        <v>6659</v>
      </c>
      <c r="AV4055" t="s">
        <v>26911</v>
      </c>
      <c r="AW4055" t="s">
        <v>998</v>
      </c>
      <c r="AX4055" t="s">
        <v>1252</v>
      </c>
      <c r="AY4055" t="s">
        <v>31846</v>
      </c>
      <c r="AZ4055" t="s">
        <v>11544</v>
      </c>
      <c r="BA4055">
        <v>1.67</v>
      </c>
      <c r="BB4055">
        <v>728.03</v>
      </c>
      <c r="BC4055">
        <v>0.75</v>
      </c>
      <c r="BD4055">
        <v>3.93</v>
      </c>
      <c r="BE4055">
        <v>3.96</v>
      </c>
      <c r="BF4055">
        <v>3.89</v>
      </c>
      <c r="BG4055" t="s">
        <v>31847</v>
      </c>
      <c r="BH4055" t="s">
        <v>21065</v>
      </c>
      <c r="BI4055" t="s">
        <v>15482</v>
      </c>
      <c r="BJ4055" t="s">
        <v>101</v>
      </c>
      <c r="BK4055" t="s">
        <v>7480</v>
      </c>
      <c r="BL4055" t="s">
        <v>5104</v>
      </c>
      <c r="BM4055" t="s">
        <v>19192</v>
      </c>
      <c r="BN4055" t="s">
        <v>27621</v>
      </c>
    </row>
    <row r="4056" spans="1:66" x14ac:dyDescent="0.25">
      <c r="A4056" t="str">
        <f>HYPERLINK("https://elite.finviz.com/quote.ashx?t=RNTX&amp;ty=c&amp;p=d&amp;b=1", "RNTX")</f>
        <v>RNTX</v>
      </c>
      <c r="B4056">
        <v>4</v>
      </c>
      <c r="C4056">
        <v>105.92</v>
      </c>
      <c r="D4056">
        <v>47.57</v>
      </c>
      <c r="E4056" t="s">
        <v>31848</v>
      </c>
      <c r="F4056" t="s">
        <v>107</v>
      </c>
      <c r="G4056" t="s">
        <v>428</v>
      </c>
      <c r="H4056" t="s">
        <v>429</v>
      </c>
      <c r="I4056" t="s">
        <v>70</v>
      </c>
      <c r="J4056" t="s">
        <v>321</v>
      </c>
      <c r="K4056">
        <v>27.55</v>
      </c>
      <c r="L4056">
        <v>1.17</v>
      </c>
      <c r="M4056" t="s">
        <v>6838</v>
      </c>
      <c r="N4056">
        <v>38539</v>
      </c>
      <c r="S4056">
        <v>8.9600000000000009</v>
      </c>
      <c r="AA4056">
        <v>-2.69</v>
      </c>
      <c r="AB4056" t="s">
        <v>6746</v>
      </c>
      <c r="AC4056" t="s">
        <v>31849</v>
      </c>
      <c r="AD4056" t="s">
        <v>6325</v>
      </c>
      <c r="AI4056" t="s">
        <v>6004</v>
      </c>
      <c r="AJ4056" t="s">
        <v>164</v>
      </c>
      <c r="AK4056" t="s">
        <v>20144</v>
      </c>
      <c r="AL4056">
        <v>0.86</v>
      </c>
      <c r="AM4056">
        <v>0.86</v>
      </c>
      <c r="AN4056">
        <v>0</v>
      </c>
      <c r="AR4056" t="s">
        <v>13358</v>
      </c>
      <c r="AS4056" t="s">
        <v>8209</v>
      </c>
      <c r="AT4056" t="s">
        <v>5368</v>
      </c>
      <c r="AU4056" t="s">
        <v>17477</v>
      </c>
      <c r="AV4056" t="s">
        <v>25872</v>
      </c>
      <c r="AW4056" t="s">
        <v>1646</v>
      </c>
      <c r="AX4056" t="s">
        <v>6206</v>
      </c>
      <c r="AY4056" t="s">
        <v>26937</v>
      </c>
      <c r="AZ4056" t="s">
        <v>6206</v>
      </c>
      <c r="BA4056">
        <v>2</v>
      </c>
      <c r="BB4056">
        <v>116.14</v>
      </c>
      <c r="BC4056">
        <v>1.17</v>
      </c>
      <c r="BD4056">
        <v>1.2</v>
      </c>
      <c r="BE4056">
        <v>1.21</v>
      </c>
      <c r="BF4056">
        <v>1.17</v>
      </c>
      <c r="BG4056" t="s">
        <v>31850</v>
      </c>
      <c r="BH4056" t="s">
        <v>8619</v>
      </c>
      <c r="BI4056" t="s">
        <v>2133</v>
      </c>
      <c r="BJ4056" t="s">
        <v>101</v>
      </c>
      <c r="BK4056" t="s">
        <v>17504</v>
      </c>
      <c r="BL4056" t="s">
        <v>27861</v>
      </c>
      <c r="BM4056" t="s">
        <v>17493</v>
      </c>
      <c r="BN4056" t="s">
        <v>27621</v>
      </c>
    </row>
    <row r="4057" spans="1:66" x14ac:dyDescent="0.25">
      <c r="A4057" t="str">
        <f>HYPERLINK("https://elite.finviz.com/quote.ashx?t=ARTNA&amp;ty=c&amp;p=d&amp;b=1", "ARTNA")</f>
        <v>ARTNA</v>
      </c>
      <c r="B4057">
        <v>4</v>
      </c>
      <c r="C4057">
        <v>105.92</v>
      </c>
      <c r="D4057">
        <v>47.6</v>
      </c>
      <c r="E4057" t="s">
        <v>31851</v>
      </c>
      <c r="F4057" t="s">
        <v>107</v>
      </c>
      <c r="G4057" t="s">
        <v>287</v>
      </c>
      <c r="H4057" t="s">
        <v>13133</v>
      </c>
      <c r="I4057" t="s">
        <v>70</v>
      </c>
      <c r="J4057" t="s">
        <v>321</v>
      </c>
      <c r="K4057">
        <v>338.1</v>
      </c>
      <c r="L4057">
        <v>32.549999999999997</v>
      </c>
      <c r="M4057" t="s">
        <v>5253</v>
      </c>
      <c r="N4057">
        <v>1208</v>
      </c>
      <c r="O4057">
        <v>14.98</v>
      </c>
      <c r="P4057">
        <v>14.73</v>
      </c>
      <c r="R4057">
        <v>3.06</v>
      </c>
      <c r="S4057">
        <v>1.37</v>
      </c>
      <c r="T4057" t="s">
        <v>5592</v>
      </c>
      <c r="U4057">
        <v>1.22</v>
      </c>
      <c r="V4057" t="s">
        <v>3046</v>
      </c>
      <c r="W4057" t="s">
        <v>1926</v>
      </c>
      <c r="X4057" t="s">
        <v>1148</v>
      </c>
      <c r="Y4057" t="s">
        <v>2108</v>
      </c>
      <c r="Z4057" t="s">
        <v>9209</v>
      </c>
      <c r="AA4057">
        <v>2.17</v>
      </c>
      <c r="AB4057" t="s">
        <v>2822</v>
      </c>
      <c r="AC4057" t="s">
        <v>4530</v>
      </c>
      <c r="AE4057" t="s">
        <v>234</v>
      </c>
      <c r="AF4057" t="s">
        <v>3204</v>
      </c>
      <c r="AG4057" t="s">
        <v>3958</v>
      </c>
      <c r="AH4057" t="s">
        <v>4299</v>
      </c>
      <c r="AI4057" t="s">
        <v>4193</v>
      </c>
      <c r="AJ4057" t="s">
        <v>2760</v>
      </c>
      <c r="AK4057" t="s">
        <v>3176</v>
      </c>
      <c r="AL4057">
        <v>0.87</v>
      </c>
      <c r="AM4057">
        <v>0.69</v>
      </c>
      <c r="AN4057">
        <v>0.73</v>
      </c>
      <c r="AO4057" t="s">
        <v>554</v>
      </c>
      <c r="AP4057" t="s">
        <v>7081</v>
      </c>
      <c r="AQ4057" t="s">
        <v>7710</v>
      </c>
      <c r="AR4057" t="s">
        <v>4658</v>
      </c>
      <c r="AS4057" t="s">
        <v>2808</v>
      </c>
      <c r="AT4057" t="s">
        <v>4886</v>
      </c>
      <c r="AU4057" t="s">
        <v>13117</v>
      </c>
      <c r="AV4057" t="s">
        <v>4086</v>
      </c>
      <c r="AW4057" t="s">
        <v>6469</v>
      </c>
      <c r="AX4057" t="s">
        <v>4189</v>
      </c>
      <c r="AY4057" t="s">
        <v>526</v>
      </c>
      <c r="AZ4057" t="s">
        <v>2795</v>
      </c>
      <c r="BA4057">
        <v>1</v>
      </c>
      <c r="BB4057">
        <v>31.35</v>
      </c>
      <c r="BC4057">
        <v>0.14000000000000001</v>
      </c>
      <c r="BD4057">
        <v>32.33</v>
      </c>
      <c r="BE4057">
        <v>32.630000000000003</v>
      </c>
      <c r="BF4057">
        <v>32.630000000000003</v>
      </c>
      <c r="BG4057" t="s">
        <v>31852</v>
      </c>
      <c r="BH4057" t="s">
        <v>10457</v>
      </c>
      <c r="BI4057" t="s">
        <v>31853</v>
      </c>
      <c r="BJ4057" t="s">
        <v>101</v>
      </c>
      <c r="BK4057" t="s">
        <v>9087</v>
      </c>
      <c r="BL4057" t="s">
        <v>2202</v>
      </c>
      <c r="BM4057" t="s">
        <v>14444</v>
      </c>
      <c r="BN4057" t="s">
        <v>27621</v>
      </c>
    </row>
    <row r="4058" spans="1:66" x14ac:dyDescent="0.25">
      <c r="A4058" t="str">
        <f>HYPERLINK("https://elite.finviz.com/quote.ashx?t=MAIA&amp;ty=c&amp;p=d&amp;b=1", "MAIA")</f>
        <v>MAIA</v>
      </c>
      <c r="B4058">
        <v>4</v>
      </c>
      <c r="C4058">
        <v>105.92</v>
      </c>
      <c r="D4058">
        <v>47.62</v>
      </c>
      <c r="E4058" t="s">
        <v>31854</v>
      </c>
      <c r="F4058" t="s">
        <v>107</v>
      </c>
      <c r="G4058" t="s">
        <v>428</v>
      </c>
      <c r="H4058" t="s">
        <v>429</v>
      </c>
      <c r="I4058" t="s">
        <v>70</v>
      </c>
      <c r="J4058" t="s">
        <v>383</v>
      </c>
      <c r="K4058">
        <v>51.25</v>
      </c>
      <c r="L4058">
        <v>1.55</v>
      </c>
      <c r="M4058" t="s">
        <v>7646</v>
      </c>
      <c r="N4058">
        <v>24589</v>
      </c>
      <c r="S4058">
        <v>12.75</v>
      </c>
      <c r="AA4058">
        <v>-0.59</v>
      </c>
      <c r="AB4058" t="s">
        <v>1100</v>
      </c>
      <c r="AC4058" t="s">
        <v>1108</v>
      </c>
      <c r="AI4058" t="s">
        <v>164</v>
      </c>
      <c r="AJ4058" t="s">
        <v>5692</v>
      </c>
      <c r="AK4058" t="s">
        <v>4999</v>
      </c>
      <c r="AL4058">
        <v>2.19</v>
      </c>
      <c r="AM4058">
        <v>2.19</v>
      </c>
      <c r="AN4058">
        <v>0</v>
      </c>
      <c r="AR4058" t="s">
        <v>353</v>
      </c>
      <c r="AS4058" t="s">
        <v>5859</v>
      </c>
      <c r="AT4058" t="s">
        <v>2007</v>
      </c>
      <c r="AU4058" t="s">
        <v>1444</v>
      </c>
      <c r="AV4058" t="s">
        <v>6700</v>
      </c>
      <c r="AW4058" t="s">
        <v>31164</v>
      </c>
      <c r="AX4058" t="s">
        <v>7542</v>
      </c>
      <c r="AY4058" t="s">
        <v>31855</v>
      </c>
      <c r="AZ4058" t="s">
        <v>602</v>
      </c>
      <c r="BA4058">
        <v>1</v>
      </c>
      <c r="BB4058">
        <v>435.9</v>
      </c>
      <c r="BC4058">
        <v>0.2</v>
      </c>
      <c r="BD4058">
        <v>1.57</v>
      </c>
      <c r="BE4058">
        <v>1.58</v>
      </c>
      <c r="BF4058">
        <v>1.55</v>
      </c>
      <c r="BG4058" t="s">
        <v>31856</v>
      </c>
      <c r="BH4058" t="s">
        <v>24887</v>
      </c>
      <c r="BI4058" t="s">
        <v>22443</v>
      </c>
      <c r="BJ4058" t="s">
        <v>101</v>
      </c>
      <c r="BK4058" t="s">
        <v>9592</v>
      </c>
      <c r="BL4058" t="s">
        <v>14635</v>
      </c>
      <c r="BM4058" t="s">
        <v>31857</v>
      </c>
      <c r="BN4058" t="s">
        <v>27621</v>
      </c>
    </row>
    <row r="4059" spans="1:66" x14ac:dyDescent="0.25">
      <c r="A4059" t="str">
        <f>HYPERLINK("https://elite.finviz.com/quote.ashx?t=GCBC&amp;ty=c&amp;p=d&amp;b=1", "GCBC")</f>
        <v>GCBC</v>
      </c>
      <c r="B4059">
        <v>4</v>
      </c>
      <c r="C4059">
        <v>105.92</v>
      </c>
      <c r="D4059">
        <v>47.63</v>
      </c>
      <c r="E4059" t="s">
        <v>31858</v>
      </c>
      <c r="F4059" t="s">
        <v>67</v>
      </c>
      <c r="G4059" t="s">
        <v>550</v>
      </c>
      <c r="H4059" t="s">
        <v>697</v>
      </c>
      <c r="I4059" t="s">
        <v>70</v>
      </c>
      <c r="J4059" t="s">
        <v>321</v>
      </c>
      <c r="K4059">
        <v>398.77</v>
      </c>
      <c r="L4059">
        <v>23.42</v>
      </c>
      <c r="M4059" t="s">
        <v>344</v>
      </c>
      <c r="N4059">
        <v>3018</v>
      </c>
      <c r="O4059">
        <v>12.81</v>
      </c>
      <c r="R4059">
        <v>3</v>
      </c>
      <c r="S4059">
        <v>1.67</v>
      </c>
      <c r="T4059" t="s">
        <v>4275</v>
      </c>
      <c r="U4059">
        <v>0.37</v>
      </c>
      <c r="V4059" t="s">
        <v>3046</v>
      </c>
      <c r="W4059" t="s">
        <v>6206</v>
      </c>
      <c r="X4059" t="s">
        <v>292</v>
      </c>
      <c r="Y4059" t="s">
        <v>10247</v>
      </c>
      <c r="Z4059" t="s">
        <v>2636</v>
      </c>
      <c r="AA4059">
        <v>1.83</v>
      </c>
      <c r="AB4059" t="s">
        <v>3325</v>
      </c>
      <c r="AC4059" t="s">
        <v>177</v>
      </c>
      <c r="AE4059" t="s">
        <v>4109</v>
      </c>
      <c r="AF4059" t="s">
        <v>1876</v>
      </c>
      <c r="AG4059" t="s">
        <v>3009</v>
      </c>
      <c r="AH4059" t="s">
        <v>8691</v>
      </c>
      <c r="AJ4059" t="s">
        <v>1324</v>
      </c>
      <c r="AK4059" t="s">
        <v>7033</v>
      </c>
      <c r="AL4059">
        <v>0.08</v>
      </c>
      <c r="AN4059">
        <v>0.55000000000000004</v>
      </c>
      <c r="AP4059" t="s">
        <v>12914</v>
      </c>
      <c r="AQ4059" t="s">
        <v>9224</v>
      </c>
      <c r="AR4059" t="s">
        <v>4154</v>
      </c>
      <c r="AS4059" t="s">
        <v>5779</v>
      </c>
      <c r="AT4059" t="s">
        <v>1722</v>
      </c>
      <c r="AU4059" t="s">
        <v>1313</v>
      </c>
      <c r="AV4059" t="s">
        <v>4528</v>
      </c>
      <c r="AW4059" t="s">
        <v>5445</v>
      </c>
      <c r="AX4059" t="s">
        <v>5467</v>
      </c>
      <c r="AY4059" t="s">
        <v>18369</v>
      </c>
      <c r="AZ4059" t="s">
        <v>728</v>
      </c>
      <c r="BB4059">
        <v>21.69</v>
      </c>
      <c r="BC4059">
        <v>0.49</v>
      </c>
      <c r="BD4059">
        <v>23.17</v>
      </c>
      <c r="BE4059">
        <v>23.53</v>
      </c>
      <c r="BF4059">
        <v>23.53</v>
      </c>
      <c r="BG4059" t="s">
        <v>31859</v>
      </c>
      <c r="BH4059" t="s">
        <v>1734</v>
      </c>
      <c r="BI4059" t="s">
        <v>31860</v>
      </c>
      <c r="BJ4059" t="s">
        <v>101</v>
      </c>
      <c r="BK4059" t="s">
        <v>4891</v>
      </c>
      <c r="BL4059" t="s">
        <v>2176</v>
      </c>
      <c r="BM4059" t="s">
        <v>18962</v>
      </c>
      <c r="BN4059" t="s">
        <v>27621</v>
      </c>
    </row>
    <row r="4060" spans="1:66" x14ac:dyDescent="0.25">
      <c r="A4060" t="str">
        <f>HYPERLINK("https://elite.finviz.com/quote.ashx?t=WCC&amp;ty=c&amp;p=d&amp;b=1", "WCC")</f>
        <v>WCC</v>
      </c>
      <c r="B4060">
        <v>4</v>
      </c>
      <c r="C4060">
        <v>105.92</v>
      </c>
      <c r="D4060">
        <v>47.63</v>
      </c>
      <c r="E4060" t="s">
        <v>31861</v>
      </c>
      <c r="F4060" t="s">
        <v>107</v>
      </c>
      <c r="G4060" t="s">
        <v>260</v>
      </c>
      <c r="H4060" t="s">
        <v>8107</v>
      </c>
      <c r="I4060" t="s">
        <v>70</v>
      </c>
      <c r="J4060" t="s">
        <v>71</v>
      </c>
      <c r="K4060">
        <v>10287.280000000001</v>
      </c>
      <c r="L4060">
        <v>211.4</v>
      </c>
      <c r="M4060" t="s">
        <v>5058</v>
      </c>
      <c r="N4060">
        <v>120478</v>
      </c>
      <c r="O4060">
        <v>16.55</v>
      </c>
      <c r="P4060">
        <v>13.14</v>
      </c>
      <c r="Q4060">
        <v>1.08</v>
      </c>
      <c r="R4060">
        <v>0.46</v>
      </c>
      <c r="S4060">
        <v>2.16</v>
      </c>
      <c r="T4060" t="s">
        <v>7388</v>
      </c>
      <c r="U4060">
        <v>1.77</v>
      </c>
      <c r="V4060" t="s">
        <v>2620</v>
      </c>
      <c r="W4060" t="s">
        <v>3962</v>
      </c>
      <c r="Z4060" t="s">
        <v>333</v>
      </c>
      <c r="AA4060">
        <v>12.77</v>
      </c>
      <c r="AB4060" t="s">
        <v>13792</v>
      </c>
      <c r="AC4060" t="s">
        <v>14660</v>
      </c>
      <c r="AD4060" t="s">
        <v>11062</v>
      </c>
      <c r="AE4060" t="s">
        <v>2509</v>
      </c>
      <c r="AF4060" t="s">
        <v>2777</v>
      </c>
      <c r="AG4060" t="s">
        <v>4466</v>
      </c>
      <c r="AH4060" t="s">
        <v>1207</v>
      </c>
      <c r="AI4060" t="s">
        <v>273</v>
      </c>
      <c r="AJ4060" t="s">
        <v>1812</v>
      </c>
      <c r="AK4060" t="s">
        <v>31862</v>
      </c>
      <c r="AL4060">
        <v>2.09</v>
      </c>
      <c r="AM4060">
        <v>1.19</v>
      </c>
      <c r="AN4060">
        <v>1.34</v>
      </c>
      <c r="AO4060" t="s">
        <v>11578</v>
      </c>
      <c r="AP4060" t="s">
        <v>4403</v>
      </c>
      <c r="AQ4060" t="s">
        <v>205</v>
      </c>
      <c r="AR4060" t="s">
        <v>5425</v>
      </c>
      <c r="AS4060" t="s">
        <v>1933</v>
      </c>
      <c r="AT4060" t="s">
        <v>600</v>
      </c>
      <c r="AU4060" t="s">
        <v>1226</v>
      </c>
      <c r="AV4060" t="s">
        <v>5699</v>
      </c>
      <c r="AW4060" t="s">
        <v>502</v>
      </c>
      <c r="AX4060" t="s">
        <v>506</v>
      </c>
      <c r="AY4060" t="s">
        <v>502</v>
      </c>
      <c r="AZ4060" t="s">
        <v>31863</v>
      </c>
      <c r="BA4060">
        <v>1.77</v>
      </c>
      <c r="BB4060">
        <v>668.93</v>
      </c>
      <c r="BC4060">
        <v>0.63</v>
      </c>
      <c r="BD4060">
        <v>208.51</v>
      </c>
      <c r="BE4060">
        <v>213.33</v>
      </c>
      <c r="BF4060">
        <v>208.9</v>
      </c>
      <c r="BG4060" t="s">
        <v>31864</v>
      </c>
      <c r="BH4060" t="s">
        <v>502</v>
      </c>
      <c r="BI4060" t="s">
        <v>31865</v>
      </c>
      <c r="BJ4060" t="s">
        <v>101</v>
      </c>
      <c r="BK4060" t="s">
        <v>6748</v>
      </c>
      <c r="BL4060" t="s">
        <v>11323</v>
      </c>
      <c r="BM4060" t="s">
        <v>7040</v>
      </c>
      <c r="BN4060" t="s">
        <v>27621</v>
      </c>
    </row>
    <row r="4061" spans="1:66" x14ac:dyDescent="0.25">
      <c r="A4061" t="str">
        <f>HYPERLINK("https://elite.finviz.com/quote.ashx?t=VTS&amp;ty=c&amp;p=d&amp;b=1", "VTS")</f>
        <v>VTS</v>
      </c>
      <c r="B4061">
        <v>4</v>
      </c>
      <c r="C4061">
        <v>105.92</v>
      </c>
      <c r="D4061">
        <v>47.67</v>
      </c>
      <c r="E4061" t="s">
        <v>31866</v>
      </c>
      <c r="F4061" t="s">
        <v>67</v>
      </c>
      <c r="G4061" t="s">
        <v>1048</v>
      </c>
      <c r="H4061" t="s">
        <v>1049</v>
      </c>
      <c r="I4061" t="s">
        <v>70</v>
      </c>
      <c r="J4061" t="s">
        <v>71</v>
      </c>
      <c r="K4061">
        <v>944.38</v>
      </c>
      <c r="L4061">
        <v>24.46</v>
      </c>
      <c r="M4061" t="s">
        <v>714</v>
      </c>
      <c r="N4061">
        <v>108202</v>
      </c>
      <c r="O4061">
        <v>23.5</v>
      </c>
      <c r="P4061">
        <v>39.03</v>
      </c>
      <c r="R4061">
        <v>3.6</v>
      </c>
      <c r="S4061">
        <v>1.48</v>
      </c>
      <c r="T4061" t="s">
        <v>1960</v>
      </c>
      <c r="U4061">
        <v>2.21</v>
      </c>
      <c r="V4061" t="s">
        <v>3833</v>
      </c>
      <c r="W4061" t="s">
        <v>3433</v>
      </c>
      <c r="Z4061" t="s">
        <v>31867</v>
      </c>
      <c r="AA4061">
        <v>1.04</v>
      </c>
      <c r="AB4061" t="s">
        <v>4902</v>
      </c>
      <c r="AC4061" t="s">
        <v>840</v>
      </c>
      <c r="AD4061" t="s">
        <v>8156</v>
      </c>
      <c r="AE4061" t="s">
        <v>6475</v>
      </c>
      <c r="AF4061" t="s">
        <v>3146</v>
      </c>
      <c r="AG4061" t="s">
        <v>1767</v>
      </c>
      <c r="AH4061" t="s">
        <v>4253</v>
      </c>
      <c r="AI4061" t="s">
        <v>31868</v>
      </c>
      <c r="AJ4061" t="s">
        <v>2638</v>
      </c>
      <c r="AK4061" t="s">
        <v>3014</v>
      </c>
      <c r="AL4061">
        <v>0.95</v>
      </c>
      <c r="AM4061">
        <v>0.95</v>
      </c>
      <c r="AN4061">
        <v>0.16</v>
      </c>
      <c r="AO4061" t="s">
        <v>11443</v>
      </c>
      <c r="AP4061" t="s">
        <v>7298</v>
      </c>
      <c r="AQ4061" t="s">
        <v>6184</v>
      </c>
      <c r="AR4061" t="s">
        <v>6118</v>
      </c>
      <c r="AS4061" t="s">
        <v>92</v>
      </c>
      <c r="AT4061" t="s">
        <v>6659</v>
      </c>
      <c r="AU4061" t="s">
        <v>5824</v>
      </c>
      <c r="AV4061" t="s">
        <v>5158</v>
      </c>
      <c r="AW4061" t="s">
        <v>13208</v>
      </c>
      <c r="AX4061" t="s">
        <v>1771</v>
      </c>
      <c r="AY4061" t="s">
        <v>8621</v>
      </c>
      <c r="AZ4061" t="s">
        <v>31869</v>
      </c>
      <c r="BA4061">
        <v>2.2000000000000002</v>
      </c>
      <c r="BB4061">
        <v>345.5</v>
      </c>
      <c r="BC4061">
        <v>1.1000000000000001</v>
      </c>
      <c r="BD4061">
        <v>23.94</v>
      </c>
      <c r="BE4061">
        <v>24.55</v>
      </c>
      <c r="BF4061">
        <v>23.96</v>
      </c>
      <c r="BG4061" t="s">
        <v>31870</v>
      </c>
      <c r="BH4061" t="s">
        <v>8621</v>
      </c>
      <c r="BI4061" t="s">
        <v>31871</v>
      </c>
      <c r="BJ4061" t="s">
        <v>101</v>
      </c>
      <c r="BK4061" t="s">
        <v>607</v>
      </c>
      <c r="BL4061" t="s">
        <v>1820</v>
      </c>
      <c r="BM4061" t="s">
        <v>8634</v>
      </c>
      <c r="BN4061" t="s">
        <v>27621</v>
      </c>
    </row>
    <row r="4062" spans="1:66" x14ac:dyDescent="0.25">
      <c r="A4062" t="str">
        <f>HYPERLINK("https://elite.finviz.com/quote.ashx?t=SUN&amp;ty=c&amp;p=d&amp;b=1", "SUN")</f>
        <v>SUN</v>
      </c>
      <c r="B4062">
        <v>4</v>
      </c>
      <c r="C4062">
        <v>105.92</v>
      </c>
      <c r="D4062">
        <v>47.67</v>
      </c>
      <c r="E4062" t="s">
        <v>31872</v>
      </c>
      <c r="F4062" t="s">
        <v>107</v>
      </c>
      <c r="G4062" t="s">
        <v>1048</v>
      </c>
      <c r="H4062" t="s">
        <v>3886</v>
      </c>
      <c r="I4062" t="s">
        <v>70</v>
      </c>
      <c r="J4062" t="s">
        <v>71</v>
      </c>
      <c r="K4062">
        <v>7702.79</v>
      </c>
      <c r="L4062">
        <v>50.34</v>
      </c>
      <c r="M4062" t="s">
        <v>5380</v>
      </c>
      <c r="N4062">
        <v>103015</v>
      </c>
      <c r="O4062">
        <v>24.73</v>
      </c>
      <c r="P4062">
        <v>9.31</v>
      </c>
      <c r="R4062">
        <v>0.36</v>
      </c>
      <c r="S4062">
        <v>1.68</v>
      </c>
      <c r="T4062" t="s">
        <v>5319</v>
      </c>
      <c r="U4062">
        <v>3.57</v>
      </c>
      <c r="V4062" t="s">
        <v>1762</v>
      </c>
      <c r="W4062" t="s">
        <v>3244</v>
      </c>
      <c r="X4062" t="s">
        <v>2274</v>
      </c>
      <c r="Y4062" t="s">
        <v>4689</v>
      </c>
      <c r="Z4062" t="s">
        <v>9519</v>
      </c>
      <c r="AA4062">
        <v>2.04</v>
      </c>
      <c r="AB4062" t="s">
        <v>8625</v>
      </c>
      <c r="AC4062" t="s">
        <v>9225</v>
      </c>
      <c r="AD4062" t="s">
        <v>4397</v>
      </c>
      <c r="AE4062" t="s">
        <v>9998</v>
      </c>
      <c r="AF4062" t="s">
        <v>2000</v>
      </c>
      <c r="AG4062" t="s">
        <v>3389</v>
      </c>
      <c r="AH4062" t="s">
        <v>7526</v>
      </c>
      <c r="AI4062" t="s">
        <v>4137</v>
      </c>
      <c r="AJ4062" t="s">
        <v>164</v>
      </c>
      <c r="AK4062" t="s">
        <v>9061</v>
      </c>
      <c r="AL4062">
        <v>1.52</v>
      </c>
      <c r="AM4062">
        <v>0.8</v>
      </c>
      <c r="AN4062">
        <v>2.04</v>
      </c>
      <c r="AO4062" t="s">
        <v>3837</v>
      </c>
      <c r="AP4062" t="s">
        <v>4324</v>
      </c>
      <c r="AQ4062" t="s">
        <v>6478</v>
      </c>
      <c r="AR4062" t="s">
        <v>2274</v>
      </c>
      <c r="AS4062" t="s">
        <v>7780</v>
      </c>
      <c r="AT4062" t="s">
        <v>7709</v>
      </c>
      <c r="AU4062" t="s">
        <v>4113</v>
      </c>
      <c r="AV4062" t="s">
        <v>11775</v>
      </c>
      <c r="AW4062" t="s">
        <v>8382</v>
      </c>
      <c r="AX4062" t="s">
        <v>5102</v>
      </c>
      <c r="AY4062" t="s">
        <v>6688</v>
      </c>
      <c r="AZ4062" t="s">
        <v>5102</v>
      </c>
      <c r="BA4062">
        <v>1.43</v>
      </c>
      <c r="BB4062">
        <v>380.65</v>
      </c>
      <c r="BC4062">
        <v>0.95</v>
      </c>
      <c r="BD4062">
        <v>49.75</v>
      </c>
      <c r="BE4062">
        <v>50.43</v>
      </c>
      <c r="BF4062">
        <v>50.09</v>
      </c>
      <c r="BG4062" t="s">
        <v>31873</v>
      </c>
      <c r="BH4062" t="s">
        <v>16262</v>
      </c>
      <c r="BI4062" t="s">
        <v>31874</v>
      </c>
      <c r="BJ4062" t="s">
        <v>101</v>
      </c>
      <c r="BK4062" t="s">
        <v>2335</v>
      </c>
      <c r="BL4062" t="s">
        <v>5028</v>
      </c>
      <c r="BM4062" t="s">
        <v>4888</v>
      </c>
      <c r="BN4062" t="s">
        <v>27621</v>
      </c>
    </row>
    <row r="4063" spans="1:66" x14ac:dyDescent="0.25">
      <c r="A4063" t="str">
        <f>HYPERLINK("https://elite.finviz.com/quote.ashx?t=PED&amp;ty=c&amp;p=d&amp;b=1", "PED")</f>
        <v>PED</v>
      </c>
      <c r="B4063">
        <v>4</v>
      </c>
      <c r="C4063">
        <v>105.92</v>
      </c>
      <c r="D4063">
        <v>47.68</v>
      </c>
      <c r="E4063" t="s">
        <v>31875</v>
      </c>
      <c r="F4063" t="s">
        <v>107</v>
      </c>
      <c r="G4063" t="s">
        <v>1048</v>
      </c>
      <c r="H4063" t="s">
        <v>1049</v>
      </c>
      <c r="I4063" t="s">
        <v>70</v>
      </c>
      <c r="J4063" t="s">
        <v>383</v>
      </c>
      <c r="K4063">
        <v>54.26</v>
      </c>
      <c r="L4063">
        <v>0.59</v>
      </c>
      <c r="M4063" t="s">
        <v>2175</v>
      </c>
      <c r="N4063">
        <v>28092</v>
      </c>
      <c r="O4063">
        <v>4.1100000000000003</v>
      </c>
      <c r="R4063">
        <v>1.54</v>
      </c>
      <c r="S4063">
        <v>0.45</v>
      </c>
      <c r="Z4063" t="s">
        <v>164</v>
      </c>
      <c r="AA4063">
        <v>0.14000000000000001</v>
      </c>
      <c r="AE4063" t="s">
        <v>3334</v>
      </c>
      <c r="AF4063" t="s">
        <v>1448</v>
      </c>
      <c r="AG4063" t="s">
        <v>17740</v>
      </c>
      <c r="AH4063" t="s">
        <v>26145</v>
      </c>
      <c r="AI4063" t="s">
        <v>27996</v>
      </c>
      <c r="AJ4063" t="s">
        <v>164</v>
      </c>
      <c r="AK4063" t="s">
        <v>5121</v>
      </c>
      <c r="AL4063">
        <v>1.67</v>
      </c>
      <c r="AM4063">
        <v>1.67</v>
      </c>
      <c r="AN4063">
        <v>0</v>
      </c>
      <c r="AO4063" t="s">
        <v>3073</v>
      </c>
      <c r="AP4063" t="s">
        <v>4688</v>
      </c>
      <c r="AQ4063" t="s">
        <v>15735</v>
      </c>
      <c r="AR4063" t="s">
        <v>3545</v>
      </c>
      <c r="AS4063" t="s">
        <v>1449</v>
      </c>
      <c r="AT4063" t="s">
        <v>4763</v>
      </c>
      <c r="AU4063" t="s">
        <v>13365</v>
      </c>
      <c r="AV4063" t="s">
        <v>1579</v>
      </c>
      <c r="AW4063" t="s">
        <v>24341</v>
      </c>
      <c r="AX4063" t="s">
        <v>4908</v>
      </c>
      <c r="AY4063" t="s">
        <v>31876</v>
      </c>
      <c r="AZ4063" t="s">
        <v>3747</v>
      </c>
      <c r="BA4063">
        <v>1</v>
      </c>
      <c r="BB4063">
        <v>121.43</v>
      </c>
      <c r="BC4063">
        <v>0.82</v>
      </c>
      <c r="BD4063">
        <v>0.57999999999999996</v>
      </c>
      <c r="BE4063">
        <v>0.59</v>
      </c>
      <c r="BF4063">
        <v>0.57999999999999996</v>
      </c>
      <c r="BG4063" t="s">
        <v>31877</v>
      </c>
      <c r="BH4063" t="s">
        <v>579</v>
      </c>
      <c r="BI4063" t="s">
        <v>31878</v>
      </c>
      <c r="BJ4063" t="s">
        <v>101</v>
      </c>
      <c r="BK4063" t="s">
        <v>12738</v>
      </c>
      <c r="BL4063" t="s">
        <v>15634</v>
      </c>
      <c r="BM4063" t="s">
        <v>24515</v>
      </c>
      <c r="BN4063" t="s">
        <v>27621</v>
      </c>
    </row>
    <row r="4064" spans="1:66" x14ac:dyDescent="0.25">
      <c r="A4064" t="str">
        <f>HYPERLINK("https://elite.finviz.com/quote.ashx?t=CHPT&amp;ty=c&amp;p=d&amp;b=1", "CHPT")</f>
        <v>CHPT</v>
      </c>
      <c r="B4064">
        <v>4</v>
      </c>
      <c r="C4064">
        <v>105.92</v>
      </c>
      <c r="D4064">
        <v>47.69</v>
      </c>
      <c r="E4064" t="s">
        <v>31879</v>
      </c>
      <c r="F4064" t="s">
        <v>107</v>
      </c>
      <c r="G4064" t="s">
        <v>813</v>
      </c>
      <c r="H4064" t="s">
        <v>2262</v>
      </c>
      <c r="I4064" t="s">
        <v>70</v>
      </c>
      <c r="J4064" t="s">
        <v>71</v>
      </c>
      <c r="K4064">
        <v>251.05</v>
      </c>
      <c r="L4064">
        <v>10.75</v>
      </c>
      <c r="M4064" t="s">
        <v>2059</v>
      </c>
      <c r="N4064">
        <v>72528</v>
      </c>
      <c r="R4064">
        <v>0.63</v>
      </c>
      <c r="S4064">
        <v>3.55</v>
      </c>
      <c r="AA4064">
        <v>-11.79</v>
      </c>
      <c r="AB4064" t="s">
        <v>15374</v>
      </c>
      <c r="AC4064" t="s">
        <v>3338</v>
      </c>
      <c r="AD4064" t="s">
        <v>3864</v>
      </c>
      <c r="AE4064" t="s">
        <v>8829</v>
      </c>
      <c r="AF4064" t="s">
        <v>7290</v>
      </c>
      <c r="AH4064" t="s">
        <v>1027</v>
      </c>
      <c r="AI4064" t="s">
        <v>14196</v>
      </c>
      <c r="AJ4064" t="s">
        <v>2998</v>
      </c>
      <c r="AK4064" t="s">
        <v>20144</v>
      </c>
      <c r="AL4064">
        <v>1.67</v>
      </c>
      <c r="AM4064">
        <v>1</v>
      </c>
      <c r="AN4064">
        <v>4.5599999999999996</v>
      </c>
      <c r="AO4064" t="s">
        <v>29155</v>
      </c>
      <c r="AP4064" t="s">
        <v>8349</v>
      </c>
      <c r="AQ4064" t="s">
        <v>31880</v>
      </c>
      <c r="AR4064" t="s">
        <v>2581</v>
      </c>
      <c r="AS4064" t="s">
        <v>7118</v>
      </c>
      <c r="AT4064" t="s">
        <v>2864</v>
      </c>
      <c r="AU4064" t="s">
        <v>6838</v>
      </c>
      <c r="AV4064" t="s">
        <v>12074</v>
      </c>
      <c r="AW4064" t="s">
        <v>7997</v>
      </c>
      <c r="AX4064" t="s">
        <v>28337</v>
      </c>
      <c r="AY4064" t="s">
        <v>31881</v>
      </c>
      <c r="AZ4064" t="s">
        <v>28337</v>
      </c>
      <c r="BA4064">
        <v>3.18</v>
      </c>
      <c r="BB4064">
        <v>739.77</v>
      </c>
      <c r="BC4064">
        <v>0.35</v>
      </c>
      <c r="BD4064">
        <v>10.82</v>
      </c>
      <c r="BE4064">
        <v>10.87</v>
      </c>
      <c r="BF4064">
        <v>10.67</v>
      </c>
      <c r="BG4064" t="s">
        <v>31882</v>
      </c>
      <c r="BH4064" t="s">
        <v>13395</v>
      </c>
      <c r="BI4064" t="s">
        <v>28337</v>
      </c>
      <c r="BJ4064" t="s">
        <v>101</v>
      </c>
      <c r="BK4064" t="s">
        <v>23521</v>
      </c>
      <c r="BL4064" t="s">
        <v>15231</v>
      </c>
      <c r="BM4064" t="s">
        <v>17534</v>
      </c>
      <c r="BN4064" t="s">
        <v>27621</v>
      </c>
    </row>
    <row r="4065" spans="1:66" x14ac:dyDescent="0.25">
      <c r="A4065" t="str">
        <f>HYPERLINK("https://elite.finviz.com/quote.ashx?t=NXDT&amp;ty=c&amp;p=d&amp;b=1", "NXDT")</f>
        <v>NXDT</v>
      </c>
      <c r="B4065">
        <v>4</v>
      </c>
      <c r="C4065">
        <v>105.92</v>
      </c>
      <c r="D4065">
        <v>47.72</v>
      </c>
      <c r="E4065" t="s">
        <v>31883</v>
      </c>
      <c r="F4065" t="s">
        <v>67</v>
      </c>
      <c r="G4065" t="s">
        <v>68</v>
      </c>
      <c r="H4065" t="s">
        <v>4656</v>
      </c>
      <c r="I4065" t="s">
        <v>70</v>
      </c>
      <c r="J4065" t="s">
        <v>71</v>
      </c>
      <c r="K4065">
        <v>185.85</v>
      </c>
      <c r="L4065">
        <v>3.92</v>
      </c>
      <c r="M4065" t="s">
        <v>8374</v>
      </c>
      <c r="N4065">
        <v>8576</v>
      </c>
      <c r="R4065">
        <v>1.79</v>
      </c>
      <c r="S4065">
        <v>0.25</v>
      </c>
      <c r="T4065" t="s">
        <v>292</v>
      </c>
      <c r="U4065">
        <v>0.45</v>
      </c>
      <c r="V4065" t="s">
        <v>2708</v>
      </c>
      <c r="W4065" t="s">
        <v>164</v>
      </c>
      <c r="X4065" t="s">
        <v>164</v>
      </c>
      <c r="Y4065" t="s">
        <v>9579</v>
      </c>
      <c r="AA4065">
        <v>-2.2400000000000002</v>
      </c>
      <c r="AB4065" t="s">
        <v>23714</v>
      </c>
      <c r="AE4065" t="s">
        <v>21120</v>
      </c>
      <c r="AG4065" t="s">
        <v>15100</v>
      </c>
      <c r="AH4065" t="s">
        <v>5404</v>
      </c>
      <c r="AJ4065" t="s">
        <v>582</v>
      </c>
      <c r="AK4065" t="s">
        <v>20386</v>
      </c>
      <c r="AL4065">
        <v>0.64</v>
      </c>
      <c r="AM4065">
        <v>0.64</v>
      </c>
      <c r="AN4065">
        <v>0.42</v>
      </c>
      <c r="AO4065" t="s">
        <v>22249</v>
      </c>
      <c r="AP4065" t="s">
        <v>25746</v>
      </c>
      <c r="AQ4065" t="s">
        <v>31884</v>
      </c>
      <c r="AR4065" t="s">
        <v>3482</v>
      </c>
      <c r="AS4065" t="s">
        <v>197</v>
      </c>
      <c r="AT4065" t="s">
        <v>3976</v>
      </c>
      <c r="AU4065" t="s">
        <v>11702</v>
      </c>
      <c r="AV4065" t="s">
        <v>8162</v>
      </c>
      <c r="AW4065" t="s">
        <v>23611</v>
      </c>
      <c r="AX4065" t="s">
        <v>8579</v>
      </c>
      <c r="AY4065" t="s">
        <v>8991</v>
      </c>
      <c r="AZ4065" t="s">
        <v>8608</v>
      </c>
      <c r="BB4065">
        <v>192.68</v>
      </c>
      <c r="BC4065">
        <v>0.16</v>
      </c>
      <c r="BD4065">
        <v>3.95</v>
      </c>
      <c r="BE4065">
        <v>3.94</v>
      </c>
      <c r="BF4065">
        <v>3.92</v>
      </c>
      <c r="BG4065" t="s">
        <v>31885</v>
      </c>
      <c r="BH4065" t="s">
        <v>31886</v>
      </c>
      <c r="BI4065" t="s">
        <v>8608</v>
      </c>
      <c r="BJ4065" t="s">
        <v>101</v>
      </c>
      <c r="BK4065" t="s">
        <v>2364</v>
      </c>
      <c r="BL4065" t="s">
        <v>2694</v>
      </c>
      <c r="BM4065" t="s">
        <v>18240</v>
      </c>
      <c r="BN4065" t="s">
        <v>27621</v>
      </c>
    </row>
    <row r="4066" spans="1:66" x14ac:dyDescent="0.25">
      <c r="A4066" t="str">
        <f>HYPERLINK("https://elite.finviz.com/quote.ashx?t=MSA&amp;ty=c&amp;p=d&amp;b=1", "MSA")</f>
        <v>MSA</v>
      </c>
      <c r="B4066">
        <v>4</v>
      </c>
      <c r="C4066">
        <v>105.92</v>
      </c>
      <c r="D4066">
        <v>47.74</v>
      </c>
      <c r="E4066" t="s">
        <v>31887</v>
      </c>
      <c r="F4066" t="s">
        <v>107</v>
      </c>
      <c r="G4066" t="s">
        <v>260</v>
      </c>
      <c r="H4066" t="s">
        <v>4162</v>
      </c>
      <c r="I4066" t="s">
        <v>70</v>
      </c>
      <c r="J4066" t="s">
        <v>71</v>
      </c>
      <c r="K4066">
        <v>6652.1</v>
      </c>
      <c r="L4066">
        <v>169.94</v>
      </c>
      <c r="M4066" t="s">
        <v>4623</v>
      </c>
      <c r="N4066">
        <v>40004</v>
      </c>
      <c r="O4066">
        <v>24.23</v>
      </c>
      <c r="P4066">
        <v>19.38</v>
      </c>
      <c r="Q4066">
        <v>3.27</v>
      </c>
      <c r="R4066">
        <v>3.64</v>
      </c>
      <c r="S4066">
        <v>5.33</v>
      </c>
      <c r="T4066" t="s">
        <v>2650</v>
      </c>
      <c r="U4066">
        <v>2.08</v>
      </c>
      <c r="V4066" t="s">
        <v>3046</v>
      </c>
      <c r="W4066" t="s">
        <v>2585</v>
      </c>
      <c r="X4066" t="s">
        <v>4104</v>
      </c>
      <c r="Y4066" t="s">
        <v>3469</v>
      </c>
      <c r="Z4066" t="s">
        <v>13013</v>
      </c>
      <c r="AA4066">
        <v>7.01</v>
      </c>
      <c r="AB4066" t="s">
        <v>31888</v>
      </c>
      <c r="AC4066" t="s">
        <v>11116</v>
      </c>
      <c r="AD4066" t="s">
        <v>12465</v>
      </c>
      <c r="AE4066" t="s">
        <v>2418</v>
      </c>
      <c r="AF4066" t="s">
        <v>4718</v>
      </c>
      <c r="AG4066" t="s">
        <v>4173</v>
      </c>
      <c r="AH4066" t="s">
        <v>715</v>
      </c>
      <c r="AI4066" t="s">
        <v>2127</v>
      </c>
      <c r="AJ4066" t="s">
        <v>3831</v>
      </c>
      <c r="AK4066" t="s">
        <v>24400</v>
      </c>
      <c r="AL4066">
        <v>3.11</v>
      </c>
      <c r="AM4066">
        <v>1.9</v>
      </c>
      <c r="AN4066">
        <v>0.57999999999999996</v>
      </c>
      <c r="AO4066" t="s">
        <v>19126</v>
      </c>
      <c r="AP4066" t="s">
        <v>2485</v>
      </c>
      <c r="AQ4066" t="s">
        <v>6721</v>
      </c>
      <c r="AR4066" t="s">
        <v>5071</v>
      </c>
      <c r="AS4066" t="s">
        <v>2339</v>
      </c>
      <c r="AT4066" t="s">
        <v>6192</v>
      </c>
      <c r="AU4066" t="s">
        <v>5000</v>
      </c>
      <c r="AV4066" t="s">
        <v>2838</v>
      </c>
      <c r="AW4066" t="s">
        <v>11795</v>
      </c>
      <c r="AX4066" t="s">
        <v>2609</v>
      </c>
      <c r="AY4066" t="s">
        <v>11795</v>
      </c>
      <c r="AZ4066" t="s">
        <v>10113</v>
      </c>
      <c r="BA4066">
        <v>2.14</v>
      </c>
      <c r="BB4066">
        <v>225.16</v>
      </c>
      <c r="BC4066">
        <v>0.63</v>
      </c>
      <c r="BD4066">
        <v>168.94</v>
      </c>
      <c r="BE4066">
        <v>170.46</v>
      </c>
      <c r="BF4066">
        <v>169.01</v>
      </c>
      <c r="BG4066" t="s">
        <v>31889</v>
      </c>
      <c r="BH4066" t="s">
        <v>10847</v>
      </c>
      <c r="BI4066" t="s">
        <v>31890</v>
      </c>
      <c r="BJ4066" t="s">
        <v>101</v>
      </c>
      <c r="BK4066" t="s">
        <v>192</v>
      </c>
      <c r="BL4066" t="s">
        <v>904</v>
      </c>
      <c r="BM4066" t="s">
        <v>12333</v>
      </c>
      <c r="BN4066" t="s">
        <v>27621</v>
      </c>
    </row>
    <row r="4067" spans="1:66" x14ac:dyDescent="0.25">
      <c r="A4067" t="str">
        <f>HYPERLINK("https://elite.finviz.com/quote.ashx?t=NEWT&amp;ty=c&amp;p=d&amp;b=1", "NEWT")</f>
        <v>NEWT</v>
      </c>
      <c r="B4067">
        <v>4</v>
      </c>
      <c r="C4067">
        <v>105.92</v>
      </c>
      <c r="D4067">
        <v>47.77</v>
      </c>
      <c r="E4067" t="s">
        <v>31891</v>
      </c>
      <c r="F4067" t="s">
        <v>67</v>
      </c>
      <c r="G4067" t="s">
        <v>550</v>
      </c>
      <c r="H4067" t="s">
        <v>697</v>
      </c>
      <c r="I4067" t="s">
        <v>70</v>
      </c>
      <c r="J4067" t="s">
        <v>321</v>
      </c>
      <c r="K4067">
        <v>313.49</v>
      </c>
      <c r="L4067">
        <v>11.91</v>
      </c>
      <c r="M4067" t="s">
        <v>5777</v>
      </c>
      <c r="N4067">
        <v>35003</v>
      </c>
      <c r="O4067">
        <v>5.95</v>
      </c>
      <c r="P4067">
        <v>5.23</v>
      </c>
      <c r="Q4067">
        <v>2.56</v>
      </c>
      <c r="R4067">
        <v>0.89</v>
      </c>
      <c r="S4067">
        <v>1.07</v>
      </c>
      <c r="T4067" t="s">
        <v>4476</v>
      </c>
      <c r="U4067">
        <v>0.76</v>
      </c>
      <c r="V4067" t="s">
        <v>5381</v>
      </c>
      <c r="W4067" t="s">
        <v>892</v>
      </c>
      <c r="X4067" t="s">
        <v>31892</v>
      </c>
      <c r="Y4067" t="s">
        <v>15517</v>
      </c>
      <c r="Z4067" t="s">
        <v>13065</v>
      </c>
      <c r="AA4067">
        <v>2</v>
      </c>
      <c r="AB4067" t="s">
        <v>26911</v>
      </c>
      <c r="AC4067" t="s">
        <v>2741</v>
      </c>
      <c r="AD4067" t="s">
        <v>180</v>
      </c>
      <c r="AE4067" t="s">
        <v>555</v>
      </c>
      <c r="AF4067" t="s">
        <v>18942</v>
      </c>
      <c r="AG4067" t="s">
        <v>11646</v>
      </c>
      <c r="AH4067" t="s">
        <v>16667</v>
      </c>
      <c r="AI4067" t="s">
        <v>3495</v>
      </c>
      <c r="AJ4067" t="s">
        <v>2361</v>
      </c>
      <c r="AK4067" t="s">
        <v>1994</v>
      </c>
      <c r="AL4067">
        <v>3.33</v>
      </c>
      <c r="AM4067">
        <v>3.33</v>
      </c>
      <c r="AN4067">
        <v>5.59</v>
      </c>
      <c r="AO4067" t="s">
        <v>9311</v>
      </c>
      <c r="AP4067" t="s">
        <v>129</v>
      </c>
      <c r="AQ4067" t="s">
        <v>10918</v>
      </c>
      <c r="AR4067" t="s">
        <v>2868</v>
      </c>
      <c r="AS4067" t="s">
        <v>3635</v>
      </c>
      <c r="AT4067" t="s">
        <v>1722</v>
      </c>
      <c r="AU4067" t="s">
        <v>2275</v>
      </c>
      <c r="AV4067" t="s">
        <v>4849</v>
      </c>
      <c r="AW4067" t="s">
        <v>1258</v>
      </c>
      <c r="AX4067" t="s">
        <v>5122</v>
      </c>
      <c r="AY4067" t="s">
        <v>5799</v>
      </c>
      <c r="AZ4067" t="s">
        <v>10162</v>
      </c>
      <c r="BA4067">
        <v>2.4300000000000002</v>
      </c>
      <c r="BB4067">
        <v>214.61</v>
      </c>
      <c r="BC4067">
        <v>0.56999999999999995</v>
      </c>
      <c r="BD4067">
        <v>11.97</v>
      </c>
      <c r="BE4067">
        <v>12.11</v>
      </c>
      <c r="BF4067">
        <v>11.92</v>
      </c>
      <c r="BG4067" t="s">
        <v>31893</v>
      </c>
      <c r="BH4067" t="s">
        <v>18653</v>
      </c>
      <c r="BI4067" t="s">
        <v>31894</v>
      </c>
      <c r="BJ4067" t="s">
        <v>101</v>
      </c>
      <c r="BK4067" t="s">
        <v>5611</v>
      </c>
      <c r="BL4067" t="s">
        <v>6541</v>
      </c>
      <c r="BM4067" t="s">
        <v>14607</v>
      </c>
      <c r="BN4067" t="s">
        <v>27621</v>
      </c>
    </row>
    <row r="4068" spans="1:66" x14ac:dyDescent="0.25">
      <c r="A4068" t="str">
        <f>HYPERLINK("https://elite.finviz.com/quote.ashx?t=MCGA&amp;ty=c&amp;p=d&amp;b=1", "MCGA")</f>
        <v>MCGA</v>
      </c>
      <c r="B4068">
        <v>4</v>
      </c>
      <c r="C4068">
        <v>105.92</v>
      </c>
      <c r="D4068">
        <v>47.79</v>
      </c>
      <c r="E4068" t="s">
        <v>31895</v>
      </c>
      <c r="F4068" t="s">
        <v>107</v>
      </c>
      <c r="G4068" t="s">
        <v>550</v>
      </c>
      <c r="H4068" t="s">
        <v>2120</v>
      </c>
      <c r="I4068" t="s">
        <v>70</v>
      </c>
      <c r="J4068" t="s">
        <v>321</v>
      </c>
      <c r="K4068">
        <v>250.31</v>
      </c>
      <c r="L4068">
        <v>10.62</v>
      </c>
      <c r="M4068" t="s">
        <v>2197</v>
      </c>
      <c r="N4068">
        <v>12562</v>
      </c>
      <c r="S4068">
        <v>1.48</v>
      </c>
      <c r="AJ4068" t="s">
        <v>1760</v>
      </c>
      <c r="AK4068" t="s">
        <v>3602</v>
      </c>
      <c r="AL4068">
        <v>2.11</v>
      </c>
      <c r="AM4068">
        <v>2.11</v>
      </c>
      <c r="AN4068">
        <v>0</v>
      </c>
      <c r="AR4068" t="s">
        <v>80</v>
      </c>
      <c r="AS4068" t="s">
        <v>715</v>
      </c>
      <c r="AT4068" t="s">
        <v>2426</v>
      </c>
      <c r="AU4068" t="s">
        <v>3999</v>
      </c>
      <c r="AV4068" t="s">
        <v>3999</v>
      </c>
      <c r="AW4068" t="s">
        <v>4217</v>
      </c>
      <c r="AX4068" t="s">
        <v>2473</v>
      </c>
      <c r="AY4068" t="s">
        <v>4217</v>
      </c>
      <c r="AZ4068" t="s">
        <v>2473</v>
      </c>
      <c r="BB4068">
        <v>472.31</v>
      </c>
      <c r="BC4068">
        <v>0.09</v>
      </c>
      <c r="BD4068">
        <v>10.69</v>
      </c>
      <c r="BE4068">
        <v>10.67</v>
      </c>
      <c r="BF4068">
        <v>10.62</v>
      </c>
      <c r="BG4068" t="s">
        <v>31896</v>
      </c>
      <c r="BH4068" t="s">
        <v>4217</v>
      </c>
      <c r="BI4068" t="s">
        <v>2473</v>
      </c>
      <c r="BJ4068" t="s">
        <v>101</v>
      </c>
      <c r="BN4068" t="s">
        <v>27621</v>
      </c>
    </row>
    <row r="4069" spans="1:66" x14ac:dyDescent="0.25">
      <c r="A4069" t="str">
        <f>HYPERLINK("https://elite.finviz.com/quote.ashx?t=HTGC&amp;ty=c&amp;p=d&amp;b=1", "HTGC")</f>
        <v>HTGC</v>
      </c>
      <c r="B4069">
        <v>4</v>
      </c>
      <c r="C4069">
        <v>105.92</v>
      </c>
      <c r="D4069">
        <v>47.8</v>
      </c>
      <c r="E4069" t="s">
        <v>31897</v>
      </c>
      <c r="F4069" t="s">
        <v>107</v>
      </c>
      <c r="G4069" t="s">
        <v>550</v>
      </c>
      <c r="H4069" t="s">
        <v>2597</v>
      </c>
      <c r="I4069" t="s">
        <v>70</v>
      </c>
      <c r="J4069" t="s">
        <v>71</v>
      </c>
      <c r="K4069">
        <v>3476.36</v>
      </c>
      <c r="L4069">
        <v>19.14</v>
      </c>
      <c r="M4069" t="s">
        <v>4794</v>
      </c>
      <c r="N4069">
        <v>174863</v>
      </c>
      <c r="O4069">
        <v>12.59</v>
      </c>
      <c r="P4069">
        <v>9.58</v>
      </c>
      <c r="R4069">
        <v>6.9</v>
      </c>
      <c r="S4069">
        <v>1.6</v>
      </c>
      <c r="T4069" t="s">
        <v>4518</v>
      </c>
      <c r="U4069">
        <v>1.59</v>
      </c>
      <c r="V4069" t="s">
        <v>7906</v>
      </c>
      <c r="W4069" t="s">
        <v>5779</v>
      </c>
      <c r="X4069" t="s">
        <v>10793</v>
      </c>
      <c r="Y4069" t="s">
        <v>463</v>
      </c>
      <c r="Z4069" t="s">
        <v>31898</v>
      </c>
      <c r="AA4069">
        <v>1.52</v>
      </c>
      <c r="AE4069" t="s">
        <v>13761</v>
      </c>
      <c r="AH4069" t="s">
        <v>3962</v>
      </c>
      <c r="AI4069" t="s">
        <v>7767</v>
      </c>
      <c r="AJ4069" t="s">
        <v>4689</v>
      </c>
      <c r="AK4069" t="s">
        <v>6704</v>
      </c>
      <c r="AR4069" t="s">
        <v>2274</v>
      </c>
      <c r="AS4069" t="s">
        <v>2650</v>
      </c>
      <c r="AT4069" t="s">
        <v>240</v>
      </c>
      <c r="AU4069" t="s">
        <v>1086</v>
      </c>
      <c r="AV4069" t="s">
        <v>3447</v>
      </c>
      <c r="AW4069" t="s">
        <v>14462</v>
      </c>
      <c r="AX4069" t="s">
        <v>3635</v>
      </c>
      <c r="AY4069" t="s">
        <v>8487</v>
      </c>
      <c r="AZ4069" t="s">
        <v>15814</v>
      </c>
      <c r="BB4069">
        <v>993.34</v>
      </c>
      <c r="BC4069">
        <v>0.62</v>
      </c>
      <c r="BD4069">
        <v>19.100000000000001</v>
      </c>
      <c r="BE4069">
        <v>19.25</v>
      </c>
      <c r="BF4069">
        <v>19.14</v>
      </c>
      <c r="BG4069" t="s">
        <v>31899</v>
      </c>
      <c r="BH4069" t="s">
        <v>8487</v>
      </c>
      <c r="BI4069" t="s">
        <v>31900</v>
      </c>
      <c r="BJ4069" t="s">
        <v>101</v>
      </c>
      <c r="BK4069" t="s">
        <v>2408</v>
      </c>
      <c r="BL4069" t="s">
        <v>6265</v>
      </c>
      <c r="BM4069" t="s">
        <v>4501</v>
      </c>
      <c r="BN4069" t="s">
        <v>27621</v>
      </c>
    </row>
    <row r="4070" spans="1:66" x14ac:dyDescent="0.25">
      <c r="A4070" t="str">
        <f>HYPERLINK("https://elite.finviz.com/quote.ashx?t=RGA&amp;ty=c&amp;p=d&amp;b=1", "RGA")</f>
        <v>RGA</v>
      </c>
      <c r="B4070">
        <v>4</v>
      </c>
      <c r="C4070">
        <v>105.92</v>
      </c>
      <c r="D4070">
        <v>47.84</v>
      </c>
      <c r="E4070" t="s">
        <v>31901</v>
      </c>
      <c r="F4070" t="s">
        <v>107</v>
      </c>
      <c r="G4070" t="s">
        <v>550</v>
      </c>
      <c r="H4070" t="s">
        <v>31902</v>
      </c>
      <c r="I4070" t="s">
        <v>70</v>
      </c>
      <c r="J4070" t="s">
        <v>71</v>
      </c>
      <c r="K4070">
        <v>12496.02</v>
      </c>
      <c r="L4070">
        <v>189.07</v>
      </c>
      <c r="M4070" t="s">
        <v>3112</v>
      </c>
      <c r="N4070">
        <v>48059</v>
      </c>
      <c r="O4070">
        <v>16.45</v>
      </c>
      <c r="P4070">
        <v>7.42</v>
      </c>
      <c r="Q4070">
        <v>1.4</v>
      </c>
      <c r="R4070">
        <v>0.56999999999999995</v>
      </c>
      <c r="S4070">
        <v>1.04</v>
      </c>
      <c r="T4070" t="s">
        <v>2202</v>
      </c>
      <c r="U4070">
        <v>3.6</v>
      </c>
      <c r="V4070" t="s">
        <v>7906</v>
      </c>
      <c r="W4070" t="s">
        <v>3435</v>
      </c>
      <c r="X4070" t="s">
        <v>4966</v>
      </c>
      <c r="Y4070" t="s">
        <v>3601</v>
      </c>
      <c r="Z4070" t="s">
        <v>12527</v>
      </c>
      <c r="AA4070">
        <v>11.49</v>
      </c>
      <c r="AB4070" t="s">
        <v>276</v>
      </c>
      <c r="AC4070" t="s">
        <v>10194</v>
      </c>
      <c r="AD4070" t="s">
        <v>1206</v>
      </c>
      <c r="AE4070" t="s">
        <v>6056</v>
      </c>
      <c r="AF4070" t="s">
        <v>3962</v>
      </c>
      <c r="AG4070" t="s">
        <v>1423</v>
      </c>
      <c r="AH4070" t="s">
        <v>15574</v>
      </c>
      <c r="AI4070" t="s">
        <v>14455</v>
      </c>
      <c r="AJ4070" t="s">
        <v>164</v>
      </c>
      <c r="AK4070" t="s">
        <v>31903</v>
      </c>
      <c r="AN4070">
        <v>0.48</v>
      </c>
      <c r="AP4070" t="s">
        <v>5025</v>
      </c>
      <c r="AQ4070" t="s">
        <v>3205</v>
      </c>
      <c r="AR4070" t="s">
        <v>6975</v>
      </c>
      <c r="AS4070" t="s">
        <v>1439</v>
      </c>
      <c r="AT4070" t="s">
        <v>1722</v>
      </c>
      <c r="AU4070" t="s">
        <v>4963</v>
      </c>
      <c r="AV4070" t="s">
        <v>1074</v>
      </c>
      <c r="AW4070" t="s">
        <v>10175</v>
      </c>
      <c r="AX4070" t="s">
        <v>2137</v>
      </c>
      <c r="AY4070" t="s">
        <v>7100</v>
      </c>
      <c r="AZ4070" t="s">
        <v>3548</v>
      </c>
      <c r="BA4070">
        <v>1.69</v>
      </c>
      <c r="BB4070">
        <v>464.68</v>
      </c>
      <c r="BC4070">
        <v>0.36</v>
      </c>
      <c r="BD4070">
        <v>188.23</v>
      </c>
      <c r="BE4070">
        <v>191.39</v>
      </c>
      <c r="BF4070">
        <v>189.01</v>
      </c>
      <c r="BG4070" t="s">
        <v>31904</v>
      </c>
      <c r="BH4070" t="s">
        <v>7100</v>
      </c>
      <c r="BI4070" t="s">
        <v>31905</v>
      </c>
      <c r="BJ4070" t="s">
        <v>101</v>
      </c>
      <c r="BK4070" t="s">
        <v>818</v>
      </c>
      <c r="BL4070" t="s">
        <v>14744</v>
      </c>
      <c r="BM4070" t="s">
        <v>13331</v>
      </c>
      <c r="BN4070" t="s">
        <v>27621</v>
      </c>
    </row>
    <row r="4071" spans="1:66" x14ac:dyDescent="0.25">
      <c r="A4071" t="str">
        <f>HYPERLINK("https://elite.finviz.com/quote.ashx?t=UG&amp;ty=c&amp;p=d&amp;b=1", "UG")</f>
        <v>UG</v>
      </c>
      <c r="B4071">
        <v>4</v>
      </c>
      <c r="C4071">
        <v>105.92</v>
      </c>
      <c r="D4071">
        <v>47.85</v>
      </c>
      <c r="E4071" t="s">
        <v>31906</v>
      </c>
      <c r="F4071" t="s">
        <v>107</v>
      </c>
      <c r="G4071" t="s">
        <v>2244</v>
      </c>
      <c r="H4071" t="s">
        <v>5311</v>
      </c>
      <c r="I4071" t="s">
        <v>70</v>
      </c>
      <c r="J4071" t="s">
        <v>321</v>
      </c>
      <c r="K4071">
        <v>36.69</v>
      </c>
      <c r="L4071">
        <v>7.99</v>
      </c>
      <c r="M4071" t="s">
        <v>2356</v>
      </c>
      <c r="N4071">
        <v>657</v>
      </c>
      <c r="O4071">
        <v>14.35</v>
      </c>
      <c r="R4071">
        <v>3.38</v>
      </c>
      <c r="S4071">
        <v>3.2</v>
      </c>
      <c r="T4071" t="s">
        <v>262</v>
      </c>
      <c r="U4071">
        <v>0.6</v>
      </c>
      <c r="V4071" t="s">
        <v>12255</v>
      </c>
      <c r="W4071" t="s">
        <v>26261</v>
      </c>
      <c r="X4071" t="s">
        <v>13655</v>
      </c>
      <c r="Y4071" t="s">
        <v>2536</v>
      </c>
      <c r="Z4071" t="s">
        <v>13808</v>
      </c>
      <c r="AA4071">
        <v>0.56000000000000005</v>
      </c>
      <c r="AB4071" t="s">
        <v>14667</v>
      </c>
      <c r="AC4071" t="s">
        <v>11592</v>
      </c>
      <c r="AE4071" t="s">
        <v>10726</v>
      </c>
      <c r="AF4071" t="s">
        <v>6989</v>
      </c>
      <c r="AG4071" t="s">
        <v>6256</v>
      </c>
      <c r="AH4071" t="s">
        <v>5453</v>
      </c>
      <c r="AJ4071" t="s">
        <v>164</v>
      </c>
      <c r="AK4071" t="s">
        <v>13491</v>
      </c>
      <c r="AL4071">
        <v>6.73</v>
      </c>
      <c r="AM4071">
        <v>5.9</v>
      </c>
      <c r="AN4071">
        <v>0</v>
      </c>
      <c r="AO4071" t="s">
        <v>31907</v>
      </c>
      <c r="AP4071" t="s">
        <v>9107</v>
      </c>
      <c r="AQ4071" t="s">
        <v>11152</v>
      </c>
      <c r="AR4071" t="s">
        <v>3635</v>
      </c>
      <c r="AS4071" t="s">
        <v>3035</v>
      </c>
      <c r="AT4071" t="s">
        <v>9500</v>
      </c>
      <c r="AU4071" t="s">
        <v>14569</v>
      </c>
      <c r="AV4071" t="s">
        <v>7307</v>
      </c>
      <c r="AW4071" t="s">
        <v>24382</v>
      </c>
      <c r="AX4071" t="s">
        <v>4428</v>
      </c>
      <c r="AY4071" t="s">
        <v>16939</v>
      </c>
      <c r="AZ4071" t="s">
        <v>4428</v>
      </c>
      <c r="BB4071">
        <v>7.21</v>
      </c>
      <c r="BC4071">
        <v>0.32</v>
      </c>
      <c r="BD4071">
        <v>7.74</v>
      </c>
      <c r="BE4071">
        <v>8.2200000000000006</v>
      </c>
      <c r="BF4071">
        <v>7.6</v>
      </c>
      <c r="BG4071" t="s">
        <v>31908</v>
      </c>
      <c r="BH4071" t="s">
        <v>31909</v>
      </c>
      <c r="BI4071" t="s">
        <v>31910</v>
      </c>
      <c r="BJ4071" t="s">
        <v>101</v>
      </c>
      <c r="BK4071" t="s">
        <v>14331</v>
      </c>
      <c r="BL4071" t="s">
        <v>851</v>
      </c>
      <c r="BM4071" t="s">
        <v>29269</v>
      </c>
      <c r="BN4071" t="s">
        <v>27621</v>
      </c>
    </row>
    <row r="4072" spans="1:66" x14ac:dyDescent="0.25">
      <c r="A4072" t="str">
        <f>HYPERLINK("https://elite.finviz.com/quote.ashx?t=SMC&amp;ty=c&amp;p=d&amp;b=1", "SMC")</f>
        <v>SMC</v>
      </c>
      <c r="B4072">
        <v>4</v>
      </c>
      <c r="C4072">
        <v>105.92</v>
      </c>
      <c r="D4072">
        <v>47.86</v>
      </c>
      <c r="E4072" t="s">
        <v>31911</v>
      </c>
      <c r="F4072" t="s">
        <v>67</v>
      </c>
      <c r="G4072" t="s">
        <v>1048</v>
      </c>
      <c r="H4072" t="s">
        <v>3915</v>
      </c>
      <c r="I4072" t="s">
        <v>70</v>
      </c>
      <c r="J4072" t="s">
        <v>71</v>
      </c>
      <c r="K4072">
        <v>417.55</v>
      </c>
      <c r="L4072">
        <v>22.25</v>
      </c>
      <c r="M4072" t="s">
        <v>530</v>
      </c>
      <c r="N4072">
        <v>9666</v>
      </c>
      <c r="R4072">
        <v>0.87</v>
      </c>
      <c r="S4072">
        <v>0.62</v>
      </c>
      <c r="AA4072">
        <v>-22.46</v>
      </c>
      <c r="AB4072" t="s">
        <v>4762</v>
      </c>
      <c r="AC4072" t="s">
        <v>7789</v>
      </c>
      <c r="AE4072" t="s">
        <v>4892</v>
      </c>
      <c r="AF4072" t="s">
        <v>352</v>
      </c>
      <c r="AG4072" t="s">
        <v>4963</v>
      </c>
      <c r="AH4072" t="s">
        <v>11524</v>
      </c>
      <c r="AJ4072" t="s">
        <v>2842</v>
      </c>
      <c r="AK4072" t="s">
        <v>13145</v>
      </c>
      <c r="AL4072">
        <v>0.74</v>
      </c>
      <c r="AM4072">
        <v>0.74</v>
      </c>
      <c r="AN4072">
        <v>1.56</v>
      </c>
      <c r="AO4072" t="s">
        <v>8720</v>
      </c>
      <c r="AP4072" t="s">
        <v>3924</v>
      </c>
      <c r="AQ4072" t="s">
        <v>28597</v>
      </c>
      <c r="AR4072" t="s">
        <v>2316</v>
      </c>
      <c r="AS4072" t="s">
        <v>2035</v>
      </c>
      <c r="AT4072" t="s">
        <v>1080</v>
      </c>
      <c r="AU4072" t="s">
        <v>7429</v>
      </c>
      <c r="AV4072" t="s">
        <v>27266</v>
      </c>
      <c r="AW4072" t="s">
        <v>11328</v>
      </c>
      <c r="AX4072" t="s">
        <v>2737</v>
      </c>
      <c r="AY4072" t="s">
        <v>6576</v>
      </c>
      <c r="AZ4072" t="s">
        <v>2737</v>
      </c>
      <c r="BA4072">
        <v>3</v>
      </c>
      <c r="BB4072">
        <v>105.81</v>
      </c>
      <c r="BC4072">
        <v>0.32</v>
      </c>
      <c r="BD4072">
        <v>22.44</v>
      </c>
      <c r="BE4072">
        <v>22.42</v>
      </c>
      <c r="BF4072">
        <v>21.99</v>
      </c>
      <c r="BG4072" t="s">
        <v>31912</v>
      </c>
      <c r="BH4072" t="s">
        <v>29827</v>
      </c>
      <c r="BI4072" t="s">
        <v>31913</v>
      </c>
      <c r="BJ4072" t="s">
        <v>101</v>
      </c>
      <c r="BK4072" t="s">
        <v>1053</v>
      </c>
      <c r="BL4072" t="s">
        <v>17911</v>
      </c>
      <c r="BM4072" t="s">
        <v>10185</v>
      </c>
      <c r="BN4072" t="s">
        <v>27621</v>
      </c>
    </row>
    <row r="4073" spans="1:66" x14ac:dyDescent="0.25">
      <c r="A4073" t="str">
        <f>HYPERLINK("https://elite.finviz.com/quote.ashx?t=SILA&amp;ty=c&amp;p=d&amp;b=1", "SILA")</f>
        <v>SILA</v>
      </c>
      <c r="B4073">
        <v>4</v>
      </c>
      <c r="C4073">
        <v>105.92</v>
      </c>
      <c r="D4073">
        <v>47.87</v>
      </c>
      <c r="E4073" t="s">
        <v>31914</v>
      </c>
      <c r="F4073" t="s">
        <v>67</v>
      </c>
      <c r="G4073" t="s">
        <v>68</v>
      </c>
      <c r="H4073" t="s">
        <v>6072</v>
      </c>
      <c r="I4073" t="s">
        <v>70</v>
      </c>
      <c r="J4073" t="s">
        <v>71</v>
      </c>
      <c r="K4073">
        <v>1385.65</v>
      </c>
      <c r="L4073">
        <v>25.12</v>
      </c>
      <c r="M4073" t="s">
        <v>2642</v>
      </c>
      <c r="N4073">
        <v>16563</v>
      </c>
      <c r="O4073">
        <v>35.42</v>
      </c>
      <c r="P4073">
        <v>28.44</v>
      </c>
      <c r="Q4073">
        <v>5.12</v>
      </c>
      <c r="R4073">
        <v>7.31</v>
      </c>
      <c r="S4073">
        <v>1.01</v>
      </c>
      <c r="T4073" t="s">
        <v>3053</v>
      </c>
      <c r="U4073">
        <v>1.6</v>
      </c>
      <c r="V4073" t="s">
        <v>5037</v>
      </c>
      <c r="Z4073" t="s">
        <v>31915</v>
      </c>
      <c r="AA4073">
        <v>0.71</v>
      </c>
      <c r="AB4073" t="s">
        <v>31916</v>
      </c>
      <c r="AC4073" t="s">
        <v>12297</v>
      </c>
      <c r="AD4073" t="s">
        <v>4999</v>
      </c>
      <c r="AE4073" t="s">
        <v>7464</v>
      </c>
      <c r="AF4073" t="s">
        <v>2643</v>
      </c>
      <c r="AG4073" t="s">
        <v>13522</v>
      </c>
      <c r="AH4073" t="s">
        <v>292</v>
      </c>
      <c r="AI4073" t="s">
        <v>12508</v>
      </c>
      <c r="AJ4073" t="s">
        <v>164</v>
      </c>
      <c r="AK4073" t="s">
        <v>243</v>
      </c>
      <c r="AN4073">
        <v>0.46</v>
      </c>
      <c r="AO4073" t="s">
        <v>8158</v>
      </c>
      <c r="AP4073" t="s">
        <v>6059</v>
      </c>
      <c r="AQ4073" t="s">
        <v>13206</v>
      </c>
      <c r="AR4073" t="s">
        <v>1129</v>
      </c>
      <c r="AS4073" t="s">
        <v>7423</v>
      </c>
      <c r="AT4073" t="s">
        <v>9084</v>
      </c>
      <c r="AU4073" t="s">
        <v>3227</v>
      </c>
      <c r="AV4073" t="s">
        <v>2362</v>
      </c>
      <c r="AW4073" t="s">
        <v>4528</v>
      </c>
      <c r="AX4073" t="s">
        <v>122</v>
      </c>
      <c r="AY4073" t="s">
        <v>9998</v>
      </c>
      <c r="AZ4073" t="s">
        <v>12555</v>
      </c>
      <c r="BA4073">
        <v>1.4</v>
      </c>
      <c r="BB4073">
        <v>482.85</v>
      </c>
      <c r="BC4073">
        <v>0.12</v>
      </c>
      <c r="BD4073">
        <v>25.03</v>
      </c>
      <c r="BE4073">
        <v>25.24</v>
      </c>
      <c r="BF4073">
        <v>25</v>
      </c>
      <c r="BG4073" t="s">
        <v>31917</v>
      </c>
      <c r="BH4073" t="s">
        <v>16923</v>
      </c>
      <c r="BJ4073" t="s">
        <v>101</v>
      </c>
      <c r="BK4073" t="s">
        <v>10226</v>
      </c>
      <c r="BL4073" t="s">
        <v>2893</v>
      </c>
      <c r="BM4073" t="s">
        <v>8358</v>
      </c>
      <c r="BN4073" t="s">
        <v>27621</v>
      </c>
    </row>
    <row r="4074" spans="1:66" x14ac:dyDescent="0.25">
      <c r="A4074" t="str">
        <f>HYPERLINK("https://elite.finviz.com/quote.ashx?t=MAMO&amp;ty=c&amp;p=d&amp;b=1", "MAMO")</f>
        <v>MAMO</v>
      </c>
      <c r="B4074">
        <v>4</v>
      </c>
      <c r="C4074">
        <v>105.92</v>
      </c>
      <c r="D4074">
        <v>47.87</v>
      </c>
      <c r="E4074" t="s">
        <v>31918</v>
      </c>
      <c r="F4074" t="s">
        <v>107</v>
      </c>
      <c r="G4074" t="s">
        <v>813</v>
      </c>
      <c r="H4074" t="s">
        <v>5716</v>
      </c>
      <c r="I4074" t="s">
        <v>70</v>
      </c>
      <c r="J4074" t="s">
        <v>321</v>
      </c>
      <c r="K4074">
        <v>114.93</v>
      </c>
      <c r="L4074">
        <v>2.76</v>
      </c>
      <c r="M4074" t="s">
        <v>2870</v>
      </c>
      <c r="N4074">
        <v>210</v>
      </c>
      <c r="R4074">
        <v>1.48</v>
      </c>
      <c r="S4074">
        <v>5.7</v>
      </c>
      <c r="Z4074" t="s">
        <v>164</v>
      </c>
      <c r="AA4074">
        <v>-0.15</v>
      </c>
      <c r="AB4074" t="s">
        <v>23580</v>
      </c>
      <c r="AE4074" t="s">
        <v>29765</v>
      </c>
      <c r="AF4074" t="s">
        <v>9342</v>
      </c>
      <c r="AH4074" t="s">
        <v>11169</v>
      </c>
      <c r="AJ4074" t="s">
        <v>164</v>
      </c>
      <c r="AK4074" t="s">
        <v>2275</v>
      </c>
      <c r="AL4074">
        <v>1.82</v>
      </c>
      <c r="AM4074">
        <v>0.59</v>
      </c>
      <c r="AN4074">
        <v>0.55000000000000004</v>
      </c>
      <c r="AO4074" t="s">
        <v>21981</v>
      </c>
      <c r="AP4074" t="s">
        <v>4947</v>
      </c>
      <c r="AQ4074" t="s">
        <v>8251</v>
      </c>
      <c r="AR4074" t="s">
        <v>2922</v>
      </c>
      <c r="AS4074" t="s">
        <v>3600</v>
      </c>
      <c r="AT4074" t="s">
        <v>3736</v>
      </c>
      <c r="AU4074" t="s">
        <v>4273</v>
      </c>
      <c r="AV4074" t="s">
        <v>585</v>
      </c>
      <c r="AW4074" t="s">
        <v>8795</v>
      </c>
      <c r="AX4074" t="s">
        <v>12005</v>
      </c>
      <c r="AY4074" t="s">
        <v>31919</v>
      </c>
      <c r="AZ4074" t="s">
        <v>6409</v>
      </c>
      <c r="BB4074">
        <v>49.6</v>
      </c>
      <c r="BC4074">
        <v>0.02</v>
      </c>
      <c r="BD4074">
        <v>2.87</v>
      </c>
      <c r="BE4074">
        <v>2.65</v>
      </c>
      <c r="BF4074">
        <v>2.65</v>
      </c>
      <c r="BG4074" t="s">
        <v>31920</v>
      </c>
      <c r="BH4074" t="s">
        <v>31919</v>
      </c>
      <c r="BI4074" t="s">
        <v>6409</v>
      </c>
      <c r="BJ4074" t="s">
        <v>101</v>
      </c>
      <c r="BK4074" t="s">
        <v>18909</v>
      </c>
      <c r="BL4074" t="s">
        <v>3494</v>
      </c>
      <c r="BM4074" t="s">
        <v>15433</v>
      </c>
      <c r="BN4074" t="s">
        <v>27621</v>
      </c>
    </row>
    <row r="4075" spans="1:66" x14ac:dyDescent="0.25">
      <c r="A4075" t="str">
        <f>HYPERLINK("https://elite.finviz.com/quote.ashx?t=BSRR&amp;ty=c&amp;p=d&amp;b=1", "BSRR")</f>
        <v>BSRR</v>
      </c>
      <c r="B4075">
        <v>4</v>
      </c>
      <c r="C4075">
        <v>105.92</v>
      </c>
      <c r="D4075">
        <v>47.9</v>
      </c>
      <c r="E4075" t="s">
        <v>31921</v>
      </c>
      <c r="F4075" t="s">
        <v>67</v>
      </c>
      <c r="G4075" t="s">
        <v>550</v>
      </c>
      <c r="H4075" t="s">
        <v>697</v>
      </c>
      <c r="I4075" t="s">
        <v>70</v>
      </c>
      <c r="J4075" t="s">
        <v>321</v>
      </c>
      <c r="K4075">
        <v>405.26</v>
      </c>
      <c r="L4075">
        <v>29.82</v>
      </c>
      <c r="M4075" t="s">
        <v>80</v>
      </c>
      <c r="N4075">
        <v>3302</v>
      </c>
      <c r="O4075">
        <v>10.29</v>
      </c>
      <c r="P4075">
        <v>9.44</v>
      </c>
      <c r="R4075">
        <v>2</v>
      </c>
      <c r="S4075">
        <v>1.1499999999999999</v>
      </c>
      <c r="T4075" t="s">
        <v>4677</v>
      </c>
      <c r="U4075">
        <v>0.99</v>
      </c>
      <c r="V4075" t="s">
        <v>4827</v>
      </c>
      <c r="W4075" t="s">
        <v>3916</v>
      </c>
      <c r="X4075" t="s">
        <v>295</v>
      </c>
      <c r="Y4075" t="s">
        <v>246</v>
      </c>
      <c r="Z4075" t="s">
        <v>8682</v>
      </c>
      <c r="AA4075">
        <v>2.9</v>
      </c>
      <c r="AB4075" t="s">
        <v>2880</v>
      </c>
      <c r="AC4075" t="s">
        <v>2384</v>
      </c>
      <c r="AE4075" t="s">
        <v>3013</v>
      </c>
      <c r="AF4075" t="s">
        <v>2392</v>
      </c>
      <c r="AG4075" t="s">
        <v>7938</v>
      </c>
      <c r="AH4075" t="s">
        <v>3446</v>
      </c>
      <c r="AI4075" t="s">
        <v>2205</v>
      </c>
      <c r="AJ4075" t="s">
        <v>4634</v>
      </c>
      <c r="AK4075" t="s">
        <v>10100</v>
      </c>
      <c r="AL4075">
        <v>7.0000000000000007E-2</v>
      </c>
      <c r="AN4075">
        <v>1.0900000000000001</v>
      </c>
      <c r="AP4075" t="s">
        <v>1928</v>
      </c>
      <c r="AQ4075" t="s">
        <v>12771</v>
      </c>
      <c r="AR4075" t="s">
        <v>633</v>
      </c>
      <c r="AS4075" t="s">
        <v>3544</v>
      </c>
      <c r="AT4075" t="s">
        <v>655</v>
      </c>
      <c r="AU4075" t="s">
        <v>9925</v>
      </c>
      <c r="AV4075" t="s">
        <v>2273</v>
      </c>
      <c r="AW4075" t="s">
        <v>1200</v>
      </c>
      <c r="AX4075" t="s">
        <v>9186</v>
      </c>
      <c r="AY4075" t="s">
        <v>3870</v>
      </c>
      <c r="AZ4075" t="s">
        <v>9551</v>
      </c>
      <c r="BA4075">
        <v>2.6</v>
      </c>
      <c r="BB4075">
        <v>30.11</v>
      </c>
      <c r="BC4075">
        <v>0.39</v>
      </c>
      <c r="BD4075">
        <v>29.45</v>
      </c>
      <c r="BE4075">
        <v>29.7</v>
      </c>
      <c r="BF4075">
        <v>29.56</v>
      </c>
      <c r="BG4075" t="s">
        <v>31922</v>
      </c>
      <c r="BH4075" t="s">
        <v>25824</v>
      </c>
      <c r="BI4075" t="s">
        <v>31923</v>
      </c>
      <c r="BJ4075" t="s">
        <v>101</v>
      </c>
      <c r="BK4075" t="s">
        <v>4494</v>
      </c>
      <c r="BL4075" t="s">
        <v>295</v>
      </c>
      <c r="BM4075" t="s">
        <v>1083</v>
      </c>
      <c r="BN4075" t="s">
        <v>27621</v>
      </c>
    </row>
    <row r="4076" spans="1:66" x14ac:dyDescent="0.25">
      <c r="A4076" t="str">
        <f>HYPERLINK("https://elite.finviz.com/quote.ashx?t=KALU&amp;ty=c&amp;p=d&amp;b=1", "KALU")</f>
        <v>KALU</v>
      </c>
      <c r="B4076">
        <v>4</v>
      </c>
      <c r="C4076">
        <v>105.92</v>
      </c>
      <c r="D4076">
        <v>47.91</v>
      </c>
      <c r="E4076" t="s">
        <v>31924</v>
      </c>
      <c r="F4076" t="s">
        <v>67</v>
      </c>
      <c r="G4076" t="s">
        <v>355</v>
      </c>
      <c r="H4076" t="s">
        <v>8148</v>
      </c>
      <c r="I4076" t="s">
        <v>70</v>
      </c>
      <c r="J4076" t="s">
        <v>321</v>
      </c>
      <c r="K4076">
        <v>1227.26</v>
      </c>
      <c r="L4076">
        <v>75.86</v>
      </c>
      <c r="M4076" t="s">
        <v>6430</v>
      </c>
      <c r="N4076">
        <v>21881</v>
      </c>
      <c r="O4076">
        <v>19.489999999999998</v>
      </c>
      <c r="P4076">
        <v>12.08</v>
      </c>
      <c r="R4076">
        <v>0.39</v>
      </c>
      <c r="S4076">
        <v>1.58</v>
      </c>
      <c r="T4076" t="s">
        <v>1449</v>
      </c>
      <c r="U4076">
        <v>3.08</v>
      </c>
      <c r="V4076" t="s">
        <v>12255</v>
      </c>
      <c r="W4076" t="s">
        <v>164</v>
      </c>
      <c r="X4076" t="s">
        <v>1599</v>
      </c>
      <c r="Y4076" t="s">
        <v>1063</v>
      </c>
      <c r="Z4076" t="s">
        <v>31925</v>
      </c>
      <c r="AA4076">
        <v>3.89</v>
      </c>
      <c r="AC4076" t="s">
        <v>7289</v>
      </c>
      <c r="AE4076" t="s">
        <v>4659</v>
      </c>
      <c r="AF4076" t="s">
        <v>5100</v>
      </c>
      <c r="AG4076" t="s">
        <v>2269</v>
      </c>
      <c r="AH4076" t="s">
        <v>8286</v>
      </c>
      <c r="AI4076" t="s">
        <v>7524</v>
      </c>
      <c r="AJ4076" t="s">
        <v>164</v>
      </c>
      <c r="AK4076" t="s">
        <v>16247</v>
      </c>
      <c r="AL4076">
        <v>2.7</v>
      </c>
      <c r="AM4076">
        <v>1.3</v>
      </c>
      <c r="AN4076">
        <v>1.43</v>
      </c>
      <c r="AO4076" t="s">
        <v>4114</v>
      </c>
      <c r="AP4076" t="s">
        <v>2838</v>
      </c>
      <c r="AQ4076" t="s">
        <v>6151</v>
      </c>
      <c r="AR4076" t="s">
        <v>2892</v>
      </c>
      <c r="AS4076" t="s">
        <v>90</v>
      </c>
      <c r="AT4076" t="s">
        <v>1938</v>
      </c>
      <c r="AU4076" t="s">
        <v>6464</v>
      </c>
      <c r="AV4076" t="s">
        <v>5885</v>
      </c>
      <c r="AW4076" t="s">
        <v>10737</v>
      </c>
      <c r="AX4076" t="s">
        <v>464</v>
      </c>
      <c r="AY4076" t="s">
        <v>10737</v>
      </c>
      <c r="AZ4076" t="s">
        <v>17912</v>
      </c>
      <c r="BA4076">
        <v>3</v>
      </c>
      <c r="BB4076">
        <v>118.45</v>
      </c>
      <c r="BC4076">
        <v>0.65</v>
      </c>
      <c r="BD4076">
        <v>74.010000000000005</v>
      </c>
      <c r="BE4076">
        <v>76.180000000000007</v>
      </c>
      <c r="BF4076">
        <v>73.75</v>
      </c>
      <c r="BG4076" t="s">
        <v>31926</v>
      </c>
      <c r="BH4076" t="s">
        <v>14440</v>
      </c>
      <c r="BI4076" t="s">
        <v>31927</v>
      </c>
      <c r="BJ4076" t="s">
        <v>101</v>
      </c>
      <c r="BK4076" t="s">
        <v>5488</v>
      </c>
      <c r="BL4076" t="s">
        <v>11564</v>
      </c>
      <c r="BM4076" t="s">
        <v>3057</v>
      </c>
      <c r="BN4076" t="s">
        <v>27621</v>
      </c>
    </row>
    <row r="4077" spans="1:66" x14ac:dyDescent="0.25">
      <c r="A4077" t="str">
        <f>HYPERLINK("https://elite.finviz.com/quote.ashx?t=FBLG&amp;ty=c&amp;p=d&amp;b=1", "FBLG")</f>
        <v>FBLG</v>
      </c>
      <c r="B4077">
        <v>4</v>
      </c>
      <c r="C4077">
        <v>105.92</v>
      </c>
      <c r="D4077">
        <v>47.91</v>
      </c>
      <c r="E4077" t="s">
        <v>31928</v>
      </c>
      <c r="F4077" t="s">
        <v>107</v>
      </c>
      <c r="G4077" t="s">
        <v>428</v>
      </c>
      <c r="H4077" t="s">
        <v>429</v>
      </c>
      <c r="I4077" t="s">
        <v>70</v>
      </c>
      <c r="J4077" t="s">
        <v>321</v>
      </c>
      <c r="K4077">
        <v>23.21</v>
      </c>
      <c r="L4077">
        <v>0.55000000000000004</v>
      </c>
      <c r="M4077" t="s">
        <v>213</v>
      </c>
      <c r="N4077">
        <v>148153</v>
      </c>
      <c r="S4077">
        <v>26.32</v>
      </c>
      <c r="AA4077">
        <v>-0.36</v>
      </c>
      <c r="AB4077" t="s">
        <v>31929</v>
      </c>
      <c r="AD4077" t="s">
        <v>3796</v>
      </c>
      <c r="AI4077" t="s">
        <v>164</v>
      </c>
      <c r="AJ4077" t="s">
        <v>2560</v>
      </c>
      <c r="AK4077" t="s">
        <v>3406</v>
      </c>
      <c r="AL4077">
        <v>0.93</v>
      </c>
      <c r="AM4077">
        <v>0.93</v>
      </c>
      <c r="AN4077">
        <v>12.53</v>
      </c>
      <c r="AR4077" t="s">
        <v>6028</v>
      </c>
      <c r="AS4077" t="s">
        <v>2232</v>
      </c>
      <c r="AT4077" t="s">
        <v>2331</v>
      </c>
      <c r="AU4077" t="s">
        <v>8654</v>
      </c>
      <c r="AV4077" t="s">
        <v>11883</v>
      </c>
      <c r="AW4077" t="s">
        <v>6594</v>
      </c>
      <c r="AX4077" t="s">
        <v>5864</v>
      </c>
      <c r="AY4077" t="s">
        <v>31930</v>
      </c>
      <c r="AZ4077" t="s">
        <v>5864</v>
      </c>
      <c r="BA4077">
        <v>1</v>
      </c>
      <c r="BB4077">
        <v>534.84</v>
      </c>
      <c r="BC4077">
        <v>0.98</v>
      </c>
      <c r="BD4077">
        <v>0.54</v>
      </c>
      <c r="BE4077">
        <v>0.57999999999999996</v>
      </c>
      <c r="BF4077">
        <v>0.55000000000000004</v>
      </c>
      <c r="BG4077" t="s">
        <v>31931</v>
      </c>
      <c r="BH4077" t="s">
        <v>15445</v>
      </c>
      <c r="BI4077" t="s">
        <v>5864</v>
      </c>
      <c r="BJ4077" t="s">
        <v>101</v>
      </c>
      <c r="BK4077" t="s">
        <v>14249</v>
      </c>
      <c r="BL4077" t="s">
        <v>20558</v>
      </c>
      <c r="BM4077" t="s">
        <v>14221</v>
      </c>
      <c r="BN4077" t="s">
        <v>27621</v>
      </c>
    </row>
    <row r="4078" spans="1:66" x14ac:dyDescent="0.25">
      <c r="A4078" t="str">
        <f>HYPERLINK("https://elite.finviz.com/quote.ashx?t=TDG&amp;ty=c&amp;p=d&amp;b=1", "TDG")</f>
        <v>TDG</v>
      </c>
      <c r="B4078">
        <v>4</v>
      </c>
      <c r="C4078">
        <v>105.92</v>
      </c>
      <c r="D4078">
        <v>47.92</v>
      </c>
      <c r="E4078" t="s">
        <v>31932</v>
      </c>
      <c r="F4078" t="s">
        <v>195</v>
      </c>
      <c r="G4078" t="s">
        <v>260</v>
      </c>
      <c r="H4078" t="s">
        <v>4779</v>
      </c>
      <c r="I4078" t="s">
        <v>70</v>
      </c>
      <c r="J4078" t="s">
        <v>71</v>
      </c>
      <c r="K4078">
        <v>73153.94</v>
      </c>
      <c r="L4078">
        <v>1298.2</v>
      </c>
      <c r="M4078" t="s">
        <v>3463</v>
      </c>
      <c r="N4078">
        <v>51461</v>
      </c>
      <c r="O4078">
        <v>43.1</v>
      </c>
      <c r="P4078">
        <v>31.02</v>
      </c>
      <c r="Q4078">
        <v>3.48</v>
      </c>
      <c r="R4078">
        <v>8.52</v>
      </c>
      <c r="V4078" t="s">
        <v>2187</v>
      </c>
      <c r="Z4078" t="s">
        <v>164</v>
      </c>
      <c r="AA4078">
        <v>30.12</v>
      </c>
      <c r="AB4078" t="s">
        <v>2568</v>
      </c>
      <c r="AC4078" t="s">
        <v>2947</v>
      </c>
      <c r="AD4078" t="s">
        <v>7760</v>
      </c>
      <c r="AE4078" t="s">
        <v>9097</v>
      </c>
      <c r="AF4078" t="s">
        <v>2171</v>
      </c>
      <c r="AG4078" t="s">
        <v>7858</v>
      </c>
      <c r="AH4078" t="s">
        <v>9789</v>
      </c>
      <c r="AI4078" t="s">
        <v>4408</v>
      </c>
      <c r="AJ4078" t="s">
        <v>14485</v>
      </c>
      <c r="AK4078" t="s">
        <v>31933</v>
      </c>
      <c r="AL4078">
        <v>3.13</v>
      </c>
      <c r="AM4078">
        <v>2.19</v>
      </c>
      <c r="AO4078" t="s">
        <v>14145</v>
      </c>
      <c r="AP4078" t="s">
        <v>15341</v>
      </c>
      <c r="AQ4078" t="s">
        <v>8466</v>
      </c>
      <c r="AR4078" t="s">
        <v>5084</v>
      </c>
      <c r="AS4078" t="s">
        <v>206</v>
      </c>
      <c r="AT4078" t="s">
        <v>3463</v>
      </c>
      <c r="AU4078" t="s">
        <v>13981</v>
      </c>
      <c r="AV4078" t="s">
        <v>1554</v>
      </c>
      <c r="AW4078" t="s">
        <v>6040</v>
      </c>
      <c r="AX4078" t="s">
        <v>615</v>
      </c>
      <c r="AY4078" t="s">
        <v>6040</v>
      </c>
      <c r="AZ4078" t="s">
        <v>8735</v>
      </c>
      <c r="BA4078">
        <v>1.64</v>
      </c>
      <c r="BB4078">
        <v>352.76</v>
      </c>
      <c r="BC4078">
        <v>0.51</v>
      </c>
      <c r="BD4078">
        <v>1290</v>
      </c>
      <c r="BE4078">
        <v>1302.93</v>
      </c>
      <c r="BF4078">
        <v>1294.53</v>
      </c>
      <c r="BG4078" t="s">
        <v>31934</v>
      </c>
      <c r="BH4078" t="s">
        <v>6040</v>
      </c>
      <c r="BI4078" t="s">
        <v>31935</v>
      </c>
      <c r="BJ4078" t="s">
        <v>101</v>
      </c>
      <c r="BK4078" t="s">
        <v>11163</v>
      </c>
      <c r="BL4078" t="s">
        <v>822</v>
      </c>
      <c r="BM4078" t="s">
        <v>1932</v>
      </c>
      <c r="BN4078" t="s">
        <v>27621</v>
      </c>
    </row>
    <row r="4079" spans="1:66" x14ac:dyDescent="0.25">
      <c r="A4079" t="str">
        <f>HYPERLINK("https://elite.finviz.com/quote.ashx?t=MDAI&amp;ty=c&amp;p=d&amp;b=1", "MDAI")</f>
        <v>MDAI</v>
      </c>
      <c r="B4079">
        <v>4</v>
      </c>
      <c r="C4079">
        <v>105.92</v>
      </c>
      <c r="D4079">
        <v>47.93</v>
      </c>
      <c r="E4079" t="s">
        <v>31936</v>
      </c>
      <c r="F4079" t="s">
        <v>107</v>
      </c>
      <c r="G4079" t="s">
        <v>428</v>
      </c>
      <c r="H4079" t="s">
        <v>2051</v>
      </c>
      <c r="I4079" t="s">
        <v>70</v>
      </c>
      <c r="J4079" t="s">
        <v>321</v>
      </c>
      <c r="K4079">
        <v>56.1</v>
      </c>
      <c r="L4079">
        <v>2.1</v>
      </c>
      <c r="M4079" t="s">
        <v>13522</v>
      </c>
      <c r="N4079">
        <v>119507</v>
      </c>
      <c r="R4079">
        <v>2.04</v>
      </c>
      <c r="AA4079">
        <v>-0.7</v>
      </c>
      <c r="AB4079" t="s">
        <v>31937</v>
      </c>
      <c r="AD4079" t="s">
        <v>9608</v>
      </c>
      <c r="AE4079" t="s">
        <v>7693</v>
      </c>
      <c r="AH4079" t="s">
        <v>25029</v>
      </c>
      <c r="AI4079" t="s">
        <v>31938</v>
      </c>
      <c r="AJ4079" t="s">
        <v>164</v>
      </c>
      <c r="AK4079" t="s">
        <v>9108</v>
      </c>
      <c r="AL4079">
        <v>0.87</v>
      </c>
      <c r="AM4079">
        <v>0.84</v>
      </c>
      <c r="AO4079" t="s">
        <v>10635</v>
      </c>
      <c r="AP4079" t="s">
        <v>4820</v>
      </c>
      <c r="AQ4079" t="s">
        <v>31939</v>
      </c>
      <c r="AR4079" t="s">
        <v>418</v>
      </c>
      <c r="AS4079" t="s">
        <v>8286</v>
      </c>
      <c r="AT4079" t="s">
        <v>3208</v>
      </c>
      <c r="AU4079" t="s">
        <v>5246</v>
      </c>
      <c r="AV4079" t="s">
        <v>1775</v>
      </c>
      <c r="AW4079" t="s">
        <v>26155</v>
      </c>
      <c r="AX4079" t="s">
        <v>3834</v>
      </c>
      <c r="AY4079" t="s">
        <v>7537</v>
      </c>
      <c r="AZ4079" t="s">
        <v>31940</v>
      </c>
      <c r="BA4079">
        <v>1</v>
      </c>
      <c r="BB4079">
        <v>509.76</v>
      </c>
      <c r="BC4079">
        <v>0.83</v>
      </c>
      <c r="BD4079">
        <v>2.15</v>
      </c>
      <c r="BE4079">
        <v>2.1800000000000002</v>
      </c>
      <c r="BF4079">
        <v>2.09</v>
      </c>
      <c r="BG4079" t="s">
        <v>31941</v>
      </c>
      <c r="BH4079" t="s">
        <v>31942</v>
      </c>
      <c r="BI4079" t="s">
        <v>19237</v>
      </c>
      <c r="BJ4079" t="s">
        <v>101</v>
      </c>
      <c r="BK4079" t="s">
        <v>3113</v>
      </c>
      <c r="BL4079" t="s">
        <v>29680</v>
      </c>
      <c r="BM4079" t="s">
        <v>31943</v>
      </c>
      <c r="BN4079" t="s">
        <v>27621</v>
      </c>
    </row>
    <row r="4080" spans="1:66" x14ac:dyDescent="0.25">
      <c r="A4080" t="str">
        <f>HYPERLINK("https://elite.finviz.com/quote.ashx?t=EARN&amp;ty=c&amp;p=d&amp;b=1", "EARN")</f>
        <v>EARN</v>
      </c>
      <c r="B4080">
        <v>4</v>
      </c>
      <c r="C4080">
        <v>105.92</v>
      </c>
      <c r="D4080">
        <v>48.1</v>
      </c>
      <c r="E4080" t="s">
        <v>31944</v>
      </c>
      <c r="F4080" t="s">
        <v>107</v>
      </c>
      <c r="G4080" t="s">
        <v>550</v>
      </c>
      <c r="H4080" t="s">
        <v>2597</v>
      </c>
      <c r="I4080" t="s">
        <v>70</v>
      </c>
      <c r="J4080" t="s">
        <v>71</v>
      </c>
      <c r="K4080">
        <v>213.52</v>
      </c>
      <c r="L4080">
        <v>5.68</v>
      </c>
      <c r="M4080" t="s">
        <v>6192</v>
      </c>
      <c r="N4080">
        <v>41140</v>
      </c>
      <c r="P4080">
        <v>5.4</v>
      </c>
      <c r="R4080">
        <v>2.73</v>
      </c>
      <c r="S4080">
        <v>0.93</v>
      </c>
      <c r="T4080" t="s">
        <v>2631</v>
      </c>
      <c r="U4080">
        <v>0.96</v>
      </c>
      <c r="V4080" t="s">
        <v>198</v>
      </c>
      <c r="W4080" t="s">
        <v>164</v>
      </c>
      <c r="X4080" t="s">
        <v>4122</v>
      </c>
      <c r="Y4080" t="s">
        <v>5273</v>
      </c>
      <c r="Z4080" t="s">
        <v>31945</v>
      </c>
      <c r="AA4080">
        <v>-0.12</v>
      </c>
      <c r="AC4080" t="s">
        <v>8397</v>
      </c>
      <c r="AD4080" t="s">
        <v>4711</v>
      </c>
      <c r="AE4080" t="s">
        <v>31946</v>
      </c>
      <c r="AF4080" t="s">
        <v>7353</v>
      </c>
      <c r="AG4080" t="s">
        <v>20276</v>
      </c>
      <c r="AH4080" t="s">
        <v>11444</v>
      </c>
      <c r="AI4080" t="s">
        <v>15433</v>
      </c>
      <c r="AJ4080" t="s">
        <v>744</v>
      </c>
      <c r="AK4080" t="s">
        <v>3430</v>
      </c>
      <c r="AL4080">
        <v>0.05</v>
      </c>
      <c r="AM4080">
        <v>0.05</v>
      </c>
      <c r="AN4080">
        <v>0.49</v>
      </c>
      <c r="AO4080" t="s">
        <v>31947</v>
      </c>
      <c r="AP4080" t="s">
        <v>31948</v>
      </c>
      <c r="AQ4080" t="s">
        <v>11856</v>
      </c>
      <c r="AR4080" t="s">
        <v>3550</v>
      </c>
      <c r="AS4080" t="s">
        <v>7780</v>
      </c>
      <c r="AT4080" t="s">
        <v>4794</v>
      </c>
      <c r="AU4080" t="s">
        <v>2276</v>
      </c>
      <c r="AV4080" t="s">
        <v>5273</v>
      </c>
      <c r="AW4080" t="s">
        <v>2594</v>
      </c>
      <c r="AX4080" t="s">
        <v>2582</v>
      </c>
      <c r="AY4080" t="s">
        <v>10504</v>
      </c>
      <c r="AZ4080" t="s">
        <v>11953</v>
      </c>
      <c r="BA4080">
        <v>2.5</v>
      </c>
      <c r="BB4080">
        <v>311.45999999999998</v>
      </c>
      <c r="BC4080">
        <v>0.47</v>
      </c>
      <c r="BD4080">
        <v>5.69</v>
      </c>
      <c r="BE4080">
        <v>5.72</v>
      </c>
      <c r="BF4080">
        <v>5.69</v>
      </c>
      <c r="BG4080" t="s">
        <v>31949</v>
      </c>
      <c r="BH4080" t="s">
        <v>11268</v>
      </c>
      <c r="BI4080" t="s">
        <v>31950</v>
      </c>
      <c r="BJ4080" t="s">
        <v>101</v>
      </c>
      <c r="BK4080" t="s">
        <v>364</v>
      </c>
      <c r="BL4080" t="s">
        <v>3423</v>
      </c>
      <c r="BM4080" t="s">
        <v>27528</v>
      </c>
      <c r="BN4080" t="s">
        <v>27621</v>
      </c>
    </row>
    <row r="4081" spans="1:66" x14ac:dyDescent="0.25">
      <c r="A4081" t="str">
        <f>HYPERLINK("https://elite.finviz.com/quote.ashx?t=SNYR&amp;ty=c&amp;p=d&amp;b=1", "SNYR")</f>
        <v>SNYR</v>
      </c>
      <c r="B4081">
        <v>4</v>
      </c>
      <c r="C4081">
        <v>105.92</v>
      </c>
      <c r="D4081">
        <v>48.17</v>
      </c>
      <c r="E4081" t="s">
        <v>31951</v>
      </c>
      <c r="F4081" t="s">
        <v>107</v>
      </c>
      <c r="G4081" t="s">
        <v>428</v>
      </c>
      <c r="H4081" t="s">
        <v>10658</v>
      </c>
      <c r="I4081" t="s">
        <v>70</v>
      </c>
      <c r="J4081" t="s">
        <v>321</v>
      </c>
      <c r="K4081">
        <v>28.15</v>
      </c>
      <c r="L4081">
        <v>2.52</v>
      </c>
      <c r="M4081" t="s">
        <v>3842</v>
      </c>
      <c r="N4081">
        <v>47675</v>
      </c>
      <c r="O4081">
        <v>6.77</v>
      </c>
      <c r="P4081">
        <v>5.59</v>
      </c>
      <c r="Q4081">
        <v>0.13</v>
      </c>
      <c r="R4081">
        <v>0.84</v>
      </c>
      <c r="Z4081" t="s">
        <v>164</v>
      </c>
      <c r="AA4081">
        <v>0.37</v>
      </c>
      <c r="AB4081" t="s">
        <v>31952</v>
      </c>
      <c r="AD4081" t="s">
        <v>31953</v>
      </c>
      <c r="AF4081" t="s">
        <v>922</v>
      </c>
      <c r="AG4081" t="s">
        <v>4623</v>
      </c>
      <c r="AH4081" t="s">
        <v>4856</v>
      </c>
      <c r="AI4081" t="s">
        <v>3207</v>
      </c>
      <c r="AJ4081" t="s">
        <v>8179</v>
      </c>
      <c r="AK4081" t="s">
        <v>3481</v>
      </c>
      <c r="AL4081">
        <v>2.74</v>
      </c>
      <c r="AM4081">
        <v>2.41</v>
      </c>
      <c r="AO4081" t="s">
        <v>17376</v>
      </c>
      <c r="AP4081" t="s">
        <v>6357</v>
      </c>
      <c r="AQ4081" t="s">
        <v>9830</v>
      </c>
      <c r="AR4081" t="s">
        <v>8594</v>
      </c>
      <c r="AS4081" t="s">
        <v>2312</v>
      </c>
      <c r="AT4081" t="s">
        <v>3951</v>
      </c>
      <c r="AU4081" t="s">
        <v>19047</v>
      </c>
      <c r="AV4081" t="s">
        <v>933</v>
      </c>
      <c r="AW4081" t="s">
        <v>16502</v>
      </c>
      <c r="AX4081" t="s">
        <v>5484</v>
      </c>
      <c r="AY4081" t="s">
        <v>31954</v>
      </c>
      <c r="AZ4081" t="s">
        <v>11206</v>
      </c>
      <c r="BA4081">
        <v>1</v>
      </c>
      <c r="BB4081">
        <v>108.89</v>
      </c>
      <c r="BC4081">
        <v>1.56</v>
      </c>
      <c r="BD4081">
        <v>2.46</v>
      </c>
      <c r="BE4081">
        <v>2.61</v>
      </c>
      <c r="BF4081">
        <v>2.42</v>
      </c>
      <c r="BG4081" t="s">
        <v>31955</v>
      </c>
      <c r="BH4081" t="s">
        <v>31956</v>
      </c>
      <c r="BJ4081" t="s">
        <v>101</v>
      </c>
      <c r="BK4081" t="s">
        <v>2700</v>
      </c>
      <c r="BL4081" t="s">
        <v>3836</v>
      </c>
      <c r="BM4081" t="s">
        <v>31957</v>
      </c>
      <c r="BN4081" t="s">
        <v>27621</v>
      </c>
    </row>
    <row r="4082" spans="1:66" x14ac:dyDescent="0.25">
      <c r="A4082" t="str">
        <f>HYPERLINK("https://elite.finviz.com/quote.ashx?t=RELL&amp;ty=c&amp;p=d&amp;b=1", "RELL")</f>
        <v>RELL</v>
      </c>
      <c r="B4082">
        <v>4</v>
      </c>
      <c r="C4082">
        <v>105.92</v>
      </c>
      <c r="D4082">
        <v>48.2</v>
      </c>
      <c r="E4082" t="s">
        <v>31958</v>
      </c>
      <c r="F4082" t="s">
        <v>67</v>
      </c>
      <c r="G4082" t="s">
        <v>108</v>
      </c>
      <c r="H4082" t="s">
        <v>3346</v>
      </c>
      <c r="I4082" t="s">
        <v>70</v>
      </c>
      <c r="J4082" t="s">
        <v>321</v>
      </c>
      <c r="K4082">
        <v>140.19999999999999</v>
      </c>
      <c r="L4082">
        <v>9.82</v>
      </c>
      <c r="M4082" t="s">
        <v>164</v>
      </c>
      <c r="N4082">
        <v>3203</v>
      </c>
      <c r="P4082">
        <v>17.850000000000001</v>
      </c>
      <c r="R4082">
        <v>0.67</v>
      </c>
      <c r="S4082">
        <v>0.89</v>
      </c>
      <c r="T4082" t="s">
        <v>4800</v>
      </c>
      <c r="U4082">
        <v>0.24</v>
      </c>
      <c r="V4082" t="s">
        <v>1762</v>
      </c>
      <c r="W4082" t="s">
        <v>2621</v>
      </c>
      <c r="X4082" t="s">
        <v>4512</v>
      </c>
      <c r="Y4082" t="s">
        <v>371</v>
      </c>
      <c r="AA4082">
        <v>-7.0000000000000007E-2</v>
      </c>
      <c r="AC4082" t="s">
        <v>3326</v>
      </c>
      <c r="AE4082" t="s">
        <v>2065</v>
      </c>
      <c r="AF4082" t="s">
        <v>13522</v>
      </c>
      <c r="AG4082" t="s">
        <v>1886</v>
      </c>
      <c r="AH4082" t="s">
        <v>9515</v>
      </c>
      <c r="AI4082" t="s">
        <v>8778</v>
      </c>
      <c r="AJ4082" t="s">
        <v>1445</v>
      </c>
      <c r="AK4082" t="s">
        <v>1587</v>
      </c>
      <c r="AL4082">
        <v>4.51</v>
      </c>
      <c r="AM4082">
        <v>1.72</v>
      </c>
      <c r="AN4082">
        <v>0.01</v>
      </c>
      <c r="AO4082" t="s">
        <v>13144</v>
      </c>
      <c r="AP4082" t="s">
        <v>80</v>
      </c>
      <c r="AQ4082" t="s">
        <v>1714</v>
      </c>
      <c r="AR4082" t="s">
        <v>1148</v>
      </c>
      <c r="AS4082" t="s">
        <v>4499</v>
      </c>
      <c r="AT4082" t="s">
        <v>1574</v>
      </c>
      <c r="AU4082" t="s">
        <v>9084</v>
      </c>
      <c r="AV4082" t="s">
        <v>7269</v>
      </c>
      <c r="AW4082" t="s">
        <v>4095</v>
      </c>
      <c r="AX4082" t="s">
        <v>5045</v>
      </c>
      <c r="AY4082" t="s">
        <v>31959</v>
      </c>
      <c r="AZ4082" t="s">
        <v>19396</v>
      </c>
      <c r="BA4082">
        <v>3</v>
      </c>
      <c r="BB4082">
        <v>36.54</v>
      </c>
      <c r="BC4082">
        <v>0.31</v>
      </c>
      <c r="BD4082">
        <v>9.82</v>
      </c>
      <c r="BE4082">
        <v>9.9</v>
      </c>
      <c r="BF4082">
        <v>9.82</v>
      </c>
      <c r="BG4082" t="s">
        <v>31960</v>
      </c>
      <c r="BH4082" t="s">
        <v>29660</v>
      </c>
      <c r="BI4082" t="s">
        <v>31961</v>
      </c>
      <c r="BJ4082" t="s">
        <v>101</v>
      </c>
      <c r="BK4082" t="s">
        <v>633</v>
      </c>
      <c r="BL4082" t="s">
        <v>335</v>
      </c>
      <c r="BM4082" t="s">
        <v>19999</v>
      </c>
      <c r="BN4082" t="s">
        <v>27621</v>
      </c>
    </row>
    <row r="4083" spans="1:66" x14ac:dyDescent="0.25">
      <c r="A4083" t="str">
        <f>HYPERLINK("https://elite.finviz.com/quote.ashx?t=IBAC&amp;ty=c&amp;p=d&amp;b=1", "IBAC")</f>
        <v>IBAC</v>
      </c>
      <c r="B4083">
        <v>4</v>
      </c>
      <c r="C4083">
        <v>105.92</v>
      </c>
      <c r="D4083">
        <v>48.2</v>
      </c>
      <c r="E4083" t="s">
        <v>31962</v>
      </c>
      <c r="F4083" t="s">
        <v>107</v>
      </c>
      <c r="G4083" t="s">
        <v>550</v>
      </c>
      <c r="H4083" t="s">
        <v>2120</v>
      </c>
      <c r="I4083" t="s">
        <v>70</v>
      </c>
      <c r="J4083" t="s">
        <v>321</v>
      </c>
      <c r="K4083">
        <v>166.01</v>
      </c>
      <c r="L4083">
        <v>10.54</v>
      </c>
      <c r="M4083" t="s">
        <v>164</v>
      </c>
      <c r="N4083">
        <v>0</v>
      </c>
      <c r="O4083">
        <v>46.29</v>
      </c>
      <c r="S4083">
        <v>1.36</v>
      </c>
      <c r="Z4083" t="s">
        <v>164</v>
      </c>
      <c r="AA4083">
        <v>0.23</v>
      </c>
      <c r="AJ4083" t="s">
        <v>164</v>
      </c>
      <c r="AK4083" t="s">
        <v>31963</v>
      </c>
      <c r="AL4083">
        <v>1.1399999999999999</v>
      </c>
      <c r="AM4083">
        <v>1.1399999999999999</v>
      </c>
      <c r="AN4083">
        <v>0</v>
      </c>
      <c r="AR4083" t="s">
        <v>2362</v>
      </c>
      <c r="AS4083" t="s">
        <v>497</v>
      </c>
      <c r="AT4083" t="s">
        <v>1648</v>
      </c>
      <c r="AU4083" t="s">
        <v>3446</v>
      </c>
      <c r="AV4083" t="s">
        <v>451</v>
      </c>
      <c r="AW4083" t="s">
        <v>4501</v>
      </c>
      <c r="AX4083" t="s">
        <v>3551</v>
      </c>
      <c r="AY4083" t="s">
        <v>4501</v>
      </c>
      <c r="AZ4083" t="s">
        <v>4957</v>
      </c>
      <c r="BB4083">
        <v>43.6</v>
      </c>
      <c r="BC4083">
        <v>0</v>
      </c>
      <c r="BD4083">
        <v>10.54</v>
      </c>
      <c r="BE4083">
        <v>10.54</v>
      </c>
      <c r="BF4083">
        <v>10.54</v>
      </c>
      <c r="BG4083" t="s">
        <v>31964</v>
      </c>
      <c r="BH4083" t="s">
        <v>4501</v>
      </c>
      <c r="BI4083" t="s">
        <v>2985</v>
      </c>
      <c r="BJ4083" t="s">
        <v>101</v>
      </c>
      <c r="BK4083" t="s">
        <v>2195</v>
      </c>
      <c r="BL4083" t="s">
        <v>3205</v>
      </c>
      <c r="BM4083" t="s">
        <v>1576</v>
      </c>
      <c r="BN4083" t="s">
        <v>27621</v>
      </c>
    </row>
    <row r="4084" spans="1:66" x14ac:dyDescent="0.25">
      <c r="A4084" t="str">
        <f>HYPERLINK("https://elite.finviz.com/quote.ashx?t=SAIA&amp;ty=c&amp;p=d&amp;b=1", "SAIA")</f>
        <v>SAIA</v>
      </c>
      <c r="B4084">
        <v>4</v>
      </c>
      <c r="C4084">
        <v>105.92</v>
      </c>
      <c r="D4084">
        <v>48.21</v>
      </c>
      <c r="E4084" t="s">
        <v>31965</v>
      </c>
      <c r="F4084" t="s">
        <v>107</v>
      </c>
      <c r="G4084" t="s">
        <v>260</v>
      </c>
      <c r="H4084" t="s">
        <v>6190</v>
      </c>
      <c r="I4084" t="s">
        <v>70</v>
      </c>
      <c r="J4084" t="s">
        <v>321</v>
      </c>
      <c r="K4084">
        <v>8059.54</v>
      </c>
      <c r="L4084">
        <v>302.58</v>
      </c>
      <c r="M4084" t="s">
        <v>1409</v>
      </c>
      <c r="N4084">
        <v>43672</v>
      </c>
      <c r="O4084">
        <v>27.95</v>
      </c>
      <c r="P4084">
        <v>26.28</v>
      </c>
      <c r="Q4084">
        <v>11.18</v>
      </c>
      <c r="R4084">
        <v>2.4900000000000002</v>
      </c>
      <c r="S4084">
        <v>3.3</v>
      </c>
      <c r="Z4084" t="s">
        <v>164</v>
      </c>
      <c r="AA4084">
        <v>10.83</v>
      </c>
      <c r="AB4084" t="s">
        <v>13198</v>
      </c>
      <c r="AC4084" t="s">
        <v>11960</v>
      </c>
      <c r="AD4084" t="s">
        <v>6430</v>
      </c>
      <c r="AE4084" t="s">
        <v>1302</v>
      </c>
      <c r="AF4084" t="s">
        <v>8372</v>
      </c>
      <c r="AG4084" t="s">
        <v>2946</v>
      </c>
      <c r="AH4084" t="s">
        <v>1574</v>
      </c>
      <c r="AI4084" t="s">
        <v>5318</v>
      </c>
      <c r="AJ4084" t="s">
        <v>164</v>
      </c>
      <c r="AK4084" t="s">
        <v>31966</v>
      </c>
      <c r="AL4084">
        <v>1.49</v>
      </c>
      <c r="AM4084">
        <v>1.49</v>
      </c>
      <c r="AN4084">
        <v>0.18</v>
      </c>
      <c r="AO4084" t="s">
        <v>511</v>
      </c>
      <c r="AP4084" t="s">
        <v>511</v>
      </c>
      <c r="AQ4084" t="s">
        <v>875</v>
      </c>
      <c r="AR4084" t="s">
        <v>2735</v>
      </c>
      <c r="AS4084" t="s">
        <v>4765</v>
      </c>
      <c r="AT4084" t="s">
        <v>5153</v>
      </c>
      <c r="AU4084" t="s">
        <v>7346</v>
      </c>
      <c r="AV4084" t="s">
        <v>14369</v>
      </c>
      <c r="AW4084" t="s">
        <v>7973</v>
      </c>
      <c r="AX4084" t="s">
        <v>2192</v>
      </c>
      <c r="AY4084" t="s">
        <v>18798</v>
      </c>
      <c r="AZ4084" t="s">
        <v>26362</v>
      </c>
      <c r="BA4084">
        <v>2.14</v>
      </c>
      <c r="BB4084">
        <v>588.71</v>
      </c>
      <c r="BC4084">
        <v>0.26</v>
      </c>
      <c r="BD4084">
        <v>301.31</v>
      </c>
      <c r="BE4084">
        <v>307.83</v>
      </c>
      <c r="BF4084">
        <v>300.60000000000002</v>
      </c>
      <c r="BG4084" t="s">
        <v>31967</v>
      </c>
      <c r="BH4084" t="s">
        <v>27582</v>
      </c>
      <c r="BI4084" t="s">
        <v>31968</v>
      </c>
      <c r="BJ4084" t="s">
        <v>101</v>
      </c>
      <c r="BK4084" t="s">
        <v>3076</v>
      </c>
      <c r="BL4084" t="s">
        <v>15737</v>
      </c>
      <c r="BM4084" t="s">
        <v>3323</v>
      </c>
      <c r="BN4084" t="s">
        <v>27621</v>
      </c>
    </row>
    <row r="4085" spans="1:66" x14ac:dyDescent="0.25">
      <c r="A4085" t="str">
        <f>HYPERLINK("https://elite.finviz.com/quote.ashx?t=YORW&amp;ty=c&amp;p=d&amp;b=1", "YORW")</f>
        <v>YORW</v>
      </c>
      <c r="B4085">
        <v>4</v>
      </c>
      <c r="C4085">
        <v>105.92</v>
      </c>
      <c r="D4085">
        <v>48.22</v>
      </c>
      <c r="E4085" t="s">
        <v>31969</v>
      </c>
      <c r="F4085" t="s">
        <v>67</v>
      </c>
      <c r="G4085" t="s">
        <v>287</v>
      </c>
      <c r="H4085" t="s">
        <v>13133</v>
      </c>
      <c r="I4085" t="s">
        <v>70</v>
      </c>
      <c r="J4085" t="s">
        <v>321</v>
      </c>
      <c r="K4085">
        <v>441.94</v>
      </c>
      <c r="L4085">
        <v>30.65</v>
      </c>
      <c r="M4085" t="s">
        <v>4849</v>
      </c>
      <c r="N4085">
        <v>9989</v>
      </c>
      <c r="O4085">
        <v>22.37</v>
      </c>
      <c r="P4085">
        <v>19.399999999999999</v>
      </c>
      <c r="R4085">
        <v>5.8</v>
      </c>
      <c r="S4085">
        <v>1.88</v>
      </c>
      <c r="T4085" t="s">
        <v>7437</v>
      </c>
      <c r="U4085">
        <v>0.87</v>
      </c>
      <c r="V4085" t="s">
        <v>198</v>
      </c>
      <c r="W4085" t="s">
        <v>2494</v>
      </c>
      <c r="X4085" t="s">
        <v>756</v>
      </c>
      <c r="Y4085" t="s">
        <v>6475</v>
      </c>
      <c r="Z4085" t="s">
        <v>31970</v>
      </c>
      <c r="AA4085">
        <v>1.37</v>
      </c>
      <c r="AB4085" t="s">
        <v>4873</v>
      </c>
      <c r="AC4085" t="s">
        <v>275</v>
      </c>
      <c r="AE4085" t="s">
        <v>9651</v>
      </c>
      <c r="AF4085" t="s">
        <v>3614</v>
      </c>
      <c r="AG4085" t="s">
        <v>4114</v>
      </c>
      <c r="AH4085" t="s">
        <v>744</v>
      </c>
      <c r="AI4085" t="s">
        <v>3951</v>
      </c>
      <c r="AJ4085" t="s">
        <v>4308</v>
      </c>
      <c r="AK4085" t="s">
        <v>2141</v>
      </c>
      <c r="AL4085">
        <v>1</v>
      </c>
      <c r="AM4085">
        <v>0.8</v>
      </c>
      <c r="AN4085">
        <v>0.93</v>
      </c>
      <c r="AO4085" t="s">
        <v>31971</v>
      </c>
      <c r="AP4085" t="s">
        <v>20438</v>
      </c>
      <c r="AQ4085" t="s">
        <v>4311</v>
      </c>
      <c r="AR4085" t="s">
        <v>3487</v>
      </c>
      <c r="AS4085" t="s">
        <v>1952</v>
      </c>
      <c r="AT4085" t="s">
        <v>3752</v>
      </c>
      <c r="AU4085" t="s">
        <v>8979</v>
      </c>
      <c r="AV4085" t="s">
        <v>8190</v>
      </c>
      <c r="AW4085" t="s">
        <v>17477</v>
      </c>
      <c r="AX4085" t="s">
        <v>2430</v>
      </c>
      <c r="AY4085" t="s">
        <v>5196</v>
      </c>
      <c r="AZ4085" t="s">
        <v>2643</v>
      </c>
      <c r="BA4085">
        <v>1</v>
      </c>
      <c r="BB4085">
        <v>110.46</v>
      </c>
      <c r="BC4085">
        <v>0.32</v>
      </c>
      <c r="BD4085">
        <v>30.49</v>
      </c>
      <c r="BE4085">
        <v>30.76</v>
      </c>
      <c r="BF4085">
        <v>30.49</v>
      </c>
      <c r="BG4085" t="s">
        <v>31972</v>
      </c>
      <c r="BH4085" t="s">
        <v>31973</v>
      </c>
      <c r="BI4085" t="s">
        <v>31974</v>
      </c>
      <c r="BJ4085" t="s">
        <v>101</v>
      </c>
      <c r="BK4085" t="s">
        <v>1269</v>
      </c>
      <c r="BL4085" t="s">
        <v>6094</v>
      </c>
      <c r="BM4085" t="s">
        <v>14980</v>
      </c>
      <c r="BN4085" t="s">
        <v>27621</v>
      </c>
    </row>
    <row r="4086" spans="1:66" x14ac:dyDescent="0.25">
      <c r="A4086" t="str">
        <f>HYPERLINK("https://elite.finviz.com/quote.ashx?t=RRX&amp;ty=c&amp;p=d&amp;b=1", "RRX")</f>
        <v>RRX</v>
      </c>
      <c r="B4086">
        <v>4</v>
      </c>
      <c r="C4086">
        <v>105.92</v>
      </c>
      <c r="D4086">
        <v>48.25</v>
      </c>
      <c r="E4086" t="s">
        <v>31975</v>
      </c>
      <c r="F4086" t="s">
        <v>107</v>
      </c>
      <c r="G4086" t="s">
        <v>260</v>
      </c>
      <c r="H4086" t="s">
        <v>261</v>
      </c>
      <c r="I4086" t="s">
        <v>70</v>
      </c>
      <c r="J4086" t="s">
        <v>71</v>
      </c>
      <c r="K4086">
        <v>9513.73</v>
      </c>
      <c r="L4086">
        <v>143.33000000000001</v>
      </c>
      <c r="M4086" t="s">
        <v>3494</v>
      </c>
      <c r="N4086">
        <v>73618</v>
      </c>
      <c r="O4086">
        <v>38.11</v>
      </c>
      <c r="P4086">
        <v>12.63</v>
      </c>
      <c r="Q4086">
        <v>3.26</v>
      </c>
      <c r="R4086">
        <v>1.63</v>
      </c>
      <c r="S4086">
        <v>1.42</v>
      </c>
      <c r="T4086" t="s">
        <v>5055</v>
      </c>
      <c r="U4086">
        <v>1.4</v>
      </c>
      <c r="V4086" t="s">
        <v>198</v>
      </c>
      <c r="W4086" t="s">
        <v>164</v>
      </c>
      <c r="X4086" t="s">
        <v>5256</v>
      </c>
      <c r="Y4086" t="s">
        <v>903</v>
      </c>
      <c r="Z4086" t="s">
        <v>31976</v>
      </c>
      <c r="AA4086">
        <v>3.76</v>
      </c>
      <c r="AB4086" t="s">
        <v>15204</v>
      </c>
      <c r="AC4086" t="s">
        <v>15299</v>
      </c>
      <c r="AD4086" t="s">
        <v>1089</v>
      </c>
      <c r="AE4086" t="s">
        <v>4841</v>
      </c>
      <c r="AF4086" t="s">
        <v>830</v>
      </c>
      <c r="AG4086" t="s">
        <v>6737</v>
      </c>
      <c r="AH4086" t="s">
        <v>2136</v>
      </c>
      <c r="AI4086" t="s">
        <v>3976</v>
      </c>
      <c r="AJ4086" t="s">
        <v>3811</v>
      </c>
      <c r="AK4086" t="s">
        <v>23694</v>
      </c>
      <c r="AL4086">
        <v>2</v>
      </c>
      <c r="AM4086">
        <v>0.93</v>
      </c>
      <c r="AN4086">
        <v>0.75</v>
      </c>
      <c r="AO4086" t="s">
        <v>9888</v>
      </c>
      <c r="AP4086" t="s">
        <v>13358</v>
      </c>
      <c r="AQ4086" t="s">
        <v>2811</v>
      </c>
      <c r="AR4086" t="s">
        <v>901</v>
      </c>
      <c r="AS4086" t="s">
        <v>3500</v>
      </c>
      <c r="AT4086" t="s">
        <v>3752</v>
      </c>
      <c r="AU4086" t="s">
        <v>6464</v>
      </c>
      <c r="AV4086" t="s">
        <v>2383</v>
      </c>
      <c r="AW4086" t="s">
        <v>4217</v>
      </c>
      <c r="AX4086" t="s">
        <v>3088</v>
      </c>
      <c r="AY4086" t="s">
        <v>178</v>
      </c>
      <c r="AZ4086" t="s">
        <v>19128</v>
      </c>
      <c r="BA4086">
        <v>1.43</v>
      </c>
      <c r="BB4086">
        <v>823.13</v>
      </c>
      <c r="BC4086">
        <v>0.32</v>
      </c>
      <c r="BD4086">
        <v>141</v>
      </c>
      <c r="BE4086">
        <v>143.37</v>
      </c>
      <c r="BF4086">
        <v>140.83000000000001</v>
      </c>
      <c r="BG4086" t="s">
        <v>31977</v>
      </c>
      <c r="BH4086" t="s">
        <v>178</v>
      </c>
      <c r="BI4086" t="s">
        <v>31978</v>
      </c>
      <c r="BJ4086" t="s">
        <v>101</v>
      </c>
      <c r="BK4086" t="s">
        <v>1080</v>
      </c>
      <c r="BL4086" t="s">
        <v>8433</v>
      </c>
      <c r="BM4086" t="s">
        <v>14455</v>
      </c>
      <c r="BN4086" t="s">
        <v>27621</v>
      </c>
    </row>
    <row r="4087" spans="1:66" x14ac:dyDescent="0.25">
      <c r="A4087" t="str">
        <f>HYPERLINK("https://elite.finviz.com/quote.ashx?t=USIO&amp;ty=c&amp;p=d&amp;b=1", "USIO")</f>
        <v>USIO</v>
      </c>
      <c r="B4087">
        <v>4</v>
      </c>
      <c r="C4087">
        <v>105.92</v>
      </c>
      <c r="D4087">
        <v>48.26</v>
      </c>
      <c r="E4087" t="s">
        <v>31979</v>
      </c>
      <c r="F4087" t="s">
        <v>107</v>
      </c>
      <c r="G4087" t="s">
        <v>108</v>
      </c>
      <c r="H4087" t="s">
        <v>109</v>
      </c>
      <c r="I4087" t="s">
        <v>70</v>
      </c>
      <c r="J4087" t="s">
        <v>321</v>
      </c>
      <c r="K4087">
        <v>38.94</v>
      </c>
      <c r="L4087">
        <v>1.47</v>
      </c>
      <c r="M4087" t="s">
        <v>5253</v>
      </c>
      <c r="N4087">
        <v>6687</v>
      </c>
      <c r="O4087">
        <v>14.03</v>
      </c>
      <c r="P4087">
        <v>23.52</v>
      </c>
      <c r="R4087">
        <v>0.46</v>
      </c>
      <c r="S4087">
        <v>2.08</v>
      </c>
      <c r="Z4087" t="s">
        <v>164</v>
      </c>
      <c r="AA4087">
        <v>0.1</v>
      </c>
      <c r="AE4087" t="s">
        <v>2810</v>
      </c>
      <c r="AF4087" t="s">
        <v>14933</v>
      </c>
      <c r="AG4087" t="s">
        <v>3184</v>
      </c>
      <c r="AH4087" t="s">
        <v>8979</v>
      </c>
      <c r="AI4087" t="s">
        <v>579</v>
      </c>
      <c r="AJ4087" t="s">
        <v>164</v>
      </c>
      <c r="AK4087" t="s">
        <v>7515</v>
      </c>
      <c r="AL4087">
        <v>1.1100000000000001</v>
      </c>
      <c r="AM4087">
        <v>1.1100000000000001</v>
      </c>
      <c r="AN4087">
        <v>0.19</v>
      </c>
      <c r="AO4087" t="s">
        <v>10135</v>
      </c>
      <c r="AP4087" t="s">
        <v>6152</v>
      </c>
      <c r="AQ4087" t="s">
        <v>2736</v>
      </c>
      <c r="AR4087" t="s">
        <v>5045</v>
      </c>
      <c r="AS4087" t="s">
        <v>3520</v>
      </c>
      <c r="AT4087" t="s">
        <v>4801</v>
      </c>
      <c r="AU4087" t="s">
        <v>8506</v>
      </c>
      <c r="AV4087" t="s">
        <v>6157</v>
      </c>
      <c r="AW4087" t="s">
        <v>21709</v>
      </c>
      <c r="AX4087" t="s">
        <v>8125</v>
      </c>
      <c r="AY4087" t="s">
        <v>8841</v>
      </c>
      <c r="AZ4087" t="s">
        <v>6574</v>
      </c>
      <c r="BA4087">
        <v>1.8</v>
      </c>
      <c r="BB4087">
        <v>100.83</v>
      </c>
      <c r="BC4087">
        <v>0.24</v>
      </c>
      <c r="BD4087">
        <v>1.46</v>
      </c>
      <c r="BE4087">
        <v>1.48</v>
      </c>
      <c r="BF4087">
        <v>1.45</v>
      </c>
      <c r="BG4087" t="s">
        <v>31980</v>
      </c>
      <c r="BH4087" t="s">
        <v>31981</v>
      </c>
      <c r="BI4087" t="s">
        <v>31982</v>
      </c>
      <c r="BJ4087" t="s">
        <v>101</v>
      </c>
      <c r="BK4087" t="s">
        <v>1025</v>
      </c>
      <c r="BL4087" t="s">
        <v>2562</v>
      </c>
      <c r="BM4087" t="s">
        <v>3173</v>
      </c>
      <c r="BN4087" t="s">
        <v>27621</v>
      </c>
    </row>
    <row r="4088" spans="1:66" x14ac:dyDescent="0.25">
      <c r="A4088" t="str">
        <f>HYPERLINK("https://elite.finviz.com/quote.ashx?t=SNAL&amp;ty=c&amp;p=d&amp;b=1", "SNAL")</f>
        <v>SNAL</v>
      </c>
      <c r="B4088">
        <v>4</v>
      </c>
      <c r="C4088">
        <v>105.92</v>
      </c>
      <c r="D4088">
        <v>48.26</v>
      </c>
      <c r="E4088" t="s">
        <v>31983</v>
      </c>
      <c r="F4088" t="s">
        <v>107</v>
      </c>
      <c r="G4088" t="s">
        <v>598</v>
      </c>
      <c r="H4088" t="s">
        <v>7474</v>
      </c>
      <c r="I4088" t="s">
        <v>70</v>
      </c>
      <c r="J4088" t="s">
        <v>321</v>
      </c>
      <c r="K4088">
        <v>36.1</v>
      </c>
      <c r="L4088">
        <v>0.96</v>
      </c>
      <c r="M4088" t="s">
        <v>5763</v>
      </c>
      <c r="N4088">
        <v>16242</v>
      </c>
      <c r="P4088">
        <v>5.05</v>
      </c>
      <c r="R4088">
        <v>0.4</v>
      </c>
      <c r="Z4088" t="s">
        <v>164</v>
      </c>
      <c r="AA4088">
        <v>-0.47</v>
      </c>
      <c r="AB4088" t="s">
        <v>8140</v>
      </c>
      <c r="AE4088" t="s">
        <v>5998</v>
      </c>
      <c r="AF4088" t="s">
        <v>5271</v>
      </c>
      <c r="AG4088" t="s">
        <v>7346</v>
      </c>
      <c r="AH4088" t="s">
        <v>4976</v>
      </c>
      <c r="AI4088" t="s">
        <v>31984</v>
      </c>
      <c r="AJ4088" t="s">
        <v>164</v>
      </c>
      <c r="AK4088" t="s">
        <v>4623</v>
      </c>
      <c r="AL4088">
        <v>0.7</v>
      </c>
      <c r="AM4088">
        <v>0.7</v>
      </c>
      <c r="AO4088" t="s">
        <v>16982</v>
      </c>
      <c r="AP4088" t="s">
        <v>8985</v>
      </c>
      <c r="AQ4088" t="s">
        <v>10632</v>
      </c>
      <c r="AR4088" t="s">
        <v>7938</v>
      </c>
      <c r="AS4088" t="s">
        <v>1771</v>
      </c>
      <c r="AT4088" t="s">
        <v>2473</v>
      </c>
      <c r="AU4088" t="s">
        <v>8626</v>
      </c>
      <c r="AV4088" t="s">
        <v>31985</v>
      </c>
      <c r="AW4088" t="s">
        <v>23951</v>
      </c>
      <c r="AX4088" t="s">
        <v>12847</v>
      </c>
      <c r="AY4088" t="s">
        <v>31986</v>
      </c>
      <c r="AZ4088" t="s">
        <v>5833</v>
      </c>
      <c r="BA4088">
        <v>1</v>
      </c>
      <c r="BB4088">
        <v>174.63</v>
      </c>
      <c r="BC4088">
        <v>0.33</v>
      </c>
      <c r="BD4088">
        <v>0.99</v>
      </c>
      <c r="BE4088">
        <v>1</v>
      </c>
      <c r="BF4088">
        <v>0.95</v>
      </c>
      <c r="BG4088" t="s">
        <v>31987</v>
      </c>
      <c r="BH4088" t="s">
        <v>18690</v>
      </c>
      <c r="BI4088" t="s">
        <v>23475</v>
      </c>
      <c r="BJ4088" t="s">
        <v>101</v>
      </c>
      <c r="BK4088" t="s">
        <v>30585</v>
      </c>
      <c r="BL4088" t="s">
        <v>7274</v>
      </c>
      <c r="BM4088" t="s">
        <v>12428</v>
      </c>
      <c r="BN4088" t="s">
        <v>27621</v>
      </c>
    </row>
    <row r="4089" spans="1:66" x14ac:dyDescent="0.25">
      <c r="A4089" t="str">
        <f>HYPERLINK("https://elite.finviz.com/quote.ashx?t=DMRC&amp;ty=c&amp;p=d&amp;b=1", "DMRC")</f>
        <v>DMRC</v>
      </c>
      <c r="B4089">
        <v>4</v>
      </c>
      <c r="C4089">
        <v>105.92</v>
      </c>
      <c r="D4089">
        <v>48.26</v>
      </c>
      <c r="E4089" t="s">
        <v>31988</v>
      </c>
      <c r="F4089" t="s">
        <v>67</v>
      </c>
      <c r="G4089" t="s">
        <v>108</v>
      </c>
      <c r="H4089" t="s">
        <v>136</v>
      </c>
      <c r="I4089" t="s">
        <v>70</v>
      </c>
      <c r="J4089" t="s">
        <v>321</v>
      </c>
      <c r="K4089">
        <v>209.44</v>
      </c>
      <c r="L4089">
        <v>9.66</v>
      </c>
      <c r="M4089" t="s">
        <v>164</v>
      </c>
      <c r="N4089">
        <v>30052</v>
      </c>
      <c r="R4089">
        <v>5.9</v>
      </c>
      <c r="S4089">
        <v>4.51</v>
      </c>
      <c r="V4089" t="s">
        <v>31989</v>
      </c>
      <c r="AA4089">
        <v>-1.83</v>
      </c>
      <c r="AB4089" t="s">
        <v>247</v>
      </c>
      <c r="AC4089" t="s">
        <v>484</v>
      </c>
      <c r="AE4089" t="s">
        <v>500</v>
      </c>
      <c r="AF4089" t="s">
        <v>6723</v>
      </c>
      <c r="AG4089" t="s">
        <v>7512</v>
      </c>
      <c r="AH4089" t="s">
        <v>688</v>
      </c>
      <c r="AI4089" t="s">
        <v>1197</v>
      </c>
      <c r="AJ4089" t="s">
        <v>164</v>
      </c>
      <c r="AK4089" t="s">
        <v>26300</v>
      </c>
      <c r="AL4089">
        <v>2.63</v>
      </c>
      <c r="AM4089">
        <v>2.63</v>
      </c>
      <c r="AN4089">
        <v>0.12</v>
      </c>
      <c r="AO4089" t="s">
        <v>14877</v>
      </c>
      <c r="AP4089" t="s">
        <v>31990</v>
      </c>
      <c r="AQ4089" t="s">
        <v>31991</v>
      </c>
      <c r="AR4089" t="s">
        <v>246</v>
      </c>
      <c r="AS4089" t="s">
        <v>276</v>
      </c>
      <c r="AT4089" t="s">
        <v>2146</v>
      </c>
      <c r="AU4089" t="s">
        <v>3140</v>
      </c>
      <c r="AV4089" t="s">
        <v>18822</v>
      </c>
      <c r="AW4089" t="s">
        <v>6004</v>
      </c>
      <c r="AX4089" t="s">
        <v>15481</v>
      </c>
      <c r="AY4089" t="s">
        <v>25891</v>
      </c>
      <c r="AZ4089" t="s">
        <v>15481</v>
      </c>
      <c r="BA4089">
        <v>2</v>
      </c>
      <c r="BB4089">
        <v>191.94</v>
      </c>
      <c r="BC4089">
        <v>0.55000000000000004</v>
      </c>
      <c r="BD4089">
        <v>9.66</v>
      </c>
      <c r="BE4089">
        <v>9.82</v>
      </c>
      <c r="BF4089">
        <v>9.5399999999999991</v>
      </c>
      <c r="BG4089" t="s">
        <v>31992</v>
      </c>
      <c r="BH4089" t="s">
        <v>31993</v>
      </c>
      <c r="BI4089" t="s">
        <v>15481</v>
      </c>
      <c r="BJ4089" t="s">
        <v>101</v>
      </c>
      <c r="BK4089" t="s">
        <v>28673</v>
      </c>
      <c r="BL4089" t="s">
        <v>21652</v>
      </c>
      <c r="BM4089" t="s">
        <v>31994</v>
      </c>
      <c r="BN4089" t="s">
        <v>27621</v>
      </c>
    </row>
    <row r="4090" spans="1:66" x14ac:dyDescent="0.25">
      <c r="A4090" t="str">
        <f>HYPERLINK("https://elite.finviz.com/quote.ashx?t=MCS&amp;ty=c&amp;p=d&amp;b=1", "MCS")</f>
        <v>MCS</v>
      </c>
      <c r="B4090">
        <v>4</v>
      </c>
      <c r="C4090">
        <v>105.92</v>
      </c>
      <c r="D4090">
        <v>48.28</v>
      </c>
      <c r="E4090" t="s">
        <v>31995</v>
      </c>
      <c r="F4090" t="s">
        <v>67</v>
      </c>
      <c r="G4090" t="s">
        <v>598</v>
      </c>
      <c r="H4090" t="s">
        <v>4247</v>
      </c>
      <c r="I4090" t="s">
        <v>70</v>
      </c>
      <c r="J4090" t="s">
        <v>71</v>
      </c>
      <c r="K4090">
        <v>477.46</v>
      </c>
      <c r="L4090">
        <v>15.6</v>
      </c>
      <c r="M4090" t="s">
        <v>6572</v>
      </c>
      <c r="N4090">
        <v>22889</v>
      </c>
      <c r="O4090">
        <v>35.26</v>
      </c>
      <c r="P4090">
        <v>23.54</v>
      </c>
      <c r="R4090">
        <v>0.62</v>
      </c>
      <c r="S4090">
        <v>1.06</v>
      </c>
      <c r="T4090" t="s">
        <v>3118</v>
      </c>
      <c r="U4090">
        <v>0.28999999999999998</v>
      </c>
      <c r="V4090" t="s">
        <v>10943</v>
      </c>
      <c r="W4090" t="s">
        <v>1001</v>
      </c>
      <c r="Y4090" t="s">
        <v>9585</v>
      </c>
      <c r="AA4090">
        <v>0.44</v>
      </c>
      <c r="AB4090" t="s">
        <v>12170</v>
      </c>
      <c r="AE4090" t="s">
        <v>3955</v>
      </c>
      <c r="AF4090" t="s">
        <v>2866</v>
      </c>
      <c r="AG4090" t="s">
        <v>1080</v>
      </c>
      <c r="AH4090" t="s">
        <v>4914</v>
      </c>
      <c r="AI4090" t="s">
        <v>4594</v>
      </c>
      <c r="AJ4090" t="s">
        <v>1547</v>
      </c>
      <c r="AK4090" t="s">
        <v>15182</v>
      </c>
      <c r="AL4090">
        <v>0.39</v>
      </c>
      <c r="AM4090">
        <v>0.39</v>
      </c>
      <c r="AN4090">
        <v>0.81</v>
      </c>
      <c r="AO4090" t="s">
        <v>17729</v>
      </c>
      <c r="AP4090" t="s">
        <v>9130</v>
      </c>
      <c r="AQ4090" t="s">
        <v>909</v>
      </c>
      <c r="AR4090" t="s">
        <v>4600</v>
      </c>
      <c r="AS4090" t="s">
        <v>387</v>
      </c>
      <c r="AT4090" t="s">
        <v>2426</v>
      </c>
      <c r="AU4090" t="s">
        <v>609</v>
      </c>
      <c r="AV4090" t="s">
        <v>23695</v>
      </c>
      <c r="AW4090" t="s">
        <v>3917</v>
      </c>
      <c r="AX4090" t="s">
        <v>6981</v>
      </c>
      <c r="AY4090" t="s">
        <v>19540</v>
      </c>
      <c r="AZ4090" t="s">
        <v>6981</v>
      </c>
      <c r="BA4090">
        <v>1</v>
      </c>
      <c r="BB4090">
        <v>238.69</v>
      </c>
      <c r="BC4090">
        <v>0.34</v>
      </c>
      <c r="BD4090">
        <v>15.48</v>
      </c>
      <c r="BE4090">
        <v>15.57</v>
      </c>
      <c r="BF4090">
        <v>15.46</v>
      </c>
      <c r="BG4090" t="s">
        <v>31996</v>
      </c>
      <c r="BH4090" t="s">
        <v>31997</v>
      </c>
      <c r="BI4090" t="s">
        <v>31998</v>
      </c>
      <c r="BJ4090" t="s">
        <v>101</v>
      </c>
      <c r="BK4090" t="s">
        <v>4235</v>
      </c>
      <c r="BL4090" t="s">
        <v>20059</v>
      </c>
      <c r="BM4090" t="s">
        <v>122</v>
      </c>
      <c r="BN4090" t="s">
        <v>27621</v>
      </c>
    </row>
    <row r="4091" spans="1:66" x14ac:dyDescent="0.25">
      <c r="A4091" t="str">
        <f>HYPERLINK("https://elite.finviz.com/quote.ashx?t=ALMU&amp;ty=c&amp;p=d&amp;b=1", "ALMU")</f>
        <v>ALMU</v>
      </c>
      <c r="B4091">
        <v>4</v>
      </c>
      <c r="C4091">
        <v>105.92</v>
      </c>
      <c r="D4091">
        <v>48.29</v>
      </c>
      <c r="E4091" t="s">
        <v>31999</v>
      </c>
      <c r="F4091" t="s">
        <v>67</v>
      </c>
      <c r="G4091" t="s">
        <v>108</v>
      </c>
      <c r="H4091" t="s">
        <v>1808</v>
      </c>
      <c r="I4091" t="s">
        <v>70</v>
      </c>
      <c r="J4091" t="s">
        <v>321</v>
      </c>
      <c r="K4091">
        <v>309.11</v>
      </c>
      <c r="L4091">
        <v>17.57</v>
      </c>
      <c r="M4091" t="s">
        <v>132</v>
      </c>
      <c r="N4091">
        <v>112812</v>
      </c>
      <c r="R4091">
        <v>66.19</v>
      </c>
      <c r="S4091">
        <v>15.57</v>
      </c>
      <c r="AA4091">
        <v>-0.24</v>
      </c>
      <c r="AB4091" t="s">
        <v>32000</v>
      </c>
      <c r="AE4091" t="s">
        <v>32001</v>
      </c>
      <c r="AH4091" t="s">
        <v>32002</v>
      </c>
      <c r="AI4091" t="s">
        <v>10378</v>
      </c>
      <c r="AJ4091" t="s">
        <v>2649</v>
      </c>
      <c r="AK4091" t="s">
        <v>11337</v>
      </c>
      <c r="AL4091">
        <v>24.59</v>
      </c>
      <c r="AM4091">
        <v>24.59</v>
      </c>
      <c r="AN4091">
        <v>0.05</v>
      </c>
      <c r="AO4091" t="s">
        <v>4091</v>
      </c>
      <c r="AP4091" t="s">
        <v>23880</v>
      </c>
      <c r="AQ4091" t="s">
        <v>32003</v>
      </c>
      <c r="AR4091" t="s">
        <v>12293</v>
      </c>
      <c r="AS4091" t="s">
        <v>8041</v>
      </c>
      <c r="AT4091" t="s">
        <v>3896</v>
      </c>
      <c r="AU4091" t="s">
        <v>20212</v>
      </c>
      <c r="AV4091" t="s">
        <v>18480</v>
      </c>
      <c r="AW4091" t="s">
        <v>2686</v>
      </c>
      <c r="AX4091" t="s">
        <v>10576</v>
      </c>
      <c r="AY4091" t="s">
        <v>2686</v>
      </c>
      <c r="AZ4091" t="s">
        <v>32004</v>
      </c>
      <c r="BA4091">
        <v>1</v>
      </c>
      <c r="BB4091">
        <v>388.58</v>
      </c>
      <c r="BC4091">
        <v>1.02</v>
      </c>
      <c r="BD4091">
        <v>18.03</v>
      </c>
      <c r="BE4091">
        <v>18.7</v>
      </c>
      <c r="BF4091">
        <v>17.45</v>
      </c>
      <c r="BG4091" t="s">
        <v>32005</v>
      </c>
      <c r="BH4091" t="s">
        <v>2686</v>
      </c>
      <c r="BI4091" t="s">
        <v>32006</v>
      </c>
      <c r="BJ4091" t="s">
        <v>101</v>
      </c>
      <c r="BK4091" t="s">
        <v>12146</v>
      </c>
      <c r="BL4091" t="s">
        <v>32007</v>
      </c>
      <c r="BM4091" t="s">
        <v>32008</v>
      </c>
      <c r="BN4091" t="s">
        <v>27621</v>
      </c>
    </row>
    <row r="4092" spans="1:66" x14ac:dyDescent="0.25">
      <c r="A4092" t="str">
        <f>HYPERLINK("https://elite.finviz.com/quote.ashx?t=SWX&amp;ty=c&amp;p=d&amp;b=1", "SWX")</f>
        <v>SWX</v>
      </c>
      <c r="B4092">
        <v>4</v>
      </c>
      <c r="C4092">
        <v>105.92</v>
      </c>
      <c r="D4092">
        <v>48.31</v>
      </c>
      <c r="E4092" t="s">
        <v>32009</v>
      </c>
      <c r="F4092" t="s">
        <v>67</v>
      </c>
      <c r="G4092" t="s">
        <v>287</v>
      </c>
      <c r="H4092" t="s">
        <v>3541</v>
      </c>
      <c r="I4092" t="s">
        <v>70</v>
      </c>
      <c r="J4092" t="s">
        <v>71</v>
      </c>
      <c r="K4092">
        <v>5625.91</v>
      </c>
      <c r="L4092">
        <v>78.16</v>
      </c>
      <c r="M4092" t="s">
        <v>822</v>
      </c>
      <c r="N4092">
        <v>49148</v>
      </c>
      <c r="O4092">
        <v>29.11</v>
      </c>
      <c r="P4092">
        <v>18.559999999999999</v>
      </c>
      <c r="Q4092">
        <v>1.21</v>
      </c>
      <c r="R4092">
        <v>1.18</v>
      </c>
      <c r="S4092">
        <v>1.53</v>
      </c>
      <c r="T4092" t="s">
        <v>2356</v>
      </c>
      <c r="U4092">
        <v>2.48</v>
      </c>
      <c r="V4092" t="s">
        <v>27009</v>
      </c>
      <c r="W4092" t="s">
        <v>164</v>
      </c>
      <c r="X4092" t="s">
        <v>1025</v>
      </c>
      <c r="Y4092" t="s">
        <v>451</v>
      </c>
      <c r="Z4092" t="s">
        <v>12117</v>
      </c>
      <c r="AA4092">
        <v>2.69</v>
      </c>
      <c r="AB4092" t="s">
        <v>4622</v>
      </c>
      <c r="AC4092" t="s">
        <v>869</v>
      </c>
      <c r="AD4092" t="s">
        <v>5344</v>
      </c>
      <c r="AE4092" t="s">
        <v>10769</v>
      </c>
      <c r="AF4092" t="s">
        <v>2371</v>
      </c>
      <c r="AG4092" t="s">
        <v>6981</v>
      </c>
      <c r="AH4092" t="s">
        <v>15164</v>
      </c>
      <c r="AI4092" t="s">
        <v>32010</v>
      </c>
      <c r="AJ4092" t="s">
        <v>4699</v>
      </c>
      <c r="AK4092" t="s">
        <v>27586</v>
      </c>
      <c r="AL4092">
        <v>1.01</v>
      </c>
      <c r="AM4092">
        <v>0.94</v>
      </c>
      <c r="AN4092">
        <v>1.27</v>
      </c>
      <c r="AO4092" t="s">
        <v>2863</v>
      </c>
      <c r="AP4092" t="s">
        <v>2517</v>
      </c>
      <c r="AQ4092" t="s">
        <v>2419</v>
      </c>
      <c r="AR4092" t="s">
        <v>192</v>
      </c>
      <c r="AS4092" t="s">
        <v>2217</v>
      </c>
      <c r="AT4092" t="s">
        <v>9084</v>
      </c>
      <c r="AU4092" t="s">
        <v>2263</v>
      </c>
      <c r="AV4092" t="s">
        <v>2732</v>
      </c>
      <c r="AW4092" t="s">
        <v>6105</v>
      </c>
      <c r="AX4092" t="s">
        <v>4204</v>
      </c>
      <c r="AY4092" t="s">
        <v>6105</v>
      </c>
      <c r="AZ4092" t="s">
        <v>3073</v>
      </c>
      <c r="BA4092">
        <v>1.4</v>
      </c>
      <c r="BB4092">
        <v>424.22</v>
      </c>
      <c r="BC4092">
        <v>0.41</v>
      </c>
      <c r="BD4092">
        <v>77.98</v>
      </c>
      <c r="BE4092">
        <v>79.02</v>
      </c>
      <c r="BF4092">
        <v>78.069999999999993</v>
      </c>
      <c r="BG4092" t="s">
        <v>32011</v>
      </c>
      <c r="BH4092" t="s">
        <v>7818</v>
      </c>
      <c r="BI4092" t="s">
        <v>32012</v>
      </c>
      <c r="BJ4092" t="s">
        <v>101</v>
      </c>
      <c r="BK4092" t="s">
        <v>3602</v>
      </c>
      <c r="BL4092" t="s">
        <v>712</v>
      </c>
      <c r="BM4092" t="s">
        <v>7210</v>
      </c>
      <c r="BN4092" t="s">
        <v>27621</v>
      </c>
    </row>
    <row r="4093" spans="1:66" x14ac:dyDescent="0.25">
      <c r="A4093" t="str">
        <f>HYPERLINK("https://elite.finviz.com/quote.ashx?t=BDSX&amp;ty=c&amp;p=d&amp;b=1", "BDSX")</f>
        <v>BDSX</v>
      </c>
      <c r="B4093">
        <v>4</v>
      </c>
      <c r="C4093">
        <v>105.92</v>
      </c>
      <c r="D4093">
        <v>48.34</v>
      </c>
      <c r="E4093" t="s">
        <v>32013</v>
      </c>
      <c r="F4093" t="s">
        <v>107</v>
      </c>
      <c r="G4093" t="s">
        <v>428</v>
      </c>
      <c r="H4093" t="s">
        <v>4202</v>
      </c>
      <c r="I4093" t="s">
        <v>70</v>
      </c>
      <c r="J4093" t="s">
        <v>321</v>
      </c>
      <c r="K4093">
        <v>61.88</v>
      </c>
      <c r="L4093">
        <v>7.74</v>
      </c>
      <c r="M4093" t="s">
        <v>16782</v>
      </c>
      <c r="N4093">
        <v>25097</v>
      </c>
      <c r="R4093">
        <v>0.81</v>
      </c>
      <c r="S4093">
        <v>49.82</v>
      </c>
      <c r="AA4093">
        <v>-5.61</v>
      </c>
      <c r="AB4093" t="s">
        <v>11386</v>
      </c>
      <c r="AC4093" t="s">
        <v>32014</v>
      </c>
      <c r="AD4093" t="s">
        <v>15133</v>
      </c>
      <c r="AE4093" t="s">
        <v>3191</v>
      </c>
      <c r="AF4093" t="s">
        <v>3212</v>
      </c>
      <c r="AG4093" t="s">
        <v>7581</v>
      </c>
      <c r="AH4093" t="s">
        <v>8530</v>
      </c>
      <c r="AI4093" t="s">
        <v>4071</v>
      </c>
      <c r="AJ4093" t="s">
        <v>32015</v>
      </c>
      <c r="AK4093" t="s">
        <v>2556</v>
      </c>
      <c r="AL4093">
        <v>2.14</v>
      </c>
      <c r="AM4093">
        <v>2.0299999999999998</v>
      </c>
      <c r="AN4093">
        <v>63.28</v>
      </c>
      <c r="AO4093" t="s">
        <v>32016</v>
      </c>
      <c r="AP4093" t="s">
        <v>32017</v>
      </c>
      <c r="AQ4093" t="s">
        <v>2916</v>
      </c>
      <c r="AR4093" t="s">
        <v>6344</v>
      </c>
      <c r="AS4093" t="s">
        <v>8928</v>
      </c>
      <c r="AT4093" t="s">
        <v>14499</v>
      </c>
      <c r="AU4093" t="s">
        <v>103</v>
      </c>
      <c r="AV4093" t="s">
        <v>23126</v>
      </c>
      <c r="AW4093" t="s">
        <v>22018</v>
      </c>
      <c r="AX4093" t="s">
        <v>11671</v>
      </c>
      <c r="AY4093" t="s">
        <v>32018</v>
      </c>
      <c r="AZ4093" t="s">
        <v>32019</v>
      </c>
      <c r="BA4093">
        <v>1.4</v>
      </c>
      <c r="BB4093">
        <v>150.43</v>
      </c>
      <c r="BC4093">
        <v>0.59</v>
      </c>
      <c r="BD4093">
        <v>8.01</v>
      </c>
      <c r="BE4093">
        <v>8.42</v>
      </c>
      <c r="BF4093">
        <v>7.74</v>
      </c>
      <c r="BG4093" t="s">
        <v>32020</v>
      </c>
      <c r="BH4093" t="s">
        <v>32021</v>
      </c>
      <c r="BI4093" t="s">
        <v>32019</v>
      </c>
      <c r="BJ4093" t="s">
        <v>101</v>
      </c>
      <c r="BK4093" t="s">
        <v>32022</v>
      </c>
      <c r="BL4093" t="s">
        <v>29787</v>
      </c>
      <c r="BM4093" t="s">
        <v>23757</v>
      </c>
      <c r="BN4093" t="s">
        <v>27621</v>
      </c>
    </row>
    <row r="4094" spans="1:66" x14ac:dyDescent="0.25">
      <c r="A4094" t="str">
        <f>HYPERLINK("https://elite.finviz.com/quote.ashx?t=FLOC&amp;ty=c&amp;p=d&amp;b=1", "FLOC")</f>
        <v>FLOC</v>
      </c>
      <c r="B4094">
        <v>4</v>
      </c>
      <c r="C4094">
        <v>105.92</v>
      </c>
      <c r="D4094">
        <v>48.34</v>
      </c>
      <c r="E4094" t="s">
        <v>32023</v>
      </c>
      <c r="F4094" t="s">
        <v>67</v>
      </c>
      <c r="G4094" t="s">
        <v>1048</v>
      </c>
      <c r="H4094" t="s">
        <v>8341</v>
      </c>
      <c r="I4094" t="s">
        <v>70</v>
      </c>
      <c r="J4094" t="s">
        <v>71</v>
      </c>
      <c r="K4094">
        <v>1439</v>
      </c>
      <c r="L4094">
        <v>15.89</v>
      </c>
      <c r="M4094" t="s">
        <v>5745</v>
      </c>
      <c r="N4094">
        <v>42520</v>
      </c>
      <c r="P4094">
        <v>10.5</v>
      </c>
      <c r="S4094">
        <v>9.57</v>
      </c>
      <c r="T4094" t="s">
        <v>3976</v>
      </c>
      <c r="U4094">
        <v>0.16</v>
      </c>
      <c r="V4094" t="s">
        <v>3046</v>
      </c>
      <c r="AB4094" t="s">
        <v>4571</v>
      </c>
      <c r="AF4094" t="s">
        <v>18920</v>
      </c>
      <c r="AH4094" t="s">
        <v>20931</v>
      </c>
      <c r="AI4094" t="s">
        <v>5699</v>
      </c>
      <c r="AJ4094" t="s">
        <v>164</v>
      </c>
      <c r="AK4094" t="s">
        <v>3353</v>
      </c>
      <c r="AL4094">
        <v>3.25</v>
      </c>
      <c r="AM4094">
        <v>1.57</v>
      </c>
      <c r="AN4094">
        <v>1.39</v>
      </c>
      <c r="AR4094" t="s">
        <v>1926</v>
      </c>
      <c r="AS4094" t="s">
        <v>1088</v>
      </c>
      <c r="AT4094" t="s">
        <v>3358</v>
      </c>
      <c r="AU4094" t="s">
        <v>5246</v>
      </c>
      <c r="AV4094" t="s">
        <v>10310</v>
      </c>
      <c r="AW4094" t="s">
        <v>14418</v>
      </c>
      <c r="AX4094" t="s">
        <v>8855</v>
      </c>
      <c r="AY4094" t="s">
        <v>8420</v>
      </c>
      <c r="AZ4094" t="s">
        <v>8855</v>
      </c>
      <c r="BA4094">
        <v>1</v>
      </c>
      <c r="BB4094">
        <v>345.97</v>
      </c>
      <c r="BC4094">
        <v>0.43</v>
      </c>
      <c r="BD4094">
        <v>15.69</v>
      </c>
      <c r="BE4094">
        <v>16.16</v>
      </c>
      <c r="BF4094">
        <v>15.6</v>
      </c>
      <c r="BG4094" t="s">
        <v>32024</v>
      </c>
      <c r="BH4094" t="s">
        <v>8420</v>
      </c>
      <c r="BI4094" t="s">
        <v>8855</v>
      </c>
      <c r="BJ4094" t="s">
        <v>101</v>
      </c>
      <c r="BK4094" t="s">
        <v>8023</v>
      </c>
      <c r="BL4094" t="s">
        <v>25667</v>
      </c>
      <c r="BN4094" t="s">
        <v>27621</v>
      </c>
    </row>
    <row r="4095" spans="1:66" x14ac:dyDescent="0.25">
      <c r="A4095" t="str">
        <f>HYPERLINK("https://elite.finviz.com/quote.ashx?t=ROK&amp;ty=c&amp;p=d&amp;b=1", "ROK")</f>
        <v>ROK</v>
      </c>
      <c r="B4095">
        <v>4</v>
      </c>
      <c r="C4095">
        <v>105.92</v>
      </c>
      <c r="D4095">
        <v>48.41</v>
      </c>
      <c r="E4095" t="s">
        <v>32025</v>
      </c>
      <c r="F4095" t="s">
        <v>195</v>
      </c>
      <c r="G4095" t="s">
        <v>260</v>
      </c>
      <c r="H4095" t="s">
        <v>261</v>
      </c>
      <c r="I4095" t="s">
        <v>70</v>
      </c>
      <c r="J4095" t="s">
        <v>71</v>
      </c>
      <c r="K4095">
        <v>38511.53</v>
      </c>
      <c r="L4095">
        <v>342.52</v>
      </c>
      <c r="M4095" t="s">
        <v>5036</v>
      </c>
      <c r="N4095">
        <v>104961</v>
      </c>
      <c r="O4095">
        <v>40.19</v>
      </c>
      <c r="P4095">
        <v>29.7</v>
      </c>
      <c r="Q4095">
        <v>3.78</v>
      </c>
      <c r="R4095">
        <v>4.78</v>
      </c>
      <c r="S4095">
        <v>11.12</v>
      </c>
      <c r="T4095" t="s">
        <v>3024</v>
      </c>
      <c r="U4095">
        <v>5.24</v>
      </c>
      <c r="V4095" t="s">
        <v>1440</v>
      </c>
      <c r="W4095" t="s">
        <v>2196</v>
      </c>
      <c r="X4095" t="s">
        <v>3054</v>
      </c>
      <c r="Y4095" t="s">
        <v>6226</v>
      </c>
      <c r="Z4095" t="s">
        <v>9568</v>
      </c>
      <c r="AA4095">
        <v>8.52</v>
      </c>
      <c r="AB4095" t="s">
        <v>3610</v>
      </c>
      <c r="AC4095" t="s">
        <v>7970</v>
      </c>
      <c r="AD4095" t="s">
        <v>4857</v>
      </c>
      <c r="AE4095" t="s">
        <v>5480</v>
      </c>
      <c r="AF4095" t="s">
        <v>1772</v>
      </c>
      <c r="AG4095" t="s">
        <v>3025</v>
      </c>
      <c r="AH4095" t="s">
        <v>4052</v>
      </c>
      <c r="AI4095" t="s">
        <v>3057</v>
      </c>
      <c r="AJ4095" t="s">
        <v>26491</v>
      </c>
      <c r="AK4095" t="s">
        <v>9033</v>
      </c>
      <c r="AL4095">
        <v>1.06</v>
      </c>
      <c r="AM4095">
        <v>0.72</v>
      </c>
      <c r="AN4095">
        <v>1.1200000000000001</v>
      </c>
      <c r="AO4095" t="s">
        <v>21744</v>
      </c>
      <c r="AP4095" t="s">
        <v>3817</v>
      </c>
      <c r="AQ4095" t="s">
        <v>3492</v>
      </c>
      <c r="AR4095" t="s">
        <v>2217</v>
      </c>
      <c r="AS4095" t="s">
        <v>4493</v>
      </c>
      <c r="AT4095" t="s">
        <v>2760</v>
      </c>
      <c r="AU4095" t="s">
        <v>2694</v>
      </c>
      <c r="AV4095" t="s">
        <v>3186</v>
      </c>
      <c r="AW4095" t="s">
        <v>19319</v>
      </c>
      <c r="AX4095" t="s">
        <v>3923</v>
      </c>
      <c r="AY4095" t="s">
        <v>19319</v>
      </c>
      <c r="AZ4095" t="s">
        <v>2318</v>
      </c>
      <c r="BA4095">
        <v>2.2599999999999998</v>
      </c>
      <c r="BB4095">
        <v>894.99</v>
      </c>
      <c r="BC4095">
        <v>0.41</v>
      </c>
      <c r="BD4095">
        <v>340.03</v>
      </c>
      <c r="BE4095">
        <v>344.12</v>
      </c>
      <c r="BF4095">
        <v>339.88</v>
      </c>
      <c r="BG4095" t="s">
        <v>32026</v>
      </c>
      <c r="BH4095" t="s">
        <v>19319</v>
      </c>
      <c r="BI4095" t="s">
        <v>32027</v>
      </c>
      <c r="BJ4095" t="s">
        <v>101</v>
      </c>
      <c r="BK4095" t="s">
        <v>2493</v>
      </c>
      <c r="BL4095" t="s">
        <v>1534</v>
      </c>
      <c r="BM4095" t="s">
        <v>10704</v>
      </c>
      <c r="BN4095" t="s">
        <v>27621</v>
      </c>
    </row>
    <row r="4096" spans="1:66" x14ac:dyDescent="0.25">
      <c r="A4096" t="str">
        <f>HYPERLINK("https://elite.finviz.com/quote.ashx?t=DXLG&amp;ty=c&amp;p=d&amp;b=1", "DXLG")</f>
        <v>DXLG</v>
      </c>
      <c r="B4096">
        <v>4</v>
      </c>
      <c r="C4096">
        <v>105.92</v>
      </c>
      <c r="D4096">
        <v>48.42</v>
      </c>
      <c r="E4096" t="s">
        <v>32028</v>
      </c>
      <c r="F4096" t="s">
        <v>107</v>
      </c>
      <c r="G4096" t="s">
        <v>813</v>
      </c>
      <c r="H4096" t="s">
        <v>4488</v>
      </c>
      <c r="I4096" t="s">
        <v>70</v>
      </c>
      <c r="J4096" t="s">
        <v>321</v>
      </c>
      <c r="K4096">
        <v>71.400000000000006</v>
      </c>
      <c r="L4096">
        <v>1.33</v>
      </c>
      <c r="M4096" t="s">
        <v>3118</v>
      </c>
      <c r="N4096">
        <v>13943</v>
      </c>
      <c r="R4096">
        <v>0.16</v>
      </c>
      <c r="S4096">
        <v>0.51</v>
      </c>
      <c r="Z4096" t="s">
        <v>164</v>
      </c>
      <c r="AA4096">
        <v>-0.1</v>
      </c>
      <c r="AB4096" t="s">
        <v>9368</v>
      </c>
      <c r="AD4096" t="s">
        <v>4045</v>
      </c>
      <c r="AE4096" t="s">
        <v>5640</v>
      </c>
      <c r="AF4096" t="s">
        <v>4367</v>
      </c>
      <c r="AG4096" t="s">
        <v>3837</v>
      </c>
      <c r="AH4096" t="s">
        <v>10518</v>
      </c>
      <c r="AI4096" t="s">
        <v>32029</v>
      </c>
      <c r="AJ4096" t="s">
        <v>164</v>
      </c>
      <c r="AK4096" t="s">
        <v>16520</v>
      </c>
      <c r="AL4096">
        <v>1.5</v>
      </c>
      <c r="AM4096">
        <v>0.54</v>
      </c>
      <c r="AN4096">
        <v>1.55</v>
      </c>
      <c r="AO4096" t="s">
        <v>6669</v>
      </c>
      <c r="AP4096" t="s">
        <v>1783</v>
      </c>
      <c r="AQ4096" t="s">
        <v>4879</v>
      </c>
      <c r="AR4096" t="s">
        <v>2231</v>
      </c>
      <c r="AS4096" t="s">
        <v>7767</v>
      </c>
      <c r="AT4096" t="s">
        <v>181</v>
      </c>
      <c r="AU4096" t="s">
        <v>8402</v>
      </c>
      <c r="AV4096" t="s">
        <v>3175</v>
      </c>
      <c r="AW4096" t="s">
        <v>15765</v>
      </c>
      <c r="AX4096" t="s">
        <v>9227</v>
      </c>
      <c r="AY4096" t="s">
        <v>32030</v>
      </c>
      <c r="AZ4096" t="s">
        <v>10267</v>
      </c>
      <c r="BA4096">
        <v>2</v>
      </c>
      <c r="BB4096">
        <v>325.58</v>
      </c>
      <c r="BC4096">
        <v>0.15</v>
      </c>
      <c r="BD4096">
        <v>1.3</v>
      </c>
      <c r="BE4096">
        <v>1.34</v>
      </c>
      <c r="BF4096">
        <v>1.3</v>
      </c>
      <c r="BG4096" t="s">
        <v>32031</v>
      </c>
      <c r="BH4096" t="s">
        <v>4735</v>
      </c>
      <c r="BI4096" t="s">
        <v>32032</v>
      </c>
      <c r="BJ4096" t="s">
        <v>101</v>
      </c>
      <c r="BK4096" t="s">
        <v>3348</v>
      </c>
      <c r="BL4096" t="s">
        <v>6247</v>
      </c>
      <c r="BM4096" t="s">
        <v>32033</v>
      </c>
      <c r="BN4096" t="s">
        <v>27621</v>
      </c>
    </row>
    <row r="4097" spans="1:66" x14ac:dyDescent="0.25">
      <c r="A4097" t="str">
        <f>HYPERLINK("https://elite.finviz.com/quote.ashx?t=CLFD&amp;ty=c&amp;p=d&amp;b=1", "CLFD")</f>
        <v>CLFD</v>
      </c>
      <c r="B4097">
        <v>4</v>
      </c>
      <c r="C4097">
        <v>105.92</v>
      </c>
      <c r="D4097">
        <v>48.46</v>
      </c>
      <c r="E4097" t="s">
        <v>32034</v>
      </c>
      <c r="F4097" t="s">
        <v>67</v>
      </c>
      <c r="G4097" t="s">
        <v>108</v>
      </c>
      <c r="H4097" t="s">
        <v>1921</v>
      </c>
      <c r="I4097" t="s">
        <v>70</v>
      </c>
      <c r="J4097" t="s">
        <v>321</v>
      </c>
      <c r="K4097">
        <v>467.41</v>
      </c>
      <c r="L4097">
        <v>33.85</v>
      </c>
      <c r="M4097" t="s">
        <v>3000</v>
      </c>
      <c r="N4097">
        <v>10742</v>
      </c>
      <c r="O4097">
        <v>1880.83</v>
      </c>
      <c r="P4097">
        <v>54.17</v>
      </c>
      <c r="R4097">
        <v>2.61</v>
      </c>
      <c r="S4097">
        <v>1.77</v>
      </c>
      <c r="AA4097">
        <v>0.02</v>
      </c>
      <c r="AE4097" t="s">
        <v>7685</v>
      </c>
      <c r="AF4097" t="s">
        <v>3036</v>
      </c>
      <c r="AG4097" t="s">
        <v>8526</v>
      </c>
      <c r="AH4097" t="s">
        <v>6003</v>
      </c>
      <c r="AI4097" t="s">
        <v>10949</v>
      </c>
      <c r="AJ4097" t="s">
        <v>164</v>
      </c>
      <c r="AK4097" t="s">
        <v>32035</v>
      </c>
      <c r="AL4097">
        <v>5.93</v>
      </c>
      <c r="AM4097">
        <v>4.43</v>
      </c>
      <c r="AN4097">
        <v>0.11</v>
      </c>
      <c r="AO4097" t="s">
        <v>13363</v>
      </c>
      <c r="AP4097" t="s">
        <v>7742</v>
      </c>
      <c r="AQ4097" t="s">
        <v>211</v>
      </c>
      <c r="AR4097" t="s">
        <v>4154</v>
      </c>
      <c r="AS4097" t="s">
        <v>1769</v>
      </c>
      <c r="AT4097" t="s">
        <v>1025</v>
      </c>
      <c r="AU4097" t="s">
        <v>11313</v>
      </c>
      <c r="AV4097" t="s">
        <v>7193</v>
      </c>
      <c r="AW4097" t="s">
        <v>17215</v>
      </c>
      <c r="AX4097" t="s">
        <v>845</v>
      </c>
      <c r="AY4097" t="s">
        <v>17215</v>
      </c>
      <c r="AZ4097" t="s">
        <v>8422</v>
      </c>
      <c r="BA4097">
        <v>1.5</v>
      </c>
      <c r="BB4097">
        <v>161.97999999999999</v>
      </c>
      <c r="BC4097">
        <v>0.23</v>
      </c>
      <c r="BD4097">
        <v>33.729999999999997</v>
      </c>
      <c r="BE4097">
        <v>34.17</v>
      </c>
      <c r="BF4097">
        <v>33.6</v>
      </c>
      <c r="BG4097" t="s">
        <v>32036</v>
      </c>
      <c r="BH4097" t="s">
        <v>32037</v>
      </c>
      <c r="BI4097" t="s">
        <v>32038</v>
      </c>
      <c r="BJ4097" t="s">
        <v>101</v>
      </c>
      <c r="BK4097" t="s">
        <v>15261</v>
      </c>
      <c r="BL4097" t="s">
        <v>4067</v>
      </c>
      <c r="BM4097" t="s">
        <v>15334</v>
      </c>
      <c r="BN4097" t="s">
        <v>27621</v>
      </c>
    </row>
    <row r="4098" spans="1:66" x14ac:dyDescent="0.25">
      <c r="A4098" t="str">
        <f>HYPERLINK("https://elite.finviz.com/quote.ashx?t=MSEX&amp;ty=c&amp;p=d&amp;b=1", "MSEX")</f>
        <v>MSEX</v>
      </c>
      <c r="B4098">
        <v>4</v>
      </c>
      <c r="C4098">
        <v>105.92</v>
      </c>
      <c r="D4098">
        <v>48.46</v>
      </c>
      <c r="E4098" t="s">
        <v>32039</v>
      </c>
      <c r="F4098" t="s">
        <v>67</v>
      </c>
      <c r="G4098" t="s">
        <v>287</v>
      </c>
      <c r="H4098" t="s">
        <v>13133</v>
      </c>
      <c r="I4098" t="s">
        <v>70</v>
      </c>
      <c r="J4098" t="s">
        <v>321</v>
      </c>
      <c r="K4098">
        <v>955.59</v>
      </c>
      <c r="L4098">
        <v>53.04</v>
      </c>
      <c r="M4098" t="s">
        <v>4494</v>
      </c>
      <c r="N4098">
        <v>9609</v>
      </c>
      <c r="O4098">
        <v>22.01</v>
      </c>
      <c r="P4098">
        <v>19.309999999999999</v>
      </c>
      <c r="R4098">
        <v>4.88</v>
      </c>
      <c r="S4098">
        <v>2.09</v>
      </c>
      <c r="T4098" t="s">
        <v>248</v>
      </c>
      <c r="U4098">
        <v>1.36</v>
      </c>
      <c r="V4098" t="s">
        <v>3046</v>
      </c>
      <c r="W4098" t="s">
        <v>1148</v>
      </c>
      <c r="X4098" t="s">
        <v>5659</v>
      </c>
      <c r="Y4098" t="s">
        <v>5152</v>
      </c>
      <c r="Z4098" t="s">
        <v>25193</v>
      </c>
      <c r="AA4098">
        <v>2.41</v>
      </c>
      <c r="AB4098" t="s">
        <v>2231</v>
      </c>
      <c r="AC4098" t="s">
        <v>4690</v>
      </c>
      <c r="AE4098" t="s">
        <v>2891</v>
      </c>
      <c r="AF4098" t="s">
        <v>4835</v>
      </c>
      <c r="AG4098" t="s">
        <v>3745</v>
      </c>
      <c r="AH4098" t="s">
        <v>2642</v>
      </c>
      <c r="AI4098" t="s">
        <v>5594</v>
      </c>
      <c r="AJ4098" t="s">
        <v>6192</v>
      </c>
      <c r="AK4098" t="s">
        <v>32040</v>
      </c>
      <c r="AL4098">
        <v>0.41</v>
      </c>
      <c r="AM4098">
        <v>0.35</v>
      </c>
      <c r="AN4098">
        <v>0.91</v>
      </c>
      <c r="AO4098" t="s">
        <v>18861</v>
      </c>
      <c r="AP4098" t="s">
        <v>6793</v>
      </c>
      <c r="AQ4098" t="s">
        <v>16647</v>
      </c>
      <c r="AR4098" t="s">
        <v>3842</v>
      </c>
      <c r="AS4098" t="s">
        <v>679</v>
      </c>
      <c r="AT4098" t="s">
        <v>6871</v>
      </c>
      <c r="AU4098" t="s">
        <v>4955</v>
      </c>
      <c r="AV4098" t="s">
        <v>4121</v>
      </c>
      <c r="AW4098" t="s">
        <v>77</v>
      </c>
      <c r="AX4098" t="s">
        <v>5027</v>
      </c>
      <c r="AY4098" t="s">
        <v>23899</v>
      </c>
      <c r="AZ4098" t="s">
        <v>2085</v>
      </c>
      <c r="BA4098">
        <v>2.33</v>
      </c>
      <c r="BB4098">
        <v>150.86000000000001</v>
      </c>
      <c r="BC4098">
        <v>0.22</v>
      </c>
      <c r="BD4098">
        <v>52.97</v>
      </c>
      <c r="BE4098">
        <v>53.52</v>
      </c>
      <c r="BF4098">
        <v>52.98</v>
      </c>
      <c r="BG4098" t="s">
        <v>32041</v>
      </c>
      <c r="BH4098" t="s">
        <v>25085</v>
      </c>
      <c r="BI4098" t="s">
        <v>32042</v>
      </c>
      <c r="BJ4098" t="s">
        <v>101</v>
      </c>
      <c r="BK4098" t="s">
        <v>3315</v>
      </c>
      <c r="BL4098" t="s">
        <v>5718</v>
      </c>
      <c r="BM4098" t="s">
        <v>3770</v>
      </c>
      <c r="BN4098" t="s">
        <v>27621</v>
      </c>
    </row>
    <row r="4099" spans="1:66" x14ac:dyDescent="0.25">
      <c r="A4099" t="str">
        <f>HYPERLINK("https://elite.finviz.com/quote.ashx?t=MDV&amp;ty=c&amp;p=d&amp;b=1", "MDV")</f>
        <v>MDV</v>
      </c>
      <c r="B4099">
        <v>4</v>
      </c>
      <c r="C4099">
        <v>105.92</v>
      </c>
      <c r="D4099">
        <v>48.52</v>
      </c>
      <c r="E4099" t="s">
        <v>32043</v>
      </c>
      <c r="F4099" t="s">
        <v>67</v>
      </c>
      <c r="G4099" t="s">
        <v>68</v>
      </c>
      <c r="H4099" t="s">
        <v>6342</v>
      </c>
      <c r="I4099" t="s">
        <v>70</v>
      </c>
      <c r="J4099" t="s">
        <v>71</v>
      </c>
      <c r="K4099">
        <v>150.38999999999999</v>
      </c>
      <c r="L4099">
        <v>14.81</v>
      </c>
      <c r="M4099" t="s">
        <v>4849</v>
      </c>
      <c r="N4099">
        <v>12920</v>
      </c>
      <c r="P4099">
        <v>141</v>
      </c>
      <c r="R4099">
        <v>3.2</v>
      </c>
      <c r="S4099">
        <v>0.91</v>
      </c>
      <c r="T4099" t="s">
        <v>3982</v>
      </c>
      <c r="U4099">
        <v>0.85</v>
      </c>
      <c r="V4099" t="s">
        <v>198</v>
      </c>
      <c r="W4099" t="s">
        <v>164</v>
      </c>
      <c r="Z4099" t="s">
        <v>32044</v>
      </c>
      <c r="AA4099">
        <v>-0.41</v>
      </c>
      <c r="AD4099" t="s">
        <v>2586</v>
      </c>
      <c r="AE4099" t="s">
        <v>12781</v>
      </c>
      <c r="AF4099" t="s">
        <v>2232</v>
      </c>
      <c r="AG4099" t="s">
        <v>10137</v>
      </c>
      <c r="AH4099" t="s">
        <v>3482</v>
      </c>
      <c r="AI4099" t="s">
        <v>32045</v>
      </c>
      <c r="AJ4099" t="s">
        <v>747</v>
      </c>
      <c r="AK4099" t="s">
        <v>9051</v>
      </c>
      <c r="AL4099">
        <v>21.22</v>
      </c>
      <c r="AM4099">
        <v>21.22</v>
      </c>
      <c r="AN4099">
        <v>1.73</v>
      </c>
      <c r="AO4099" t="s">
        <v>32046</v>
      </c>
      <c r="AP4099" t="s">
        <v>7340</v>
      </c>
      <c r="AQ4099" t="s">
        <v>10146</v>
      </c>
      <c r="AR4099" t="s">
        <v>342</v>
      </c>
      <c r="AS4099" t="s">
        <v>3916</v>
      </c>
      <c r="AT4099" t="s">
        <v>2331</v>
      </c>
      <c r="AU4099" t="s">
        <v>6192</v>
      </c>
      <c r="AV4099" t="s">
        <v>2132</v>
      </c>
      <c r="AW4099" t="s">
        <v>7964</v>
      </c>
      <c r="AX4099" t="s">
        <v>9228</v>
      </c>
      <c r="AY4099" t="s">
        <v>25907</v>
      </c>
      <c r="AZ4099" t="s">
        <v>9159</v>
      </c>
      <c r="BA4099">
        <v>1</v>
      </c>
      <c r="BB4099">
        <v>59.75</v>
      </c>
      <c r="BC4099">
        <v>0.77</v>
      </c>
      <c r="BD4099">
        <v>14.73</v>
      </c>
      <c r="BE4099">
        <v>14.88</v>
      </c>
      <c r="BF4099">
        <v>14.6</v>
      </c>
      <c r="BG4099" t="s">
        <v>32047</v>
      </c>
      <c r="BH4099" t="s">
        <v>14221</v>
      </c>
      <c r="BI4099" t="s">
        <v>6240</v>
      </c>
      <c r="BJ4099" t="s">
        <v>101</v>
      </c>
      <c r="BK4099" t="s">
        <v>5425</v>
      </c>
      <c r="BL4099" t="s">
        <v>4122</v>
      </c>
      <c r="BM4099" t="s">
        <v>18364</v>
      </c>
      <c r="BN4099" t="s">
        <v>27621</v>
      </c>
    </row>
    <row r="4100" spans="1:66" x14ac:dyDescent="0.25">
      <c r="A4100" t="str">
        <f>HYPERLINK("https://elite.finviz.com/quote.ashx?t=WKC&amp;ty=c&amp;p=d&amp;b=1", "WKC")</f>
        <v>WKC</v>
      </c>
      <c r="B4100">
        <v>4</v>
      </c>
      <c r="C4100">
        <v>105.92</v>
      </c>
      <c r="D4100">
        <v>48.63</v>
      </c>
      <c r="E4100" t="s">
        <v>32048</v>
      </c>
      <c r="F4100" t="s">
        <v>67</v>
      </c>
      <c r="G4100" t="s">
        <v>1048</v>
      </c>
      <c r="H4100" t="s">
        <v>3886</v>
      </c>
      <c r="I4100" t="s">
        <v>70</v>
      </c>
      <c r="J4100" t="s">
        <v>71</v>
      </c>
      <c r="K4100">
        <v>1454.44</v>
      </c>
      <c r="L4100">
        <v>26.18</v>
      </c>
      <c r="M4100" t="s">
        <v>2642</v>
      </c>
      <c r="N4100">
        <v>46355</v>
      </c>
      <c r="P4100">
        <v>9.51</v>
      </c>
      <c r="R4100">
        <v>0.04</v>
      </c>
      <c r="S4100">
        <v>0.91</v>
      </c>
      <c r="T4100" t="s">
        <v>4873</v>
      </c>
      <c r="U4100">
        <v>0.71</v>
      </c>
      <c r="V4100" t="s">
        <v>198</v>
      </c>
      <c r="W4100" t="s">
        <v>8592</v>
      </c>
      <c r="X4100" t="s">
        <v>7655</v>
      </c>
      <c r="Y4100" t="s">
        <v>9164</v>
      </c>
      <c r="Z4100" t="s">
        <v>10565</v>
      </c>
      <c r="AA4100">
        <v>-7.64</v>
      </c>
      <c r="AB4100" t="s">
        <v>2374</v>
      </c>
      <c r="AC4100" t="s">
        <v>18510</v>
      </c>
      <c r="AD4100" t="s">
        <v>3002</v>
      </c>
      <c r="AE4100" t="s">
        <v>14560</v>
      </c>
      <c r="AF4100" t="s">
        <v>3071</v>
      </c>
      <c r="AG4100" t="s">
        <v>7154</v>
      </c>
      <c r="AH4100" t="s">
        <v>7160</v>
      </c>
      <c r="AI4100" t="s">
        <v>8580</v>
      </c>
      <c r="AJ4100" t="s">
        <v>164</v>
      </c>
      <c r="AK4100" t="s">
        <v>32049</v>
      </c>
      <c r="AL4100">
        <v>1.1299999999999999</v>
      </c>
      <c r="AM4100">
        <v>0.98</v>
      </c>
      <c r="AN4100">
        <v>0.51</v>
      </c>
      <c r="AO4100" t="s">
        <v>2145</v>
      </c>
      <c r="AP4100" t="s">
        <v>84</v>
      </c>
      <c r="AQ4100" t="s">
        <v>3940</v>
      </c>
      <c r="AR4100" t="s">
        <v>2201</v>
      </c>
      <c r="AS4100" t="s">
        <v>2876</v>
      </c>
      <c r="AT4100" t="s">
        <v>3388</v>
      </c>
      <c r="AU4100" t="s">
        <v>1820</v>
      </c>
      <c r="AV4100" t="s">
        <v>3853</v>
      </c>
      <c r="AW4100" t="s">
        <v>16335</v>
      </c>
      <c r="AX4100" t="s">
        <v>3951</v>
      </c>
      <c r="AY4100" t="s">
        <v>6727</v>
      </c>
      <c r="AZ4100" t="s">
        <v>10806</v>
      </c>
      <c r="BA4100">
        <v>3.67</v>
      </c>
      <c r="BB4100">
        <v>710.04</v>
      </c>
      <c r="BC4100">
        <v>0.23</v>
      </c>
      <c r="BD4100">
        <v>26.09</v>
      </c>
      <c r="BE4100">
        <v>26.39</v>
      </c>
      <c r="BF4100">
        <v>26.11</v>
      </c>
      <c r="BG4100" t="s">
        <v>32050</v>
      </c>
      <c r="BH4100" t="s">
        <v>5093</v>
      </c>
      <c r="BI4100" t="s">
        <v>32051</v>
      </c>
      <c r="BJ4100" t="s">
        <v>101</v>
      </c>
      <c r="BK4100" t="s">
        <v>7455</v>
      </c>
      <c r="BL4100" t="s">
        <v>5205</v>
      </c>
      <c r="BM4100" t="s">
        <v>10847</v>
      </c>
      <c r="BN4100" t="s">
        <v>27621</v>
      </c>
    </row>
    <row r="4101" spans="1:66" x14ac:dyDescent="0.25">
      <c r="A4101" t="str">
        <f>HYPERLINK("https://elite.finviz.com/quote.ashx?t=NLOP&amp;ty=c&amp;p=d&amp;b=1", "NLOP")</f>
        <v>NLOP</v>
      </c>
      <c r="B4101">
        <v>4</v>
      </c>
      <c r="C4101">
        <v>105.92</v>
      </c>
      <c r="D4101">
        <v>48.63</v>
      </c>
      <c r="E4101" t="s">
        <v>32052</v>
      </c>
      <c r="F4101" t="s">
        <v>67</v>
      </c>
      <c r="G4101" t="s">
        <v>68</v>
      </c>
      <c r="H4101" t="s">
        <v>69</v>
      </c>
      <c r="I4101" t="s">
        <v>70</v>
      </c>
      <c r="J4101" t="s">
        <v>71</v>
      </c>
      <c r="K4101">
        <v>434.05</v>
      </c>
      <c r="L4101">
        <v>29.3</v>
      </c>
      <c r="M4101" t="s">
        <v>2650</v>
      </c>
      <c r="N4101">
        <v>17154</v>
      </c>
      <c r="R4101">
        <v>3.66</v>
      </c>
      <c r="S4101">
        <v>0.87</v>
      </c>
      <c r="V4101" t="s">
        <v>1440</v>
      </c>
      <c r="AA4101">
        <v>-10.61</v>
      </c>
      <c r="AE4101" t="s">
        <v>5303</v>
      </c>
      <c r="AH4101" t="s">
        <v>15845</v>
      </c>
      <c r="AJ4101" t="s">
        <v>4759</v>
      </c>
      <c r="AK4101" t="s">
        <v>10515</v>
      </c>
      <c r="AL4101">
        <v>0.7</v>
      </c>
      <c r="AM4101">
        <v>0.7</v>
      </c>
      <c r="AN4101">
        <v>0.23</v>
      </c>
      <c r="AO4101" t="s">
        <v>6350</v>
      </c>
      <c r="AP4101" t="s">
        <v>11965</v>
      </c>
      <c r="AQ4101" t="s">
        <v>32053</v>
      </c>
      <c r="AR4101" t="s">
        <v>5116</v>
      </c>
      <c r="AS4101" t="s">
        <v>2720</v>
      </c>
      <c r="AT4101" t="s">
        <v>698</v>
      </c>
      <c r="AU4101" t="s">
        <v>525</v>
      </c>
      <c r="AV4101" t="s">
        <v>679</v>
      </c>
      <c r="AW4101" t="s">
        <v>7402</v>
      </c>
      <c r="AX4101" t="s">
        <v>5929</v>
      </c>
      <c r="AY4101" t="s">
        <v>4888</v>
      </c>
      <c r="AZ4101" t="s">
        <v>2567</v>
      </c>
      <c r="BA4101">
        <v>2</v>
      </c>
      <c r="BB4101">
        <v>105.12</v>
      </c>
      <c r="BC4101">
        <v>0.56999999999999995</v>
      </c>
      <c r="BD4101">
        <v>28.94</v>
      </c>
      <c r="BE4101">
        <v>29.42</v>
      </c>
      <c r="BF4101">
        <v>29</v>
      </c>
      <c r="BG4101" t="s">
        <v>32054</v>
      </c>
      <c r="BH4101" t="s">
        <v>17748</v>
      </c>
      <c r="BI4101" t="s">
        <v>16846</v>
      </c>
      <c r="BJ4101" t="s">
        <v>101</v>
      </c>
      <c r="BK4101" t="s">
        <v>13522</v>
      </c>
      <c r="BL4101" t="s">
        <v>4891</v>
      </c>
      <c r="BM4101" t="s">
        <v>2146</v>
      </c>
      <c r="BN4101" t="s">
        <v>27621</v>
      </c>
    </row>
    <row r="4102" spans="1:66" x14ac:dyDescent="0.25">
      <c r="A4102" t="str">
        <f>HYPERLINK("https://elite.finviz.com/quote.ashx?t=CRIS&amp;ty=c&amp;p=d&amp;b=1", "CRIS")</f>
        <v>CRIS</v>
      </c>
      <c r="B4102">
        <v>4</v>
      </c>
      <c r="C4102">
        <v>105.92</v>
      </c>
      <c r="D4102">
        <v>48.67</v>
      </c>
      <c r="E4102" t="s">
        <v>32055</v>
      </c>
      <c r="F4102" t="s">
        <v>107</v>
      </c>
      <c r="G4102" t="s">
        <v>428</v>
      </c>
      <c r="H4102" t="s">
        <v>429</v>
      </c>
      <c r="I4102" t="s">
        <v>70</v>
      </c>
      <c r="J4102" t="s">
        <v>321</v>
      </c>
      <c r="K4102">
        <v>21.13</v>
      </c>
      <c r="L4102">
        <v>1.69</v>
      </c>
      <c r="M4102" t="s">
        <v>1769</v>
      </c>
      <c r="N4102">
        <v>13873</v>
      </c>
      <c r="R4102">
        <v>1.85</v>
      </c>
      <c r="AA4102">
        <v>-4.88</v>
      </c>
      <c r="AB4102" t="s">
        <v>10407</v>
      </c>
      <c r="AC4102" t="s">
        <v>13570</v>
      </c>
      <c r="AD4102" t="s">
        <v>5222</v>
      </c>
      <c r="AE4102" t="s">
        <v>435</v>
      </c>
      <c r="AF4102" t="s">
        <v>2785</v>
      </c>
      <c r="AG4102" t="s">
        <v>4946</v>
      </c>
      <c r="AH4102" t="s">
        <v>7854</v>
      </c>
      <c r="AI4102" t="s">
        <v>1882</v>
      </c>
      <c r="AJ4102" t="s">
        <v>164</v>
      </c>
      <c r="AK4102" t="s">
        <v>3816</v>
      </c>
      <c r="AL4102">
        <v>0.74</v>
      </c>
      <c r="AM4102">
        <v>0.74</v>
      </c>
      <c r="AO4102" t="s">
        <v>20970</v>
      </c>
      <c r="AP4102" t="s">
        <v>32056</v>
      </c>
      <c r="AQ4102" t="s">
        <v>32057</v>
      </c>
      <c r="AR4102" t="s">
        <v>3450</v>
      </c>
      <c r="AS4102" t="s">
        <v>4498</v>
      </c>
      <c r="AT4102" t="s">
        <v>609</v>
      </c>
      <c r="AU4102" t="s">
        <v>3950</v>
      </c>
      <c r="AV4102" t="s">
        <v>17720</v>
      </c>
      <c r="AW4102" t="s">
        <v>12001</v>
      </c>
      <c r="AX4102" t="s">
        <v>2699</v>
      </c>
      <c r="AY4102" t="s">
        <v>13052</v>
      </c>
      <c r="AZ4102" t="s">
        <v>32058</v>
      </c>
      <c r="BA4102">
        <v>1</v>
      </c>
      <c r="BB4102">
        <v>106.56</v>
      </c>
      <c r="BC4102">
        <v>0.46</v>
      </c>
      <c r="BD4102">
        <v>1.64</v>
      </c>
      <c r="BE4102">
        <v>1.7</v>
      </c>
      <c r="BF4102">
        <v>1.65</v>
      </c>
      <c r="BG4102" t="s">
        <v>32059</v>
      </c>
      <c r="BH4102" t="s">
        <v>446</v>
      </c>
      <c r="BI4102" t="s">
        <v>32058</v>
      </c>
      <c r="BJ4102" t="s">
        <v>101</v>
      </c>
      <c r="BK4102" t="s">
        <v>22937</v>
      </c>
      <c r="BL4102" t="s">
        <v>4926</v>
      </c>
      <c r="BM4102" t="s">
        <v>32060</v>
      </c>
      <c r="BN4102" t="s">
        <v>27621</v>
      </c>
    </row>
    <row r="4103" spans="1:66" x14ac:dyDescent="0.25">
      <c r="A4103" t="str">
        <f>HYPERLINK("https://elite.finviz.com/quote.ashx?t=GBLI&amp;ty=c&amp;p=d&amp;b=1", "GBLI")</f>
        <v>GBLI</v>
      </c>
      <c r="B4103">
        <v>4</v>
      </c>
      <c r="C4103">
        <v>105.92</v>
      </c>
      <c r="D4103">
        <v>48.68</v>
      </c>
      <c r="E4103" t="s">
        <v>32061</v>
      </c>
      <c r="F4103" t="s">
        <v>107</v>
      </c>
      <c r="G4103" t="s">
        <v>550</v>
      </c>
      <c r="H4103" t="s">
        <v>4407</v>
      </c>
      <c r="I4103" t="s">
        <v>70</v>
      </c>
      <c r="J4103" t="s">
        <v>71</v>
      </c>
      <c r="K4103">
        <v>422.14</v>
      </c>
      <c r="L4103">
        <v>29.53</v>
      </c>
      <c r="M4103" t="s">
        <v>2219</v>
      </c>
      <c r="N4103">
        <v>212</v>
      </c>
      <c r="O4103">
        <v>14.91</v>
      </c>
      <c r="P4103">
        <v>9.49</v>
      </c>
      <c r="Q4103">
        <v>3.6</v>
      </c>
      <c r="R4103">
        <v>0.96</v>
      </c>
      <c r="S4103">
        <v>0.61</v>
      </c>
      <c r="T4103" t="s">
        <v>215</v>
      </c>
      <c r="U4103">
        <v>1.4</v>
      </c>
      <c r="V4103" t="s">
        <v>2598</v>
      </c>
      <c r="W4103" t="s">
        <v>6398</v>
      </c>
      <c r="X4103" t="s">
        <v>4079</v>
      </c>
      <c r="Y4103" t="s">
        <v>9936</v>
      </c>
      <c r="Z4103" t="s">
        <v>7878</v>
      </c>
      <c r="AA4103">
        <v>1.98</v>
      </c>
      <c r="AB4103" t="s">
        <v>1038</v>
      </c>
      <c r="AC4103" t="s">
        <v>9513</v>
      </c>
      <c r="AD4103" t="s">
        <v>2484</v>
      </c>
      <c r="AE4103" t="s">
        <v>4289</v>
      </c>
      <c r="AF4103" t="s">
        <v>4115</v>
      </c>
      <c r="AG4103" t="s">
        <v>10449</v>
      </c>
      <c r="AH4103" t="s">
        <v>2274</v>
      </c>
      <c r="AI4103" t="s">
        <v>3571</v>
      </c>
      <c r="AJ4103" t="s">
        <v>2650</v>
      </c>
      <c r="AK4103" t="s">
        <v>17546</v>
      </c>
      <c r="AL4103">
        <v>1.0900000000000001</v>
      </c>
      <c r="AN4103">
        <v>0.01</v>
      </c>
      <c r="AP4103" t="s">
        <v>2861</v>
      </c>
      <c r="AQ4103" t="s">
        <v>2386</v>
      </c>
      <c r="AR4103" t="s">
        <v>273</v>
      </c>
      <c r="AS4103" t="s">
        <v>6732</v>
      </c>
      <c r="AT4103" t="s">
        <v>6194</v>
      </c>
      <c r="AU4103" t="s">
        <v>2899</v>
      </c>
      <c r="AV4103" t="s">
        <v>11013</v>
      </c>
      <c r="AW4103" t="s">
        <v>7454</v>
      </c>
      <c r="AX4103" t="s">
        <v>2985</v>
      </c>
      <c r="AY4103" t="s">
        <v>18112</v>
      </c>
      <c r="AZ4103" t="s">
        <v>9830</v>
      </c>
      <c r="BA4103">
        <v>3</v>
      </c>
      <c r="BB4103">
        <v>4.22</v>
      </c>
      <c r="BC4103">
        <v>0.18</v>
      </c>
      <c r="BD4103">
        <v>28.99</v>
      </c>
      <c r="BE4103">
        <v>29.28</v>
      </c>
      <c r="BF4103">
        <v>29.28</v>
      </c>
      <c r="BG4103" t="s">
        <v>32062</v>
      </c>
      <c r="BH4103" t="s">
        <v>21193</v>
      </c>
      <c r="BI4103" t="s">
        <v>32063</v>
      </c>
      <c r="BJ4103" t="s">
        <v>101</v>
      </c>
      <c r="BK4103" t="s">
        <v>3595</v>
      </c>
      <c r="BL4103" t="s">
        <v>1530</v>
      </c>
      <c r="BM4103" t="s">
        <v>3665</v>
      </c>
      <c r="BN4103" t="s">
        <v>27621</v>
      </c>
    </row>
    <row r="4104" spans="1:66" x14ac:dyDescent="0.25">
      <c r="A4104" t="str">
        <f>HYPERLINK("https://elite.finviz.com/quote.ashx?t=SDST&amp;ty=c&amp;p=d&amp;b=1", "SDST")</f>
        <v>SDST</v>
      </c>
      <c r="B4104">
        <v>4</v>
      </c>
      <c r="C4104">
        <v>105.92</v>
      </c>
      <c r="D4104">
        <v>48.75</v>
      </c>
      <c r="E4104" t="s">
        <v>32064</v>
      </c>
      <c r="F4104" t="s">
        <v>107</v>
      </c>
      <c r="G4104" t="s">
        <v>260</v>
      </c>
      <c r="H4104" t="s">
        <v>1128</v>
      </c>
      <c r="I4104" t="s">
        <v>70</v>
      </c>
      <c r="J4104" t="s">
        <v>321</v>
      </c>
      <c r="K4104">
        <v>27.06</v>
      </c>
      <c r="L4104">
        <v>3.2</v>
      </c>
      <c r="M4104" t="s">
        <v>11402</v>
      </c>
      <c r="N4104">
        <v>226322</v>
      </c>
      <c r="AA4104">
        <v>-5.54</v>
      </c>
      <c r="AC4104" t="s">
        <v>32065</v>
      </c>
      <c r="AD4104" t="s">
        <v>14594</v>
      </c>
      <c r="AI4104" t="s">
        <v>2698</v>
      </c>
      <c r="AJ4104" t="s">
        <v>11400</v>
      </c>
      <c r="AK4104" t="s">
        <v>6430</v>
      </c>
      <c r="AL4104">
        <v>0.25</v>
      </c>
      <c r="AM4104">
        <v>0.25</v>
      </c>
      <c r="AR4104" t="s">
        <v>9718</v>
      </c>
      <c r="AS4104" t="s">
        <v>9623</v>
      </c>
      <c r="AT4104" t="s">
        <v>8625</v>
      </c>
      <c r="AU4104" t="s">
        <v>9709</v>
      </c>
      <c r="AV4104" t="s">
        <v>28158</v>
      </c>
      <c r="AW4104" t="s">
        <v>12044</v>
      </c>
      <c r="AX4104" t="s">
        <v>3426</v>
      </c>
      <c r="AY4104" t="s">
        <v>7931</v>
      </c>
      <c r="AZ4104" t="s">
        <v>32066</v>
      </c>
      <c r="BA4104">
        <v>2</v>
      </c>
      <c r="BB4104">
        <v>952.11</v>
      </c>
      <c r="BC4104">
        <v>0.84</v>
      </c>
      <c r="BD4104">
        <v>3.3</v>
      </c>
      <c r="BE4104">
        <v>3.33</v>
      </c>
      <c r="BF4104">
        <v>3.15</v>
      </c>
      <c r="BG4104" t="s">
        <v>32067</v>
      </c>
      <c r="BH4104" t="s">
        <v>8552</v>
      </c>
      <c r="BI4104" t="s">
        <v>32066</v>
      </c>
      <c r="BJ4104" t="s">
        <v>101</v>
      </c>
      <c r="BK4104" t="s">
        <v>26093</v>
      </c>
      <c r="BL4104" t="s">
        <v>24642</v>
      </c>
      <c r="BM4104" t="s">
        <v>18291</v>
      </c>
      <c r="BN4104" t="s">
        <v>27621</v>
      </c>
    </row>
    <row r="4105" spans="1:66" x14ac:dyDescent="0.25">
      <c r="A4105" t="str">
        <f>HYPERLINK("https://elite.finviz.com/quote.ashx?t=BKNG&amp;ty=c&amp;p=d&amp;b=1", "BKNG")</f>
        <v>BKNG</v>
      </c>
      <c r="B4105">
        <v>4</v>
      </c>
      <c r="C4105">
        <v>105.92</v>
      </c>
      <c r="D4105">
        <v>48.76</v>
      </c>
      <c r="E4105" t="s">
        <v>32068</v>
      </c>
      <c r="F4105" t="s">
        <v>319</v>
      </c>
      <c r="G4105" t="s">
        <v>813</v>
      </c>
      <c r="H4105" t="s">
        <v>1997</v>
      </c>
      <c r="I4105" t="s">
        <v>70</v>
      </c>
      <c r="J4105" t="s">
        <v>321</v>
      </c>
      <c r="K4105">
        <v>178716.86</v>
      </c>
      <c r="L4105">
        <v>5514.27</v>
      </c>
      <c r="M4105" t="s">
        <v>2768</v>
      </c>
      <c r="N4105">
        <v>44306</v>
      </c>
      <c r="O4105">
        <v>38.35</v>
      </c>
      <c r="P4105">
        <v>21.4</v>
      </c>
      <c r="Q4105">
        <v>2.29</v>
      </c>
      <c r="R4105">
        <v>7.14</v>
      </c>
      <c r="T4105" t="s">
        <v>3047</v>
      </c>
      <c r="U4105">
        <v>37.549999999999997</v>
      </c>
      <c r="V4105" t="s">
        <v>4548</v>
      </c>
      <c r="Z4105" t="s">
        <v>7710</v>
      </c>
      <c r="AA4105">
        <v>143.78</v>
      </c>
      <c r="AB4105" t="s">
        <v>1320</v>
      </c>
      <c r="AC4105" t="s">
        <v>8662</v>
      </c>
      <c r="AD4105" t="s">
        <v>9031</v>
      </c>
      <c r="AE4105" t="s">
        <v>13358</v>
      </c>
      <c r="AF4105" t="s">
        <v>6926</v>
      </c>
      <c r="AG4105" t="s">
        <v>9570</v>
      </c>
      <c r="AH4105" t="s">
        <v>16733</v>
      </c>
      <c r="AI4105" t="s">
        <v>2085</v>
      </c>
      <c r="AJ4105" t="s">
        <v>2023</v>
      </c>
      <c r="AK4105" t="s">
        <v>12685</v>
      </c>
      <c r="AL4105">
        <v>1.25</v>
      </c>
      <c r="AM4105">
        <v>1.25</v>
      </c>
      <c r="AO4105" t="s">
        <v>32069</v>
      </c>
      <c r="AP4105" t="s">
        <v>1610</v>
      </c>
      <c r="AQ4105" t="s">
        <v>14659</v>
      </c>
      <c r="AR4105" t="s">
        <v>2424</v>
      </c>
      <c r="AS4105" t="s">
        <v>714</v>
      </c>
      <c r="AT4105" t="s">
        <v>4699</v>
      </c>
      <c r="AU4105" t="s">
        <v>9084</v>
      </c>
      <c r="AV4105" t="s">
        <v>7150</v>
      </c>
      <c r="AW4105" t="s">
        <v>18188</v>
      </c>
      <c r="AX4105" t="s">
        <v>7284</v>
      </c>
      <c r="AY4105" t="s">
        <v>8190</v>
      </c>
      <c r="AZ4105" t="s">
        <v>16982</v>
      </c>
      <c r="BA4105">
        <v>1.77</v>
      </c>
      <c r="BB4105">
        <v>196.67</v>
      </c>
      <c r="BC4105">
        <v>0.79</v>
      </c>
      <c r="BD4105">
        <v>5575.73</v>
      </c>
      <c r="BE4105">
        <v>5586.62</v>
      </c>
      <c r="BF4105">
        <v>5497.18</v>
      </c>
      <c r="BG4105" t="s">
        <v>32070</v>
      </c>
      <c r="BH4105" t="s">
        <v>8190</v>
      </c>
      <c r="BI4105" t="s">
        <v>32071</v>
      </c>
      <c r="BJ4105" t="s">
        <v>101</v>
      </c>
      <c r="BK4105" t="s">
        <v>7413</v>
      </c>
      <c r="BL4105" t="s">
        <v>1305</v>
      </c>
      <c r="BM4105" t="s">
        <v>7081</v>
      </c>
      <c r="BN4105" t="s">
        <v>27621</v>
      </c>
    </row>
    <row r="4106" spans="1:66" x14ac:dyDescent="0.25">
      <c r="A4106" t="str">
        <f>HYPERLINK("https://elite.finviz.com/quote.ashx?t=SBFM&amp;ty=c&amp;p=d&amp;b=1", "SBFM")</f>
        <v>SBFM</v>
      </c>
      <c r="B4106">
        <v>4</v>
      </c>
      <c r="C4106">
        <v>105.92</v>
      </c>
      <c r="D4106">
        <v>48.84</v>
      </c>
      <c r="E4106" t="s">
        <v>32072</v>
      </c>
      <c r="F4106" t="s">
        <v>107</v>
      </c>
      <c r="G4106" t="s">
        <v>428</v>
      </c>
      <c r="H4106" t="s">
        <v>1296</v>
      </c>
      <c r="I4106" t="s">
        <v>70</v>
      </c>
      <c r="J4106" t="s">
        <v>321</v>
      </c>
      <c r="K4106">
        <v>6.7</v>
      </c>
      <c r="L4106">
        <v>1.47</v>
      </c>
      <c r="M4106" t="s">
        <v>5928</v>
      </c>
      <c r="N4106">
        <v>15984</v>
      </c>
      <c r="P4106">
        <v>18.38</v>
      </c>
      <c r="R4106">
        <v>0.18</v>
      </c>
      <c r="S4106">
        <v>0.26</v>
      </c>
      <c r="AA4106">
        <v>-2.61</v>
      </c>
      <c r="AB4106" t="s">
        <v>29732</v>
      </c>
      <c r="AC4106" t="s">
        <v>32073</v>
      </c>
      <c r="AE4106" t="s">
        <v>2067</v>
      </c>
      <c r="AF4106" t="s">
        <v>32074</v>
      </c>
      <c r="AG4106" t="s">
        <v>32075</v>
      </c>
      <c r="AH4106" t="s">
        <v>1488</v>
      </c>
      <c r="AI4106" t="s">
        <v>164</v>
      </c>
      <c r="AJ4106" t="s">
        <v>164</v>
      </c>
      <c r="AK4106" t="s">
        <v>5152</v>
      </c>
      <c r="AL4106">
        <v>5</v>
      </c>
      <c r="AM4106">
        <v>2.66</v>
      </c>
      <c r="AN4106">
        <v>0.04</v>
      </c>
      <c r="AO4106" t="s">
        <v>5033</v>
      </c>
      <c r="AP4106" t="s">
        <v>4213</v>
      </c>
      <c r="AQ4106" t="s">
        <v>1622</v>
      </c>
      <c r="AR4106" t="s">
        <v>2869</v>
      </c>
      <c r="AS4106" t="s">
        <v>3545</v>
      </c>
      <c r="AT4106" t="s">
        <v>2275</v>
      </c>
      <c r="AU4106" t="s">
        <v>3598</v>
      </c>
      <c r="AV4106" t="s">
        <v>32076</v>
      </c>
      <c r="AW4106" t="s">
        <v>23568</v>
      </c>
      <c r="AX4106" t="s">
        <v>660</v>
      </c>
      <c r="AY4106" t="s">
        <v>31800</v>
      </c>
      <c r="AZ4106" t="s">
        <v>11960</v>
      </c>
      <c r="BA4106">
        <v>1</v>
      </c>
      <c r="BB4106">
        <v>94.76</v>
      </c>
      <c r="BC4106">
        <v>0.6</v>
      </c>
      <c r="BD4106">
        <v>1.52</v>
      </c>
      <c r="BE4106">
        <v>1.49</v>
      </c>
      <c r="BF4106">
        <v>1.46</v>
      </c>
      <c r="BG4106" t="s">
        <v>32077</v>
      </c>
      <c r="BH4106" t="s">
        <v>579</v>
      </c>
      <c r="BI4106" t="s">
        <v>11960</v>
      </c>
      <c r="BJ4106" t="s">
        <v>101</v>
      </c>
      <c r="BK4106" t="s">
        <v>5253</v>
      </c>
      <c r="BL4106" t="s">
        <v>6395</v>
      </c>
      <c r="BM4106" t="s">
        <v>22966</v>
      </c>
      <c r="BN4106" t="s">
        <v>27621</v>
      </c>
    </row>
    <row r="4107" spans="1:66" x14ac:dyDescent="0.25">
      <c r="A4107" t="str">
        <f>HYPERLINK("https://elite.finviz.com/quote.ashx?t=PMCB&amp;ty=c&amp;p=d&amp;b=1", "PMCB")</f>
        <v>PMCB</v>
      </c>
      <c r="B4107">
        <v>4</v>
      </c>
      <c r="C4107">
        <v>105.92</v>
      </c>
      <c r="D4107">
        <v>48.85</v>
      </c>
      <c r="E4107" t="s">
        <v>32078</v>
      </c>
      <c r="F4107" t="s">
        <v>107</v>
      </c>
      <c r="G4107" t="s">
        <v>428</v>
      </c>
      <c r="H4107" t="s">
        <v>429</v>
      </c>
      <c r="I4107" t="s">
        <v>70</v>
      </c>
      <c r="J4107" t="s">
        <v>321</v>
      </c>
      <c r="K4107">
        <v>6.64</v>
      </c>
      <c r="L4107">
        <v>0.98</v>
      </c>
      <c r="M4107" t="s">
        <v>2571</v>
      </c>
      <c r="N4107">
        <v>9073</v>
      </c>
      <c r="S4107">
        <v>0.15</v>
      </c>
      <c r="Z4107" t="s">
        <v>164</v>
      </c>
      <c r="AA4107">
        <v>-0.46</v>
      </c>
      <c r="AJ4107" t="s">
        <v>164</v>
      </c>
      <c r="AK4107" t="s">
        <v>6028</v>
      </c>
      <c r="AL4107">
        <v>18.010000000000002</v>
      </c>
      <c r="AM4107">
        <v>18.010000000000002</v>
      </c>
      <c r="AN4107">
        <v>0</v>
      </c>
      <c r="AR4107" t="s">
        <v>10380</v>
      </c>
      <c r="AS4107" t="s">
        <v>341</v>
      </c>
      <c r="AT4107" t="s">
        <v>11830</v>
      </c>
      <c r="AU4107" t="s">
        <v>1657</v>
      </c>
      <c r="AV4107" t="s">
        <v>19909</v>
      </c>
      <c r="AW4107" t="s">
        <v>15822</v>
      </c>
      <c r="AX4107" t="s">
        <v>10829</v>
      </c>
      <c r="AY4107" t="s">
        <v>28915</v>
      </c>
      <c r="AZ4107" t="s">
        <v>10829</v>
      </c>
      <c r="BB4107">
        <v>89.43</v>
      </c>
      <c r="BC4107">
        <v>0.36</v>
      </c>
      <c r="BD4107">
        <v>0.97</v>
      </c>
      <c r="BE4107">
        <v>1</v>
      </c>
      <c r="BF4107">
        <v>0.97</v>
      </c>
      <c r="BG4107" t="s">
        <v>32079</v>
      </c>
      <c r="BH4107" t="s">
        <v>3107</v>
      </c>
      <c r="BI4107" t="s">
        <v>10829</v>
      </c>
      <c r="BJ4107" t="s">
        <v>101</v>
      </c>
      <c r="BK4107" t="s">
        <v>16056</v>
      </c>
      <c r="BL4107" t="s">
        <v>2089</v>
      </c>
      <c r="BM4107" t="s">
        <v>13843</v>
      </c>
      <c r="BN4107" t="s">
        <v>27621</v>
      </c>
    </row>
    <row r="4108" spans="1:66" x14ac:dyDescent="0.25">
      <c r="A4108" t="str">
        <f>HYPERLINK("https://elite.finviz.com/quote.ashx?t=FLD&amp;ty=c&amp;p=d&amp;b=1", "FLD")</f>
        <v>FLD</v>
      </c>
      <c r="B4108">
        <v>4</v>
      </c>
      <c r="C4108">
        <v>105.92</v>
      </c>
      <c r="D4108">
        <v>48.87</v>
      </c>
      <c r="E4108" t="s">
        <v>32080</v>
      </c>
      <c r="F4108" t="s">
        <v>107</v>
      </c>
      <c r="G4108" t="s">
        <v>550</v>
      </c>
      <c r="H4108" t="s">
        <v>551</v>
      </c>
      <c r="I4108" t="s">
        <v>70</v>
      </c>
      <c r="J4108" t="s">
        <v>321</v>
      </c>
      <c r="K4108">
        <v>166.11</v>
      </c>
      <c r="L4108">
        <v>3.55</v>
      </c>
      <c r="M4108" t="s">
        <v>5424</v>
      </c>
      <c r="N4108">
        <v>137627</v>
      </c>
      <c r="R4108">
        <v>10.89</v>
      </c>
      <c r="S4108">
        <v>1.87</v>
      </c>
      <c r="AA4108">
        <v>-1.7</v>
      </c>
      <c r="AB4108" t="s">
        <v>32081</v>
      </c>
      <c r="AI4108" t="s">
        <v>32082</v>
      </c>
      <c r="AJ4108" t="s">
        <v>629</v>
      </c>
      <c r="AK4108" t="s">
        <v>1224</v>
      </c>
      <c r="AL4108">
        <v>1.6</v>
      </c>
      <c r="AM4108">
        <v>1.58</v>
      </c>
      <c r="AN4108">
        <v>0.9</v>
      </c>
      <c r="AO4108" t="s">
        <v>6771</v>
      </c>
      <c r="AP4108" t="s">
        <v>13478</v>
      </c>
      <c r="AQ4108" t="s">
        <v>32083</v>
      </c>
      <c r="AR4108" t="s">
        <v>18659</v>
      </c>
      <c r="AS4108" t="s">
        <v>2377</v>
      </c>
      <c r="AT4108" t="s">
        <v>5071</v>
      </c>
      <c r="AU4108" t="s">
        <v>7230</v>
      </c>
      <c r="AV4108" t="s">
        <v>17945</v>
      </c>
      <c r="AW4108" t="s">
        <v>9111</v>
      </c>
      <c r="AX4108" t="s">
        <v>4250</v>
      </c>
      <c r="AY4108" t="s">
        <v>26636</v>
      </c>
      <c r="AZ4108" t="s">
        <v>12619</v>
      </c>
      <c r="BA4108">
        <v>1</v>
      </c>
      <c r="BB4108">
        <v>731.69</v>
      </c>
      <c r="BC4108">
        <v>0.66</v>
      </c>
      <c r="BD4108">
        <v>3.58</v>
      </c>
      <c r="BE4108">
        <v>3.68</v>
      </c>
      <c r="BF4108">
        <v>3.5</v>
      </c>
      <c r="BG4108" t="s">
        <v>32084</v>
      </c>
      <c r="BH4108" t="s">
        <v>26636</v>
      </c>
      <c r="BI4108" t="s">
        <v>12619</v>
      </c>
      <c r="BJ4108" t="s">
        <v>101</v>
      </c>
      <c r="BK4108" t="s">
        <v>26174</v>
      </c>
      <c r="BL4108" t="s">
        <v>32085</v>
      </c>
      <c r="BM4108" t="s">
        <v>32086</v>
      </c>
      <c r="BN4108" t="s">
        <v>27621</v>
      </c>
    </row>
    <row r="4109" spans="1:66" x14ac:dyDescent="0.25">
      <c r="A4109" t="str">
        <f>HYPERLINK("https://elite.finviz.com/quote.ashx?t=ELSE&amp;ty=c&amp;p=d&amp;b=1", "ELSE")</f>
        <v>ELSE</v>
      </c>
      <c r="B4109">
        <v>4</v>
      </c>
      <c r="C4109">
        <v>105.92</v>
      </c>
      <c r="D4109">
        <v>48.9</v>
      </c>
      <c r="E4109" t="s">
        <v>32087</v>
      </c>
      <c r="F4109" t="s">
        <v>107</v>
      </c>
      <c r="G4109" t="s">
        <v>108</v>
      </c>
      <c r="H4109" t="s">
        <v>9222</v>
      </c>
      <c r="I4109" t="s">
        <v>70</v>
      </c>
      <c r="J4109" t="s">
        <v>321</v>
      </c>
      <c r="K4109">
        <v>16.420000000000002</v>
      </c>
      <c r="L4109">
        <v>4.76</v>
      </c>
      <c r="M4109" t="s">
        <v>6002</v>
      </c>
      <c r="N4109">
        <v>670</v>
      </c>
      <c r="O4109">
        <v>37.869999999999997</v>
      </c>
      <c r="R4109">
        <v>1.72</v>
      </c>
      <c r="S4109">
        <v>1.1399999999999999</v>
      </c>
      <c r="V4109" t="s">
        <v>32088</v>
      </c>
      <c r="Z4109" t="s">
        <v>164</v>
      </c>
      <c r="AA4109">
        <v>0.13</v>
      </c>
      <c r="AB4109" t="s">
        <v>4873</v>
      </c>
      <c r="AC4109" t="s">
        <v>9483</v>
      </c>
      <c r="AE4109" t="s">
        <v>1676</v>
      </c>
      <c r="AF4109" t="s">
        <v>5425</v>
      </c>
      <c r="AG4109" t="s">
        <v>248</v>
      </c>
      <c r="AH4109" t="s">
        <v>723</v>
      </c>
      <c r="AJ4109" t="s">
        <v>164</v>
      </c>
      <c r="AK4109" t="s">
        <v>1723</v>
      </c>
      <c r="AL4109">
        <v>17.920000000000002</v>
      </c>
      <c r="AM4109">
        <v>15.31</v>
      </c>
      <c r="AN4109">
        <v>0</v>
      </c>
      <c r="AO4109" t="s">
        <v>16409</v>
      </c>
      <c r="AP4109" t="s">
        <v>3736</v>
      </c>
      <c r="AQ4109" t="s">
        <v>10226</v>
      </c>
      <c r="AR4109" t="s">
        <v>4204</v>
      </c>
      <c r="AS4109" t="s">
        <v>213</v>
      </c>
      <c r="AT4109" t="s">
        <v>2132</v>
      </c>
      <c r="AU4109" t="s">
        <v>3344</v>
      </c>
      <c r="AV4109" t="s">
        <v>2493</v>
      </c>
      <c r="AW4109" t="s">
        <v>4893</v>
      </c>
      <c r="AX4109" t="s">
        <v>485</v>
      </c>
      <c r="AY4109" t="s">
        <v>14274</v>
      </c>
      <c r="AZ4109" t="s">
        <v>5351</v>
      </c>
      <c r="BB4109">
        <v>8.52</v>
      </c>
      <c r="BC4109">
        <v>0.28000000000000003</v>
      </c>
      <c r="BD4109">
        <v>4.88</v>
      </c>
      <c r="BE4109">
        <v>4.7699999999999996</v>
      </c>
      <c r="BF4109">
        <v>4.7699999999999996</v>
      </c>
      <c r="BG4109" t="s">
        <v>32089</v>
      </c>
      <c r="BH4109" t="s">
        <v>32090</v>
      </c>
      <c r="BI4109" t="s">
        <v>32091</v>
      </c>
      <c r="BJ4109" t="s">
        <v>101</v>
      </c>
      <c r="BK4109" t="s">
        <v>602</v>
      </c>
      <c r="BL4109" t="s">
        <v>3918</v>
      </c>
      <c r="BM4109" t="s">
        <v>18905</v>
      </c>
      <c r="BN4109" t="s">
        <v>27621</v>
      </c>
    </row>
    <row r="4110" spans="1:66" x14ac:dyDescent="0.25">
      <c r="A4110" t="str">
        <f>HYPERLINK("https://elite.finviz.com/quote.ashx?t=ITRI&amp;ty=c&amp;p=d&amp;b=1", "ITRI")</f>
        <v>ITRI</v>
      </c>
      <c r="B4110">
        <v>4</v>
      </c>
      <c r="C4110">
        <v>105.92</v>
      </c>
      <c r="D4110">
        <v>48.93</v>
      </c>
      <c r="E4110" t="s">
        <v>32092</v>
      </c>
      <c r="F4110" t="s">
        <v>67</v>
      </c>
      <c r="G4110" t="s">
        <v>108</v>
      </c>
      <c r="H4110" t="s">
        <v>9222</v>
      </c>
      <c r="I4110" t="s">
        <v>70</v>
      </c>
      <c r="J4110" t="s">
        <v>321</v>
      </c>
      <c r="K4110">
        <v>5584.87</v>
      </c>
      <c r="L4110">
        <v>122.16</v>
      </c>
      <c r="M4110" t="s">
        <v>2203</v>
      </c>
      <c r="N4110">
        <v>112740</v>
      </c>
      <c r="O4110">
        <v>20.87</v>
      </c>
      <c r="P4110">
        <v>19.41</v>
      </c>
      <c r="Q4110">
        <v>2.89</v>
      </c>
      <c r="R4110">
        <v>2.29</v>
      </c>
      <c r="S4110">
        <v>3.46</v>
      </c>
      <c r="Z4110" t="s">
        <v>164</v>
      </c>
      <c r="AA4110">
        <v>5.85</v>
      </c>
      <c r="AC4110" t="s">
        <v>947</v>
      </c>
      <c r="AD4110" t="s">
        <v>5999</v>
      </c>
      <c r="AE4110" t="s">
        <v>2838</v>
      </c>
      <c r="AF4110" t="s">
        <v>1507</v>
      </c>
      <c r="AG4110" t="s">
        <v>5777</v>
      </c>
      <c r="AH4110" t="s">
        <v>1564</v>
      </c>
      <c r="AI4110" t="s">
        <v>5465</v>
      </c>
      <c r="AJ4110" t="s">
        <v>626</v>
      </c>
      <c r="AK4110" t="s">
        <v>16783</v>
      </c>
      <c r="AL4110">
        <v>2.04</v>
      </c>
      <c r="AM4110">
        <v>1.75</v>
      </c>
      <c r="AN4110">
        <v>0.79</v>
      </c>
      <c r="AO4110" t="s">
        <v>3684</v>
      </c>
      <c r="AP4110" t="s">
        <v>5127</v>
      </c>
      <c r="AQ4110" t="s">
        <v>3600</v>
      </c>
      <c r="AR4110" t="s">
        <v>2333</v>
      </c>
      <c r="AS4110" t="s">
        <v>212</v>
      </c>
      <c r="AT4110" t="s">
        <v>5577</v>
      </c>
      <c r="AU4110" t="s">
        <v>7193</v>
      </c>
      <c r="AV4110" t="s">
        <v>4742</v>
      </c>
      <c r="AW4110" t="s">
        <v>20527</v>
      </c>
      <c r="AX4110" t="s">
        <v>2811</v>
      </c>
      <c r="AY4110" t="s">
        <v>20527</v>
      </c>
      <c r="AZ4110" t="s">
        <v>7323</v>
      </c>
      <c r="BA4110">
        <v>1.5</v>
      </c>
      <c r="BB4110">
        <v>645.04999999999995</v>
      </c>
      <c r="BC4110">
        <v>0.62</v>
      </c>
      <c r="BD4110">
        <v>122.71</v>
      </c>
      <c r="BE4110">
        <v>123.22</v>
      </c>
      <c r="BF4110">
        <v>121.86</v>
      </c>
      <c r="BG4110" t="s">
        <v>32093</v>
      </c>
      <c r="BH4110" t="s">
        <v>20527</v>
      </c>
      <c r="BI4110" t="s">
        <v>32094</v>
      </c>
      <c r="BJ4110" t="s">
        <v>101</v>
      </c>
      <c r="BK4110" t="s">
        <v>2393</v>
      </c>
      <c r="BL4110" t="s">
        <v>1361</v>
      </c>
      <c r="BM4110" t="s">
        <v>8564</v>
      </c>
      <c r="BN4110" t="s">
        <v>27621</v>
      </c>
    </row>
    <row r="4111" spans="1:66" x14ac:dyDescent="0.25">
      <c r="A4111" t="str">
        <f>HYPERLINK("https://elite.finviz.com/quote.ashx?t=TRAK&amp;ty=c&amp;p=d&amp;b=1", "TRAK")</f>
        <v>TRAK</v>
      </c>
      <c r="B4111">
        <v>4</v>
      </c>
      <c r="C4111">
        <v>105.92</v>
      </c>
      <c r="D4111">
        <v>48.95</v>
      </c>
      <c r="E4111" t="s">
        <v>32095</v>
      </c>
      <c r="F4111" t="s">
        <v>67</v>
      </c>
      <c r="G4111" t="s">
        <v>108</v>
      </c>
      <c r="H4111" t="s">
        <v>136</v>
      </c>
      <c r="I4111" t="s">
        <v>70</v>
      </c>
      <c r="J4111" t="s">
        <v>71</v>
      </c>
      <c r="K4111">
        <v>311.08</v>
      </c>
      <c r="L4111">
        <v>17.02</v>
      </c>
      <c r="M4111" t="s">
        <v>406</v>
      </c>
      <c r="N4111">
        <v>3302</v>
      </c>
      <c r="O4111">
        <v>51.27</v>
      </c>
      <c r="P4111">
        <v>46</v>
      </c>
      <c r="R4111">
        <v>14.12</v>
      </c>
      <c r="S4111">
        <v>6.36</v>
      </c>
      <c r="T4111" t="s">
        <v>1765</v>
      </c>
      <c r="U4111">
        <v>7.0000000000000007E-2</v>
      </c>
      <c r="V4111" t="s">
        <v>198</v>
      </c>
      <c r="W4111" t="s">
        <v>164</v>
      </c>
      <c r="Z4111" t="s">
        <v>2999</v>
      </c>
      <c r="AA4111">
        <v>0.33</v>
      </c>
      <c r="AB4111" t="s">
        <v>7629</v>
      </c>
      <c r="AC4111" t="s">
        <v>2891</v>
      </c>
      <c r="AE4111" t="s">
        <v>2400</v>
      </c>
      <c r="AF4111" t="s">
        <v>745</v>
      </c>
      <c r="AG4111" t="s">
        <v>6298</v>
      </c>
      <c r="AH4111" t="s">
        <v>5060</v>
      </c>
      <c r="AI4111" t="s">
        <v>821</v>
      </c>
      <c r="AJ4111" t="s">
        <v>13365</v>
      </c>
      <c r="AK4111" t="s">
        <v>666</v>
      </c>
      <c r="AL4111">
        <v>6.03</v>
      </c>
      <c r="AM4111">
        <v>6.03</v>
      </c>
      <c r="AN4111">
        <v>0.02</v>
      </c>
      <c r="AO4111" t="s">
        <v>19174</v>
      </c>
      <c r="AP4111" t="s">
        <v>10659</v>
      </c>
      <c r="AQ4111" t="s">
        <v>2790</v>
      </c>
      <c r="AR4111" t="s">
        <v>4499</v>
      </c>
      <c r="AS4111" t="s">
        <v>7284</v>
      </c>
      <c r="AT4111" t="s">
        <v>2638</v>
      </c>
      <c r="AU4111" t="s">
        <v>3736</v>
      </c>
      <c r="AV4111" t="s">
        <v>4194</v>
      </c>
      <c r="AW4111" t="s">
        <v>3941</v>
      </c>
      <c r="AX4111" t="s">
        <v>8379</v>
      </c>
      <c r="AY4111" t="s">
        <v>5255</v>
      </c>
      <c r="AZ4111" t="s">
        <v>8379</v>
      </c>
      <c r="BA4111">
        <v>1</v>
      </c>
      <c r="BB4111">
        <v>55.39</v>
      </c>
      <c r="BC4111">
        <v>0.21</v>
      </c>
      <c r="BD4111">
        <v>17.02</v>
      </c>
      <c r="BE4111">
        <v>17.32</v>
      </c>
      <c r="BF4111">
        <v>17.100000000000001</v>
      </c>
      <c r="BG4111" t="s">
        <v>32096</v>
      </c>
      <c r="BH4111" t="s">
        <v>32097</v>
      </c>
      <c r="BI4111" t="s">
        <v>32098</v>
      </c>
      <c r="BJ4111" t="s">
        <v>101</v>
      </c>
      <c r="BK4111" t="s">
        <v>25230</v>
      </c>
      <c r="BL4111" t="s">
        <v>2778</v>
      </c>
      <c r="BM4111" t="s">
        <v>303</v>
      </c>
      <c r="BN4111" t="s">
        <v>27621</v>
      </c>
    </row>
    <row r="4112" spans="1:66" x14ac:dyDescent="0.25">
      <c r="A4112" t="str">
        <f>HYPERLINK("https://elite.finviz.com/quote.ashx?t=IROH&amp;ty=c&amp;p=d&amp;b=1", "IROH")</f>
        <v>IROH</v>
      </c>
      <c r="B4112">
        <v>4</v>
      </c>
      <c r="C4112">
        <v>105.92</v>
      </c>
      <c r="D4112">
        <v>48.98</v>
      </c>
      <c r="E4112" t="s">
        <v>32099</v>
      </c>
      <c r="F4112" t="s">
        <v>107</v>
      </c>
      <c r="G4112" t="s">
        <v>550</v>
      </c>
      <c r="H4112" t="s">
        <v>2120</v>
      </c>
      <c r="I4112" t="s">
        <v>70</v>
      </c>
      <c r="J4112" t="s">
        <v>321</v>
      </c>
      <c r="K4112">
        <v>21.92</v>
      </c>
      <c r="L4112">
        <v>10.1</v>
      </c>
      <c r="M4112" t="s">
        <v>13365</v>
      </c>
      <c r="N4112">
        <v>1023</v>
      </c>
      <c r="O4112">
        <v>204.87</v>
      </c>
      <c r="Z4112" t="s">
        <v>164</v>
      </c>
      <c r="AA4112">
        <v>0.05</v>
      </c>
      <c r="AJ4112" t="s">
        <v>164</v>
      </c>
      <c r="AK4112" t="s">
        <v>32100</v>
      </c>
      <c r="AL4112">
        <v>0</v>
      </c>
      <c r="AM4112">
        <v>0</v>
      </c>
      <c r="AR4112" t="s">
        <v>6460</v>
      </c>
      <c r="AS4112" t="s">
        <v>7556</v>
      </c>
      <c r="AT4112" t="s">
        <v>6614</v>
      </c>
      <c r="AU4112" t="s">
        <v>1779</v>
      </c>
      <c r="AV4112" t="s">
        <v>4531</v>
      </c>
      <c r="AW4112" t="s">
        <v>19069</v>
      </c>
      <c r="AX4112" t="s">
        <v>23238</v>
      </c>
      <c r="AY4112" t="s">
        <v>2112</v>
      </c>
      <c r="AZ4112" t="s">
        <v>32101</v>
      </c>
      <c r="BB4112">
        <v>121.06</v>
      </c>
      <c r="BC4112">
        <v>0.03</v>
      </c>
      <c r="BD4112">
        <v>10.43</v>
      </c>
      <c r="BE4112">
        <v>10.43</v>
      </c>
      <c r="BF4112">
        <v>9.11</v>
      </c>
      <c r="BG4112" t="s">
        <v>32102</v>
      </c>
      <c r="BH4112" t="s">
        <v>2112</v>
      </c>
      <c r="BI4112" t="s">
        <v>32101</v>
      </c>
      <c r="BJ4112" t="s">
        <v>101</v>
      </c>
      <c r="BK4112" t="s">
        <v>3228</v>
      </c>
      <c r="BL4112" t="s">
        <v>9854</v>
      </c>
      <c r="BM4112" t="s">
        <v>183</v>
      </c>
      <c r="BN4112" t="s">
        <v>27621</v>
      </c>
    </row>
    <row r="4113" spans="1:66" x14ac:dyDescent="0.25">
      <c r="A4113" t="str">
        <f>HYPERLINK("https://elite.finviz.com/quote.ashx?t=LPRO&amp;ty=c&amp;p=d&amp;b=1", "LPRO")</f>
        <v>LPRO</v>
      </c>
      <c r="B4113">
        <v>4</v>
      </c>
      <c r="C4113">
        <v>105.92</v>
      </c>
      <c r="D4113">
        <v>49</v>
      </c>
      <c r="E4113" t="s">
        <v>32103</v>
      </c>
      <c r="F4113" t="s">
        <v>67</v>
      </c>
      <c r="G4113" t="s">
        <v>550</v>
      </c>
      <c r="H4113" t="s">
        <v>3744</v>
      </c>
      <c r="I4113" t="s">
        <v>70</v>
      </c>
      <c r="J4113" t="s">
        <v>321</v>
      </c>
      <c r="K4113">
        <v>261.63</v>
      </c>
      <c r="L4113">
        <v>2.21</v>
      </c>
      <c r="M4113" t="s">
        <v>8121</v>
      </c>
      <c r="N4113">
        <v>80210</v>
      </c>
      <c r="P4113">
        <v>21.78</v>
      </c>
      <c r="R4113">
        <v>16.100000000000001</v>
      </c>
      <c r="S4113">
        <v>3.31</v>
      </c>
      <c r="AA4113">
        <v>-1.18</v>
      </c>
      <c r="AC4113" t="s">
        <v>7379</v>
      </c>
      <c r="AE4113" t="s">
        <v>22930</v>
      </c>
      <c r="AF4113" t="s">
        <v>6507</v>
      </c>
      <c r="AG4113" t="s">
        <v>23541</v>
      </c>
      <c r="AH4113" t="s">
        <v>7285</v>
      </c>
      <c r="AI4113" t="s">
        <v>32104</v>
      </c>
      <c r="AJ4113" t="s">
        <v>580</v>
      </c>
      <c r="AK4113" t="s">
        <v>12125</v>
      </c>
      <c r="AL4113">
        <v>5.67</v>
      </c>
      <c r="AM4113">
        <v>5.67</v>
      </c>
      <c r="AN4113">
        <v>1.76</v>
      </c>
      <c r="AO4113" t="s">
        <v>32105</v>
      </c>
      <c r="AP4113" t="s">
        <v>32106</v>
      </c>
      <c r="AQ4113" t="s">
        <v>32107</v>
      </c>
      <c r="AR4113" t="s">
        <v>3121</v>
      </c>
      <c r="AS4113" t="s">
        <v>3148</v>
      </c>
      <c r="AT4113" t="s">
        <v>1226</v>
      </c>
      <c r="AU4113" t="s">
        <v>1820</v>
      </c>
      <c r="AV4113" t="s">
        <v>13514</v>
      </c>
      <c r="AW4113" t="s">
        <v>8613</v>
      </c>
      <c r="AX4113" t="s">
        <v>5676</v>
      </c>
      <c r="AY4113" t="s">
        <v>32108</v>
      </c>
      <c r="AZ4113" t="s">
        <v>32109</v>
      </c>
      <c r="BA4113">
        <v>2.12</v>
      </c>
      <c r="BB4113">
        <v>812.27</v>
      </c>
      <c r="BC4113">
        <v>0.35</v>
      </c>
      <c r="BD4113">
        <v>2.33</v>
      </c>
      <c r="BE4113">
        <v>2.35</v>
      </c>
      <c r="BF4113">
        <v>2.21</v>
      </c>
      <c r="BG4113" t="s">
        <v>32110</v>
      </c>
      <c r="BH4113" t="s">
        <v>32111</v>
      </c>
      <c r="BI4113" t="s">
        <v>32109</v>
      </c>
      <c r="BJ4113" t="s">
        <v>101</v>
      </c>
      <c r="BK4113" t="s">
        <v>1700</v>
      </c>
      <c r="BL4113" t="s">
        <v>14628</v>
      </c>
      <c r="BM4113" t="s">
        <v>32112</v>
      </c>
      <c r="BN4113" t="s">
        <v>27621</v>
      </c>
    </row>
    <row r="4114" spans="1:66" x14ac:dyDescent="0.25">
      <c r="A4114" t="str">
        <f>HYPERLINK("https://elite.finviz.com/quote.ashx?t=LYRA&amp;ty=c&amp;p=d&amp;b=1", "LYRA")</f>
        <v>LYRA</v>
      </c>
      <c r="B4114">
        <v>4</v>
      </c>
      <c r="C4114">
        <v>105.92</v>
      </c>
      <c r="D4114">
        <v>49</v>
      </c>
      <c r="E4114" t="s">
        <v>32113</v>
      </c>
      <c r="F4114" t="s">
        <v>107</v>
      </c>
      <c r="G4114" t="s">
        <v>428</v>
      </c>
      <c r="H4114" t="s">
        <v>429</v>
      </c>
      <c r="I4114" t="s">
        <v>70</v>
      </c>
      <c r="J4114" t="s">
        <v>321</v>
      </c>
      <c r="K4114">
        <v>11.02</v>
      </c>
      <c r="L4114">
        <v>6.7</v>
      </c>
      <c r="M4114" t="s">
        <v>3957</v>
      </c>
      <c r="N4114">
        <v>3724</v>
      </c>
      <c r="R4114">
        <v>14.31</v>
      </c>
      <c r="S4114">
        <v>6.71</v>
      </c>
      <c r="AA4114">
        <v>-29.46</v>
      </c>
      <c r="AB4114" t="s">
        <v>8565</v>
      </c>
      <c r="AC4114" t="s">
        <v>5444</v>
      </c>
      <c r="AD4114" t="s">
        <v>10401</v>
      </c>
      <c r="AE4114" t="s">
        <v>20213</v>
      </c>
      <c r="AF4114" t="s">
        <v>24056</v>
      </c>
      <c r="AH4114" t="s">
        <v>14405</v>
      </c>
      <c r="AI4114" t="s">
        <v>2641</v>
      </c>
      <c r="AJ4114" t="s">
        <v>770</v>
      </c>
      <c r="AK4114" t="s">
        <v>17838</v>
      </c>
      <c r="AL4114">
        <v>2.78</v>
      </c>
      <c r="AM4114">
        <v>2.78</v>
      </c>
      <c r="AN4114">
        <v>20.05</v>
      </c>
      <c r="AO4114" t="s">
        <v>13458</v>
      </c>
      <c r="AP4114" t="s">
        <v>32114</v>
      </c>
      <c r="AQ4114" t="s">
        <v>32115</v>
      </c>
      <c r="AR4114" t="s">
        <v>464</v>
      </c>
      <c r="AS4114" t="s">
        <v>614</v>
      </c>
      <c r="AT4114" t="s">
        <v>3019</v>
      </c>
      <c r="AU4114" t="s">
        <v>6080</v>
      </c>
      <c r="AV4114" t="s">
        <v>17504</v>
      </c>
      <c r="AW4114" t="s">
        <v>32116</v>
      </c>
      <c r="AX4114" t="s">
        <v>821</v>
      </c>
      <c r="AY4114" t="s">
        <v>28576</v>
      </c>
      <c r="AZ4114" t="s">
        <v>21032</v>
      </c>
      <c r="BA4114">
        <v>3</v>
      </c>
      <c r="BB4114">
        <v>43.46</v>
      </c>
      <c r="BC4114">
        <v>0.3</v>
      </c>
      <c r="BD4114">
        <v>6.36</v>
      </c>
      <c r="BE4114">
        <v>6.61</v>
      </c>
      <c r="BF4114">
        <v>6.35</v>
      </c>
      <c r="BG4114" t="s">
        <v>32117</v>
      </c>
      <c r="BH4114" t="s">
        <v>30548</v>
      </c>
      <c r="BI4114" t="s">
        <v>21032</v>
      </c>
      <c r="BJ4114" t="s">
        <v>101</v>
      </c>
      <c r="BK4114" t="s">
        <v>8250</v>
      </c>
      <c r="BL4114" t="s">
        <v>15141</v>
      </c>
      <c r="BM4114" t="s">
        <v>32118</v>
      </c>
      <c r="BN4114" t="s">
        <v>27621</v>
      </c>
    </row>
    <row r="4115" spans="1:66" x14ac:dyDescent="0.25">
      <c r="A4115" t="str">
        <f>HYPERLINK("https://elite.finviz.com/quote.ashx?t=PAMT&amp;ty=c&amp;p=d&amp;b=1", "PAMT")</f>
        <v>PAMT</v>
      </c>
      <c r="B4115">
        <v>4</v>
      </c>
      <c r="C4115">
        <v>105.92</v>
      </c>
      <c r="D4115">
        <v>49.09</v>
      </c>
      <c r="E4115" t="s">
        <v>32119</v>
      </c>
      <c r="F4115" t="s">
        <v>67</v>
      </c>
      <c r="G4115" t="s">
        <v>260</v>
      </c>
      <c r="H4115" t="s">
        <v>6190</v>
      </c>
      <c r="I4115" t="s">
        <v>70</v>
      </c>
      <c r="J4115" t="s">
        <v>321</v>
      </c>
      <c r="K4115">
        <v>257.81</v>
      </c>
      <c r="L4115">
        <v>12.32</v>
      </c>
      <c r="M4115" t="s">
        <v>343</v>
      </c>
      <c r="N4115">
        <v>1163</v>
      </c>
      <c r="R4115">
        <v>0.39</v>
      </c>
      <c r="S4115">
        <v>1.05</v>
      </c>
      <c r="AA4115">
        <v>-2.17</v>
      </c>
      <c r="AE4115" t="s">
        <v>13879</v>
      </c>
      <c r="AF4115" t="s">
        <v>141</v>
      </c>
      <c r="AG4115" t="s">
        <v>5642</v>
      </c>
      <c r="AH4115" t="s">
        <v>3796</v>
      </c>
      <c r="AI4115" t="s">
        <v>32120</v>
      </c>
      <c r="AJ4115" t="s">
        <v>164</v>
      </c>
      <c r="AK4115" t="s">
        <v>6316</v>
      </c>
      <c r="AL4115">
        <v>1.77</v>
      </c>
      <c r="AM4115">
        <v>1.75</v>
      </c>
      <c r="AN4115">
        <v>1.36</v>
      </c>
      <c r="AO4115" t="s">
        <v>11445</v>
      </c>
      <c r="AP4115" t="s">
        <v>8659</v>
      </c>
      <c r="AQ4115" t="s">
        <v>4226</v>
      </c>
      <c r="AR4115" t="s">
        <v>3636</v>
      </c>
      <c r="AS4115" t="s">
        <v>4323</v>
      </c>
      <c r="AT4115" t="s">
        <v>5253</v>
      </c>
      <c r="AU4115" t="s">
        <v>3967</v>
      </c>
      <c r="AV4115" t="s">
        <v>16226</v>
      </c>
      <c r="AW4115" t="s">
        <v>15281</v>
      </c>
      <c r="AX4115" t="s">
        <v>3468</v>
      </c>
      <c r="AY4115" t="s">
        <v>32121</v>
      </c>
      <c r="AZ4115" t="s">
        <v>3003</v>
      </c>
      <c r="BA4115">
        <v>3</v>
      </c>
      <c r="BB4115">
        <v>10.89</v>
      </c>
      <c r="BC4115">
        <v>0.38</v>
      </c>
      <c r="BD4115">
        <v>12.17</v>
      </c>
      <c r="BE4115">
        <v>12.17</v>
      </c>
      <c r="BF4115">
        <v>12.17</v>
      </c>
      <c r="BG4115" t="s">
        <v>32122</v>
      </c>
      <c r="BH4115" t="s">
        <v>13201</v>
      </c>
      <c r="BI4115" t="s">
        <v>32123</v>
      </c>
      <c r="BJ4115" t="s">
        <v>101</v>
      </c>
      <c r="BK4115" t="s">
        <v>7429</v>
      </c>
      <c r="BL4115" t="s">
        <v>3124</v>
      </c>
      <c r="BM4115" t="s">
        <v>8166</v>
      </c>
      <c r="BN4115" t="s">
        <v>27621</v>
      </c>
    </row>
    <row r="4116" spans="1:66" x14ac:dyDescent="0.25">
      <c r="A4116" t="str">
        <f>HYPERLINK("https://elite.finviz.com/quote.ashx?t=SER&amp;ty=c&amp;p=d&amp;b=1", "SER")</f>
        <v>SER</v>
      </c>
      <c r="B4116">
        <v>4</v>
      </c>
      <c r="C4116">
        <v>105.92</v>
      </c>
      <c r="D4116">
        <v>49.1</v>
      </c>
      <c r="E4116" t="s">
        <v>32124</v>
      </c>
      <c r="F4116" t="s">
        <v>107</v>
      </c>
      <c r="G4116" t="s">
        <v>428</v>
      </c>
      <c r="H4116" t="s">
        <v>429</v>
      </c>
      <c r="I4116" t="s">
        <v>70</v>
      </c>
      <c r="J4116" t="s">
        <v>383</v>
      </c>
      <c r="K4116">
        <v>52.08</v>
      </c>
      <c r="L4116">
        <v>5.08</v>
      </c>
      <c r="M4116" t="s">
        <v>2307</v>
      </c>
      <c r="N4116">
        <v>3631</v>
      </c>
      <c r="R4116">
        <v>400.58</v>
      </c>
      <c r="AA4116">
        <v>-5.94</v>
      </c>
      <c r="AB4116" t="s">
        <v>26000</v>
      </c>
      <c r="AC4116" t="s">
        <v>4793</v>
      </c>
      <c r="AD4116" t="s">
        <v>2484</v>
      </c>
      <c r="AE4116" t="s">
        <v>11314</v>
      </c>
      <c r="AF4116" t="s">
        <v>4079</v>
      </c>
      <c r="AG4116" t="s">
        <v>32125</v>
      </c>
      <c r="AH4116" t="s">
        <v>32126</v>
      </c>
      <c r="AI4116" t="s">
        <v>32127</v>
      </c>
      <c r="AJ4116" t="s">
        <v>3937</v>
      </c>
      <c r="AK4116" t="s">
        <v>1751</v>
      </c>
      <c r="AL4116">
        <v>2.2400000000000002</v>
      </c>
      <c r="AM4116">
        <v>2.2400000000000002</v>
      </c>
      <c r="AN4116">
        <v>0.2</v>
      </c>
      <c r="AO4116" t="s">
        <v>5493</v>
      </c>
      <c r="AP4116" t="s">
        <v>32128</v>
      </c>
      <c r="AQ4116" t="s">
        <v>32129</v>
      </c>
      <c r="AR4116" t="s">
        <v>7767</v>
      </c>
      <c r="AS4116" t="s">
        <v>2839</v>
      </c>
      <c r="AT4116" t="s">
        <v>164</v>
      </c>
      <c r="AU4116" t="s">
        <v>9254</v>
      </c>
      <c r="AV4116" t="s">
        <v>9098</v>
      </c>
      <c r="AW4116" t="s">
        <v>13292</v>
      </c>
      <c r="AX4116" t="s">
        <v>1369</v>
      </c>
      <c r="AY4116" t="s">
        <v>10743</v>
      </c>
      <c r="AZ4116" t="s">
        <v>10378</v>
      </c>
      <c r="BA4116">
        <v>1</v>
      </c>
      <c r="BB4116">
        <v>123.31</v>
      </c>
      <c r="BC4116">
        <v>0.1</v>
      </c>
      <c r="BD4116">
        <v>4.9800000000000004</v>
      </c>
      <c r="BE4116">
        <v>5.07</v>
      </c>
      <c r="BF4116">
        <v>4.96</v>
      </c>
      <c r="BG4116" t="s">
        <v>32130</v>
      </c>
      <c r="BH4116" t="s">
        <v>25055</v>
      </c>
      <c r="BI4116" t="s">
        <v>10378</v>
      </c>
      <c r="BJ4116" t="s">
        <v>101</v>
      </c>
      <c r="BK4116" t="s">
        <v>10979</v>
      </c>
      <c r="BL4116" t="s">
        <v>215</v>
      </c>
      <c r="BM4116" t="s">
        <v>23204</v>
      </c>
      <c r="BN4116" t="s">
        <v>27621</v>
      </c>
    </row>
    <row r="4117" spans="1:66" x14ac:dyDescent="0.25">
      <c r="A4117" t="str">
        <f>HYPERLINK("https://elite.finviz.com/quote.ashx?t=MNTK&amp;ty=c&amp;p=d&amp;b=1", "MNTK")</f>
        <v>MNTK</v>
      </c>
      <c r="B4117">
        <v>4</v>
      </c>
      <c r="C4117">
        <v>105.92</v>
      </c>
      <c r="D4117">
        <v>49.14</v>
      </c>
      <c r="E4117" t="s">
        <v>32131</v>
      </c>
      <c r="F4117" t="s">
        <v>67</v>
      </c>
      <c r="G4117" t="s">
        <v>355</v>
      </c>
      <c r="H4117" t="s">
        <v>1147</v>
      </c>
      <c r="I4117" t="s">
        <v>70</v>
      </c>
      <c r="J4117" t="s">
        <v>321</v>
      </c>
      <c r="K4117">
        <v>294.47000000000003</v>
      </c>
      <c r="L4117">
        <v>2.0699999999999998</v>
      </c>
      <c r="M4117" t="s">
        <v>164</v>
      </c>
      <c r="N4117">
        <v>16127</v>
      </c>
      <c r="O4117">
        <v>110.7</v>
      </c>
      <c r="P4117">
        <v>27.27</v>
      </c>
      <c r="Q4117">
        <v>3.15</v>
      </c>
      <c r="R4117">
        <v>1.62</v>
      </c>
      <c r="S4117">
        <v>1.1599999999999999</v>
      </c>
      <c r="Z4117" t="s">
        <v>164</v>
      </c>
      <c r="AA4117">
        <v>0.02</v>
      </c>
      <c r="AC4117" t="s">
        <v>5877</v>
      </c>
      <c r="AD4117" t="s">
        <v>20478</v>
      </c>
      <c r="AE4117" t="s">
        <v>6659</v>
      </c>
      <c r="AF4117" t="s">
        <v>276</v>
      </c>
      <c r="AG4117" t="s">
        <v>5265</v>
      </c>
      <c r="AH4117" t="s">
        <v>4299</v>
      </c>
      <c r="AI4117" t="s">
        <v>32132</v>
      </c>
      <c r="AJ4117" t="s">
        <v>164</v>
      </c>
      <c r="AK4117" t="s">
        <v>1231</v>
      </c>
      <c r="AL4117">
        <v>0.77</v>
      </c>
      <c r="AM4117">
        <v>0.77</v>
      </c>
      <c r="AN4117">
        <v>0.3</v>
      </c>
      <c r="AO4117" t="s">
        <v>32133</v>
      </c>
      <c r="AP4117" t="s">
        <v>1090</v>
      </c>
      <c r="AQ4117" t="s">
        <v>3024</v>
      </c>
      <c r="AR4117" t="s">
        <v>3952</v>
      </c>
      <c r="AS4117" t="s">
        <v>8164</v>
      </c>
      <c r="AT4117" t="s">
        <v>2717</v>
      </c>
      <c r="AU4117" t="s">
        <v>9618</v>
      </c>
      <c r="AV4117" t="s">
        <v>26716</v>
      </c>
      <c r="AW4117" t="s">
        <v>7444</v>
      </c>
      <c r="AX4117" t="s">
        <v>1570</v>
      </c>
      <c r="AY4117" t="s">
        <v>19778</v>
      </c>
      <c r="AZ4117" t="s">
        <v>9440</v>
      </c>
      <c r="BA4117">
        <v>3</v>
      </c>
      <c r="BB4117">
        <v>192.64</v>
      </c>
      <c r="BC4117">
        <v>0.3</v>
      </c>
      <c r="BD4117">
        <v>2.0699999999999998</v>
      </c>
      <c r="BE4117">
        <v>2.1</v>
      </c>
      <c r="BF4117">
        <v>2.0699999999999998</v>
      </c>
      <c r="BG4117" t="s">
        <v>32134</v>
      </c>
      <c r="BH4117" t="s">
        <v>32135</v>
      </c>
      <c r="BI4117" t="s">
        <v>9440</v>
      </c>
      <c r="BJ4117" t="s">
        <v>101</v>
      </c>
      <c r="BK4117" t="s">
        <v>5781</v>
      </c>
      <c r="BL4117" t="s">
        <v>625</v>
      </c>
      <c r="BM4117" t="s">
        <v>32136</v>
      </c>
      <c r="BN4117" t="s">
        <v>27621</v>
      </c>
    </row>
    <row r="4118" spans="1:66" x14ac:dyDescent="0.25">
      <c r="A4118" t="str">
        <f>HYPERLINK("https://elite.finviz.com/quote.ashx?t=WATT&amp;ty=c&amp;p=d&amp;b=1", "WATT")</f>
        <v>WATT</v>
      </c>
      <c r="B4118">
        <v>4</v>
      </c>
      <c r="C4118">
        <v>105.92</v>
      </c>
      <c r="D4118">
        <v>49.14</v>
      </c>
      <c r="E4118" t="s">
        <v>32137</v>
      </c>
      <c r="F4118" t="s">
        <v>107</v>
      </c>
      <c r="G4118" t="s">
        <v>108</v>
      </c>
      <c r="H4118" t="s">
        <v>9222</v>
      </c>
      <c r="I4118" t="s">
        <v>70</v>
      </c>
      <c r="J4118" t="s">
        <v>321</v>
      </c>
      <c r="K4118">
        <v>12.57</v>
      </c>
      <c r="L4118">
        <v>7.98</v>
      </c>
      <c r="M4118" t="s">
        <v>7262</v>
      </c>
      <c r="N4118">
        <v>10982</v>
      </c>
      <c r="R4118">
        <v>6.35</v>
      </c>
      <c r="S4118">
        <v>1.19</v>
      </c>
      <c r="AA4118">
        <v>-30</v>
      </c>
      <c r="AB4118" t="s">
        <v>32138</v>
      </c>
      <c r="AC4118" t="s">
        <v>11165</v>
      </c>
      <c r="AE4118" t="s">
        <v>32139</v>
      </c>
      <c r="AF4118" t="s">
        <v>1657</v>
      </c>
      <c r="AG4118" t="s">
        <v>252</v>
      </c>
      <c r="AH4118" t="s">
        <v>32140</v>
      </c>
      <c r="AJ4118" t="s">
        <v>4015</v>
      </c>
      <c r="AK4118" t="s">
        <v>5929</v>
      </c>
      <c r="AL4118">
        <v>4.03</v>
      </c>
      <c r="AM4118">
        <v>3.77</v>
      </c>
      <c r="AN4118">
        <v>0.18</v>
      </c>
      <c r="AO4118" t="s">
        <v>4851</v>
      </c>
      <c r="AP4118" t="s">
        <v>32141</v>
      </c>
      <c r="AQ4118" t="s">
        <v>32142</v>
      </c>
      <c r="AR4118" t="s">
        <v>801</v>
      </c>
      <c r="AS4118" t="s">
        <v>14918</v>
      </c>
      <c r="AT4118" t="s">
        <v>2384</v>
      </c>
      <c r="AU4118" t="s">
        <v>14455</v>
      </c>
      <c r="AV4118" t="s">
        <v>8500</v>
      </c>
      <c r="AW4118" t="s">
        <v>32143</v>
      </c>
      <c r="AX4118" t="s">
        <v>2999</v>
      </c>
      <c r="AY4118" t="s">
        <v>623</v>
      </c>
      <c r="AZ4118" t="s">
        <v>32144</v>
      </c>
      <c r="BA4118">
        <v>1</v>
      </c>
      <c r="BB4118">
        <v>60</v>
      </c>
      <c r="BC4118">
        <v>0.64</v>
      </c>
      <c r="BD4118">
        <v>8.1999999999999993</v>
      </c>
      <c r="BE4118">
        <v>8.49</v>
      </c>
      <c r="BF4118">
        <v>7.81</v>
      </c>
      <c r="BG4118" t="s">
        <v>32145</v>
      </c>
      <c r="BH4118" t="s">
        <v>1194</v>
      </c>
      <c r="BI4118" t="s">
        <v>32144</v>
      </c>
      <c r="BJ4118" t="s">
        <v>101</v>
      </c>
      <c r="BK4118" t="s">
        <v>4636</v>
      </c>
      <c r="BL4118" t="s">
        <v>11253</v>
      </c>
      <c r="BM4118" t="s">
        <v>1963</v>
      </c>
      <c r="BN4118" t="s">
        <v>27621</v>
      </c>
    </row>
    <row r="4119" spans="1:66" x14ac:dyDescent="0.25">
      <c r="A4119" t="str">
        <f>HYPERLINK("https://elite.finviz.com/quote.ashx?t=POCI&amp;ty=c&amp;p=d&amp;b=1", "POCI")</f>
        <v>POCI</v>
      </c>
      <c r="B4119">
        <v>4</v>
      </c>
      <c r="C4119">
        <v>105.92</v>
      </c>
      <c r="D4119">
        <v>49.14</v>
      </c>
      <c r="E4119" t="s">
        <v>32146</v>
      </c>
      <c r="F4119" t="s">
        <v>107</v>
      </c>
      <c r="G4119" t="s">
        <v>428</v>
      </c>
      <c r="H4119" t="s">
        <v>2161</v>
      </c>
      <c r="I4119" t="s">
        <v>70</v>
      </c>
      <c r="J4119" t="s">
        <v>321</v>
      </c>
      <c r="K4119">
        <v>34.42</v>
      </c>
      <c r="L4119">
        <v>4.49</v>
      </c>
      <c r="M4119" t="s">
        <v>6151</v>
      </c>
      <c r="N4119">
        <v>2488</v>
      </c>
      <c r="R4119">
        <v>1.95</v>
      </c>
      <c r="S4119">
        <v>2.61</v>
      </c>
      <c r="AA4119">
        <v>-0.9</v>
      </c>
      <c r="AB4119" t="s">
        <v>32147</v>
      </c>
      <c r="AC4119" t="s">
        <v>5720</v>
      </c>
      <c r="AE4119" t="s">
        <v>15107</v>
      </c>
      <c r="AF4119" t="s">
        <v>6414</v>
      </c>
      <c r="AG4119" t="s">
        <v>6154</v>
      </c>
      <c r="AH4119" t="s">
        <v>10719</v>
      </c>
      <c r="AJ4119" t="s">
        <v>164</v>
      </c>
      <c r="AK4119" t="s">
        <v>18594</v>
      </c>
      <c r="AL4119">
        <v>1.99</v>
      </c>
      <c r="AM4119">
        <v>1.26</v>
      </c>
      <c r="AN4119">
        <v>0.16</v>
      </c>
      <c r="AO4119" t="s">
        <v>1531</v>
      </c>
      <c r="AP4119" t="s">
        <v>4102</v>
      </c>
      <c r="AQ4119" t="s">
        <v>14292</v>
      </c>
      <c r="AR4119" t="s">
        <v>89</v>
      </c>
      <c r="AS4119" t="s">
        <v>975</v>
      </c>
      <c r="AT4119" t="s">
        <v>2759</v>
      </c>
      <c r="AU4119" t="s">
        <v>3322</v>
      </c>
      <c r="AV4119" t="s">
        <v>5356</v>
      </c>
      <c r="AW4119" t="s">
        <v>3571</v>
      </c>
      <c r="AX4119" t="s">
        <v>3672</v>
      </c>
      <c r="AY4119" t="s">
        <v>17166</v>
      </c>
      <c r="AZ4119" t="s">
        <v>6926</v>
      </c>
      <c r="BB4119">
        <v>7.18</v>
      </c>
      <c r="BC4119">
        <v>1.23</v>
      </c>
      <c r="BD4119">
        <v>4.4000000000000004</v>
      </c>
      <c r="BE4119">
        <v>4.49</v>
      </c>
      <c r="BF4119">
        <v>4.4400000000000004</v>
      </c>
      <c r="BG4119" t="s">
        <v>32148</v>
      </c>
      <c r="BH4119" t="s">
        <v>3265</v>
      </c>
      <c r="BI4119" t="s">
        <v>32149</v>
      </c>
      <c r="BJ4119" t="s">
        <v>101</v>
      </c>
      <c r="BK4119" t="s">
        <v>11830</v>
      </c>
      <c r="BL4119" t="s">
        <v>6151</v>
      </c>
      <c r="BM4119" t="s">
        <v>6015</v>
      </c>
      <c r="BN4119" t="s">
        <v>27621</v>
      </c>
    </row>
    <row r="4120" spans="1:66" x14ac:dyDescent="0.25">
      <c r="A4120" t="str">
        <f>HYPERLINK("https://elite.finviz.com/quote.ashx?t=UTL&amp;ty=c&amp;p=d&amp;b=1", "UTL")</f>
        <v>UTL</v>
      </c>
      <c r="B4120">
        <v>4</v>
      </c>
      <c r="C4120">
        <v>105.92</v>
      </c>
      <c r="D4120">
        <v>49.28</v>
      </c>
      <c r="E4120" t="s">
        <v>32150</v>
      </c>
      <c r="F4120" t="s">
        <v>67</v>
      </c>
      <c r="G4120" t="s">
        <v>287</v>
      </c>
      <c r="H4120" t="s">
        <v>3479</v>
      </c>
      <c r="I4120" t="s">
        <v>70</v>
      </c>
      <c r="J4120" t="s">
        <v>71</v>
      </c>
      <c r="K4120">
        <v>821.97</v>
      </c>
      <c r="L4120">
        <v>46.48</v>
      </c>
      <c r="M4120" t="s">
        <v>7388</v>
      </c>
      <c r="N4120">
        <v>15341</v>
      </c>
      <c r="O4120">
        <v>15.96</v>
      </c>
      <c r="P4120">
        <v>14.73</v>
      </c>
      <c r="Q4120">
        <v>5.23</v>
      </c>
      <c r="R4120">
        <v>1.66</v>
      </c>
      <c r="S4120">
        <v>1.42</v>
      </c>
      <c r="T4120" t="s">
        <v>4395</v>
      </c>
      <c r="U4120">
        <v>1.78</v>
      </c>
      <c r="V4120" t="s">
        <v>2708</v>
      </c>
      <c r="W4120" t="s">
        <v>912</v>
      </c>
      <c r="X4120" t="s">
        <v>756</v>
      </c>
      <c r="Y4120" t="s">
        <v>5929</v>
      </c>
      <c r="Z4120" t="s">
        <v>4662</v>
      </c>
      <c r="AA4120">
        <v>2.91</v>
      </c>
      <c r="AB4120" t="s">
        <v>2351</v>
      </c>
      <c r="AC4120" t="s">
        <v>2003</v>
      </c>
      <c r="AD4120" t="s">
        <v>1769</v>
      </c>
      <c r="AE4120" t="s">
        <v>6276</v>
      </c>
      <c r="AF4120" t="s">
        <v>3550</v>
      </c>
      <c r="AG4120" t="s">
        <v>4547</v>
      </c>
      <c r="AH4120" t="s">
        <v>1159</v>
      </c>
      <c r="AI4120" t="s">
        <v>164</v>
      </c>
      <c r="AJ4120" t="s">
        <v>164</v>
      </c>
      <c r="AK4120" t="s">
        <v>30789</v>
      </c>
      <c r="AL4120">
        <v>0.57999999999999996</v>
      </c>
      <c r="AM4120">
        <v>0.52</v>
      </c>
      <c r="AN4120">
        <v>1.54</v>
      </c>
      <c r="AO4120" t="s">
        <v>9399</v>
      </c>
      <c r="AP4120" t="s">
        <v>13712</v>
      </c>
      <c r="AQ4120" t="s">
        <v>5618</v>
      </c>
      <c r="AR4120" t="s">
        <v>6990</v>
      </c>
      <c r="AS4120" t="s">
        <v>909</v>
      </c>
      <c r="AT4120" t="s">
        <v>1025</v>
      </c>
      <c r="AU4120" t="s">
        <v>5309</v>
      </c>
      <c r="AV4120" t="s">
        <v>5934</v>
      </c>
      <c r="AW4120" t="s">
        <v>1208</v>
      </c>
      <c r="AX4120" t="s">
        <v>2721</v>
      </c>
      <c r="AY4120" t="s">
        <v>15659</v>
      </c>
      <c r="AZ4120" t="s">
        <v>2721</v>
      </c>
      <c r="BA4120">
        <v>1</v>
      </c>
      <c r="BB4120">
        <v>105.63</v>
      </c>
      <c r="BC4120">
        <v>0.51</v>
      </c>
      <c r="BD4120">
        <v>46.08</v>
      </c>
      <c r="BE4120">
        <v>46.86</v>
      </c>
      <c r="BF4120">
        <v>45.74</v>
      </c>
      <c r="BG4120" t="s">
        <v>32151</v>
      </c>
      <c r="BH4120" t="s">
        <v>28711</v>
      </c>
      <c r="BI4120" t="s">
        <v>32152</v>
      </c>
      <c r="BJ4120" t="s">
        <v>101</v>
      </c>
      <c r="BK4120" t="s">
        <v>14667</v>
      </c>
      <c r="BL4120" t="s">
        <v>23764</v>
      </c>
      <c r="BM4120" t="s">
        <v>19465</v>
      </c>
      <c r="BN4120" t="s">
        <v>27621</v>
      </c>
    </row>
    <row r="4121" spans="1:66" x14ac:dyDescent="0.25">
      <c r="A4121" t="str">
        <f>HYPERLINK("https://elite.finviz.com/quote.ashx?t=MXCT&amp;ty=c&amp;p=d&amp;b=1", "MXCT")</f>
        <v>MXCT</v>
      </c>
      <c r="B4121">
        <v>4</v>
      </c>
      <c r="C4121">
        <v>105.92</v>
      </c>
      <c r="D4121">
        <v>49.33</v>
      </c>
      <c r="E4121" t="s">
        <v>32153</v>
      </c>
      <c r="F4121" t="s">
        <v>67</v>
      </c>
      <c r="G4121" t="s">
        <v>428</v>
      </c>
      <c r="H4121" t="s">
        <v>2051</v>
      </c>
      <c r="I4121" t="s">
        <v>70</v>
      </c>
      <c r="J4121" t="s">
        <v>321</v>
      </c>
      <c r="K4121">
        <v>163.11000000000001</v>
      </c>
      <c r="L4121">
        <v>1.53</v>
      </c>
      <c r="M4121" t="s">
        <v>164</v>
      </c>
      <c r="N4121">
        <v>171527</v>
      </c>
      <c r="R4121">
        <v>4.5599999999999996</v>
      </c>
      <c r="S4121">
        <v>0.86</v>
      </c>
      <c r="AA4121">
        <v>-0.42</v>
      </c>
      <c r="AB4121" t="s">
        <v>9783</v>
      </c>
      <c r="AC4121" t="s">
        <v>5123</v>
      </c>
      <c r="AD4121" t="s">
        <v>3018</v>
      </c>
      <c r="AE4121" t="s">
        <v>24272</v>
      </c>
      <c r="AF4121" t="s">
        <v>3480</v>
      </c>
      <c r="AG4121" t="s">
        <v>7655</v>
      </c>
      <c r="AH4121" t="s">
        <v>529</v>
      </c>
      <c r="AI4121" t="s">
        <v>14583</v>
      </c>
      <c r="AJ4121" t="s">
        <v>1148</v>
      </c>
      <c r="AK4121" t="s">
        <v>32154</v>
      </c>
      <c r="AL4121">
        <v>12.39</v>
      </c>
      <c r="AM4121">
        <v>11.71</v>
      </c>
      <c r="AN4121">
        <v>0.1</v>
      </c>
      <c r="AO4121" t="s">
        <v>26300</v>
      </c>
      <c r="AP4121" t="s">
        <v>32155</v>
      </c>
      <c r="AQ4121" t="s">
        <v>32156</v>
      </c>
      <c r="AR4121" t="s">
        <v>6272</v>
      </c>
      <c r="AS4121" t="s">
        <v>7971</v>
      </c>
      <c r="AT4121" t="s">
        <v>3035</v>
      </c>
      <c r="AU4121" t="s">
        <v>9629</v>
      </c>
      <c r="AV4121" t="s">
        <v>22452</v>
      </c>
      <c r="AW4121" t="s">
        <v>23998</v>
      </c>
      <c r="AX4121" t="s">
        <v>8592</v>
      </c>
      <c r="AY4121" t="s">
        <v>9969</v>
      </c>
      <c r="AZ4121" t="s">
        <v>8592</v>
      </c>
      <c r="BA4121">
        <v>1.57</v>
      </c>
      <c r="BB4121">
        <v>797.07</v>
      </c>
      <c r="BC4121">
        <v>0.76</v>
      </c>
      <c r="BD4121">
        <v>1.53</v>
      </c>
      <c r="BE4121">
        <v>1.56</v>
      </c>
      <c r="BF4121">
        <v>1.51</v>
      </c>
      <c r="BG4121" t="s">
        <v>32157</v>
      </c>
      <c r="BH4121" t="s">
        <v>32158</v>
      </c>
      <c r="BI4121" t="s">
        <v>8592</v>
      </c>
      <c r="BJ4121" t="s">
        <v>101</v>
      </c>
      <c r="BK4121" t="s">
        <v>23386</v>
      </c>
      <c r="BL4121" t="s">
        <v>29787</v>
      </c>
      <c r="BM4121" t="s">
        <v>6307</v>
      </c>
      <c r="BN4121" t="s">
        <v>27621</v>
      </c>
    </row>
    <row r="4122" spans="1:66" x14ac:dyDescent="0.25">
      <c r="A4122" t="str">
        <f>HYPERLINK("https://elite.finviz.com/quote.ashx?t=LAND&amp;ty=c&amp;p=d&amp;b=1", "LAND")</f>
        <v>LAND</v>
      </c>
      <c r="B4122">
        <v>4</v>
      </c>
      <c r="C4122">
        <v>105.92</v>
      </c>
      <c r="D4122">
        <v>49.43</v>
      </c>
      <c r="E4122" t="s">
        <v>32159</v>
      </c>
      <c r="F4122" t="s">
        <v>67</v>
      </c>
      <c r="G4122" t="s">
        <v>68</v>
      </c>
      <c r="H4122" t="s">
        <v>7227</v>
      </c>
      <c r="I4122" t="s">
        <v>70</v>
      </c>
      <c r="J4122" t="s">
        <v>321</v>
      </c>
      <c r="K4122">
        <v>330.08</v>
      </c>
      <c r="L4122">
        <v>9.1199999999999992</v>
      </c>
      <c r="M4122" t="s">
        <v>2213</v>
      </c>
      <c r="N4122">
        <v>86129</v>
      </c>
      <c r="R4122">
        <v>4.54</v>
      </c>
      <c r="S4122">
        <v>0.49</v>
      </c>
      <c r="T4122" t="s">
        <v>2985</v>
      </c>
      <c r="U4122">
        <v>0.56000000000000005</v>
      </c>
      <c r="V4122" t="s">
        <v>4676</v>
      </c>
      <c r="W4122" t="s">
        <v>1303</v>
      </c>
      <c r="X4122" t="s">
        <v>4552</v>
      </c>
      <c r="Y4122" t="s">
        <v>3018</v>
      </c>
      <c r="AA4122">
        <v>-0.44</v>
      </c>
      <c r="AB4122" t="s">
        <v>4703</v>
      </c>
      <c r="AC4122" t="s">
        <v>996</v>
      </c>
      <c r="AD4122" t="s">
        <v>9933</v>
      </c>
      <c r="AE4122" t="s">
        <v>9283</v>
      </c>
      <c r="AF4122" t="s">
        <v>5331</v>
      </c>
      <c r="AG4122" t="s">
        <v>1680</v>
      </c>
      <c r="AH4122" t="s">
        <v>23271</v>
      </c>
      <c r="AI4122" t="s">
        <v>27832</v>
      </c>
      <c r="AJ4122" t="s">
        <v>164</v>
      </c>
      <c r="AK4122" t="s">
        <v>13183</v>
      </c>
      <c r="AL4122">
        <v>1.25</v>
      </c>
      <c r="AM4122">
        <v>1.25</v>
      </c>
      <c r="AN4122">
        <v>0.75</v>
      </c>
      <c r="AO4122" t="s">
        <v>14138</v>
      </c>
      <c r="AP4122" t="s">
        <v>13604</v>
      </c>
      <c r="AQ4122" t="s">
        <v>13815</v>
      </c>
      <c r="AR4122" t="s">
        <v>3208</v>
      </c>
      <c r="AS4122" t="s">
        <v>4891</v>
      </c>
      <c r="AT4122" t="s">
        <v>1022</v>
      </c>
      <c r="AU4122" t="s">
        <v>4828</v>
      </c>
      <c r="AV4122" t="s">
        <v>6827</v>
      </c>
      <c r="AW4122" t="s">
        <v>4580</v>
      </c>
      <c r="AX4122" t="s">
        <v>2450</v>
      </c>
      <c r="AY4122" t="s">
        <v>20563</v>
      </c>
      <c r="AZ4122" t="s">
        <v>2450</v>
      </c>
      <c r="BA4122">
        <v>2.33</v>
      </c>
      <c r="BB4122">
        <v>448.44</v>
      </c>
      <c r="BC4122">
        <v>0.68</v>
      </c>
      <c r="BD4122">
        <v>9.14</v>
      </c>
      <c r="BE4122">
        <v>9.24</v>
      </c>
      <c r="BF4122">
        <v>9.1199999999999992</v>
      </c>
      <c r="BG4122" t="s">
        <v>32160</v>
      </c>
      <c r="BH4122" t="s">
        <v>10215</v>
      </c>
      <c r="BI4122" t="s">
        <v>5800</v>
      </c>
      <c r="BJ4122" t="s">
        <v>101</v>
      </c>
      <c r="BK4122" t="s">
        <v>15281</v>
      </c>
      <c r="BL4122" t="s">
        <v>2705</v>
      </c>
      <c r="BM4122" t="s">
        <v>7966</v>
      </c>
      <c r="BN4122" t="s">
        <v>27621</v>
      </c>
    </row>
    <row r="4123" spans="1:66" x14ac:dyDescent="0.25">
      <c r="A4123" t="str">
        <f>HYPERLINK("https://elite.finviz.com/quote.ashx?t=VS&amp;ty=c&amp;p=d&amp;b=1", "VS")</f>
        <v>VS</v>
      </c>
      <c r="B4123">
        <v>4</v>
      </c>
      <c r="C4123">
        <v>105.92</v>
      </c>
      <c r="D4123">
        <v>49.44</v>
      </c>
      <c r="E4123" t="s">
        <v>32161</v>
      </c>
      <c r="F4123" t="s">
        <v>107</v>
      </c>
      <c r="G4123" t="s">
        <v>108</v>
      </c>
      <c r="H4123" t="s">
        <v>136</v>
      </c>
      <c r="I4123" t="s">
        <v>70</v>
      </c>
      <c r="J4123" t="s">
        <v>321</v>
      </c>
      <c r="K4123">
        <v>10.1</v>
      </c>
      <c r="L4123">
        <v>2.06</v>
      </c>
      <c r="M4123" t="s">
        <v>164</v>
      </c>
      <c r="N4123">
        <v>948</v>
      </c>
      <c r="R4123">
        <v>4.63</v>
      </c>
      <c r="S4123">
        <v>0.87</v>
      </c>
      <c r="AA4123">
        <v>-0.53</v>
      </c>
      <c r="AB4123" t="s">
        <v>17908</v>
      </c>
      <c r="AC4123" t="s">
        <v>12399</v>
      </c>
      <c r="AE4123" t="s">
        <v>32162</v>
      </c>
      <c r="AF4123" t="s">
        <v>24718</v>
      </c>
      <c r="AG4123" t="s">
        <v>32163</v>
      </c>
      <c r="AH4123" t="s">
        <v>32164</v>
      </c>
      <c r="AJ4123" t="s">
        <v>164</v>
      </c>
      <c r="AK4123" t="s">
        <v>3447</v>
      </c>
      <c r="AL4123">
        <v>112.39</v>
      </c>
      <c r="AM4123">
        <v>112.39</v>
      </c>
      <c r="AN4123">
        <v>0</v>
      </c>
      <c r="AO4123" t="s">
        <v>32165</v>
      </c>
      <c r="AP4123" t="s">
        <v>30136</v>
      </c>
      <c r="AQ4123" t="s">
        <v>32166</v>
      </c>
      <c r="AR4123" t="s">
        <v>1691</v>
      </c>
      <c r="AS4123" t="s">
        <v>2035</v>
      </c>
      <c r="AT4123" t="s">
        <v>1129</v>
      </c>
      <c r="AU4123" t="s">
        <v>6060</v>
      </c>
      <c r="AV4123" t="s">
        <v>4559</v>
      </c>
      <c r="AW4123" t="s">
        <v>21709</v>
      </c>
      <c r="AX4123" t="s">
        <v>7718</v>
      </c>
      <c r="AY4123" t="s">
        <v>32167</v>
      </c>
      <c r="AZ4123" t="s">
        <v>32168</v>
      </c>
      <c r="BA4123">
        <v>3</v>
      </c>
      <c r="BB4123">
        <v>118.11</v>
      </c>
      <c r="BC4123">
        <v>0.03</v>
      </c>
      <c r="BD4123">
        <v>2.06</v>
      </c>
      <c r="BE4123">
        <v>2.1</v>
      </c>
      <c r="BF4123">
        <v>2.0499999999999998</v>
      </c>
      <c r="BG4123" t="s">
        <v>32169</v>
      </c>
      <c r="BH4123" t="s">
        <v>3265</v>
      </c>
      <c r="BI4123" t="s">
        <v>32168</v>
      </c>
      <c r="BJ4123" t="s">
        <v>101</v>
      </c>
      <c r="BK4123" t="s">
        <v>9725</v>
      </c>
      <c r="BL4123" t="s">
        <v>612</v>
      </c>
      <c r="BM4123" t="s">
        <v>30289</v>
      </c>
      <c r="BN4123" t="s">
        <v>27621</v>
      </c>
    </row>
    <row r="4124" spans="1:66" x14ac:dyDescent="0.25">
      <c r="A4124" t="str">
        <f>HYPERLINK("https://elite.finviz.com/quote.ashx?t=PCAP&amp;ty=c&amp;p=d&amp;b=1", "PCAP")</f>
        <v>PCAP</v>
      </c>
      <c r="B4124">
        <v>4</v>
      </c>
      <c r="C4124">
        <v>105.92</v>
      </c>
      <c r="D4124">
        <v>49.45</v>
      </c>
      <c r="E4124" t="s">
        <v>32170</v>
      </c>
      <c r="F4124" t="s">
        <v>107</v>
      </c>
      <c r="G4124" t="s">
        <v>550</v>
      </c>
      <c r="H4124" t="s">
        <v>2120</v>
      </c>
      <c r="I4124" t="s">
        <v>70</v>
      </c>
      <c r="J4124" t="s">
        <v>321</v>
      </c>
      <c r="K4124">
        <v>325.20999999999998</v>
      </c>
      <c r="L4124">
        <v>10.24</v>
      </c>
      <c r="M4124" t="s">
        <v>1409</v>
      </c>
      <c r="N4124">
        <v>277</v>
      </c>
      <c r="S4124">
        <v>1.35</v>
      </c>
      <c r="AJ4124" t="s">
        <v>164</v>
      </c>
      <c r="AL4124">
        <v>9.66</v>
      </c>
      <c r="AM4124">
        <v>9.66</v>
      </c>
      <c r="AN4124">
        <v>0</v>
      </c>
      <c r="AR4124" t="s">
        <v>2216</v>
      </c>
      <c r="AS4124" t="s">
        <v>4849</v>
      </c>
      <c r="AT4124" t="s">
        <v>1324</v>
      </c>
      <c r="AU4124" t="s">
        <v>2103</v>
      </c>
      <c r="AV4124" t="s">
        <v>2331</v>
      </c>
      <c r="AW4124" t="s">
        <v>7332</v>
      </c>
      <c r="AX4124" t="s">
        <v>3148</v>
      </c>
      <c r="AY4124" t="s">
        <v>14242</v>
      </c>
      <c r="AZ4124" t="s">
        <v>3148</v>
      </c>
      <c r="BB4124">
        <v>83.9</v>
      </c>
      <c r="BC4124">
        <v>0.01</v>
      </c>
      <c r="BD4124">
        <v>10.199999999999999</v>
      </c>
      <c r="BE4124">
        <v>10.23</v>
      </c>
      <c r="BF4124">
        <v>10.23</v>
      </c>
      <c r="BG4124" t="s">
        <v>32171</v>
      </c>
      <c r="BH4124" t="s">
        <v>14242</v>
      </c>
      <c r="BI4124" t="s">
        <v>3148</v>
      </c>
      <c r="BJ4124" t="s">
        <v>101</v>
      </c>
      <c r="BN4124" t="s">
        <v>27621</v>
      </c>
    </row>
    <row r="4125" spans="1:66" x14ac:dyDescent="0.25">
      <c r="A4125" t="str">
        <f>HYPERLINK("https://elite.finviz.com/quote.ashx?t=AGIO&amp;ty=c&amp;p=d&amp;b=1", "AGIO")</f>
        <v>AGIO</v>
      </c>
      <c r="B4125">
        <v>4</v>
      </c>
      <c r="C4125">
        <v>105.92</v>
      </c>
      <c r="D4125">
        <v>49.46</v>
      </c>
      <c r="E4125" t="s">
        <v>32172</v>
      </c>
      <c r="F4125" t="s">
        <v>67</v>
      </c>
      <c r="G4125" t="s">
        <v>428</v>
      </c>
      <c r="H4125" t="s">
        <v>429</v>
      </c>
      <c r="I4125" t="s">
        <v>70</v>
      </c>
      <c r="J4125" t="s">
        <v>321</v>
      </c>
      <c r="K4125">
        <v>2155.5700000000002</v>
      </c>
      <c r="L4125">
        <v>37.1</v>
      </c>
      <c r="M4125" t="s">
        <v>2185</v>
      </c>
      <c r="N4125">
        <v>127868</v>
      </c>
      <c r="O4125">
        <v>3.36</v>
      </c>
      <c r="R4125">
        <v>52.73</v>
      </c>
      <c r="S4125">
        <v>1.57</v>
      </c>
      <c r="Z4125" t="s">
        <v>164</v>
      </c>
      <c r="AA4125">
        <v>11.05</v>
      </c>
      <c r="AE4125" t="s">
        <v>1469</v>
      </c>
      <c r="AG4125" t="s">
        <v>3276</v>
      </c>
      <c r="AH4125" t="s">
        <v>25039</v>
      </c>
      <c r="AI4125" t="s">
        <v>15764</v>
      </c>
      <c r="AJ4125" t="s">
        <v>7867</v>
      </c>
      <c r="AK4125" t="s">
        <v>23694</v>
      </c>
      <c r="AL4125">
        <v>14.48</v>
      </c>
      <c r="AM4125">
        <v>14.04</v>
      </c>
      <c r="AN4125">
        <v>0.04</v>
      </c>
      <c r="AO4125" t="s">
        <v>15893</v>
      </c>
      <c r="AP4125" t="s">
        <v>32173</v>
      </c>
      <c r="AQ4125" t="s">
        <v>32174</v>
      </c>
      <c r="AR4125" t="s">
        <v>3638</v>
      </c>
      <c r="AS4125" t="s">
        <v>5164</v>
      </c>
      <c r="AT4125" t="s">
        <v>1648</v>
      </c>
      <c r="AU4125" t="s">
        <v>3027</v>
      </c>
      <c r="AV4125" t="s">
        <v>7567</v>
      </c>
      <c r="AW4125" t="s">
        <v>7951</v>
      </c>
      <c r="AX4125" t="s">
        <v>8824</v>
      </c>
      <c r="AY4125" t="s">
        <v>12045</v>
      </c>
      <c r="AZ4125" t="s">
        <v>10463</v>
      </c>
      <c r="BA4125">
        <v>1.75</v>
      </c>
      <c r="BB4125">
        <v>800.8</v>
      </c>
      <c r="BC4125">
        <v>0.56000000000000005</v>
      </c>
      <c r="BD4125">
        <v>36.61</v>
      </c>
      <c r="BE4125">
        <v>37.1</v>
      </c>
      <c r="BF4125">
        <v>36.56</v>
      </c>
      <c r="BG4125" t="s">
        <v>32175</v>
      </c>
      <c r="BH4125" t="s">
        <v>32176</v>
      </c>
      <c r="BI4125" t="s">
        <v>32177</v>
      </c>
      <c r="BJ4125" t="s">
        <v>101</v>
      </c>
      <c r="BK4125" t="s">
        <v>5839</v>
      </c>
      <c r="BL4125" t="s">
        <v>17310</v>
      </c>
      <c r="BM4125" t="s">
        <v>4858</v>
      </c>
      <c r="BN4125" t="s">
        <v>27621</v>
      </c>
    </row>
    <row r="4126" spans="1:66" x14ac:dyDescent="0.25">
      <c r="A4126" t="str">
        <f>HYPERLINK("https://elite.finviz.com/quote.ashx?t=PHUN&amp;ty=c&amp;p=d&amp;b=1", "PHUN")</f>
        <v>PHUN</v>
      </c>
      <c r="B4126">
        <v>4</v>
      </c>
      <c r="C4126">
        <v>105.92</v>
      </c>
      <c r="D4126">
        <v>49.47</v>
      </c>
      <c r="E4126" t="s">
        <v>32178</v>
      </c>
      <c r="F4126" t="s">
        <v>107</v>
      </c>
      <c r="G4126" t="s">
        <v>108</v>
      </c>
      <c r="H4126" t="s">
        <v>136</v>
      </c>
      <c r="I4126" t="s">
        <v>70</v>
      </c>
      <c r="J4126" t="s">
        <v>321</v>
      </c>
      <c r="K4126">
        <v>55.31</v>
      </c>
      <c r="L4126">
        <v>2.74</v>
      </c>
      <c r="M4126" t="s">
        <v>164</v>
      </c>
      <c r="N4126">
        <v>28511</v>
      </c>
      <c r="R4126">
        <v>23.05</v>
      </c>
      <c r="S4126">
        <v>0.55000000000000004</v>
      </c>
      <c r="AA4126">
        <v>-0.72</v>
      </c>
      <c r="AB4126" t="s">
        <v>14709</v>
      </c>
      <c r="AC4126" t="s">
        <v>7864</v>
      </c>
      <c r="AF4126" t="s">
        <v>14636</v>
      </c>
      <c r="AG4126" t="s">
        <v>9509</v>
      </c>
      <c r="AH4126" t="s">
        <v>11816</v>
      </c>
      <c r="AI4126" t="s">
        <v>6253</v>
      </c>
      <c r="AJ4126" t="s">
        <v>164</v>
      </c>
      <c r="AK4126" t="s">
        <v>1297</v>
      </c>
      <c r="AL4126">
        <v>17.399999999999999</v>
      </c>
      <c r="AM4126">
        <v>17.399999999999999</v>
      </c>
      <c r="AN4126">
        <v>0.01</v>
      </c>
      <c r="AO4126" t="s">
        <v>4836</v>
      </c>
      <c r="AP4126" t="s">
        <v>32179</v>
      </c>
      <c r="AQ4126" t="s">
        <v>32180</v>
      </c>
      <c r="AR4126" t="s">
        <v>2842</v>
      </c>
      <c r="AS4126" t="s">
        <v>6936</v>
      </c>
      <c r="AT4126" t="s">
        <v>2175</v>
      </c>
      <c r="AU4126" t="s">
        <v>655</v>
      </c>
      <c r="AV4126" t="s">
        <v>4917</v>
      </c>
      <c r="AW4126" t="s">
        <v>23622</v>
      </c>
      <c r="AX4126" t="s">
        <v>2709</v>
      </c>
      <c r="AY4126" t="s">
        <v>32181</v>
      </c>
      <c r="AZ4126" t="s">
        <v>7640</v>
      </c>
      <c r="BA4126">
        <v>1.67</v>
      </c>
      <c r="BB4126">
        <v>292.83999999999997</v>
      </c>
      <c r="BC4126">
        <v>0.34</v>
      </c>
      <c r="BD4126">
        <v>2.74</v>
      </c>
      <c r="BE4126">
        <v>2.8</v>
      </c>
      <c r="BF4126">
        <v>2.69</v>
      </c>
      <c r="BG4126" t="s">
        <v>32182</v>
      </c>
      <c r="BH4126" t="s">
        <v>3320</v>
      </c>
      <c r="BI4126" t="s">
        <v>7640</v>
      </c>
      <c r="BJ4126" t="s">
        <v>101</v>
      </c>
      <c r="BK4126" t="s">
        <v>15493</v>
      </c>
      <c r="BL4126" t="s">
        <v>3215</v>
      </c>
      <c r="BM4126" t="s">
        <v>1137</v>
      </c>
      <c r="BN4126" t="s">
        <v>27621</v>
      </c>
    </row>
    <row r="4127" spans="1:66" x14ac:dyDescent="0.25">
      <c r="A4127" t="str">
        <f>HYPERLINK("https://elite.finviz.com/quote.ashx?t=XOS&amp;ty=c&amp;p=d&amp;b=1", "XOS")</f>
        <v>XOS</v>
      </c>
      <c r="B4127">
        <v>4</v>
      </c>
      <c r="C4127">
        <v>105.92</v>
      </c>
      <c r="D4127">
        <v>49.54</v>
      </c>
      <c r="E4127" t="s">
        <v>32183</v>
      </c>
      <c r="F4127" t="s">
        <v>107</v>
      </c>
      <c r="G4127" t="s">
        <v>260</v>
      </c>
      <c r="H4127" t="s">
        <v>320</v>
      </c>
      <c r="I4127" t="s">
        <v>70</v>
      </c>
      <c r="J4127" t="s">
        <v>321</v>
      </c>
      <c r="K4127">
        <v>24.03</v>
      </c>
      <c r="L4127">
        <v>2.77</v>
      </c>
      <c r="M4127" t="s">
        <v>2950</v>
      </c>
      <c r="N4127">
        <v>7594</v>
      </c>
      <c r="R4127">
        <v>0.47</v>
      </c>
      <c r="S4127">
        <v>1.27</v>
      </c>
      <c r="AA4127">
        <v>-5.85</v>
      </c>
      <c r="AC4127" t="s">
        <v>847</v>
      </c>
      <c r="AE4127" t="s">
        <v>24382</v>
      </c>
      <c r="AF4127" t="s">
        <v>28199</v>
      </c>
      <c r="AG4127" t="s">
        <v>32184</v>
      </c>
      <c r="AH4127" t="s">
        <v>9488</v>
      </c>
      <c r="AI4127" t="s">
        <v>6675</v>
      </c>
      <c r="AJ4127" t="s">
        <v>4636</v>
      </c>
      <c r="AK4127" t="s">
        <v>4154</v>
      </c>
      <c r="AL4127">
        <v>2.2200000000000002</v>
      </c>
      <c r="AM4127">
        <v>1.1299999999999999</v>
      </c>
      <c r="AN4127">
        <v>2.29</v>
      </c>
      <c r="AO4127" t="s">
        <v>122</v>
      </c>
      <c r="AP4127" t="s">
        <v>4140</v>
      </c>
      <c r="AQ4127" t="s">
        <v>25439</v>
      </c>
      <c r="AR4127" t="s">
        <v>8843</v>
      </c>
      <c r="AS4127" t="s">
        <v>2945</v>
      </c>
      <c r="AT4127" t="s">
        <v>6106</v>
      </c>
      <c r="AU4127" t="s">
        <v>16868</v>
      </c>
      <c r="AV4127" t="s">
        <v>12430</v>
      </c>
      <c r="AW4127" t="s">
        <v>23542</v>
      </c>
      <c r="AX4127" t="s">
        <v>4460</v>
      </c>
      <c r="AY4127" t="s">
        <v>23655</v>
      </c>
      <c r="AZ4127" t="s">
        <v>4460</v>
      </c>
      <c r="BA4127">
        <v>2</v>
      </c>
      <c r="BB4127">
        <v>442.64</v>
      </c>
      <c r="BC4127">
        <v>0.06</v>
      </c>
      <c r="BD4127">
        <v>2.81</v>
      </c>
      <c r="BE4127">
        <v>2.81</v>
      </c>
      <c r="BF4127">
        <v>2.81</v>
      </c>
      <c r="BG4127" t="s">
        <v>32185</v>
      </c>
      <c r="BH4127" t="s">
        <v>7802</v>
      </c>
      <c r="BI4127" t="s">
        <v>4460</v>
      </c>
      <c r="BJ4127" t="s">
        <v>101</v>
      </c>
      <c r="BK4127" t="s">
        <v>6660</v>
      </c>
      <c r="BL4127" t="s">
        <v>19037</v>
      </c>
      <c r="BM4127" t="s">
        <v>32186</v>
      </c>
      <c r="BN4127" t="s">
        <v>27621</v>
      </c>
    </row>
    <row r="4128" spans="1:66" x14ac:dyDescent="0.25">
      <c r="A4128" t="str">
        <f>HYPERLINK("https://elite.finviz.com/quote.ashx?t=ANIK&amp;ty=c&amp;p=d&amp;b=1", "ANIK")</f>
        <v>ANIK</v>
      </c>
      <c r="B4128">
        <v>4</v>
      </c>
      <c r="C4128">
        <v>105.92</v>
      </c>
      <c r="D4128">
        <v>49.56</v>
      </c>
      <c r="E4128" t="s">
        <v>32187</v>
      </c>
      <c r="F4128" t="s">
        <v>67</v>
      </c>
      <c r="G4128" t="s">
        <v>428</v>
      </c>
      <c r="H4128" t="s">
        <v>1296</v>
      </c>
      <c r="I4128" t="s">
        <v>70</v>
      </c>
      <c r="J4128" t="s">
        <v>321</v>
      </c>
      <c r="K4128">
        <v>129.66</v>
      </c>
      <c r="L4128">
        <v>8.99</v>
      </c>
      <c r="M4128" t="s">
        <v>171</v>
      </c>
      <c r="N4128">
        <v>10912</v>
      </c>
      <c r="R4128">
        <v>1.05</v>
      </c>
      <c r="S4128">
        <v>0.88</v>
      </c>
      <c r="AA4128">
        <v>-4.1399999999999997</v>
      </c>
      <c r="AD4128" t="s">
        <v>4208</v>
      </c>
      <c r="AE4128" t="s">
        <v>9740</v>
      </c>
      <c r="AF4128" t="s">
        <v>10896</v>
      </c>
      <c r="AG4128" t="s">
        <v>3344</v>
      </c>
      <c r="AH4128" t="s">
        <v>31124</v>
      </c>
      <c r="AI4128" t="s">
        <v>26483</v>
      </c>
      <c r="AJ4128" t="s">
        <v>164</v>
      </c>
      <c r="AK4128" t="s">
        <v>9463</v>
      </c>
      <c r="AL4128">
        <v>6.18</v>
      </c>
      <c r="AM4128">
        <v>5.12</v>
      </c>
      <c r="AN4128">
        <v>0.17</v>
      </c>
      <c r="AO4128" t="s">
        <v>16250</v>
      </c>
      <c r="AP4128" t="s">
        <v>21292</v>
      </c>
      <c r="AQ4128" t="s">
        <v>6510</v>
      </c>
      <c r="AR4128" t="s">
        <v>3443</v>
      </c>
      <c r="AS4128" t="s">
        <v>4323</v>
      </c>
      <c r="AT4128" t="s">
        <v>3493</v>
      </c>
      <c r="AU4128" t="s">
        <v>1225</v>
      </c>
      <c r="AV4128" t="s">
        <v>30805</v>
      </c>
      <c r="AW4128" t="s">
        <v>5177</v>
      </c>
      <c r="AX4128" t="s">
        <v>8564</v>
      </c>
      <c r="AY4128" t="s">
        <v>13092</v>
      </c>
      <c r="AZ4128" t="s">
        <v>8564</v>
      </c>
      <c r="BA4128">
        <v>1</v>
      </c>
      <c r="BB4128">
        <v>129.65</v>
      </c>
      <c r="BC4128">
        <v>0.3</v>
      </c>
      <c r="BD4128">
        <v>9</v>
      </c>
      <c r="BE4128">
        <v>9.15</v>
      </c>
      <c r="BF4128">
        <v>8.94</v>
      </c>
      <c r="BG4128" t="s">
        <v>32188</v>
      </c>
      <c r="BH4128" t="s">
        <v>32189</v>
      </c>
      <c r="BI4128" t="s">
        <v>32190</v>
      </c>
      <c r="BJ4128" t="s">
        <v>101</v>
      </c>
      <c r="BK4128" t="s">
        <v>3988</v>
      </c>
      <c r="BL4128" t="s">
        <v>25339</v>
      </c>
      <c r="BM4128" t="s">
        <v>19499</v>
      </c>
      <c r="BN4128" t="s">
        <v>27621</v>
      </c>
    </row>
    <row r="4129" spans="1:66" x14ac:dyDescent="0.25">
      <c r="A4129" t="str">
        <f>HYPERLINK("https://elite.finviz.com/quote.ashx?t=DLB&amp;ty=c&amp;p=d&amp;b=1", "DLB")</f>
        <v>DLB</v>
      </c>
      <c r="B4129">
        <v>4</v>
      </c>
      <c r="C4129">
        <v>105.92</v>
      </c>
      <c r="D4129">
        <v>49.58</v>
      </c>
      <c r="E4129" t="s">
        <v>32191</v>
      </c>
      <c r="F4129" t="s">
        <v>107</v>
      </c>
      <c r="G4129" t="s">
        <v>260</v>
      </c>
      <c r="H4129" t="s">
        <v>1077</v>
      </c>
      <c r="I4129" t="s">
        <v>70</v>
      </c>
      <c r="J4129" t="s">
        <v>71</v>
      </c>
      <c r="K4129">
        <v>6925.74</v>
      </c>
      <c r="L4129">
        <v>72.260000000000005</v>
      </c>
      <c r="M4129" t="s">
        <v>1417</v>
      </c>
      <c r="N4129">
        <v>69717</v>
      </c>
      <c r="O4129">
        <v>26.55</v>
      </c>
      <c r="P4129">
        <v>16.97</v>
      </c>
      <c r="Q4129">
        <v>3.98</v>
      </c>
      <c r="R4129">
        <v>5.14</v>
      </c>
      <c r="S4129">
        <v>2.66</v>
      </c>
      <c r="T4129" t="s">
        <v>2424</v>
      </c>
      <c r="U4129">
        <v>1.32</v>
      </c>
      <c r="V4129" t="s">
        <v>7906</v>
      </c>
      <c r="W4129" t="s">
        <v>821</v>
      </c>
      <c r="X4129" t="s">
        <v>4067</v>
      </c>
      <c r="Y4129" t="s">
        <v>4223</v>
      </c>
      <c r="Z4129" t="s">
        <v>8126</v>
      </c>
      <c r="AA4129">
        <v>2.72</v>
      </c>
      <c r="AB4129" t="s">
        <v>3554</v>
      </c>
      <c r="AC4129" t="s">
        <v>4256</v>
      </c>
      <c r="AD4129" t="s">
        <v>4760</v>
      </c>
      <c r="AE4129" t="s">
        <v>1955</v>
      </c>
      <c r="AF4129" t="s">
        <v>2213</v>
      </c>
      <c r="AG4129" t="s">
        <v>4849</v>
      </c>
      <c r="AH4129" t="s">
        <v>9280</v>
      </c>
      <c r="AI4129" t="s">
        <v>268</v>
      </c>
      <c r="AJ4129" t="s">
        <v>4273</v>
      </c>
      <c r="AK4129" t="s">
        <v>32192</v>
      </c>
      <c r="AL4129">
        <v>3.44</v>
      </c>
      <c r="AM4129">
        <v>3.36</v>
      </c>
      <c r="AN4129">
        <v>0.02</v>
      </c>
      <c r="AO4129" t="s">
        <v>5490</v>
      </c>
      <c r="AP4129" t="s">
        <v>10865</v>
      </c>
      <c r="AQ4129" t="s">
        <v>14442</v>
      </c>
      <c r="AR4129" t="s">
        <v>2509</v>
      </c>
      <c r="AS4129" t="s">
        <v>2720</v>
      </c>
      <c r="AT4129" t="s">
        <v>3736</v>
      </c>
      <c r="AU4129" t="s">
        <v>609</v>
      </c>
      <c r="AV4129" t="s">
        <v>8654</v>
      </c>
      <c r="AW4129" t="s">
        <v>5355</v>
      </c>
      <c r="AX4129" t="s">
        <v>3020</v>
      </c>
      <c r="AY4129" t="s">
        <v>14748</v>
      </c>
      <c r="AZ4129" t="s">
        <v>4551</v>
      </c>
      <c r="BA4129">
        <v>1.86</v>
      </c>
      <c r="BB4129">
        <v>425.24</v>
      </c>
      <c r="BC4129">
        <v>0.57999999999999996</v>
      </c>
      <c r="BD4129">
        <v>71.400000000000006</v>
      </c>
      <c r="BE4129">
        <v>72.540000000000006</v>
      </c>
      <c r="BF4129">
        <v>71.650000000000006</v>
      </c>
      <c r="BG4129" t="s">
        <v>32193</v>
      </c>
      <c r="BH4129" t="s">
        <v>31985</v>
      </c>
      <c r="BI4129" t="s">
        <v>32194</v>
      </c>
      <c r="BJ4129" t="s">
        <v>101</v>
      </c>
      <c r="BK4129" t="s">
        <v>5778</v>
      </c>
      <c r="BL4129" t="s">
        <v>9472</v>
      </c>
      <c r="BM4129" t="s">
        <v>4698</v>
      </c>
      <c r="BN4129" t="s">
        <v>27621</v>
      </c>
    </row>
    <row r="4130" spans="1:66" x14ac:dyDescent="0.25">
      <c r="A4130" t="str">
        <f>HYPERLINK("https://elite.finviz.com/quote.ashx?t=TGEN&amp;ty=c&amp;p=d&amp;b=1", "TGEN")</f>
        <v>TGEN</v>
      </c>
      <c r="B4130">
        <v>4</v>
      </c>
      <c r="C4130">
        <v>105.92</v>
      </c>
      <c r="D4130">
        <v>49.59</v>
      </c>
      <c r="E4130" t="s">
        <v>32195</v>
      </c>
      <c r="F4130" t="s">
        <v>107</v>
      </c>
      <c r="G4130" t="s">
        <v>260</v>
      </c>
      <c r="H4130" t="s">
        <v>1128</v>
      </c>
      <c r="I4130" t="s">
        <v>70</v>
      </c>
      <c r="J4130" t="s">
        <v>383</v>
      </c>
      <c r="K4130">
        <v>232.18</v>
      </c>
      <c r="L4130">
        <v>7.82</v>
      </c>
      <c r="M4130" t="s">
        <v>10842</v>
      </c>
      <c r="N4130">
        <v>125726</v>
      </c>
      <c r="R4130">
        <v>8.83</v>
      </c>
      <c r="S4130">
        <v>21.98</v>
      </c>
      <c r="AA4130">
        <v>-0.17</v>
      </c>
      <c r="AC4130" t="s">
        <v>2213</v>
      </c>
      <c r="AE4130" t="s">
        <v>3793</v>
      </c>
      <c r="AF4130" t="s">
        <v>2978</v>
      </c>
      <c r="AG4130" t="s">
        <v>14732</v>
      </c>
      <c r="AH4130" t="s">
        <v>32196</v>
      </c>
      <c r="AJ4130" t="s">
        <v>2426</v>
      </c>
      <c r="AK4130" t="s">
        <v>2516</v>
      </c>
      <c r="AL4130">
        <v>1.36</v>
      </c>
      <c r="AM4130">
        <v>0.67</v>
      </c>
      <c r="AN4130">
        <v>0.41</v>
      </c>
      <c r="AO4130" t="s">
        <v>9912</v>
      </c>
      <c r="AP4130" t="s">
        <v>8138</v>
      </c>
      <c r="AQ4130" t="s">
        <v>4071</v>
      </c>
      <c r="AR4130" t="s">
        <v>1784</v>
      </c>
      <c r="AS4130" t="s">
        <v>4783</v>
      </c>
      <c r="AT4130" t="s">
        <v>2419</v>
      </c>
      <c r="AU4130" t="s">
        <v>16782</v>
      </c>
      <c r="AV4130" t="s">
        <v>8632</v>
      </c>
      <c r="AW4130" t="s">
        <v>26909</v>
      </c>
      <c r="AX4130" t="s">
        <v>4579</v>
      </c>
      <c r="AY4130" t="s">
        <v>26909</v>
      </c>
      <c r="AZ4130" t="s">
        <v>32197</v>
      </c>
      <c r="BA4130">
        <v>1</v>
      </c>
      <c r="BB4130">
        <v>889.66</v>
      </c>
      <c r="BC4130">
        <v>0.5</v>
      </c>
      <c r="BD4130">
        <v>8.17</v>
      </c>
      <c r="BE4130">
        <v>8.25</v>
      </c>
      <c r="BF4130">
        <v>7.71</v>
      </c>
      <c r="BG4130" t="s">
        <v>32198</v>
      </c>
      <c r="BH4130" t="s">
        <v>32199</v>
      </c>
      <c r="BI4130" t="s">
        <v>32200</v>
      </c>
      <c r="BJ4130" t="s">
        <v>101</v>
      </c>
      <c r="BK4130" t="s">
        <v>1468</v>
      </c>
      <c r="BL4130" t="s">
        <v>32201</v>
      </c>
      <c r="BM4130" t="s">
        <v>32202</v>
      </c>
      <c r="BN4130" t="s">
        <v>27621</v>
      </c>
    </row>
    <row r="4131" spans="1:66" x14ac:dyDescent="0.25">
      <c r="A4131" t="str">
        <f>HYPERLINK("https://elite.finviz.com/quote.ashx?t=TSQ&amp;ty=c&amp;p=d&amp;b=1", "TSQ")</f>
        <v>TSQ</v>
      </c>
      <c r="B4131">
        <v>4</v>
      </c>
      <c r="C4131">
        <v>105.92</v>
      </c>
      <c r="D4131">
        <v>49.59</v>
      </c>
      <c r="E4131" t="s">
        <v>32203</v>
      </c>
      <c r="F4131" t="s">
        <v>107</v>
      </c>
      <c r="G4131" t="s">
        <v>598</v>
      </c>
      <c r="H4131" t="s">
        <v>1020</v>
      </c>
      <c r="I4131" t="s">
        <v>70</v>
      </c>
      <c r="J4131" t="s">
        <v>71</v>
      </c>
      <c r="K4131">
        <v>114.62</v>
      </c>
      <c r="L4131">
        <v>6.97</v>
      </c>
      <c r="M4131" t="s">
        <v>4495</v>
      </c>
      <c r="N4131">
        <v>1715</v>
      </c>
      <c r="O4131">
        <v>3.46</v>
      </c>
      <c r="P4131">
        <v>6.83</v>
      </c>
      <c r="R4131">
        <v>0.26</v>
      </c>
      <c r="T4131" t="s">
        <v>1532</v>
      </c>
      <c r="U4131">
        <v>0.8</v>
      </c>
      <c r="V4131" t="s">
        <v>32204</v>
      </c>
      <c r="W4131" t="s">
        <v>3066</v>
      </c>
      <c r="Y4131" t="s">
        <v>16012</v>
      </c>
      <c r="AA4131">
        <v>2.02</v>
      </c>
      <c r="AC4131" t="s">
        <v>3980</v>
      </c>
      <c r="AE4131" t="s">
        <v>4699</v>
      </c>
      <c r="AF4131" t="s">
        <v>248</v>
      </c>
      <c r="AG4131" t="s">
        <v>2125</v>
      </c>
      <c r="AH4131" t="s">
        <v>1690</v>
      </c>
      <c r="AI4131" t="s">
        <v>32205</v>
      </c>
      <c r="AJ4131" t="s">
        <v>3226</v>
      </c>
      <c r="AK4131" t="s">
        <v>4441</v>
      </c>
      <c r="AL4131">
        <v>0.96</v>
      </c>
      <c r="AM4131">
        <v>0.96</v>
      </c>
      <c r="AO4131" t="s">
        <v>1508</v>
      </c>
      <c r="AP4131" t="s">
        <v>10806</v>
      </c>
      <c r="AQ4131" t="s">
        <v>4437</v>
      </c>
      <c r="AR4131" t="s">
        <v>2647</v>
      </c>
      <c r="AS4131" t="s">
        <v>3173</v>
      </c>
      <c r="AT4131" t="s">
        <v>3896</v>
      </c>
      <c r="AU4131" t="s">
        <v>4809</v>
      </c>
      <c r="AV4131" t="s">
        <v>8023</v>
      </c>
      <c r="AW4131" t="s">
        <v>32206</v>
      </c>
      <c r="AX4131" t="s">
        <v>3115</v>
      </c>
      <c r="AY4131" t="s">
        <v>9904</v>
      </c>
      <c r="AZ4131" t="s">
        <v>5552</v>
      </c>
      <c r="BA4131">
        <v>1</v>
      </c>
      <c r="BB4131">
        <v>91.88</v>
      </c>
      <c r="BC4131">
        <v>7.0000000000000007E-2</v>
      </c>
      <c r="BD4131">
        <v>6.74</v>
      </c>
      <c r="BE4131">
        <v>6.75</v>
      </c>
      <c r="BF4131">
        <v>6.75</v>
      </c>
      <c r="BG4131" t="s">
        <v>32207</v>
      </c>
      <c r="BH4131" t="s">
        <v>32208</v>
      </c>
      <c r="BI4131" t="s">
        <v>31157</v>
      </c>
      <c r="BJ4131" t="s">
        <v>101</v>
      </c>
      <c r="BK4131" t="s">
        <v>8829</v>
      </c>
      <c r="BL4131" t="s">
        <v>4894</v>
      </c>
      <c r="BM4131" t="s">
        <v>25029</v>
      </c>
      <c r="BN4131" t="s">
        <v>27621</v>
      </c>
    </row>
    <row r="4132" spans="1:66" x14ac:dyDescent="0.25">
      <c r="A4132" t="str">
        <f>HYPERLINK("https://elite.finviz.com/quote.ashx?t=IZEA&amp;ty=c&amp;p=d&amp;b=1", "IZEA")</f>
        <v>IZEA</v>
      </c>
      <c r="B4132">
        <v>4</v>
      </c>
      <c r="C4132">
        <v>105.92</v>
      </c>
      <c r="D4132">
        <v>49.63</v>
      </c>
      <c r="E4132" t="s">
        <v>32209</v>
      </c>
      <c r="F4132" t="s">
        <v>107</v>
      </c>
      <c r="G4132" t="s">
        <v>598</v>
      </c>
      <c r="H4132" t="s">
        <v>599</v>
      </c>
      <c r="I4132" t="s">
        <v>70</v>
      </c>
      <c r="J4132" t="s">
        <v>321</v>
      </c>
      <c r="K4132">
        <v>63.78</v>
      </c>
      <c r="L4132">
        <v>3.75</v>
      </c>
      <c r="M4132" t="s">
        <v>164</v>
      </c>
      <c r="N4132">
        <v>5311</v>
      </c>
      <c r="P4132">
        <v>7.98</v>
      </c>
      <c r="R4132">
        <v>1.73</v>
      </c>
      <c r="S4132">
        <v>1.28</v>
      </c>
      <c r="AA4132">
        <v>-0.73</v>
      </c>
      <c r="AB4132" t="s">
        <v>32210</v>
      </c>
      <c r="AC4132" t="s">
        <v>5253</v>
      </c>
      <c r="AE4132" t="s">
        <v>302</v>
      </c>
      <c r="AF4132" t="s">
        <v>2174</v>
      </c>
      <c r="AG4132" t="s">
        <v>95</v>
      </c>
      <c r="AH4132" t="s">
        <v>7464</v>
      </c>
      <c r="AI4132" t="s">
        <v>9913</v>
      </c>
      <c r="AJ4132" t="s">
        <v>406</v>
      </c>
      <c r="AK4132" t="s">
        <v>11505</v>
      </c>
      <c r="AL4132">
        <v>5.6</v>
      </c>
      <c r="AM4132">
        <v>5.6</v>
      </c>
      <c r="AN4132">
        <v>0</v>
      </c>
      <c r="AO4132" t="s">
        <v>5347</v>
      </c>
      <c r="AP4132" t="s">
        <v>14208</v>
      </c>
      <c r="AQ4132" t="s">
        <v>12189</v>
      </c>
      <c r="AR4132" t="s">
        <v>7698</v>
      </c>
      <c r="AS4132" t="s">
        <v>5607</v>
      </c>
      <c r="AT4132" t="s">
        <v>5158</v>
      </c>
      <c r="AU4132" t="s">
        <v>7176</v>
      </c>
      <c r="AV4132" t="s">
        <v>725</v>
      </c>
      <c r="AW4132" t="s">
        <v>3917</v>
      </c>
      <c r="AX4132" t="s">
        <v>6087</v>
      </c>
      <c r="AY4132" t="s">
        <v>3917</v>
      </c>
      <c r="AZ4132" t="s">
        <v>32211</v>
      </c>
      <c r="BA4132">
        <v>1</v>
      </c>
      <c r="BB4132">
        <v>98.31</v>
      </c>
      <c r="BC4132">
        <v>0.19</v>
      </c>
      <c r="BD4132">
        <v>3.75</v>
      </c>
      <c r="BE4132">
        <v>3.94</v>
      </c>
      <c r="BF4132">
        <v>3.74</v>
      </c>
      <c r="BG4132" t="s">
        <v>32212</v>
      </c>
      <c r="BH4132" t="s">
        <v>3265</v>
      </c>
      <c r="BI4132" t="s">
        <v>32213</v>
      </c>
      <c r="BJ4132" t="s">
        <v>101</v>
      </c>
      <c r="BK4132" t="s">
        <v>1882</v>
      </c>
      <c r="BL4132" t="s">
        <v>15181</v>
      </c>
      <c r="BM4132" t="s">
        <v>1882</v>
      </c>
      <c r="BN4132" t="s">
        <v>27621</v>
      </c>
    </row>
    <row r="4133" spans="1:66" x14ac:dyDescent="0.25">
      <c r="A4133" t="str">
        <f>HYPERLINK("https://elite.finviz.com/quote.ashx?t=TG&amp;ty=c&amp;p=d&amp;b=1", "TG")</f>
        <v>TG</v>
      </c>
      <c r="B4133">
        <v>4</v>
      </c>
      <c r="C4133">
        <v>105.92</v>
      </c>
      <c r="D4133">
        <v>49.63</v>
      </c>
      <c r="E4133" t="s">
        <v>32214</v>
      </c>
      <c r="F4133" t="s">
        <v>67</v>
      </c>
      <c r="G4133" t="s">
        <v>260</v>
      </c>
      <c r="H4133" t="s">
        <v>2223</v>
      </c>
      <c r="I4133" t="s">
        <v>70</v>
      </c>
      <c r="J4133" t="s">
        <v>71</v>
      </c>
      <c r="K4133">
        <v>277.74</v>
      </c>
      <c r="L4133">
        <v>7.96</v>
      </c>
      <c r="M4133" t="s">
        <v>2125</v>
      </c>
      <c r="N4133">
        <v>5802</v>
      </c>
      <c r="O4133">
        <v>698.25</v>
      </c>
      <c r="R4133">
        <v>0.41</v>
      </c>
      <c r="S4133">
        <v>1.43</v>
      </c>
      <c r="V4133" t="s">
        <v>32215</v>
      </c>
      <c r="Z4133" t="s">
        <v>164</v>
      </c>
      <c r="AA4133">
        <v>0.01</v>
      </c>
      <c r="AB4133" t="s">
        <v>7872</v>
      </c>
      <c r="AC4133" t="s">
        <v>23521</v>
      </c>
      <c r="AE4133" t="s">
        <v>7429</v>
      </c>
      <c r="AF4133" t="s">
        <v>14906</v>
      </c>
      <c r="AG4133" t="s">
        <v>4967</v>
      </c>
      <c r="AH4133" t="s">
        <v>2220</v>
      </c>
      <c r="AJ4133" t="s">
        <v>1510</v>
      </c>
      <c r="AK4133" t="s">
        <v>2445</v>
      </c>
      <c r="AL4133">
        <v>1.76</v>
      </c>
      <c r="AM4133">
        <v>1.05</v>
      </c>
      <c r="AN4133">
        <v>0.4</v>
      </c>
      <c r="AO4133" t="s">
        <v>981</v>
      </c>
      <c r="AP4133" t="s">
        <v>6990</v>
      </c>
      <c r="AQ4133" t="s">
        <v>4507</v>
      </c>
      <c r="AR4133" t="s">
        <v>6493</v>
      </c>
      <c r="AS4133" t="s">
        <v>5660</v>
      </c>
      <c r="AT4133" t="s">
        <v>1409</v>
      </c>
      <c r="AU4133" t="s">
        <v>4879</v>
      </c>
      <c r="AV4133" t="s">
        <v>7346</v>
      </c>
      <c r="AW4133" t="s">
        <v>17752</v>
      </c>
      <c r="AX4133" t="s">
        <v>4109</v>
      </c>
      <c r="AY4133" t="s">
        <v>28644</v>
      </c>
      <c r="AZ4133" t="s">
        <v>4930</v>
      </c>
      <c r="BA4133">
        <v>3</v>
      </c>
      <c r="BB4133">
        <v>85.19</v>
      </c>
      <c r="BC4133">
        <v>0.24</v>
      </c>
      <c r="BD4133">
        <v>7.89</v>
      </c>
      <c r="BE4133">
        <v>7.99</v>
      </c>
      <c r="BF4133">
        <v>7.97</v>
      </c>
      <c r="BG4133" t="s">
        <v>32216</v>
      </c>
      <c r="BH4133" t="s">
        <v>15921</v>
      </c>
      <c r="BI4133" t="s">
        <v>32217</v>
      </c>
      <c r="BJ4133" t="s">
        <v>101</v>
      </c>
      <c r="BK4133" t="s">
        <v>24312</v>
      </c>
      <c r="BL4133" t="s">
        <v>4840</v>
      </c>
      <c r="BM4133" t="s">
        <v>702</v>
      </c>
      <c r="BN4133" t="s">
        <v>27621</v>
      </c>
    </row>
    <row r="4134" spans="1:66" x14ac:dyDescent="0.25">
      <c r="A4134" t="str">
        <f>HYPERLINK("https://elite.finviz.com/quote.ashx?t=PSA&amp;ty=c&amp;p=d&amp;b=1", "PSA")</f>
        <v>PSA</v>
      </c>
      <c r="B4134">
        <v>4</v>
      </c>
      <c r="C4134">
        <v>105.92</v>
      </c>
      <c r="D4134">
        <v>49.63</v>
      </c>
      <c r="E4134" t="s">
        <v>32218</v>
      </c>
      <c r="F4134" t="s">
        <v>195</v>
      </c>
      <c r="G4134" t="s">
        <v>68</v>
      </c>
      <c r="H4134" t="s">
        <v>6342</v>
      </c>
      <c r="I4134" t="s">
        <v>70</v>
      </c>
      <c r="J4134" t="s">
        <v>71</v>
      </c>
      <c r="K4134">
        <v>50132.15</v>
      </c>
      <c r="L4134">
        <v>285.73</v>
      </c>
      <c r="M4134" t="s">
        <v>2087</v>
      </c>
      <c r="N4134">
        <v>194506</v>
      </c>
      <c r="O4134">
        <v>31.18</v>
      </c>
      <c r="P4134">
        <v>27.44</v>
      </c>
      <c r="Q4134">
        <v>20.239999999999998</v>
      </c>
      <c r="R4134">
        <v>10.56</v>
      </c>
      <c r="S4134">
        <v>9.98</v>
      </c>
      <c r="T4134" t="s">
        <v>4744</v>
      </c>
      <c r="U4134">
        <v>12</v>
      </c>
      <c r="V4134" t="s">
        <v>3833</v>
      </c>
      <c r="W4134" t="s">
        <v>164</v>
      </c>
      <c r="X4134" t="s">
        <v>5699</v>
      </c>
      <c r="Y4134" t="s">
        <v>712</v>
      </c>
      <c r="Z4134" t="s">
        <v>32219</v>
      </c>
      <c r="AA4134">
        <v>9.17</v>
      </c>
      <c r="AB4134" t="s">
        <v>387</v>
      </c>
      <c r="AC4134" t="s">
        <v>10610</v>
      </c>
      <c r="AD4134" t="s">
        <v>2572</v>
      </c>
      <c r="AE4134" t="s">
        <v>2333</v>
      </c>
      <c r="AF4134" t="s">
        <v>6076</v>
      </c>
      <c r="AG4134" t="s">
        <v>11544</v>
      </c>
      <c r="AH4134" t="s">
        <v>4839</v>
      </c>
      <c r="AI4134" t="s">
        <v>10193</v>
      </c>
      <c r="AJ4134" t="s">
        <v>164</v>
      </c>
      <c r="AK4134" t="s">
        <v>32220</v>
      </c>
      <c r="AL4134">
        <v>1.73</v>
      </c>
      <c r="AM4134">
        <v>1.73</v>
      </c>
      <c r="AN4134">
        <v>1.1100000000000001</v>
      </c>
      <c r="AO4134" t="s">
        <v>17632</v>
      </c>
      <c r="AP4134" t="s">
        <v>19076</v>
      </c>
      <c r="AQ4134" t="s">
        <v>32221</v>
      </c>
      <c r="AR4134" t="s">
        <v>6478</v>
      </c>
      <c r="AS4134" t="s">
        <v>3550</v>
      </c>
      <c r="AT4134" t="s">
        <v>2059</v>
      </c>
      <c r="AU4134" t="s">
        <v>1998</v>
      </c>
      <c r="AV4134" t="s">
        <v>9098</v>
      </c>
      <c r="AW4134" t="s">
        <v>5639</v>
      </c>
      <c r="AX4134" t="s">
        <v>3602</v>
      </c>
      <c r="AY4134" t="s">
        <v>15005</v>
      </c>
      <c r="AZ4134" t="s">
        <v>6528</v>
      </c>
      <c r="BA4134">
        <v>1.95</v>
      </c>
      <c r="BB4134">
        <v>858.98</v>
      </c>
      <c r="BC4134">
        <v>0.8</v>
      </c>
      <c r="BD4134">
        <v>280.26</v>
      </c>
      <c r="BE4134">
        <v>286.89</v>
      </c>
      <c r="BF4134">
        <v>281.43</v>
      </c>
      <c r="BG4134" t="s">
        <v>32222</v>
      </c>
      <c r="BH4134" t="s">
        <v>12463</v>
      </c>
      <c r="BI4134" t="s">
        <v>32223</v>
      </c>
      <c r="BJ4134" t="s">
        <v>101</v>
      </c>
      <c r="BK4134" t="s">
        <v>3937</v>
      </c>
      <c r="BL4134" t="s">
        <v>2723</v>
      </c>
      <c r="BM4134" t="s">
        <v>16413</v>
      </c>
      <c r="BN4134" t="s">
        <v>27621</v>
      </c>
    </row>
    <row r="4135" spans="1:66" x14ac:dyDescent="0.25">
      <c r="A4135" t="str">
        <f>HYPERLINK("https://elite.finviz.com/quote.ashx?t=CAEP&amp;ty=c&amp;p=d&amp;b=1", "CAEP")</f>
        <v>CAEP</v>
      </c>
      <c r="B4135">
        <v>4</v>
      </c>
      <c r="C4135">
        <v>105.92</v>
      </c>
      <c r="D4135">
        <v>49.64</v>
      </c>
      <c r="E4135" t="s">
        <v>32224</v>
      </c>
      <c r="F4135" t="s">
        <v>107</v>
      </c>
      <c r="G4135" t="s">
        <v>550</v>
      </c>
      <c r="H4135" t="s">
        <v>2120</v>
      </c>
      <c r="I4135" t="s">
        <v>70</v>
      </c>
      <c r="J4135" t="s">
        <v>321</v>
      </c>
      <c r="K4135">
        <v>363.08</v>
      </c>
      <c r="L4135">
        <v>10.35</v>
      </c>
      <c r="M4135" t="s">
        <v>164</v>
      </c>
      <c r="N4135">
        <v>2440</v>
      </c>
      <c r="S4135">
        <v>1.31</v>
      </c>
      <c r="AB4135" t="s">
        <v>32225</v>
      </c>
      <c r="AJ4135" t="s">
        <v>164</v>
      </c>
      <c r="AK4135" t="s">
        <v>32226</v>
      </c>
      <c r="AL4135">
        <v>8.42</v>
      </c>
      <c r="AM4135">
        <v>8.42</v>
      </c>
      <c r="AN4135">
        <v>0</v>
      </c>
      <c r="AR4135" t="s">
        <v>3552</v>
      </c>
      <c r="AS4135" t="s">
        <v>7388</v>
      </c>
      <c r="AT4135" t="s">
        <v>6719</v>
      </c>
      <c r="AU4135" t="s">
        <v>2694</v>
      </c>
      <c r="AV4135" t="s">
        <v>655</v>
      </c>
      <c r="AW4135" t="s">
        <v>6253</v>
      </c>
      <c r="AX4135" t="s">
        <v>5745</v>
      </c>
      <c r="AY4135" t="s">
        <v>6253</v>
      </c>
      <c r="AZ4135" t="s">
        <v>5745</v>
      </c>
      <c r="BB4135">
        <v>313.31</v>
      </c>
      <c r="BC4135">
        <v>0.03</v>
      </c>
      <c r="BD4135">
        <v>10.35</v>
      </c>
      <c r="BE4135">
        <v>10.37</v>
      </c>
      <c r="BF4135">
        <v>10.33</v>
      </c>
      <c r="BG4135" t="s">
        <v>32227</v>
      </c>
      <c r="BH4135" t="s">
        <v>6253</v>
      </c>
      <c r="BI4135" t="s">
        <v>5745</v>
      </c>
      <c r="BJ4135" t="s">
        <v>101</v>
      </c>
      <c r="BK4135" t="s">
        <v>2372</v>
      </c>
      <c r="BN4135" t="s">
        <v>27621</v>
      </c>
    </row>
    <row r="4136" spans="1:66" x14ac:dyDescent="0.25">
      <c r="A4136" t="str">
        <f>HYPERLINK("https://elite.finviz.com/quote.ashx?t=RAC&amp;ty=c&amp;p=d&amp;b=1", "RAC")</f>
        <v>RAC</v>
      </c>
      <c r="B4136">
        <v>4</v>
      </c>
      <c r="C4136">
        <v>105.92</v>
      </c>
      <c r="D4136">
        <v>49.65</v>
      </c>
      <c r="E4136" t="s">
        <v>32228</v>
      </c>
      <c r="F4136" t="s">
        <v>107</v>
      </c>
      <c r="G4136" t="s">
        <v>550</v>
      </c>
      <c r="H4136" t="s">
        <v>2120</v>
      </c>
      <c r="I4136" t="s">
        <v>70</v>
      </c>
      <c r="J4136" t="s">
        <v>71</v>
      </c>
      <c r="K4136">
        <v>222.07</v>
      </c>
      <c r="L4136">
        <v>10.25</v>
      </c>
      <c r="M4136" t="s">
        <v>164</v>
      </c>
      <c r="N4136">
        <v>10032</v>
      </c>
      <c r="S4136">
        <v>1.33</v>
      </c>
      <c r="AJ4136" t="s">
        <v>164</v>
      </c>
      <c r="AK4136" t="s">
        <v>15695</v>
      </c>
      <c r="AL4136">
        <v>5.8</v>
      </c>
      <c r="AM4136">
        <v>5.8</v>
      </c>
      <c r="AN4136">
        <v>0</v>
      </c>
      <c r="AR4136" t="s">
        <v>6156</v>
      </c>
      <c r="AS4136" t="s">
        <v>141</v>
      </c>
      <c r="AT4136" t="s">
        <v>2745</v>
      </c>
      <c r="AU4136" t="s">
        <v>2745</v>
      </c>
      <c r="AV4136" t="s">
        <v>7388</v>
      </c>
      <c r="AW4136" t="s">
        <v>11369</v>
      </c>
      <c r="AX4136" t="s">
        <v>8179</v>
      </c>
      <c r="AY4136" t="s">
        <v>11369</v>
      </c>
      <c r="AZ4136" t="s">
        <v>4324</v>
      </c>
      <c r="BB4136">
        <v>48.13</v>
      </c>
      <c r="BC4136">
        <v>0.74</v>
      </c>
      <c r="BD4136">
        <v>10.25</v>
      </c>
      <c r="BE4136">
        <v>10.24</v>
      </c>
      <c r="BF4136">
        <v>10.24</v>
      </c>
      <c r="BG4136" t="s">
        <v>32229</v>
      </c>
      <c r="BH4136" t="s">
        <v>11369</v>
      </c>
      <c r="BI4136" t="s">
        <v>4324</v>
      </c>
      <c r="BJ4136" t="s">
        <v>101</v>
      </c>
      <c r="BK4136" t="s">
        <v>1083</v>
      </c>
      <c r="BN4136" t="s">
        <v>27621</v>
      </c>
    </row>
    <row r="4137" spans="1:66" x14ac:dyDescent="0.25">
      <c r="A4137" t="str">
        <f>HYPERLINK("https://elite.finviz.com/quote.ashx?t=HNI&amp;ty=c&amp;p=d&amp;b=1", "HNI")</f>
        <v>HNI</v>
      </c>
      <c r="B4137">
        <v>4</v>
      </c>
      <c r="C4137">
        <v>105.92</v>
      </c>
      <c r="D4137">
        <v>49.68</v>
      </c>
      <c r="E4137" t="s">
        <v>32230</v>
      </c>
      <c r="F4137" t="s">
        <v>67</v>
      </c>
      <c r="G4137" t="s">
        <v>813</v>
      </c>
      <c r="H4137" t="s">
        <v>3866</v>
      </c>
      <c r="I4137" t="s">
        <v>70</v>
      </c>
      <c r="J4137" t="s">
        <v>71</v>
      </c>
      <c r="K4137">
        <v>2085.2800000000002</v>
      </c>
      <c r="L4137">
        <v>45.49</v>
      </c>
      <c r="M4137" t="s">
        <v>907</v>
      </c>
      <c r="N4137">
        <v>164164</v>
      </c>
      <c r="O4137">
        <v>14.79</v>
      </c>
      <c r="P4137">
        <v>11.23</v>
      </c>
      <c r="Q4137">
        <v>0.94</v>
      </c>
      <c r="R4137">
        <v>0.81</v>
      </c>
      <c r="S4137">
        <v>2.57</v>
      </c>
      <c r="T4137" t="s">
        <v>6118</v>
      </c>
      <c r="U4137">
        <v>1.34</v>
      </c>
      <c r="V4137" t="s">
        <v>4186</v>
      </c>
      <c r="W4137" t="s">
        <v>1761</v>
      </c>
      <c r="X4137" t="s">
        <v>4267</v>
      </c>
      <c r="Y4137" t="s">
        <v>1760</v>
      </c>
      <c r="Z4137" t="s">
        <v>15243</v>
      </c>
      <c r="AA4137">
        <v>3.08</v>
      </c>
      <c r="AB4137" t="s">
        <v>4928</v>
      </c>
      <c r="AC4137" t="s">
        <v>179</v>
      </c>
      <c r="AD4137" t="s">
        <v>1552</v>
      </c>
      <c r="AE4137" t="s">
        <v>8357</v>
      </c>
      <c r="AF4137" t="s">
        <v>197</v>
      </c>
      <c r="AG4137" t="s">
        <v>4600</v>
      </c>
      <c r="AH4137" t="s">
        <v>9936</v>
      </c>
      <c r="AI4137" t="s">
        <v>7032</v>
      </c>
      <c r="AJ4137" t="s">
        <v>2203</v>
      </c>
      <c r="AK4137" t="s">
        <v>18388</v>
      </c>
      <c r="AL4137">
        <v>1.46</v>
      </c>
      <c r="AM4137">
        <v>0.93</v>
      </c>
      <c r="AN4137">
        <v>0.72</v>
      </c>
      <c r="AO4137" t="s">
        <v>7741</v>
      </c>
      <c r="AP4137" t="s">
        <v>1960</v>
      </c>
      <c r="AQ4137" t="s">
        <v>4641</v>
      </c>
      <c r="AR4137" t="s">
        <v>1438</v>
      </c>
      <c r="AS4137" t="s">
        <v>2808</v>
      </c>
      <c r="AT4137" t="s">
        <v>3227</v>
      </c>
      <c r="AU4137" t="s">
        <v>7808</v>
      </c>
      <c r="AV4137" t="s">
        <v>9087</v>
      </c>
      <c r="AW4137" t="s">
        <v>13342</v>
      </c>
      <c r="AX4137" t="s">
        <v>1253</v>
      </c>
      <c r="AY4137" t="s">
        <v>5296</v>
      </c>
      <c r="AZ4137" t="s">
        <v>8526</v>
      </c>
      <c r="BA4137">
        <v>1</v>
      </c>
      <c r="BB4137">
        <v>628.16</v>
      </c>
      <c r="BC4137">
        <v>0.93</v>
      </c>
      <c r="BD4137">
        <v>44.84</v>
      </c>
      <c r="BE4137">
        <v>45.65</v>
      </c>
      <c r="BF4137">
        <v>44.56</v>
      </c>
      <c r="BG4137" t="s">
        <v>32231</v>
      </c>
      <c r="BH4137" t="s">
        <v>24339</v>
      </c>
      <c r="BI4137" t="s">
        <v>32232</v>
      </c>
      <c r="BJ4137" t="s">
        <v>101</v>
      </c>
      <c r="BK4137" t="s">
        <v>11615</v>
      </c>
      <c r="BL4137" t="s">
        <v>2215</v>
      </c>
      <c r="BM4137" t="s">
        <v>10983</v>
      </c>
      <c r="BN4137" t="s">
        <v>27621</v>
      </c>
    </row>
    <row r="4138" spans="1:66" x14ac:dyDescent="0.25">
      <c r="A4138" t="str">
        <f>HYPERLINK("https://elite.finviz.com/quote.ashx?t=LUCK&amp;ty=c&amp;p=d&amp;b=1", "LUCK")</f>
        <v>LUCK</v>
      </c>
      <c r="B4138">
        <v>4</v>
      </c>
      <c r="C4138">
        <v>105.92</v>
      </c>
      <c r="D4138">
        <v>49.72</v>
      </c>
      <c r="E4138" t="s">
        <v>32233</v>
      </c>
      <c r="F4138" t="s">
        <v>107</v>
      </c>
      <c r="G4138" t="s">
        <v>813</v>
      </c>
      <c r="H4138" t="s">
        <v>5941</v>
      </c>
      <c r="I4138" t="s">
        <v>70</v>
      </c>
      <c r="J4138" t="s">
        <v>71</v>
      </c>
      <c r="K4138">
        <v>1397.95</v>
      </c>
      <c r="L4138">
        <v>9.9700000000000006</v>
      </c>
      <c r="M4138" t="s">
        <v>747</v>
      </c>
      <c r="N4138">
        <v>17168</v>
      </c>
      <c r="P4138">
        <v>79.010000000000005</v>
      </c>
      <c r="R4138">
        <v>1.1599999999999999</v>
      </c>
      <c r="T4138" t="s">
        <v>2808</v>
      </c>
      <c r="U4138">
        <v>0.22</v>
      </c>
      <c r="V4138" t="s">
        <v>4882</v>
      </c>
      <c r="W4138" t="s">
        <v>1647</v>
      </c>
      <c r="AA4138">
        <v>-0.17</v>
      </c>
      <c r="AB4138" t="s">
        <v>14442</v>
      </c>
      <c r="AC4138" t="s">
        <v>32234</v>
      </c>
      <c r="AE4138" t="s">
        <v>3469</v>
      </c>
      <c r="AF4138" t="s">
        <v>3230</v>
      </c>
      <c r="AH4138" t="s">
        <v>6183</v>
      </c>
      <c r="AI4138" t="s">
        <v>32235</v>
      </c>
      <c r="AJ4138" t="s">
        <v>2275</v>
      </c>
      <c r="AK4138" t="s">
        <v>26712</v>
      </c>
      <c r="AL4138">
        <v>0.57999999999999996</v>
      </c>
      <c r="AM4138">
        <v>0.5</v>
      </c>
      <c r="AO4138" t="s">
        <v>9215</v>
      </c>
      <c r="AP4138" t="s">
        <v>2365</v>
      </c>
      <c r="AQ4138" t="s">
        <v>6127</v>
      </c>
      <c r="AR4138" t="s">
        <v>4394</v>
      </c>
      <c r="AS4138" t="s">
        <v>371</v>
      </c>
      <c r="AT4138" t="s">
        <v>4538</v>
      </c>
      <c r="AU4138" t="s">
        <v>4312</v>
      </c>
      <c r="AV4138" t="s">
        <v>1409</v>
      </c>
      <c r="AW4138" t="s">
        <v>27350</v>
      </c>
      <c r="AX4138" t="s">
        <v>2839</v>
      </c>
      <c r="AY4138" t="s">
        <v>24184</v>
      </c>
      <c r="AZ4138" t="s">
        <v>7939</v>
      </c>
      <c r="BA4138">
        <v>1.55</v>
      </c>
      <c r="BB4138">
        <v>229.83</v>
      </c>
      <c r="BC4138">
        <v>0.26</v>
      </c>
      <c r="BD4138">
        <v>9.89</v>
      </c>
      <c r="BE4138">
        <v>10</v>
      </c>
      <c r="BF4138">
        <v>9.92</v>
      </c>
      <c r="BG4138" t="s">
        <v>32236</v>
      </c>
      <c r="BH4138" t="s">
        <v>11972</v>
      </c>
      <c r="BI4138" t="s">
        <v>32237</v>
      </c>
      <c r="BJ4138" t="s">
        <v>101</v>
      </c>
      <c r="BK4138" t="s">
        <v>906</v>
      </c>
      <c r="BL4138" t="s">
        <v>9600</v>
      </c>
      <c r="BM4138" t="s">
        <v>25804</v>
      </c>
      <c r="BN4138" t="s">
        <v>27621</v>
      </c>
    </row>
    <row r="4139" spans="1:66" x14ac:dyDescent="0.25">
      <c r="A4139" t="str">
        <f>HYPERLINK("https://elite.finviz.com/quote.ashx?t=SGMT&amp;ty=c&amp;p=d&amp;b=1", "SGMT")</f>
        <v>SGMT</v>
      </c>
      <c r="B4139">
        <v>4</v>
      </c>
      <c r="C4139">
        <v>105.92</v>
      </c>
      <c r="D4139">
        <v>49.76</v>
      </c>
      <c r="E4139" t="s">
        <v>32238</v>
      </c>
      <c r="F4139" t="s">
        <v>107</v>
      </c>
      <c r="G4139" t="s">
        <v>428</v>
      </c>
      <c r="H4139" t="s">
        <v>429</v>
      </c>
      <c r="I4139" t="s">
        <v>70</v>
      </c>
      <c r="J4139" t="s">
        <v>321</v>
      </c>
      <c r="K4139">
        <v>221.35</v>
      </c>
      <c r="L4139">
        <v>7.14</v>
      </c>
      <c r="M4139" t="s">
        <v>164</v>
      </c>
      <c r="N4139">
        <v>81113</v>
      </c>
      <c r="S4139">
        <v>1.77</v>
      </c>
      <c r="AA4139">
        <v>-1.85</v>
      </c>
      <c r="AB4139" t="s">
        <v>11615</v>
      </c>
      <c r="AC4139" t="s">
        <v>9384</v>
      </c>
      <c r="AD4139" t="s">
        <v>7509</v>
      </c>
      <c r="AE4139" t="s">
        <v>579</v>
      </c>
      <c r="AI4139" t="s">
        <v>6285</v>
      </c>
      <c r="AJ4139" t="s">
        <v>8789</v>
      </c>
      <c r="AK4139" t="s">
        <v>7006</v>
      </c>
      <c r="AL4139">
        <v>17.47</v>
      </c>
      <c r="AM4139">
        <v>17.47</v>
      </c>
      <c r="AN4139">
        <v>0</v>
      </c>
      <c r="AR4139" t="s">
        <v>4850</v>
      </c>
      <c r="AS4139" t="s">
        <v>1160</v>
      </c>
      <c r="AT4139" t="s">
        <v>1932</v>
      </c>
      <c r="AU4139" t="s">
        <v>17625</v>
      </c>
      <c r="AV4139" t="s">
        <v>6360</v>
      </c>
      <c r="AW4139" t="s">
        <v>21612</v>
      </c>
      <c r="AX4139" t="s">
        <v>9794</v>
      </c>
      <c r="AY4139" t="s">
        <v>21612</v>
      </c>
      <c r="AZ4139" t="s">
        <v>32239</v>
      </c>
      <c r="BA4139">
        <v>1</v>
      </c>
      <c r="BB4139">
        <v>703.13</v>
      </c>
      <c r="BC4139">
        <v>0.41</v>
      </c>
      <c r="BD4139">
        <v>7.14</v>
      </c>
      <c r="BE4139">
        <v>7.19</v>
      </c>
      <c r="BF4139">
        <v>7.01</v>
      </c>
      <c r="BG4139" t="s">
        <v>32240</v>
      </c>
      <c r="BH4139" t="s">
        <v>32241</v>
      </c>
      <c r="BI4139" t="s">
        <v>32239</v>
      </c>
      <c r="BJ4139" t="s">
        <v>101</v>
      </c>
      <c r="BK4139" t="s">
        <v>18824</v>
      </c>
      <c r="BL4139" t="s">
        <v>17997</v>
      </c>
      <c r="BM4139" t="s">
        <v>32242</v>
      </c>
      <c r="BN4139" t="s">
        <v>27621</v>
      </c>
    </row>
    <row r="4140" spans="1:66" x14ac:dyDescent="0.25">
      <c r="A4140" t="str">
        <f>HYPERLINK("https://elite.finviz.com/quote.ashx?t=MAYS&amp;ty=c&amp;p=d&amp;b=1", "MAYS")</f>
        <v>MAYS</v>
      </c>
      <c r="B4140">
        <v>4</v>
      </c>
      <c r="C4140">
        <v>105.92</v>
      </c>
      <c r="D4140">
        <v>49.79</v>
      </c>
      <c r="E4140" t="s">
        <v>32243</v>
      </c>
      <c r="F4140" t="s">
        <v>107</v>
      </c>
      <c r="G4140" t="s">
        <v>68</v>
      </c>
      <c r="H4140" t="s">
        <v>7494</v>
      </c>
      <c r="I4140" t="s">
        <v>70</v>
      </c>
      <c r="J4140" t="s">
        <v>321</v>
      </c>
      <c r="K4140">
        <v>77.47</v>
      </c>
      <c r="L4140">
        <v>38.43</v>
      </c>
      <c r="M4140" t="s">
        <v>273</v>
      </c>
      <c r="N4140">
        <v>13</v>
      </c>
      <c r="R4140">
        <v>3.47</v>
      </c>
      <c r="S4140">
        <v>1.47</v>
      </c>
      <c r="AA4140">
        <v>-0.04</v>
      </c>
      <c r="AE4140" t="s">
        <v>4765</v>
      </c>
      <c r="AF4140" t="s">
        <v>1952</v>
      </c>
      <c r="AG4140" t="s">
        <v>7464</v>
      </c>
      <c r="AH4140" t="s">
        <v>275</v>
      </c>
      <c r="AJ4140" t="s">
        <v>164</v>
      </c>
      <c r="AK4140" t="s">
        <v>3519</v>
      </c>
      <c r="AL4140">
        <v>1.56</v>
      </c>
      <c r="AM4140">
        <v>1.56</v>
      </c>
      <c r="AN4140">
        <v>0.52</v>
      </c>
      <c r="AO4140" t="s">
        <v>2134</v>
      </c>
      <c r="AP4140" t="s">
        <v>2203</v>
      </c>
      <c r="AQ4140" t="s">
        <v>9925</v>
      </c>
      <c r="AR4140" t="s">
        <v>164</v>
      </c>
      <c r="AS4140" t="s">
        <v>3344</v>
      </c>
      <c r="AT4140" t="s">
        <v>1249</v>
      </c>
      <c r="AU4140" t="s">
        <v>1249</v>
      </c>
      <c r="AV4140" t="s">
        <v>19716</v>
      </c>
      <c r="AW4140" t="s">
        <v>5674</v>
      </c>
      <c r="AX4140" t="s">
        <v>4468</v>
      </c>
      <c r="AY4140" t="s">
        <v>14754</v>
      </c>
      <c r="AZ4140" t="s">
        <v>4468</v>
      </c>
      <c r="BB4140">
        <v>0.93</v>
      </c>
      <c r="BC4140">
        <v>0.05</v>
      </c>
      <c r="BD4140">
        <v>38</v>
      </c>
      <c r="BE4140">
        <v>38.43</v>
      </c>
      <c r="BF4140">
        <v>38.43</v>
      </c>
      <c r="BG4140" t="s">
        <v>32244</v>
      </c>
      <c r="BH4140" t="s">
        <v>31488</v>
      </c>
      <c r="BI4140" t="s">
        <v>32245</v>
      </c>
      <c r="BJ4140" t="s">
        <v>101</v>
      </c>
      <c r="BK4140" t="s">
        <v>9271</v>
      </c>
      <c r="BL4140" t="s">
        <v>7719</v>
      </c>
      <c r="BM4140" t="s">
        <v>8357</v>
      </c>
      <c r="BN4140" t="s">
        <v>27621</v>
      </c>
    </row>
    <row r="4141" spans="1:66" x14ac:dyDescent="0.25">
      <c r="A4141" t="str">
        <f>HYPERLINK("https://elite.finviz.com/quote.ashx?t=POST&amp;ty=c&amp;p=d&amp;b=1", "POST")</f>
        <v>POST</v>
      </c>
      <c r="B4141">
        <v>4</v>
      </c>
      <c r="C4141">
        <v>105.92</v>
      </c>
      <c r="D4141">
        <v>49.8</v>
      </c>
      <c r="E4141" t="s">
        <v>32246</v>
      </c>
      <c r="F4141" t="s">
        <v>107</v>
      </c>
      <c r="G4141" t="s">
        <v>2244</v>
      </c>
      <c r="H4141" t="s">
        <v>3269</v>
      </c>
      <c r="I4141" t="s">
        <v>70</v>
      </c>
      <c r="J4141" t="s">
        <v>71</v>
      </c>
      <c r="K4141">
        <v>5768.26</v>
      </c>
      <c r="L4141">
        <v>106.19</v>
      </c>
      <c r="M4141" t="s">
        <v>969</v>
      </c>
      <c r="N4141">
        <v>50325</v>
      </c>
      <c r="O4141">
        <v>18.18</v>
      </c>
      <c r="P4141">
        <v>13.67</v>
      </c>
      <c r="Q4141">
        <v>1.54</v>
      </c>
      <c r="R4141">
        <v>0.73</v>
      </c>
      <c r="S4141">
        <v>1.44</v>
      </c>
      <c r="Z4141" t="s">
        <v>164</v>
      </c>
      <c r="AA4141">
        <v>5.84</v>
      </c>
      <c r="AB4141" t="s">
        <v>2242</v>
      </c>
      <c r="AC4141" t="s">
        <v>1663</v>
      </c>
      <c r="AD4141" t="s">
        <v>6466</v>
      </c>
      <c r="AE4141" t="s">
        <v>2785</v>
      </c>
      <c r="AF4141" t="s">
        <v>1205</v>
      </c>
      <c r="AG4141" t="s">
        <v>2150</v>
      </c>
      <c r="AH4141" t="s">
        <v>910</v>
      </c>
      <c r="AI4141" t="s">
        <v>8258</v>
      </c>
      <c r="AJ4141" t="s">
        <v>1926</v>
      </c>
      <c r="AK4141" t="s">
        <v>6261</v>
      </c>
      <c r="AL4141">
        <v>2.6</v>
      </c>
      <c r="AM4141">
        <v>1.84</v>
      </c>
      <c r="AN4141">
        <v>1.84</v>
      </c>
      <c r="AO4141" t="s">
        <v>19212</v>
      </c>
      <c r="AP4141" t="s">
        <v>3549</v>
      </c>
      <c r="AQ4141" t="s">
        <v>4659</v>
      </c>
      <c r="AR4141" t="s">
        <v>2430</v>
      </c>
      <c r="AS4141" t="s">
        <v>4493</v>
      </c>
      <c r="AT4141" t="s">
        <v>4494</v>
      </c>
      <c r="AU4141" t="s">
        <v>11369</v>
      </c>
      <c r="AV4141" t="s">
        <v>944</v>
      </c>
      <c r="AW4141" t="s">
        <v>3164</v>
      </c>
      <c r="AX4141" t="s">
        <v>6419</v>
      </c>
      <c r="AY4141" t="s">
        <v>18853</v>
      </c>
      <c r="AZ4141" t="s">
        <v>6419</v>
      </c>
      <c r="BA4141">
        <v>1.64</v>
      </c>
      <c r="BB4141">
        <v>729.49</v>
      </c>
      <c r="BC4141">
        <v>0.24</v>
      </c>
      <c r="BD4141">
        <v>105.33</v>
      </c>
      <c r="BE4141">
        <v>106.78</v>
      </c>
      <c r="BF4141">
        <v>105.57</v>
      </c>
      <c r="BG4141" t="s">
        <v>32247</v>
      </c>
      <c r="BH4141" t="s">
        <v>18853</v>
      </c>
      <c r="BI4141" t="s">
        <v>32248</v>
      </c>
      <c r="BJ4141" t="s">
        <v>101</v>
      </c>
      <c r="BK4141" t="s">
        <v>5809</v>
      </c>
      <c r="BL4141" t="s">
        <v>5932</v>
      </c>
      <c r="BM4141" t="s">
        <v>3091</v>
      </c>
      <c r="BN4141" t="s">
        <v>27621</v>
      </c>
    </row>
    <row r="4142" spans="1:66" x14ac:dyDescent="0.25">
      <c r="A4142" t="str">
        <f>HYPERLINK("https://elite.finviz.com/quote.ashx?t=LNZA&amp;ty=c&amp;p=d&amp;b=1", "LNZA")</f>
        <v>LNZA</v>
      </c>
      <c r="B4142">
        <v>4</v>
      </c>
      <c r="C4142">
        <v>105.92</v>
      </c>
      <c r="D4142">
        <v>49.81</v>
      </c>
      <c r="E4142" t="s">
        <v>32249</v>
      </c>
      <c r="F4142" t="s">
        <v>107</v>
      </c>
      <c r="G4142" t="s">
        <v>260</v>
      </c>
      <c r="H4142" t="s">
        <v>1573</v>
      </c>
      <c r="I4142" t="s">
        <v>70</v>
      </c>
      <c r="J4142" t="s">
        <v>321</v>
      </c>
      <c r="K4142">
        <v>51.36</v>
      </c>
      <c r="L4142">
        <v>22.14</v>
      </c>
      <c r="M4142" t="s">
        <v>2580</v>
      </c>
      <c r="N4142">
        <v>7515</v>
      </c>
      <c r="R4142">
        <v>1.27</v>
      </c>
      <c r="AA4142">
        <v>-67.569999999999993</v>
      </c>
      <c r="AE4142" t="s">
        <v>21614</v>
      </c>
      <c r="AH4142" t="s">
        <v>2309</v>
      </c>
      <c r="AI4142" t="s">
        <v>164</v>
      </c>
      <c r="AJ4142" t="s">
        <v>164</v>
      </c>
      <c r="AK4142" t="s">
        <v>10109</v>
      </c>
      <c r="AL4142">
        <v>1.19</v>
      </c>
      <c r="AM4142">
        <v>1.19</v>
      </c>
      <c r="AO4142" t="s">
        <v>13872</v>
      </c>
      <c r="AP4142" t="s">
        <v>32250</v>
      </c>
      <c r="AQ4142" t="s">
        <v>32251</v>
      </c>
      <c r="AR4142" t="s">
        <v>1135</v>
      </c>
      <c r="AS4142" t="s">
        <v>3644</v>
      </c>
      <c r="AT4142" t="s">
        <v>5248</v>
      </c>
      <c r="AU4142" t="s">
        <v>16501</v>
      </c>
      <c r="AV4142" t="s">
        <v>26176</v>
      </c>
      <c r="AW4142" t="s">
        <v>14001</v>
      </c>
      <c r="AX4142" t="s">
        <v>279</v>
      </c>
      <c r="AY4142" t="s">
        <v>29228</v>
      </c>
      <c r="AZ4142" t="s">
        <v>26137</v>
      </c>
      <c r="BA4142">
        <v>3</v>
      </c>
      <c r="BB4142">
        <v>26.07</v>
      </c>
      <c r="BC4142">
        <v>1.02</v>
      </c>
      <c r="BD4142">
        <v>21.01</v>
      </c>
      <c r="BE4142">
        <v>22.01</v>
      </c>
      <c r="BF4142">
        <v>21.35</v>
      </c>
      <c r="BG4142" t="s">
        <v>32252</v>
      </c>
      <c r="BH4142" t="s">
        <v>17344</v>
      </c>
      <c r="BI4142" t="s">
        <v>26137</v>
      </c>
      <c r="BJ4142" t="s">
        <v>101</v>
      </c>
      <c r="BK4142" t="s">
        <v>7279</v>
      </c>
      <c r="BL4142" t="s">
        <v>27836</v>
      </c>
      <c r="BM4142" t="s">
        <v>26710</v>
      </c>
      <c r="BN4142" t="s">
        <v>27621</v>
      </c>
    </row>
    <row r="4143" spans="1:66" x14ac:dyDescent="0.25">
      <c r="A4143" t="str">
        <f>HYPERLINK("https://elite.finviz.com/quote.ashx?t=MRSN&amp;ty=c&amp;p=d&amp;b=1", "MRSN")</f>
        <v>MRSN</v>
      </c>
      <c r="B4143">
        <v>4</v>
      </c>
      <c r="C4143">
        <v>105.92</v>
      </c>
      <c r="D4143">
        <v>49.84</v>
      </c>
      <c r="E4143" t="s">
        <v>32253</v>
      </c>
      <c r="F4143" t="s">
        <v>107</v>
      </c>
      <c r="G4143" t="s">
        <v>428</v>
      </c>
      <c r="H4143" t="s">
        <v>429</v>
      </c>
      <c r="I4143" t="s">
        <v>70</v>
      </c>
      <c r="J4143" t="s">
        <v>321</v>
      </c>
      <c r="K4143">
        <v>36.380000000000003</v>
      </c>
      <c r="L4143">
        <v>7.29</v>
      </c>
      <c r="M4143" t="s">
        <v>2082</v>
      </c>
      <c r="N4143">
        <v>5704</v>
      </c>
      <c r="R4143">
        <v>1.05</v>
      </c>
      <c r="AA4143">
        <v>-14.92</v>
      </c>
      <c r="AB4143" t="s">
        <v>14120</v>
      </c>
      <c r="AC4143" t="s">
        <v>12030</v>
      </c>
      <c r="AD4143" t="s">
        <v>2127</v>
      </c>
      <c r="AE4143" t="s">
        <v>1784</v>
      </c>
      <c r="AF4143" t="s">
        <v>32254</v>
      </c>
      <c r="AG4143" t="s">
        <v>241</v>
      </c>
      <c r="AH4143" t="s">
        <v>4479</v>
      </c>
      <c r="AI4143" t="s">
        <v>25102</v>
      </c>
      <c r="AJ4143" t="s">
        <v>1648</v>
      </c>
      <c r="AK4143" t="s">
        <v>10897</v>
      </c>
      <c r="AL4143">
        <v>1.35</v>
      </c>
      <c r="AM4143">
        <v>1.35</v>
      </c>
      <c r="AO4143" t="s">
        <v>26262</v>
      </c>
      <c r="AP4143" t="s">
        <v>32255</v>
      </c>
      <c r="AQ4143" t="s">
        <v>32256</v>
      </c>
      <c r="AR4143" t="s">
        <v>6525</v>
      </c>
      <c r="AS4143" t="s">
        <v>4641</v>
      </c>
      <c r="AT4143" t="s">
        <v>3344</v>
      </c>
      <c r="AU4143" t="s">
        <v>2103</v>
      </c>
      <c r="AV4143" t="s">
        <v>29101</v>
      </c>
      <c r="AW4143" t="s">
        <v>23489</v>
      </c>
      <c r="AX4143" t="s">
        <v>18812</v>
      </c>
      <c r="AY4143" t="s">
        <v>21287</v>
      </c>
      <c r="AZ4143" t="s">
        <v>18812</v>
      </c>
      <c r="BA4143">
        <v>1.22</v>
      </c>
      <c r="BB4143">
        <v>104.94</v>
      </c>
      <c r="BC4143">
        <v>0.19</v>
      </c>
      <c r="BD4143">
        <v>7.17</v>
      </c>
      <c r="BE4143">
        <v>7.34</v>
      </c>
      <c r="BF4143">
        <v>7.18</v>
      </c>
      <c r="BG4143" t="s">
        <v>32257</v>
      </c>
      <c r="BH4143" t="s">
        <v>22677</v>
      </c>
      <c r="BI4143" t="s">
        <v>18812</v>
      </c>
      <c r="BJ4143" t="s">
        <v>101</v>
      </c>
      <c r="BK4143" t="s">
        <v>497</v>
      </c>
      <c r="BL4143" t="s">
        <v>13478</v>
      </c>
      <c r="BM4143" t="s">
        <v>22421</v>
      </c>
      <c r="BN4143" t="s">
        <v>27621</v>
      </c>
    </row>
    <row r="4144" spans="1:66" x14ac:dyDescent="0.25">
      <c r="A4144" t="str">
        <f>HYPERLINK("https://elite.finviz.com/quote.ashx?t=RMCF&amp;ty=c&amp;p=d&amp;b=1", "RMCF")</f>
        <v>RMCF</v>
      </c>
      <c r="B4144">
        <v>4</v>
      </c>
      <c r="C4144">
        <v>105.92</v>
      </c>
      <c r="D4144">
        <v>49.85</v>
      </c>
      <c r="E4144" t="s">
        <v>32258</v>
      </c>
      <c r="F4144" t="s">
        <v>107</v>
      </c>
      <c r="G4144" t="s">
        <v>2244</v>
      </c>
      <c r="H4144" t="s">
        <v>7398</v>
      </c>
      <c r="I4144" t="s">
        <v>70</v>
      </c>
      <c r="J4144" t="s">
        <v>321</v>
      </c>
      <c r="K4144">
        <v>12.71</v>
      </c>
      <c r="L4144">
        <v>1.63</v>
      </c>
      <c r="M4144" t="s">
        <v>4308</v>
      </c>
      <c r="N4144">
        <v>23425</v>
      </c>
      <c r="R4144">
        <v>0.43</v>
      </c>
      <c r="S4144">
        <v>1.88</v>
      </c>
      <c r="V4144" t="s">
        <v>27175</v>
      </c>
      <c r="AA4144">
        <v>-0.64</v>
      </c>
      <c r="AB4144" t="s">
        <v>32259</v>
      </c>
      <c r="AE4144" t="s">
        <v>7210</v>
      </c>
      <c r="AF4144" t="s">
        <v>2757</v>
      </c>
      <c r="AG4144" t="s">
        <v>525</v>
      </c>
      <c r="AH4144" t="s">
        <v>6194</v>
      </c>
      <c r="AJ4144" t="s">
        <v>4902</v>
      </c>
      <c r="AK4144" t="s">
        <v>9093</v>
      </c>
      <c r="AL4144">
        <v>1.36</v>
      </c>
      <c r="AM4144">
        <v>0.61</v>
      </c>
      <c r="AN4144">
        <v>1.05</v>
      </c>
      <c r="AO4144" t="s">
        <v>15543</v>
      </c>
      <c r="AP4144" t="s">
        <v>7443</v>
      </c>
      <c r="AQ4144" t="s">
        <v>28267</v>
      </c>
      <c r="AR4144" t="s">
        <v>5227</v>
      </c>
      <c r="AS4144" t="s">
        <v>2655</v>
      </c>
      <c r="AT4144" t="s">
        <v>3226</v>
      </c>
      <c r="AU4144" t="s">
        <v>2509</v>
      </c>
      <c r="AV4144" t="s">
        <v>4203</v>
      </c>
      <c r="AW4144" t="s">
        <v>23230</v>
      </c>
      <c r="AX4144" t="s">
        <v>3103</v>
      </c>
      <c r="AY4144" t="s">
        <v>26842</v>
      </c>
      <c r="AZ4144" t="s">
        <v>15243</v>
      </c>
      <c r="BA4144">
        <v>1</v>
      </c>
      <c r="BB4144">
        <v>290.61</v>
      </c>
      <c r="BC4144">
        <v>0.28999999999999998</v>
      </c>
      <c r="BD4144">
        <v>1.62</v>
      </c>
      <c r="BE4144">
        <v>1.65</v>
      </c>
      <c r="BF4144">
        <v>1.58</v>
      </c>
      <c r="BG4144" t="s">
        <v>32260</v>
      </c>
      <c r="BH4144" t="s">
        <v>23631</v>
      </c>
      <c r="BI4144" t="s">
        <v>32261</v>
      </c>
      <c r="BJ4144" t="s">
        <v>101</v>
      </c>
      <c r="BK4144" t="s">
        <v>5307</v>
      </c>
      <c r="BL4144" t="s">
        <v>10294</v>
      </c>
      <c r="BM4144" t="s">
        <v>27245</v>
      </c>
      <c r="BN4144" t="s">
        <v>27621</v>
      </c>
    </row>
    <row r="4145" spans="1:66" x14ac:dyDescent="0.25">
      <c r="A4145" t="str">
        <f>HYPERLINK("https://elite.finviz.com/quote.ashx?t=TCRX&amp;ty=c&amp;p=d&amp;b=1", "TCRX")</f>
        <v>TCRX</v>
      </c>
      <c r="B4145">
        <v>4</v>
      </c>
      <c r="C4145">
        <v>105.92</v>
      </c>
      <c r="D4145">
        <v>49.86</v>
      </c>
      <c r="E4145" t="s">
        <v>32262</v>
      </c>
      <c r="F4145" t="s">
        <v>107</v>
      </c>
      <c r="G4145" t="s">
        <v>428</v>
      </c>
      <c r="H4145" t="s">
        <v>429</v>
      </c>
      <c r="I4145" t="s">
        <v>70</v>
      </c>
      <c r="J4145" t="s">
        <v>321</v>
      </c>
      <c r="K4145">
        <v>101.01</v>
      </c>
      <c r="L4145">
        <v>1.78</v>
      </c>
      <c r="M4145" t="s">
        <v>164</v>
      </c>
      <c r="N4145">
        <v>31383</v>
      </c>
      <c r="R4145">
        <v>14.51</v>
      </c>
      <c r="S4145">
        <v>0.56999999999999995</v>
      </c>
      <c r="AA4145">
        <v>-1.1000000000000001</v>
      </c>
      <c r="AB4145" t="s">
        <v>16148</v>
      </c>
      <c r="AC4145" t="s">
        <v>6373</v>
      </c>
      <c r="AD4145" t="s">
        <v>2816</v>
      </c>
      <c r="AE4145" t="s">
        <v>25650</v>
      </c>
      <c r="AF4145" t="s">
        <v>32263</v>
      </c>
      <c r="AH4145" t="s">
        <v>32264</v>
      </c>
      <c r="AI4145" t="s">
        <v>2867</v>
      </c>
      <c r="AJ4145" t="s">
        <v>6763</v>
      </c>
      <c r="AK4145" t="s">
        <v>2608</v>
      </c>
      <c r="AL4145">
        <v>7.06</v>
      </c>
      <c r="AM4145">
        <v>7.06</v>
      </c>
      <c r="AN4145">
        <v>0.55000000000000004</v>
      </c>
      <c r="AO4145" t="s">
        <v>28306</v>
      </c>
      <c r="AP4145" t="s">
        <v>32265</v>
      </c>
      <c r="AQ4145" t="s">
        <v>32266</v>
      </c>
      <c r="AR4145" t="s">
        <v>585</v>
      </c>
      <c r="AS4145" t="s">
        <v>4551</v>
      </c>
      <c r="AT4145" t="s">
        <v>5312</v>
      </c>
      <c r="AU4145" t="s">
        <v>386</v>
      </c>
      <c r="AV4145" t="s">
        <v>2951</v>
      </c>
      <c r="AW4145" t="s">
        <v>7543</v>
      </c>
      <c r="AX4145" t="s">
        <v>2933</v>
      </c>
      <c r="AY4145" t="s">
        <v>30942</v>
      </c>
      <c r="AZ4145" t="s">
        <v>10874</v>
      </c>
      <c r="BA4145">
        <v>1.1200000000000001</v>
      </c>
      <c r="BB4145">
        <v>348.63</v>
      </c>
      <c r="BC4145">
        <v>0.32</v>
      </c>
      <c r="BD4145">
        <v>1.78</v>
      </c>
      <c r="BE4145">
        <v>1.83</v>
      </c>
      <c r="BF4145">
        <v>1.75</v>
      </c>
      <c r="BG4145" t="s">
        <v>32267</v>
      </c>
      <c r="BH4145" t="s">
        <v>5018</v>
      </c>
      <c r="BI4145" t="s">
        <v>10874</v>
      </c>
      <c r="BJ4145" t="s">
        <v>101</v>
      </c>
      <c r="BK4145" t="s">
        <v>5022</v>
      </c>
      <c r="BL4145" t="s">
        <v>4253</v>
      </c>
      <c r="BM4145" t="s">
        <v>28476</v>
      </c>
      <c r="BN4145" t="s">
        <v>27621</v>
      </c>
    </row>
    <row r="4146" spans="1:66" x14ac:dyDescent="0.25">
      <c r="A4146" t="str">
        <f>HYPERLINK("https://elite.finviz.com/quote.ashx?t=SOBR&amp;ty=c&amp;p=d&amp;b=1", "SOBR")</f>
        <v>SOBR</v>
      </c>
      <c r="B4146">
        <v>4</v>
      </c>
      <c r="C4146">
        <v>105.92</v>
      </c>
      <c r="D4146">
        <v>49.92</v>
      </c>
      <c r="E4146" t="s">
        <v>32268</v>
      </c>
      <c r="F4146" t="s">
        <v>107</v>
      </c>
      <c r="G4146" t="s">
        <v>108</v>
      </c>
      <c r="H4146" t="s">
        <v>9222</v>
      </c>
      <c r="I4146" t="s">
        <v>70</v>
      </c>
      <c r="J4146" t="s">
        <v>321</v>
      </c>
      <c r="K4146">
        <v>5.16</v>
      </c>
      <c r="L4146">
        <v>3.4</v>
      </c>
      <c r="M4146" t="s">
        <v>3466</v>
      </c>
      <c r="N4146">
        <v>1017</v>
      </c>
      <c r="R4146">
        <v>17.2</v>
      </c>
      <c r="S4146">
        <v>0.64</v>
      </c>
      <c r="AA4146">
        <v>-63.46</v>
      </c>
      <c r="AB4146" t="s">
        <v>15317</v>
      </c>
      <c r="AC4146" t="s">
        <v>3314</v>
      </c>
      <c r="AE4146" t="s">
        <v>21053</v>
      </c>
      <c r="AH4146" t="s">
        <v>22211</v>
      </c>
      <c r="AI4146" t="s">
        <v>1001</v>
      </c>
      <c r="AJ4146" t="s">
        <v>164</v>
      </c>
      <c r="AK4146" t="s">
        <v>6829</v>
      </c>
      <c r="AL4146">
        <v>3.16</v>
      </c>
      <c r="AM4146">
        <v>3.09</v>
      </c>
      <c r="AN4146">
        <v>0.02</v>
      </c>
      <c r="AO4146" t="s">
        <v>23891</v>
      </c>
      <c r="AP4146" t="s">
        <v>32269</v>
      </c>
      <c r="AQ4146" t="s">
        <v>32270</v>
      </c>
      <c r="AR4146" t="s">
        <v>3450</v>
      </c>
      <c r="AS4146" t="s">
        <v>5152</v>
      </c>
      <c r="AT4146" t="s">
        <v>4276</v>
      </c>
      <c r="AU4146" t="s">
        <v>8607</v>
      </c>
      <c r="AV4146" t="s">
        <v>27778</v>
      </c>
      <c r="AW4146" t="s">
        <v>15659</v>
      </c>
      <c r="AX4146" t="s">
        <v>7688</v>
      </c>
      <c r="AY4146" t="s">
        <v>14790</v>
      </c>
      <c r="AZ4146" t="s">
        <v>26561</v>
      </c>
      <c r="BA4146">
        <v>1</v>
      </c>
      <c r="BB4146">
        <v>592.91999999999996</v>
      </c>
      <c r="BC4146">
        <v>0.01</v>
      </c>
      <c r="BD4146">
        <v>3.48</v>
      </c>
      <c r="BE4146">
        <v>3.41</v>
      </c>
      <c r="BF4146">
        <v>3.4</v>
      </c>
      <c r="BG4146" t="s">
        <v>32271</v>
      </c>
      <c r="BH4146" t="s">
        <v>579</v>
      </c>
      <c r="BI4146" t="s">
        <v>26561</v>
      </c>
      <c r="BJ4146" t="s">
        <v>101</v>
      </c>
      <c r="BK4146" t="s">
        <v>8415</v>
      </c>
      <c r="BL4146" t="s">
        <v>23614</v>
      </c>
      <c r="BM4146" t="s">
        <v>32272</v>
      </c>
      <c r="BN4146" t="s">
        <v>27621</v>
      </c>
    </row>
    <row r="4147" spans="1:66" x14ac:dyDescent="0.25">
      <c r="A4147" t="str">
        <f>HYPERLINK("https://elite.finviz.com/quote.ashx?t=CALC&amp;ty=c&amp;p=d&amp;b=1", "CALC")</f>
        <v>CALC</v>
      </c>
      <c r="B4147">
        <v>4</v>
      </c>
      <c r="C4147">
        <v>105.92</v>
      </c>
      <c r="D4147">
        <v>49.93</v>
      </c>
      <c r="E4147" t="s">
        <v>32273</v>
      </c>
      <c r="F4147" t="s">
        <v>107</v>
      </c>
      <c r="G4147" t="s">
        <v>428</v>
      </c>
      <c r="H4147" t="s">
        <v>429</v>
      </c>
      <c r="I4147" t="s">
        <v>70</v>
      </c>
      <c r="J4147" t="s">
        <v>321</v>
      </c>
      <c r="K4147">
        <v>42.76</v>
      </c>
      <c r="L4147">
        <v>3.06</v>
      </c>
      <c r="M4147" t="s">
        <v>3494</v>
      </c>
      <c r="N4147">
        <v>3407</v>
      </c>
      <c r="S4147">
        <v>7.01</v>
      </c>
      <c r="AA4147">
        <v>-1.59</v>
      </c>
      <c r="AB4147" t="s">
        <v>3391</v>
      </c>
      <c r="AC4147" t="s">
        <v>6998</v>
      </c>
      <c r="AD4147" t="s">
        <v>16451</v>
      </c>
      <c r="AI4147" t="s">
        <v>8795</v>
      </c>
      <c r="AJ4147" t="s">
        <v>3350</v>
      </c>
      <c r="AK4147" t="s">
        <v>6406</v>
      </c>
      <c r="AL4147">
        <v>5.45</v>
      </c>
      <c r="AM4147">
        <v>5.45</v>
      </c>
      <c r="AN4147">
        <v>1.39</v>
      </c>
      <c r="AR4147" t="s">
        <v>4128</v>
      </c>
      <c r="AS4147" t="s">
        <v>7512</v>
      </c>
      <c r="AT4147" t="s">
        <v>2673</v>
      </c>
      <c r="AU4147" t="s">
        <v>2372</v>
      </c>
      <c r="AV4147" t="s">
        <v>18942</v>
      </c>
      <c r="AW4147" t="s">
        <v>23633</v>
      </c>
      <c r="AX4147" t="s">
        <v>15625</v>
      </c>
      <c r="AY4147" t="s">
        <v>5021</v>
      </c>
      <c r="AZ4147" t="s">
        <v>32274</v>
      </c>
      <c r="BA4147">
        <v>1</v>
      </c>
      <c r="BB4147">
        <v>84.75</v>
      </c>
      <c r="BC4147">
        <v>0.14000000000000001</v>
      </c>
      <c r="BD4147">
        <v>3.01</v>
      </c>
      <c r="BE4147">
        <v>3.09</v>
      </c>
      <c r="BF4147">
        <v>3.05</v>
      </c>
      <c r="BG4147" t="s">
        <v>32275</v>
      </c>
      <c r="BH4147" t="s">
        <v>7802</v>
      </c>
      <c r="BI4147" t="s">
        <v>32276</v>
      </c>
      <c r="BJ4147" t="s">
        <v>101</v>
      </c>
      <c r="BK4147" t="s">
        <v>17239</v>
      </c>
      <c r="BL4147" t="s">
        <v>20954</v>
      </c>
      <c r="BM4147" t="s">
        <v>21381</v>
      </c>
      <c r="BN4147" t="s">
        <v>27621</v>
      </c>
    </row>
    <row r="4148" spans="1:66" x14ac:dyDescent="0.25">
      <c r="A4148" t="str">
        <f>HYPERLINK("https://elite.finviz.com/quote.ashx?t=ATOM&amp;ty=c&amp;p=d&amp;b=1", "ATOM")</f>
        <v>ATOM</v>
      </c>
      <c r="B4148">
        <v>4</v>
      </c>
      <c r="C4148">
        <v>105.92</v>
      </c>
      <c r="D4148">
        <v>49.94</v>
      </c>
      <c r="E4148" t="s">
        <v>32277</v>
      </c>
      <c r="F4148" t="s">
        <v>67</v>
      </c>
      <c r="G4148" t="s">
        <v>108</v>
      </c>
      <c r="H4148" t="s">
        <v>2097</v>
      </c>
      <c r="I4148" t="s">
        <v>70</v>
      </c>
      <c r="J4148" t="s">
        <v>321</v>
      </c>
      <c r="K4148">
        <v>116.8</v>
      </c>
      <c r="L4148">
        <v>3.71</v>
      </c>
      <c r="M4148" t="s">
        <v>4540</v>
      </c>
      <c r="N4148">
        <v>142563</v>
      </c>
      <c r="R4148">
        <v>2336.0700000000002</v>
      </c>
      <c r="S4148">
        <v>5.42</v>
      </c>
      <c r="AA4148">
        <v>-0.66</v>
      </c>
      <c r="AB4148" t="s">
        <v>2144</v>
      </c>
      <c r="AC4148" t="s">
        <v>2721</v>
      </c>
      <c r="AE4148" t="s">
        <v>10429</v>
      </c>
      <c r="AF4148" t="s">
        <v>16105</v>
      </c>
      <c r="AG4148" t="s">
        <v>28742</v>
      </c>
      <c r="AH4148" t="s">
        <v>579</v>
      </c>
      <c r="AI4148" t="s">
        <v>5406</v>
      </c>
      <c r="AJ4148" t="s">
        <v>13780</v>
      </c>
      <c r="AK4148" t="s">
        <v>5800</v>
      </c>
      <c r="AL4148">
        <v>8.14</v>
      </c>
      <c r="AM4148">
        <v>8.14</v>
      </c>
      <c r="AN4148">
        <v>0.06</v>
      </c>
      <c r="AO4148" t="s">
        <v>32278</v>
      </c>
      <c r="AP4148" t="s">
        <v>32279</v>
      </c>
      <c r="AQ4148" t="s">
        <v>32280</v>
      </c>
      <c r="AR4148" t="s">
        <v>11867</v>
      </c>
      <c r="AS4148" t="s">
        <v>1653</v>
      </c>
      <c r="AT4148" t="s">
        <v>5102</v>
      </c>
      <c r="AU4148" t="s">
        <v>103</v>
      </c>
      <c r="AV4148" t="s">
        <v>621</v>
      </c>
      <c r="AW4148" t="s">
        <v>32281</v>
      </c>
      <c r="AX4148" t="s">
        <v>10135</v>
      </c>
      <c r="AY4148" t="s">
        <v>32282</v>
      </c>
      <c r="AZ4148" t="s">
        <v>11278</v>
      </c>
      <c r="BA4148">
        <v>1</v>
      </c>
      <c r="BB4148">
        <v>465.06</v>
      </c>
      <c r="BC4148">
        <v>1.08</v>
      </c>
      <c r="BD4148">
        <v>3.91</v>
      </c>
      <c r="BE4148">
        <v>3.95</v>
      </c>
      <c r="BF4148">
        <v>3.71</v>
      </c>
      <c r="BG4148" t="s">
        <v>32283</v>
      </c>
      <c r="BH4148" t="s">
        <v>32284</v>
      </c>
      <c r="BI4148" t="s">
        <v>21835</v>
      </c>
      <c r="BJ4148" t="s">
        <v>101</v>
      </c>
      <c r="BK4148" t="s">
        <v>25253</v>
      </c>
      <c r="BL4148" t="s">
        <v>5643</v>
      </c>
      <c r="BM4148" t="s">
        <v>24805</v>
      </c>
      <c r="BN4148" t="s">
        <v>27621</v>
      </c>
    </row>
    <row r="4149" spans="1:66" x14ac:dyDescent="0.25">
      <c r="A4149" t="str">
        <f>HYPERLINK("https://elite.finviz.com/quote.ashx?t=SZZL&amp;ty=c&amp;p=d&amp;b=1", "SZZL")</f>
        <v>SZZL</v>
      </c>
      <c r="B4149">
        <v>4</v>
      </c>
      <c r="C4149">
        <v>105.92</v>
      </c>
      <c r="D4149">
        <v>49.95</v>
      </c>
      <c r="E4149" t="s">
        <v>32285</v>
      </c>
      <c r="F4149" t="s">
        <v>107</v>
      </c>
      <c r="G4149" t="s">
        <v>550</v>
      </c>
      <c r="H4149" t="s">
        <v>2120</v>
      </c>
      <c r="I4149" t="s">
        <v>70</v>
      </c>
      <c r="J4149" t="s">
        <v>321</v>
      </c>
      <c r="K4149">
        <v>233.91</v>
      </c>
      <c r="L4149">
        <v>10.08</v>
      </c>
      <c r="M4149" t="s">
        <v>164</v>
      </c>
      <c r="N4149">
        <v>0</v>
      </c>
      <c r="S4149">
        <v>1.42</v>
      </c>
      <c r="AJ4149" t="s">
        <v>164</v>
      </c>
      <c r="AK4149" t="s">
        <v>32286</v>
      </c>
      <c r="AL4149">
        <v>5.99</v>
      </c>
      <c r="AM4149">
        <v>5.99</v>
      </c>
      <c r="AN4149">
        <v>0</v>
      </c>
      <c r="AR4149" t="s">
        <v>1083</v>
      </c>
      <c r="AS4149" t="s">
        <v>3013</v>
      </c>
      <c r="AT4149" t="s">
        <v>3752</v>
      </c>
      <c r="AU4149" t="s">
        <v>4539</v>
      </c>
      <c r="AV4149" t="s">
        <v>3000</v>
      </c>
      <c r="AW4149" t="s">
        <v>6359</v>
      </c>
      <c r="AX4149" t="s">
        <v>5308</v>
      </c>
      <c r="AY4149" t="s">
        <v>6359</v>
      </c>
      <c r="AZ4149" t="s">
        <v>5308</v>
      </c>
      <c r="BB4149">
        <v>50.18</v>
      </c>
      <c r="BC4149">
        <v>0</v>
      </c>
      <c r="BD4149">
        <v>10.08</v>
      </c>
      <c r="BE4149">
        <v>10.08</v>
      </c>
      <c r="BF4149">
        <v>10.08</v>
      </c>
      <c r="BG4149" t="s">
        <v>32287</v>
      </c>
      <c r="BH4149" t="s">
        <v>6359</v>
      </c>
      <c r="BI4149" t="s">
        <v>5308</v>
      </c>
      <c r="BJ4149" t="s">
        <v>101</v>
      </c>
      <c r="BK4149" t="s">
        <v>6990</v>
      </c>
      <c r="BN4149" t="s">
        <v>27621</v>
      </c>
    </row>
    <row r="4150" spans="1:66" x14ac:dyDescent="0.25">
      <c r="A4150" t="str">
        <f>HYPERLINK("https://elite.finviz.com/quote.ashx?t=WMK&amp;ty=c&amp;p=d&amp;b=1", "WMK")</f>
        <v>WMK</v>
      </c>
      <c r="B4150">
        <v>4</v>
      </c>
      <c r="C4150">
        <v>105.92</v>
      </c>
      <c r="D4150">
        <v>49.98</v>
      </c>
      <c r="E4150" t="s">
        <v>32288</v>
      </c>
      <c r="F4150" t="s">
        <v>67</v>
      </c>
      <c r="G4150" t="s">
        <v>2244</v>
      </c>
      <c r="H4150" t="s">
        <v>14712</v>
      </c>
      <c r="I4150" t="s">
        <v>70</v>
      </c>
      <c r="J4150" t="s">
        <v>71</v>
      </c>
      <c r="K4150">
        <v>1773.02</v>
      </c>
      <c r="L4150">
        <v>71.650000000000006</v>
      </c>
      <c r="M4150" t="s">
        <v>2275</v>
      </c>
      <c r="N4150">
        <v>9138</v>
      </c>
      <c r="O4150">
        <v>17.829999999999998</v>
      </c>
      <c r="R4150">
        <v>0.37</v>
      </c>
      <c r="S4150">
        <v>1.33</v>
      </c>
      <c r="T4150" t="s">
        <v>4493</v>
      </c>
      <c r="U4150">
        <v>1.36</v>
      </c>
      <c r="V4150" t="s">
        <v>15179</v>
      </c>
      <c r="W4150" t="s">
        <v>164</v>
      </c>
      <c r="X4150" t="s">
        <v>205</v>
      </c>
      <c r="Y4150" t="s">
        <v>2219</v>
      </c>
      <c r="Z4150" t="s">
        <v>1266</v>
      </c>
      <c r="AA4150">
        <v>4.0199999999999996</v>
      </c>
      <c r="AB4150" t="s">
        <v>2290</v>
      </c>
      <c r="AC4150" t="s">
        <v>2085</v>
      </c>
      <c r="AE4150" t="s">
        <v>2333</v>
      </c>
      <c r="AF4150" t="s">
        <v>5672</v>
      </c>
      <c r="AG4150" t="s">
        <v>7767</v>
      </c>
      <c r="AH4150" t="s">
        <v>4916</v>
      </c>
      <c r="AJ4150" t="s">
        <v>23395</v>
      </c>
      <c r="AK4150" t="s">
        <v>12402</v>
      </c>
      <c r="AL4150">
        <v>2.0099999999999998</v>
      </c>
      <c r="AM4150">
        <v>1.04</v>
      </c>
      <c r="AN4150">
        <v>0.13</v>
      </c>
      <c r="AO4150" t="s">
        <v>9151</v>
      </c>
      <c r="AP4150" t="s">
        <v>744</v>
      </c>
      <c r="AQ4150" t="s">
        <v>5660</v>
      </c>
      <c r="AR4150" t="s">
        <v>5121</v>
      </c>
      <c r="AS4150" t="s">
        <v>2619</v>
      </c>
      <c r="AT4150" t="s">
        <v>3226</v>
      </c>
      <c r="AU4150" t="s">
        <v>2276</v>
      </c>
      <c r="AV4150" t="s">
        <v>3814</v>
      </c>
      <c r="AW4150" t="s">
        <v>1704</v>
      </c>
      <c r="AX4150" t="s">
        <v>1749</v>
      </c>
      <c r="AY4150" t="s">
        <v>13007</v>
      </c>
      <c r="AZ4150" t="s">
        <v>3875</v>
      </c>
      <c r="BB4150">
        <v>148.77000000000001</v>
      </c>
      <c r="BC4150">
        <v>0.22</v>
      </c>
      <c r="BD4150">
        <v>71.569999999999993</v>
      </c>
      <c r="BE4150">
        <v>72</v>
      </c>
      <c r="BF4150">
        <v>71.430000000000007</v>
      </c>
      <c r="BG4150" t="s">
        <v>32289</v>
      </c>
      <c r="BH4150" t="s">
        <v>32290</v>
      </c>
      <c r="BI4150" t="s">
        <v>32291</v>
      </c>
      <c r="BJ4150" t="s">
        <v>101</v>
      </c>
      <c r="BK4150" t="s">
        <v>2331</v>
      </c>
      <c r="BL4150" t="s">
        <v>2467</v>
      </c>
      <c r="BM4150" t="s">
        <v>754</v>
      </c>
      <c r="BN4150" t="s">
        <v>27621</v>
      </c>
    </row>
    <row r="4151" spans="1:66" x14ac:dyDescent="0.25">
      <c r="A4151" t="str">
        <f>HYPERLINK("https://elite.finviz.com/quote.ashx?t=EQIX&amp;ty=c&amp;p=d&amp;b=1", "EQIX")</f>
        <v>EQIX</v>
      </c>
      <c r="B4151">
        <v>4</v>
      </c>
      <c r="C4151">
        <v>105.92</v>
      </c>
      <c r="D4151">
        <v>50.04</v>
      </c>
      <c r="E4151" t="s">
        <v>32292</v>
      </c>
      <c r="F4151" t="s">
        <v>195</v>
      </c>
      <c r="G4151" t="s">
        <v>68</v>
      </c>
      <c r="H4151" t="s">
        <v>7227</v>
      </c>
      <c r="I4151" t="s">
        <v>70</v>
      </c>
      <c r="J4151" t="s">
        <v>321</v>
      </c>
      <c r="K4151">
        <v>76867.27</v>
      </c>
      <c r="L4151">
        <v>785.45</v>
      </c>
      <c r="M4151" t="s">
        <v>2290</v>
      </c>
      <c r="N4151">
        <v>72919</v>
      </c>
      <c r="O4151">
        <v>76.89</v>
      </c>
      <c r="P4151">
        <v>52.56</v>
      </c>
      <c r="Q4151">
        <v>3.39</v>
      </c>
      <c r="R4151">
        <v>8.6</v>
      </c>
      <c r="S4151">
        <v>5.46</v>
      </c>
      <c r="T4151" t="s">
        <v>4839</v>
      </c>
      <c r="U4151">
        <v>18.329999999999998</v>
      </c>
      <c r="V4151" t="s">
        <v>5737</v>
      </c>
      <c r="W4151" t="s">
        <v>3117</v>
      </c>
      <c r="X4151" t="s">
        <v>775</v>
      </c>
      <c r="Y4151" t="s">
        <v>5446</v>
      </c>
      <c r="Z4151" t="s">
        <v>32293</v>
      </c>
      <c r="AA4151">
        <v>10.220000000000001</v>
      </c>
      <c r="AB4151" t="s">
        <v>4455</v>
      </c>
      <c r="AC4151" t="s">
        <v>578</v>
      </c>
      <c r="AD4151" t="s">
        <v>18114</v>
      </c>
      <c r="AE4151" t="s">
        <v>3088</v>
      </c>
      <c r="AF4151" t="s">
        <v>127</v>
      </c>
      <c r="AG4151" t="s">
        <v>12048</v>
      </c>
      <c r="AH4151" t="s">
        <v>6378</v>
      </c>
      <c r="AI4151" t="s">
        <v>1021</v>
      </c>
      <c r="AJ4151" t="s">
        <v>4436</v>
      </c>
      <c r="AK4151" t="s">
        <v>17144</v>
      </c>
      <c r="AL4151">
        <v>1.54</v>
      </c>
      <c r="AM4151">
        <v>1.54</v>
      </c>
      <c r="AN4151">
        <v>1.55</v>
      </c>
      <c r="AO4151" t="s">
        <v>17800</v>
      </c>
      <c r="AP4151" t="s">
        <v>3450</v>
      </c>
      <c r="AQ4151" t="s">
        <v>821</v>
      </c>
      <c r="AR4151" t="s">
        <v>5084</v>
      </c>
      <c r="AS4151" t="s">
        <v>2195</v>
      </c>
      <c r="AT4151" t="s">
        <v>3446</v>
      </c>
      <c r="AU4151" t="s">
        <v>822</v>
      </c>
      <c r="AV4151" t="s">
        <v>1613</v>
      </c>
      <c r="AW4151" t="s">
        <v>3114</v>
      </c>
      <c r="AX4151" t="s">
        <v>4104</v>
      </c>
      <c r="AY4151" t="s">
        <v>5827</v>
      </c>
      <c r="AZ4151" t="s">
        <v>3492</v>
      </c>
      <c r="BA4151">
        <v>1.48</v>
      </c>
      <c r="BB4151">
        <v>592.59</v>
      </c>
      <c r="BC4151">
        <v>0.43</v>
      </c>
      <c r="BD4151">
        <v>782.88</v>
      </c>
      <c r="BE4151">
        <v>788.26</v>
      </c>
      <c r="BF4151">
        <v>785.01</v>
      </c>
      <c r="BG4151" t="s">
        <v>32294</v>
      </c>
      <c r="BH4151" t="s">
        <v>5827</v>
      </c>
      <c r="BI4151" t="s">
        <v>32295</v>
      </c>
      <c r="BJ4151" t="s">
        <v>101</v>
      </c>
      <c r="BK4151" t="s">
        <v>629</v>
      </c>
      <c r="BL4151" t="s">
        <v>5246</v>
      </c>
      <c r="BM4151" t="s">
        <v>9198</v>
      </c>
      <c r="BN4151" t="s">
        <v>27621</v>
      </c>
    </row>
    <row r="4152" spans="1:66" x14ac:dyDescent="0.25">
      <c r="A4152" t="str">
        <f>HYPERLINK("https://elite.finviz.com/quote.ashx?t=ATII&amp;ty=c&amp;p=d&amp;b=1", "ATII")</f>
        <v>ATII</v>
      </c>
      <c r="B4152">
        <v>4</v>
      </c>
      <c r="C4152">
        <v>105.92</v>
      </c>
      <c r="D4152">
        <v>50.05</v>
      </c>
      <c r="E4152" t="s">
        <v>32296</v>
      </c>
      <c r="F4152" t="s">
        <v>107</v>
      </c>
      <c r="G4152" t="s">
        <v>550</v>
      </c>
      <c r="H4152" t="s">
        <v>2120</v>
      </c>
      <c r="I4152" t="s">
        <v>70</v>
      </c>
      <c r="J4152" t="s">
        <v>321</v>
      </c>
      <c r="K4152">
        <v>302.12</v>
      </c>
      <c r="L4152">
        <v>10.210000000000001</v>
      </c>
      <c r="M4152" t="s">
        <v>164</v>
      </c>
      <c r="N4152">
        <v>0</v>
      </c>
      <c r="O4152">
        <v>86.82</v>
      </c>
      <c r="S4152">
        <v>1.32</v>
      </c>
      <c r="AA4152">
        <v>0.12</v>
      </c>
      <c r="AJ4152" t="s">
        <v>164</v>
      </c>
      <c r="AK4152" t="s">
        <v>32297</v>
      </c>
      <c r="AL4152">
        <v>11.94</v>
      </c>
      <c r="AM4152">
        <v>11.94</v>
      </c>
      <c r="AN4152">
        <v>0</v>
      </c>
      <c r="AR4152" t="s">
        <v>1083</v>
      </c>
      <c r="AS4152" t="s">
        <v>4494</v>
      </c>
      <c r="AT4152" t="s">
        <v>406</v>
      </c>
      <c r="AU4152" t="s">
        <v>1249</v>
      </c>
      <c r="AV4152" t="s">
        <v>8179</v>
      </c>
      <c r="AW4152" t="s">
        <v>1086</v>
      </c>
      <c r="AX4152" t="s">
        <v>1083</v>
      </c>
      <c r="AY4152" t="s">
        <v>1086</v>
      </c>
      <c r="AZ4152" t="s">
        <v>179</v>
      </c>
      <c r="BB4152">
        <v>57.78</v>
      </c>
      <c r="BC4152">
        <v>0</v>
      </c>
      <c r="BD4152">
        <v>10.210000000000001</v>
      </c>
      <c r="BE4152">
        <v>10.210000000000001</v>
      </c>
      <c r="BF4152">
        <v>10.210000000000001</v>
      </c>
      <c r="BG4152" t="s">
        <v>32298</v>
      </c>
      <c r="BH4152" t="s">
        <v>1086</v>
      </c>
      <c r="BI4152" t="s">
        <v>179</v>
      </c>
      <c r="BJ4152" t="s">
        <v>101</v>
      </c>
      <c r="BK4152" t="s">
        <v>2423</v>
      </c>
      <c r="BN4152" t="s">
        <v>27621</v>
      </c>
    </row>
    <row r="4153" spans="1:66" x14ac:dyDescent="0.25">
      <c r="A4153" t="str">
        <f>HYPERLINK("https://elite.finviz.com/quote.ashx?t=ACCS&amp;ty=c&amp;p=d&amp;b=1", "ACCS")</f>
        <v>ACCS</v>
      </c>
      <c r="B4153">
        <v>4</v>
      </c>
      <c r="C4153">
        <v>105.92</v>
      </c>
      <c r="D4153">
        <v>50.12</v>
      </c>
      <c r="E4153" t="s">
        <v>32299</v>
      </c>
      <c r="F4153" t="s">
        <v>107</v>
      </c>
      <c r="G4153" t="s">
        <v>598</v>
      </c>
      <c r="H4153" t="s">
        <v>1020</v>
      </c>
      <c r="I4153" t="s">
        <v>70</v>
      </c>
      <c r="J4153" t="s">
        <v>383</v>
      </c>
      <c r="K4153">
        <v>42.13</v>
      </c>
      <c r="L4153">
        <v>10.89</v>
      </c>
      <c r="M4153" t="s">
        <v>7780</v>
      </c>
      <c r="N4153">
        <v>777</v>
      </c>
      <c r="P4153">
        <v>13.61</v>
      </c>
      <c r="R4153">
        <v>1.76</v>
      </c>
      <c r="S4153">
        <v>1.37</v>
      </c>
      <c r="AA4153">
        <v>-1.44</v>
      </c>
      <c r="AE4153" t="s">
        <v>15099</v>
      </c>
      <c r="AF4153" t="s">
        <v>5084</v>
      </c>
      <c r="AG4153" t="s">
        <v>3432</v>
      </c>
      <c r="AH4153" t="s">
        <v>7824</v>
      </c>
      <c r="AI4153" t="s">
        <v>10500</v>
      </c>
      <c r="AJ4153" t="s">
        <v>4266</v>
      </c>
      <c r="AK4153" t="s">
        <v>558</v>
      </c>
      <c r="AL4153">
        <v>0.8</v>
      </c>
      <c r="AM4153">
        <v>0.8</v>
      </c>
      <c r="AN4153">
        <v>0.14000000000000001</v>
      </c>
      <c r="AO4153" t="s">
        <v>32300</v>
      </c>
      <c r="AP4153" t="s">
        <v>7356</v>
      </c>
      <c r="AQ4153" t="s">
        <v>28753</v>
      </c>
      <c r="AR4153" t="s">
        <v>3581</v>
      </c>
      <c r="AS4153" t="s">
        <v>1749</v>
      </c>
      <c r="AT4153" t="s">
        <v>4856</v>
      </c>
      <c r="AU4153" t="s">
        <v>1081</v>
      </c>
      <c r="AV4153" t="s">
        <v>635</v>
      </c>
      <c r="AW4153" t="s">
        <v>8900</v>
      </c>
      <c r="AX4153" t="s">
        <v>20144</v>
      </c>
      <c r="AY4153" t="s">
        <v>529</v>
      </c>
      <c r="AZ4153" t="s">
        <v>7919</v>
      </c>
      <c r="BA4153">
        <v>1</v>
      </c>
      <c r="BB4153">
        <v>10.85</v>
      </c>
      <c r="BC4153">
        <v>0.25</v>
      </c>
      <c r="BD4153">
        <v>10.74</v>
      </c>
      <c r="BE4153">
        <v>10.89</v>
      </c>
      <c r="BF4153">
        <v>10.51</v>
      </c>
      <c r="BG4153" t="s">
        <v>32301</v>
      </c>
      <c r="BH4153" t="s">
        <v>21884</v>
      </c>
      <c r="BI4153" t="s">
        <v>32302</v>
      </c>
      <c r="BJ4153" t="s">
        <v>101</v>
      </c>
      <c r="BK4153" t="s">
        <v>2982</v>
      </c>
      <c r="BL4153" t="s">
        <v>7321</v>
      </c>
      <c r="BM4153" t="s">
        <v>1952</v>
      </c>
      <c r="BN4153" t="s">
        <v>27621</v>
      </c>
    </row>
    <row r="4154" spans="1:66" x14ac:dyDescent="0.25">
      <c r="A4154" t="str">
        <f>HYPERLINK("https://elite.finviz.com/quote.ashx?t=OM&amp;ty=c&amp;p=d&amp;b=1", "OM")</f>
        <v>OM</v>
      </c>
      <c r="B4154">
        <v>4</v>
      </c>
      <c r="C4154">
        <v>105.92</v>
      </c>
      <c r="D4154">
        <v>50.13</v>
      </c>
      <c r="E4154" t="s">
        <v>32303</v>
      </c>
      <c r="F4154" t="s">
        <v>67</v>
      </c>
      <c r="G4154" t="s">
        <v>428</v>
      </c>
      <c r="H4154" t="s">
        <v>2051</v>
      </c>
      <c r="I4154" t="s">
        <v>70</v>
      </c>
      <c r="J4154" t="s">
        <v>321</v>
      </c>
      <c r="K4154">
        <v>255.44</v>
      </c>
      <c r="L4154">
        <v>14.39</v>
      </c>
      <c r="M4154" t="s">
        <v>9500</v>
      </c>
      <c r="N4154">
        <v>8457</v>
      </c>
      <c r="R4154">
        <v>2.14</v>
      </c>
      <c r="S4154">
        <v>1.69</v>
      </c>
      <c r="AA4154">
        <v>-20.3</v>
      </c>
      <c r="AB4154" t="s">
        <v>3758</v>
      </c>
      <c r="AC4154" t="s">
        <v>3897</v>
      </c>
      <c r="AD4154" t="s">
        <v>6434</v>
      </c>
      <c r="AE4154" t="s">
        <v>2789</v>
      </c>
      <c r="AF4154" t="s">
        <v>903</v>
      </c>
      <c r="AG4154" t="s">
        <v>8279</v>
      </c>
      <c r="AH4154" t="s">
        <v>5082</v>
      </c>
      <c r="AI4154" t="s">
        <v>6795</v>
      </c>
      <c r="AJ4154" t="s">
        <v>4886</v>
      </c>
      <c r="AK4154" t="s">
        <v>32304</v>
      </c>
      <c r="AL4154">
        <v>7.47</v>
      </c>
      <c r="AM4154">
        <v>6.05</v>
      </c>
      <c r="AN4154">
        <v>0.64</v>
      </c>
      <c r="AO4154" t="s">
        <v>6794</v>
      </c>
      <c r="AP4154" t="s">
        <v>31375</v>
      </c>
      <c r="AQ4154" t="s">
        <v>12150</v>
      </c>
      <c r="AR4154" t="s">
        <v>8808</v>
      </c>
      <c r="AS4154" t="s">
        <v>4173</v>
      </c>
      <c r="AT4154" t="s">
        <v>4493</v>
      </c>
      <c r="AU4154" t="s">
        <v>5746</v>
      </c>
      <c r="AV4154" t="s">
        <v>196</v>
      </c>
      <c r="AW4154" t="s">
        <v>8120</v>
      </c>
      <c r="AX4154" t="s">
        <v>11164</v>
      </c>
      <c r="AY4154" t="s">
        <v>8026</v>
      </c>
      <c r="AZ4154" t="s">
        <v>16849</v>
      </c>
      <c r="BA4154">
        <v>1.5</v>
      </c>
      <c r="BB4154">
        <v>294.04000000000002</v>
      </c>
      <c r="BC4154">
        <v>0.1</v>
      </c>
      <c r="BD4154">
        <v>14.71</v>
      </c>
      <c r="BE4154">
        <v>14.77</v>
      </c>
      <c r="BF4154">
        <v>14.27</v>
      </c>
      <c r="BG4154" t="s">
        <v>32305</v>
      </c>
      <c r="BH4154" t="s">
        <v>21388</v>
      </c>
      <c r="BI4154" t="s">
        <v>16849</v>
      </c>
      <c r="BJ4154" t="s">
        <v>101</v>
      </c>
      <c r="BK4154" t="s">
        <v>18686</v>
      </c>
      <c r="BL4154" t="s">
        <v>4592</v>
      </c>
      <c r="BM4154" t="s">
        <v>28107</v>
      </c>
      <c r="BN4154" t="s">
        <v>27621</v>
      </c>
    </row>
    <row r="4155" spans="1:66" x14ac:dyDescent="0.25">
      <c r="A4155" t="str">
        <f>HYPERLINK("https://elite.finviz.com/quote.ashx?t=TZOO&amp;ty=c&amp;p=d&amp;b=1", "TZOO")</f>
        <v>TZOO</v>
      </c>
      <c r="B4155">
        <v>4</v>
      </c>
      <c r="C4155">
        <v>105.92</v>
      </c>
      <c r="D4155">
        <v>50.16</v>
      </c>
      <c r="E4155" t="s">
        <v>32306</v>
      </c>
      <c r="F4155" t="s">
        <v>67</v>
      </c>
      <c r="G4155" t="s">
        <v>598</v>
      </c>
      <c r="H4155" t="s">
        <v>599</v>
      </c>
      <c r="I4155" t="s">
        <v>70</v>
      </c>
      <c r="J4155" t="s">
        <v>321</v>
      </c>
      <c r="K4155">
        <v>110.36</v>
      </c>
      <c r="L4155">
        <v>10.050000000000001</v>
      </c>
      <c r="M4155" t="s">
        <v>6298</v>
      </c>
      <c r="N4155">
        <v>22310</v>
      </c>
      <c r="O4155">
        <v>11.21</v>
      </c>
      <c r="P4155">
        <v>7.06</v>
      </c>
      <c r="Q4155">
        <v>2.66</v>
      </c>
      <c r="R4155">
        <v>1.26</v>
      </c>
      <c r="Z4155" t="s">
        <v>164</v>
      </c>
      <c r="AA4155">
        <v>0.9</v>
      </c>
      <c r="AB4155" t="s">
        <v>32307</v>
      </c>
      <c r="AC4155" t="s">
        <v>5157</v>
      </c>
      <c r="AD4155" t="s">
        <v>6460</v>
      </c>
      <c r="AE4155" t="s">
        <v>2941</v>
      </c>
      <c r="AF4155" t="s">
        <v>185</v>
      </c>
      <c r="AG4155" t="s">
        <v>6989</v>
      </c>
      <c r="AH4155" t="s">
        <v>4258</v>
      </c>
      <c r="AI4155" t="s">
        <v>28433</v>
      </c>
      <c r="AJ4155" t="s">
        <v>19663</v>
      </c>
      <c r="AK4155" t="s">
        <v>12051</v>
      </c>
      <c r="AL4155">
        <v>0.69</v>
      </c>
      <c r="AM4155">
        <v>0.69</v>
      </c>
      <c r="AO4155" t="s">
        <v>14705</v>
      </c>
      <c r="AP4155" t="s">
        <v>639</v>
      </c>
      <c r="AQ4155" t="s">
        <v>9861</v>
      </c>
      <c r="AR4155" t="s">
        <v>2493</v>
      </c>
      <c r="AS4155" t="s">
        <v>2764</v>
      </c>
      <c r="AT4155" t="s">
        <v>8016</v>
      </c>
      <c r="AU4155" t="s">
        <v>13366</v>
      </c>
      <c r="AV4155" t="s">
        <v>17336</v>
      </c>
      <c r="AW4155" t="s">
        <v>7000</v>
      </c>
      <c r="AX4155" t="s">
        <v>268</v>
      </c>
      <c r="AY4155" t="s">
        <v>32308</v>
      </c>
      <c r="AZ4155" t="s">
        <v>268</v>
      </c>
      <c r="BA4155">
        <v>1</v>
      </c>
      <c r="BB4155">
        <v>142.03</v>
      </c>
      <c r="BC4155">
        <v>0.55000000000000004</v>
      </c>
      <c r="BD4155">
        <v>10.119999999999999</v>
      </c>
      <c r="BE4155">
        <v>10.23</v>
      </c>
      <c r="BF4155">
        <v>10.029999999999999</v>
      </c>
      <c r="BG4155" t="s">
        <v>32309</v>
      </c>
      <c r="BH4155" t="s">
        <v>32310</v>
      </c>
      <c r="BI4155" t="s">
        <v>32311</v>
      </c>
      <c r="BJ4155" t="s">
        <v>101</v>
      </c>
      <c r="BK4155" t="s">
        <v>16656</v>
      </c>
      <c r="BL4155" t="s">
        <v>16614</v>
      </c>
      <c r="BM4155" t="s">
        <v>25040</v>
      </c>
      <c r="BN4155" t="s">
        <v>27621</v>
      </c>
    </row>
    <row r="4156" spans="1:66" x14ac:dyDescent="0.25">
      <c r="A4156" t="str">
        <f>HYPERLINK("https://elite.finviz.com/quote.ashx?t=VRRM&amp;ty=c&amp;p=d&amp;b=1", "VRRM")</f>
        <v>VRRM</v>
      </c>
      <c r="B4156">
        <v>4</v>
      </c>
      <c r="C4156">
        <v>105.92</v>
      </c>
      <c r="D4156">
        <v>50.17</v>
      </c>
      <c r="E4156" t="s">
        <v>32312</v>
      </c>
      <c r="F4156" t="s">
        <v>67</v>
      </c>
      <c r="G4156" t="s">
        <v>108</v>
      </c>
      <c r="H4156" t="s">
        <v>1322</v>
      </c>
      <c r="I4156" t="s">
        <v>70</v>
      </c>
      <c r="J4156" t="s">
        <v>321</v>
      </c>
      <c r="K4156">
        <v>3918.22</v>
      </c>
      <c r="L4156">
        <v>24.56</v>
      </c>
      <c r="M4156" t="s">
        <v>124</v>
      </c>
      <c r="N4156">
        <v>83778</v>
      </c>
      <c r="O4156">
        <v>103.45</v>
      </c>
      <c r="P4156">
        <v>16.43</v>
      </c>
      <c r="Q4156">
        <v>10.130000000000001</v>
      </c>
      <c r="R4156">
        <v>4.32</v>
      </c>
      <c r="S4156">
        <v>11.13</v>
      </c>
      <c r="Z4156" t="s">
        <v>164</v>
      </c>
      <c r="AA4156">
        <v>0.24</v>
      </c>
      <c r="AB4156" t="s">
        <v>1245</v>
      </c>
      <c r="AC4156" t="s">
        <v>5365</v>
      </c>
      <c r="AD4156" t="s">
        <v>7669</v>
      </c>
      <c r="AE4156" t="s">
        <v>5944</v>
      </c>
      <c r="AF4156" t="s">
        <v>13213</v>
      </c>
      <c r="AG4156" t="s">
        <v>2867</v>
      </c>
      <c r="AH4156" t="s">
        <v>5455</v>
      </c>
      <c r="AI4156" t="s">
        <v>3638</v>
      </c>
      <c r="AJ4156" t="s">
        <v>1356</v>
      </c>
      <c r="AK4156" t="s">
        <v>18456</v>
      </c>
      <c r="AL4156">
        <v>2.27</v>
      </c>
      <c r="AM4156">
        <v>2.19</v>
      </c>
      <c r="AN4156">
        <v>2.99</v>
      </c>
      <c r="AO4156" t="s">
        <v>6389</v>
      </c>
      <c r="AP4156" t="s">
        <v>19441</v>
      </c>
      <c r="AQ4156" t="s">
        <v>3025</v>
      </c>
      <c r="AR4156" t="s">
        <v>3544</v>
      </c>
      <c r="AS4156" t="s">
        <v>2640</v>
      </c>
      <c r="AT4156" t="s">
        <v>1324</v>
      </c>
      <c r="AU4156" t="s">
        <v>2760</v>
      </c>
      <c r="AV4156" t="s">
        <v>1599</v>
      </c>
      <c r="AW4156" t="s">
        <v>944</v>
      </c>
      <c r="AX4156" t="s">
        <v>5847</v>
      </c>
      <c r="AY4156" t="s">
        <v>23652</v>
      </c>
      <c r="AZ4156" t="s">
        <v>3750</v>
      </c>
      <c r="BA4156">
        <v>1.43</v>
      </c>
      <c r="BB4156">
        <v>883.45</v>
      </c>
      <c r="BC4156">
        <v>0.33</v>
      </c>
      <c r="BD4156">
        <v>24.64</v>
      </c>
      <c r="BE4156">
        <v>24.93</v>
      </c>
      <c r="BF4156">
        <v>24.56</v>
      </c>
      <c r="BG4156" t="s">
        <v>32313</v>
      </c>
      <c r="BH4156" t="s">
        <v>20487</v>
      </c>
      <c r="BI4156" t="s">
        <v>32314</v>
      </c>
      <c r="BJ4156" t="s">
        <v>101</v>
      </c>
      <c r="BK4156" t="s">
        <v>2149</v>
      </c>
      <c r="BL4156" t="s">
        <v>433</v>
      </c>
      <c r="BM4156" t="s">
        <v>9594</v>
      </c>
      <c r="BN4156" t="s">
        <v>27621</v>
      </c>
    </row>
    <row r="4157" spans="1:66" x14ac:dyDescent="0.25">
      <c r="A4157" t="str">
        <f>HYPERLINK("https://elite.finviz.com/quote.ashx?t=HPK&amp;ty=c&amp;p=d&amp;b=1", "HPK")</f>
        <v>HPK</v>
      </c>
      <c r="B4157">
        <v>4</v>
      </c>
      <c r="C4157">
        <v>105.92</v>
      </c>
      <c r="D4157">
        <v>50.24</v>
      </c>
      <c r="E4157" t="s">
        <v>32315</v>
      </c>
      <c r="F4157" t="s">
        <v>67</v>
      </c>
      <c r="G4157" t="s">
        <v>1048</v>
      </c>
      <c r="H4157" t="s">
        <v>1049</v>
      </c>
      <c r="I4157" t="s">
        <v>70</v>
      </c>
      <c r="J4157" t="s">
        <v>321</v>
      </c>
      <c r="K4157">
        <v>939.58</v>
      </c>
      <c r="L4157">
        <v>7.45</v>
      </c>
      <c r="M4157" t="s">
        <v>5968</v>
      </c>
      <c r="N4157">
        <v>97523</v>
      </c>
      <c r="O4157">
        <v>8.67</v>
      </c>
      <c r="P4157">
        <v>20.98</v>
      </c>
      <c r="R4157">
        <v>0.97</v>
      </c>
      <c r="S4157">
        <v>0.56999999999999995</v>
      </c>
      <c r="T4157" t="s">
        <v>2430</v>
      </c>
      <c r="U4157">
        <v>0.16</v>
      </c>
      <c r="V4157" t="s">
        <v>2187</v>
      </c>
      <c r="W4157" t="s">
        <v>8778</v>
      </c>
      <c r="X4157" t="s">
        <v>20883</v>
      </c>
      <c r="Z4157" t="s">
        <v>3426</v>
      </c>
      <c r="AA4157">
        <v>0.86</v>
      </c>
      <c r="AB4157" t="s">
        <v>8625</v>
      </c>
      <c r="AD4157" t="s">
        <v>22034</v>
      </c>
      <c r="AE4157" t="s">
        <v>11946</v>
      </c>
      <c r="AF4157" t="s">
        <v>32316</v>
      </c>
      <c r="AG4157" t="s">
        <v>32317</v>
      </c>
      <c r="AH4157" t="s">
        <v>2152</v>
      </c>
      <c r="AI4157" t="s">
        <v>23464</v>
      </c>
      <c r="AJ4157" t="s">
        <v>164</v>
      </c>
      <c r="AK4157" t="s">
        <v>5894</v>
      </c>
      <c r="AL4157">
        <v>0.87</v>
      </c>
      <c r="AM4157">
        <v>0.82</v>
      </c>
      <c r="AN4157">
        <v>0.62</v>
      </c>
      <c r="AO4157" t="s">
        <v>15115</v>
      </c>
      <c r="AP4157" t="s">
        <v>7450</v>
      </c>
      <c r="AQ4157" t="s">
        <v>3532</v>
      </c>
      <c r="AR4157" t="s">
        <v>8593</v>
      </c>
      <c r="AS4157" t="s">
        <v>2429</v>
      </c>
      <c r="AT4157" t="s">
        <v>7322</v>
      </c>
      <c r="AU4157" t="s">
        <v>2951</v>
      </c>
      <c r="AV4157" t="s">
        <v>8397</v>
      </c>
      <c r="AW4157" t="s">
        <v>21494</v>
      </c>
      <c r="AX4157" t="s">
        <v>2337</v>
      </c>
      <c r="AY4157" t="s">
        <v>24837</v>
      </c>
      <c r="AZ4157" t="s">
        <v>2337</v>
      </c>
      <c r="BA4157">
        <v>3.5</v>
      </c>
      <c r="BB4157">
        <v>470.94</v>
      </c>
      <c r="BC4157">
        <v>0.73</v>
      </c>
      <c r="BD4157">
        <v>7.3</v>
      </c>
      <c r="BE4157">
        <v>7.52</v>
      </c>
      <c r="BF4157">
        <v>7.33</v>
      </c>
      <c r="BG4157" t="s">
        <v>32318</v>
      </c>
      <c r="BH4157" t="s">
        <v>15939</v>
      </c>
      <c r="BI4157" t="s">
        <v>16543</v>
      </c>
      <c r="BJ4157" t="s">
        <v>101</v>
      </c>
      <c r="BK4157" t="s">
        <v>17246</v>
      </c>
      <c r="BL4157" t="s">
        <v>32319</v>
      </c>
      <c r="BM4157" t="s">
        <v>25488</v>
      </c>
      <c r="BN4157" t="s">
        <v>27621</v>
      </c>
    </row>
    <row r="4158" spans="1:66" x14ac:dyDescent="0.25">
      <c r="A4158" t="str">
        <f>HYPERLINK("https://elite.finviz.com/quote.ashx?t=RAMP&amp;ty=c&amp;p=d&amp;b=1", "RAMP")</f>
        <v>RAMP</v>
      </c>
      <c r="B4158">
        <v>4</v>
      </c>
      <c r="C4158">
        <v>105.92</v>
      </c>
      <c r="D4158">
        <v>50.34</v>
      </c>
      <c r="E4158" t="s">
        <v>32320</v>
      </c>
      <c r="F4158" t="s">
        <v>67</v>
      </c>
      <c r="G4158" t="s">
        <v>108</v>
      </c>
      <c r="H4158" t="s">
        <v>109</v>
      </c>
      <c r="I4158" t="s">
        <v>70</v>
      </c>
      <c r="J4158" t="s">
        <v>71</v>
      </c>
      <c r="K4158">
        <v>1822.52</v>
      </c>
      <c r="L4158">
        <v>27.78</v>
      </c>
      <c r="M4158" t="s">
        <v>4699</v>
      </c>
      <c r="N4158">
        <v>65856</v>
      </c>
      <c r="O4158">
        <v>129.33000000000001</v>
      </c>
      <c r="P4158">
        <v>10.69</v>
      </c>
      <c r="Q4158">
        <v>5.98</v>
      </c>
      <c r="R4158">
        <v>2.38</v>
      </c>
      <c r="S4158">
        <v>1.92</v>
      </c>
      <c r="AA4158">
        <v>0.21</v>
      </c>
      <c r="AB4158" t="s">
        <v>14103</v>
      </c>
      <c r="AC4158" t="s">
        <v>18652</v>
      </c>
      <c r="AD4158" t="s">
        <v>16007</v>
      </c>
      <c r="AE4158" t="s">
        <v>7345</v>
      </c>
      <c r="AF4158" t="s">
        <v>3923</v>
      </c>
      <c r="AG4158" t="s">
        <v>2867</v>
      </c>
      <c r="AH4158" t="s">
        <v>5841</v>
      </c>
      <c r="AI4158" t="s">
        <v>995</v>
      </c>
      <c r="AJ4158" t="s">
        <v>4436</v>
      </c>
      <c r="AK4158" t="s">
        <v>32321</v>
      </c>
      <c r="AL4158">
        <v>2.84</v>
      </c>
      <c r="AM4158">
        <v>2.84</v>
      </c>
      <c r="AN4158">
        <v>0.04</v>
      </c>
      <c r="AO4158" t="s">
        <v>7267</v>
      </c>
      <c r="AP4158" t="s">
        <v>4495</v>
      </c>
      <c r="AQ4158" t="s">
        <v>2609</v>
      </c>
      <c r="AR4158" t="s">
        <v>2624</v>
      </c>
      <c r="AS4158" t="s">
        <v>2619</v>
      </c>
      <c r="AT4158" t="s">
        <v>7780</v>
      </c>
      <c r="AU4158" t="s">
        <v>2136</v>
      </c>
      <c r="AV4158" t="s">
        <v>6231</v>
      </c>
      <c r="AW4158" t="s">
        <v>16736</v>
      </c>
      <c r="AX4158" t="s">
        <v>7361</v>
      </c>
      <c r="AY4158" t="s">
        <v>16057</v>
      </c>
      <c r="AZ4158" t="s">
        <v>3375</v>
      </c>
      <c r="BA4158">
        <v>1.75</v>
      </c>
      <c r="BB4158">
        <v>580.54</v>
      </c>
      <c r="BC4158">
        <v>0.4</v>
      </c>
      <c r="BD4158">
        <v>27.81</v>
      </c>
      <c r="BE4158">
        <v>28</v>
      </c>
      <c r="BF4158">
        <v>27.61</v>
      </c>
      <c r="BG4158" t="s">
        <v>32322</v>
      </c>
      <c r="BH4158" t="s">
        <v>25643</v>
      </c>
      <c r="BI4158" t="s">
        <v>32323</v>
      </c>
      <c r="BJ4158" t="s">
        <v>101</v>
      </c>
      <c r="BK4158" t="s">
        <v>24267</v>
      </c>
      <c r="BL4158" t="s">
        <v>5929</v>
      </c>
      <c r="BM4158" t="s">
        <v>605</v>
      </c>
      <c r="BN4158" t="s">
        <v>27621</v>
      </c>
    </row>
    <row r="4159" spans="1:66" x14ac:dyDescent="0.25">
      <c r="A4159" t="str">
        <f>HYPERLINK("https://elite.finviz.com/quote.ashx?t=ROCK&amp;ty=c&amp;p=d&amp;b=1", "ROCK")</f>
        <v>ROCK</v>
      </c>
      <c r="B4159">
        <v>4</v>
      </c>
      <c r="C4159">
        <v>105.92</v>
      </c>
      <c r="D4159">
        <v>50.38</v>
      </c>
      <c r="E4159" t="s">
        <v>32324</v>
      </c>
      <c r="F4159" t="s">
        <v>67</v>
      </c>
      <c r="G4159" t="s">
        <v>260</v>
      </c>
      <c r="H4159" t="s">
        <v>3225</v>
      </c>
      <c r="I4159" t="s">
        <v>70</v>
      </c>
      <c r="J4159" t="s">
        <v>321</v>
      </c>
      <c r="K4159">
        <v>1818.74</v>
      </c>
      <c r="L4159">
        <v>61.63</v>
      </c>
      <c r="M4159" t="s">
        <v>2881</v>
      </c>
      <c r="N4159">
        <v>25355</v>
      </c>
      <c r="O4159">
        <v>14.76</v>
      </c>
      <c r="P4159">
        <v>12.23</v>
      </c>
      <c r="R4159">
        <v>1.44</v>
      </c>
      <c r="S4159">
        <v>1.75</v>
      </c>
      <c r="V4159" t="s">
        <v>32325</v>
      </c>
      <c r="Z4159" t="s">
        <v>164</v>
      </c>
      <c r="AA4159">
        <v>4.18</v>
      </c>
      <c r="AB4159" t="s">
        <v>4451</v>
      </c>
      <c r="AC4159" t="s">
        <v>7874</v>
      </c>
      <c r="AE4159" t="s">
        <v>5663</v>
      </c>
      <c r="AF4159" t="s">
        <v>241</v>
      </c>
      <c r="AG4159" t="s">
        <v>4437</v>
      </c>
      <c r="AH4159" t="s">
        <v>11904</v>
      </c>
      <c r="AI4159" t="s">
        <v>3444</v>
      </c>
      <c r="AJ4159" t="s">
        <v>2176</v>
      </c>
      <c r="AK4159" t="s">
        <v>32326</v>
      </c>
      <c r="AL4159">
        <v>2.54</v>
      </c>
      <c r="AM4159">
        <v>2.12</v>
      </c>
      <c r="AN4159">
        <v>0.05</v>
      </c>
      <c r="AO4159" t="s">
        <v>3580</v>
      </c>
      <c r="AP4159" t="s">
        <v>14731</v>
      </c>
      <c r="AQ4159" t="s">
        <v>3491</v>
      </c>
      <c r="AR4159" t="s">
        <v>4547</v>
      </c>
      <c r="AS4159" t="s">
        <v>2356</v>
      </c>
      <c r="AT4159" t="s">
        <v>5055</v>
      </c>
      <c r="AU4159" t="s">
        <v>7089</v>
      </c>
      <c r="AV4159" t="s">
        <v>343</v>
      </c>
      <c r="AW4159" t="s">
        <v>4229</v>
      </c>
      <c r="AX4159" t="s">
        <v>8662</v>
      </c>
      <c r="AY4159" t="s">
        <v>8527</v>
      </c>
      <c r="AZ4159" t="s">
        <v>116</v>
      </c>
      <c r="BA4159">
        <v>1</v>
      </c>
      <c r="BB4159">
        <v>232.69</v>
      </c>
      <c r="BC4159">
        <v>0.38</v>
      </c>
      <c r="BD4159">
        <v>61.05</v>
      </c>
      <c r="BE4159">
        <v>61.77</v>
      </c>
      <c r="BF4159">
        <v>61</v>
      </c>
      <c r="BG4159" t="s">
        <v>32327</v>
      </c>
      <c r="BH4159" t="s">
        <v>24610</v>
      </c>
      <c r="BI4159" t="s">
        <v>32328</v>
      </c>
      <c r="BJ4159" t="s">
        <v>101</v>
      </c>
      <c r="BK4159" t="s">
        <v>5116</v>
      </c>
      <c r="BL4159" t="s">
        <v>1358</v>
      </c>
      <c r="BM4159" t="s">
        <v>2537</v>
      </c>
      <c r="BN4159" t="s">
        <v>27621</v>
      </c>
    </row>
    <row r="4160" spans="1:66" x14ac:dyDescent="0.25">
      <c r="A4160" t="str">
        <f>HYPERLINK("https://elite.finviz.com/quote.ashx?t=GEL&amp;ty=c&amp;p=d&amp;b=1", "GEL")</f>
        <v>GEL</v>
      </c>
      <c r="B4160">
        <v>4</v>
      </c>
      <c r="C4160">
        <v>105.92</v>
      </c>
      <c r="D4160">
        <v>50.49</v>
      </c>
      <c r="E4160" t="s">
        <v>32329</v>
      </c>
      <c r="F4160" t="s">
        <v>107</v>
      </c>
      <c r="G4160" t="s">
        <v>1048</v>
      </c>
      <c r="H4160" t="s">
        <v>3915</v>
      </c>
      <c r="I4160" t="s">
        <v>70</v>
      </c>
      <c r="J4160" t="s">
        <v>71</v>
      </c>
      <c r="K4160">
        <v>2037.8</v>
      </c>
      <c r="L4160">
        <v>16.64</v>
      </c>
      <c r="M4160" t="s">
        <v>4507</v>
      </c>
      <c r="N4160">
        <v>13043</v>
      </c>
      <c r="P4160">
        <v>13.31</v>
      </c>
      <c r="R4160">
        <v>0.92</v>
      </c>
      <c r="T4160" t="s">
        <v>1148</v>
      </c>
      <c r="U4160">
        <v>0.66</v>
      </c>
      <c r="V4160" t="s">
        <v>5604</v>
      </c>
      <c r="W4160" t="s">
        <v>2082</v>
      </c>
      <c r="X4160" t="s">
        <v>2418</v>
      </c>
      <c r="Y4160" t="s">
        <v>9576</v>
      </c>
      <c r="AA4160">
        <v>-1.56</v>
      </c>
      <c r="AB4160" t="s">
        <v>8814</v>
      </c>
      <c r="AE4160" t="s">
        <v>21109</v>
      </c>
      <c r="AF4160" t="s">
        <v>8041</v>
      </c>
      <c r="AG4160" t="s">
        <v>5111</v>
      </c>
      <c r="AH4160" t="s">
        <v>15508</v>
      </c>
      <c r="AI4160" t="s">
        <v>23073</v>
      </c>
      <c r="AJ4160" t="s">
        <v>164</v>
      </c>
      <c r="AK4160" t="s">
        <v>16015</v>
      </c>
      <c r="AL4160">
        <v>0.94</v>
      </c>
      <c r="AM4160">
        <v>0.85</v>
      </c>
      <c r="AN4160">
        <v>11.13</v>
      </c>
      <c r="AO4160" t="s">
        <v>4390</v>
      </c>
      <c r="AP4160" t="s">
        <v>2514</v>
      </c>
      <c r="AQ4160" t="s">
        <v>6735</v>
      </c>
      <c r="AR4160" t="s">
        <v>4547</v>
      </c>
      <c r="AS4160" t="s">
        <v>2643</v>
      </c>
      <c r="AT4160" t="s">
        <v>2362</v>
      </c>
      <c r="AU4160" t="s">
        <v>337</v>
      </c>
      <c r="AV4160" t="s">
        <v>9175</v>
      </c>
      <c r="AW4160" t="s">
        <v>5567</v>
      </c>
      <c r="AX4160" t="s">
        <v>2174</v>
      </c>
      <c r="AY4160" t="s">
        <v>5567</v>
      </c>
      <c r="AZ4160" t="s">
        <v>26217</v>
      </c>
      <c r="BA4160">
        <v>1.33</v>
      </c>
      <c r="BB4160">
        <v>431.74</v>
      </c>
      <c r="BC4160">
        <v>0.11</v>
      </c>
      <c r="BD4160">
        <v>16.63</v>
      </c>
      <c r="BE4160">
        <v>16.78</v>
      </c>
      <c r="BF4160">
        <v>16.66</v>
      </c>
      <c r="BG4160" t="s">
        <v>32330</v>
      </c>
      <c r="BH4160" t="s">
        <v>21040</v>
      </c>
      <c r="BI4160" t="s">
        <v>32331</v>
      </c>
      <c r="BJ4160" t="s">
        <v>101</v>
      </c>
      <c r="BK4160" t="s">
        <v>15052</v>
      </c>
      <c r="BL4160" t="s">
        <v>3057</v>
      </c>
      <c r="BM4160" t="s">
        <v>15944</v>
      </c>
      <c r="BN4160" t="s">
        <v>27621</v>
      </c>
    </row>
    <row r="4161" spans="1:66" x14ac:dyDescent="0.25">
      <c r="A4161" t="str">
        <f>HYPERLINK("https://elite.finviz.com/quote.ashx?t=CVRX&amp;ty=c&amp;p=d&amp;b=1", "CVRX")</f>
        <v>CVRX</v>
      </c>
      <c r="B4161">
        <v>4</v>
      </c>
      <c r="C4161">
        <v>105.92</v>
      </c>
      <c r="D4161">
        <v>50.52</v>
      </c>
      <c r="E4161" t="s">
        <v>32332</v>
      </c>
      <c r="F4161" t="s">
        <v>67</v>
      </c>
      <c r="G4161" t="s">
        <v>428</v>
      </c>
      <c r="H4161" t="s">
        <v>2051</v>
      </c>
      <c r="I4161" t="s">
        <v>70</v>
      </c>
      <c r="J4161" t="s">
        <v>321</v>
      </c>
      <c r="K4161">
        <v>196.14</v>
      </c>
      <c r="L4161">
        <v>7.5</v>
      </c>
      <c r="M4161" t="s">
        <v>4547</v>
      </c>
      <c r="N4161">
        <v>19192</v>
      </c>
      <c r="R4161">
        <v>3.59</v>
      </c>
      <c r="S4161">
        <v>3.38</v>
      </c>
      <c r="AA4161">
        <v>-2.1</v>
      </c>
      <c r="AB4161" t="s">
        <v>2467</v>
      </c>
      <c r="AC4161" t="s">
        <v>21494</v>
      </c>
      <c r="AD4161" t="s">
        <v>2095</v>
      </c>
      <c r="AE4161" t="s">
        <v>5501</v>
      </c>
      <c r="AF4161" t="s">
        <v>13904</v>
      </c>
      <c r="AG4161" t="s">
        <v>8909</v>
      </c>
      <c r="AH4161" t="s">
        <v>8078</v>
      </c>
      <c r="AI4161" t="s">
        <v>119</v>
      </c>
      <c r="AJ4161" t="s">
        <v>4256</v>
      </c>
      <c r="AK4161" t="s">
        <v>15159</v>
      </c>
      <c r="AL4161">
        <v>11.99</v>
      </c>
      <c r="AM4161">
        <v>10.78</v>
      </c>
      <c r="AN4161">
        <v>0.87</v>
      </c>
      <c r="AO4161" t="s">
        <v>6389</v>
      </c>
      <c r="AP4161" t="s">
        <v>10308</v>
      </c>
      <c r="AQ4161" t="s">
        <v>32333</v>
      </c>
      <c r="AR4161" t="s">
        <v>4641</v>
      </c>
      <c r="AS4161" t="s">
        <v>2174</v>
      </c>
      <c r="AT4161" t="s">
        <v>1226</v>
      </c>
      <c r="AU4161" t="s">
        <v>5895</v>
      </c>
      <c r="AV4161" t="s">
        <v>10420</v>
      </c>
      <c r="AW4161" t="s">
        <v>9638</v>
      </c>
      <c r="AX4161" t="s">
        <v>480</v>
      </c>
      <c r="AY4161" t="s">
        <v>14396</v>
      </c>
      <c r="AZ4161" t="s">
        <v>4472</v>
      </c>
      <c r="BA4161">
        <v>1.57</v>
      </c>
      <c r="BB4161">
        <v>242.83</v>
      </c>
      <c r="BC4161">
        <v>0.28000000000000003</v>
      </c>
      <c r="BD4161">
        <v>7.32</v>
      </c>
      <c r="BE4161">
        <v>7.47</v>
      </c>
      <c r="BF4161">
        <v>7.33</v>
      </c>
      <c r="BG4161" t="s">
        <v>32334</v>
      </c>
      <c r="BH4161" t="s">
        <v>32335</v>
      </c>
      <c r="BI4161" t="s">
        <v>4472</v>
      </c>
      <c r="BJ4161" t="s">
        <v>101</v>
      </c>
      <c r="BK4161" t="s">
        <v>4461</v>
      </c>
      <c r="BL4161" t="s">
        <v>3370</v>
      </c>
      <c r="BM4161" t="s">
        <v>11328</v>
      </c>
      <c r="BN4161" t="s">
        <v>27621</v>
      </c>
    </row>
    <row r="4162" spans="1:66" x14ac:dyDescent="0.25">
      <c r="A4162" t="str">
        <f>HYPERLINK("https://elite.finviz.com/quote.ashx?t=MTEX&amp;ty=c&amp;p=d&amp;b=1", "MTEX")</f>
        <v>MTEX</v>
      </c>
      <c r="B4162">
        <v>4</v>
      </c>
      <c r="C4162">
        <v>105.92</v>
      </c>
      <c r="D4162">
        <v>50.56</v>
      </c>
      <c r="E4162" t="s">
        <v>32336</v>
      </c>
      <c r="F4162" t="s">
        <v>107</v>
      </c>
      <c r="G4162" t="s">
        <v>2244</v>
      </c>
      <c r="H4162" t="s">
        <v>6825</v>
      </c>
      <c r="I4162" t="s">
        <v>70</v>
      </c>
      <c r="J4162" t="s">
        <v>321</v>
      </c>
      <c r="K4162">
        <v>16.559999999999999</v>
      </c>
      <c r="L4162">
        <v>8.7100000000000009</v>
      </c>
      <c r="M4162" t="s">
        <v>4125</v>
      </c>
      <c r="N4162">
        <v>1303</v>
      </c>
      <c r="R4162">
        <v>0.15</v>
      </c>
      <c r="S4162">
        <v>2.78</v>
      </c>
      <c r="V4162" t="s">
        <v>32337</v>
      </c>
      <c r="Z4162" t="s">
        <v>164</v>
      </c>
      <c r="AA4162">
        <v>-2.0499999999999998</v>
      </c>
      <c r="AB4162" t="s">
        <v>32338</v>
      </c>
      <c r="AC4162" t="s">
        <v>3388</v>
      </c>
      <c r="AE4162" t="s">
        <v>1613</v>
      </c>
      <c r="AF4162" t="s">
        <v>12163</v>
      </c>
      <c r="AG4162" t="s">
        <v>8889</v>
      </c>
      <c r="AH4162" t="s">
        <v>5703</v>
      </c>
      <c r="AJ4162" t="s">
        <v>164</v>
      </c>
      <c r="AK4162" t="s">
        <v>7283</v>
      </c>
      <c r="AL4162">
        <v>1.07</v>
      </c>
      <c r="AM4162">
        <v>0.45</v>
      </c>
      <c r="AN4162">
        <v>1.07</v>
      </c>
      <c r="AO4162" t="s">
        <v>13803</v>
      </c>
      <c r="AP4162" t="s">
        <v>1358</v>
      </c>
      <c r="AQ4162" t="s">
        <v>5309</v>
      </c>
      <c r="AR4162" t="s">
        <v>3435</v>
      </c>
      <c r="AS4162" t="s">
        <v>5607</v>
      </c>
      <c r="AT4162" t="s">
        <v>211</v>
      </c>
      <c r="AU4162" t="s">
        <v>102</v>
      </c>
      <c r="AV4162" t="s">
        <v>12843</v>
      </c>
      <c r="AW4162" t="s">
        <v>19242</v>
      </c>
      <c r="AX4162" t="s">
        <v>14962</v>
      </c>
      <c r="AY4162" t="s">
        <v>5108</v>
      </c>
      <c r="AZ4162" t="s">
        <v>7125</v>
      </c>
      <c r="BB4162">
        <v>21.72</v>
      </c>
      <c r="BC4162">
        <v>0.21</v>
      </c>
      <c r="BD4162">
        <v>8.3800000000000008</v>
      </c>
      <c r="BE4162">
        <v>8.7100000000000009</v>
      </c>
      <c r="BF4162">
        <v>8.7100000000000009</v>
      </c>
      <c r="BG4162" t="s">
        <v>32339</v>
      </c>
      <c r="BH4162" t="s">
        <v>32340</v>
      </c>
      <c r="BI4162" t="s">
        <v>32341</v>
      </c>
      <c r="BJ4162" t="s">
        <v>101</v>
      </c>
      <c r="BK4162" t="s">
        <v>1820</v>
      </c>
      <c r="BL4162" t="s">
        <v>23323</v>
      </c>
      <c r="BM4162" t="s">
        <v>3997</v>
      </c>
      <c r="BN4162" t="s">
        <v>27621</v>
      </c>
    </row>
    <row r="4163" spans="1:66" x14ac:dyDescent="0.25">
      <c r="A4163" t="str">
        <f>HYPERLINK("https://elite.finviz.com/quote.ashx?t=ALOT&amp;ty=c&amp;p=d&amp;b=1", "ALOT")</f>
        <v>ALOT</v>
      </c>
      <c r="B4163">
        <v>4</v>
      </c>
      <c r="C4163">
        <v>105.92</v>
      </c>
      <c r="D4163">
        <v>50.62</v>
      </c>
      <c r="E4163" t="s">
        <v>32342</v>
      </c>
      <c r="F4163" t="s">
        <v>107</v>
      </c>
      <c r="G4163" t="s">
        <v>108</v>
      </c>
      <c r="H4163" t="s">
        <v>496</v>
      </c>
      <c r="I4163" t="s">
        <v>70</v>
      </c>
      <c r="J4163" t="s">
        <v>321</v>
      </c>
      <c r="K4163">
        <v>80.87</v>
      </c>
      <c r="L4163">
        <v>10.59</v>
      </c>
      <c r="M4163" t="s">
        <v>1050</v>
      </c>
      <c r="N4163">
        <v>2644</v>
      </c>
      <c r="R4163">
        <v>0.53</v>
      </c>
      <c r="S4163">
        <v>1.06</v>
      </c>
      <c r="V4163" t="s">
        <v>32343</v>
      </c>
      <c r="AA4163">
        <v>-2.25</v>
      </c>
      <c r="AE4163" t="s">
        <v>4840</v>
      </c>
      <c r="AF4163" t="s">
        <v>5726</v>
      </c>
      <c r="AG4163" t="s">
        <v>387</v>
      </c>
      <c r="AH4163" t="s">
        <v>9631</v>
      </c>
      <c r="AJ4163" t="s">
        <v>909</v>
      </c>
      <c r="AK4163" t="s">
        <v>16362</v>
      </c>
      <c r="AL4163">
        <v>1.71</v>
      </c>
      <c r="AM4163">
        <v>0.61</v>
      </c>
      <c r="AN4163">
        <v>0.64</v>
      </c>
      <c r="AO4163" t="s">
        <v>32344</v>
      </c>
      <c r="AP4163" t="s">
        <v>679</v>
      </c>
      <c r="AQ4163" t="s">
        <v>4218</v>
      </c>
      <c r="AR4163" t="s">
        <v>2233</v>
      </c>
      <c r="AS4163" t="s">
        <v>3450</v>
      </c>
      <c r="AT4163" t="s">
        <v>2560</v>
      </c>
      <c r="AU4163" t="s">
        <v>4529</v>
      </c>
      <c r="AV4163" t="s">
        <v>2486</v>
      </c>
      <c r="AW4163" t="s">
        <v>7737</v>
      </c>
      <c r="AX4163" t="s">
        <v>3491</v>
      </c>
      <c r="AY4163" t="s">
        <v>16187</v>
      </c>
      <c r="AZ4163" t="s">
        <v>16130</v>
      </c>
      <c r="BA4163">
        <v>1</v>
      </c>
      <c r="BB4163">
        <v>16.41</v>
      </c>
      <c r="BC4163">
        <v>0.56999999999999995</v>
      </c>
      <c r="BD4163">
        <v>10.210000000000001</v>
      </c>
      <c r="BE4163">
        <v>10.45</v>
      </c>
      <c r="BF4163">
        <v>10.15</v>
      </c>
      <c r="BG4163" t="s">
        <v>32345</v>
      </c>
      <c r="BH4163" t="s">
        <v>32346</v>
      </c>
      <c r="BI4163" t="s">
        <v>32347</v>
      </c>
      <c r="BJ4163" t="s">
        <v>101</v>
      </c>
      <c r="BK4163" t="s">
        <v>7650</v>
      </c>
      <c r="BL4163" t="s">
        <v>6748</v>
      </c>
      <c r="BM4163" t="s">
        <v>3276</v>
      </c>
      <c r="BN4163" t="s">
        <v>27621</v>
      </c>
    </row>
    <row r="4164" spans="1:66" x14ac:dyDescent="0.25">
      <c r="A4164" t="str">
        <f>HYPERLINK("https://elite.finviz.com/quote.ashx?t=PHIO&amp;ty=c&amp;p=d&amp;b=1", "PHIO")</f>
        <v>PHIO</v>
      </c>
      <c r="B4164">
        <v>4</v>
      </c>
      <c r="C4164">
        <v>105.92</v>
      </c>
      <c r="D4164">
        <v>50.62</v>
      </c>
      <c r="E4164" t="s">
        <v>32348</v>
      </c>
      <c r="F4164" t="s">
        <v>107</v>
      </c>
      <c r="G4164" t="s">
        <v>428</v>
      </c>
      <c r="H4164" t="s">
        <v>429</v>
      </c>
      <c r="I4164" t="s">
        <v>70</v>
      </c>
      <c r="J4164" t="s">
        <v>321</v>
      </c>
      <c r="K4164">
        <v>12.54</v>
      </c>
      <c r="L4164">
        <v>2.19</v>
      </c>
      <c r="M4164" t="s">
        <v>2203</v>
      </c>
      <c r="N4164">
        <v>56829</v>
      </c>
      <c r="S4164">
        <v>1.04</v>
      </c>
      <c r="AA4164">
        <v>-3.34</v>
      </c>
      <c r="AB4164" t="s">
        <v>29089</v>
      </c>
      <c r="AC4164" t="s">
        <v>1556</v>
      </c>
      <c r="AD4164" t="s">
        <v>26650</v>
      </c>
      <c r="AI4164" t="s">
        <v>1427</v>
      </c>
      <c r="AJ4164" t="s">
        <v>5116</v>
      </c>
      <c r="AK4164" t="s">
        <v>5045</v>
      </c>
      <c r="AL4164">
        <v>9.36</v>
      </c>
      <c r="AM4164">
        <v>9.36</v>
      </c>
      <c r="AN4164">
        <v>0</v>
      </c>
      <c r="AR4164" t="s">
        <v>4678</v>
      </c>
      <c r="AS4164" t="s">
        <v>351</v>
      </c>
      <c r="AT4164" t="s">
        <v>3493</v>
      </c>
      <c r="AU4164" t="s">
        <v>6533</v>
      </c>
      <c r="AV4164" t="s">
        <v>3983</v>
      </c>
      <c r="AW4164" t="s">
        <v>19961</v>
      </c>
      <c r="AX4164" t="s">
        <v>8848</v>
      </c>
      <c r="AY4164" t="s">
        <v>32349</v>
      </c>
      <c r="AZ4164" t="s">
        <v>21049</v>
      </c>
      <c r="BA4164">
        <v>1</v>
      </c>
      <c r="BB4164">
        <v>927.29</v>
      </c>
      <c r="BC4164">
        <v>0.22</v>
      </c>
      <c r="BD4164">
        <v>2.2000000000000002</v>
      </c>
      <c r="BE4164">
        <v>2.2599999999999998</v>
      </c>
      <c r="BF4164">
        <v>2.16</v>
      </c>
      <c r="BG4164" t="s">
        <v>32350</v>
      </c>
      <c r="BH4164" t="s">
        <v>579</v>
      </c>
      <c r="BI4164" t="s">
        <v>21049</v>
      </c>
      <c r="BJ4164" t="s">
        <v>101</v>
      </c>
      <c r="BK4164" t="s">
        <v>2864</v>
      </c>
      <c r="BL4164" t="s">
        <v>24951</v>
      </c>
      <c r="BM4164" t="s">
        <v>10044</v>
      </c>
      <c r="BN4164" t="s">
        <v>27621</v>
      </c>
    </row>
    <row r="4165" spans="1:66" x14ac:dyDescent="0.25">
      <c r="A4165" t="str">
        <f>HYPERLINK("https://elite.finviz.com/quote.ashx?t=CFR&amp;ty=c&amp;p=d&amp;b=1", "CFR")</f>
        <v>CFR</v>
      </c>
      <c r="B4165">
        <v>4</v>
      </c>
      <c r="C4165">
        <v>105.92</v>
      </c>
      <c r="D4165">
        <v>50.73</v>
      </c>
      <c r="E4165" t="s">
        <v>32351</v>
      </c>
      <c r="F4165" t="s">
        <v>107</v>
      </c>
      <c r="G4165" t="s">
        <v>550</v>
      </c>
      <c r="H4165" t="s">
        <v>697</v>
      </c>
      <c r="I4165" t="s">
        <v>70</v>
      </c>
      <c r="J4165" t="s">
        <v>71</v>
      </c>
      <c r="K4165">
        <v>8226.8799999999992</v>
      </c>
      <c r="L4165">
        <v>127.89</v>
      </c>
      <c r="M4165" t="s">
        <v>2468</v>
      </c>
      <c r="N4165">
        <v>56957</v>
      </c>
      <c r="O4165">
        <v>13.77</v>
      </c>
      <c r="P4165">
        <v>13.3</v>
      </c>
      <c r="Q4165">
        <v>3.24</v>
      </c>
      <c r="R4165">
        <v>2.87</v>
      </c>
      <c r="S4165">
        <v>2.0299999999999998</v>
      </c>
      <c r="T4165" t="s">
        <v>1932</v>
      </c>
      <c r="U4165">
        <v>3.9</v>
      </c>
      <c r="V4165" t="s">
        <v>4882</v>
      </c>
      <c r="W4165" t="s">
        <v>5045</v>
      </c>
      <c r="X4165" t="s">
        <v>2783</v>
      </c>
      <c r="Y4165" t="s">
        <v>1496</v>
      </c>
      <c r="Z4165" t="s">
        <v>24996</v>
      </c>
      <c r="AA4165">
        <v>9.2899999999999991</v>
      </c>
      <c r="AB4165" t="s">
        <v>1533</v>
      </c>
      <c r="AC4165" t="s">
        <v>6956</v>
      </c>
      <c r="AD4165" t="s">
        <v>353</v>
      </c>
      <c r="AE4165" t="s">
        <v>4795</v>
      </c>
      <c r="AF4165" t="s">
        <v>14149</v>
      </c>
      <c r="AG4165" t="s">
        <v>10137</v>
      </c>
      <c r="AH4165" t="s">
        <v>3487</v>
      </c>
      <c r="AI4165" t="s">
        <v>9130</v>
      </c>
      <c r="AJ4165" t="s">
        <v>629</v>
      </c>
      <c r="AK4165" t="s">
        <v>32352</v>
      </c>
      <c r="AL4165">
        <v>0.25</v>
      </c>
      <c r="AN4165">
        <v>1.18</v>
      </c>
      <c r="AP4165" t="s">
        <v>5068</v>
      </c>
      <c r="AQ4165" t="s">
        <v>3073</v>
      </c>
      <c r="AR4165" t="s">
        <v>2087</v>
      </c>
      <c r="AS4165" t="s">
        <v>5258</v>
      </c>
      <c r="AT4165" t="s">
        <v>497</v>
      </c>
      <c r="AU4165" t="s">
        <v>7270</v>
      </c>
      <c r="AV4165" t="s">
        <v>4312</v>
      </c>
      <c r="AW4165" t="s">
        <v>16256</v>
      </c>
      <c r="AX4165" t="s">
        <v>4957</v>
      </c>
      <c r="AY4165" t="s">
        <v>11925</v>
      </c>
      <c r="AZ4165" t="s">
        <v>18942</v>
      </c>
      <c r="BA4165">
        <v>3</v>
      </c>
      <c r="BB4165">
        <v>424.45</v>
      </c>
      <c r="BC4165">
        <v>0.47</v>
      </c>
      <c r="BD4165">
        <v>128.16999999999999</v>
      </c>
      <c r="BE4165">
        <v>129.49</v>
      </c>
      <c r="BF4165">
        <v>127.75</v>
      </c>
      <c r="BG4165" t="s">
        <v>32353</v>
      </c>
      <c r="BH4165" t="s">
        <v>7992</v>
      </c>
      <c r="BI4165" t="s">
        <v>32354</v>
      </c>
      <c r="BJ4165" t="s">
        <v>101</v>
      </c>
      <c r="BK4165" t="s">
        <v>174</v>
      </c>
      <c r="BL4165" t="s">
        <v>3454</v>
      </c>
      <c r="BM4165" t="s">
        <v>5609</v>
      </c>
      <c r="BN4165" t="s">
        <v>27621</v>
      </c>
    </row>
    <row r="4166" spans="1:66" x14ac:dyDescent="0.25">
      <c r="A4166" t="str">
        <f>HYPERLINK("https://elite.finviz.com/quote.ashx?t=UHAL-B&amp;ty=c&amp;p=d&amp;b=1", "UHAL-B")</f>
        <v>UHAL-B</v>
      </c>
      <c r="B4166">
        <v>4</v>
      </c>
      <c r="C4166">
        <v>105.92</v>
      </c>
      <c r="D4166">
        <v>50.74</v>
      </c>
      <c r="E4166" t="s">
        <v>32355</v>
      </c>
      <c r="F4166" t="s">
        <v>107</v>
      </c>
      <c r="G4166" t="s">
        <v>260</v>
      </c>
      <c r="H4166" t="s">
        <v>7905</v>
      </c>
      <c r="I4166" t="s">
        <v>70</v>
      </c>
      <c r="J4166" t="s">
        <v>71</v>
      </c>
      <c r="K4166">
        <v>10353.469999999999</v>
      </c>
      <c r="L4166">
        <v>52.17</v>
      </c>
      <c r="M4166" t="s">
        <v>2421</v>
      </c>
      <c r="N4166">
        <v>74315</v>
      </c>
      <c r="O4166">
        <v>36.71</v>
      </c>
      <c r="R4166">
        <v>1.75</v>
      </c>
      <c r="S4166">
        <v>1.34</v>
      </c>
      <c r="T4166" t="s">
        <v>3226</v>
      </c>
      <c r="U4166">
        <v>0.2</v>
      </c>
      <c r="W4166" t="s">
        <v>821</v>
      </c>
      <c r="X4166" t="s">
        <v>10076</v>
      </c>
      <c r="Z4166" t="s">
        <v>164</v>
      </c>
      <c r="AA4166">
        <v>1.42</v>
      </c>
      <c r="AB4166" t="s">
        <v>32356</v>
      </c>
      <c r="AC4166" t="s">
        <v>28056</v>
      </c>
      <c r="AE4166" t="s">
        <v>4569</v>
      </c>
      <c r="AF4166" t="s">
        <v>4271</v>
      </c>
      <c r="AG4166" t="s">
        <v>223</v>
      </c>
      <c r="AH4166" t="s">
        <v>1452</v>
      </c>
      <c r="AJ4166" t="s">
        <v>164</v>
      </c>
      <c r="AK4166" t="s">
        <v>946</v>
      </c>
      <c r="AL4166">
        <v>1.66</v>
      </c>
      <c r="AM4166">
        <v>1.48</v>
      </c>
      <c r="AN4166">
        <v>0.95</v>
      </c>
      <c r="AO4166" t="s">
        <v>6388</v>
      </c>
      <c r="AP4166" t="s">
        <v>8041</v>
      </c>
      <c r="AQ4166" t="s">
        <v>372</v>
      </c>
      <c r="AR4166" t="s">
        <v>1761</v>
      </c>
      <c r="AS4166" t="s">
        <v>1776</v>
      </c>
      <c r="AT4166" t="s">
        <v>2362</v>
      </c>
      <c r="AU4166" t="s">
        <v>3940</v>
      </c>
      <c r="AV4166" t="s">
        <v>11333</v>
      </c>
      <c r="AW4166" t="s">
        <v>7972</v>
      </c>
      <c r="AX4166" t="s">
        <v>3524</v>
      </c>
      <c r="AY4166" t="s">
        <v>31374</v>
      </c>
      <c r="AZ4166" t="s">
        <v>3524</v>
      </c>
      <c r="BB4166">
        <v>374.1</v>
      </c>
      <c r="BC4166">
        <v>0.7</v>
      </c>
      <c r="BD4166">
        <v>51.11</v>
      </c>
      <c r="BE4166">
        <v>52.2</v>
      </c>
      <c r="BF4166">
        <v>50.53</v>
      </c>
      <c r="BG4166" t="s">
        <v>32357</v>
      </c>
      <c r="BH4166" t="s">
        <v>31374</v>
      </c>
      <c r="BI4166" t="s">
        <v>11735</v>
      </c>
      <c r="BJ4166" t="s">
        <v>101</v>
      </c>
      <c r="BK4166" t="s">
        <v>9927</v>
      </c>
      <c r="BL4166" t="s">
        <v>7454</v>
      </c>
      <c r="BM4166" t="s">
        <v>3646</v>
      </c>
      <c r="BN4166" t="s">
        <v>27621</v>
      </c>
    </row>
    <row r="4167" spans="1:66" x14ac:dyDescent="0.25">
      <c r="A4167" t="str">
        <f>HYPERLINK("https://elite.finviz.com/quote.ashx?t=CMP&amp;ty=c&amp;p=d&amp;b=1", "CMP")</f>
        <v>CMP</v>
      </c>
      <c r="B4167">
        <v>4</v>
      </c>
      <c r="C4167">
        <v>105.92</v>
      </c>
      <c r="D4167">
        <v>50.82</v>
      </c>
      <c r="E4167" t="s">
        <v>32358</v>
      </c>
      <c r="F4167" t="s">
        <v>67</v>
      </c>
      <c r="G4167" t="s">
        <v>355</v>
      </c>
      <c r="H4167" t="s">
        <v>356</v>
      </c>
      <c r="I4167" t="s">
        <v>70</v>
      </c>
      <c r="J4167" t="s">
        <v>71</v>
      </c>
      <c r="K4167">
        <v>786.24</v>
      </c>
      <c r="L4167">
        <v>18.86</v>
      </c>
      <c r="M4167" t="s">
        <v>3752</v>
      </c>
      <c r="N4167">
        <v>42945</v>
      </c>
      <c r="P4167">
        <v>33.090000000000003</v>
      </c>
      <c r="R4167">
        <v>0.64</v>
      </c>
      <c r="S4167">
        <v>3.15</v>
      </c>
      <c r="V4167" t="s">
        <v>32359</v>
      </c>
      <c r="AA4167">
        <v>-2.91</v>
      </c>
      <c r="AD4167" t="s">
        <v>32360</v>
      </c>
      <c r="AE4167" t="s">
        <v>296</v>
      </c>
      <c r="AF4167" t="s">
        <v>2233</v>
      </c>
      <c r="AG4167" t="s">
        <v>3509</v>
      </c>
      <c r="AH4167" t="s">
        <v>1576</v>
      </c>
      <c r="AI4167" t="s">
        <v>32361</v>
      </c>
      <c r="AJ4167" t="s">
        <v>4507</v>
      </c>
      <c r="AK4167" t="s">
        <v>29566</v>
      </c>
      <c r="AL4167">
        <v>2.15</v>
      </c>
      <c r="AM4167">
        <v>1.1499999999999999</v>
      </c>
      <c r="AN4167">
        <v>3.37</v>
      </c>
      <c r="AO4167" t="s">
        <v>7114</v>
      </c>
      <c r="AP4167" t="s">
        <v>3524</v>
      </c>
      <c r="AQ4167" t="s">
        <v>13982</v>
      </c>
      <c r="AR4167" t="s">
        <v>1981</v>
      </c>
      <c r="AS4167" t="s">
        <v>6726</v>
      </c>
      <c r="AT4167" t="s">
        <v>2274</v>
      </c>
      <c r="AU4167" t="s">
        <v>4113</v>
      </c>
      <c r="AV4167" t="s">
        <v>6892</v>
      </c>
      <c r="AW4167" t="s">
        <v>4550</v>
      </c>
      <c r="AX4167" t="s">
        <v>2945</v>
      </c>
      <c r="AY4167" t="s">
        <v>19682</v>
      </c>
      <c r="AZ4167" t="s">
        <v>32362</v>
      </c>
      <c r="BA4167">
        <v>3</v>
      </c>
      <c r="BB4167">
        <v>497.75</v>
      </c>
      <c r="BC4167">
        <v>0.3</v>
      </c>
      <c r="BD4167">
        <v>18.87</v>
      </c>
      <c r="BE4167">
        <v>18.989999999999998</v>
      </c>
      <c r="BF4167">
        <v>18.62</v>
      </c>
      <c r="BG4167" t="s">
        <v>32363</v>
      </c>
      <c r="BH4167" t="s">
        <v>32364</v>
      </c>
      <c r="BI4167" t="s">
        <v>32365</v>
      </c>
      <c r="BJ4167" t="s">
        <v>101</v>
      </c>
      <c r="BK4167" t="s">
        <v>2220</v>
      </c>
      <c r="BL4167" t="s">
        <v>895</v>
      </c>
      <c r="BM4167" t="s">
        <v>32366</v>
      </c>
      <c r="BN4167" t="s">
        <v>27621</v>
      </c>
    </row>
    <row r="4168" spans="1:66" x14ac:dyDescent="0.25">
      <c r="A4168" t="str">
        <f>HYPERLINK("https://elite.finviz.com/quote.ashx?t=SNCR&amp;ty=c&amp;p=d&amp;b=1", "SNCR")</f>
        <v>SNCR</v>
      </c>
      <c r="B4168">
        <v>4</v>
      </c>
      <c r="C4168">
        <v>105.92</v>
      </c>
      <c r="D4168">
        <v>50.82</v>
      </c>
      <c r="E4168" t="s">
        <v>32367</v>
      </c>
      <c r="F4168" t="s">
        <v>67</v>
      </c>
      <c r="G4168" t="s">
        <v>108</v>
      </c>
      <c r="H4168" t="s">
        <v>109</v>
      </c>
      <c r="I4168" t="s">
        <v>70</v>
      </c>
      <c r="J4168" t="s">
        <v>321</v>
      </c>
      <c r="K4168">
        <v>72.98</v>
      </c>
      <c r="L4168">
        <v>6.34</v>
      </c>
      <c r="M4168" t="s">
        <v>3286</v>
      </c>
      <c r="N4168">
        <v>5705</v>
      </c>
      <c r="P4168">
        <v>3.37</v>
      </c>
      <c r="R4168">
        <v>0.42</v>
      </c>
      <c r="S4168">
        <v>1.48</v>
      </c>
      <c r="Z4168" t="s">
        <v>164</v>
      </c>
      <c r="AA4168">
        <v>-2.1</v>
      </c>
      <c r="AE4168" t="s">
        <v>7300</v>
      </c>
      <c r="AF4168" t="s">
        <v>4405</v>
      </c>
      <c r="AG4168" t="s">
        <v>17277</v>
      </c>
      <c r="AH4168" t="s">
        <v>6640</v>
      </c>
      <c r="AI4168" t="s">
        <v>9531</v>
      </c>
      <c r="AJ4168" t="s">
        <v>1904</v>
      </c>
      <c r="AK4168" t="s">
        <v>24181</v>
      </c>
      <c r="AL4168">
        <v>1.72</v>
      </c>
      <c r="AM4168">
        <v>1.72</v>
      </c>
      <c r="AN4168">
        <v>4.1500000000000004</v>
      </c>
      <c r="AO4168" t="s">
        <v>5590</v>
      </c>
      <c r="AP4168" t="s">
        <v>9149</v>
      </c>
      <c r="AQ4168" t="s">
        <v>3838</v>
      </c>
      <c r="AR4168" t="s">
        <v>5611</v>
      </c>
      <c r="AS4168" t="s">
        <v>1871</v>
      </c>
      <c r="AT4168" t="s">
        <v>5395</v>
      </c>
      <c r="AU4168" t="s">
        <v>4665</v>
      </c>
      <c r="AV4168" t="s">
        <v>27854</v>
      </c>
      <c r="AW4168" t="s">
        <v>20439</v>
      </c>
      <c r="AX4168" t="s">
        <v>3373</v>
      </c>
      <c r="AY4168" t="s">
        <v>25092</v>
      </c>
      <c r="AZ4168" t="s">
        <v>3373</v>
      </c>
      <c r="BA4168">
        <v>1</v>
      </c>
      <c r="BB4168">
        <v>98.94</v>
      </c>
      <c r="BC4168">
        <v>0.2</v>
      </c>
      <c r="BD4168">
        <v>6.44</v>
      </c>
      <c r="BE4168">
        <v>6.56</v>
      </c>
      <c r="BF4168">
        <v>6.35</v>
      </c>
      <c r="BG4168" t="s">
        <v>32368</v>
      </c>
      <c r="BH4168" t="s">
        <v>1349</v>
      </c>
      <c r="BI4168" t="s">
        <v>21168</v>
      </c>
      <c r="BJ4168" t="s">
        <v>101</v>
      </c>
      <c r="BK4168" t="s">
        <v>1904</v>
      </c>
      <c r="BL4168" t="s">
        <v>30127</v>
      </c>
      <c r="BM4168" t="s">
        <v>32369</v>
      </c>
      <c r="BN4168" t="s">
        <v>27621</v>
      </c>
    </row>
    <row r="4169" spans="1:66" x14ac:dyDescent="0.25">
      <c r="A4169" t="str">
        <f>HYPERLINK("https://elite.finviz.com/quote.ashx?t=IPW&amp;ty=c&amp;p=d&amp;b=1", "IPW")</f>
        <v>IPW</v>
      </c>
      <c r="B4169">
        <v>4</v>
      </c>
      <c r="C4169">
        <v>105.92</v>
      </c>
      <c r="D4169">
        <v>51</v>
      </c>
      <c r="E4169" t="s">
        <v>32370</v>
      </c>
      <c r="F4169" t="s">
        <v>107</v>
      </c>
      <c r="G4169" t="s">
        <v>813</v>
      </c>
      <c r="H4169" t="s">
        <v>4388</v>
      </c>
      <c r="I4169" t="s">
        <v>70</v>
      </c>
      <c r="J4169" t="s">
        <v>321</v>
      </c>
      <c r="K4169">
        <v>17.399999999999999</v>
      </c>
      <c r="L4169">
        <v>0.56000000000000005</v>
      </c>
      <c r="M4169" t="s">
        <v>5837</v>
      </c>
      <c r="N4169">
        <v>211457</v>
      </c>
      <c r="R4169">
        <v>0.23</v>
      </c>
      <c r="S4169">
        <v>0.84</v>
      </c>
      <c r="AA4169">
        <v>-0.05</v>
      </c>
      <c r="AB4169" t="s">
        <v>19031</v>
      </c>
      <c r="AE4169" t="s">
        <v>27245</v>
      </c>
      <c r="AF4169" t="s">
        <v>4130</v>
      </c>
      <c r="AG4169" t="s">
        <v>9327</v>
      </c>
      <c r="AH4169" t="s">
        <v>8211</v>
      </c>
      <c r="AJ4169" t="s">
        <v>164</v>
      </c>
      <c r="AK4169" t="s">
        <v>4394</v>
      </c>
      <c r="AL4169">
        <v>1.92</v>
      </c>
      <c r="AM4169">
        <v>0.99</v>
      </c>
      <c r="AN4169">
        <v>0.4</v>
      </c>
      <c r="AO4169" t="s">
        <v>8761</v>
      </c>
      <c r="AP4169" t="s">
        <v>298</v>
      </c>
      <c r="AQ4169" t="s">
        <v>3559</v>
      </c>
      <c r="AR4169" t="s">
        <v>7105</v>
      </c>
      <c r="AS4169" t="s">
        <v>5262</v>
      </c>
      <c r="AT4169" t="s">
        <v>1100</v>
      </c>
      <c r="AU4169" t="s">
        <v>13365</v>
      </c>
      <c r="AV4169" t="s">
        <v>6918</v>
      </c>
      <c r="AW4169" t="s">
        <v>22976</v>
      </c>
      <c r="AX4169" t="s">
        <v>9619</v>
      </c>
      <c r="AY4169" t="s">
        <v>32371</v>
      </c>
      <c r="AZ4169" t="s">
        <v>9468</v>
      </c>
      <c r="BA4169">
        <v>1</v>
      </c>
      <c r="BB4169">
        <v>978.47</v>
      </c>
      <c r="BC4169">
        <v>0.76</v>
      </c>
      <c r="BD4169">
        <v>0.49</v>
      </c>
      <c r="BE4169">
        <v>0.56000000000000005</v>
      </c>
      <c r="BF4169">
        <v>0.49</v>
      </c>
      <c r="BG4169" t="s">
        <v>32372</v>
      </c>
      <c r="BH4169" t="s">
        <v>13958</v>
      </c>
      <c r="BI4169" t="s">
        <v>29771</v>
      </c>
      <c r="BJ4169" t="s">
        <v>101</v>
      </c>
      <c r="BK4169" t="s">
        <v>6094</v>
      </c>
      <c r="BL4169" t="s">
        <v>10842</v>
      </c>
      <c r="BM4169" t="s">
        <v>10569</v>
      </c>
      <c r="BN4169" t="s">
        <v>27621</v>
      </c>
    </row>
    <row r="4170" spans="1:66" x14ac:dyDescent="0.25">
      <c r="A4170" t="str">
        <f>HYPERLINK("https://elite.finviz.com/quote.ashx?t=GOLF&amp;ty=c&amp;p=d&amp;b=1", "GOLF")</f>
        <v>GOLF</v>
      </c>
      <c r="B4170">
        <v>4</v>
      </c>
      <c r="C4170">
        <v>105.92</v>
      </c>
      <c r="D4170">
        <v>51.01</v>
      </c>
      <c r="E4170" t="s">
        <v>32373</v>
      </c>
      <c r="F4170" t="s">
        <v>67</v>
      </c>
      <c r="G4170" t="s">
        <v>813</v>
      </c>
      <c r="H4170" t="s">
        <v>5941</v>
      </c>
      <c r="I4170" t="s">
        <v>70</v>
      </c>
      <c r="J4170" t="s">
        <v>71</v>
      </c>
      <c r="K4170">
        <v>4463.8</v>
      </c>
      <c r="L4170">
        <v>76.099999999999994</v>
      </c>
      <c r="M4170" t="s">
        <v>5055</v>
      </c>
      <c r="N4170">
        <v>44971</v>
      </c>
      <c r="O4170">
        <v>20.34</v>
      </c>
      <c r="P4170">
        <v>21.65</v>
      </c>
      <c r="Q4170">
        <v>4.1900000000000004</v>
      </c>
      <c r="R4170">
        <v>1.79</v>
      </c>
      <c r="S4170">
        <v>5.52</v>
      </c>
      <c r="T4170" t="s">
        <v>6732</v>
      </c>
      <c r="U4170">
        <v>0.92</v>
      </c>
      <c r="V4170" t="s">
        <v>4548</v>
      </c>
      <c r="W4170" t="s">
        <v>4835</v>
      </c>
      <c r="X4170" t="s">
        <v>7019</v>
      </c>
      <c r="Y4170" t="s">
        <v>875</v>
      </c>
      <c r="Z4170" t="s">
        <v>7855</v>
      </c>
      <c r="AA4170">
        <v>3.74</v>
      </c>
      <c r="AB4170" t="s">
        <v>7655</v>
      </c>
      <c r="AC4170" t="s">
        <v>6814</v>
      </c>
      <c r="AD4170" t="s">
        <v>4872</v>
      </c>
      <c r="AE4170" t="s">
        <v>323</v>
      </c>
      <c r="AF4170" t="s">
        <v>4052</v>
      </c>
      <c r="AG4170" t="s">
        <v>265</v>
      </c>
      <c r="AH4170" t="s">
        <v>3957</v>
      </c>
      <c r="AI4170" t="s">
        <v>14635</v>
      </c>
      <c r="AJ4170" t="s">
        <v>15100</v>
      </c>
      <c r="AK4170" t="s">
        <v>12069</v>
      </c>
      <c r="AL4170">
        <v>2.25</v>
      </c>
      <c r="AM4170">
        <v>1.21</v>
      </c>
      <c r="AN4170">
        <v>1.1499999999999999</v>
      </c>
      <c r="AO4170" t="s">
        <v>780</v>
      </c>
      <c r="AP4170" t="s">
        <v>8209</v>
      </c>
      <c r="AQ4170" t="s">
        <v>268</v>
      </c>
      <c r="AR4170" t="s">
        <v>4256</v>
      </c>
      <c r="AS4170" t="s">
        <v>1761</v>
      </c>
      <c r="AT4170" t="s">
        <v>2644</v>
      </c>
      <c r="AU4170" t="s">
        <v>1313</v>
      </c>
      <c r="AV4170" t="s">
        <v>4913</v>
      </c>
      <c r="AW4170" t="s">
        <v>2850</v>
      </c>
      <c r="AX4170" t="s">
        <v>2170</v>
      </c>
      <c r="AY4170" t="s">
        <v>2850</v>
      </c>
      <c r="AZ4170" t="s">
        <v>1306</v>
      </c>
      <c r="BA4170">
        <v>3.11</v>
      </c>
      <c r="BB4170">
        <v>381.97</v>
      </c>
      <c r="BC4170">
        <v>0.41</v>
      </c>
      <c r="BD4170">
        <v>75.36</v>
      </c>
      <c r="BE4170">
        <v>76.56</v>
      </c>
      <c r="BF4170">
        <v>75.02</v>
      </c>
      <c r="BG4170" t="s">
        <v>32374</v>
      </c>
      <c r="BH4170" t="s">
        <v>2850</v>
      </c>
      <c r="BI4170" t="s">
        <v>32375</v>
      </c>
      <c r="BJ4170" t="s">
        <v>101</v>
      </c>
      <c r="BK4170" t="s">
        <v>1934</v>
      </c>
      <c r="BL4170" t="s">
        <v>11159</v>
      </c>
      <c r="BM4170" t="s">
        <v>6558</v>
      </c>
      <c r="BN4170" t="s">
        <v>27621</v>
      </c>
    </row>
    <row r="4171" spans="1:66" x14ac:dyDescent="0.25">
      <c r="A4171" t="str">
        <f>HYPERLINK("https://elite.finviz.com/quote.ashx?t=ESS&amp;ty=c&amp;p=d&amp;b=1", "ESS")</f>
        <v>ESS</v>
      </c>
      <c r="B4171">
        <v>4</v>
      </c>
      <c r="C4171">
        <v>105.92</v>
      </c>
      <c r="D4171">
        <v>51.02</v>
      </c>
      <c r="E4171" t="s">
        <v>32376</v>
      </c>
      <c r="F4171" t="s">
        <v>195</v>
      </c>
      <c r="G4171" t="s">
        <v>68</v>
      </c>
      <c r="H4171" t="s">
        <v>5671</v>
      </c>
      <c r="I4171" t="s">
        <v>70</v>
      </c>
      <c r="J4171" t="s">
        <v>71</v>
      </c>
      <c r="K4171">
        <v>17788.34</v>
      </c>
      <c r="L4171">
        <v>266.85000000000002</v>
      </c>
      <c r="M4171" t="s">
        <v>6155</v>
      </c>
      <c r="N4171">
        <v>45684</v>
      </c>
      <c r="O4171">
        <v>21.45</v>
      </c>
      <c r="P4171">
        <v>44.49</v>
      </c>
      <c r="R4171">
        <v>9.67</v>
      </c>
      <c r="S4171">
        <v>3.05</v>
      </c>
      <c r="T4171" t="s">
        <v>323</v>
      </c>
      <c r="U4171">
        <v>10.039999999999999</v>
      </c>
      <c r="V4171" t="s">
        <v>198</v>
      </c>
      <c r="W4171" t="s">
        <v>3951</v>
      </c>
      <c r="X4171" t="s">
        <v>2123</v>
      </c>
      <c r="Y4171" t="s">
        <v>5907</v>
      </c>
      <c r="Z4171" t="s">
        <v>32377</v>
      </c>
      <c r="AA4171">
        <v>12.44</v>
      </c>
      <c r="AB4171" t="s">
        <v>11482</v>
      </c>
      <c r="AC4171" t="s">
        <v>5318</v>
      </c>
      <c r="AD4171" t="s">
        <v>6023</v>
      </c>
      <c r="AE4171" t="s">
        <v>2796</v>
      </c>
      <c r="AF4171" t="s">
        <v>1507</v>
      </c>
      <c r="AG4171" t="s">
        <v>4323</v>
      </c>
      <c r="AH4171" t="s">
        <v>8925</v>
      </c>
      <c r="AI4171" t="s">
        <v>32378</v>
      </c>
      <c r="AJ4171" t="s">
        <v>164</v>
      </c>
      <c r="AK4171" t="s">
        <v>26034</v>
      </c>
      <c r="AL4171">
        <v>0.27</v>
      </c>
      <c r="AM4171">
        <v>0.27</v>
      </c>
      <c r="AN4171">
        <v>1.21</v>
      </c>
      <c r="AO4171" t="s">
        <v>8430</v>
      </c>
      <c r="AP4171" t="s">
        <v>13791</v>
      </c>
      <c r="AQ4171" t="s">
        <v>3474</v>
      </c>
      <c r="AR4171" t="s">
        <v>6732</v>
      </c>
      <c r="AS4171" t="s">
        <v>4275</v>
      </c>
      <c r="AT4171" t="s">
        <v>2641</v>
      </c>
      <c r="AU4171" t="s">
        <v>3598</v>
      </c>
      <c r="AV4171" t="s">
        <v>12259</v>
      </c>
      <c r="AW4171" t="s">
        <v>7439</v>
      </c>
      <c r="AX4171" t="s">
        <v>7542</v>
      </c>
      <c r="AY4171" t="s">
        <v>11481</v>
      </c>
      <c r="AZ4171" t="s">
        <v>10114</v>
      </c>
      <c r="BA4171">
        <v>2.59</v>
      </c>
      <c r="BB4171">
        <v>485.91</v>
      </c>
      <c r="BC4171">
        <v>0.33</v>
      </c>
      <c r="BD4171">
        <v>263.66000000000003</v>
      </c>
      <c r="BE4171">
        <v>267.85000000000002</v>
      </c>
      <c r="BF4171">
        <v>263.67</v>
      </c>
      <c r="BG4171" t="s">
        <v>32379</v>
      </c>
      <c r="BH4171" t="s">
        <v>8120</v>
      </c>
      <c r="BI4171" t="s">
        <v>32380</v>
      </c>
      <c r="BJ4171" t="s">
        <v>101</v>
      </c>
      <c r="BK4171" t="s">
        <v>2594</v>
      </c>
      <c r="BL4171" t="s">
        <v>5596</v>
      </c>
      <c r="BM4171" t="s">
        <v>7951</v>
      </c>
      <c r="BN4171" t="s">
        <v>27621</v>
      </c>
    </row>
    <row r="4172" spans="1:66" x14ac:dyDescent="0.25">
      <c r="A4172" t="str">
        <f>HYPERLINK("https://elite.finviz.com/quote.ashx?t=OMCC&amp;ty=c&amp;p=d&amp;b=1", "OMCC")</f>
        <v>OMCC</v>
      </c>
      <c r="B4172">
        <v>4</v>
      </c>
      <c r="C4172">
        <v>105.92</v>
      </c>
      <c r="D4172">
        <v>51.25</v>
      </c>
      <c r="E4172" t="s">
        <v>32381</v>
      </c>
      <c r="F4172" t="s">
        <v>107</v>
      </c>
      <c r="G4172" t="s">
        <v>550</v>
      </c>
      <c r="H4172" t="s">
        <v>3744</v>
      </c>
      <c r="I4172" t="s">
        <v>70</v>
      </c>
      <c r="J4172" t="s">
        <v>321</v>
      </c>
      <c r="K4172">
        <v>37.08</v>
      </c>
      <c r="L4172">
        <v>5.49</v>
      </c>
      <c r="M4172" t="s">
        <v>2673</v>
      </c>
      <c r="N4172">
        <v>57</v>
      </c>
      <c r="R4172">
        <v>3.11</v>
      </c>
      <c r="S4172">
        <v>0.7</v>
      </c>
      <c r="AA4172">
        <v>-0.35</v>
      </c>
      <c r="AE4172" t="s">
        <v>14695</v>
      </c>
      <c r="AF4172" t="s">
        <v>10974</v>
      </c>
      <c r="AG4172" t="s">
        <v>4102</v>
      </c>
      <c r="AH4172" t="s">
        <v>32382</v>
      </c>
      <c r="AJ4172" t="s">
        <v>2868</v>
      </c>
      <c r="AK4172" t="s">
        <v>13112</v>
      </c>
      <c r="AL4172">
        <v>6.35</v>
      </c>
      <c r="AM4172">
        <v>6.09</v>
      </c>
      <c r="AN4172">
        <v>0.09</v>
      </c>
      <c r="AO4172" t="s">
        <v>31134</v>
      </c>
      <c r="AP4172" t="s">
        <v>11461</v>
      </c>
      <c r="AQ4172" t="s">
        <v>10021</v>
      </c>
      <c r="AR4172" t="s">
        <v>2174</v>
      </c>
      <c r="AS4172" t="s">
        <v>3520</v>
      </c>
      <c r="AT4172" t="s">
        <v>617</v>
      </c>
      <c r="AU4172" t="s">
        <v>552</v>
      </c>
      <c r="AV4172" t="s">
        <v>7230</v>
      </c>
      <c r="AW4172" t="s">
        <v>15634</v>
      </c>
      <c r="AX4172" t="s">
        <v>5557</v>
      </c>
      <c r="AY4172" t="s">
        <v>18759</v>
      </c>
      <c r="AZ4172" t="s">
        <v>15373</v>
      </c>
      <c r="BB4172">
        <v>4.8099999999999996</v>
      </c>
      <c r="BC4172">
        <v>0.04</v>
      </c>
      <c r="BD4172">
        <v>5.65</v>
      </c>
      <c r="BE4172">
        <v>5.66</v>
      </c>
      <c r="BF4172">
        <v>5.66</v>
      </c>
      <c r="BG4172" t="s">
        <v>32383</v>
      </c>
      <c r="BH4172" t="s">
        <v>9712</v>
      </c>
      <c r="BI4172" t="s">
        <v>32384</v>
      </c>
      <c r="BJ4172" t="s">
        <v>101</v>
      </c>
      <c r="BK4172" t="s">
        <v>1771</v>
      </c>
      <c r="BL4172" t="s">
        <v>612</v>
      </c>
      <c r="BM4172" t="s">
        <v>7737</v>
      </c>
      <c r="BN4172" t="s">
        <v>27621</v>
      </c>
    </row>
    <row r="4173" spans="1:66" x14ac:dyDescent="0.25">
      <c r="A4173" t="str">
        <f>HYPERLINK("https://elite.finviz.com/quote.ashx?t=MBAV&amp;ty=c&amp;p=d&amp;b=1", "MBAV")</f>
        <v>MBAV</v>
      </c>
      <c r="B4173">
        <v>4</v>
      </c>
      <c r="C4173">
        <v>105.92</v>
      </c>
      <c r="D4173">
        <v>51.26</v>
      </c>
      <c r="E4173" t="s">
        <v>32385</v>
      </c>
      <c r="F4173" t="s">
        <v>107</v>
      </c>
      <c r="G4173" t="s">
        <v>550</v>
      </c>
      <c r="H4173" t="s">
        <v>2120</v>
      </c>
      <c r="I4173" t="s">
        <v>70</v>
      </c>
      <c r="J4173" t="s">
        <v>321</v>
      </c>
      <c r="K4173">
        <v>380.11</v>
      </c>
      <c r="L4173">
        <v>10.58</v>
      </c>
      <c r="M4173" t="s">
        <v>4507</v>
      </c>
      <c r="N4173">
        <v>651</v>
      </c>
      <c r="O4173">
        <v>36.65</v>
      </c>
      <c r="S4173">
        <v>1.33</v>
      </c>
      <c r="Z4173" t="s">
        <v>164</v>
      </c>
      <c r="AA4173">
        <v>0.28999999999999998</v>
      </c>
      <c r="AJ4173" t="s">
        <v>164</v>
      </c>
      <c r="AK4173" t="s">
        <v>18289</v>
      </c>
      <c r="AL4173">
        <v>0.62</v>
      </c>
      <c r="AM4173">
        <v>0.62</v>
      </c>
      <c r="AN4173">
        <v>0</v>
      </c>
      <c r="AR4173" t="s">
        <v>4308</v>
      </c>
      <c r="AS4173" t="s">
        <v>3226</v>
      </c>
      <c r="AT4173" t="s">
        <v>2290</v>
      </c>
      <c r="AU4173" t="s">
        <v>4507</v>
      </c>
      <c r="AV4173" t="s">
        <v>3112</v>
      </c>
      <c r="AW4173" t="s">
        <v>10842</v>
      </c>
      <c r="AX4173" t="s">
        <v>2864</v>
      </c>
      <c r="AY4173" t="s">
        <v>9783</v>
      </c>
      <c r="AZ4173" t="s">
        <v>2408</v>
      </c>
      <c r="BB4173">
        <v>300.06</v>
      </c>
      <c r="BC4173">
        <v>0.01</v>
      </c>
      <c r="BD4173">
        <v>10.57</v>
      </c>
      <c r="BE4173">
        <v>10.58</v>
      </c>
      <c r="BF4173">
        <v>10.58</v>
      </c>
      <c r="BG4173" t="s">
        <v>32386</v>
      </c>
      <c r="BH4173" t="s">
        <v>9783</v>
      </c>
      <c r="BI4173" t="s">
        <v>1204</v>
      </c>
      <c r="BJ4173" t="s">
        <v>101</v>
      </c>
      <c r="BK4173" t="s">
        <v>12333</v>
      </c>
      <c r="BL4173" t="s">
        <v>2647</v>
      </c>
      <c r="BN4173" t="s">
        <v>27621</v>
      </c>
    </row>
    <row r="4174" spans="1:66" x14ac:dyDescent="0.25">
      <c r="A4174" t="str">
        <f>HYPERLINK("https://elite.finviz.com/quote.ashx?t=FNWB&amp;ty=c&amp;p=d&amp;b=1", "FNWB")</f>
        <v>FNWB</v>
      </c>
      <c r="B4174">
        <v>4</v>
      </c>
      <c r="C4174">
        <v>105.92</v>
      </c>
      <c r="D4174">
        <v>51.31</v>
      </c>
      <c r="E4174" t="s">
        <v>32387</v>
      </c>
      <c r="F4174" t="s">
        <v>107</v>
      </c>
      <c r="G4174" t="s">
        <v>550</v>
      </c>
      <c r="H4174" t="s">
        <v>697</v>
      </c>
      <c r="I4174" t="s">
        <v>70</v>
      </c>
      <c r="J4174" t="s">
        <v>321</v>
      </c>
      <c r="K4174">
        <v>70.400000000000006</v>
      </c>
      <c r="L4174">
        <v>7.47</v>
      </c>
      <c r="M4174" t="s">
        <v>6478</v>
      </c>
      <c r="N4174">
        <v>3235</v>
      </c>
      <c r="P4174">
        <v>6.95</v>
      </c>
      <c r="R4174">
        <v>0.57999999999999996</v>
      </c>
      <c r="S4174">
        <v>0.47</v>
      </c>
      <c r="T4174" t="s">
        <v>5071</v>
      </c>
      <c r="U4174">
        <v>0.21</v>
      </c>
      <c r="V4174" t="s">
        <v>32388</v>
      </c>
      <c r="W4174" t="s">
        <v>164</v>
      </c>
      <c r="X4174" t="s">
        <v>4324</v>
      </c>
      <c r="Y4174" t="s">
        <v>10485</v>
      </c>
      <c r="AA4174">
        <v>-1.1399999999999999</v>
      </c>
      <c r="AE4174" t="s">
        <v>8240</v>
      </c>
      <c r="AF4174" t="s">
        <v>340</v>
      </c>
      <c r="AG4174" t="s">
        <v>10541</v>
      </c>
      <c r="AH4174" t="s">
        <v>3443</v>
      </c>
      <c r="AI4174" t="s">
        <v>32389</v>
      </c>
      <c r="AJ4174" t="s">
        <v>1083</v>
      </c>
      <c r="AK4174" t="s">
        <v>32390</v>
      </c>
      <c r="AL4174">
        <v>0.06</v>
      </c>
      <c r="AN4174">
        <v>2.41</v>
      </c>
      <c r="AP4174" t="s">
        <v>16396</v>
      </c>
      <c r="AQ4174" t="s">
        <v>3929</v>
      </c>
      <c r="AR4174" t="s">
        <v>3635</v>
      </c>
      <c r="AS4174" t="s">
        <v>8625</v>
      </c>
      <c r="AT4174" t="s">
        <v>2619</v>
      </c>
      <c r="AU4174" t="s">
        <v>14331</v>
      </c>
      <c r="AV4174" t="s">
        <v>16619</v>
      </c>
      <c r="AW4174" t="s">
        <v>4919</v>
      </c>
      <c r="AX4174" t="s">
        <v>5658</v>
      </c>
      <c r="AY4174" t="s">
        <v>621</v>
      </c>
      <c r="AZ4174" t="s">
        <v>11152</v>
      </c>
      <c r="BA4174">
        <v>2</v>
      </c>
      <c r="BB4174">
        <v>26.48</v>
      </c>
      <c r="BC4174">
        <v>0.43</v>
      </c>
      <c r="BD4174">
        <v>7.38</v>
      </c>
      <c r="BE4174">
        <v>7.55</v>
      </c>
      <c r="BF4174">
        <v>7.45</v>
      </c>
      <c r="BG4174" t="s">
        <v>32391</v>
      </c>
      <c r="BH4174" t="s">
        <v>32392</v>
      </c>
      <c r="BI4174" t="s">
        <v>11152</v>
      </c>
      <c r="BJ4174" t="s">
        <v>101</v>
      </c>
      <c r="BK4174" t="s">
        <v>13366</v>
      </c>
      <c r="BL4174" t="s">
        <v>8628</v>
      </c>
      <c r="BM4174" t="s">
        <v>9323</v>
      </c>
      <c r="BN4174" t="s">
        <v>27621</v>
      </c>
    </row>
    <row r="4175" spans="1:66" x14ac:dyDescent="0.25">
      <c r="A4175" t="str">
        <f>HYPERLINK("https://elite.finviz.com/quote.ashx?t=ICCC&amp;ty=c&amp;p=d&amp;b=1", "ICCC")</f>
        <v>ICCC</v>
      </c>
      <c r="B4175">
        <v>4</v>
      </c>
      <c r="C4175">
        <v>105.92</v>
      </c>
      <c r="D4175">
        <v>51.34</v>
      </c>
      <c r="E4175" t="s">
        <v>32393</v>
      </c>
      <c r="F4175" t="s">
        <v>107</v>
      </c>
      <c r="G4175" t="s">
        <v>428</v>
      </c>
      <c r="H4175" t="s">
        <v>429</v>
      </c>
      <c r="I4175" t="s">
        <v>70</v>
      </c>
      <c r="J4175" t="s">
        <v>321</v>
      </c>
      <c r="K4175">
        <v>55.95</v>
      </c>
      <c r="L4175">
        <v>6.18</v>
      </c>
      <c r="M4175" t="s">
        <v>2640</v>
      </c>
      <c r="N4175">
        <v>365</v>
      </c>
      <c r="O4175">
        <v>32.83</v>
      </c>
      <c r="R4175">
        <v>1.98</v>
      </c>
      <c r="S4175">
        <v>1.87</v>
      </c>
      <c r="AA4175">
        <v>0.19</v>
      </c>
      <c r="AB4175" t="s">
        <v>32394</v>
      </c>
      <c r="AC4175" t="s">
        <v>4147</v>
      </c>
      <c r="AE4175" t="s">
        <v>3860</v>
      </c>
      <c r="AF4175" t="s">
        <v>2933</v>
      </c>
      <c r="AG4175" t="s">
        <v>2626</v>
      </c>
      <c r="AH4175" t="s">
        <v>5438</v>
      </c>
      <c r="AJ4175" t="s">
        <v>164</v>
      </c>
      <c r="AK4175" t="s">
        <v>5901</v>
      </c>
      <c r="AL4175">
        <v>3.85</v>
      </c>
      <c r="AM4175">
        <v>1.99</v>
      </c>
      <c r="AN4175">
        <v>0.48</v>
      </c>
      <c r="AO4175" t="s">
        <v>10365</v>
      </c>
      <c r="AP4175" t="s">
        <v>283</v>
      </c>
      <c r="AQ4175" t="s">
        <v>216</v>
      </c>
      <c r="AR4175" t="s">
        <v>4892</v>
      </c>
      <c r="AS4175" t="s">
        <v>2493</v>
      </c>
      <c r="AT4175" t="s">
        <v>3169</v>
      </c>
      <c r="AU4175" t="s">
        <v>5879</v>
      </c>
      <c r="AV4175" t="s">
        <v>776</v>
      </c>
      <c r="AW4175" t="s">
        <v>7203</v>
      </c>
      <c r="AX4175" t="s">
        <v>6573</v>
      </c>
      <c r="AY4175" t="s">
        <v>14241</v>
      </c>
      <c r="AZ4175" t="s">
        <v>13716</v>
      </c>
      <c r="BB4175">
        <v>11.05</v>
      </c>
      <c r="BC4175">
        <v>0.12</v>
      </c>
      <c r="BD4175">
        <v>6.05</v>
      </c>
      <c r="BE4175">
        <v>6.1</v>
      </c>
      <c r="BF4175">
        <v>6.1</v>
      </c>
      <c r="BG4175" t="s">
        <v>32395</v>
      </c>
      <c r="BH4175" t="s">
        <v>25057</v>
      </c>
      <c r="BI4175" t="s">
        <v>32396</v>
      </c>
      <c r="BJ4175" t="s">
        <v>101</v>
      </c>
      <c r="BK4175" t="s">
        <v>1219</v>
      </c>
      <c r="BL4175" t="s">
        <v>6439</v>
      </c>
      <c r="BM4175" t="s">
        <v>1484</v>
      </c>
      <c r="BN4175" t="s">
        <v>27621</v>
      </c>
    </row>
    <row r="4176" spans="1:66" x14ac:dyDescent="0.25">
      <c r="A4176" t="str">
        <f>HYPERLINK("https://elite.finviz.com/quote.ashx?t=SPR&amp;ty=c&amp;p=d&amp;b=1", "SPR")</f>
        <v>SPR</v>
      </c>
      <c r="B4176">
        <v>4</v>
      </c>
      <c r="C4176">
        <v>105.92</v>
      </c>
      <c r="D4176">
        <v>51.37</v>
      </c>
      <c r="E4176" t="s">
        <v>32397</v>
      </c>
      <c r="F4176" t="s">
        <v>107</v>
      </c>
      <c r="G4176" t="s">
        <v>260</v>
      </c>
      <c r="H4176" t="s">
        <v>4779</v>
      </c>
      <c r="I4176" t="s">
        <v>70</v>
      </c>
      <c r="J4176" t="s">
        <v>71</v>
      </c>
      <c r="K4176">
        <v>4659.1899999999996</v>
      </c>
      <c r="L4176">
        <v>39.68</v>
      </c>
      <c r="M4176" t="s">
        <v>5736</v>
      </c>
      <c r="N4176">
        <v>263217</v>
      </c>
      <c r="P4176">
        <v>52.62</v>
      </c>
      <c r="R4176">
        <v>0.74</v>
      </c>
      <c r="V4176" t="s">
        <v>32398</v>
      </c>
      <c r="AA4176">
        <v>-20.02</v>
      </c>
      <c r="AB4176" t="s">
        <v>25212</v>
      </c>
      <c r="AE4176" t="s">
        <v>91</v>
      </c>
      <c r="AF4176" t="s">
        <v>7629</v>
      </c>
      <c r="AG4176" t="s">
        <v>10842</v>
      </c>
      <c r="AH4176" t="s">
        <v>2010</v>
      </c>
      <c r="AI4176" t="s">
        <v>32399</v>
      </c>
      <c r="AJ4176" t="s">
        <v>164</v>
      </c>
      <c r="AK4176" t="s">
        <v>23855</v>
      </c>
      <c r="AL4176">
        <v>0.77</v>
      </c>
      <c r="AM4176">
        <v>0.5</v>
      </c>
      <c r="AO4176" t="s">
        <v>6788</v>
      </c>
      <c r="AP4176" t="s">
        <v>26443</v>
      </c>
      <c r="AQ4176" t="s">
        <v>16866</v>
      </c>
      <c r="AR4176" t="s">
        <v>3757</v>
      </c>
      <c r="AS4176" t="s">
        <v>6692</v>
      </c>
      <c r="AT4176" t="s">
        <v>3227</v>
      </c>
      <c r="AU4176" t="s">
        <v>575</v>
      </c>
      <c r="AV4176" t="s">
        <v>10542</v>
      </c>
      <c r="AW4176" t="s">
        <v>4967</v>
      </c>
      <c r="AX4176" t="s">
        <v>3480</v>
      </c>
      <c r="AY4176" t="s">
        <v>4967</v>
      </c>
      <c r="AZ4176" t="s">
        <v>32400</v>
      </c>
      <c r="BA4176">
        <v>3</v>
      </c>
      <c r="BB4176">
        <v>880.77</v>
      </c>
      <c r="BC4176">
        <v>1.05</v>
      </c>
      <c r="BD4176">
        <v>38.36</v>
      </c>
      <c r="BE4176">
        <v>40.08</v>
      </c>
      <c r="BF4176">
        <v>39.31</v>
      </c>
      <c r="BG4176" t="s">
        <v>32401</v>
      </c>
      <c r="BH4176" t="s">
        <v>32402</v>
      </c>
      <c r="BI4176" t="s">
        <v>32403</v>
      </c>
      <c r="BJ4176" t="s">
        <v>101</v>
      </c>
      <c r="BK4176" t="s">
        <v>901</v>
      </c>
      <c r="BL4176" t="s">
        <v>2724</v>
      </c>
      <c r="BM4176" t="s">
        <v>218</v>
      </c>
      <c r="BN4176" t="s">
        <v>27621</v>
      </c>
    </row>
    <row r="4177" spans="1:66" x14ac:dyDescent="0.25">
      <c r="A4177" t="str">
        <f>HYPERLINK("https://elite.finviz.com/quote.ashx?t=GMGI&amp;ty=c&amp;p=d&amp;b=1", "GMGI")</f>
        <v>GMGI</v>
      </c>
      <c r="B4177">
        <v>4</v>
      </c>
      <c r="C4177">
        <v>105.92</v>
      </c>
      <c r="D4177">
        <v>51.44</v>
      </c>
      <c r="E4177" t="s">
        <v>32404</v>
      </c>
      <c r="F4177" t="s">
        <v>67</v>
      </c>
      <c r="G4177" t="s">
        <v>598</v>
      </c>
      <c r="H4177" t="s">
        <v>7474</v>
      </c>
      <c r="I4177" t="s">
        <v>70</v>
      </c>
      <c r="J4177" t="s">
        <v>321</v>
      </c>
      <c r="K4177">
        <v>159.01</v>
      </c>
      <c r="L4177">
        <v>1.1399999999999999</v>
      </c>
      <c r="M4177" t="s">
        <v>12575</v>
      </c>
      <c r="N4177">
        <v>53658</v>
      </c>
      <c r="P4177">
        <v>12</v>
      </c>
      <c r="R4177">
        <v>0.92</v>
      </c>
      <c r="S4177">
        <v>1.31</v>
      </c>
      <c r="AA4177">
        <v>-7.0000000000000007E-2</v>
      </c>
      <c r="AE4177" t="s">
        <v>13009</v>
      </c>
      <c r="AF4177" t="s">
        <v>32405</v>
      </c>
      <c r="AG4177" t="s">
        <v>32406</v>
      </c>
      <c r="AH4177" t="s">
        <v>3581</v>
      </c>
      <c r="AI4177" t="s">
        <v>32407</v>
      </c>
      <c r="AJ4177" t="s">
        <v>211</v>
      </c>
      <c r="AK4177" t="s">
        <v>90</v>
      </c>
      <c r="AL4177">
        <v>0.61</v>
      </c>
      <c r="AM4177">
        <v>0.54</v>
      </c>
      <c r="AN4177">
        <v>0.24</v>
      </c>
      <c r="AO4177" t="s">
        <v>32408</v>
      </c>
      <c r="AP4177" t="s">
        <v>4879</v>
      </c>
      <c r="AQ4177" t="s">
        <v>9148</v>
      </c>
      <c r="AR4177" t="s">
        <v>2886</v>
      </c>
      <c r="AS4177" t="s">
        <v>5557</v>
      </c>
      <c r="AT4177" t="s">
        <v>602</v>
      </c>
      <c r="AU4177" t="s">
        <v>12057</v>
      </c>
      <c r="AV4177" t="s">
        <v>23409</v>
      </c>
      <c r="AW4177" t="s">
        <v>10044</v>
      </c>
      <c r="AX4177" t="s">
        <v>4451</v>
      </c>
      <c r="AY4177" t="s">
        <v>32409</v>
      </c>
      <c r="AZ4177" t="s">
        <v>4451</v>
      </c>
      <c r="BA4177">
        <v>1</v>
      </c>
      <c r="BB4177">
        <v>274.12</v>
      </c>
      <c r="BC4177">
        <v>0.69</v>
      </c>
      <c r="BD4177">
        <v>1.18</v>
      </c>
      <c r="BE4177">
        <v>1.22</v>
      </c>
      <c r="BF4177">
        <v>1.1200000000000001</v>
      </c>
      <c r="BG4177" t="s">
        <v>32410</v>
      </c>
      <c r="BH4177" t="s">
        <v>579</v>
      </c>
      <c r="BI4177" t="s">
        <v>32411</v>
      </c>
      <c r="BJ4177" t="s">
        <v>101</v>
      </c>
      <c r="BK4177" t="s">
        <v>10044</v>
      </c>
      <c r="BL4177" t="s">
        <v>8317</v>
      </c>
      <c r="BM4177" t="s">
        <v>29223</v>
      </c>
      <c r="BN4177" t="s">
        <v>27621</v>
      </c>
    </row>
    <row r="4178" spans="1:66" x14ac:dyDescent="0.25">
      <c r="A4178" t="str">
        <f>HYPERLINK("https://elite.finviz.com/quote.ashx?t=PAYS&amp;ty=c&amp;p=d&amp;b=1", "PAYS")</f>
        <v>PAYS</v>
      </c>
      <c r="B4178">
        <v>4</v>
      </c>
      <c r="C4178">
        <v>105.92</v>
      </c>
      <c r="D4178">
        <v>51.44</v>
      </c>
      <c r="E4178" t="s">
        <v>32412</v>
      </c>
      <c r="F4178" t="s">
        <v>67</v>
      </c>
      <c r="G4178" t="s">
        <v>108</v>
      </c>
      <c r="H4178" t="s">
        <v>109</v>
      </c>
      <c r="I4178" t="s">
        <v>70</v>
      </c>
      <c r="J4178" t="s">
        <v>321</v>
      </c>
      <c r="K4178">
        <v>310.24</v>
      </c>
      <c r="L4178">
        <v>5.7</v>
      </c>
      <c r="M4178" t="s">
        <v>206</v>
      </c>
      <c r="N4178">
        <v>72589</v>
      </c>
      <c r="O4178">
        <v>47.01</v>
      </c>
      <c r="P4178">
        <v>30.8</v>
      </c>
      <c r="Q4178">
        <v>1.01</v>
      </c>
      <c r="R4178">
        <v>4.53</v>
      </c>
      <c r="S4178">
        <v>7.34</v>
      </c>
      <c r="Z4178" t="s">
        <v>164</v>
      </c>
      <c r="AA4178">
        <v>0.12</v>
      </c>
      <c r="AC4178" t="s">
        <v>8294</v>
      </c>
      <c r="AD4178" t="s">
        <v>15852</v>
      </c>
      <c r="AE4178" t="s">
        <v>21981</v>
      </c>
      <c r="AF4178" t="s">
        <v>606</v>
      </c>
      <c r="AG4178" t="s">
        <v>7556</v>
      </c>
      <c r="AH4178" t="s">
        <v>13782</v>
      </c>
      <c r="AI4178" t="s">
        <v>31642</v>
      </c>
      <c r="AJ4178" t="s">
        <v>132</v>
      </c>
      <c r="AK4178" t="s">
        <v>20262</v>
      </c>
      <c r="AL4178">
        <v>1.1100000000000001</v>
      </c>
      <c r="AM4178">
        <v>1.1100000000000001</v>
      </c>
      <c r="AN4178">
        <v>0.06</v>
      </c>
      <c r="AO4178" t="s">
        <v>9389</v>
      </c>
      <c r="AP4178" t="s">
        <v>2816</v>
      </c>
      <c r="AQ4178" t="s">
        <v>7698</v>
      </c>
      <c r="AR4178" t="s">
        <v>754</v>
      </c>
      <c r="AS4178" t="s">
        <v>246</v>
      </c>
      <c r="AT4178" t="s">
        <v>8818</v>
      </c>
      <c r="AU4178" t="s">
        <v>1258</v>
      </c>
      <c r="AV4178" t="s">
        <v>3742</v>
      </c>
      <c r="AW4178" t="s">
        <v>9403</v>
      </c>
      <c r="AX4178" t="s">
        <v>10806</v>
      </c>
      <c r="AY4178" t="s">
        <v>9403</v>
      </c>
      <c r="AZ4178" t="s">
        <v>32413</v>
      </c>
      <c r="BA4178">
        <v>1</v>
      </c>
      <c r="BB4178">
        <v>898.42</v>
      </c>
      <c r="BC4178">
        <v>0.28000000000000003</v>
      </c>
      <c r="BD4178">
        <v>5.58</v>
      </c>
      <c r="BE4178">
        <v>5.71</v>
      </c>
      <c r="BF4178">
        <v>5.54</v>
      </c>
      <c r="BG4178" t="s">
        <v>32414</v>
      </c>
      <c r="BH4178" t="s">
        <v>32415</v>
      </c>
      <c r="BJ4178" t="s">
        <v>101</v>
      </c>
      <c r="BK4178" t="s">
        <v>7009</v>
      </c>
      <c r="BL4178" t="s">
        <v>32416</v>
      </c>
      <c r="BM4178" t="s">
        <v>4940</v>
      </c>
      <c r="BN4178" t="s">
        <v>27621</v>
      </c>
    </row>
    <row r="4179" spans="1:66" x14ac:dyDescent="0.25">
      <c r="A4179" t="str">
        <f>HYPERLINK("https://elite.finviz.com/quote.ashx?t=AMP&amp;ty=c&amp;p=d&amp;b=1", "AMP")</f>
        <v>AMP</v>
      </c>
      <c r="B4179">
        <v>4</v>
      </c>
      <c r="C4179">
        <v>105.92</v>
      </c>
      <c r="D4179">
        <v>51.54</v>
      </c>
      <c r="E4179" t="s">
        <v>32417</v>
      </c>
      <c r="F4179" t="s">
        <v>195</v>
      </c>
      <c r="G4179" t="s">
        <v>550</v>
      </c>
      <c r="H4179" t="s">
        <v>2597</v>
      </c>
      <c r="I4179" t="s">
        <v>70</v>
      </c>
      <c r="J4179" t="s">
        <v>71</v>
      </c>
      <c r="K4179">
        <v>47204.52</v>
      </c>
      <c r="L4179">
        <v>500.73</v>
      </c>
      <c r="M4179" t="s">
        <v>1952</v>
      </c>
      <c r="N4179">
        <v>164032</v>
      </c>
      <c r="O4179">
        <v>15.58</v>
      </c>
      <c r="P4179">
        <v>12.18</v>
      </c>
      <c r="Q4179">
        <v>1.94</v>
      </c>
      <c r="R4179">
        <v>2.59</v>
      </c>
      <c r="S4179">
        <v>7.77</v>
      </c>
      <c r="T4179" t="s">
        <v>343</v>
      </c>
      <c r="U4179">
        <v>6.16</v>
      </c>
      <c r="V4179" t="s">
        <v>4827</v>
      </c>
      <c r="W4179" t="s">
        <v>9280</v>
      </c>
      <c r="X4179" t="s">
        <v>3146</v>
      </c>
      <c r="Y4179" t="s">
        <v>7858</v>
      </c>
      <c r="Z4179" t="s">
        <v>7082</v>
      </c>
      <c r="AA4179">
        <v>32.14</v>
      </c>
      <c r="AB4179" t="s">
        <v>4450</v>
      </c>
      <c r="AC4179" t="s">
        <v>8417</v>
      </c>
      <c r="AD4179" t="s">
        <v>7938</v>
      </c>
      <c r="AE4179" t="s">
        <v>274</v>
      </c>
      <c r="AF4179" t="s">
        <v>230</v>
      </c>
      <c r="AG4179" t="s">
        <v>6106</v>
      </c>
      <c r="AH4179" t="s">
        <v>4276</v>
      </c>
      <c r="AI4179" t="s">
        <v>6732</v>
      </c>
      <c r="AJ4179" t="s">
        <v>3321</v>
      </c>
      <c r="AK4179" t="s">
        <v>16591</v>
      </c>
      <c r="AL4179">
        <v>8.7100000000000009</v>
      </c>
      <c r="AM4179">
        <v>8.7100000000000009</v>
      </c>
      <c r="AN4179">
        <v>0.99</v>
      </c>
      <c r="AO4179" t="s">
        <v>13841</v>
      </c>
      <c r="AP4179" t="s">
        <v>13611</v>
      </c>
      <c r="AQ4179" t="s">
        <v>3451</v>
      </c>
      <c r="AR4179" t="s">
        <v>3257</v>
      </c>
      <c r="AS4179" t="s">
        <v>2219</v>
      </c>
      <c r="AT4179" t="s">
        <v>2125</v>
      </c>
      <c r="AU4179" t="s">
        <v>3831</v>
      </c>
      <c r="AV4179" t="s">
        <v>5809</v>
      </c>
      <c r="AW4179" t="s">
        <v>7954</v>
      </c>
      <c r="AX4179" t="s">
        <v>756</v>
      </c>
      <c r="AY4179" t="s">
        <v>23349</v>
      </c>
      <c r="AZ4179" t="s">
        <v>7897</v>
      </c>
      <c r="BA4179">
        <v>2.4700000000000002</v>
      </c>
      <c r="BB4179">
        <v>460.52</v>
      </c>
      <c r="BC4179">
        <v>1.25</v>
      </c>
      <c r="BD4179">
        <v>491.95</v>
      </c>
      <c r="BE4179">
        <v>505.23</v>
      </c>
      <c r="BF4179">
        <v>498.93</v>
      </c>
      <c r="BG4179" t="s">
        <v>32418</v>
      </c>
      <c r="BH4179" t="s">
        <v>23349</v>
      </c>
      <c r="BI4179" t="s">
        <v>32419</v>
      </c>
      <c r="BJ4179" t="s">
        <v>101</v>
      </c>
      <c r="BK4179" t="s">
        <v>16056</v>
      </c>
      <c r="BL4179" t="s">
        <v>3226</v>
      </c>
      <c r="BM4179" t="s">
        <v>9478</v>
      </c>
      <c r="BN4179" t="s">
        <v>27621</v>
      </c>
    </row>
    <row r="4180" spans="1:66" x14ac:dyDescent="0.25">
      <c r="A4180" t="str">
        <f>HYPERLINK("https://elite.finviz.com/quote.ashx?t=CRD-B&amp;ty=c&amp;p=d&amp;b=1", "CRD-B")</f>
        <v>CRD-B</v>
      </c>
      <c r="B4180">
        <v>4</v>
      </c>
      <c r="C4180">
        <v>105.92</v>
      </c>
      <c r="D4180">
        <v>51.58</v>
      </c>
      <c r="E4180" t="s">
        <v>18514</v>
      </c>
      <c r="F4180" t="s">
        <v>107</v>
      </c>
      <c r="G4180" t="s">
        <v>550</v>
      </c>
      <c r="H4180" t="s">
        <v>10916</v>
      </c>
      <c r="I4180" t="s">
        <v>70</v>
      </c>
      <c r="J4180" t="s">
        <v>71</v>
      </c>
      <c r="K4180">
        <v>534.57000000000005</v>
      </c>
      <c r="L4180">
        <v>10.31</v>
      </c>
      <c r="M4180" t="s">
        <v>6732</v>
      </c>
      <c r="N4180">
        <v>479</v>
      </c>
      <c r="O4180">
        <v>17.329999999999998</v>
      </c>
      <c r="P4180">
        <v>9.1999999999999993</v>
      </c>
      <c r="R4180">
        <v>0.39</v>
      </c>
      <c r="S4180">
        <v>2.88</v>
      </c>
      <c r="T4180" t="s">
        <v>5929</v>
      </c>
      <c r="U4180">
        <v>0.28999999999999998</v>
      </c>
      <c r="W4180" t="s">
        <v>2698</v>
      </c>
      <c r="X4180" t="s">
        <v>8966</v>
      </c>
      <c r="Y4180" t="s">
        <v>9936</v>
      </c>
      <c r="Z4180" t="s">
        <v>11673</v>
      </c>
      <c r="AA4180">
        <v>0.59</v>
      </c>
      <c r="AB4180" t="s">
        <v>10581</v>
      </c>
      <c r="AC4180" t="s">
        <v>5394</v>
      </c>
      <c r="AE4180" t="s">
        <v>3057</v>
      </c>
      <c r="AF4180" t="s">
        <v>5210</v>
      </c>
      <c r="AG4180" t="s">
        <v>1104</v>
      </c>
      <c r="AH4180" t="s">
        <v>352</v>
      </c>
      <c r="AI4180" t="s">
        <v>9710</v>
      </c>
      <c r="AJ4180" t="s">
        <v>7709</v>
      </c>
      <c r="AK4180" t="s">
        <v>3468</v>
      </c>
      <c r="AL4180">
        <v>1.34</v>
      </c>
      <c r="AM4180">
        <v>1.34</v>
      </c>
      <c r="AN4180">
        <v>1.75</v>
      </c>
      <c r="AO4180" t="s">
        <v>3683</v>
      </c>
      <c r="AP4180" t="s">
        <v>5210</v>
      </c>
      <c r="AQ4180" t="s">
        <v>3544</v>
      </c>
      <c r="AR4180" t="s">
        <v>4395</v>
      </c>
      <c r="AS4180" t="s">
        <v>2842</v>
      </c>
      <c r="AT4180" t="s">
        <v>1764</v>
      </c>
      <c r="AU4180" t="s">
        <v>4493</v>
      </c>
      <c r="AV4180" t="s">
        <v>5574</v>
      </c>
      <c r="AW4180" t="s">
        <v>17719</v>
      </c>
      <c r="AX4180" t="s">
        <v>7711</v>
      </c>
      <c r="AY4180" t="s">
        <v>11181</v>
      </c>
      <c r="AZ4180" t="s">
        <v>7711</v>
      </c>
      <c r="BA4180">
        <v>1</v>
      </c>
      <c r="BB4180">
        <v>3.82</v>
      </c>
      <c r="BC4180">
        <v>0.45</v>
      </c>
      <c r="BD4180">
        <v>10.19</v>
      </c>
      <c r="BE4180">
        <v>10.31</v>
      </c>
      <c r="BF4180">
        <v>10.24</v>
      </c>
      <c r="BG4180" t="s">
        <v>32420</v>
      </c>
      <c r="BH4180" t="s">
        <v>23447</v>
      </c>
      <c r="BI4180" t="s">
        <v>32421</v>
      </c>
      <c r="BJ4180" t="s">
        <v>101</v>
      </c>
      <c r="BK4180" t="s">
        <v>6732</v>
      </c>
      <c r="BL4180" t="s">
        <v>7972</v>
      </c>
      <c r="BM4180" t="s">
        <v>4559</v>
      </c>
      <c r="BN4180" t="s">
        <v>27621</v>
      </c>
    </row>
    <row r="4181" spans="1:66" x14ac:dyDescent="0.25">
      <c r="A4181" t="str">
        <f>HYPERLINK("https://elite.finviz.com/quote.ashx?t=CADL&amp;ty=c&amp;p=d&amp;b=1", "CADL")</f>
        <v>CADL</v>
      </c>
      <c r="B4181">
        <v>4</v>
      </c>
      <c r="C4181">
        <v>105.92</v>
      </c>
      <c r="D4181">
        <v>51.59</v>
      </c>
      <c r="E4181" t="s">
        <v>32422</v>
      </c>
      <c r="F4181" t="s">
        <v>67</v>
      </c>
      <c r="G4181" t="s">
        <v>428</v>
      </c>
      <c r="H4181" t="s">
        <v>429</v>
      </c>
      <c r="I4181" t="s">
        <v>70</v>
      </c>
      <c r="J4181" t="s">
        <v>321</v>
      </c>
      <c r="K4181">
        <v>295.01</v>
      </c>
      <c r="L4181">
        <v>5.37</v>
      </c>
      <c r="M4181" t="s">
        <v>4256</v>
      </c>
      <c r="N4181">
        <v>188849</v>
      </c>
      <c r="S4181">
        <v>3.27</v>
      </c>
      <c r="AA4181">
        <v>-0.69</v>
      </c>
      <c r="AB4181" t="s">
        <v>3822</v>
      </c>
      <c r="AC4181" t="s">
        <v>32423</v>
      </c>
      <c r="AD4181" t="s">
        <v>17209</v>
      </c>
      <c r="AE4181" t="s">
        <v>579</v>
      </c>
      <c r="AI4181" t="s">
        <v>5110</v>
      </c>
      <c r="AJ4181" t="s">
        <v>1249</v>
      </c>
      <c r="AK4181" t="s">
        <v>1101</v>
      </c>
      <c r="AL4181">
        <v>7.04</v>
      </c>
      <c r="AM4181">
        <v>7.04</v>
      </c>
      <c r="AN4181">
        <v>0.09</v>
      </c>
      <c r="AR4181" t="s">
        <v>2370</v>
      </c>
      <c r="AS4181" t="s">
        <v>272</v>
      </c>
      <c r="AT4181" t="s">
        <v>2542</v>
      </c>
      <c r="AU4181" t="s">
        <v>4317</v>
      </c>
      <c r="AV4181" t="s">
        <v>4743</v>
      </c>
      <c r="AW4181" t="s">
        <v>10593</v>
      </c>
      <c r="AX4181" t="s">
        <v>12266</v>
      </c>
      <c r="AY4181" t="s">
        <v>32424</v>
      </c>
      <c r="AZ4181" t="s">
        <v>12705</v>
      </c>
      <c r="BA4181">
        <v>1.33</v>
      </c>
      <c r="BB4181">
        <v>838.07</v>
      </c>
      <c r="BC4181">
        <v>0.79</v>
      </c>
      <c r="BD4181">
        <v>5.27</v>
      </c>
      <c r="BE4181">
        <v>5.37</v>
      </c>
      <c r="BF4181">
        <v>5.27</v>
      </c>
      <c r="BG4181" t="s">
        <v>32425</v>
      </c>
      <c r="BH4181" t="s">
        <v>2502</v>
      </c>
      <c r="BI4181" t="s">
        <v>32426</v>
      </c>
      <c r="BJ4181" t="s">
        <v>101</v>
      </c>
      <c r="BK4181" t="s">
        <v>236</v>
      </c>
      <c r="BL4181" t="s">
        <v>14609</v>
      </c>
      <c r="BM4181" t="s">
        <v>2388</v>
      </c>
      <c r="BN4181" t="s">
        <v>27621</v>
      </c>
    </row>
    <row r="4182" spans="1:66" x14ac:dyDescent="0.25">
      <c r="A4182" t="str">
        <f>HYPERLINK("https://elite.finviz.com/quote.ashx?t=TWFG&amp;ty=c&amp;p=d&amp;b=1", "TWFG")</f>
        <v>TWFG</v>
      </c>
      <c r="B4182">
        <v>4</v>
      </c>
      <c r="C4182">
        <v>105.92</v>
      </c>
      <c r="D4182">
        <v>51.64</v>
      </c>
      <c r="E4182" t="s">
        <v>32427</v>
      </c>
      <c r="F4182" t="s">
        <v>107</v>
      </c>
      <c r="G4182" t="s">
        <v>550</v>
      </c>
      <c r="H4182" t="s">
        <v>10916</v>
      </c>
      <c r="I4182" t="s">
        <v>70</v>
      </c>
      <c r="J4182" t="s">
        <v>321</v>
      </c>
      <c r="K4182">
        <v>1499.86</v>
      </c>
      <c r="L4182">
        <v>26.7</v>
      </c>
      <c r="M4182" t="s">
        <v>1547</v>
      </c>
      <c r="N4182">
        <v>20747</v>
      </c>
      <c r="O4182">
        <v>65.84</v>
      </c>
      <c r="P4182">
        <v>32.39</v>
      </c>
      <c r="Q4182">
        <v>3.76</v>
      </c>
      <c r="R4182">
        <v>6.81</v>
      </c>
      <c r="S4182">
        <v>5.0599999999999996</v>
      </c>
      <c r="Z4182" t="s">
        <v>164</v>
      </c>
      <c r="AA4182">
        <v>0.41</v>
      </c>
      <c r="AB4182" t="s">
        <v>25022</v>
      </c>
      <c r="AD4182" t="s">
        <v>7618</v>
      </c>
      <c r="AE4182" t="s">
        <v>7055</v>
      </c>
      <c r="AF4182" t="s">
        <v>3270</v>
      </c>
      <c r="AH4182" t="s">
        <v>3231</v>
      </c>
      <c r="AI4182" t="s">
        <v>5893</v>
      </c>
      <c r="AJ4182" t="s">
        <v>164</v>
      </c>
      <c r="AK4182" t="s">
        <v>32428</v>
      </c>
      <c r="AL4182">
        <v>4.59</v>
      </c>
      <c r="AM4182">
        <v>4.59</v>
      </c>
      <c r="AN4182">
        <v>0.12</v>
      </c>
      <c r="AO4182" t="s">
        <v>4560</v>
      </c>
      <c r="AP4182" t="s">
        <v>920</v>
      </c>
      <c r="AQ4182" t="s">
        <v>4658</v>
      </c>
      <c r="AR4182" t="s">
        <v>4697</v>
      </c>
      <c r="AS4182" t="s">
        <v>4052</v>
      </c>
      <c r="AT4182" t="s">
        <v>2419</v>
      </c>
      <c r="AU4182" t="s">
        <v>759</v>
      </c>
      <c r="AV4182" t="s">
        <v>5863</v>
      </c>
      <c r="AW4182" t="s">
        <v>17774</v>
      </c>
      <c r="AX4182" t="s">
        <v>2111</v>
      </c>
      <c r="AY4182" t="s">
        <v>21292</v>
      </c>
      <c r="AZ4182" t="s">
        <v>2111</v>
      </c>
      <c r="BA4182">
        <v>2</v>
      </c>
      <c r="BB4182">
        <v>140.68</v>
      </c>
      <c r="BC4182">
        <v>0.52</v>
      </c>
      <c r="BD4182">
        <v>26.72</v>
      </c>
      <c r="BE4182">
        <v>27.35</v>
      </c>
      <c r="BF4182">
        <v>26.5</v>
      </c>
      <c r="BG4182" t="s">
        <v>32429</v>
      </c>
      <c r="BH4182" t="s">
        <v>21292</v>
      </c>
      <c r="BI4182" t="s">
        <v>5068</v>
      </c>
      <c r="BJ4182" t="s">
        <v>101</v>
      </c>
      <c r="BK4182" t="s">
        <v>426</v>
      </c>
      <c r="BL4182" t="s">
        <v>11692</v>
      </c>
      <c r="BM4182" t="s">
        <v>240</v>
      </c>
      <c r="BN4182" t="s">
        <v>27621</v>
      </c>
    </row>
    <row r="4183" spans="1:66" x14ac:dyDescent="0.25">
      <c r="A4183" t="str">
        <f>HYPERLINK("https://elite.finviz.com/quote.ashx?t=ANEB&amp;ty=c&amp;p=d&amp;b=1", "ANEB")</f>
        <v>ANEB</v>
      </c>
      <c r="B4183">
        <v>4</v>
      </c>
      <c r="C4183">
        <v>105.92</v>
      </c>
      <c r="D4183">
        <v>51.79</v>
      </c>
      <c r="E4183" t="s">
        <v>32430</v>
      </c>
      <c r="F4183" t="s">
        <v>107</v>
      </c>
      <c r="G4183" t="s">
        <v>428</v>
      </c>
      <c r="H4183" t="s">
        <v>429</v>
      </c>
      <c r="I4183" t="s">
        <v>70</v>
      </c>
      <c r="J4183" t="s">
        <v>321</v>
      </c>
      <c r="K4183">
        <v>100.66</v>
      </c>
      <c r="L4183">
        <v>2.4500000000000002</v>
      </c>
      <c r="M4183" t="s">
        <v>1765</v>
      </c>
      <c r="N4183">
        <v>18869</v>
      </c>
      <c r="S4183">
        <v>7.48</v>
      </c>
      <c r="AA4183">
        <v>-0.27</v>
      </c>
      <c r="AB4183" t="s">
        <v>17899</v>
      </c>
      <c r="AC4183" t="s">
        <v>32431</v>
      </c>
      <c r="AD4183" t="s">
        <v>15316</v>
      </c>
      <c r="AI4183" t="s">
        <v>1746</v>
      </c>
      <c r="AJ4183" t="s">
        <v>164</v>
      </c>
      <c r="AK4183" t="s">
        <v>7386</v>
      </c>
      <c r="AL4183">
        <v>25.29</v>
      </c>
      <c r="AM4183">
        <v>25.29</v>
      </c>
      <c r="AN4183">
        <v>0</v>
      </c>
      <c r="AR4183" t="s">
        <v>4173</v>
      </c>
      <c r="AS4183" t="s">
        <v>5847</v>
      </c>
      <c r="AT4183" t="s">
        <v>2742</v>
      </c>
      <c r="AU4183" t="s">
        <v>7332</v>
      </c>
      <c r="AV4183" t="s">
        <v>11447</v>
      </c>
      <c r="AW4183" t="s">
        <v>11025</v>
      </c>
      <c r="AX4183" t="s">
        <v>28481</v>
      </c>
      <c r="AY4183" t="s">
        <v>11025</v>
      </c>
      <c r="AZ4183" t="s">
        <v>32432</v>
      </c>
      <c r="BA4183">
        <v>3</v>
      </c>
      <c r="BB4183">
        <v>427.2</v>
      </c>
      <c r="BC4183">
        <v>0.16</v>
      </c>
      <c r="BD4183">
        <v>2.44</v>
      </c>
      <c r="BE4183">
        <v>2.57</v>
      </c>
      <c r="BF4183">
        <v>2.4300000000000002</v>
      </c>
      <c r="BG4183" t="s">
        <v>32433</v>
      </c>
      <c r="BH4183" t="s">
        <v>26016</v>
      </c>
      <c r="BI4183" t="s">
        <v>32432</v>
      </c>
      <c r="BJ4183" t="s">
        <v>101</v>
      </c>
      <c r="BK4183" t="s">
        <v>16214</v>
      </c>
      <c r="BL4183" t="s">
        <v>6396</v>
      </c>
      <c r="BM4183" t="s">
        <v>8735</v>
      </c>
      <c r="BN4183" t="s">
        <v>27621</v>
      </c>
    </row>
    <row r="4184" spans="1:66" x14ac:dyDescent="0.25">
      <c r="A4184" t="str">
        <f>HYPERLINK("https://elite.finviz.com/quote.ashx?t=TBI&amp;ty=c&amp;p=d&amp;b=1", "TBI")</f>
        <v>TBI</v>
      </c>
      <c r="B4184">
        <v>4</v>
      </c>
      <c r="C4184">
        <v>105.92</v>
      </c>
      <c r="D4184">
        <v>51.81</v>
      </c>
      <c r="E4184" t="s">
        <v>32434</v>
      </c>
      <c r="F4184" t="s">
        <v>67</v>
      </c>
      <c r="G4184" t="s">
        <v>260</v>
      </c>
      <c r="H4184" t="s">
        <v>8693</v>
      </c>
      <c r="I4184" t="s">
        <v>70</v>
      </c>
      <c r="J4184" t="s">
        <v>71</v>
      </c>
      <c r="K4184">
        <v>186.22</v>
      </c>
      <c r="L4184">
        <v>6.23</v>
      </c>
      <c r="M4184" t="s">
        <v>2263</v>
      </c>
      <c r="N4184">
        <v>39868</v>
      </c>
      <c r="P4184">
        <v>17.3</v>
      </c>
      <c r="R4184">
        <v>0.12</v>
      </c>
      <c r="S4184">
        <v>0.61</v>
      </c>
      <c r="AA4184">
        <v>-1.1399999999999999</v>
      </c>
      <c r="AE4184" t="s">
        <v>10885</v>
      </c>
      <c r="AF4184" t="s">
        <v>9261</v>
      </c>
      <c r="AG4184" t="s">
        <v>4235</v>
      </c>
      <c r="AH4184" t="s">
        <v>2215</v>
      </c>
      <c r="AI4184" t="s">
        <v>14666</v>
      </c>
      <c r="AJ4184" t="s">
        <v>164</v>
      </c>
      <c r="AK4184" t="s">
        <v>32435</v>
      </c>
      <c r="AL4184">
        <v>1.94</v>
      </c>
      <c r="AM4184">
        <v>1.94</v>
      </c>
      <c r="AN4184">
        <v>0.36</v>
      </c>
      <c r="AO4184" t="s">
        <v>2779</v>
      </c>
      <c r="AP4184" t="s">
        <v>6162</v>
      </c>
      <c r="AQ4184" t="s">
        <v>1356</v>
      </c>
      <c r="AR4184" t="s">
        <v>3545</v>
      </c>
      <c r="AS4184" t="s">
        <v>2385</v>
      </c>
      <c r="AT4184" t="s">
        <v>451</v>
      </c>
      <c r="AU4184" t="s">
        <v>2132</v>
      </c>
      <c r="AV4184" t="s">
        <v>10581</v>
      </c>
      <c r="AW4184" t="s">
        <v>11311</v>
      </c>
      <c r="AX4184" t="s">
        <v>5060</v>
      </c>
      <c r="AY4184" t="s">
        <v>20313</v>
      </c>
      <c r="AZ4184" t="s">
        <v>6796</v>
      </c>
      <c r="BA4184">
        <v>2</v>
      </c>
      <c r="BB4184">
        <v>176.9</v>
      </c>
      <c r="BC4184">
        <v>0.79</v>
      </c>
      <c r="BD4184">
        <v>6.25</v>
      </c>
      <c r="BE4184">
        <v>6.25</v>
      </c>
      <c r="BF4184">
        <v>6.17</v>
      </c>
      <c r="BG4184" t="s">
        <v>32436</v>
      </c>
      <c r="BH4184" t="s">
        <v>16776</v>
      </c>
      <c r="BI4184" t="s">
        <v>32437</v>
      </c>
      <c r="BJ4184" t="s">
        <v>101</v>
      </c>
      <c r="BK4184" t="s">
        <v>2336</v>
      </c>
      <c r="BL4184" t="s">
        <v>7150</v>
      </c>
      <c r="BM4184" t="s">
        <v>23551</v>
      </c>
      <c r="BN4184" t="s">
        <v>27621</v>
      </c>
    </row>
    <row r="4185" spans="1:66" x14ac:dyDescent="0.25">
      <c r="A4185" t="str">
        <f>HYPERLINK("https://elite.finviz.com/quote.ashx?t=ONCHU&amp;ty=c&amp;p=d&amp;b=1", "ONCHU")</f>
        <v>ONCHU</v>
      </c>
      <c r="B4185">
        <v>4</v>
      </c>
      <c r="C4185">
        <v>105.92</v>
      </c>
      <c r="D4185">
        <v>51.81</v>
      </c>
      <c r="E4185" t="s">
        <v>23448</v>
      </c>
      <c r="F4185" t="s">
        <v>107</v>
      </c>
      <c r="G4185" t="s">
        <v>550</v>
      </c>
      <c r="H4185" t="s">
        <v>2120</v>
      </c>
      <c r="I4185" t="s">
        <v>70</v>
      </c>
      <c r="J4185" t="s">
        <v>321</v>
      </c>
      <c r="K4185">
        <v>226.16</v>
      </c>
      <c r="L4185">
        <v>10.49</v>
      </c>
      <c r="M4185" t="s">
        <v>1564</v>
      </c>
      <c r="N4185">
        <v>23014</v>
      </c>
      <c r="AJ4185" t="s">
        <v>164</v>
      </c>
      <c r="AK4185" t="s">
        <v>9281</v>
      </c>
      <c r="AL4185">
        <v>0</v>
      </c>
      <c r="AM4185">
        <v>0</v>
      </c>
      <c r="AR4185" t="s">
        <v>6732</v>
      </c>
      <c r="AS4185" t="s">
        <v>1837</v>
      </c>
      <c r="AT4185" t="s">
        <v>822</v>
      </c>
      <c r="AU4185" t="s">
        <v>211</v>
      </c>
      <c r="AV4185" t="s">
        <v>3446</v>
      </c>
      <c r="AW4185" t="s">
        <v>1225</v>
      </c>
      <c r="AX4185" t="s">
        <v>3976</v>
      </c>
      <c r="AY4185" t="s">
        <v>1225</v>
      </c>
      <c r="AZ4185" t="s">
        <v>2080</v>
      </c>
      <c r="BB4185">
        <v>193.93</v>
      </c>
      <c r="BC4185">
        <v>0.42</v>
      </c>
      <c r="BD4185">
        <v>10.53</v>
      </c>
      <c r="BE4185">
        <v>10.55</v>
      </c>
      <c r="BF4185">
        <v>10.44</v>
      </c>
      <c r="BG4185" t="s">
        <v>32438</v>
      </c>
      <c r="BH4185" t="s">
        <v>1225</v>
      </c>
      <c r="BI4185" t="s">
        <v>2080</v>
      </c>
      <c r="BJ4185" t="s">
        <v>101</v>
      </c>
      <c r="BN4185" t="s">
        <v>27621</v>
      </c>
    </row>
    <row r="4186" spans="1:66" x14ac:dyDescent="0.25">
      <c r="A4186" t="str">
        <f>HYPERLINK("https://elite.finviz.com/quote.ashx?t=VERU&amp;ty=c&amp;p=d&amp;b=1", "VERU")</f>
        <v>VERU</v>
      </c>
      <c r="B4186">
        <v>4</v>
      </c>
      <c r="C4186">
        <v>105.92</v>
      </c>
      <c r="D4186">
        <v>51.82</v>
      </c>
      <c r="E4186" t="s">
        <v>32439</v>
      </c>
      <c r="F4186" t="s">
        <v>107</v>
      </c>
      <c r="G4186" t="s">
        <v>428</v>
      </c>
      <c r="H4186" t="s">
        <v>429</v>
      </c>
      <c r="I4186" t="s">
        <v>70</v>
      </c>
      <c r="J4186" t="s">
        <v>321</v>
      </c>
      <c r="K4186">
        <v>54.21</v>
      </c>
      <c r="L4186">
        <v>3.7</v>
      </c>
      <c r="M4186" t="s">
        <v>2735</v>
      </c>
      <c r="N4186">
        <v>67586</v>
      </c>
      <c r="R4186">
        <v>8.14</v>
      </c>
      <c r="S4186">
        <v>3.53</v>
      </c>
      <c r="V4186" t="s">
        <v>32440</v>
      </c>
      <c r="AA4186">
        <v>-1.95</v>
      </c>
      <c r="AC4186" t="s">
        <v>10612</v>
      </c>
      <c r="AD4186" t="s">
        <v>6124</v>
      </c>
      <c r="AE4186" t="s">
        <v>5402</v>
      </c>
      <c r="AF4186" t="s">
        <v>9065</v>
      </c>
      <c r="AG4186" t="s">
        <v>18364</v>
      </c>
      <c r="AH4186" t="s">
        <v>579</v>
      </c>
      <c r="AI4186" t="s">
        <v>463</v>
      </c>
      <c r="AJ4186" t="s">
        <v>164</v>
      </c>
      <c r="AK4186" t="s">
        <v>7869</v>
      </c>
      <c r="AL4186">
        <v>2.42</v>
      </c>
      <c r="AM4186">
        <v>2.42</v>
      </c>
      <c r="AN4186">
        <v>0.21</v>
      </c>
      <c r="AO4186" t="s">
        <v>11521</v>
      </c>
      <c r="AP4186" t="s">
        <v>32441</v>
      </c>
      <c r="AQ4186" t="s">
        <v>32442</v>
      </c>
      <c r="AR4186" t="s">
        <v>7403</v>
      </c>
      <c r="AS4186" t="s">
        <v>2823</v>
      </c>
      <c r="AT4186" t="s">
        <v>3229</v>
      </c>
      <c r="AU4186" t="s">
        <v>9018</v>
      </c>
      <c r="AV4186" t="s">
        <v>31124</v>
      </c>
      <c r="AW4186" t="s">
        <v>29728</v>
      </c>
      <c r="AX4186" t="s">
        <v>8765</v>
      </c>
      <c r="AY4186" t="s">
        <v>23008</v>
      </c>
      <c r="AZ4186" t="s">
        <v>8765</v>
      </c>
      <c r="BA4186">
        <v>1.75</v>
      </c>
      <c r="BB4186">
        <v>193.21</v>
      </c>
      <c r="BC4186">
        <v>1.24</v>
      </c>
      <c r="BD4186">
        <v>3.59</v>
      </c>
      <c r="BE4186">
        <v>3.75</v>
      </c>
      <c r="BF4186">
        <v>3.53</v>
      </c>
      <c r="BG4186" t="s">
        <v>32443</v>
      </c>
      <c r="BH4186" t="s">
        <v>3362</v>
      </c>
      <c r="BI4186" t="s">
        <v>8765</v>
      </c>
      <c r="BJ4186" t="s">
        <v>101</v>
      </c>
      <c r="BK4186" t="s">
        <v>32444</v>
      </c>
      <c r="BL4186" t="s">
        <v>8029</v>
      </c>
      <c r="BM4186" t="s">
        <v>5667</v>
      </c>
      <c r="BN4186" t="s">
        <v>27621</v>
      </c>
    </row>
    <row r="4187" spans="1:66" x14ac:dyDescent="0.25">
      <c r="A4187" t="str">
        <f>HYPERLINK("https://elite.finviz.com/quote.ashx?t=CKX&amp;ty=c&amp;p=d&amp;b=1", "CKX")</f>
        <v>CKX</v>
      </c>
      <c r="B4187">
        <v>4</v>
      </c>
      <c r="C4187">
        <v>105.92</v>
      </c>
      <c r="D4187">
        <v>51.89</v>
      </c>
      <c r="E4187" t="s">
        <v>32445</v>
      </c>
      <c r="F4187" t="s">
        <v>107</v>
      </c>
      <c r="G4187" t="s">
        <v>1048</v>
      </c>
      <c r="H4187" t="s">
        <v>1049</v>
      </c>
      <c r="I4187" t="s">
        <v>70</v>
      </c>
      <c r="J4187" t="s">
        <v>383</v>
      </c>
      <c r="K4187">
        <v>23.84</v>
      </c>
      <c r="L4187">
        <v>11.61</v>
      </c>
      <c r="M4187" t="s">
        <v>5380</v>
      </c>
      <c r="N4187">
        <v>1</v>
      </c>
      <c r="O4187">
        <v>65.33</v>
      </c>
      <c r="R4187">
        <v>28.38</v>
      </c>
      <c r="S4187">
        <v>1.27</v>
      </c>
      <c r="V4187" t="s">
        <v>32446</v>
      </c>
      <c r="Z4187" t="s">
        <v>164</v>
      </c>
      <c r="AA4187">
        <v>0.18</v>
      </c>
      <c r="AB4187" t="s">
        <v>27861</v>
      </c>
      <c r="AC4187" t="s">
        <v>2768</v>
      </c>
      <c r="AE4187" t="s">
        <v>26552</v>
      </c>
      <c r="AF4187" t="s">
        <v>8030</v>
      </c>
      <c r="AG4187" t="s">
        <v>7298</v>
      </c>
      <c r="AH4187" t="s">
        <v>27028</v>
      </c>
      <c r="AJ4187" t="s">
        <v>164</v>
      </c>
      <c r="AK4187" t="s">
        <v>661</v>
      </c>
      <c r="AL4187">
        <v>56.9</v>
      </c>
      <c r="AM4187">
        <v>56.9</v>
      </c>
      <c r="AN4187">
        <v>0</v>
      </c>
      <c r="AO4187" t="s">
        <v>6332</v>
      </c>
      <c r="AP4187" t="s">
        <v>896</v>
      </c>
      <c r="AQ4187" t="s">
        <v>31153</v>
      </c>
      <c r="AR4187" t="s">
        <v>4623</v>
      </c>
      <c r="AS4187" t="s">
        <v>4892</v>
      </c>
      <c r="AT4187" t="s">
        <v>458</v>
      </c>
      <c r="AU4187" t="s">
        <v>1083</v>
      </c>
      <c r="AV4187" t="s">
        <v>3896</v>
      </c>
      <c r="AW4187" t="s">
        <v>16396</v>
      </c>
      <c r="AX4187" t="s">
        <v>3245</v>
      </c>
      <c r="AY4187" t="s">
        <v>1345</v>
      </c>
      <c r="AZ4187" t="s">
        <v>6747</v>
      </c>
      <c r="BB4187">
        <v>7.62</v>
      </c>
      <c r="BC4187">
        <v>0</v>
      </c>
      <c r="BD4187">
        <v>11.47</v>
      </c>
      <c r="BE4187">
        <v>11.61</v>
      </c>
      <c r="BF4187">
        <v>11.61</v>
      </c>
      <c r="BG4187" t="s">
        <v>32447</v>
      </c>
      <c r="BH4187" t="s">
        <v>29024</v>
      </c>
      <c r="BI4187" t="s">
        <v>26126</v>
      </c>
      <c r="BJ4187" t="s">
        <v>101</v>
      </c>
      <c r="BK4187" t="s">
        <v>2861</v>
      </c>
      <c r="BL4187" t="s">
        <v>2339</v>
      </c>
      <c r="BM4187" t="s">
        <v>7341</v>
      </c>
      <c r="BN4187" t="s">
        <v>27621</v>
      </c>
    </row>
    <row r="4188" spans="1:66" x14ac:dyDescent="0.25">
      <c r="A4188" t="str">
        <f>HYPERLINK("https://elite.finviz.com/quote.ashx?t=FIGX&amp;ty=c&amp;p=d&amp;b=1", "FIGX")</f>
        <v>FIGX</v>
      </c>
      <c r="B4188">
        <v>4</v>
      </c>
      <c r="C4188">
        <v>105.92</v>
      </c>
      <c r="D4188">
        <v>51.9</v>
      </c>
      <c r="E4188" t="s">
        <v>32448</v>
      </c>
      <c r="F4188" t="s">
        <v>107</v>
      </c>
      <c r="G4188" t="s">
        <v>550</v>
      </c>
      <c r="H4188" t="s">
        <v>2120</v>
      </c>
      <c r="I4188" t="s">
        <v>70</v>
      </c>
      <c r="J4188" t="s">
        <v>321</v>
      </c>
      <c r="K4188">
        <v>193.32</v>
      </c>
      <c r="L4188">
        <v>9.9700000000000006</v>
      </c>
      <c r="M4188" t="s">
        <v>164</v>
      </c>
      <c r="N4188">
        <v>0</v>
      </c>
      <c r="S4188">
        <v>1.33</v>
      </c>
      <c r="AJ4188" t="s">
        <v>164</v>
      </c>
      <c r="AK4188" t="s">
        <v>322</v>
      </c>
      <c r="AL4188">
        <v>3.1</v>
      </c>
      <c r="AM4188">
        <v>3.1</v>
      </c>
      <c r="AN4188">
        <v>0</v>
      </c>
      <c r="AR4188" t="s">
        <v>2215</v>
      </c>
      <c r="AT4188" t="s">
        <v>4191</v>
      </c>
      <c r="AU4188" t="s">
        <v>2213</v>
      </c>
      <c r="AV4188" t="s">
        <v>2213</v>
      </c>
      <c r="AW4188" t="s">
        <v>174</v>
      </c>
      <c r="AX4188" t="s">
        <v>1083</v>
      </c>
      <c r="AY4188" t="s">
        <v>174</v>
      </c>
      <c r="AZ4188" t="s">
        <v>1083</v>
      </c>
      <c r="BB4188">
        <v>71.84</v>
      </c>
      <c r="BC4188">
        <v>0</v>
      </c>
      <c r="BD4188">
        <v>9.9700000000000006</v>
      </c>
      <c r="BE4188">
        <v>9.9700000000000006</v>
      </c>
      <c r="BF4188">
        <v>9.9700000000000006</v>
      </c>
      <c r="BG4188" t="s">
        <v>32449</v>
      </c>
      <c r="BH4188" t="s">
        <v>174</v>
      </c>
      <c r="BI4188" t="s">
        <v>1083</v>
      </c>
      <c r="BJ4188" t="s">
        <v>101</v>
      </c>
      <c r="BN4188" t="s">
        <v>27621</v>
      </c>
    </row>
    <row r="4189" spans="1:66" x14ac:dyDescent="0.25">
      <c r="A4189" t="str">
        <f>HYPERLINK("https://elite.finviz.com/quote.ashx?t=RAAQ&amp;ty=c&amp;p=d&amp;b=1", "RAAQ")</f>
        <v>RAAQ</v>
      </c>
      <c r="B4189">
        <v>4</v>
      </c>
      <c r="C4189">
        <v>105.92</v>
      </c>
      <c r="D4189">
        <v>51.96</v>
      </c>
      <c r="E4189" t="s">
        <v>32450</v>
      </c>
      <c r="F4189" t="s">
        <v>107</v>
      </c>
      <c r="G4189" t="s">
        <v>550</v>
      </c>
      <c r="H4189" t="s">
        <v>2120</v>
      </c>
      <c r="I4189" t="s">
        <v>70</v>
      </c>
      <c r="J4189" t="s">
        <v>321</v>
      </c>
      <c r="K4189">
        <v>233.22</v>
      </c>
      <c r="L4189">
        <v>10.14</v>
      </c>
      <c r="M4189" t="s">
        <v>2757</v>
      </c>
      <c r="N4189">
        <v>600</v>
      </c>
      <c r="S4189">
        <v>1.39</v>
      </c>
      <c r="AJ4189" t="s">
        <v>164</v>
      </c>
      <c r="AK4189" t="s">
        <v>1171</v>
      </c>
      <c r="AL4189">
        <v>10.61</v>
      </c>
      <c r="AM4189">
        <v>10.61</v>
      </c>
      <c r="AN4189">
        <v>0</v>
      </c>
      <c r="AR4189" t="s">
        <v>2757</v>
      </c>
      <c r="AS4189" t="s">
        <v>3336</v>
      </c>
      <c r="AT4189" t="s">
        <v>3736</v>
      </c>
      <c r="AU4189" t="s">
        <v>2745</v>
      </c>
      <c r="AV4189" t="s">
        <v>1249</v>
      </c>
      <c r="AW4189" t="s">
        <v>4763</v>
      </c>
      <c r="AX4189" t="s">
        <v>3602</v>
      </c>
      <c r="AY4189" t="s">
        <v>4763</v>
      </c>
      <c r="AZ4189" t="s">
        <v>3602</v>
      </c>
      <c r="BB4189">
        <v>48.15</v>
      </c>
      <c r="BC4189">
        <v>0.04</v>
      </c>
      <c r="BD4189">
        <v>10.130000000000001</v>
      </c>
      <c r="BE4189">
        <v>10.14</v>
      </c>
      <c r="BF4189">
        <v>10.14</v>
      </c>
      <c r="BG4189" t="s">
        <v>32451</v>
      </c>
      <c r="BH4189" t="s">
        <v>4763</v>
      </c>
      <c r="BI4189" t="s">
        <v>3602</v>
      </c>
      <c r="BJ4189" t="s">
        <v>101</v>
      </c>
      <c r="BN4189" t="s">
        <v>27621</v>
      </c>
    </row>
    <row r="4190" spans="1:66" x14ac:dyDescent="0.25">
      <c r="A4190" t="str">
        <f>HYPERLINK("https://elite.finviz.com/quote.ashx?t=MTR&amp;ty=c&amp;p=d&amp;b=1", "MTR")</f>
        <v>MTR</v>
      </c>
      <c r="B4190">
        <v>4</v>
      </c>
      <c r="C4190">
        <v>105.92</v>
      </c>
      <c r="D4190">
        <v>52.11</v>
      </c>
      <c r="E4190" t="s">
        <v>32452</v>
      </c>
      <c r="F4190" t="s">
        <v>107</v>
      </c>
      <c r="G4190" t="s">
        <v>1048</v>
      </c>
      <c r="H4190" t="s">
        <v>1049</v>
      </c>
      <c r="I4190" t="s">
        <v>70</v>
      </c>
      <c r="J4190" t="s">
        <v>71</v>
      </c>
      <c r="K4190">
        <v>10.28</v>
      </c>
      <c r="L4190">
        <v>5.65</v>
      </c>
      <c r="M4190" t="s">
        <v>7484</v>
      </c>
      <c r="N4190">
        <v>93</v>
      </c>
      <c r="O4190">
        <v>34.35</v>
      </c>
      <c r="R4190">
        <v>17.14</v>
      </c>
      <c r="S4190">
        <v>3.35</v>
      </c>
      <c r="T4190" t="s">
        <v>1926</v>
      </c>
      <c r="U4190">
        <v>0.2</v>
      </c>
      <c r="V4190" t="s">
        <v>198</v>
      </c>
      <c r="W4190" t="s">
        <v>21609</v>
      </c>
      <c r="X4190" t="s">
        <v>1197</v>
      </c>
      <c r="Y4190" t="s">
        <v>8329</v>
      </c>
      <c r="Z4190" t="s">
        <v>29458</v>
      </c>
      <c r="AA4190">
        <v>0.16</v>
      </c>
      <c r="AB4190" t="s">
        <v>7274</v>
      </c>
      <c r="AC4190" t="s">
        <v>2164</v>
      </c>
      <c r="AE4190" t="s">
        <v>32453</v>
      </c>
      <c r="AF4190" t="s">
        <v>5137</v>
      </c>
      <c r="AG4190" t="s">
        <v>658</v>
      </c>
      <c r="AH4190" t="s">
        <v>13783</v>
      </c>
      <c r="AJ4190" t="s">
        <v>164</v>
      </c>
      <c r="AK4190" t="s">
        <v>16280</v>
      </c>
      <c r="AL4190">
        <v>11.84</v>
      </c>
      <c r="AM4190">
        <v>11.84</v>
      </c>
      <c r="AN4190">
        <v>0</v>
      </c>
      <c r="AO4190" t="s">
        <v>27586</v>
      </c>
      <c r="AP4190" t="s">
        <v>17330</v>
      </c>
      <c r="AQ4190" t="s">
        <v>131</v>
      </c>
      <c r="AR4190" t="s">
        <v>2735</v>
      </c>
      <c r="AS4190" t="s">
        <v>2201</v>
      </c>
      <c r="AT4190" t="s">
        <v>4689</v>
      </c>
      <c r="AU4190" t="s">
        <v>3358</v>
      </c>
      <c r="AV4190" t="s">
        <v>799</v>
      </c>
      <c r="AW4190" t="s">
        <v>5301</v>
      </c>
      <c r="AX4190" t="s">
        <v>1252</v>
      </c>
      <c r="AY4190" t="s">
        <v>29101</v>
      </c>
      <c r="AZ4190" t="s">
        <v>11212</v>
      </c>
      <c r="BB4190">
        <v>5.61</v>
      </c>
      <c r="BC4190">
        <v>0.06</v>
      </c>
      <c r="BD4190">
        <v>5.47</v>
      </c>
      <c r="BE4190">
        <v>5.5</v>
      </c>
      <c r="BF4190">
        <v>5.5</v>
      </c>
      <c r="BG4190" t="s">
        <v>32454</v>
      </c>
      <c r="BH4190" t="s">
        <v>10308</v>
      </c>
      <c r="BI4190" t="s">
        <v>18940</v>
      </c>
      <c r="BJ4190" t="s">
        <v>101</v>
      </c>
      <c r="BK4190" t="s">
        <v>12450</v>
      </c>
      <c r="BL4190" t="s">
        <v>5569</v>
      </c>
      <c r="BM4190" t="s">
        <v>8109</v>
      </c>
      <c r="BN4190" t="s">
        <v>27621</v>
      </c>
    </row>
    <row r="4191" spans="1:66" x14ac:dyDescent="0.25">
      <c r="A4191" t="str">
        <f>HYPERLINK("https://elite.finviz.com/quote.ashx?t=CQP&amp;ty=c&amp;p=d&amp;b=1", "CQP")</f>
        <v>CQP</v>
      </c>
      <c r="B4191">
        <v>4</v>
      </c>
      <c r="C4191">
        <v>105.92</v>
      </c>
      <c r="D4191">
        <v>52.11</v>
      </c>
      <c r="E4191" t="s">
        <v>32455</v>
      </c>
      <c r="F4191" t="s">
        <v>107</v>
      </c>
      <c r="G4191" t="s">
        <v>1048</v>
      </c>
      <c r="H4191" t="s">
        <v>3915</v>
      </c>
      <c r="I4191" t="s">
        <v>70</v>
      </c>
      <c r="J4191" t="s">
        <v>71</v>
      </c>
      <c r="K4191">
        <v>26092.61</v>
      </c>
      <c r="L4191">
        <v>53.9</v>
      </c>
      <c r="M4191" t="s">
        <v>497</v>
      </c>
      <c r="N4191">
        <v>10518</v>
      </c>
      <c r="O4191">
        <v>13.03</v>
      </c>
      <c r="P4191">
        <v>12.48</v>
      </c>
      <c r="R4191">
        <v>2.62</v>
      </c>
      <c r="S4191">
        <v>11.88</v>
      </c>
      <c r="T4191" t="s">
        <v>7767</v>
      </c>
      <c r="U4191">
        <v>3.1</v>
      </c>
      <c r="V4191" t="s">
        <v>1762</v>
      </c>
      <c r="W4191" t="s">
        <v>18646</v>
      </c>
      <c r="X4191" t="s">
        <v>1423</v>
      </c>
      <c r="Y4191" t="s">
        <v>2816</v>
      </c>
      <c r="Z4191" t="s">
        <v>7675</v>
      </c>
      <c r="AA4191">
        <v>4.1399999999999997</v>
      </c>
      <c r="AB4191" t="s">
        <v>13198</v>
      </c>
      <c r="AC4191" t="s">
        <v>2095</v>
      </c>
      <c r="AD4191" t="s">
        <v>2402</v>
      </c>
      <c r="AE4191" t="s">
        <v>4857</v>
      </c>
      <c r="AF4191" t="s">
        <v>1180</v>
      </c>
      <c r="AG4191" t="s">
        <v>3602</v>
      </c>
      <c r="AH4191" t="s">
        <v>10672</v>
      </c>
      <c r="AI4191" t="s">
        <v>1779</v>
      </c>
      <c r="AJ4191" t="s">
        <v>164</v>
      </c>
      <c r="AK4191" t="s">
        <v>5097</v>
      </c>
      <c r="AL4191">
        <v>0.61</v>
      </c>
      <c r="AM4191">
        <v>0.52</v>
      </c>
      <c r="AN4191">
        <v>6.75</v>
      </c>
      <c r="AO4191" t="s">
        <v>19283</v>
      </c>
      <c r="AP4191" t="s">
        <v>2270</v>
      </c>
      <c r="AQ4191" t="s">
        <v>8533</v>
      </c>
      <c r="AR4191" t="s">
        <v>2430</v>
      </c>
      <c r="AS4191" t="s">
        <v>4267</v>
      </c>
      <c r="AT4191" t="s">
        <v>4689</v>
      </c>
      <c r="AU4191" t="s">
        <v>8374</v>
      </c>
      <c r="AV4191" t="s">
        <v>3091</v>
      </c>
      <c r="AW4191" t="s">
        <v>9240</v>
      </c>
      <c r="AX4191" t="s">
        <v>1872</v>
      </c>
      <c r="AY4191" t="s">
        <v>186</v>
      </c>
      <c r="AZ4191" t="s">
        <v>7727</v>
      </c>
      <c r="BA4191">
        <v>4</v>
      </c>
      <c r="BB4191">
        <v>121.31</v>
      </c>
      <c r="BC4191">
        <v>0.31</v>
      </c>
      <c r="BD4191">
        <v>53.79</v>
      </c>
      <c r="BE4191">
        <v>54.1</v>
      </c>
      <c r="BF4191">
        <v>53.53</v>
      </c>
      <c r="BG4191" t="s">
        <v>32456</v>
      </c>
      <c r="BH4191" t="s">
        <v>186</v>
      </c>
      <c r="BI4191" t="s">
        <v>32457</v>
      </c>
      <c r="BJ4191" t="s">
        <v>101</v>
      </c>
      <c r="BK4191" t="s">
        <v>9022</v>
      </c>
      <c r="BL4191" t="s">
        <v>10847</v>
      </c>
      <c r="BM4191" t="s">
        <v>2819</v>
      </c>
      <c r="BN4191" t="s">
        <v>27621</v>
      </c>
    </row>
    <row r="4192" spans="1:66" x14ac:dyDescent="0.25">
      <c r="A4192" t="str">
        <f>HYPERLINK("https://elite.finviz.com/quote.ashx?t=NHIC&amp;ty=c&amp;p=d&amp;b=1", "NHIC")</f>
        <v>NHIC</v>
      </c>
      <c r="B4192">
        <v>4</v>
      </c>
      <c r="C4192">
        <v>105.92</v>
      </c>
      <c r="D4192">
        <v>52.41</v>
      </c>
      <c r="E4192" t="s">
        <v>32458</v>
      </c>
      <c r="F4192" t="s">
        <v>107</v>
      </c>
      <c r="G4192" t="s">
        <v>550</v>
      </c>
      <c r="H4192" t="s">
        <v>2120</v>
      </c>
      <c r="I4192" t="s">
        <v>70</v>
      </c>
      <c r="J4192" t="s">
        <v>321</v>
      </c>
      <c r="K4192">
        <v>280.93</v>
      </c>
      <c r="L4192">
        <v>10.18</v>
      </c>
      <c r="M4192" t="s">
        <v>164</v>
      </c>
      <c r="N4192">
        <v>0</v>
      </c>
      <c r="O4192">
        <v>128.96</v>
      </c>
      <c r="S4192">
        <v>1.41</v>
      </c>
      <c r="AA4192">
        <v>0.08</v>
      </c>
      <c r="AJ4192" t="s">
        <v>164</v>
      </c>
      <c r="AK4192" t="s">
        <v>19505</v>
      </c>
      <c r="AL4192">
        <v>9.48</v>
      </c>
      <c r="AM4192">
        <v>9.48</v>
      </c>
      <c r="AN4192">
        <v>0</v>
      </c>
      <c r="AR4192" t="s">
        <v>164</v>
      </c>
      <c r="AS4192" t="s">
        <v>406</v>
      </c>
      <c r="AT4192" t="s">
        <v>164</v>
      </c>
      <c r="AU4192" t="s">
        <v>3227</v>
      </c>
      <c r="AV4192" t="s">
        <v>4308</v>
      </c>
      <c r="AW4192" t="s">
        <v>9084</v>
      </c>
      <c r="AX4192" t="s">
        <v>1657</v>
      </c>
      <c r="AY4192" t="s">
        <v>9084</v>
      </c>
      <c r="AZ4192" t="s">
        <v>1391</v>
      </c>
      <c r="BB4192">
        <v>30.61</v>
      </c>
      <c r="BC4192">
        <v>0</v>
      </c>
      <c r="BD4192">
        <v>10.18</v>
      </c>
      <c r="BE4192">
        <v>10.18</v>
      </c>
      <c r="BF4192">
        <v>10.18</v>
      </c>
      <c r="BG4192" t="s">
        <v>22022</v>
      </c>
      <c r="BH4192" t="s">
        <v>9084</v>
      </c>
      <c r="BI4192" t="s">
        <v>1391</v>
      </c>
      <c r="BJ4192" t="s">
        <v>101</v>
      </c>
      <c r="BK4192" t="s">
        <v>2650</v>
      </c>
      <c r="BN4192" t="s">
        <v>27621</v>
      </c>
    </row>
    <row r="4193" spans="1:66" x14ac:dyDescent="0.25">
      <c r="A4193" t="str">
        <f>HYPERLINK("https://elite.finviz.com/quote.ashx?t=PRTC&amp;ty=c&amp;p=d&amp;b=1", "PRTC")</f>
        <v>PRTC</v>
      </c>
      <c r="B4193">
        <v>4</v>
      </c>
      <c r="C4193">
        <v>105.92</v>
      </c>
      <c r="D4193">
        <v>52.48</v>
      </c>
      <c r="E4193" t="s">
        <v>32459</v>
      </c>
      <c r="F4193" t="s">
        <v>107</v>
      </c>
      <c r="G4193" t="s">
        <v>428</v>
      </c>
      <c r="H4193" t="s">
        <v>429</v>
      </c>
      <c r="I4193" t="s">
        <v>70</v>
      </c>
      <c r="J4193" t="s">
        <v>321</v>
      </c>
      <c r="K4193">
        <v>410.52</v>
      </c>
      <c r="L4193">
        <v>17.010000000000002</v>
      </c>
      <c r="M4193" t="s">
        <v>4809</v>
      </c>
      <c r="N4193">
        <v>140</v>
      </c>
      <c r="O4193">
        <v>9.85</v>
      </c>
      <c r="R4193">
        <v>64.55</v>
      </c>
      <c r="S4193">
        <v>1.0900000000000001</v>
      </c>
      <c r="Z4193" t="s">
        <v>164</v>
      </c>
      <c r="AA4193">
        <v>1.73</v>
      </c>
      <c r="AC4193" t="s">
        <v>31045</v>
      </c>
      <c r="AE4193" t="s">
        <v>32460</v>
      </c>
      <c r="AF4193" t="s">
        <v>32263</v>
      </c>
      <c r="AG4193" t="s">
        <v>851</v>
      </c>
      <c r="AH4193" t="s">
        <v>32461</v>
      </c>
      <c r="AI4193" t="s">
        <v>6584</v>
      </c>
      <c r="AK4193" t="s">
        <v>3024</v>
      </c>
      <c r="AL4193">
        <v>8.49</v>
      </c>
      <c r="AM4193">
        <v>8.49</v>
      </c>
      <c r="AN4193">
        <v>0.06</v>
      </c>
      <c r="AO4193" t="s">
        <v>1084</v>
      </c>
      <c r="AP4193" t="s">
        <v>32462</v>
      </c>
      <c r="AQ4193" t="s">
        <v>32463</v>
      </c>
      <c r="AR4193" t="s">
        <v>3638</v>
      </c>
      <c r="AS4193" t="s">
        <v>2317</v>
      </c>
      <c r="AT4193" t="s">
        <v>4678</v>
      </c>
      <c r="AU4193" t="s">
        <v>14569</v>
      </c>
      <c r="AV4193" t="s">
        <v>5428</v>
      </c>
      <c r="AW4193" t="s">
        <v>8252</v>
      </c>
      <c r="AX4193" t="s">
        <v>1005</v>
      </c>
      <c r="AY4193" t="s">
        <v>23211</v>
      </c>
      <c r="AZ4193" t="s">
        <v>3868</v>
      </c>
      <c r="BA4193">
        <v>1</v>
      </c>
      <c r="BB4193">
        <v>5.49</v>
      </c>
      <c r="BC4193">
        <v>0.09</v>
      </c>
      <c r="BD4193">
        <v>17.100000000000001</v>
      </c>
      <c r="BE4193">
        <v>17.100000000000001</v>
      </c>
      <c r="BF4193">
        <v>17.100000000000001</v>
      </c>
      <c r="BG4193" t="s">
        <v>32464</v>
      </c>
      <c r="BH4193" t="s">
        <v>29597</v>
      </c>
      <c r="BI4193" t="s">
        <v>3868</v>
      </c>
      <c r="BJ4193" t="s">
        <v>101</v>
      </c>
      <c r="BK4193" t="s">
        <v>4126</v>
      </c>
      <c r="BL4193" t="s">
        <v>3321</v>
      </c>
      <c r="BM4193" t="s">
        <v>16413</v>
      </c>
      <c r="BN4193" t="s">
        <v>27621</v>
      </c>
    </row>
    <row r="4194" spans="1:66" x14ac:dyDescent="0.25">
      <c r="A4194" t="str">
        <f>HYPERLINK("https://elite.finviz.com/quote.ashx?t=SGA&amp;ty=c&amp;p=d&amp;b=1", "SGA")</f>
        <v>SGA</v>
      </c>
      <c r="B4194">
        <v>4</v>
      </c>
      <c r="C4194">
        <v>105.92</v>
      </c>
      <c r="D4194">
        <v>52.48</v>
      </c>
      <c r="E4194" t="s">
        <v>32465</v>
      </c>
      <c r="F4194" t="s">
        <v>107</v>
      </c>
      <c r="G4194" t="s">
        <v>598</v>
      </c>
      <c r="H4194" t="s">
        <v>4546</v>
      </c>
      <c r="I4194" t="s">
        <v>70</v>
      </c>
      <c r="J4194" t="s">
        <v>321</v>
      </c>
      <c r="K4194">
        <v>80.37</v>
      </c>
      <c r="L4194">
        <v>12.48</v>
      </c>
      <c r="M4194" t="s">
        <v>5968</v>
      </c>
      <c r="N4194">
        <v>26</v>
      </c>
      <c r="O4194">
        <v>37.43</v>
      </c>
      <c r="P4194">
        <v>17.100000000000001</v>
      </c>
      <c r="R4194">
        <v>0.73</v>
      </c>
      <c r="S4194">
        <v>0.49</v>
      </c>
      <c r="T4194" t="s">
        <v>2019</v>
      </c>
      <c r="U4194">
        <v>1.25</v>
      </c>
      <c r="V4194" t="s">
        <v>2882</v>
      </c>
      <c r="W4194" t="s">
        <v>164</v>
      </c>
      <c r="X4194" t="s">
        <v>12791</v>
      </c>
      <c r="Y4194" t="s">
        <v>4927</v>
      </c>
      <c r="Z4194" t="s">
        <v>32466</v>
      </c>
      <c r="AA4194">
        <v>0.33</v>
      </c>
      <c r="AB4194" t="s">
        <v>23284</v>
      </c>
      <c r="AC4194" t="s">
        <v>17578</v>
      </c>
      <c r="AE4194" t="s">
        <v>181</v>
      </c>
      <c r="AF4194" t="s">
        <v>5058</v>
      </c>
      <c r="AG4194" t="s">
        <v>2372</v>
      </c>
      <c r="AH4194" t="s">
        <v>6659</v>
      </c>
      <c r="AI4194" t="s">
        <v>32467</v>
      </c>
      <c r="AJ4194" t="s">
        <v>8937</v>
      </c>
      <c r="AK4194" t="s">
        <v>22112</v>
      </c>
      <c r="AL4194">
        <v>2.76</v>
      </c>
      <c r="AM4194">
        <v>2.76</v>
      </c>
      <c r="AN4194">
        <v>7.0000000000000007E-2</v>
      </c>
      <c r="AO4194" t="s">
        <v>6740</v>
      </c>
      <c r="AP4194" t="s">
        <v>2449</v>
      </c>
      <c r="AQ4194" t="s">
        <v>4267</v>
      </c>
      <c r="AR4194" t="s">
        <v>4499</v>
      </c>
      <c r="AS4194" t="s">
        <v>1776</v>
      </c>
      <c r="AT4194" t="s">
        <v>4873</v>
      </c>
      <c r="AU4194" t="s">
        <v>4953</v>
      </c>
      <c r="AV4194" t="s">
        <v>3832</v>
      </c>
      <c r="AW4194" t="s">
        <v>7234</v>
      </c>
      <c r="AX4194" t="s">
        <v>5527</v>
      </c>
      <c r="AY4194" t="s">
        <v>1622</v>
      </c>
      <c r="AZ4194" t="s">
        <v>2883</v>
      </c>
      <c r="BA4194">
        <v>1</v>
      </c>
      <c r="BB4194">
        <v>7.93</v>
      </c>
      <c r="BC4194">
        <v>0.01</v>
      </c>
      <c r="BD4194">
        <v>12.23</v>
      </c>
      <c r="BE4194">
        <v>12.22</v>
      </c>
      <c r="BF4194">
        <v>12.22</v>
      </c>
      <c r="BG4194" t="s">
        <v>32468</v>
      </c>
      <c r="BH4194" t="s">
        <v>32469</v>
      </c>
      <c r="BI4194" t="s">
        <v>32470</v>
      </c>
      <c r="BJ4194" t="s">
        <v>101</v>
      </c>
      <c r="BK4194" t="s">
        <v>9022</v>
      </c>
      <c r="BL4194" t="s">
        <v>4150</v>
      </c>
      <c r="BM4194" t="s">
        <v>18853</v>
      </c>
      <c r="BN4194" t="s">
        <v>27621</v>
      </c>
    </row>
    <row r="4195" spans="1:66" x14ac:dyDescent="0.25">
      <c r="A4195" t="str">
        <f>HYPERLINK("https://elite.finviz.com/quote.ashx?t=NEUE&amp;ty=c&amp;p=d&amp;b=1", "NEUE")</f>
        <v>NEUE</v>
      </c>
      <c r="B4195">
        <v>4</v>
      </c>
      <c r="C4195">
        <v>105.92</v>
      </c>
      <c r="D4195">
        <v>52.49</v>
      </c>
      <c r="E4195" t="s">
        <v>32471</v>
      </c>
      <c r="F4195" t="s">
        <v>107</v>
      </c>
      <c r="G4195" t="s">
        <v>428</v>
      </c>
      <c r="H4195" t="s">
        <v>7264</v>
      </c>
      <c r="I4195" t="s">
        <v>70</v>
      </c>
      <c r="J4195" t="s">
        <v>71</v>
      </c>
      <c r="K4195">
        <v>60.91</v>
      </c>
      <c r="L4195">
        <v>6.75</v>
      </c>
      <c r="M4195" t="s">
        <v>1763</v>
      </c>
      <c r="N4195">
        <v>1196</v>
      </c>
      <c r="P4195">
        <v>8.77</v>
      </c>
      <c r="R4195">
        <v>7.0000000000000007E-2</v>
      </c>
      <c r="AA4195">
        <v>-15.97</v>
      </c>
      <c r="AB4195" t="s">
        <v>4006</v>
      </c>
      <c r="AC4195" t="s">
        <v>4317</v>
      </c>
      <c r="AE4195" t="s">
        <v>11354</v>
      </c>
      <c r="AF4195" t="s">
        <v>7973</v>
      </c>
      <c r="AG4195" t="s">
        <v>17779</v>
      </c>
      <c r="AH4195" t="s">
        <v>11775</v>
      </c>
      <c r="AI4195" t="s">
        <v>32472</v>
      </c>
      <c r="AJ4195" t="s">
        <v>1249</v>
      </c>
      <c r="AK4195" t="s">
        <v>1310</v>
      </c>
      <c r="AL4195">
        <v>0.7</v>
      </c>
      <c r="AP4195" t="s">
        <v>4920</v>
      </c>
      <c r="AQ4195" t="s">
        <v>15204</v>
      </c>
      <c r="AR4195" t="s">
        <v>2808</v>
      </c>
      <c r="AS4195" t="s">
        <v>465</v>
      </c>
      <c r="AT4195" t="s">
        <v>3112</v>
      </c>
      <c r="AU4195" t="s">
        <v>4901</v>
      </c>
      <c r="AV4195" t="s">
        <v>2418</v>
      </c>
      <c r="AW4195" t="s">
        <v>1082</v>
      </c>
      <c r="AX4195" t="s">
        <v>2446</v>
      </c>
      <c r="AY4195" t="s">
        <v>11638</v>
      </c>
      <c r="AZ4195" t="s">
        <v>19174</v>
      </c>
      <c r="BA4195">
        <v>3</v>
      </c>
      <c r="BB4195">
        <v>6.22</v>
      </c>
      <c r="BC4195">
        <v>0.68</v>
      </c>
      <c r="BD4195">
        <v>6.71</v>
      </c>
      <c r="BE4195">
        <v>6.7</v>
      </c>
      <c r="BF4195">
        <v>6.7</v>
      </c>
      <c r="BG4195" t="s">
        <v>32473</v>
      </c>
      <c r="BH4195" t="s">
        <v>32474</v>
      </c>
      <c r="BI4195" t="s">
        <v>19174</v>
      </c>
      <c r="BJ4195" t="s">
        <v>101</v>
      </c>
      <c r="BK4195" t="s">
        <v>9085</v>
      </c>
      <c r="BL4195" t="s">
        <v>9085</v>
      </c>
      <c r="BM4195" t="s">
        <v>1651</v>
      </c>
      <c r="BN4195" t="s">
        <v>27621</v>
      </c>
    </row>
    <row r="4196" spans="1:66" x14ac:dyDescent="0.25">
      <c r="A4196" t="str">
        <f>HYPERLINK("https://elite.finviz.com/quote.ashx?t=SBXD&amp;ty=c&amp;p=d&amp;b=1", "SBXD")</f>
        <v>SBXD</v>
      </c>
      <c r="B4196">
        <v>4</v>
      </c>
      <c r="C4196">
        <v>105.92</v>
      </c>
      <c r="D4196">
        <v>52.76</v>
      </c>
      <c r="E4196" t="s">
        <v>32475</v>
      </c>
      <c r="F4196" t="s">
        <v>107</v>
      </c>
      <c r="G4196" t="s">
        <v>550</v>
      </c>
      <c r="H4196" t="s">
        <v>2120</v>
      </c>
      <c r="I4196" t="s">
        <v>70</v>
      </c>
      <c r="J4196" t="s">
        <v>71</v>
      </c>
      <c r="K4196">
        <v>267.49</v>
      </c>
      <c r="L4196">
        <v>10.51</v>
      </c>
      <c r="M4196" t="s">
        <v>7709</v>
      </c>
      <c r="N4196">
        <v>38</v>
      </c>
      <c r="O4196">
        <v>38.76</v>
      </c>
      <c r="S4196">
        <v>1.35</v>
      </c>
      <c r="Z4196" t="s">
        <v>164</v>
      </c>
      <c r="AA4196">
        <v>0.27</v>
      </c>
      <c r="AJ4196" t="s">
        <v>164</v>
      </c>
      <c r="AK4196" t="s">
        <v>9382</v>
      </c>
      <c r="AL4196">
        <v>10.199999999999999</v>
      </c>
      <c r="AM4196">
        <v>10.199999999999999</v>
      </c>
      <c r="AN4196">
        <v>0</v>
      </c>
      <c r="AR4196" t="s">
        <v>6182</v>
      </c>
      <c r="AS4196" t="s">
        <v>193</v>
      </c>
      <c r="AT4196" t="s">
        <v>4266</v>
      </c>
      <c r="AU4196" t="s">
        <v>2906</v>
      </c>
      <c r="AV4196" t="s">
        <v>3550</v>
      </c>
      <c r="AW4196" t="s">
        <v>8534</v>
      </c>
      <c r="AX4196" t="s">
        <v>6056</v>
      </c>
      <c r="AY4196" t="s">
        <v>19666</v>
      </c>
      <c r="AZ4196" t="s">
        <v>7971</v>
      </c>
      <c r="BB4196">
        <v>68.41</v>
      </c>
      <c r="BC4196">
        <v>0</v>
      </c>
      <c r="BD4196">
        <v>10.51</v>
      </c>
      <c r="BE4196">
        <v>10.49</v>
      </c>
      <c r="BF4196">
        <v>10.49</v>
      </c>
      <c r="BG4196" t="s">
        <v>32476</v>
      </c>
      <c r="BH4196" t="s">
        <v>19666</v>
      </c>
      <c r="BI4196" t="s">
        <v>7971</v>
      </c>
      <c r="BJ4196" t="s">
        <v>101</v>
      </c>
      <c r="BK4196" t="s">
        <v>4528</v>
      </c>
      <c r="BL4196" t="s">
        <v>4189</v>
      </c>
      <c r="BN4196" t="s">
        <v>27621</v>
      </c>
    </row>
    <row r="4197" spans="1:66" x14ac:dyDescent="0.25">
      <c r="A4197" t="str">
        <f>HYPERLINK("https://elite.finviz.com/quote.ashx?t=SNFCA&amp;ty=c&amp;p=d&amp;b=1", "SNFCA")</f>
        <v>SNFCA</v>
      </c>
      <c r="B4197">
        <v>4</v>
      </c>
      <c r="C4197">
        <v>105.92</v>
      </c>
      <c r="D4197">
        <v>52.92</v>
      </c>
      <c r="E4197" t="s">
        <v>32477</v>
      </c>
      <c r="F4197" t="s">
        <v>67</v>
      </c>
      <c r="G4197" t="s">
        <v>550</v>
      </c>
      <c r="H4197" t="s">
        <v>3699</v>
      </c>
      <c r="I4197" t="s">
        <v>70</v>
      </c>
      <c r="J4197" t="s">
        <v>321</v>
      </c>
      <c r="K4197">
        <v>229.27</v>
      </c>
      <c r="L4197">
        <v>8.86</v>
      </c>
      <c r="M4197" t="s">
        <v>3550</v>
      </c>
      <c r="N4197">
        <v>3367</v>
      </c>
      <c r="O4197">
        <v>10.09</v>
      </c>
      <c r="R4197">
        <v>0.67</v>
      </c>
      <c r="S4197">
        <v>0.65</v>
      </c>
      <c r="Z4197" t="s">
        <v>164</v>
      </c>
      <c r="AA4197">
        <v>0.88</v>
      </c>
      <c r="AB4197" t="s">
        <v>6977</v>
      </c>
      <c r="AC4197" t="s">
        <v>1811</v>
      </c>
      <c r="AE4197" t="s">
        <v>5859</v>
      </c>
      <c r="AF4197" t="s">
        <v>411</v>
      </c>
      <c r="AG4197" t="s">
        <v>2233</v>
      </c>
      <c r="AH4197" t="s">
        <v>6936</v>
      </c>
      <c r="AJ4197" t="s">
        <v>164</v>
      </c>
      <c r="AK4197" t="s">
        <v>16392</v>
      </c>
      <c r="AL4197">
        <v>1.84</v>
      </c>
      <c r="AN4197">
        <v>0.35</v>
      </c>
      <c r="AP4197" t="s">
        <v>341</v>
      </c>
      <c r="AQ4197" t="s">
        <v>8593</v>
      </c>
      <c r="AR4197" t="s">
        <v>4547</v>
      </c>
      <c r="AS4197" t="s">
        <v>3500</v>
      </c>
      <c r="AT4197" t="s">
        <v>3757</v>
      </c>
      <c r="AU4197" t="s">
        <v>907</v>
      </c>
      <c r="AV4197" t="s">
        <v>303</v>
      </c>
      <c r="AW4197" t="s">
        <v>6231</v>
      </c>
      <c r="AX4197" t="s">
        <v>5739</v>
      </c>
      <c r="AY4197" t="s">
        <v>9469</v>
      </c>
      <c r="AZ4197" t="s">
        <v>16077</v>
      </c>
      <c r="BB4197">
        <v>78.599999999999994</v>
      </c>
      <c r="BC4197">
        <v>0.15</v>
      </c>
      <c r="BD4197">
        <v>8.73</v>
      </c>
      <c r="BE4197">
        <v>8.9</v>
      </c>
      <c r="BF4197">
        <v>8.9</v>
      </c>
      <c r="BG4197" t="s">
        <v>32478</v>
      </c>
      <c r="BH4197" t="s">
        <v>9469</v>
      </c>
      <c r="BI4197" t="s">
        <v>32479</v>
      </c>
      <c r="BJ4197" t="s">
        <v>101</v>
      </c>
      <c r="BK4197" t="s">
        <v>2649</v>
      </c>
      <c r="BL4197" t="s">
        <v>17386</v>
      </c>
      <c r="BM4197" t="s">
        <v>4125</v>
      </c>
      <c r="BN4197" t="s">
        <v>27621</v>
      </c>
    </row>
    <row r="4198" spans="1:66" x14ac:dyDescent="0.25">
      <c r="A4198" t="str">
        <f>HYPERLINK("https://elite.finviz.com/quote.ashx?t=GWH&amp;ty=c&amp;p=d&amp;b=1", "GWH")</f>
        <v>GWH</v>
      </c>
      <c r="B4198">
        <v>4</v>
      </c>
      <c r="C4198">
        <v>105.92</v>
      </c>
      <c r="D4198">
        <v>52.95</v>
      </c>
      <c r="E4198" t="s">
        <v>32480</v>
      </c>
      <c r="F4198" t="s">
        <v>107</v>
      </c>
      <c r="G4198" t="s">
        <v>260</v>
      </c>
      <c r="H4198" t="s">
        <v>1128</v>
      </c>
      <c r="I4198" t="s">
        <v>70</v>
      </c>
      <c r="J4198" t="s">
        <v>71</v>
      </c>
      <c r="K4198">
        <v>23.55</v>
      </c>
      <c r="L4198">
        <v>1.62</v>
      </c>
      <c r="M4198" t="s">
        <v>2355</v>
      </c>
      <c r="N4198">
        <v>83204</v>
      </c>
      <c r="R4198">
        <v>3.82</v>
      </c>
      <c r="S4198">
        <v>6.32</v>
      </c>
      <c r="AA4198">
        <v>-6.27</v>
      </c>
      <c r="AB4198" t="s">
        <v>31170</v>
      </c>
      <c r="AC4198" t="s">
        <v>7780</v>
      </c>
      <c r="AD4198" t="s">
        <v>5265</v>
      </c>
      <c r="AE4198" t="s">
        <v>19857</v>
      </c>
      <c r="AH4198" t="s">
        <v>32481</v>
      </c>
      <c r="AI4198" t="s">
        <v>1001</v>
      </c>
      <c r="AJ4198" t="s">
        <v>164</v>
      </c>
      <c r="AK4198" t="s">
        <v>8625</v>
      </c>
      <c r="AL4198">
        <v>0.47</v>
      </c>
      <c r="AM4198">
        <v>0.27</v>
      </c>
      <c r="AN4198">
        <v>0.26</v>
      </c>
      <c r="AO4198" t="s">
        <v>32482</v>
      </c>
      <c r="AP4198" t="s">
        <v>32483</v>
      </c>
      <c r="AQ4198" t="s">
        <v>32484</v>
      </c>
      <c r="AR4198" t="s">
        <v>3581</v>
      </c>
      <c r="AS4198" t="s">
        <v>2559</v>
      </c>
      <c r="AT4198" t="s">
        <v>5864</v>
      </c>
      <c r="AU4198" t="s">
        <v>3466</v>
      </c>
      <c r="AV4198" t="s">
        <v>27396</v>
      </c>
      <c r="AW4198" t="s">
        <v>32485</v>
      </c>
      <c r="AX4198" t="s">
        <v>11060</v>
      </c>
      <c r="AY4198" t="s">
        <v>24389</v>
      </c>
      <c r="AZ4198" t="s">
        <v>32486</v>
      </c>
      <c r="BA4198">
        <v>3</v>
      </c>
      <c r="BB4198">
        <v>328.82</v>
      </c>
      <c r="BC4198">
        <v>0.89</v>
      </c>
      <c r="BD4198">
        <v>1.73</v>
      </c>
      <c r="BE4198">
        <v>1.69</v>
      </c>
      <c r="BF4198">
        <v>1.6</v>
      </c>
      <c r="BG4198" t="s">
        <v>32487</v>
      </c>
      <c r="BH4198" t="s">
        <v>2457</v>
      </c>
      <c r="BI4198" t="s">
        <v>32486</v>
      </c>
      <c r="BJ4198" t="s">
        <v>101</v>
      </c>
      <c r="BK4198" t="s">
        <v>12106</v>
      </c>
      <c r="BL4198" t="s">
        <v>25779</v>
      </c>
      <c r="BM4198" t="s">
        <v>6849</v>
      </c>
      <c r="BN4198" t="s">
        <v>27621</v>
      </c>
    </row>
    <row r="4199" spans="1:66" x14ac:dyDescent="0.25">
      <c r="A4199" t="str">
        <f>HYPERLINK("https://elite.finviz.com/quote.ashx?t=BOLD&amp;ty=c&amp;p=d&amp;b=1", "BOLD")</f>
        <v>BOLD</v>
      </c>
      <c r="B4199">
        <v>4</v>
      </c>
      <c r="C4199">
        <v>105.92</v>
      </c>
      <c r="D4199">
        <v>53.04</v>
      </c>
      <c r="E4199" t="s">
        <v>32488</v>
      </c>
      <c r="F4199" t="s">
        <v>107</v>
      </c>
      <c r="G4199" t="s">
        <v>428</v>
      </c>
      <c r="H4199" t="s">
        <v>429</v>
      </c>
      <c r="I4199" t="s">
        <v>70</v>
      </c>
      <c r="J4199" t="s">
        <v>321</v>
      </c>
      <c r="K4199">
        <v>25.86</v>
      </c>
      <c r="L4199">
        <v>1.1499999999999999</v>
      </c>
      <c r="M4199" t="s">
        <v>2808</v>
      </c>
      <c r="N4199">
        <v>39494</v>
      </c>
      <c r="S4199">
        <v>0.21</v>
      </c>
      <c r="AA4199">
        <v>-2.89</v>
      </c>
      <c r="AB4199" t="s">
        <v>8755</v>
      </c>
      <c r="AD4199" t="s">
        <v>14713</v>
      </c>
      <c r="AI4199" t="s">
        <v>1613</v>
      </c>
      <c r="AJ4199" t="s">
        <v>164</v>
      </c>
      <c r="AK4199" t="s">
        <v>16723</v>
      </c>
      <c r="AL4199">
        <v>14.08</v>
      </c>
      <c r="AM4199">
        <v>14.08</v>
      </c>
      <c r="AN4199">
        <v>0.4</v>
      </c>
      <c r="AR4199" t="s">
        <v>162</v>
      </c>
      <c r="AS4199" t="s">
        <v>3542</v>
      </c>
      <c r="AT4199" t="s">
        <v>4759</v>
      </c>
      <c r="AU4199" t="s">
        <v>124</v>
      </c>
      <c r="AV4199" t="s">
        <v>16319</v>
      </c>
      <c r="AW4199" t="s">
        <v>1579</v>
      </c>
      <c r="AX4199" t="s">
        <v>6448</v>
      </c>
      <c r="AY4199" t="s">
        <v>8810</v>
      </c>
      <c r="AZ4199" t="s">
        <v>644</v>
      </c>
      <c r="BA4199">
        <v>2.33</v>
      </c>
      <c r="BB4199">
        <v>117.94</v>
      </c>
      <c r="BC4199">
        <v>1.19</v>
      </c>
      <c r="BD4199">
        <v>1.1299999999999999</v>
      </c>
      <c r="BE4199">
        <v>1.1599999999999999</v>
      </c>
      <c r="BF4199">
        <v>1.1499999999999999</v>
      </c>
      <c r="BG4199" t="s">
        <v>32489</v>
      </c>
      <c r="BH4199" t="s">
        <v>23516</v>
      </c>
      <c r="BI4199" t="s">
        <v>644</v>
      </c>
      <c r="BJ4199" t="s">
        <v>101</v>
      </c>
      <c r="BK4199" t="s">
        <v>5662</v>
      </c>
      <c r="BL4199" t="s">
        <v>9245</v>
      </c>
      <c r="BM4199" t="s">
        <v>32490</v>
      </c>
      <c r="BN4199" t="s">
        <v>27621</v>
      </c>
    </row>
    <row r="4200" spans="1:66" x14ac:dyDescent="0.25">
      <c r="A4200" t="str">
        <f>HYPERLINK("https://elite.finviz.com/quote.ashx?t=UHAL&amp;ty=c&amp;p=d&amp;b=1", "UHAL")</f>
        <v>UHAL</v>
      </c>
      <c r="B4200">
        <v>4</v>
      </c>
      <c r="C4200">
        <v>105.92</v>
      </c>
      <c r="D4200">
        <v>53.05</v>
      </c>
      <c r="E4200" t="s">
        <v>32355</v>
      </c>
      <c r="F4200" t="s">
        <v>107</v>
      </c>
      <c r="G4200" t="s">
        <v>260</v>
      </c>
      <c r="H4200" t="s">
        <v>7905</v>
      </c>
      <c r="I4200" t="s">
        <v>70</v>
      </c>
      <c r="J4200" t="s">
        <v>71</v>
      </c>
      <c r="K4200">
        <v>10299.77</v>
      </c>
      <c r="L4200">
        <v>58.15</v>
      </c>
      <c r="M4200" t="s">
        <v>9136</v>
      </c>
      <c r="N4200">
        <v>29896</v>
      </c>
      <c r="O4200">
        <v>40.909999999999997</v>
      </c>
      <c r="P4200">
        <v>27.49</v>
      </c>
      <c r="R4200">
        <v>1.74</v>
      </c>
      <c r="S4200">
        <v>1.49</v>
      </c>
      <c r="T4200" t="s">
        <v>3736</v>
      </c>
      <c r="V4200" t="s">
        <v>32491</v>
      </c>
      <c r="Z4200" t="s">
        <v>164</v>
      </c>
      <c r="AA4200">
        <v>1.42</v>
      </c>
      <c r="AB4200" t="s">
        <v>32356</v>
      </c>
      <c r="AC4200" t="s">
        <v>28056</v>
      </c>
      <c r="AE4200" t="s">
        <v>4569</v>
      </c>
      <c r="AF4200" t="s">
        <v>4271</v>
      </c>
      <c r="AG4200" t="s">
        <v>223</v>
      </c>
      <c r="AH4200" t="s">
        <v>1452</v>
      </c>
      <c r="AI4200" t="s">
        <v>16713</v>
      </c>
      <c r="AJ4200" t="s">
        <v>164</v>
      </c>
      <c r="AK4200" t="s">
        <v>3520</v>
      </c>
      <c r="AL4200">
        <v>1.66</v>
      </c>
      <c r="AM4200">
        <v>1.48</v>
      </c>
      <c r="AN4200">
        <v>0.95</v>
      </c>
      <c r="AO4200" t="s">
        <v>6388</v>
      </c>
      <c r="AP4200" t="s">
        <v>8041</v>
      </c>
      <c r="AQ4200" t="s">
        <v>372</v>
      </c>
      <c r="AR4200" t="s">
        <v>6336</v>
      </c>
      <c r="AS4200" t="s">
        <v>2868</v>
      </c>
      <c r="AT4200" t="s">
        <v>2509</v>
      </c>
      <c r="AU4200" t="s">
        <v>2486</v>
      </c>
      <c r="AV4200" t="s">
        <v>11932</v>
      </c>
      <c r="AW4200" t="s">
        <v>5707</v>
      </c>
      <c r="AX4200" t="s">
        <v>2744</v>
      </c>
      <c r="AY4200" t="s">
        <v>18474</v>
      </c>
      <c r="AZ4200" t="s">
        <v>2744</v>
      </c>
      <c r="BA4200">
        <v>3</v>
      </c>
      <c r="BB4200">
        <v>158.71</v>
      </c>
      <c r="BC4200">
        <v>0.66</v>
      </c>
      <c r="BD4200">
        <v>57.26</v>
      </c>
      <c r="BE4200">
        <v>58.09</v>
      </c>
      <c r="BF4200">
        <v>57.26</v>
      </c>
      <c r="BG4200" t="s">
        <v>32492</v>
      </c>
      <c r="BJ4200" t="s">
        <v>101</v>
      </c>
      <c r="BK4200" t="s">
        <v>9070</v>
      </c>
      <c r="BL4200" t="s">
        <v>1399</v>
      </c>
      <c r="BM4200" t="s">
        <v>150</v>
      </c>
      <c r="BN4200" t="s">
        <v>27621</v>
      </c>
    </row>
    <row r="4201" spans="1:66" x14ac:dyDescent="0.25">
      <c r="A4201" t="str">
        <f>HYPERLINK("https://elite.finviz.com/quote.ashx?t=PMTR&amp;ty=c&amp;p=d&amp;b=1", "PMTR")</f>
        <v>PMTR</v>
      </c>
      <c r="B4201">
        <v>4</v>
      </c>
      <c r="C4201">
        <v>105.92</v>
      </c>
      <c r="D4201">
        <v>53.23</v>
      </c>
      <c r="E4201" t="s">
        <v>32493</v>
      </c>
      <c r="F4201" t="s">
        <v>107</v>
      </c>
      <c r="G4201" t="s">
        <v>550</v>
      </c>
      <c r="H4201" t="s">
        <v>2120</v>
      </c>
      <c r="I4201" t="s">
        <v>70</v>
      </c>
      <c r="J4201" t="s">
        <v>321</v>
      </c>
      <c r="K4201">
        <v>316.11</v>
      </c>
      <c r="L4201">
        <v>10.25</v>
      </c>
      <c r="M4201" t="s">
        <v>164</v>
      </c>
      <c r="N4201">
        <v>0</v>
      </c>
      <c r="S4201">
        <v>1.35</v>
      </c>
      <c r="AJ4201" t="s">
        <v>164</v>
      </c>
      <c r="AK4201" t="s">
        <v>6890</v>
      </c>
      <c r="AL4201">
        <v>4.68</v>
      </c>
      <c r="AM4201">
        <v>4.68</v>
      </c>
      <c r="AN4201">
        <v>0</v>
      </c>
      <c r="AR4201" t="s">
        <v>2646</v>
      </c>
      <c r="AS4201" t="s">
        <v>439</v>
      </c>
      <c r="AT4201" t="s">
        <v>6182</v>
      </c>
      <c r="AU4201" t="s">
        <v>3736</v>
      </c>
      <c r="AV4201" t="s">
        <v>7464</v>
      </c>
      <c r="AW4201" t="s">
        <v>8374</v>
      </c>
      <c r="AX4201" t="s">
        <v>3349</v>
      </c>
      <c r="AY4201" t="s">
        <v>9725</v>
      </c>
      <c r="AZ4201" t="s">
        <v>3257</v>
      </c>
      <c r="BB4201">
        <v>53.27</v>
      </c>
      <c r="BC4201">
        <v>0</v>
      </c>
      <c r="BD4201">
        <v>10.25</v>
      </c>
      <c r="BE4201">
        <v>10.25</v>
      </c>
      <c r="BF4201">
        <v>10.25</v>
      </c>
      <c r="BG4201" t="s">
        <v>32494</v>
      </c>
      <c r="BH4201" t="s">
        <v>9725</v>
      </c>
      <c r="BI4201" t="s">
        <v>3257</v>
      </c>
      <c r="BJ4201" t="s">
        <v>101</v>
      </c>
      <c r="BN4201" t="s">
        <v>27621</v>
      </c>
    </row>
    <row r="4202" spans="1:66" x14ac:dyDescent="0.25">
      <c r="A4202" t="str">
        <f>HYPERLINK("https://elite.finviz.com/quote.ashx?t=ARKR&amp;ty=c&amp;p=d&amp;b=1", "ARKR")</f>
        <v>ARKR</v>
      </c>
      <c r="B4202">
        <v>4</v>
      </c>
      <c r="C4202">
        <v>105.92</v>
      </c>
      <c r="D4202">
        <v>53.27</v>
      </c>
      <c r="E4202" t="s">
        <v>32495</v>
      </c>
      <c r="F4202" t="s">
        <v>107</v>
      </c>
      <c r="G4202" t="s">
        <v>813</v>
      </c>
      <c r="H4202" t="s">
        <v>2285</v>
      </c>
      <c r="I4202" t="s">
        <v>70</v>
      </c>
      <c r="J4202" t="s">
        <v>321</v>
      </c>
      <c r="K4202">
        <v>26.42</v>
      </c>
      <c r="L4202">
        <v>7.33</v>
      </c>
      <c r="M4202" t="s">
        <v>4687</v>
      </c>
      <c r="N4202">
        <v>518</v>
      </c>
      <c r="R4202">
        <v>0.15</v>
      </c>
      <c r="S4202">
        <v>0.76</v>
      </c>
      <c r="V4202" t="s">
        <v>2264</v>
      </c>
      <c r="AA4202">
        <v>-3.89</v>
      </c>
      <c r="AE4202" t="s">
        <v>16199</v>
      </c>
      <c r="AF4202" t="s">
        <v>8209</v>
      </c>
      <c r="AG4202" t="s">
        <v>3635</v>
      </c>
      <c r="AH4202" t="s">
        <v>20524</v>
      </c>
      <c r="AJ4202" t="s">
        <v>3500</v>
      </c>
      <c r="AK4202" t="s">
        <v>8063</v>
      </c>
      <c r="AL4202">
        <v>0.88</v>
      </c>
      <c r="AM4202">
        <v>0.79</v>
      </c>
      <c r="AN4202">
        <v>2.52</v>
      </c>
      <c r="AO4202" t="s">
        <v>2448</v>
      </c>
      <c r="AP4202" t="s">
        <v>1998</v>
      </c>
      <c r="AQ4202" t="s">
        <v>3376</v>
      </c>
      <c r="AR4202" t="s">
        <v>3482</v>
      </c>
      <c r="AS4202" t="s">
        <v>2643</v>
      </c>
      <c r="AT4202" t="s">
        <v>2494</v>
      </c>
      <c r="AU4202" t="s">
        <v>3753</v>
      </c>
      <c r="AV4202" t="s">
        <v>17932</v>
      </c>
      <c r="AW4202" t="s">
        <v>7992</v>
      </c>
      <c r="AX4202" t="s">
        <v>3180</v>
      </c>
      <c r="AY4202" t="s">
        <v>32496</v>
      </c>
      <c r="AZ4202" t="s">
        <v>3180</v>
      </c>
      <c r="BB4202">
        <v>11.27</v>
      </c>
      <c r="BC4202">
        <v>0.16</v>
      </c>
      <c r="BD4202">
        <v>7.12</v>
      </c>
      <c r="BE4202">
        <v>7.12</v>
      </c>
      <c r="BF4202">
        <v>7.05</v>
      </c>
      <c r="BG4202" t="s">
        <v>32497</v>
      </c>
      <c r="BH4202" t="s">
        <v>15939</v>
      </c>
      <c r="BI4202" t="s">
        <v>32498</v>
      </c>
      <c r="BJ4202" t="s">
        <v>101</v>
      </c>
      <c r="BK4202" t="s">
        <v>8094</v>
      </c>
      <c r="BL4202" t="s">
        <v>434</v>
      </c>
      <c r="BM4202" t="s">
        <v>25651</v>
      </c>
      <c r="BN4202" t="s">
        <v>27621</v>
      </c>
    </row>
    <row r="4203" spans="1:66" x14ac:dyDescent="0.25">
      <c r="A4203" t="str">
        <f>HYPERLINK("https://elite.finviz.com/quote.ashx?t=ACEL&amp;ty=c&amp;p=d&amp;b=1", "ACEL")</f>
        <v>ACEL</v>
      </c>
      <c r="B4203">
        <v>4</v>
      </c>
      <c r="C4203">
        <v>105.92</v>
      </c>
      <c r="D4203">
        <v>53.28</v>
      </c>
      <c r="E4203" t="s">
        <v>32499</v>
      </c>
      <c r="F4203" t="s">
        <v>67</v>
      </c>
      <c r="G4203" t="s">
        <v>813</v>
      </c>
      <c r="H4203" t="s">
        <v>10266</v>
      </c>
      <c r="I4203" t="s">
        <v>70</v>
      </c>
      <c r="J4203" t="s">
        <v>71</v>
      </c>
      <c r="K4203">
        <v>962.53</v>
      </c>
      <c r="L4203">
        <v>11.42</v>
      </c>
      <c r="M4203" t="s">
        <v>2087</v>
      </c>
      <c r="N4203">
        <v>25865</v>
      </c>
      <c r="O4203">
        <v>27.99</v>
      </c>
      <c r="P4203">
        <v>13.52</v>
      </c>
      <c r="Q4203">
        <v>279.87</v>
      </c>
      <c r="R4203">
        <v>0.75</v>
      </c>
      <c r="S4203">
        <v>3.7</v>
      </c>
      <c r="Z4203" t="s">
        <v>164</v>
      </c>
      <c r="AA4203">
        <v>0.41</v>
      </c>
      <c r="AB4203" t="s">
        <v>1495</v>
      </c>
      <c r="AD4203" t="s">
        <v>2757</v>
      </c>
      <c r="AE4203" t="s">
        <v>7942</v>
      </c>
      <c r="AF4203" t="s">
        <v>7625</v>
      </c>
      <c r="AG4203" t="s">
        <v>3844</v>
      </c>
      <c r="AH4203" t="s">
        <v>2053</v>
      </c>
      <c r="AI4203" t="s">
        <v>7727</v>
      </c>
      <c r="AJ4203" t="s">
        <v>4879</v>
      </c>
      <c r="AK4203" t="s">
        <v>24451</v>
      </c>
      <c r="AL4203">
        <v>2.64</v>
      </c>
      <c r="AM4203">
        <v>2.56</v>
      </c>
      <c r="AN4203">
        <v>2.33</v>
      </c>
      <c r="AO4203" t="s">
        <v>4298</v>
      </c>
      <c r="AP4203" t="s">
        <v>1283</v>
      </c>
      <c r="AQ4203" t="s">
        <v>2743</v>
      </c>
      <c r="AR4203" t="s">
        <v>5158</v>
      </c>
      <c r="AS4203" t="s">
        <v>2421</v>
      </c>
      <c r="AT4203" t="s">
        <v>908</v>
      </c>
      <c r="AU4203" t="s">
        <v>6265</v>
      </c>
      <c r="AV4203" t="s">
        <v>9136</v>
      </c>
      <c r="AW4203" t="s">
        <v>16309</v>
      </c>
      <c r="AX4203" t="s">
        <v>3449</v>
      </c>
      <c r="AY4203" t="s">
        <v>16309</v>
      </c>
      <c r="AZ4203" t="s">
        <v>13359</v>
      </c>
      <c r="BA4203">
        <v>1</v>
      </c>
      <c r="BB4203">
        <v>335.24</v>
      </c>
      <c r="BC4203">
        <v>0.27</v>
      </c>
      <c r="BD4203">
        <v>11.2</v>
      </c>
      <c r="BE4203">
        <v>11.44</v>
      </c>
      <c r="BF4203">
        <v>11.28</v>
      </c>
      <c r="BG4203" t="s">
        <v>32500</v>
      </c>
      <c r="BH4203" t="s">
        <v>23854</v>
      </c>
      <c r="BI4203" t="s">
        <v>30975</v>
      </c>
      <c r="BJ4203" t="s">
        <v>101</v>
      </c>
      <c r="BK4203" t="s">
        <v>5273</v>
      </c>
      <c r="BL4203" t="s">
        <v>8051</v>
      </c>
      <c r="BM4203" t="s">
        <v>5746</v>
      </c>
      <c r="BN4203" t="s">
        <v>27621</v>
      </c>
    </row>
    <row r="4204" spans="1:66" x14ac:dyDescent="0.25">
      <c r="A4204" t="str">
        <f>HYPERLINK("https://elite.finviz.com/quote.ashx?t=KRP&amp;ty=c&amp;p=d&amp;b=1", "KRP")</f>
        <v>KRP</v>
      </c>
      <c r="B4204">
        <v>4</v>
      </c>
      <c r="C4204">
        <v>105.92</v>
      </c>
      <c r="D4204">
        <v>53.31</v>
      </c>
      <c r="E4204" t="s">
        <v>32501</v>
      </c>
      <c r="F4204" t="s">
        <v>107</v>
      </c>
      <c r="G4204" t="s">
        <v>1048</v>
      </c>
      <c r="H4204" t="s">
        <v>1049</v>
      </c>
      <c r="I4204" t="s">
        <v>70</v>
      </c>
      <c r="J4204" t="s">
        <v>71</v>
      </c>
      <c r="K4204">
        <v>1701.08</v>
      </c>
      <c r="L4204">
        <v>13.9</v>
      </c>
      <c r="M4204" t="s">
        <v>212</v>
      </c>
      <c r="N4204">
        <v>77364</v>
      </c>
      <c r="P4204">
        <v>21.81</v>
      </c>
      <c r="R4204">
        <v>5.44</v>
      </c>
      <c r="S4204">
        <v>2.33</v>
      </c>
      <c r="T4204" t="s">
        <v>11641</v>
      </c>
      <c r="U4204">
        <v>1.66</v>
      </c>
      <c r="V4204" t="s">
        <v>1440</v>
      </c>
      <c r="W4204" t="s">
        <v>5166</v>
      </c>
      <c r="X4204" t="s">
        <v>8837</v>
      </c>
      <c r="Y4204" t="s">
        <v>5263</v>
      </c>
      <c r="AA4204">
        <v>-0.17</v>
      </c>
      <c r="AC4204" t="s">
        <v>13607</v>
      </c>
      <c r="AE4204" t="s">
        <v>7948</v>
      </c>
      <c r="AF4204" t="s">
        <v>16555</v>
      </c>
      <c r="AG4204" t="s">
        <v>5326</v>
      </c>
      <c r="AH4204" t="s">
        <v>6194</v>
      </c>
      <c r="AI4204" t="s">
        <v>11506</v>
      </c>
      <c r="AJ4204" t="s">
        <v>3227</v>
      </c>
      <c r="AK4204" t="s">
        <v>16644</v>
      </c>
      <c r="AL4204">
        <v>5.45</v>
      </c>
      <c r="AM4204">
        <v>5.45</v>
      </c>
      <c r="AN4204">
        <v>0.65</v>
      </c>
      <c r="AO4204" t="s">
        <v>4415</v>
      </c>
      <c r="AP4204" t="s">
        <v>11183</v>
      </c>
      <c r="AQ4204" t="s">
        <v>2906</v>
      </c>
      <c r="AR4204" t="s">
        <v>2333</v>
      </c>
      <c r="AS4204" t="s">
        <v>212</v>
      </c>
      <c r="AT4204" t="s">
        <v>212</v>
      </c>
      <c r="AU4204" t="s">
        <v>3940</v>
      </c>
      <c r="AV4204" t="s">
        <v>4595</v>
      </c>
      <c r="AW4204" t="s">
        <v>500</v>
      </c>
      <c r="AX4204" t="s">
        <v>713</v>
      </c>
      <c r="AY4204" t="s">
        <v>21011</v>
      </c>
      <c r="AZ4204" t="s">
        <v>4934</v>
      </c>
      <c r="BA4204">
        <v>2</v>
      </c>
      <c r="BB4204">
        <v>467</v>
      </c>
      <c r="BC4204">
        <v>0.57999999999999996</v>
      </c>
      <c r="BD4204">
        <v>13.61</v>
      </c>
      <c r="BE4204">
        <v>13.95</v>
      </c>
      <c r="BF4204">
        <v>13.65</v>
      </c>
      <c r="BG4204" t="s">
        <v>32502</v>
      </c>
      <c r="BH4204" t="s">
        <v>32503</v>
      </c>
      <c r="BI4204" t="s">
        <v>32504</v>
      </c>
      <c r="BJ4204" t="s">
        <v>101</v>
      </c>
      <c r="BK4204" t="s">
        <v>164</v>
      </c>
      <c r="BL4204" t="s">
        <v>6002</v>
      </c>
      <c r="BM4204" t="s">
        <v>14764</v>
      </c>
      <c r="BN4204" t="s">
        <v>27621</v>
      </c>
    </row>
    <row r="4205" spans="1:66" x14ac:dyDescent="0.25">
      <c r="A4205" t="str">
        <f>HYPERLINK("https://elite.finviz.com/quote.ashx?t=SLNG&amp;ty=c&amp;p=d&amp;b=1", "SLNG")</f>
        <v>SLNG</v>
      </c>
      <c r="B4205">
        <v>4</v>
      </c>
      <c r="C4205">
        <v>105.92</v>
      </c>
      <c r="D4205">
        <v>53.83</v>
      </c>
      <c r="E4205" t="s">
        <v>32505</v>
      </c>
      <c r="F4205" t="s">
        <v>107</v>
      </c>
      <c r="G4205" t="s">
        <v>1048</v>
      </c>
      <c r="H4205" t="s">
        <v>10235</v>
      </c>
      <c r="I4205" t="s">
        <v>70</v>
      </c>
      <c r="J4205" t="s">
        <v>321</v>
      </c>
      <c r="K4205">
        <v>77.55</v>
      </c>
      <c r="L4205">
        <v>4.17</v>
      </c>
      <c r="M4205" t="s">
        <v>6182</v>
      </c>
      <c r="N4205">
        <v>2735</v>
      </c>
      <c r="O4205">
        <v>86.88</v>
      </c>
      <c r="P4205">
        <v>24.12</v>
      </c>
      <c r="R4205">
        <v>1.1100000000000001</v>
      </c>
      <c r="S4205">
        <v>1.18</v>
      </c>
      <c r="Z4205" t="s">
        <v>164</v>
      </c>
      <c r="AA4205">
        <v>0.05</v>
      </c>
      <c r="AE4205" t="s">
        <v>6541</v>
      </c>
      <c r="AF4205" t="s">
        <v>2087</v>
      </c>
      <c r="AG4205" t="s">
        <v>10619</v>
      </c>
      <c r="AH4205" t="s">
        <v>6231</v>
      </c>
      <c r="AI4205" t="s">
        <v>32506</v>
      </c>
      <c r="AJ4205" t="s">
        <v>164</v>
      </c>
      <c r="AK4205" t="s">
        <v>896</v>
      </c>
      <c r="AL4205">
        <v>1.57</v>
      </c>
      <c r="AM4205">
        <v>1.56</v>
      </c>
      <c r="AN4205">
        <v>0.13</v>
      </c>
      <c r="AO4205" t="s">
        <v>2631</v>
      </c>
      <c r="AP4205" t="s">
        <v>6359</v>
      </c>
      <c r="AQ4205" t="s">
        <v>5158</v>
      </c>
      <c r="AR4205" t="s">
        <v>1950</v>
      </c>
      <c r="AS4205" t="s">
        <v>2776</v>
      </c>
      <c r="AT4205" t="s">
        <v>4850</v>
      </c>
      <c r="AU4205" t="s">
        <v>6204</v>
      </c>
      <c r="AV4205" t="s">
        <v>8741</v>
      </c>
      <c r="AW4205" t="s">
        <v>3565</v>
      </c>
      <c r="AX4205" t="s">
        <v>14860</v>
      </c>
      <c r="AY4205" t="s">
        <v>28896</v>
      </c>
      <c r="AZ4205" t="s">
        <v>14860</v>
      </c>
      <c r="BA4205">
        <v>1</v>
      </c>
      <c r="BB4205">
        <v>11.63</v>
      </c>
      <c r="BC4205">
        <v>0.83</v>
      </c>
      <c r="BD4205">
        <v>4.16</v>
      </c>
      <c r="BE4205">
        <v>4.1500000000000004</v>
      </c>
      <c r="BF4205">
        <v>4.1500000000000004</v>
      </c>
      <c r="BG4205" t="s">
        <v>32507</v>
      </c>
      <c r="BH4205" t="s">
        <v>21656</v>
      </c>
      <c r="BI4205" t="s">
        <v>32508</v>
      </c>
      <c r="BJ4205" t="s">
        <v>101</v>
      </c>
      <c r="BK4205" t="s">
        <v>8184</v>
      </c>
      <c r="BL4205" t="s">
        <v>23764</v>
      </c>
      <c r="BM4205" t="s">
        <v>10774</v>
      </c>
      <c r="BN4205" t="s">
        <v>27621</v>
      </c>
    </row>
    <row r="4206" spans="1:66" x14ac:dyDescent="0.25">
      <c r="A4206" t="str">
        <f>HYPERLINK("https://elite.finviz.com/quote.ashx?t=DAAQ&amp;ty=c&amp;p=d&amp;b=1", "DAAQ")</f>
        <v>DAAQ</v>
      </c>
      <c r="B4206">
        <v>4</v>
      </c>
      <c r="C4206">
        <v>105.92</v>
      </c>
      <c r="D4206">
        <v>53.86</v>
      </c>
      <c r="E4206" t="s">
        <v>32509</v>
      </c>
      <c r="F4206" t="s">
        <v>107</v>
      </c>
      <c r="G4206" t="s">
        <v>550</v>
      </c>
      <c r="H4206" t="s">
        <v>2120</v>
      </c>
      <c r="I4206" t="s">
        <v>70</v>
      </c>
      <c r="J4206" t="s">
        <v>321</v>
      </c>
      <c r="K4206">
        <v>235.52</v>
      </c>
      <c r="L4206">
        <v>10.24</v>
      </c>
      <c r="M4206" t="s">
        <v>4623</v>
      </c>
      <c r="N4206">
        <v>606</v>
      </c>
      <c r="S4206">
        <v>1.4</v>
      </c>
      <c r="AJ4206" t="s">
        <v>164</v>
      </c>
      <c r="AK4206" t="s">
        <v>4572</v>
      </c>
      <c r="AL4206">
        <v>8.7899999999999991</v>
      </c>
      <c r="AM4206">
        <v>8.7899999999999991</v>
      </c>
      <c r="AN4206">
        <v>0</v>
      </c>
      <c r="AR4206" t="s">
        <v>7464</v>
      </c>
      <c r="AS4206" t="s">
        <v>1765</v>
      </c>
      <c r="AT4206" t="s">
        <v>4623</v>
      </c>
      <c r="AU4206" t="s">
        <v>9925</v>
      </c>
      <c r="AV4206" t="s">
        <v>4953</v>
      </c>
      <c r="AW4206" t="s">
        <v>7468</v>
      </c>
      <c r="AX4206" t="s">
        <v>5058</v>
      </c>
      <c r="AY4206" t="s">
        <v>9417</v>
      </c>
      <c r="AZ4206" t="s">
        <v>2609</v>
      </c>
      <c r="BB4206">
        <v>58.6</v>
      </c>
      <c r="BC4206">
        <v>0.04</v>
      </c>
      <c r="BD4206">
        <v>10.18</v>
      </c>
      <c r="BE4206">
        <v>10.24</v>
      </c>
      <c r="BF4206">
        <v>10.24</v>
      </c>
      <c r="BG4206" t="s">
        <v>32510</v>
      </c>
      <c r="BH4206" t="s">
        <v>9417</v>
      </c>
      <c r="BI4206" t="s">
        <v>2609</v>
      </c>
      <c r="BJ4206" t="s">
        <v>101</v>
      </c>
      <c r="BK4206" t="s">
        <v>9475</v>
      </c>
      <c r="BN4206" t="s">
        <v>27621</v>
      </c>
    </row>
    <row r="4207" spans="1:66" x14ac:dyDescent="0.25">
      <c r="A4207" t="str">
        <f>HYPERLINK("https://elite.finviz.com/quote.ashx?t=LGL&amp;ty=c&amp;p=d&amp;b=1", "LGL")</f>
        <v>LGL</v>
      </c>
      <c r="B4207">
        <v>4</v>
      </c>
      <c r="C4207">
        <v>105.92</v>
      </c>
      <c r="D4207">
        <v>53.87</v>
      </c>
      <c r="E4207" t="s">
        <v>32511</v>
      </c>
      <c r="F4207" t="s">
        <v>107</v>
      </c>
      <c r="G4207" t="s">
        <v>108</v>
      </c>
      <c r="H4207" t="s">
        <v>9222</v>
      </c>
      <c r="I4207" t="s">
        <v>70</v>
      </c>
      <c r="J4207" t="s">
        <v>383</v>
      </c>
      <c r="K4207">
        <v>37.17</v>
      </c>
      <c r="L4207">
        <v>6.89</v>
      </c>
      <c r="M4207" t="s">
        <v>655</v>
      </c>
      <c r="N4207">
        <v>1467</v>
      </c>
      <c r="O4207">
        <v>172.25</v>
      </c>
      <c r="R4207">
        <v>16.23</v>
      </c>
      <c r="S4207">
        <v>0.95</v>
      </c>
      <c r="Z4207" t="s">
        <v>164</v>
      </c>
      <c r="AA4207">
        <v>0.04</v>
      </c>
      <c r="AB4207" t="s">
        <v>8270</v>
      </c>
      <c r="AC4207" t="s">
        <v>13644</v>
      </c>
      <c r="AE4207" t="s">
        <v>12500</v>
      </c>
      <c r="AF4207" t="s">
        <v>849</v>
      </c>
      <c r="AG4207" t="s">
        <v>18026</v>
      </c>
      <c r="AH4207" t="s">
        <v>6757</v>
      </c>
      <c r="AJ4207" t="s">
        <v>164</v>
      </c>
      <c r="AK4207" t="s">
        <v>7261</v>
      </c>
      <c r="AL4207">
        <v>48.26</v>
      </c>
      <c r="AM4207">
        <v>47.97</v>
      </c>
      <c r="AN4207">
        <v>0</v>
      </c>
      <c r="AO4207" t="s">
        <v>14095</v>
      </c>
      <c r="AP4207" t="s">
        <v>5952</v>
      </c>
      <c r="AQ4207" t="s">
        <v>369</v>
      </c>
      <c r="AR4207" t="s">
        <v>749</v>
      </c>
      <c r="AS4207" t="s">
        <v>6937</v>
      </c>
      <c r="AT4207" t="s">
        <v>2384</v>
      </c>
      <c r="AU4207" t="s">
        <v>2486</v>
      </c>
      <c r="AV4207" t="s">
        <v>911</v>
      </c>
      <c r="AW4207" t="s">
        <v>1450</v>
      </c>
      <c r="AX4207" t="s">
        <v>11732</v>
      </c>
      <c r="AY4207" t="s">
        <v>9549</v>
      </c>
      <c r="AZ4207" t="s">
        <v>14704</v>
      </c>
      <c r="BA4207">
        <v>1</v>
      </c>
      <c r="BB4207">
        <v>8.7899999999999991</v>
      </c>
      <c r="BC4207">
        <v>0.59</v>
      </c>
      <c r="BD4207">
        <v>6.97</v>
      </c>
      <c r="BE4207">
        <v>6.59</v>
      </c>
      <c r="BF4207">
        <v>6.59</v>
      </c>
      <c r="BG4207" t="s">
        <v>32512</v>
      </c>
      <c r="BH4207" t="s">
        <v>22195</v>
      </c>
      <c r="BI4207" t="s">
        <v>32513</v>
      </c>
      <c r="BJ4207" t="s">
        <v>101</v>
      </c>
      <c r="BK4207" t="s">
        <v>2646</v>
      </c>
      <c r="BL4207" t="s">
        <v>6150</v>
      </c>
      <c r="BM4207" t="s">
        <v>6084</v>
      </c>
      <c r="BN4207" t="s">
        <v>27621</v>
      </c>
    </row>
    <row r="4208" spans="1:66" x14ac:dyDescent="0.25">
      <c r="A4208" t="str">
        <f>HYPERLINK("https://elite.finviz.com/quote.ashx?t=NEN&amp;ty=c&amp;p=d&amp;b=1", "NEN")</f>
        <v>NEN</v>
      </c>
      <c r="B4208">
        <v>4</v>
      </c>
      <c r="C4208">
        <v>105.92</v>
      </c>
      <c r="D4208">
        <v>53.87</v>
      </c>
      <c r="E4208" t="s">
        <v>32514</v>
      </c>
      <c r="F4208" t="s">
        <v>107</v>
      </c>
      <c r="G4208" t="s">
        <v>68</v>
      </c>
      <c r="H4208" t="s">
        <v>7494</v>
      </c>
      <c r="I4208" t="s">
        <v>70</v>
      </c>
      <c r="J4208" t="s">
        <v>383</v>
      </c>
      <c r="K4208">
        <v>204.99</v>
      </c>
      <c r="L4208">
        <v>73.209999999999994</v>
      </c>
      <c r="M4208" t="s">
        <v>371</v>
      </c>
      <c r="N4208">
        <v>158</v>
      </c>
      <c r="O4208">
        <v>15.95</v>
      </c>
      <c r="R4208">
        <v>2.48</v>
      </c>
      <c r="T4208" t="s">
        <v>3916</v>
      </c>
      <c r="U4208">
        <v>1.59</v>
      </c>
      <c r="V4208" t="s">
        <v>3833</v>
      </c>
      <c r="W4208" t="s">
        <v>3981</v>
      </c>
      <c r="X4208" t="s">
        <v>4512</v>
      </c>
      <c r="Y4208" t="s">
        <v>371</v>
      </c>
      <c r="Z4208" t="s">
        <v>4869</v>
      </c>
      <c r="AA4208">
        <v>4.59</v>
      </c>
      <c r="AC4208" t="s">
        <v>1814</v>
      </c>
      <c r="AE4208" t="s">
        <v>912</v>
      </c>
      <c r="AF4208" t="s">
        <v>776</v>
      </c>
      <c r="AG4208" t="s">
        <v>4254</v>
      </c>
      <c r="AH4208" t="s">
        <v>2196</v>
      </c>
      <c r="AJ4208" t="s">
        <v>164</v>
      </c>
      <c r="AK4208" t="s">
        <v>2735</v>
      </c>
      <c r="AL4208">
        <v>0.25</v>
      </c>
      <c r="AM4208">
        <v>0.25</v>
      </c>
      <c r="AO4208" t="s">
        <v>13229</v>
      </c>
      <c r="AP4208" t="s">
        <v>20040</v>
      </c>
      <c r="AQ4208" t="s">
        <v>7225</v>
      </c>
      <c r="AR4208" t="s">
        <v>2868</v>
      </c>
      <c r="AS4208" t="s">
        <v>4840</v>
      </c>
      <c r="AT4208" t="s">
        <v>4267</v>
      </c>
      <c r="AU4208" t="s">
        <v>4703</v>
      </c>
      <c r="AV4208" t="s">
        <v>2757</v>
      </c>
      <c r="AW4208" t="s">
        <v>11615</v>
      </c>
      <c r="AX4208" t="s">
        <v>1243</v>
      </c>
      <c r="AY4208" t="s">
        <v>16855</v>
      </c>
      <c r="AZ4208" t="s">
        <v>3432</v>
      </c>
      <c r="BB4208">
        <v>0.95</v>
      </c>
      <c r="BC4208">
        <v>0.59</v>
      </c>
      <c r="BD4208">
        <v>70.02</v>
      </c>
      <c r="BE4208">
        <v>72.5</v>
      </c>
      <c r="BF4208">
        <v>72.5</v>
      </c>
      <c r="BG4208" t="s">
        <v>32515</v>
      </c>
      <c r="BH4208" t="s">
        <v>16855</v>
      </c>
      <c r="BI4208" t="s">
        <v>32516</v>
      </c>
      <c r="BJ4208" t="s">
        <v>101</v>
      </c>
      <c r="BK4208" t="s">
        <v>10411</v>
      </c>
      <c r="BL4208" t="s">
        <v>2215</v>
      </c>
      <c r="BM4208" t="s">
        <v>2169</v>
      </c>
      <c r="BN4208" t="s">
        <v>27621</v>
      </c>
    </row>
    <row r="4209" spans="1:66" x14ac:dyDescent="0.25">
      <c r="A4209" t="str">
        <f>HYPERLINK("https://elite.finviz.com/quote.ashx?t=MHH&amp;ty=c&amp;p=d&amp;b=1", "MHH")</f>
        <v>MHH</v>
      </c>
      <c r="B4209">
        <v>4</v>
      </c>
      <c r="C4209">
        <v>105.92</v>
      </c>
      <c r="D4209">
        <v>54.27</v>
      </c>
      <c r="E4209" t="s">
        <v>32517</v>
      </c>
      <c r="F4209" t="s">
        <v>107</v>
      </c>
      <c r="G4209" t="s">
        <v>260</v>
      </c>
      <c r="H4209" t="s">
        <v>8693</v>
      </c>
      <c r="I4209" t="s">
        <v>70</v>
      </c>
      <c r="J4209" t="s">
        <v>383</v>
      </c>
      <c r="K4209">
        <v>92.41</v>
      </c>
      <c r="L4209">
        <v>7.84</v>
      </c>
      <c r="M4209" t="s">
        <v>4204</v>
      </c>
      <c r="N4209">
        <v>747</v>
      </c>
      <c r="O4209">
        <v>113.15</v>
      </c>
      <c r="P4209">
        <v>8.6199999999999992</v>
      </c>
      <c r="Q4209">
        <v>9.07</v>
      </c>
      <c r="R4209">
        <v>0.46</v>
      </c>
      <c r="S4209">
        <v>1.05</v>
      </c>
      <c r="V4209" t="s">
        <v>32518</v>
      </c>
      <c r="Z4209" t="s">
        <v>164</v>
      </c>
      <c r="AA4209">
        <v>7.0000000000000007E-2</v>
      </c>
      <c r="AB4209" t="s">
        <v>11589</v>
      </c>
      <c r="AC4209" t="s">
        <v>23123</v>
      </c>
      <c r="AD4209" t="s">
        <v>9861</v>
      </c>
      <c r="AE4209" t="s">
        <v>322</v>
      </c>
      <c r="AF4209" t="s">
        <v>9279</v>
      </c>
      <c r="AG4209" t="s">
        <v>2418</v>
      </c>
      <c r="AH4209" t="s">
        <v>2694</v>
      </c>
      <c r="AI4209" t="s">
        <v>2621</v>
      </c>
      <c r="AJ4209" t="s">
        <v>1083</v>
      </c>
      <c r="AK4209" t="s">
        <v>7776</v>
      </c>
      <c r="AL4209">
        <v>3.33</v>
      </c>
      <c r="AM4209">
        <v>3.33</v>
      </c>
      <c r="AN4209">
        <v>0.04</v>
      </c>
      <c r="AO4209" t="s">
        <v>19441</v>
      </c>
      <c r="AP4209" t="s">
        <v>3736</v>
      </c>
      <c r="AQ4209" t="s">
        <v>7464</v>
      </c>
      <c r="AR4209" t="s">
        <v>5425</v>
      </c>
      <c r="AS4209" t="s">
        <v>5045</v>
      </c>
      <c r="AT4209" t="s">
        <v>2610</v>
      </c>
      <c r="AU4209" t="s">
        <v>2643</v>
      </c>
      <c r="AV4209" t="s">
        <v>5208</v>
      </c>
      <c r="AW4209" t="s">
        <v>12466</v>
      </c>
      <c r="AX4209" t="s">
        <v>1110</v>
      </c>
      <c r="AY4209" t="s">
        <v>15057</v>
      </c>
      <c r="AZ4209" t="s">
        <v>8377</v>
      </c>
      <c r="BB4209">
        <v>13.58</v>
      </c>
      <c r="BC4209">
        <v>0.2</v>
      </c>
      <c r="BD4209">
        <v>7.6</v>
      </c>
      <c r="BE4209">
        <v>7.88</v>
      </c>
      <c r="BF4209">
        <v>7.49</v>
      </c>
      <c r="BG4209" t="s">
        <v>32519</v>
      </c>
      <c r="BH4209" t="s">
        <v>7731</v>
      </c>
      <c r="BI4209" t="s">
        <v>32520</v>
      </c>
      <c r="BJ4209" t="s">
        <v>101</v>
      </c>
      <c r="BK4209" t="s">
        <v>6344</v>
      </c>
      <c r="BL4209" t="s">
        <v>9783</v>
      </c>
      <c r="BM4209" t="s">
        <v>11452</v>
      </c>
      <c r="BN4209" t="s">
        <v>27621</v>
      </c>
    </row>
    <row r="4210" spans="1:66" x14ac:dyDescent="0.25">
      <c r="A4210" t="str">
        <f>HYPERLINK("https://elite.finviz.com/quote.ashx?t=CSV&amp;ty=c&amp;p=d&amp;b=1", "CSV")</f>
        <v>CSV</v>
      </c>
      <c r="B4210">
        <v>4</v>
      </c>
      <c r="C4210">
        <v>105.92</v>
      </c>
      <c r="D4210">
        <v>54.35</v>
      </c>
      <c r="E4210" t="s">
        <v>32521</v>
      </c>
      <c r="F4210" t="s">
        <v>67</v>
      </c>
      <c r="G4210" t="s">
        <v>813</v>
      </c>
      <c r="H4210" t="s">
        <v>10177</v>
      </c>
      <c r="I4210" t="s">
        <v>70</v>
      </c>
      <c r="J4210" t="s">
        <v>71</v>
      </c>
      <c r="K4210">
        <v>703.37</v>
      </c>
      <c r="L4210">
        <v>44.81</v>
      </c>
      <c r="M4210" t="s">
        <v>8179</v>
      </c>
      <c r="N4210">
        <v>12125</v>
      </c>
      <c r="O4210">
        <v>13.46</v>
      </c>
      <c r="P4210">
        <v>12.66</v>
      </c>
      <c r="R4210">
        <v>1.71</v>
      </c>
      <c r="S4210">
        <v>2.99</v>
      </c>
      <c r="T4210" t="s">
        <v>1457</v>
      </c>
      <c r="U4210">
        <v>0.45</v>
      </c>
      <c r="V4210" t="s">
        <v>4827</v>
      </c>
      <c r="W4210" t="s">
        <v>164</v>
      </c>
      <c r="X4210" t="s">
        <v>5779</v>
      </c>
      <c r="Y4210" t="s">
        <v>712</v>
      </c>
      <c r="Z4210" t="s">
        <v>16012</v>
      </c>
      <c r="AA4210">
        <v>3.33</v>
      </c>
      <c r="AB4210" t="s">
        <v>6404</v>
      </c>
      <c r="AC4210" t="s">
        <v>315</v>
      </c>
      <c r="AE4210" t="s">
        <v>2234</v>
      </c>
      <c r="AF4210" t="s">
        <v>4658</v>
      </c>
      <c r="AG4210" t="s">
        <v>3100</v>
      </c>
      <c r="AH4210" t="s">
        <v>1554</v>
      </c>
      <c r="AI4210" t="s">
        <v>4856</v>
      </c>
      <c r="AJ4210" t="s">
        <v>7332</v>
      </c>
      <c r="AK4210" t="s">
        <v>27068</v>
      </c>
      <c r="AL4210">
        <v>1.06</v>
      </c>
      <c r="AM4210">
        <v>0.9</v>
      </c>
      <c r="AN4210">
        <v>2.29</v>
      </c>
      <c r="AO4210" t="s">
        <v>17134</v>
      </c>
      <c r="AP4210" t="s">
        <v>16326</v>
      </c>
      <c r="AQ4210" t="s">
        <v>4906</v>
      </c>
      <c r="AR4210" t="s">
        <v>248</v>
      </c>
      <c r="AS4210" t="s">
        <v>2582</v>
      </c>
      <c r="AT4210" t="s">
        <v>1902</v>
      </c>
      <c r="AU4210" t="s">
        <v>2906</v>
      </c>
      <c r="AV4210" t="s">
        <v>2398</v>
      </c>
      <c r="AW4210" t="s">
        <v>967</v>
      </c>
      <c r="AX4210" t="s">
        <v>5579</v>
      </c>
      <c r="AY4210" t="s">
        <v>967</v>
      </c>
      <c r="AZ4210" t="s">
        <v>22935</v>
      </c>
      <c r="BA4210">
        <v>1</v>
      </c>
      <c r="BB4210">
        <v>103.57</v>
      </c>
      <c r="BC4210">
        <v>0.41</v>
      </c>
      <c r="BD4210">
        <v>44.5</v>
      </c>
      <c r="BE4210">
        <v>44.73</v>
      </c>
      <c r="BF4210">
        <v>44.53</v>
      </c>
      <c r="BG4210" t="s">
        <v>32522</v>
      </c>
      <c r="BH4210" t="s">
        <v>17878</v>
      </c>
      <c r="BI4210" t="s">
        <v>32523</v>
      </c>
      <c r="BJ4210" t="s">
        <v>101</v>
      </c>
      <c r="BK4210" t="s">
        <v>2968</v>
      </c>
      <c r="BL4210" t="s">
        <v>8837</v>
      </c>
      <c r="BM4210" t="s">
        <v>6933</v>
      </c>
      <c r="BN4210" t="s">
        <v>27621</v>
      </c>
    </row>
    <row r="4211" spans="1:66" x14ac:dyDescent="0.25">
      <c r="A4211" t="str">
        <f>HYPERLINK("https://elite.finviz.com/quote.ashx?t=LSTA&amp;ty=c&amp;p=d&amp;b=1", "LSTA")</f>
        <v>LSTA</v>
      </c>
      <c r="B4211">
        <v>4</v>
      </c>
      <c r="C4211">
        <v>105.92</v>
      </c>
      <c r="D4211">
        <v>54.49</v>
      </c>
      <c r="E4211" t="s">
        <v>32524</v>
      </c>
      <c r="F4211" t="s">
        <v>107</v>
      </c>
      <c r="G4211" t="s">
        <v>428</v>
      </c>
      <c r="H4211" t="s">
        <v>429</v>
      </c>
      <c r="I4211" t="s">
        <v>70</v>
      </c>
      <c r="J4211" t="s">
        <v>321</v>
      </c>
      <c r="K4211">
        <v>21.28</v>
      </c>
      <c r="L4211">
        <v>2.4300000000000002</v>
      </c>
      <c r="M4211" t="s">
        <v>2743</v>
      </c>
      <c r="N4211">
        <v>8517</v>
      </c>
      <c r="R4211">
        <v>19.89</v>
      </c>
      <c r="S4211">
        <v>1</v>
      </c>
      <c r="AA4211">
        <v>-2.23</v>
      </c>
      <c r="AB4211" t="s">
        <v>11953</v>
      </c>
      <c r="AC4211" t="s">
        <v>16282</v>
      </c>
      <c r="AD4211" t="s">
        <v>14730</v>
      </c>
      <c r="AI4211" t="s">
        <v>5473</v>
      </c>
      <c r="AJ4211" t="s">
        <v>164</v>
      </c>
      <c r="AK4211" t="s">
        <v>6272</v>
      </c>
      <c r="AL4211">
        <v>5.77</v>
      </c>
      <c r="AM4211">
        <v>5.77</v>
      </c>
      <c r="AN4211">
        <v>0</v>
      </c>
      <c r="AO4211" t="s">
        <v>24386</v>
      </c>
      <c r="AP4211" t="s">
        <v>32525</v>
      </c>
      <c r="AQ4211" t="s">
        <v>32526</v>
      </c>
      <c r="AR4211" t="s">
        <v>5864</v>
      </c>
      <c r="AS4211" t="s">
        <v>710</v>
      </c>
      <c r="AT4211" t="s">
        <v>1767</v>
      </c>
      <c r="AU4211" t="s">
        <v>1787</v>
      </c>
      <c r="AV4211" t="s">
        <v>8121</v>
      </c>
      <c r="AW4211" t="s">
        <v>24519</v>
      </c>
      <c r="AX4211" t="s">
        <v>6462</v>
      </c>
      <c r="AY4211" t="s">
        <v>29728</v>
      </c>
      <c r="AZ4211" t="s">
        <v>9048</v>
      </c>
      <c r="BA4211">
        <v>1</v>
      </c>
      <c r="BB4211">
        <v>37.53</v>
      </c>
      <c r="BC4211">
        <v>0.8</v>
      </c>
      <c r="BD4211">
        <v>2.37</v>
      </c>
      <c r="BE4211">
        <v>2.34</v>
      </c>
      <c r="BF4211">
        <v>2.25</v>
      </c>
      <c r="BG4211" t="s">
        <v>32527</v>
      </c>
      <c r="BH4211" t="s">
        <v>579</v>
      </c>
      <c r="BI4211" t="s">
        <v>9048</v>
      </c>
      <c r="BJ4211" t="s">
        <v>101</v>
      </c>
      <c r="BK4211" t="s">
        <v>851</v>
      </c>
      <c r="BL4211" t="s">
        <v>747</v>
      </c>
      <c r="BM4211" t="s">
        <v>9977</v>
      </c>
      <c r="BN4211" t="s">
        <v>27621</v>
      </c>
    </row>
    <row r="4212" spans="1:66" x14ac:dyDescent="0.25">
      <c r="A4212" t="str">
        <f>HYPERLINK("https://elite.finviz.com/quote.ashx?t=TXO&amp;ty=c&amp;p=d&amp;b=1", "TXO")</f>
        <v>TXO</v>
      </c>
      <c r="B4212">
        <v>4</v>
      </c>
      <c r="C4212">
        <v>105.92</v>
      </c>
      <c r="D4212">
        <v>54.76</v>
      </c>
      <c r="E4212" t="s">
        <v>32528</v>
      </c>
      <c r="F4212" t="s">
        <v>107</v>
      </c>
      <c r="G4212" t="s">
        <v>1048</v>
      </c>
      <c r="H4212" t="s">
        <v>1049</v>
      </c>
      <c r="I4212" t="s">
        <v>70</v>
      </c>
      <c r="J4212" t="s">
        <v>71</v>
      </c>
      <c r="K4212">
        <v>779.03</v>
      </c>
      <c r="L4212">
        <v>14.22</v>
      </c>
      <c r="M4212" t="s">
        <v>1338</v>
      </c>
      <c r="N4212">
        <v>15389</v>
      </c>
      <c r="O4212">
        <v>45.9</v>
      </c>
      <c r="P4212">
        <v>32.32</v>
      </c>
      <c r="R4212">
        <v>2.37</v>
      </c>
      <c r="S4212">
        <v>1.03</v>
      </c>
      <c r="T4212" t="s">
        <v>10221</v>
      </c>
      <c r="U4212">
        <v>2.25</v>
      </c>
      <c r="V4212" t="s">
        <v>3046</v>
      </c>
      <c r="W4212" t="s">
        <v>9828</v>
      </c>
      <c r="Z4212" t="s">
        <v>32529</v>
      </c>
      <c r="AA4212">
        <v>0.31</v>
      </c>
      <c r="AB4212" t="s">
        <v>23708</v>
      </c>
      <c r="AD4212" t="s">
        <v>1357</v>
      </c>
      <c r="AE4212" t="s">
        <v>17808</v>
      </c>
      <c r="AF4212" t="s">
        <v>1423</v>
      </c>
      <c r="AG4212" t="s">
        <v>13067</v>
      </c>
      <c r="AH4212" t="s">
        <v>15797</v>
      </c>
      <c r="AI4212" t="s">
        <v>579</v>
      </c>
      <c r="AJ4212" t="s">
        <v>14013</v>
      </c>
      <c r="AK4212" t="s">
        <v>8973</v>
      </c>
      <c r="AL4212">
        <v>0.97</v>
      </c>
      <c r="AM4212">
        <v>0.97</v>
      </c>
      <c r="AN4212">
        <v>0.03</v>
      </c>
      <c r="AO4212" t="s">
        <v>2496</v>
      </c>
      <c r="AP4212" t="s">
        <v>13365</v>
      </c>
      <c r="AQ4212" t="s">
        <v>7117</v>
      </c>
      <c r="AR4212" t="s">
        <v>1933</v>
      </c>
      <c r="AS4212" t="s">
        <v>5420</v>
      </c>
      <c r="AT4212" t="s">
        <v>4710</v>
      </c>
      <c r="AU4212" t="s">
        <v>240</v>
      </c>
      <c r="AV4212" t="s">
        <v>22034</v>
      </c>
      <c r="AW4212" t="s">
        <v>8970</v>
      </c>
      <c r="AX4212" t="s">
        <v>661</v>
      </c>
      <c r="AY4212" t="s">
        <v>7536</v>
      </c>
      <c r="AZ4212" t="s">
        <v>661</v>
      </c>
      <c r="BA4212">
        <v>1.25</v>
      </c>
      <c r="BB4212">
        <v>172.26</v>
      </c>
      <c r="BC4212">
        <v>0.31</v>
      </c>
      <c r="BD4212">
        <v>14.08</v>
      </c>
      <c r="BE4212">
        <v>14.27</v>
      </c>
      <c r="BF4212">
        <v>14.01</v>
      </c>
      <c r="BG4212" t="s">
        <v>32530</v>
      </c>
      <c r="BH4212" t="s">
        <v>26360</v>
      </c>
      <c r="BI4212" t="s">
        <v>661</v>
      </c>
      <c r="BJ4212" t="s">
        <v>101</v>
      </c>
      <c r="BK4212" t="s">
        <v>137</v>
      </c>
      <c r="BL4212" t="s">
        <v>5186</v>
      </c>
      <c r="BM4212" t="s">
        <v>16673</v>
      </c>
      <c r="BN4212" t="s">
        <v>27621</v>
      </c>
    </row>
    <row r="4213" spans="1:66" x14ac:dyDescent="0.25">
      <c r="A4213" t="str">
        <f>HYPERLINK("https://elite.finviz.com/quote.ashx?t=REFR&amp;ty=c&amp;p=d&amp;b=1", "REFR")</f>
        <v>REFR</v>
      </c>
      <c r="B4213">
        <v>4</v>
      </c>
      <c r="C4213">
        <v>105.92</v>
      </c>
      <c r="D4213">
        <v>55.17</v>
      </c>
      <c r="E4213" t="s">
        <v>32531</v>
      </c>
      <c r="F4213" t="s">
        <v>107</v>
      </c>
      <c r="G4213" t="s">
        <v>108</v>
      </c>
      <c r="H4213" t="s">
        <v>3346</v>
      </c>
      <c r="I4213" t="s">
        <v>70</v>
      </c>
      <c r="J4213" t="s">
        <v>321</v>
      </c>
      <c r="K4213">
        <v>50.47</v>
      </c>
      <c r="L4213">
        <v>1.5</v>
      </c>
      <c r="M4213" t="s">
        <v>156</v>
      </c>
      <c r="N4213">
        <v>5106</v>
      </c>
      <c r="R4213">
        <v>41.37</v>
      </c>
      <c r="S4213">
        <v>28.07</v>
      </c>
      <c r="AA4213">
        <v>-0.05</v>
      </c>
      <c r="AB4213" t="s">
        <v>9861</v>
      </c>
      <c r="AC4213" t="s">
        <v>16077</v>
      </c>
      <c r="AE4213" t="s">
        <v>3444</v>
      </c>
      <c r="AF4213" t="s">
        <v>910</v>
      </c>
      <c r="AG4213" t="s">
        <v>9022</v>
      </c>
      <c r="AH4213" t="s">
        <v>6818</v>
      </c>
      <c r="AJ4213" t="s">
        <v>164</v>
      </c>
      <c r="AK4213" t="s">
        <v>9987</v>
      </c>
      <c r="AL4213">
        <v>7.04</v>
      </c>
      <c r="AM4213">
        <v>7.04</v>
      </c>
      <c r="AN4213">
        <v>0.68</v>
      </c>
      <c r="AO4213" t="s">
        <v>4755</v>
      </c>
      <c r="AP4213" t="s">
        <v>32532</v>
      </c>
      <c r="AQ4213" t="s">
        <v>32533</v>
      </c>
      <c r="AR4213" t="s">
        <v>7232</v>
      </c>
      <c r="AS4213" t="s">
        <v>283</v>
      </c>
      <c r="AT4213" t="s">
        <v>3305</v>
      </c>
      <c r="AU4213" t="s">
        <v>2881</v>
      </c>
      <c r="AV4213" t="s">
        <v>5036</v>
      </c>
      <c r="AW4213" t="s">
        <v>14695</v>
      </c>
      <c r="AX4213" t="s">
        <v>16326</v>
      </c>
      <c r="AY4213" t="s">
        <v>30042</v>
      </c>
      <c r="AZ4213" t="s">
        <v>32534</v>
      </c>
      <c r="BA4213">
        <v>1</v>
      </c>
      <c r="BB4213">
        <v>33.51</v>
      </c>
      <c r="BC4213">
        <v>0.54</v>
      </c>
      <c r="BD4213">
        <v>1.56</v>
      </c>
      <c r="BE4213">
        <v>1.66</v>
      </c>
      <c r="BF4213">
        <v>1.51</v>
      </c>
      <c r="BG4213" t="s">
        <v>32535</v>
      </c>
      <c r="BH4213" t="s">
        <v>32536</v>
      </c>
      <c r="BI4213" t="s">
        <v>32537</v>
      </c>
      <c r="BJ4213" t="s">
        <v>101</v>
      </c>
      <c r="BK4213" t="s">
        <v>2632</v>
      </c>
      <c r="BL4213" t="s">
        <v>9310</v>
      </c>
      <c r="BM4213" t="s">
        <v>2830</v>
      </c>
      <c r="BN4213" t="s">
        <v>27621</v>
      </c>
    </row>
    <row r="4214" spans="1:66" x14ac:dyDescent="0.25">
      <c r="A4214" t="str">
        <f>HYPERLINK("https://elite.finviz.com/quote.ashx?t=LBRDA&amp;ty=c&amp;p=d&amp;b=1", "LBRDA")</f>
        <v>LBRDA</v>
      </c>
      <c r="B4214">
        <v>4</v>
      </c>
      <c r="C4214">
        <v>105.92</v>
      </c>
      <c r="D4214">
        <v>55.26</v>
      </c>
      <c r="E4214" t="s">
        <v>27532</v>
      </c>
      <c r="F4214" t="s">
        <v>107</v>
      </c>
      <c r="G4214" t="s">
        <v>598</v>
      </c>
      <c r="H4214" t="s">
        <v>6147</v>
      </c>
      <c r="I4214" t="s">
        <v>70</v>
      </c>
      <c r="J4214" t="s">
        <v>321</v>
      </c>
      <c r="K4214">
        <v>9056.57</v>
      </c>
      <c r="L4214">
        <v>62.88</v>
      </c>
      <c r="M4214" t="s">
        <v>5116</v>
      </c>
      <c r="N4214">
        <v>23010</v>
      </c>
      <c r="O4214">
        <v>8.2899999999999991</v>
      </c>
      <c r="P4214">
        <v>13.64</v>
      </c>
      <c r="R4214">
        <v>8.61</v>
      </c>
      <c r="S4214">
        <v>0.87</v>
      </c>
      <c r="Z4214" t="s">
        <v>164</v>
      </c>
      <c r="AA4214">
        <v>7.58</v>
      </c>
      <c r="AB4214" t="s">
        <v>583</v>
      </c>
      <c r="AC4214" t="s">
        <v>25343</v>
      </c>
      <c r="AD4214" t="s">
        <v>3845</v>
      </c>
      <c r="AE4214" t="s">
        <v>1653</v>
      </c>
      <c r="AF4214" t="s">
        <v>2759</v>
      </c>
      <c r="AG4214" t="s">
        <v>22189</v>
      </c>
      <c r="AH4214" t="s">
        <v>6183</v>
      </c>
      <c r="AJ4214" t="s">
        <v>164</v>
      </c>
      <c r="AK4214" t="s">
        <v>7976</v>
      </c>
      <c r="AL4214">
        <v>0.6</v>
      </c>
      <c r="AM4214">
        <v>0.6</v>
      </c>
      <c r="AN4214">
        <v>0.3</v>
      </c>
      <c r="AO4214" t="s">
        <v>13466</v>
      </c>
      <c r="AP4214" t="s">
        <v>13765</v>
      </c>
      <c r="AQ4214" t="s">
        <v>12510</v>
      </c>
      <c r="AR4214" t="s">
        <v>2361</v>
      </c>
      <c r="AS4214" t="s">
        <v>5929</v>
      </c>
      <c r="AT4214" t="s">
        <v>4795</v>
      </c>
      <c r="AU4214" t="s">
        <v>1783</v>
      </c>
      <c r="AV4214" t="s">
        <v>27823</v>
      </c>
      <c r="AW4214" t="s">
        <v>32538</v>
      </c>
      <c r="AX4214" t="s">
        <v>3230</v>
      </c>
      <c r="AY4214" t="s">
        <v>25584</v>
      </c>
      <c r="AZ4214" t="s">
        <v>3230</v>
      </c>
      <c r="BA4214">
        <v>2</v>
      </c>
      <c r="BB4214">
        <v>153.29</v>
      </c>
      <c r="BC4214">
        <v>0.53</v>
      </c>
      <c r="BD4214">
        <v>61.96</v>
      </c>
      <c r="BE4214">
        <v>63.5</v>
      </c>
      <c r="BF4214">
        <v>62.12</v>
      </c>
      <c r="BG4214" t="s">
        <v>32539</v>
      </c>
      <c r="BH4214" t="s">
        <v>25353</v>
      </c>
      <c r="BI4214" t="s">
        <v>9209</v>
      </c>
      <c r="BJ4214" t="s">
        <v>101</v>
      </c>
      <c r="BK4214" t="s">
        <v>28245</v>
      </c>
      <c r="BL4214" t="s">
        <v>12039</v>
      </c>
      <c r="BM4214" t="s">
        <v>14579</v>
      </c>
      <c r="BN4214" t="s">
        <v>27621</v>
      </c>
    </row>
    <row r="4215" spans="1:66" x14ac:dyDescent="0.25">
      <c r="A4215" t="str">
        <f>HYPERLINK("https://elite.finviz.com/quote.ashx?t=GPAT&amp;ty=c&amp;p=d&amp;b=1", "GPAT")</f>
        <v>GPAT</v>
      </c>
      <c r="B4215">
        <v>4</v>
      </c>
      <c r="C4215">
        <v>105.92</v>
      </c>
      <c r="D4215">
        <v>55.48</v>
      </c>
      <c r="E4215" t="s">
        <v>32540</v>
      </c>
      <c r="F4215" t="s">
        <v>107</v>
      </c>
      <c r="G4215" t="s">
        <v>550</v>
      </c>
      <c r="H4215" t="s">
        <v>2120</v>
      </c>
      <c r="I4215" t="s">
        <v>70</v>
      </c>
      <c r="J4215" t="s">
        <v>321</v>
      </c>
      <c r="K4215">
        <v>381.84</v>
      </c>
      <c r="L4215">
        <v>10.6</v>
      </c>
      <c r="M4215" t="s">
        <v>149</v>
      </c>
      <c r="N4215">
        <v>1</v>
      </c>
      <c r="O4215">
        <v>29.64</v>
      </c>
      <c r="S4215">
        <v>1.32</v>
      </c>
      <c r="Z4215" t="s">
        <v>164</v>
      </c>
      <c r="AA4215">
        <v>0.36</v>
      </c>
      <c r="AJ4215" t="s">
        <v>164</v>
      </c>
      <c r="AK4215" t="s">
        <v>32541</v>
      </c>
      <c r="AL4215">
        <v>0.66</v>
      </c>
      <c r="AM4215">
        <v>0.66</v>
      </c>
      <c r="AN4215">
        <v>0</v>
      </c>
      <c r="AR4215" t="s">
        <v>406</v>
      </c>
      <c r="AS4215" t="s">
        <v>2275</v>
      </c>
      <c r="AT4215" t="s">
        <v>2275</v>
      </c>
      <c r="AU4215" t="s">
        <v>193</v>
      </c>
      <c r="AV4215" t="s">
        <v>2742</v>
      </c>
      <c r="AW4215" t="s">
        <v>6192</v>
      </c>
      <c r="AX4215" t="s">
        <v>2881</v>
      </c>
      <c r="AY4215" t="s">
        <v>1564</v>
      </c>
      <c r="AZ4215" t="s">
        <v>272</v>
      </c>
      <c r="BB4215">
        <v>83.46</v>
      </c>
      <c r="BC4215">
        <v>0</v>
      </c>
      <c r="BD4215">
        <v>10.55</v>
      </c>
      <c r="BE4215">
        <v>10.6</v>
      </c>
      <c r="BF4215">
        <v>10.6</v>
      </c>
      <c r="BG4215" t="s">
        <v>32542</v>
      </c>
      <c r="BH4215" t="s">
        <v>1564</v>
      </c>
      <c r="BI4215" t="s">
        <v>8925</v>
      </c>
      <c r="BJ4215" t="s">
        <v>101</v>
      </c>
      <c r="BK4215" t="s">
        <v>2650</v>
      </c>
      <c r="BL4215" t="s">
        <v>1050</v>
      </c>
      <c r="BM4215" t="s">
        <v>5455</v>
      </c>
      <c r="BN4215" t="s">
        <v>27621</v>
      </c>
    </row>
    <row r="4216" spans="1:66" x14ac:dyDescent="0.25">
      <c r="A4216" t="str">
        <f>HYPERLINK("https://elite.finviz.com/quote.ashx?t=SLDE&amp;ty=c&amp;p=d&amp;b=1", "SLDE")</f>
        <v>SLDE</v>
      </c>
      <c r="B4216">
        <v>4</v>
      </c>
      <c r="C4216">
        <v>105.92</v>
      </c>
      <c r="D4216">
        <v>55.58</v>
      </c>
      <c r="E4216" t="s">
        <v>32543</v>
      </c>
      <c r="F4216" t="s">
        <v>67</v>
      </c>
      <c r="G4216" t="s">
        <v>550</v>
      </c>
      <c r="H4216" t="s">
        <v>4407</v>
      </c>
      <c r="I4216" t="s">
        <v>70</v>
      </c>
      <c r="J4216" t="s">
        <v>321</v>
      </c>
      <c r="K4216">
        <v>1940.19</v>
      </c>
      <c r="L4216">
        <v>15.46</v>
      </c>
      <c r="M4216" t="s">
        <v>89</v>
      </c>
      <c r="N4216">
        <v>400895</v>
      </c>
      <c r="O4216">
        <v>1.52</v>
      </c>
      <c r="R4216">
        <v>1.98</v>
      </c>
      <c r="S4216">
        <v>2.23</v>
      </c>
      <c r="AA4216">
        <v>10.19</v>
      </c>
      <c r="AB4216" t="s">
        <v>32544</v>
      </c>
      <c r="AF4216" t="s">
        <v>11995</v>
      </c>
      <c r="AH4216" t="s">
        <v>16178</v>
      </c>
      <c r="AI4216" t="s">
        <v>17270</v>
      </c>
      <c r="AJ4216" t="s">
        <v>174</v>
      </c>
      <c r="AK4216" t="s">
        <v>22196</v>
      </c>
      <c r="AL4216">
        <v>1.65</v>
      </c>
      <c r="AN4216">
        <v>0.05</v>
      </c>
      <c r="AP4216" t="s">
        <v>14176</v>
      </c>
      <c r="AQ4216" t="s">
        <v>3397</v>
      </c>
      <c r="AR4216" t="s">
        <v>4077</v>
      </c>
      <c r="AS4216" t="s">
        <v>3389</v>
      </c>
      <c r="AT4216" t="s">
        <v>2459</v>
      </c>
      <c r="AU4216" t="s">
        <v>5000</v>
      </c>
      <c r="AV4216" t="s">
        <v>9666</v>
      </c>
      <c r="AW4216" t="s">
        <v>15433</v>
      </c>
      <c r="AX4216" t="s">
        <v>16116</v>
      </c>
      <c r="AY4216" t="s">
        <v>18366</v>
      </c>
      <c r="AZ4216" t="s">
        <v>16116</v>
      </c>
      <c r="BA4216">
        <v>1.2</v>
      </c>
      <c r="BB4216">
        <v>892.69</v>
      </c>
      <c r="BC4216">
        <v>1.58</v>
      </c>
      <c r="BD4216">
        <v>15.06</v>
      </c>
      <c r="BE4216">
        <v>15.75</v>
      </c>
      <c r="BF4216">
        <v>15.17</v>
      </c>
      <c r="BG4216" t="s">
        <v>32545</v>
      </c>
      <c r="BH4216" t="s">
        <v>18366</v>
      </c>
      <c r="BI4216" t="s">
        <v>16116</v>
      </c>
      <c r="BJ4216" t="s">
        <v>101</v>
      </c>
      <c r="BK4216" t="s">
        <v>3395</v>
      </c>
      <c r="BN4216" t="s">
        <v>27621</v>
      </c>
    </row>
    <row r="4217" spans="1:66" x14ac:dyDescent="0.25">
      <c r="A4217" t="str">
        <f>HYPERLINK("https://elite.finviz.com/quote.ashx?t=PRT&amp;ty=c&amp;p=d&amp;b=1", "PRT")</f>
        <v>PRT</v>
      </c>
      <c r="B4217">
        <v>4</v>
      </c>
      <c r="C4217">
        <v>105.92</v>
      </c>
      <c r="D4217">
        <v>55.63</v>
      </c>
      <c r="E4217" t="s">
        <v>32546</v>
      </c>
      <c r="F4217" t="s">
        <v>107</v>
      </c>
      <c r="G4217" t="s">
        <v>1048</v>
      </c>
      <c r="H4217" t="s">
        <v>1049</v>
      </c>
      <c r="I4217" t="s">
        <v>70</v>
      </c>
      <c r="J4217" t="s">
        <v>71</v>
      </c>
      <c r="K4217">
        <v>48.23</v>
      </c>
      <c r="L4217">
        <v>3.96</v>
      </c>
      <c r="M4217" t="s">
        <v>1998</v>
      </c>
      <c r="N4217">
        <v>12297</v>
      </c>
      <c r="O4217">
        <v>9</v>
      </c>
      <c r="R4217">
        <v>7.64</v>
      </c>
      <c r="S4217">
        <v>0.69</v>
      </c>
      <c r="T4217" t="s">
        <v>326</v>
      </c>
      <c r="U4217">
        <v>0.42</v>
      </c>
      <c r="V4217" t="s">
        <v>198</v>
      </c>
      <c r="W4217" t="s">
        <v>4917</v>
      </c>
      <c r="X4217" t="s">
        <v>508</v>
      </c>
      <c r="Y4217" t="s">
        <v>13438</v>
      </c>
      <c r="Z4217" t="s">
        <v>9484</v>
      </c>
      <c r="AA4217">
        <v>0.44</v>
      </c>
      <c r="AB4217" t="s">
        <v>4218</v>
      </c>
      <c r="AC4217" t="s">
        <v>21630</v>
      </c>
      <c r="AE4217" t="s">
        <v>1303</v>
      </c>
      <c r="AF4217" t="s">
        <v>19766</v>
      </c>
      <c r="AG4217" t="s">
        <v>4887</v>
      </c>
      <c r="AH4217" t="s">
        <v>1092</v>
      </c>
      <c r="AI4217" t="s">
        <v>16729</v>
      </c>
      <c r="AJ4217" t="s">
        <v>164</v>
      </c>
      <c r="AK4217" t="s">
        <v>4493</v>
      </c>
      <c r="AL4217">
        <v>2.85</v>
      </c>
      <c r="AM4217">
        <v>2.85</v>
      </c>
      <c r="AN4217">
        <v>0</v>
      </c>
      <c r="AP4217" t="s">
        <v>32547</v>
      </c>
      <c r="AQ4217" t="s">
        <v>32547</v>
      </c>
      <c r="AR4217" t="s">
        <v>3208</v>
      </c>
      <c r="AS4217" t="s">
        <v>1439</v>
      </c>
      <c r="AT4217" t="s">
        <v>1129</v>
      </c>
      <c r="AU4217" t="s">
        <v>2468</v>
      </c>
      <c r="AV4217" t="s">
        <v>1202</v>
      </c>
      <c r="AW4217" t="s">
        <v>2814</v>
      </c>
      <c r="AX4217" t="s">
        <v>5100</v>
      </c>
      <c r="AY4217" t="s">
        <v>5718</v>
      </c>
      <c r="AZ4217" t="s">
        <v>2885</v>
      </c>
      <c r="BA4217">
        <v>3</v>
      </c>
      <c r="BB4217">
        <v>31.66</v>
      </c>
      <c r="BC4217">
        <v>1.38</v>
      </c>
      <c r="BD4217">
        <v>3.97</v>
      </c>
      <c r="BE4217">
        <v>3.99</v>
      </c>
      <c r="BF4217">
        <v>3.96</v>
      </c>
      <c r="BG4217" t="s">
        <v>32548</v>
      </c>
      <c r="BH4217" t="s">
        <v>28681</v>
      </c>
      <c r="BI4217" t="s">
        <v>11353</v>
      </c>
      <c r="BJ4217" t="s">
        <v>101</v>
      </c>
      <c r="BK4217" t="s">
        <v>3401</v>
      </c>
      <c r="BL4217" t="s">
        <v>6303</v>
      </c>
      <c r="BM4217" t="s">
        <v>141</v>
      </c>
      <c r="BN4217" t="s">
        <v>27621</v>
      </c>
    </row>
    <row r="4218" spans="1:66" x14ac:dyDescent="0.25">
      <c r="A4218" t="str">
        <f>HYPERLINK("https://elite.finviz.com/quote.ashx?t=EP&amp;ty=c&amp;p=d&amp;b=1", "EP")</f>
        <v>EP</v>
      </c>
      <c r="B4218">
        <v>4</v>
      </c>
      <c r="C4218">
        <v>105.92</v>
      </c>
      <c r="D4218">
        <v>57.25</v>
      </c>
      <c r="E4218" t="s">
        <v>32549</v>
      </c>
      <c r="F4218" t="s">
        <v>67</v>
      </c>
      <c r="G4218" t="s">
        <v>1048</v>
      </c>
      <c r="H4218" t="s">
        <v>1049</v>
      </c>
      <c r="I4218" t="s">
        <v>70</v>
      </c>
      <c r="J4218" t="s">
        <v>383</v>
      </c>
      <c r="K4218">
        <v>163.77000000000001</v>
      </c>
      <c r="L4218">
        <v>4.8499999999999996</v>
      </c>
      <c r="M4218" t="s">
        <v>3613</v>
      </c>
      <c r="N4218">
        <v>3594</v>
      </c>
      <c r="R4218">
        <v>4.2300000000000004</v>
      </c>
      <c r="S4218">
        <v>3</v>
      </c>
      <c r="V4218" t="s">
        <v>32550</v>
      </c>
      <c r="AA4218">
        <v>-0.52</v>
      </c>
      <c r="AB4218" t="s">
        <v>13308</v>
      </c>
      <c r="AC4218" t="s">
        <v>14743</v>
      </c>
      <c r="AE4218" t="s">
        <v>7798</v>
      </c>
      <c r="AF4218" t="s">
        <v>9031</v>
      </c>
      <c r="AG4218" t="s">
        <v>11941</v>
      </c>
      <c r="AH4218" t="s">
        <v>32551</v>
      </c>
      <c r="AJ4218" t="s">
        <v>2572</v>
      </c>
      <c r="AK4218" t="s">
        <v>1285</v>
      </c>
      <c r="AL4218">
        <v>0.55000000000000004</v>
      </c>
      <c r="AM4218">
        <v>0.51</v>
      </c>
      <c r="AN4218">
        <v>0.32</v>
      </c>
      <c r="AO4218" t="s">
        <v>7959</v>
      </c>
      <c r="AP4218" t="s">
        <v>32552</v>
      </c>
      <c r="AQ4218" t="s">
        <v>32553</v>
      </c>
      <c r="AR4218" t="s">
        <v>2585</v>
      </c>
      <c r="AS4218" t="s">
        <v>2193</v>
      </c>
      <c r="AT4218" t="s">
        <v>2447</v>
      </c>
      <c r="AU4218" t="s">
        <v>903</v>
      </c>
      <c r="AV4218" t="s">
        <v>2248</v>
      </c>
      <c r="AW4218" t="s">
        <v>16487</v>
      </c>
      <c r="AX4218" t="s">
        <v>32554</v>
      </c>
      <c r="AY4218" t="s">
        <v>10743</v>
      </c>
      <c r="AZ4218" t="s">
        <v>5487</v>
      </c>
      <c r="BB4218">
        <v>32.64</v>
      </c>
      <c r="BC4218">
        <v>0.39</v>
      </c>
      <c r="BD4218">
        <v>4.68</v>
      </c>
      <c r="BE4218">
        <v>4.6500000000000004</v>
      </c>
      <c r="BF4218">
        <v>4.5599999999999996</v>
      </c>
      <c r="BG4218" t="s">
        <v>32555</v>
      </c>
      <c r="BH4218" t="s">
        <v>15566</v>
      </c>
      <c r="BI4218" t="s">
        <v>32556</v>
      </c>
      <c r="BJ4218" t="s">
        <v>101</v>
      </c>
      <c r="BK4218" t="s">
        <v>15423</v>
      </c>
      <c r="BL4218" t="s">
        <v>10286</v>
      </c>
      <c r="BM4218" t="s">
        <v>6659</v>
      </c>
      <c r="BN4218" t="s">
        <v>27621</v>
      </c>
    </row>
    <row r="4219" spans="1:66" x14ac:dyDescent="0.25">
      <c r="A4219" t="str">
        <f>HYPERLINK("https://elite.finviz.com/quote.ashx?t=TCI&amp;ty=c&amp;p=d&amp;b=1", "TCI")</f>
        <v>TCI</v>
      </c>
      <c r="B4219">
        <v>4</v>
      </c>
      <c r="C4219">
        <v>105.92</v>
      </c>
      <c r="D4219">
        <v>58.29</v>
      </c>
      <c r="E4219" t="s">
        <v>32557</v>
      </c>
      <c r="F4219" t="s">
        <v>67</v>
      </c>
      <c r="G4219" t="s">
        <v>68</v>
      </c>
      <c r="H4219" t="s">
        <v>7494</v>
      </c>
      <c r="I4219" t="s">
        <v>70</v>
      </c>
      <c r="J4219" t="s">
        <v>71</v>
      </c>
      <c r="K4219">
        <v>407.6</v>
      </c>
      <c r="L4219">
        <v>47.18</v>
      </c>
      <c r="M4219" t="s">
        <v>747</v>
      </c>
      <c r="N4219">
        <v>357</v>
      </c>
      <c r="O4219">
        <v>61.74</v>
      </c>
      <c r="R4219">
        <v>8.57</v>
      </c>
      <c r="S4219">
        <v>0.49</v>
      </c>
      <c r="Z4219" t="s">
        <v>164</v>
      </c>
      <c r="AA4219">
        <v>0.76</v>
      </c>
      <c r="AB4219" t="s">
        <v>6040</v>
      </c>
      <c r="AE4219" t="s">
        <v>10747</v>
      </c>
      <c r="AF4219" t="s">
        <v>246</v>
      </c>
      <c r="AG4219" t="s">
        <v>337</v>
      </c>
      <c r="AH4219" t="s">
        <v>5593</v>
      </c>
      <c r="AJ4219" t="s">
        <v>164</v>
      </c>
      <c r="AK4219" t="s">
        <v>2233</v>
      </c>
      <c r="AL4219">
        <v>108.58</v>
      </c>
      <c r="AM4219">
        <v>108.58</v>
      </c>
      <c r="AN4219">
        <v>0.25</v>
      </c>
      <c r="AO4219" t="s">
        <v>907</v>
      </c>
      <c r="AP4219" t="s">
        <v>14955</v>
      </c>
      <c r="AQ4219" t="s">
        <v>9253</v>
      </c>
      <c r="AR4219" t="s">
        <v>1457</v>
      </c>
      <c r="AS4219" t="s">
        <v>5692</v>
      </c>
      <c r="AT4219" t="s">
        <v>1760</v>
      </c>
      <c r="AU4219" t="s">
        <v>5336</v>
      </c>
      <c r="AV4219" t="s">
        <v>3069</v>
      </c>
      <c r="AW4219" t="s">
        <v>2372</v>
      </c>
      <c r="AX4219" t="s">
        <v>17808</v>
      </c>
      <c r="AY4219" t="s">
        <v>2372</v>
      </c>
      <c r="AZ4219" t="s">
        <v>19596</v>
      </c>
      <c r="BB4219">
        <v>3.42</v>
      </c>
      <c r="BC4219">
        <v>0.37</v>
      </c>
      <c r="BD4219">
        <v>46.8</v>
      </c>
      <c r="BE4219">
        <v>46.8</v>
      </c>
      <c r="BF4219">
        <v>46.8</v>
      </c>
      <c r="BG4219" t="s">
        <v>32558</v>
      </c>
      <c r="BH4219" t="s">
        <v>10170</v>
      </c>
      <c r="BI4219" t="s">
        <v>32559</v>
      </c>
      <c r="BJ4219" t="s">
        <v>101</v>
      </c>
      <c r="BK4219" t="s">
        <v>6975</v>
      </c>
      <c r="BL4219" t="s">
        <v>19896</v>
      </c>
      <c r="BM4219" t="s">
        <v>9411</v>
      </c>
      <c r="BN4219" t="s">
        <v>27621</v>
      </c>
    </row>
    <row r="4220" spans="1:66" x14ac:dyDescent="0.25">
      <c r="A4220" t="str">
        <f>HYPERLINK("https://elite.finviz.com/quote.ashx?t=NPAC&amp;ty=c&amp;p=d&amp;b=1", "NPAC")</f>
        <v>NPAC</v>
      </c>
      <c r="B4220">
        <v>4</v>
      </c>
      <c r="C4220">
        <v>105.92</v>
      </c>
      <c r="D4220">
        <v>58.52</v>
      </c>
      <c r="E4220" t="s">
        <v>32560</v>
      </c>
      <c r="F4220" t="s">
        <v>107</v>
      </c>
      <c r="G4220" t="s">
        <v>550</v>
      </c>
      <c r="H4220" t="s">
        <v>2120</v>
      </c>
      <c r="I4220" t="s">
        <v>70</v>
      </c>
      <c r="J4220" t="s">
        <v>321</v>
      </c>
      <c r="K4220">
        <v>389.66</v>
      </c>
      <c r="L4220">
        <v>10.15</v>
      </c>
      <c r="M4220" t="s">
        <v>1083</v>
      </c>
      <c r="N4220">
        <v>1</v>
      </c>
      <c r="S4220">
        <v>1.33</v>
      </c>
      <c r="AK4220" t="s">
        <v>2020</v>
      </c>
      <c r="AL4220">
        <v>13.83</v>
      </c>
      <c r="AM4220">
        <v>13.83</v>
      </c>
      <c r="AN4220">
        <v>0</v>
      </c>
      <c r="AR4220" t="s">
        <v>2880</v>
      </c>
      <c r="AS4220" t="s">
        <v>4266</v>
      </c>
      <c r="AT4220" t="s">
        <v>141</v>
      </c>
      <c r="AU4220" t="s">
        <v>430</v>
      </c>
      <c r="AV4220" t="s">
        <v>4699</v>
      </c>
      <c r="AW4220" t="s">
        <v>1358</v>
      </c>
      <c r="AX4220" t="s">
        <v>2785</v>
      </c>
      <c r="AY4220" t="s">
        <v>8380</v>
      </c>
      <c r="AZ4220" t="s">
        <v>2785</v>
      </c>
      <c r="BB4220">
        <v>80.78</v>
      </c>
      <c r="BC4220">
        <v>0</v>
      </c>
      <c r="BD4220">
        <v>10.130000000000001</v>
      </c>
      <c r="BE4220">
        <v>10.15</v>
      </c>
      <c r="BF4220">
        <v>10.15</v>
      </c>
      <c r="BG4220" t="s">
        <v>32561</v>
      </c>
      <c r="BH4220" t="s">
        <v>8380</v>
      </c>
      <c r="BI4220" t="s">
        <v>2785</v>
      </c>
      <c r="BJ4220" t="s">
        <v>101</v>
      </c>
      <c r="BK4220" t="s">
        <v>4065</v>
      </c>
      <c r="BN4220" t="s">
        <v>27621</v>
      </c>
    </row>
    <row r="4221" spans="1:66" x14ac:dyDescent="0.25">
      <c r="A4221" t="str">
        <f>HYPERLINK("https://elite.finviz.com/quote.ashx?t=BEAG&amp;ty=c&amp;p=d&amp;b=1", "BEAG")</f>
        <v>BEAG</v>
      </c>
      <c r="B4221">
        <v>4</v>
      </c>
      <c r="C4221">
        <v>105.92</v>
      </c>
      <c r="D4221">
        <v>59.24</v>
      </c>
      <c r="E4221" t="s">
        <v>32562</v>
      </c>
      <c r="F4221" t="s">
        <v>107</v>
      </c>
      <c r="G4221" t="s">
        <v>550</v>
      </c>
      <c r="H4221" t="s">
        <v>2120</v>
      </c>
      <c r="I4221" t="s">
        <v>70</v>
      </c>
      <c r="J4221" t="s">
        <v>321</v>
      </c>
      <c r="K4221">
        <v>599.99</v>
      </c>
      <c r="L4221">
        <v>10.44</v>
      </c>
      <c r="M4221" t="s">
        <v>84</v>
      </c>
      <c r="N4221">
        <v>201</v>
      </c>
      <c r="O4221">
        <v>46.38</v>
      </c>
      <c r="S4221">
        <v>1.28</v>
      </c>
      <c r="Z4221" t="s">
        <v>164</v>
      </c>
      <c r="AA4221">
        <v>0.23</v>
      </c>
      <c r="AJ4221" t="s">
        <v>164</v>
      </c>
      <c r="AK4221" t="s">
        <v>26000</v>
      </c>
      <c r="AL4221">
        <v>1.93</v>
      </c>
      <c r="AM4221">
        <v>1.93</v>
      </c>
      <c r="AN4221">
        <v>0</v>
      </c>
      <c r="AR4221" t="s">
        <v>4271</v>
      </c>
      <c r="AS4221" t="s">
        <v>2290</v>
      </c>
      <c r="AT4221" t="s">
        <v>4782</v>
      </c>
      <c r="AU4221" t="s">
        <v>3736</v>
      </c>
      <c r="AV4221" t="s">
        <v>2219</v>
      </c>
      <c r="AW4221" t="s">
        <v>7568</v>
      </c>
      <c r="AX4221" t="s">
        <v>5577</v>
      </c>
      <c r="AY4221" t="s">
        <v>9725</v>
      </c>
      <c r="AZ4221" t="s">
        <v>1204</v>
      </c>
      <c r="BB4221">
        <v>126.32</v>
      </c>
      <c r="BC4221">
        <v>0.01</v>
      </c>
      <c r="BD4221">
        <v>10.36</v>
      </c>
      <c r="BE4221">
        <v>10.44</v>
      </c>
      <c r="BF4221">
        <v>10.44</v>
      </c>
      <c r="BG4221" t="s">
        <v>32563</v>
      </c>
      <c r="BH4221" t="s">
        <v>9725</v>
      </c>
      <c r="BI4221" t="s">
        <v>1204</v>
      </c>
      <c r="BJ4221" t="s">
        <v>101</v>
      </c>
      <c r="BK4221" t="s">
        <v>1564</v>
      </c>
      <c r="BL4221" t="s">
        <v>9130</v>
      </c>
      <c r="BN4221" t="s">
        <v>27621</v>
      </c>
    </row>
    <row r="4222" spans="1:66" x14ac:dyDescent="0.25">
      <c r="A4222" t="str">
        <f>HYPERLINK("https://elite.finviz.com/quote.ashx?t=GTEN&amp;ty=c&amp;p=d&amp;b=1", "GTEN")</f>
        <v>GTEN</v>
      </c>
      <c r="B4222">
        <v>4</v>
      </c>
      <c r="C4222">
        <v>105.92</v>
      </c>
      <c r="D4222">
        <v>63.43</v>
      </c>
      <c r="E4222" t="s">
        <v>32564</v>
      </c>
      <c r="F4222" t="s">
        <v>107</v>
      </c>
      <c r="G4222" t="s">
        <v>550</v>
      </c>
      <c r="H4222" t="s">
        <v>2120</v>
      </c>
      <c r="I4222" t="s">
        <v>70</v>
      </c>
      <c r="J4222" t="s">
        <v>321</v>
      </c>
      <c r="K4222">
        <v>463.87</v>
      </c>
      <c r="L4222">
        <v>10.29</v>
      </c>
      <c r="M4222" t="s">
        <v>5253</v>
      </c>
      <c r="N4222">
        <v>89</v>
      </c>
      <c r="S4222">
        <v>1.39</v>
      </c>
      <c r="AJ4222" t="s">
        <v>164</v>
      </c>
      <c r="AK4222" t="s">
        <v>9369</v>
      </c>
      <c r="AL4222">
        <v>0.56999999999999995</v>
      </c>
      <c r="AM4222">
        <v>0.56999999999999995</v>
      </c>
      <c r="AN4222">
        <v>0</v>
      </c>
      <c r="AR4222" t="s">
        <v>4271</v>
      </c>
      <c r="AS4222" t="s">
        <v>6719</v>
      </c>
      <c r="AT4222" t="s">
        <v>458</v>
      </c>
      <c r="AU4222" t="s">
        <v>306</v>
      </c>
      <c r="AV4222" t="s">
        <v>4840</v>
      </c>
      <c r="AW4222" t="s">
        <v>1444</v>
      </c>
      <c r="AX4222" t="s">
        <v>2217</v>
      </c>
      <c r="AY4222" t="s">
        <v>8985</v>
      </c>
      <c r="AZ4222" t="s">
        <v>2217</v>
      </c>
      <c r="BB4222">
        <v>228.17</v>
      </c>
      <c r="BC4222">
        <v>0</v>
      </c>
      <c r="BD4222">
        <v>10.220000000000001</v>
      </c>
      <c r="BE4222">
        <v>10.210000000000001</v>
      </c>
      <c r="BF4222">
        <v>10.210000000000001</v>
      </c>
      <c r="BG4222" t="s">
        <v>32565</v>
      </c>
      <c r="BH4222" t="s">
        <v>8985</v>
      </c>
      <c r="BI4222" t="s">
        <v>2217</v>
      </c>
      <c r="BJ4222" t="s">
        <v>101</v>
      </c>
      <c r="BK4222" t="s">
        <v>3169</v>
      </c>
      <c r="BN4222" t="s">
        <v>27621</v>
      </c>
    </row>
    <row r="4223" spans="1:66" x14ac:dyDescent="0.25">
      <c r="A4223" t="str">
        <f>HYPERLINK("https://elite.finviz.com/quote.ashx?t=SPEGU&amp;ty=c&amp;p=d&amp;b=1", "SPEGU")</f>
        <v>SPEGU</v>
      </c>
      <c r="B4223">
        <v>4</v>
      </c>
      <c r="C4223">
        <v>105.92</v>
      </c>
      <c r="D4223">
        <v>69.44</v>
      </c>
      <c r="E4223" t="s">
        <v>22866</v>
      </c>
      <c r="F4223" t="s">
        <v>107</v>
      </c>
      <c r="G4223" t="s">
        <v>550</v>
      </c>
      <c r="H4223" t="s">
        <v>2120</v>
      </c>
      <c r="I4223" t="s">
        <v>70</v>
      </c>
      <c r="J4223" t="s">
        <v>321</v>
      </c>
      <c r="K4223">
        <v>156.21</v>
      </c>
      <c r="L4223">
        <v>10.19</v>
      </c>
      <c r="M4223" t="s">
        <v>164</v>
      </c>
      <c r="N4223">
        <v>0</v>
      </c>
      <c r="AJ4223" t="s">
        <v>164</v>
      </c>
      <c r="AK4223" t="s">
        <v>3389</v>
      </c>
      <c r="AL4223">
        <v>0</v>
      </c>
      <c r="AM4223">
        <v>0</v>
      </c>
      <c r="AR4223" t="s">
        <v>629</v>
      </c>
      <c r="AS4223" t="s">
        <v>4539</v>
      </c>
      <c r="AT4223" t="s">
        <v>6842</v>
      </c>
      <c r="AU4223" t="s">
        <v>6572</v>
      </c>
      <c r="AV4223" t="s">
        <v>6572</v>
      </c>
      <c r="AW4223" t="s">
        <v>2638</v>
      </c>
      <c r="AX4223" t="s">
        <v>908</v>
      </c>
      <c r="AY4223" t="s">
        <v>2638</v>
      </c>
      <c r="AZ4223" t="s">
        <v>908</v>
      </c>
      <c r="BB4223">
        <v>212</v>
      </c>
      <c r="BC4223">
        <v>0</v>
      </c>
      <c r="BD4223">
        <v>10.19</v>
      </c>
      <c r="BE4223">
        <v>10.19</v>
      </c>
      <c r="BF4223">
        <v>10.19</v>
      </c>
      <c r="BG4223" t="s">
        <v>32566</v>
      </c>
      <c r="BH4223" t="s">
        <v>2638</v>
      </c>
      <c r="BI4223" t="s">
        <v>908</v>
      </c>
      <c r="BJ4223" t="s">
        <v>101</v>
      </c>
      <c r="BN4223" t="s">
        <v>27621</v>
      </c>
    </row>
    <row r="4224" spans="1:66" x14ac:dyDescent="0.25">
      <c r="A4224" t="str">
        <f>HYPERLINK("https://elite.finviz.com/quote.ashx?t=AEXA&amp;ty=c&amp;p=d&amp;b=1", "AEXA")</f>
        <v>AEXA</v>
      </c>
      <c r="B4224">
        <v>4</v>
      </c>
      <c r="C4224">
        <v>105.92</v>
      </c>
      <c r="E4224" t="s">
        <v>32567</v>
      </c>
      <c r="F4224" t="s">
        <v>107</v>
      </c>
      <c r="G4224" t="s">
        <v>550</v>
      </c>
      <c r="H4224" t="s">
        <v>2120</v>
      </c>
      <c r="I4224" t="s">
        <v>70</v>
      </c>
      <c r="J4224" t="s">
        <v>71</v>
      </c>
      <c r="L4224">
        <v>10.76</v>
      </c>
      <c r="N4224">
        <v>5059139</v>
      </c>
      <c r="S4224">
        <v>51214.29</v>
      </c>
      <c r="AL4224">
        <v>1.48</v>
      </c>
      <c r="AM4224">
        <v>1.48</v>
      </c>
      <c r="AN4224">
        <v>2</v>
      </c>
      <c r="AT4224" t="s">
        <v>164</v>
      </c>
      <c r="AU4224" t="s">
        <v>164</v>
      </c>
      <c r="AV4224" t="s">
        <v>164</v>
      </c>
      <c r="BE4224">
        <v>10.85</v>
      </c>
      <c r="BF4224">
        <v>10.62</v>
      </c>
      <c r="BG4224" t="s">
        <v>32568</v>
      </c>
      <c r="BJ4224" t="s">
        <v>101</v>
      </c>
      <c r="BN4224" t="s">
        <v>27621</v>
      </c>
    </row>
    <row r="4225" spans="1:66" x14ac:dyDescent="0.25">
      <c r="A4225" t="str">
        <f>HYPERLINK("https://elite.finviz.com/quote.ashx?t=BDCIU&amp;ty=c&amp;p=d&amp;b=1", "BDCIU")</f>
        <v>BDCIU</v>
      </c>
      <c r="B4225">
        <v>4</v>
      </c>
      <c r="C4225">
        <v>105.92</v>
      </c>
      <c r="E4225" t="s">
        <v>32569</v>
      </c>
      <c r="F4225" t="s">
        <v>107</v>
      </c>
      <c r="G4225" t="s">
        <v>550</v>
      </c>
      <c r="H4225" t="s">
        <v>2120</v>
      </c>
      <c r="I4225" t="s">
        <v>70</v>
      </c>
      <c r="J4225" t="s">
        <v>321</v>
      </c>
      <c r="N4225">
        <v>0</v>
      </c>
      <c r="BG4225" t="s">
        <v>32568</v>
      </c>
      <c r="BJ4225" t="s">
        <v>101</v>
      </c>
      <c r="BN4225" t="s">
        <v>27621</v>
      </c>
    </row>
    <row r="4226" spans="1:66" x14ac:dyDescent="0.25">
      <c r="A4226" t="str">
        <f>HYPERLINK("https://elite.finviz.com/quote.ashx?t=BTQ&amp;ty=c&amp;p=d&amp;b=1", "BTQ")</f>
        <v>BTQ</v>
      </c>
      <c r="B4226">
        <v>4</v>
      </c>
      <c r="C4226">
        <v>105.92</v>
      </c>
      <c r="E4226" t="s">
        <v>32570</v>
      </c>
      <c r="F4226" t="s">
        <v>107</v>
      </c>
      <c r="G4226" t="s">
        <v>108</v>
      </c>
      <c r="H4226" t="s">
        <v>136</v>
      </c>
      <c r="I4226" t="s">
        <v>70</v>
      </c>
      <c r="J4226" t="s">
        <v>71</v>
      </c>
      <c r="K4226">
        <v>235719.12</v>
      </c>
      <c r="L4226">
        <v>6.15</v>
      </c>
      <c r="M4226" t="s">
        <v>19119</v>
      </c>
      <c r="N4226">
        <v>3515158</v>
      </c>
      <c r="AT4226" t="s">
        <v>164</v>
      </c>
      <c r="AU4226" t="s">
        <v>164</v>
      </c>
      <c r="AV4226" t="s">
        <v>164</v>
      </c>
      <c r="BD4226">
        <v>6.62</v>
      </c>
      <c r="BE4226">
        <v>6.8</v>
      </c>
      <c r="BF4226">
        <v>5.9</v>
      </c>
      <c r="BG4226" t="s">
        <v>32568</v>
      </c>
      <c r="BJ4226" t="s">
        <v>101</v>
      </c>
      <c r="BN4226" t="s">
        <v>27621</v>
      </c>
    </row>
    <row r="4227" spans="1:66" x14ac:dyDescent="0.25">
      <c r="A4227" t="str">
        <f>HYPERLINK("https://elite.finviz.com/quote.ashx?t=CHOW&amp;ty=c&amp;p=d&amp;b=1", "CHOW")</f>
        <v>CHOW</v>
      </c>
      <c r="B4227">
        <v>4</v>
      </c>
      <c r="C4227">
        <v>105.92</v>
      </c>
      <c r="E4227" t="s">
        <v>32571</v>
      </c>
      <c r="F4227" t="s">
        <v>107</v>
      </c>
      <c r="G4227" t="s">
        <v>108</v>
      </c>
      <c r="H4227" t="s">
        <v>109</v>
      </c>
      <c r="I4227" t="s">
        <v>70</v>
      </c>
      <c r="J4227" t="s">
        <v>383</v>
      </c>
      <c r="L4227">
        <v>5.98</v>
      </c>
      <c r="M4227" t="s">
        <v>2218</v>
      </c>
      <c r="N4227">
        <v>61365</v>
      </c>
      <c r="AR4227" t="s">
        <v>2381</v>
      </c>
      <c r="AT4227" t="s">
        <v>6088</v>
      </c>
      <c r="AU4227" t="s">
        <v>6088</v>
      </c>
      <c r="AV4227" t="s">
        <v>6088</v>
      </c>
      <c r="AW4227" t="s">
        <v>29053</v>
      </c>
      <c r="AX4227" t="s">
        <v>9389</v>
      </c>
      <c r="AY4227" t="s">
        <v>29053</v>
      </c>
      <c r="AZ4227" t="s">
        <v>9389</v>
      </c>
      <c r="BB4227">
        <v>652.14</v>
      </c>
      <c r="BC4227">
        <v>0.33</v>
      </c>
      <c r="BD4227">
        <v>6.18</v>
      </c>
      <c r="BE4227">
        <v>6.47</v>
      </c>
      <c r="BF4227">
        <v>5.7</v>
      </c>
      <c r="BG4227" t="s">
        <v>32572</v>
      </c>
      <c r="BH4227" t="s">
        <v>29053</v>
      </c>
      <c r="BI4227" t="s">
        <v>9389</v>
      </c>
      <c r="BJ4227" t="s">
        <v>101</v>
      </c>
      <c r="BN4227" t="s">
        <v>27621</v>
      </c>
    </row>
    <row r="4228" spans="1:66" x14ac:dyDescent="0.25">
      <c r="A4228" t="str">
        <f>HYPERLINK("https://elite.finviz.com/quote.ashx?t=CRGT&amp;ty=c&amp;p=d&amp;b=1", "CRGT")</f>
        <v>CRGT</v>
      </c>
      <c r="B4228">
        <v>4</v>
      </c>
      <c r="C4228">
        <v>105.92</v>
      </c>
      <c r="E4228" t="s">
        <v>32573</v>
      </c>
      <c r="F4228" t="s">
        <v>107</v>
      </c>
      <c r="G4228" t="s">
        <v>428</v>
      </c>
      <c r="H4228" t="s">
        <v>2051</v>
      </c>
      <c r="I4228" t="s">
        <v>70</v>
      </c>
      <c r="J4228" t="s">
        <v>321</v>
      </c>
      <c r="N4228">
        <v>0</v>
      </c>
      <c r="AA4228">
        <v>-0.39</v>
      </c>
      <c r="AB4228" t="s">
        <v>10446</v>
      </c>
      <c r="AL4228">
        <v>0.16</v>
      </c>
      <c r="AM4228">
        <v>0.16</v>
      </c>
      <c r="BG4228" t="s">
        <v>32568</v>
      </c>
      <c r="BJ4228" t="s">
        <v>101</v>
      </c>
      <c r="BN4228" t="s">
        <v>27621</v>
      </c>
    </row>
    <row r="4229" spans="1:66" x14ac:dyDescent="0.25">
      <c r="A4229" t="str">
        <f>HYPERLINK("https://elite.finviz.com/quote.ashx?t=DXG&amp;ty=c&amp;p=d&amp;b=1", "DXG")</f>
        <v>DXG</v>
      </c>
      <c r="B4229">
        <v>4</v>
      </c>
      <c r="C4229">
        <v>105.92</v>
      </c>
      <c r="E4229" t="s">
        <v>32574</v>
      </c>
      <c r="F4229" t="s">
        <v>107</v>
      </c>
      <c r="G4229" t="s">
        <v>260</v>
      </c>
      <c r="H4229" t="s">
        <v>7853</v>
      </c>
      <c r="I4229" t="s">
        <v>70</v>
      </c>
      <c r="J4229" t="s">
        <v>321</v>
      </c>
      <c r="N4229">
        <v>0</v>
      </c>
      <c r="BG4229" t="s">
        <v>32568</v>
      </c>
      <c r="BJ4229" t="s">
        <v>101</v>
      </c>
      <c r="BN4229" t="s">
        <v>27621</v>
      </c>
    </row>
    <row r="4230" spans="1:66" x14ac:dyDescent="0.25">
      <c r="A4230" t="str">
        <f>HYPERLINK("https://elite.finviz.com/quote.ashx?t=FCRS-U&amp;ty=c&amp;p=d&amp;b=1", "FCRS-U")</f>
        <v>FCRS-U</v>
      </c>
      <c r="B4230">
        <v>4</v>
      </c>
      <c r="C4230">
        <v>105.92</v>
      </c>
      <c r="E4230" t="s">
        <v>32575</v>
      </c>
      <c r="F4230" t="s">
        <v>107</v>
      </c>
      <c r="G4230" t="s">
        <v>550</v>
      </c>
      <c r="H4230" t="s">
        <v>2120</v>
      </c>
      <c r="I4230" t="s">
        <v>70</v>
      </c>
      <c r="J4230" t="s">
        <v>71</v>
      </c>
      <c r="L4230">
        <v>10.41</v>
      </c>
      <c r="N4230">
        <v>4286162</v>
      </c>
      <c r="S4230">
        <v>41640</v>
      </c>
      <c r="AL4230">
        <v>0</v>
      </c>
      <c r="AM4230">
        <v>0</v>
      </c>
      <c r="AN4230">
        <v>2</v>
      </c>
      <c r="AT4230" t="s">
        <v>164</v>
      </c>
      <c r="AU4230" t="s">
        <v>164</v>
      </c>
      <c r="AV4230" t="s">
        <v>164</v>
      </c>
      <c r="BE4230">
        <v>10.44</v>
      </c>
      <c r="BF4230">
        <v>10.37</v>
      </c>
      <c r="BG4230" t="s">
        <v>32568</v>
      </c>
      <c r="BJ4230" t="s">
        <v>101</v>
      </c>
      <c r="BN4230" t="s">
        <v>27621</v>
      </c>
    </row>
    <row r="4231" spans="1:66" x14ac:dyDescent="0.25">
      <c r="A4231" t="str">
        <f>HYPERLINK("https://elite.finviz.com/quote.ashx?t=FGO&amp;ty=c&amp;p=d&amp;b=1", "FGO")</f>
        <v>FGO</v>
      </c>
      <c r="B4231">
        <v>4</v>
      </c>
      <c r="C4231">
        <v>105.92</v>
      </c>
      <c r="E4231" t="s">
        <v>32576</v>
      </c>
      <c r="F4231" t="s">
        <v>107</v>
      </c>
      <c r="G4231" t="s">
        <v>260</v>
      </c>
      <c r="H4231" t="s">
        <v>2879</v>
      </c>
      <c r="I4231" t="s">
        <v>70</v>
      </c>
      <c r="J4231" t="s">
        <v>321</v>
      </c>
      <c r="N4231">
        <v>0</v>
      </c>
      <c r="BG4231" t="s">
        <v>32568</v>
      </c>
      <c r="BJ4231" t="s">
        <v>101</v>
      </c>
      <c r="BN4231" t="s">
        <v>27621</v>
      </c>
    </row>
    <row r="4232" spans="1:66" x14ac:dyDescent="0.25">
      <c r="A4232" t="str">
        <f>HYPERLINK("https://elite.finviz.com/quote.ashx?t=FGXCU&amp;ty=c&amp;p=d&amp;b=1", "FGXCU")</f>
        <v>FGXCU</v>
      </c>
      <c r="B4232">
        <v>4</v>
      </c>
      <c r="C4232">
        <v>105.92</v>
      </c>
      <c r="E4232" t="s">
        <v>32577</v>
      </c>
      <c r="F4232" t="s">
        <v>107</v>
      </c>
      <c r="G4232" t="s">
        <v>550</v>
      </c>
      <c r="H4232" t="s">
        <v>2120</v>
      </c>
      <c r="I4232" t="s">
        <v>70</v>
      </c>
      <c r="J4232" t="s">
        <v>321</v>
      </c>
      <c r="N4232">
        <v>0</v>
      </c>
      <c r="BG4232" t="s">
        <v>32568</v>
      </c>
      <c r="BJ4232" t="s">
        <v>101</v>
      </c>
      <c r="BN4232" t="s">
        <v>27621</v>
      </c>
    </row>
    <row r="4233" spans="1:66" x14ac:dyDescent="0.25">
      <c r="A4233" t="str">
        <f>HYPERLINK("https://elite.finviz.com/quote.ashx?t=IRHOU&amp;ty=c&amp;p=d&amp;b=1", "IRHOU")</f>
        <v>IRHOU</v>
      </c>
      <c r="B4233">
        <v>4</v>
      </c>
      <c r="C4233">
        <v>105.92</v>
      </c>
      <c r="E4233" t="s">
        <v>32578</v>
      </c>
      <c r="F4233" t="s">
        <v>107</v>
      </c>
      <c r="G4233" t="s">
        <v>550</v>
      </c>
      <c r="H4233" t="s">
        <v>2120</v>
      </c>
      <c r="I4233" t="s">
        <v>70</v>
      </c>
      <c r="J4233" t="s">
        <v>321</v>
      </c>
      <c r="N4233">
        <v>0</v>
      </c>
      <c r="AL4233">
        <v>0.17</v>
      </c>
      <c r="AM4233">
        <v>0.17</v>
      </c>
      <c r="BG4233" t="s">
        <v>32568</v>
      </c>
      <c r="BJ4233" t="s">
        <v>101</v>
      </c>
      <c r="BN4233" t="s">
        <v>27621</v>
      </c>
    </row>
    <row r="4234" spans="1:66" x14ac:dyDescent="0.25">
      <c r="A4234" t="str">
        <f>HYPERLINK("https://elite.finviz.com/quote.ashx?t=KOYN&amp;ty=c&amp;p=d&amp;b=1", "KOYN")</f>
        <v>KOYN</v>
      </c>
      <c r="B4234">
        <v>4</v>
      </c>
      <c r="C4234">
        <v>105.92</v>
      </c>
      <c r="E4234" t="s">
        <v>21659</v>
      </c>
      <c r="F4234" t="s">
        <v>107</v>
      </c>
      <c r="G4234" t="s">
        <v>550</v>
      </c>
      <c r="H4234" t="s">
        <v>2120</v>
      </c>
      <c r="I4234" t="s">
        <v>70</v>
      </c>
      <c r="J4234" t="s">
        <v>321</v>
      </c>
      <c r="K4234">
        <v>304.55</v>
      </c>
      <c r="L4234">
        <v>9.93</v>
      </c>
      <c r="M4234" t="s">
        <v>3598</v>
      </c>
      <c r="N4234">
        <v>59964</v>
      </c>
      <c r="AJ4234" t="s">
        <v>164</v>
      </c>
      <c r="AL4234">
        <v>0.16</v>
      </c>
      <c r="AM4234">
        <v>0.16</v>
      </c>
      <c r="AT4234" t="s">
        <v>3598</v>
      </c>
      <c r="AU4234" t="s">
        <v>3598</v>
      </c>
      <c r="AV4234" t="s">
        <v>3598</v>
      </c>
      <c r="AW4234" t="s">
        <v>2197</v>
      </c>
      <c r="AX4234" t="s">
        <v>2757</v>
      </c>
      <c r="AY4234" t="s">
        <v>2197</v>
      </c>
      <c r="AZ4234" t="s">
        <v>2757</v>
      </c>
      <c r="BB4234">
        <v>109.92</v>
      </c>
      <c r="BC4234">
        <v>1.94</v>
      </c>
      <c r="BD4234">
        <v>9.93</v>
      </c>
      <c r="BE4234">
        <v>9.94</v>
      </c>
      <c r="BF4234">
        <v>9.93</v>
      </c>
      <c r="BG4234" t="s">
        <v>32579</v>
      </c>
      <c r="BH4234" t="s">
        <v>2197</v>
      </c>
      <c r="BI4234" t="s">
        <v>2757</v>
      </c>
      <c r="BJ4234" t="s">
        <v>101</v>
      </c>
      <c r="BN4234" t="s">
        <v>27621</v>
      </c>
    </row>
    <row r="4235" spans="1:66" x14ac:dyDescent="0.25">
      <c r="A4235" t="str">
        <f>HYPERLINK("https://elite.finviz.com/quote.ashx?t=LBRX&amp;ty=c&amp;p=d&amp;b=1", "LBRX")</f>
        <v>LBRX</v>
      </c>
      <c r="B4235">
        <v>4</v>
      </c>
      <c r="C4235">
        <v>105.92</v>
      </c>
      <c r="E4235" t="s">
        <v>32580</v>
      </c>
      <c r="F4235" t="s">
        <v>107</v>
      </c>
      <c r="G4235" t="s">
        <v>428</v>
      </c>
      <c r="H4235" t="s">
        <v>429</v>
      </c>
      <c r="I4235" t="s">
        <v>70</v>
      </c>
      <c r="J4235" t="s">
        <v>321</v>
      </c>
      <c r="K4235">
        <v>333.91</v>
      </c>
      <c r="L4235">
        <v>14.88</v>
      </c>
      <c r="M4235" t="s">
        <v>2426</v>
      </c>
      <c r="N4235">
        <v>24450</v>
      </c>
      <c r="AB4235" t="s">
        <v>32581</v>
      </c>
      <c r="AK4235" t="s">
        <v>2935</v>
      </c>
      <c r="AR4235" t="s">
        <v>5212</v>
      </c>
      <c r="AT4235" t="s">
        <v>5488</v>
      </c>
      <c r="AU4235" t="s">
        <v>5488</v>
      </c>
      <c r="AV4235" t="s">
        <v>5488</v>
      </c>
      <c r="AW4235" t="s">
        <v>6511</v>
      </c>
      <c r="AX4235" t="s">
        <v>2419</v>
      </c>
      <c r="AY4235" t="s">
        <v>6511</v>
      </c>
      <c r="AZ4235" t="s">
        <v>2419</v>
      </c>
      <c r="BB4235">
        <v>550.08000000000004</v>
      </c>
      <c r="BC4235">
        <v>0.16</v>
      </c>
      <c r="BD4235">
        <v>14.95</v>
      </c>
      <c r="BE4235">
        <v>15.15</v>
      </c>
      <c r="BF4235">
        <v>14.51</v>
      </c>
      <c r="BG4235" t="s">
        <v>32582</v>
      </c>
      <c r="BH4235" t="s">
        <v>6511</v>
      </c>
      <c r="BI4235" t="s">
        <v>2419</v>
      </c>
      <c r="BJ4235" t="s">
        <v>101</v>
      </c>
      <c r="BN4235" t="s">
        <v>27621</v>
      </c>
    </row>
    <row r="4236" spans="1:66" x14ac:dyDescent="0.25">
      <c r="A4236" t="str">
        <f>HYPERLINK("https://elite.finviz.com/quote.ashx?t=MGN&amp;ty=c&amp;p=d&amp;b=1", "MGN")</f>
        <v>MGN</v>
      </c>
      <c r="B4236">
        <v>4</v>
      </c>
      <c r="C4236">
        <v>105.92</v>
      </c>
      <c r="E4236" t="s">
        <v>32583</v>
      </c>
      <c r="F4236" t="s">
        <v>107</v>
      </c>
      <c r="G4236" t="s">
        <v>260</v>
      </c>
      <c r="H4236" t="s">
        <v>2944</v>
      </c>
      <c r="I4236" t="s">
        <v>70</v>
      </c>
      <c r="J4236" t="s">
        <v>321</v>
      </c>
      <c r="L4236">
        <v>5.99</v>
      </c>
      <c r="M4236" t="s">
        <v>3223</v>
      </c>
      <c r="N4236">
        <v>4769155</v>
      </c>
      <c r="AT4236" t="s">
        <v>164</v>
      </c>
      <c r="AU4236" t="s">
        <v>164</v>
      </c>
      <c r="AV4236" t="s">
        <v>164</v>
      </c>
      <c r="BD4236">
        <v>4</v>
      </c>
      <c r="BE4236">
        <v>8.6300000000000008</v>
      </c>
      <c r="BF4236">
        <v>3.67</v>
      </c>
      <c r="BG4236" t="s">
        <v>32568</v>
      </c>
      <c r="BJ4236" t="s">
        <v>101</v>
      </c>
      <c r="BN4236" t="s">
        <v>27621</v>
      </c>
    </row>
    <row r="4237" spans="1:66" x14ac:dyDescent="0.25">
      <c r="A4237" t="str">
        <f>HYPERLINK("https://elite.finviz.com/quote.ashx?t=MLCI&amp;ty=c&amp;p=d&amp;b=1", "MLCI")</f>
        <v>MLCI</v>
      </c>
      <c r="B4237">
        <v>4</v>
      </c>
      <c r="C4237">
        <v>105.92</v>
      </c>
      <c r="E4237" t="s">
        <v>32584</v>
      </c>
      <c r="F4237" t="s">
        <v>107</v>
      </c>
      <c r="G4237" t="s">
        <v>550</v>
      </c>
      <c r="H4237" t="s">
        <v>2597</v>
      </c>
      <c r="I4237" t="s">
        <v>70</v>
      </c>
      <c r="J4237" t="s">
        <v>321</v>
      </c>
      <c r="L4237">
        <v>7.85</v>
      </c>
      <c r="M4237" t="s">
        <v>10808</v>
      </c>
      <c r="N4237">
        <v>2136</v>
      </c>
      <c r="AR4237" t="s">
        <v>3244</v>
      </c>
      <c r="AT4237" t="s">
        <v>2197</v>
      </c>
      <c r="AU4237" t="s">
        <v>2197</v>
      </c>
      <c r="AV4237" t="s">
        <v>2197</v>
      </c>
      <c r="AW4237" t="s">
        <v>10332</v>
      </c>
      <c r="AX4237" t="s">
        <v>5593</v>
      </c>
      <c r="AY4237" t="s">
        <v>10332</v>
      </c>
      <c r="AZ4237" t="s">
        <v>5593</v>
      </c>
      <c r="BB4237">
        <v>36.53</v>
      </c>
      <c r="BC4237">
        <v>0.21</v>
      </c>
      <c r="BD4237">
        <v>7.91</v>
      </c>
      <c r="BE4237">
        <v>7.9</v>
      </c>
      <c r="BF4237">
        <v>7.8</v>
      </c>
      <c r="BG4237" t="s">
        <v>32585</v>
      </c>
      <c r="BH4237" t="s">
        <v>10332</v>
      </c>
      <c r="BI4237" t="s">
        <v>5593</v>
      </c>
      <c r="BJ4237" t="s">
        <v>101</v>
      </c>
      <c r="BN4237" t="s">
        <v>27621</v>
      </c>
    </row>
    <row r="4238" spans="1:66" x14ac:dyDescent="0.25">
      <c r="A4238" t="str">
        <f>HYPERLINK("https://elite.finviz.com/quote.ashx?t=PAPA&amp;ty=c&amp;p=d&amp;b=1", "PAPA")</f>
        <v>PAPA</v>
      </c>
      <c r="B4238">
        <v>4</v>
      </c>
      <c r="C4238">
        <v>105.92</v>
      </c>
      <c r="E4238" t="s">
        <v>32586</v>
      </c>
      <c r="F4238" t="s">
        <v>107</v>
      </c>
      <c r="G4238" t="s">
        <v>428</v>
      </c>
      <c r="H4238" t="s">
        <v>1296</v>
      </c>
      <c r="I4238" t="s">
        <v>70</v>
      </c>
      <c r="J4238" t="s">
        <v>321</v>
      </c>
      <c r="N4238">
        <v>0</v>
      </c>
      <c r="BG4238" t="s">
        <v>32568</v>
      </c>
      <c r="BJ4238" t="s">
        <v>101</v>
      </c>
      <c r="BN4238" t="s">
        <v>27621</v>
      </c>
    </row>
    <row r="4239" spans="1:66" x14ac:dyDescent="0.25">
      <c r="A4239" t="str">
        <f>HYPERLINK("https://elite.finviz.com/quote.ashx?t=PRB&amp;ty=c&amp;p=d&amp;b=1", "PRB")</f>
        <v>PRB</v>
      </c>
      <c r="B4239">
        <v>4</v>
      </c>
      <c r="C4239">
        <v>105.92</v>
      </c>
      <c r="E4239" t="s">
        <v>32587</v>
      </c>
      <c r="F4239" t="s">
        <v>107</v>
      </c>
      <c r="G4239" t="s">
        <v>1048</v>
      </c>
      <c r="H4239" t="s">
        <v>1049</v>
      </c>
      <c r="I4239" t="s">
        <v>70</v>
      </c>
      <c r="J4239" t="s">
        <v>383</v>
      </c>
      <c r="N4239">
        <v>0</v>
      </c>
      <c r="BG4239" t="s">
        <v>32568</v>
      </c>
      <c r="BJ4239" t="s">
        <v>101</v>
      </c>
      <c r="BN4239" t="s">
        <v>27621</v>
      </c>
    </row>
    <row r="4240" spans="1:66" x14ac:dyDescent="0.25">
      <c r="A4240" t="str">
        <f>HYPERLINK("https://elite.finviz.com/quote.ashx?t=RNBW&amp;ty=c&amp;p=d&amp;b=1", "RNBW")</f>
        <v>RNBW</v>
      </c>
      <c r="B4240">
        <v>4</v>
      </c>
      <c r="C4240">
        <v>105.92</v>
      </c>
      <c r="E4240" t="s">
        <v>32588</v>
      </c>
      <c r="F4240" t="s">
        <v>107</v>
      </c>
      <c r="G4240" t="s">
        <v>550</v>
      </c>
      <c r="H4240" t="s">
        <v>551</v>
      </c>
      <c r="I4240" t="s">
        <v>70</v>
      </c>
      <c r="J4240" t="s">
        <v>321</v>
      </c>
      <c r="N4240">
        <v>0</v>
      </c>
      <c r="BG4240" t="s">
        <v>32568</v>
      </c>
      <c r="BJ4240" t="s">
        <v>101</v>
      </c>
      <c r="BN4240" t="s">
        <v>27621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Martin</cp:lastModifiedBy>
  <dcterms:created xsi:type="dcterms:W3CDTF">2025-09-26T18:30:08Z</dcterms:created>
  <dcterms:modified xsi:type="dcterms:W3CDTF">2025-09-26T19:07:16Z</dcterms:modified>
</cp:coreProperties>
</file>